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g\Desktop\Work\"/>
    </mc:Choice>
  </mc:AlternateContent>
  <xr:revisionPtr revIDLastSave="0" documentId="13_ncr:1_{9D8B76BB-894A-410A-AEF0-1FAE6303D9E1}" xr6:coauthVersionLast="47" xr6:coauthVersionMax="47" xr10:uidLastSave="{00000000-0000-0000-0000-000000000000}"/>
  <bookViews>
    <workbookView xWindow="-120" yWindow="-120" windowWidth="20730" windowHeight="11160" tabRatio="809" firstSheet="13" activeTab="25" xr2:uid="{00000000-000D-0000-FFFF-FFFF00000000}"/>
  </bookViews>
  <sheets>
    <sheet name="1MV4GI (2)" sheetId="81" state="hidden" r:id="rId1"/>
    <sheet name="Sold Cars" sheetId="80" r:id="rId2"/>
    <sheet name="Summary" sheetId="1" r:id="rId3"/>
    <sheet name="Other Expense" sheetId="55" r:id="rId4"/>
    <sheet name="PullDownValues" sheetId="54" state="hidden" r:id="rId5"/>
    <sheet name="1UT9BR" sheetId="64" r:id="rId6"/>
    <sheet name="CEI565" sheetId="36" r:id="rId7"/>
    <sheet name="1SM3VL" sheetId="57" r:id="rId8"/>
    <sheet name="1UL9RY" sheetId="61" r:id="rId9"/>
    <sheet name="1UV5KI" sheetId="59" r:id="rId10"/>
    <sheet name="1QF4SM" sheetId="58" r:id="rId11"/>
    <sheet name="1OZ7GT" sheetId="62" r:id="rId12"/>
    <sheet name="1CN8DD" sheetId="63" r:id="rId13"/>
    <sheet name="1MK4UR" sheetId="65" r:id="rId14"/>
    <sheet name="1JI2UE" sheetId="67" r:id="rId15"/>
    <sheet name="1UK1BK" sheetId="75" r:id="rId16"/>
    <sheet name="1SI9BW" sheetId="69" r:id="rId17"/>
    <sheet name="Suzuki" sheetId="70" r:id="rId18"/>
    <sheet name="1SK3DD" sheetId="71" r:id="rId19"/>
    <sheet name="1SX5TQ" sheetId="72" r:id="rId20"/>
    <sheet name="BMM465" sheetId="73" r:id="rId21"/>
    <sheet name="1CF1ZO" sheetId="74" r:id="rId22"/>
    <sheet name="Sabbir Bhai" sheetId="77" r:id="rId23"/>
    <sheet name="Piplu Bhai" sheetId="78" state="hidden" r:id="rId24"/>
    <sheet name="Riad" sheetId="79" r:id="rId25"/>
    <sheet name="Database" sheetId="76" r:id="rId26"/>
    <sheet name="Repair" sheetId="2" state="hidden" r:id="rId27"/>
  </sheets>
  <definedNames>
    <definedName name="_xlnm._FilterDatabase" localSheetId="21" hidden="1">'1CF1ZO'!$A$5:$R$91</definedName>
    <definedName name="_xlnm._FilterDatabase" localSheetId="12" hidden="1">'1CN8DD'!$A$5:$R$134</definedName>
    <definedName name="_xlnm._FilterDatabase" localSheetId="14" hidden="1">'1JI2UE'!$A$5:$R$115</definedName>
    <definedName name="_xlnm._FilterDatabase" localSheetId="13" hidden="1">'1MK4UR'!$A$5:$R$167</definedName>
    <definedName name="_xlnm._FilterDatabase" localSheetId="0" hidden="1">'1MV4GI (2)'!$A$5:$R$152</definedName>
    <definedName name="_xlnm._FilterDatabase" localSheetId="11" hidden="1">'1OZ7GT'!$A$5:$R$127</definedName>
    <definedName name="_xlnm._FilterDatabase" localSheetId="10" hidden="1">'1QF4SM'!$A$5:$S$155</definedName>
    <definedName name="_xlnm._FilterDatabase" localSheetId="16" hidden="1">'1SI9BW'!$A$5:$R$113</definedName>
    <definedName name="_xlnm._FilterDatabase" localSheetId="18" hidden="1">'1SK3DD'!$A$5:$R$124</definedName>
    <definedName name="_xlnm._FilterDatabase" localSheetId="7" hidden="1">'1SM3VL'!$A$5:$R$72</definedName>
    <definedName name="_xlnm._FilterDatabase" localSheetId="19" hidden="1">'1SX5TQ'!$A$5:$R$102</definedName>
    <definedName name="_xlnm._FilterDatabase" localSheetId="15" hidden="1">'1UK1BK'!$A$5:$R$58</definedName>
    <definedName name="_xlnm._FilterDatabase" localSheetId="8" hidden="1">'1UL9RY'!$A$5:$R$84</definedName>
    <definedName name="_xlnm._FilterDatabase" localSheetId="5" hidden="1">'1UT9BR'!$A$5:$R$69</definedName>
    <definedName name="_xlnm._FilterDatabase" localSheetId="9" hidden="1">'1UV5KI'!$A$5:$R$152</definedName>
    <definedName name="_xlnm._FilterDatabase" localSheetId="20" hidden="1">'BMM465'!$A$5:$R$101</definedName>
    <definedName name="_xlnm._FilterDatabase" localSheetId="6" hidden="1">'CEI565'!$A$5:$U$74</definedName>
    <definedName name="_xlnm._FilterDatabase" localSheetId="25" hidden="1">Database!$A$2:$AU$3</definedName>
    <definedName name="_xlnm._FilterDatabase" localSheetId="3" hidden="1">'Other Expense'!$A$7:$Q$676</definedName>
    <definedName name="_xlnm._FilterDatabase" localSheetId="23" hidden="1">'Piplu Bhai'!$A$5:$V$5</definedName>
    <definedName name="_xlnm._FilterDatabase" localSheetId="24" hidden="1">Riad!$A$5:$T$82</definedName>
    <definedName name="_xlnm._FilterDatabase" localSheetId="22" hidden="1">'Sabbir Bhai'!$A$4:$AQ$106</definedName>
    <definedName name="_xlnm._FilterDatabase" localSheetId="1" hidden="1">'Sold Cars'!$A$5:$X$534</definedName>
    <definedName name="_xlnm._FilterDatabase" localSheetId="2" hidden="1">Summary!$A$60:$AE$129</definedName>
    <definedName name="_xlnm._FilterDatabase" localSheetId="17" hidden="1">Suzuki!$A$5:$R$72</definedName>
    <definedName name="_rent" localSheetId="21">INDEX({"Weekly Rent";"Bi-weekly Rent";"Semi-monthly Rent";"Monthly Rent";"Bi-monthly Rent";"Quarterly Rent";"Semi-annual Rent";"Annual Rent"},MATCH('1CF1ZO'!#REF!,{"Weekly";"Bi-weekly";"Semi-monthly";"Monthly";"Bi-monthly";"Quarterly";"Semi-annually";"Annually"},0))</definedName>
    <definedName name="_rent" localSheetId="12">INDEX({"Weekly Rent";"Bi-weekly Rent";"Semi-monthly Rent";"Monthly Rent";"Bi-monthly Rent";"Quarterly Rent";"Semi-annual Rent";"Annual Rent"},MATCH('1CN8DD'!#REF!,{"Weekly";"Bi-weekly";"Semi-monthly";"Monthly";"Bi-monthly";"Quarterly";"Semi-annually";"Annually"},0))</definedName>
    <definedName name="_rent" localSheetId="14">INDEX({"Weekly Rent";"Bi-weekly Rent";"Semi-monthly Rent";"Monthly Rent";"Bi-monthly Rent";"Quarterly Rent";"Semi-annual Rent";"Annual Rent"},MATCH('1JI2UE'!#REF!,{"Weekly";"Bi-weekly";"Semi-monthly";"Monthly";"Bi-monthly";"Quarterly";"Semi-annually";"Annually"},0))</definedName>
    <definedName name="_rent" localSheetId="13">INDEX({"Weekly Rent";"Bi-weekly Rent";"Semi-monthly Rent";"Monthly Rent";"Bi-monthly Rent";"Quarterly Rent";"Semi-annual Rent";"Annual Rent"},MATCH('1MK4UR'!#REF!,{"Weekly";"Bi-weekly";"Semi-monthly";"Monthly";"Bi-monthly";"Quarterly";"Semi-annually";"Annually"},0))</definedName>
    <definedName name="_rent" localSheetId="0">INDEX({"Weekly Rent";"Bi-weekly Rent";"Semi-monthly Rent";"Monthly Rent";"Bi-monthly Rent";"Quarterly Rent";"Semi-annual Rent";"Annual Rent"},MATCH('1MV4GI (2)'!#REF!,{"Weekly";"Bi-weekly";"Semi-monthly";"Monthly";"Bi-monthly";"Quarterly";"Semi-annually";"Annually"},0))</definedName>
    <definedName name="_rent" localSheetId="11">INDEX({"Weekly Rent";"Bi-weekly Rent";"Semi-monthly Rent";"Monthly Rent";"Bi-monthly Rent";"Quarterly Rent";"Semi-annual Rent";"Annual Rent"},MATCH('1OZ7GT'!#REF!,{"Weekly";"Bi-weekly";"Semi-monthly";"Monthly";"Bi-monthly";"Quarterly";"Semi-annually";"Annually"},0))</definedName>
    <definedName name="_rent" localSheetId="10">INDEX({"Weekly Rent";"Bi-weekly Rent";"Semi-monthly Rent";"Monthly Rent";"Bi-monthly Rent";"Quarterly Rent";"Semi-annual Rent";"Annual Rent"},MATCH('1QF4SM'!#REF!,{"Weekly";"Bi-weekly";"Semi-monthly";"Monthly";"Bi-monthly";"Quarterly";"Semi-annually";"Annually"},0))</definedName>
    <definedName name="_rent" localSheetId="16">INDEX({"Weekly Rent";"Bi-weekly Rent";"Semi-monthly Rent";"Monthly Rent";"Bi-monthly Rent";"Quarterly Rent";"Semi-annual Rent";"Annual Rent"},MATCH('1SI9BW'!#REF!,{"Weekly";"Bi-weekly";"Semi-monthly";"Monthly";"Bi-monthly";"Quarterly";"Semi-annually";"Annually"},0))</definedName>
    <definedName name="_rent" localSheetId="18">INDEX({"Weekly Rent";"Bi-weekly Rent";"Semi-monthly Rent";"Monthly Rent";"Bi-monthly Rent";"Quarterly Rent";"Semi-annual Rent";"Annual Rent"},MATCH('1SK3DD'!#REF!,{"Weekly";"Bi-weekly";"Semi-monthly";"Monthly";"Bi-monthly";"Quarterly";"Semi-annually";"Annually"},0))</definedName>
    <definedName name="_rent" localSheetId="7">INDEX({"Weekly Rent";"Bi-weekly Rent";"Semi-monthly Rent";"Monthly Rent";"Bi-monthly Rent";"Quarterly Rent";"Semi-annual Rent";"Annual Rent"},MATCH('1SM3VL'!#REF!,{"Weekly";"Bi-weekly";"Semi-monthly";"Monthly";"Bi-monthly";"Quarterly";"Semi-annually";"Annually"},0))</definedName>
    <definedName name="_rent" localSheetId="19">INDEX({"Weekly Rent";"Bi-weekly Rent";"Semi-monthly Rent";"Monthly Rent";"Bi-monthly Rent";"Quarterly Rent";"Semi-annual Rent";"Annual Rent"},MATCH('1SX5TQ'!#REF!,{"Weekly";"Bi-weekly";"Semi-monthly";"Monthly";"Bi-monthly";"Quarterly";"Semi-annually";"Annually"},0))</definedName>
    <definedName name="_rent" localSheetId="15">INDEX({"Weekly Rent";"Bi-weekly Rent";"Semi-monthly Rent";"Monthly Rent";"Bi-monthly Rent";"Quarterly Rent";"Semi-annual Rent";"Annual Rent"},MATCH('1UK1BK'!#REF!,{"Weekly";"Bi-weekly";"Semi-monthly";"Monthly";"Bi-monthly";"Quarterly";"Semi-annually";"Annually"},0))</definedName>
    <definedName name="_rent" localSheetId="8">INDEX({"Weekly Rent";"Bi-weekly Rent";"Semi-monthly Rent";"Monthly Rent";"Bi-monthly Rent";"Quarterly Rent";"Semi-annual Rent";"Annual Rent"},MATCH('1UL9RY'!#REF!,{"Weekly";"Bi-weekly";"Semi-monthly";"Monthly";"Bi-monthly";"Quarterly";"Semi-annually";"Annually"},0))</definedName>
    <definedName name="_rent" localSheetId="5">INDEX({"Weekly Rent";"Bi-weekly Rent";"Semi-monthly Rent";"Monthly Rent";"Bi-monthly Rent";"Quarterly Rent";"Semi-annual Rent";"Annual Rent"},MATCH('1UT9BR'!#REF!,{"Weekly";"Bi-weekly";"Semi-monthly";"Monthly";"Bi-monthly";"Quarterly";"Semi-annually";"Annually"},0))</definedName>
    <definedName name="_rent" localSheetId="9">INDEX({"Weekly Rent";"Bi-weekly Rent";"Semi-monthly Rent";"Monthly Rent";"Bi-monthly Rent";"Quarterly Rent";"Semi-annual Rent";"Annual Rent"},MATCH('1UV5KI'!#REF!,{"Weekly";"Bi-weekly";"Semi-monthly";"Monthly";"Bi-monthly";"Quarterly";"Semi-annually";"Annually"},0))</definedName>
    <definedName name="_rent" localSheetId="20">INDEX({"Weekly Rent";"Bi-weekly Rent";"Semi-monthly Rent";"Monthly Rent";"Bi-monthly Rent";"Quarterly Rent";"Semi-annual Rent";"Annual Rent"},MATCH('BMM465'!#REF!,{"Weekly";"Bi-weekly";"Semi-monthly";"Monthly";"Bi-monthly";"Quarterly";"Semi-annually";"Annually"},0))</definedName>
    <definedName name="_rent" localSheetId="6">INDEX({"Weekly Rent";"Bi-weekly Rent";"Semi-monthly Rent";"Monthly Rent";"Bi-monthly Rent";"Quarterly Rent";"Semi-annual Rent";"Annual Rent"},MATCH('CEI565'!#REF!,{"Weekly";"Bi-weekly";"Semi-monthly";"Monthly";"Bi-monthly";"Quarterly";"Semi-annually";"Annually"},0))</definedName>
    <definedName name="_rent" localSheetId="25">INDEX({"Weekly Rent";"Bi-weekly Rent";"Semi-monthly Rent";"Monthly Rent";"Bi-monthly Rent";"Quarterly Rent";"Semi-annual Rent";"Annual Rent"},MATCH(Database!#REF!,{"Weekly";"Bi-weekly";"Semi-monthly";"Monthly";"Bi-monthly";"Quarterly";"Semi-annually";"Annually"},0))</definedName>
    <definedName name="_rent" localSheetId="3">INDEX({"Weekly Rent";"Bi-weekly Rent";"Semi-monthly Rent";"Monthly Rent";"Bi-monthly Rent";"Quarterly Rent";"Semi-annual Rent";"Annual Rent"},MATCH('Other Expense'!#REF!,{"Weekly";"Bi-weekly";"Semi-monthly";"Monthly";"Bi-monthly";"Quarterly";"Semi-annually";"Annually"},0))</definedName>
    <definedName name="_rent" localSheetId="23">INDEX({"Weekly Rent";"Bi-weekly Rent";"Semi-monthly Rent";"Monthly Rent";"Bi-monthly Rent";"Quarterly Rent";"Semi-annual Rent";"Annual Rent"},MATCH('Piplu Bhai'!#REF!,{"Weekly";"Bi-weekly";"Semi-monthly";"Monthly";"Bi-monthly";"Quarterly";"Semi-annually";"Annually"},0))</definedName>
    <definedName name="_rent" localSheetId="24">INDEX({"Weekly Rent";"Bi-weekly Rent";"Semi-monthly Rent";"Monthly Rent";"Bi-monthly Rent";"Quarterly Rent";"Semi-annual Rent";"Annual Rent"},MATCH(Riad!#REF!,{"Weekly";"Bi-weekly";"Semi-monthly";"Monthly";"Bi-monthly";"Quarterly";"Semi-annually";"Annually"},0))</definedName>
    <definedName name="_rent" localSheetId="22">INDEX({"Weekly Rent";"Bi-weekly Rent";"Semi-monthly Rent";"Monthly Rent";"Bi-monthly Rent";"Quarterly Rent";"Semi-annual Rent";"Annual Rent"},MATCH('Sabbir Bhai'!#REF!,{"Weekly";"Bi-weekly";"Semi-monthly";"Monthly";"Bi-monthly";"Quarterly";"Semi-annually";"Annually"},0))</definedName>
    <definedName name="_rent" localSheetId="1">INDEX({"Weekly Rent";"Bi-weekly Rent";"Semi-monthly Rent";"Monthly Rent";"Bi-monthly Rent";"Quarterly Rent";"Semi-annual Rent";"Annual Rent"},MATCH('Sold Cars'!#REF!,{"Weekly";"Bi-weekly";"Semi-monthly";"Monthly";"Bi-monthly";"Quarterly";"Semi-annually";"Annually"},0))</definedName>
    <definedName name="_rent" localSheetId="17">INDEX({"Weekly Rent";"Bi-weekly Rent";"Semi-monthly Rent";"Monthly Rent";"Bi-monthly Rent";"Quarterly Rent";"Semi-annual Rent";"Annual Rent"},MATCH(Suzuki!#REF!,{"Weekly";"Bi-weekly";"Semi-monthly";"Monthly";"Bi-monthly";"Quarterly";"Semi-annually";"Annually"},0))</definedName>
    <definedName name="_rent_amount" localSheetId="21">'1CF1ZO'!#REF!</definedName>
    <definedName name="_rent_amount" localSheetId="12">'1CN8DD'!#REF!</definedName>
    <definedName name="_rent_amount" localSheetId="14">'1JI2UE'!#REF!</definedName>
    <definedName name="_rent_amount" localSheetId="13">'1MK4UR'!#REF!</definedName>
    <definedName name="_rent_amount" localSheetId="0">'1MV4GI (2)'!#REF!</definedName>
    <definedName name="_rent_amount" localSheetId="11">'1OZ7GT'!#REF!</definedName>
    <definedName name="_rent_amount" localSheetId="10">'1QF4SM'!#REF!</definedName>
    <definedName name="_rent_amount" localSheetId="16">'1SI9BW'!#REF!</definedName>
    <definedName name="_rent_amount" localSheetId="18">'1SK3DD'!#REF!</definedName>
    <definedName name="_rent_amount" localSheetId="7">'1SM3VL'!#REF!</definedName>
    <definedName name="_rent_amount" localSheetId="19">'1SX5TQ'!#REF!</definedName>
    <definedName name="_rent_amount" localSheetId="15">'1UK1BK'!#REF!</definedName>
    <definedName name="_rent_amount" localSheetId="8">'1UL9RY'!#REF!</definedName>
    <definedName name="_rent_amount" localSheetId="5">'1UT9BR'!#REF!</definedName>
    <definedName name="_rent_amount" localSheetId="9">'1UV5KI'!#REF!</definedName>
    <definedName name="_rent_amount" localSheetId="20">'BMM465'!#REF!</definedName>
    <definedName name="_rent_amount" localSheetId="6">'CEI565'!#REF!</definedName>
    <definedName name="_rent_amount" localSheetId="25">Database!#REF!</definedName>
    <definedName name="_rent_amount" localSheetId="3">'Other Expense'!#REF!</definedName>
    <definedName name="_rent_amount" localSheetId="23">'Piplu Bhai'!#REF!</definedName>
    <definedName name="_rent_amount" localSheetId="24">Riad!#REF!</definedName>
    <definedName name="_rent_amount" localSheetId="22">'Sabbir Bhai'!#REF!</definedName>
    <definedName name="_rent_amount" localSheetId="1">'Sold Cars'!#REF!</definedName>
    <definedName name="_rent_amount" localSheetId="17">Suzuki!#REF!</definedName>
    <definedName name="_term" localSheetId="21">INDEX({52;26;24;12;6;4;2;1},MATCH('1CF1ZO'!#REF!,{"Weekly";"Bi-weekly";"Semi-monthly";"Monthly";"Bi-monthly";"Quarterly";"Semi-annually";"Annually"},0))</definedName>
    <definedName name="_term" localSheetId="12">INDEX({52;26;24;12;6;4;2;1},MATCH('1CN8DD'!#REF!,{"Weekly";"Bi-weekly";"Semi-monthly";"Monthly";"Bi-monthly";"Quarterly";"Semi-annually";"Annually"},0))</definedName>
    <definedName name="_term" localSheetId="14">INDEX({52;26;24;12;6;4;2;1},MATCH('1JI2UE'!#REF!,{"Weekly";"Bi-weekly";"Semi-monthly";"Monthly";"Bi-monthly";"Quarterly";"Semi-annually";"Annually"},0))</definedName>
    <definedName name="_term" localSheetId="13">INDEX({52;26;24;12;6;4;2;1},MATCH('1MK4UR'!#REF!,{"Weekly";"Bi-weekly";"Semi-monthly";"Monthly";"Bi-monthly";"Quarterly";"Semi-annually";"Annually"},0))</definedName>
    <definedName name="_term" localSheetId="0">INDEX({52;26;24;12;6;4;2;1},MATCH('1MV4GI (2)'!#REF!,{"Weekly";"Bi-weekly";"Semi-monthly";"Monthly";"Bi-monthly";"Quarterly";"Semi-annually";"Annually"},0))</definedName>
    <definedName name="_term" localSheetId="11">INDEX({52;26;24;12;6;4;2;1},MATCH('1OZ7GT'!#REF!,{"Weekly";"Bi-weekly";"Semi-monthly";"Monthly";"Bi-monthly";"Quarterly";"Semi-annually";"Annually"},0))</definedName>
    <definedName name="_term" localSheetId="10">INDEX({52;26;24;12;6;4;2;1},MATCH('1QF4SM'!#REF!,{"Weekly";"Bi-weekly";"Semi-monthly";"Monthly";"Bi-monthly";"Quarterly";"Semi-annually";"Annually"},0))</definedName>
    <definedName name="_term" localSheetId="16">INDEX({52;26;24;12;6;4;2;1},MATCH('1SI9BW'!#REF!,{"Weekly";"Bi-weekly";"Semi-monthly";"Monthly";"Bi-monthly";"Quarterly";"Semi-annually";"Annually"},0))</definedName>
    <definedName name="_term" localSheetId="18">INDEX({52;26;24;12;6;4;2;1},MATCH('1SK3DD'!#REF!,{"Weekly";"Bi-weekly";"Semi-monthly";"Monthly";"Bi-monthly";"Quarterly";"Semi-annually";"Annually"},0))</definedName>
    <definedName name="_term" localSheetId="7">INDEX({52;26;24;12;6;4;2;1},MATCH('1SM3VL'!#REF!,{"Weekly";"Bi-weekly";"Semi-monthly";"Monthly";"Bi-monthly";"Quarterly";"Semi-annually";"Annually"},0))</definedName>
    <definedName name="_term" localSheetId="19">INDEX({52;26;24;12;6;4;2;1},MATCH('1SX5TQ'!#REF!,{"Weekly";"Bi-weekly";"Semi-monthly";"Monthly";"Bi-monthly";"Quarterly";"Semi-annually";"Annually"},0))</definedName>
    <definedName name="_term" localSheetId="15">INDEX({52;26;24;12;6;4;2;1},MATCH('1UK1BK'!#REF!,{"Weekly";"Bi-weekly";"Semi-monthly";"Monthly";"Bi-monthly";"Quarterly";"Semi-annually";"Annually"},0))</definedName>
    <definedName name="_term" localSheetId="8">INDEX({52;26;24;12;6;4;2;1},MATCH('1UL9RY'!#REF!,{"Weekly";"Bi-weekly";"Semi-monthly";"Monthly";"Bi-monthly";"Quarterly";"Semi-annually";"Annually"},0))</definedName>
    <definedName name="_term" localSheetId="5">INDEX({52;26;24;12;6;4;2;1},MATCH('1UT9BR'!#REF!,{"Weekly";"Bi-weekly";"Semi-monthly";"Monthly";"Bi-monthly";"Quarterly";"Semi-annually";"Annually"},0))</definedName>
    <definedName name="_term" localSheetId="9">INDEX({52;26;24;12;6;4;2;1},MATCH('1UV5KI'!#REF!,{"Weekly";"Bi-weekly";"Semi-monthly";"Monthly";"Bi-monthly";"Quarterly";"Semi-annually";"Annually"},0))</definedName>
    <definedName name="_term" localSheetId="20">INDEX({52;26;24;12;6;4;2;1},MATCH('BMM465'!#REF!,{"Weekly";"Bi-weekly";"Semi-monthly";"Monthly";"Bi-monthly";"Quarterly";"Semi-annually";"Annually"},0))</definedName>
    <definedName name="_term" localSheetId="6">INDEX({52;26;24;12;6;4;2;1},MATCH('CEI565'!#REF!,{"Weekly";"Bi-weekly";"Semi-monthly";"Monthly";"Bi-monthly";"Quarterly";"Semi-annually";"Annually"},0))</definedName>
    <definedName name="_term" localSheetId="25">INDEX({52;26;24;12;6;4;2;1},MATCH(Database!#REF!,{"Weekly";"Bi-weekly";"Semi-monthly";"Monthly";"Bi-monthly";"Quarterly";"Semi-annually";"Annually"},0))</definedName>
    <definedName name="_term" localSheetId="3">INDEX({52;26;24;12;6;4;2;1},MATCH('Other Expense'!#REF!,{"Weekly";"Bi-weekly";"Semi-monthly";"Monthly";"Bi-monthly";"Quarterly";"Semi-annually";"Annually"},0))</definedName>
    <definedName name="_term" localSheetId="23">INDEX({52;26;24;12;6;4;2;1},MATCH('Piplu Bhai'!#REF!,{"Weekly";"Bi-weekly";"Semi-monthly";"Monthly";"Bi-monthly";"Quarterly";"Semi-annually";"Annually"},0))</definedName>
    <definedName name="_term" localSheetId="24">INDEX({52;26;24;12;6;4;2;1},MATCH(Riad!#REF!,{"Weekly";"Bi-weekly";"Semi-monthly";"Monthly";"Bi-monthly";"Quarterly";"Semi-annually";"Annually"},0))</definedName>
    <definedName name="_term" localSheetId="22">INDEX({52;26;24;12;6;4;2;1},MATCH('Sabbir Bhai'!#REF!,{"Weekly";"Bi-weekly";"Semi-monthly";"Monthly";"Bi-monthly";"Quarterly";"Semi-annually";"Annually"},0))</definedName>
    <definedName name="_term" localSheetId="1">INDEX({52;26;24;12;6;4;2;1},MATCH('Sold Cars'!#REF!,{"Weekly";"Bi-weekly";"Semi-monthly";"Monthly";"Bi-monthly";"Quarterly";"Semi-annually";"Annually"},0))</definedName>
    <definedName name="_term" localSheetId="17">INDEX({52;26;24;12;6;4;2;1},MATCH(Suzuki!#REF!,{"Weekly";"Bi-weekly";"Semi-monthly";"Monthly";"Bi-monthly";"Quarterly";"Semi-annually";"Annually"},0))</definedName>
    <definedName name="_total_numb_of_payments" localSheetId="21">#N/A</definedName>
    <definedName name="_total_numb_of_payments" localSheetId="12">#N/A</definedName>
    <definedName name="_total_numb_of_payments" localSheetId="14">#N/A</definedName>
    <definedName name="_total_numb_of_payments" localSheetId="13">#N/A</definedName>
    <definedName name="_total_numb_of_payments" localSheetId="0">#N/A</definedName>
    <definedName name="_total_numb_of_payments" localSheetId="11">#N/A</definedName>
    <definedName name="_total_numb_of_payments" localSheetId="10">#N/A</definedName>
    <definedName name="_total_numb_of_payments" localSheetId="16">#N/A</definedName>
    <definedName name="_total_numb_of_payments" localSheetId="18">#N/A</definedName>
    <definedName name="_total_numb_of_payments" localSheetId="7">#N/A</definedName>
    <definedName name="_total_numb_of_payments" localSheetId="19">#N/A</definedName>
    <definedName name="_total_numb_of_payments" localSheetId="15">#N/A</definedName>
    <definedName name="_total_numb_of_payments" localSheetId="8">#N/A</definedName>
    <definedName name="_total_numb_of_payments" localSheetId="5">#N/A</definedName>
    <definedName name="_total_numb_of_payments" localSheetId="9">#N/A</definedName>
    <definedName name="_total_numb_of_payments" localSheetId="20">#N/A</definedName>
    <definedName name="_total_numb_of_payments" localSheetId="6">#N/A</definedName>
    <definedName name="_total_numb_of_payments" localSheetId="25">#N/A</definedName>
    <definedName name="_total_numb_of_payments" localSheetId="3">#N/A</definedName>
    <definedName name="_total_numb_of_payments" localSheetId="23">#N/A</definedName>
    <definedName name="_total_numb_of_payments" localSheetId="24">#N/A</definedName>
    <definedName name="_total_numb_of_payments" localSheetId="22">#N/A</definedName>
    <definedName name="_total_numb_of_payments" localSheetId="1">#N/A</definedName>
    <definedName name="_total_numb_of_payments" localSheetId="17">#N/A</definedName>
    <definedName name="Expenses">Summary!$B$18:$B$36</definedName>
    <definedName name="first_payment" localSheetId="21">'1CF1ZO'!#REF!</definedName>
    <definedName name="first_payment" localSheetId="12">'1CN8DD'!#REF!</definedName>
    <definedName name="first_payment" localSheetId="14">'1JI2UE'!#REF!</definedName>
    <definedName name="first_payment" localSheetId="13">'1MK4UR'!#REF!</definedName>
    <definedName name="first_payment" localSheetId="0">'1MV4GI (2)'!#REF!</definedName>
    <definedName name="first_payment" localSheetId="11">'1OZ7GT'!#REF!</definedName>
    <definedName name="first_payment" localSheetId="10">'1QF4SM'!#REF!</definedName>
    <definedName name="first_payment" localSheetId="16">'1SI9BW'!#REF!</definedName>
    <definedName name="first_payment" localSheetId="18">'1SK3DD'!#REF!</definedName>
    <definedName name="first_payment" localSheetId="7">'1SM3VL'!#REF!</definedName>
    <definedName name="first_payment" localSheetId="19">'1SX5TQ'!#REF!</definedName>
    <definedName name="first_payment" localSheetId="15">'1UK1BK'!#REF!</definedName>
    <definedName name="first_payment" localSheetId="8">'1UL9RY'!#REF!</definedName>
    <definedName name="first_payment" localSheetId="5">'1UT9BR'!#REF!</definedName>
    <definedName name="first_payment" localSheetId="9">'1UV5KI'!#REF!</definedName>
    <definedName name="first_payment" localSheetId="20">'BMM465'!#REF!</definedName>
    <definedName name="first_payment" localSheetId="6">'CEI565'!#REF!</definedName>
    <definedName name="first_payment" localSheetId="25">Database!#REF!</definedName>
    <definedName name="first_payment" localSheetId="3">'Other Expense'!#REF!</definedName>
    <definedName name="first_payment" localSheetId="23">'Piplu Bhai'!#REF!</definedName>
    <definedName name="first_payment" localSheetId="24">Riad!#REF!</definedName>
    <definedName name="first_payment" localSheetId="22">'Sabbir Bhai'!#REF!</definedName>
    <definedName name="first_payment" localSheetId="1">'Sold Cars'!#REF!</definedName>
    <definedName name="first_payment" localSheetId="17">Suzuki!#REF!</definedName>
    <definedName name="Income_Category" localSheetId="4">PullDownValues!$B$8:$B$12</definedName>
    <definedName name="Income_Category">Repair!$B$5:$B$7</definedName>
    <definedName name="Loan_Received">PullDownValues!$H$2:$H$3</definedName>
    <definedName name="Other_Income">PullDownValues!$G$2:$G$3</definedName>
    <definedName name="per_year" localSheetId="21">INDEX({0.25;0.5;0.5;1;2;3;6;12},MATCH('1CF1ZO'!#REF!,{"Weekly";"Bi-weekly";"Semi-monthly";"Monthly";"Bi-monthly";"Quarterly";"Semi-annually";"Annually"},0))</definedName>
    <definedName name="per_year" localSheetId="12">INDEX({0.25;0.5;0.5;1;2;3;6;12},MATCH('1CN8DD'!#REF!,{"Weekly";"Bi-weekly";"Semi-monthly";"Monthly";"Bi-monthly";"Quarterly";"Semi-annually";"Annually"},0))</definedName>
    <definedName name="per_year" localSheetId="14">INDEX({0.25;0.5;0.5;1;2;3;6;12},MATCH('1JI2UE'!#REF!,{"Weekly";"Bi-weekly";"Semi-monthly";"Monthly";"Bi-monthly";"Quarterly";"Semi-annually";"Annually"},0))</definedName>
    <definedName name="per_year" localSheetId="13">INDEX({0.25;0.5;0.5;1;2;3;6;12},MATCH('1MK4UR'!#REF!,{"Weekly";"Bi-weekly";"Semi-monthly";"Monthly";"Bi-monthly";"Quarterly";"Semi-annually";"Annually"},0))</definedName>
    <definedName name="per_year" localSheetId="0">INDEX({0.25;0.5;0.5;1;2;3;6;12},MATCH('1MV4GI (2)'!#REF!,{"Weekly";"Bi-weekly";"Semi-monthly";"Monthly";"Bi-monthly";"Quarterly";"Semi-annually";"Annually"},0))</definedName>
    <definedName name="per_year" localSheetId="11">INDEX({0.25;0.5;0.5;1;2;3;6;12},MATCH('1OZ7GT'!#REF!,{"Weekly";"Bi-weekly";"Semi-monthly";"Monthly";"Bi-monthly";"Quarterly";"Semi-annually";"Annually"},0))</definedName>
    <definedName name="per_year" localSheetId="10">INDEX({0.25;0.5;0.5;1;2;3;6;12},MATCH('1QF4SM'!#REF!,{"Weekly";"Bi-weekly";"Semi-monthly";"Monthly";"Bi-monthly";"Quarterly";"Semi-annually";"Annually"},0))</definedName>
    <definedName name="per_year" localSheetId="16">INDEX({0.25;0.5;0.5;1;2;3;6;12},MATCH('1SI9BW'!#REF!,{"Weekly";"Bi-weekly";"Semi-monthly";"Monthly";"Bi-monthly";"Quarterly";"Semi-annually";"Annually"},0))</definedName>
    <definedName name="per_year" localSheetId="18">INDEX({0.25;0.5;0.5;1;2;3;6;12},MATCH('1SK3DD'!#REF!,{"Weekly";"Bi-weekly";"Semi-monthly";"Monthly";"Bi-monthly";"Quarterly";"Semi-annually";"Annually"},0))</definedName>
    <definedName name="per_year" localSheetId="7">INDEX({0.25;0.5;0.5;1;2;3;6;12},MATCH('1SM3VL'!#REF!,{"Weekly";"Bi-weekly";"Semi-monthly";"Monthly";"Bi-monthly";"Quarterly";"Semi-annually";"Annually"},0))</definedName>
    <definedName name="per_year" localSheetId="19">INDEX({0.25;0.5;0.5;1;2;3;6;12},MATCH('1SX5TQ'!#REF!,{"Weekly";"Bi-weekly";"Semi-monthly";"Monthly";"Bi-monthly";"Quarterly";"Semi-annually";"Annually"},0))</definedName>
    <definedName name="per_year" localSheetId="15">INDEX({0.25;0.5;0.5;1;2;3;6;12},MATCH('1UK1BK'!#REF!,{"Weekly";"Bi-weekly";"Semi-monthly";"Monthly";"Bi-monthly";"Quarterly";"Semi-annually";"Annually"},0))</definedName>
    <definedName name="per_year" localSheetId="8">INDEX({0.25;0.5;0.5;1;2;3;6;12},MATCH('1UL9RY'!#REF!,{"Weekly";"Bi-weekly";"Semi-monthly";"Monthly";"Bi-monthly";"Quarterly";"Semi-annually";"Annually"},0))</definedName>
    <definedName name="per_year" localSheetId="5">INDEX({0.25;0.5;0.5;1;2;3;6;12},MATCH('1UT9BR'!#REF!,{"Weekly";"Bi-weekly";"Semi-monthly";"Monthly";"Bi-monthly";"Quarterly";"Semi-annually";"Annually"},0))</definedName>
    <definedName name="per_year" localSheetId="9">INDEX({0.25;0.5;0.5;1;2;3;6;12},MATCH('1UV5KI'!#REF!,{"Weekly";"Bi-weekly";"Semi-monthly";"Monthly";"Bi-monthly";"Quarterly";"Semi-annually";"Annually"},0))</definedName>
    <definedName name="per_year" localSheetId="20">INDEX({0.25;0.5;0.5;1;2;3;6;12},MATCH('BMM465'!#REF!,{"Weekly";"Bi-weekly";"Semi-monthly";"Monthly";"Bi-monthly";"Quarterly";"Semi-annually";"Annually"},0))</definedName>
    <definedName name="per_year" localSheetId="6">INDEX({0.25;0.5;0.5;1;2;3;6;12},MATCH('CEI565'!#REF!,{"Weekly";"Bi-weekly";"Semi-monthly";"Monthly";"Bi-monthly";"Quarterly";"Semi-annually";"Annually"},0))</definedName>
    <definedName name="per_year" localSheetId="25">INDEX({0.25;0.5;0.5;1;2;3;6;12},MATCH(Database!#REF!,{"Weekly";"Bi-weekly";"Semi-monthly";"Monthly";"Bi-monthly";"Quarterly";"Semi-annually";"Annually"},0))</definedName>
    <definedName name="per_year" localSheetId="3">INDEX({0.25;0.5;0.5;1;2;3;6;12},MATCH('Other Expense'!#REF!,{"Weekly";"Bi-weekly";"Semi-monthly";"Monthly";"Bi-monthly";"Quarterly";"Semi-annually";"Annually"},0))</definedName>
    <definedName name="per_year" localSheetId="23">INDEX({0.25;0.5;0.5;1;2;3;6;12},MATCH('Piplu Bhai'!#REF!,{"Weekly";"Bi-weekly";"Semi-monthly";"Monthly";"Bi-monthly";"Quarterly";"Semi-annually";"Annually"},0))</definedName>
    <definedName name="per_year" localSheetId="24">INDEX({0.25;0.5;0.5;1;2;3;6;12},MATCH(Riad!#REF!,{"Weekly";"Bi-weekly";"Semi-monthly";"Monthly";"Bi-monthly";"Quarterly";"Semi-annually";"Annually"},0))</definedName>
    <definedName name="per_year" localSheetId="22">INDEX({0.25;0.5;0.5;1;2;3;6;12},MATCH('Sabbir Bhai'!#REF!,{"Weekly";"Bi-weekly";"Semi-monthly";"Monthly";"Bi-monthly";"Quarterly";"Semi-annually";"Annually"},0))</definedName>
    <definedName name="per_year" localSheetId="1">INDEX({0.25;0.5;0.5;1;2;3;6;12},MATCH('Sold Cars'!#REF!,{"Weekly";"Bi-weekly";"Semi-monthly";"Monthly";"Bi-monthly";"Quarterly";"Semi-annually";"Annually"},0))</definedName>
    <definedName name="per_year" localSheetId="17">INDEX({0.25;0.5;0.5;1;2;3;6;12},MATCH(Suzuki!#REF!,{"Weekly";"Bi-weekly";"Semi-monthly";"Monthly";"Bi-monthly";"Quarterly";"Semi-annually";"Annually"},0))</definedName>
    <definedName name="_xlnm.Print_Area" localSheetId="5">'1UT9BR'!$A$1:$N$21</definedName>
    <definedName name="_xlnm.Print_Area" localSheetId="20">'BMM465'!$A$1:$I$42</definedName>
    <definedName name="Property_Type" localSheetId="4">PullDownValues!$C$15:$C$18</definedName>
    <definedName name="Property_Type">Repair!$C$15:$C$18</definedName>
    <definedName name="Rental_Income" localSheetId="0">PullDownValues!#REF!</definedName>
    <definedName name="Rental_Income" localSheetId="25">PullDownValues!#REF!</definedName>
    <definedName name="Rental_Income" localSheetId="23">PullDownValues!#REF!</definedName>
    <definedName name="Rental_Income" localSheetId="24">PullDownValues!#REF!</definedName>
    <definedName name="Rental_Income" localSheetId="22">PullDownValues!#REF!</definedName>
    <definedName name="Rental_Income" localSheetId="1">PullDownValues!#REF!</definedName>
    <definedName name="Rental_Income">PullDownValues!#REF!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68" i="65" l="1"/>
  <c r="N88" i="62"/>
  <c r="N78" i="58"/>
  <c r="N44" i="59"/>
  <c r="N47" i="61"/>
  <c r="M75" i="57"/>
  <c r="M536" i="80"/>
  <c r="D536" i="80"/>
  <c r="C536" i="80"/>
  <c r="H43" i="70"/>
  <c r="H44" i="70" s="1"/>
  <c r="X248" i="77"/>
  <c r="W98" i="80"/>
  <c r="P91" i="74"/>
  <c r="K48" i="72"/>
  <c r="P48" i="72"/>
  <c r="P90" i="74"/>
  <c r="P52" i="59"/>
  <c r="P78" i="69"/>
  <c r="P48" i="64"/>
  <c r="P75" i="71"/>
  <c r="B49" i="61"/>
  <c r="P67" i="73" l="1"/>
  <c r="G1757" i="55"/>
  <c r="AT40" i="76"/>
  <c r="P51" i="59"/>
  <c r="B51" i="59"/>
  <c r="B52" i="59" s="1"/>
  <c r="P89" i="74"/>
  <c r="P88" i="74"/>
  <c r="P50" i="59"/>
  <c r="BA46" i="1"/>
  <c r="BA45" i="1"/>
  <c r="BA44" i="1"/>
  <c r="BA43" i="1"/>
  <c r="BA42" i="1"/>
  <c r="BA38" i="1"/>
  <c r="BA37" i="1"/>
  <c r="BA36" i="1"/>
  <c r="BA35" i="1"/>
  <c r="BA34" i="1"/>
  <c r="BA33" i="1"/>
  <c r="BA32" i="1"/>
  <c r="BA31" i="1"/>
  <c r="BA30" i="1"/>
  <c r="BA29" i="1"/>
  <c r="BA28" i="1"/>
  <c r="BA27" i="1"/>
  <c r="BA26" i="1"/>
  <c r="BA25" i="1"/>
  <c r="BA24" i="1"/>
  <c r="BA22" i="1"/>
  <c r="BA20" i="1"/>
  <c r="BA19" i="1"/>
  <c r="BA18" i="1"/>
  <c r="BA15" i="1"/>
  <c r="BA14" i="1"/>
  <c r="BA11" i="1"/>
  <c r="BA10" i="1"/>
  <c r="BA4" i="1"/>
  <c r="X245" i="77"/>
  <c r="X246" i="77"/>
  <c r="X247" i="77" s="1"/>
  <c r="X243" i="77"/>
  <c r="X244" i="77"/>
  <c r="P53" i="75"/>
  <c r="P52" i="75"/>
  <c r="B532" i="80"/>
  <c r="B533" i="80" s="1"/>
  <c r="B534" i="80" s="1"/>
  <c r="P72" i="57"/>
  <c r="P51" i="75"/>
  <c r="P49" i="59"/>
  <c r="P48" i="59"/>
  <c r="B73" i="61"/>
  <c r="B74" i="61" s="1"/>
  <c r="B75" i="61" s="1"/>
  <c r="B76" i="61" s="1"/>
  <c r="B77" i="61" s="1"/>
  <c r="B78" i="61" s="1"/>
  <c r="B79" i="61" s="1"/>
  <c r="C155" i="55"/>
  <c r="P87" i="74"/>
  <c r="P74" i="71"/>
  <c r="AG10" i="77"/>
  <c r="AG9" i="77"/>
  <c r="AG8" i="77"/>
  <c r="AG7" i="77"/>
  <c r="P50" i="75"/>
  <c r="P73" i="71"/>
  <c r="P47" i="59"/>
  <c r="P86" i="74"/>
  <c r="P47" i="72"/>
  <c r="P46" i="59"/>
  <c r="P71" i="57"/>
  <c r="P47" i="64"/>
  <c r="P72" i="71"/>
  <c r="B94" i="73"/>
  <c r="B95" i="73" s="1"/>
  <c r="B96" i="73" s="1"/>
  <c r="B97" i="73" s="1"/>
  <c r="B98" i="73" s="1"/>
  <c r="B99" i="73" s="1"/>
  <c r="B100" i="73" s="1"/>
  <c r="B101" i="73" s="1"/>
  <c r="P85" i="74"/>
  <c r="X242" i="77"/>
  <c r="X241" i="77"/>
  <c r="B84" i="74"/>
  <c r="B85" i="74" s="1"/>
  <c r="B86" i="74" s="1"/>
  <c r="B87" i="74" s="1"/>
  <c r="B88" i="74" s="1"/>
  <c r="B89" i="74" s="1"/>
  <c r="B90" i="74" s="1"/>
  <c r="B91" i="74" s="1"/>
  <c r="P45" i="59"/>
  <c r="P49" i="75"/>
  <c r="P48" i="75"/>
  <c r="P47" i="75"/>
  <c r="P46" i="75"/>
  <c r="B110" i="71"/>
  <c r="B111" i="71" s="1"/>
  <c r="B112" i="71" s="1"/>
  <c r="B113" i="71" s="1"/>
  <c r="B114" i="71" s="1"/>
  <c r="B115" i="71" s="1"/>
  <c r="B116" i="71" s="1"/>
  <c r="B117" i="71" s="1"/>
  <c r="B118" i="71" s="1"/>
  <c r="B119" i="71" s="1"/>
  <c r="B120" i="71" s="1"/>
  <c r="B121" i="71" s="1"/>
  <c r="B122" i="71" s="1"/>
  <c r="B123" i="71" s="1"/>
  <c r="B124" i="71" s="1"/>
  <c r="AZ45" i="1"/>
  <c r="AZ44" i="1"/>
  <c r="AZ43" i="1"/>
  <c r="AZ42" i="1"/>
  <c r="AZ38" i="1"/>
  <c r="AZ37" i="1"/>
  <c r="AZ36" i="1"/>
  <c r="AZ35" i="1"/>
  <c r="AZ34" i="1"/>
  <c r="AZ33" i="1"/>
  <c r="AZ32" i="1"/>
  <c r="AZ31" i="1"/>
  <c r="AZ30" i="1"/>
  <c r="AZ29" i="1"/>
  <c r="AZ28" i="1"/>
  <c r="AZ27" i="1"/>
  <c r="AZ26" i="1"/>
  <c r="AZ25" i="1"/>
  <c r="AZ24" i="1"/>
  <c r="AZ22" i="1"/>
  <c r="AZ20" i="1"/>
  <c r="AZ19" i="1"/>
  <c r="AZ18" i="1"/>
  <c r="AZ15" i="1"/>
  <c r="AZ14" i="1"/>
  <c r="AZ11" i="1"/>
  <c r="AZ10" i="1"/>
  <c r="AZ4" i="1"/>
  <c r="H58" i="61"/>
  <c r="H59" i="61" s="1"/>
  <c r="H60" i="61" s="1"/>
  <c r="AU46" i="1" s="1"/>
  <c r="H61" i="61"/>
  <c r="H62" i="61" s="1"/>
  <c r="H63" i="61" s="1"/>
  <c r="H64" i="61" s="1"/>
  <c r="H65" i="61" s="1"/>
  <c r="H66" i="61" s="1"/>
  <c r="H67" i="61" s="1"/>
  <c r="H68" i="61" s="1"/>
  <c r="H69" i="61" s="1"/>
  <c r="H70" i="61" s="1"/>
  <c r="H71" i="61"/>
  <c r="H72" i="61" s="1"/>
  <c r="H73" i="61" s="1"/>
  <c r="H74" i="61" s="1"/>
  <c r="H75" i="61" s="1"/>
  <c r="H76" i="61" s="1"/>
  <c r="H77" i="61" s="1"/>
  <c r="H78" i="61" s="1"/>
  <c r="H79" i="61" s="1"/>
  <c r="H80" i="61" s="1"/>
  <c r="H81" i="61" s="1"/>
  <c r="H82" i="61" s="1"/>
  <c r="H83" i="61" s="1"/>
  <c r="H84" i="61" s="1"/>
  <c r="P66" i="73"/>
  <c r="P65" i="73"/>
  <c r="P64" i="73"/>
  <c r="H92" i="73"/>
  <c r="H93" i="73" s="1"/>
  <c r="H94" i="73" s="1"/>
  <c r="H95" i="73" s="1"/>
  <c r="H96" i="73" s="1"/>
  <c r="H97" i="73" s="1"/>
  <c r="H98" i="73" s="1"/>
  <c r="H99" i="73" s="1"/>
  <c r="H100" i="73" s="1"/>
  <c r="H101" i="73" s="1"/>
  <c r="P63" i="73"/>
  <c r="P44" i="59"/>
  <c r="H82" i="74"/>
  <c r="H83" i="74" s="1"/>
  <c r="H84" i="74" s="1"/>
  <c r="H85" i="74" s="1"/>
  <c r="H86" i="74" s="1"/>
  <c r="H87" i="74" s="1"/>
  <c r="H88" i="74" s="1"/>
  <c r="H89" i="74" s="1"/>
  <c r="H90" i="74" s="1"/>
  <c r="H91" i="74" s="1"/>
  <c r="B104" i="69"/>
  <c r="B105" i="69" s="1"/>
  <c r="B106" i="69" s="1"/>
  <c r="B107" i="69" s="1"/>
  <c r="B108" i="69" s="1"/>
  <c r="B109" i="69" s="1"/>
  <c r="B110" i="69" s="1"/>
  <c r="B111" i="69" s="1"/>
  <c r="B112" i="69" s="1"/>
  <c r="B113" i="69" s="1"/>
  <c r="P47" i="67"/>
  <c r="P43" i="59"/>
  <c r="P84" i="74"/>
  <c r="P42" i="59"/>
  <c r="P41" i="59"/>
  <c r="P45" i="75"/>
  <c r="P46" i="64"/>
  <c r="P44" i="75"/>
  <c r="B129" i="63"/>
  <c r="B130" i="63" s="1"/>
  <c r="B131" i="63" s="1"/>
  <c r="B132" i="63" s="1"/>
  <c r="B133" i="63" s="1"/>
  <c r="B134" i="63" s="1"/>
  <c r="P40" i="59"/>
  <c r="P43" i="75"/>
  <c r="P42" i="75"/>
  <c r="B42" i="75"/>
  <c r="B43" i="75" s="1"/>
  <c r="B44" i="75" s="1"/>
  <c r="B45" i="75" s="1"/>
  <c r="B46" i="75" s="1"/>
  <c r="B47" i="75" s="1"/>
  <c r="B48" i="75" s="1"/>
  <c r="B49" i="75" s="1"/>
  <c r="B50" i="75" s="1"/>
  <c r="B51" i="75" s="1"/>
  <c r="B52" i="75" s="1"/>
  <c r="B53" i="75" s="1"/>
  <c r="P41" i="75"/>
  <c r="P45" i="64"/>
  <c r="P46" i="67"/>
  <c r="P77" i="69"/>
  <c r="B79" i="74"/>
  <c r="B80" i="74" s="1"/>
  <c r="B81" i="74" s="1"/>
  <c r="P44" i="61"/>
  <c r="B38" i="59"/>
  <c r="B39" i="59" s="1"/>
  <c r="B40" i="59" s="1"/>
  <c r="B41" i="59" s="1"/>
  <c r="B42" i="59" s="1"/>
  <c r="B43" i="59" s="1"/>
  <c r="B44" i="59" s="1"/>
  <c r="B45" i="59" s="1"/>
  <c r="B46" i="59" s="1"/>
  <c r="B47" i="59" s="1"/>
  <c r="P39" i="59"/>
  <c r="P43" i="61"/>
  <c r="P71" i="71"/>
  <c r="P62" i="73"/>
  <c r="W228" i="77"/>
  <c r="W229" i="77" s="1"/>
  <c r="W230" i="77" s="1"/>
  <c r="W231" i="77" s="1"/>
  <c r="W232" i="77" s="1"/>
  <c r="W233" i="77" s="1"/>
  <c r="W234" i="77" s="1"/>
  <c r="P40" i="75"/>
  <c r="P46" i="72"/>
  <c r="G1588" i="55"/>
  <c r="G1586" i="55"/>
  <c r="K48" i="57"/>
  <c r="H77" i="74"/>
  <c r="H78" i="74" s="1"/>
  <c r="H79" i="74" s="1"/>
  <c r="H80" i="74" s="1"/>
  <c r="H81" i="74" s="1"/>
  <c r="AF1" i="76"/>
  <c r="B152" i="58"/>
  <c r="B153" i="58" s="1"/>
  <c r="B154" i="58" s="1"/>
  <c r="B155" i="58" s="1"/>
  <c r="P70" i="71"/>
  <c r="B9" i="36"/>
  <c r="B10" i="36" s="1"/>
  <c r="B11" i="36" s="1"/>
  <c r="B12" i="36" s="1"/>
  <c r="B13" i="36" s="1"/>
  <c r="B87" i="72"/>
  <c r="B88" i="72" s="1"/>
  <c r="B89" i="72" s="1"/>
  <c r="B90" i="72" s="1"/>
  <c r="B91" i="72" s="1"/>
  <c r="B92" i="72" s="1"/>
  <c r="B93" i="72" s="1"/>
  <c r="B94" i="72" s="1"/>
  <c r="B95" i="72" s="1"/>
  <c r="B96" i="72" s="1"/>
  <c r="B97" i="72" s="1"/>
  <c r="B98" i="72" s="1"/>
  <c r="B99" i="72" s="1"/>
  <c r="B100" i="72" s="1"/>
  <c r="B101" i="72" s="1"/>
  <c r="B102" i="72" s="1"/>
  <c r="P39" i="75"/>
  <c r="P38" i="75"/>
  <c r="AY45" i="1"/>
  <c r="AY44" i="1"/>
  <c r="AY43" i="1"/>
  <c r="AY42" i="1"/>
  <c r="AY38" i="1"/>
  <c r="AY37" i="1"/>
  <c r="AY36" i="1"/>
  <c r="AY35" i="1"/>
  <c r="AY34" i="1"/>
  <c r="AY33" i="1"/>
  <c r="AY32" i="1"/>
  <c r="AY31" i="1"/>
  <c r="AY30" i="1"/>
  <c r="AY29" i="1"/>
  <c r="AY28" i="1"/>
  <c r="AY27" i="1"/>
  <c r="AY26" i="1"/>
  <c r="AY25" i="1"/>
  <c r="AY24" i="1"/>
  <c r="AY22" i="1"/>
  <c r="AY20" i="1"/>
  <c r="AY19" i="1"/>
  <c r="AY18" i="1"/>
  <c r="AY15" i="1"/>
  <c r="AY14" i="1"/>
  <c r="AY11" i="1"/>
  <c r="AY10" i="1"/>
  <c r="AY4" i="1"/>
  <c r="AX45" i="1"/>
  <c r="AX44" i="1"/>
  <c r="AX43" i="1"/>
  <c r="AX42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2" i="1"/>
  <c r="AX20" i="1"/>
  <c r="AX19" i="1"/>
  <c r="AX18" i="1"/>
  <c r="AX15" i="1"/>
  <c r="AX14" i="1"/>
  <c r="AX11" i="1"/>
  <c r="AX10" i="1"/>
  <c r="AX4" i="1"/>
  <c r="P37" i="75"/>
  <c r="B37" i="75"/>
  <c r="P36" i="75"/>
  <c r="P35" i="75"/>
  <c r="H150" i="58"/>
  <c r="H151" i="58" s="1"/>
  <c r="H152" i="58" s="1"/>
  <c r="H153" i="58" s="1"/>
  <c r="H154" i="58" s="1"/>
  <c r="H155" i="58" s="1"/>
  <c r="F22" i="76"/>
  <c r="H85" i="72"/>
  <c r="H86" i="72" s="1"/>
  <c r="H87" i="72" s="1"/>
  <c r="H88" i="72" s="1"/>
  <c r="H89" i="72" s="1"/>
  <c r="H90" i="72" s="1"/>
  <c r="H91" i="72" s="1"/>
  <c r="H92" i="72" s="1"/>
  <c r="H93" i="72" s="1"/>
  <c r="H94" i="72" s="1"/>
  <c r="H95" i="72" s="1"/>
  <c r="H96" i="72" s="1"/>
  <c r="H97" i="72" s="1"/>
  <c r="H98" i="72" s="1"/>
  <c r="H99" i="72" s="1"/>
  <c r="H100" i="72" s="1"/>
  <c r="H101" i="72" s="1"/>
  <c r="H102" i="72" s="1"/>
  <c r="H107" i="71"/>
  <c r="H108" i="71" s="1"/>
  <c r="H109" i="71" s="1"/>
  <c r="H110" i="71" s="1"/>
  <c r="H111" i="71" s="1"/>
  <c r="H112" i="71" s="1"/>
  <c r="H113" i="71" s="1"/>
  <c r="H114" i="71" s="1"/>
  <c r="H115" i="71" s="1"/>
  <c r="H116" i="71" s="1"/>
  <c r="H117" i="71" s="1"/>
  <c r="H118" i="71" s="1"/>
  <c r="H119" i="71" s="1"/>
  <c r="H120" i="71" s="1"/>
  <c r="H121" i="71" s="1"/>
  <c r="H122" i="71" s="1"/>
  <c r="H123" i="71" s="1"/>
  <c r="H124" i="71" s="1"/>
  <c r="P17" i="63"/>
  <c r="P42" i="61"/>
  <c r="P69" i="71"/>
  <c r="P68" i="71"/>
  <c r="P67" i="71"/>
  <c r="P44" i="64"/>
  <c r="P45" i="67"/>
  <c r="C153" i="55"/>
  <c r="AM1" i="76"/>
  <c r="AT1" i="76"/>
  <c r="AF71" i="76"/>
  <c r="A84" i="73"/>
  <c r="A85" i="73" s="1"/>
  <c r="A86" i="73" s="1"/>
  <c r="A87" i="73" s="1"/>
  <c r="A88" i="73" s="1"/>
  <c r="A89" i="73" s="1"/>
  <c r="A90" i="73" s="1"/>
  <c r="A122" i="63"/>
  <c r="A123" i="63" s="1"/>
  <c r="A124" i="63" s="1"/>
  <c r="A125" i="63" s="1"/>
  <c r="A126" i="63" s="1"/>
  <c r="R74" i="80"/>
  <c r="R75" i="80"/>
  <c r="R76" i="80"/>
  <c r="R77" i="80"/>
  <c r="R78" i="80"/>
  <c r="R79" i="80"/>
  <c r="R80" i="80"/>
  <c r="R81" i="80"/>
  <c r="R82" i="80"/>
  <c r="R83" i="80"/>
  <c r="R84" i="80"/>
  <c r="R85" i="80"/>
  <c r="R86" i="80"/>
  <c r="R87" i="80"/>
  <c r="R88" i="80"/>
  <c r="R59" i="80"/>
  <c r="R60" i="80"/>
  <c r="R61" i="80"/>
  <c r="R62" i="80"/>
  <c r="R63" i="80"/>
  <c r="R64" i="80"/>
  <c r="R65" i="80"/>
  <c r="R66" i="80"/>
  <c r="R67" i="80"/>
  <c r="R68" i="80"/>
  <c r="R69" i="80"/>
  <c r="R70" i="80"/>
  <c r="R71" i="80"/>
  <c r="R72" i="80"/>
  <c r="R73" i="80"/>
  <c r="L406" i="80"/>
  <c r="B526" i="80"/>
  <c r="B527" i="80" s="1"/>
  <c r="B528" i="80" s="1"/>
  <c r="B529" i="80" s="1"/>
  <c r="B530" i="80" s="1"/>
  <c r="H524" i="80"/>
  <c r="H525" i="80" s="1"/>
  <c r="H526" i="80" s="1"/>
  <c r="H527" i="80" s="1"/>
  <c r="H528" i="80" s="1"/>
  <c r="H529" i="80" s="1"/>
  <c r="H530" i="80" s="1"/>
  <c r="H531" i="80" s="1"/>
  <c r="H532" i="80" s="1"/>
  <c r="H533" i="80" s="1"/>
  <c r="H534" i="80" s="1"/>
  <c r="B523" i="80"/>
  <c r="H521" i="80"/>
  <c r="H522" i="80" s="1"/>
  <c r="H523" i="80" s="1"/>
  <c r="B501" i="80"/>
  <c r="B502" i="80" s="1"/>
  <c r="B503" i="80" s="1"/>
  <c r="B504" i="80" s="1"/>
  <c r="B505" i="80" s="1"/>
  <c r="B506" i="80" s="1"/>
  <c r="B507" i="80" s="1"/>
  <c r="B508" i="80" s="1"/>
  <c r="B509" i="80" s="1"/>
  <c r="B510" i="80" s="1"/>
  <c r="B511" i="80" s="1"/>
  <c r="B512" i="80" s="1"/>
  <c r="B513" i="80" s="1"/>
  <c r="B514" i="80" s="1"/>
  <c r="B515" i="80" s="1"/>
  <c r="B516" i="80" s="1"/>
  <c r="B517" i="80" s="1"/>
  <c r="B518" i="80" s="1"/>
  <c r="B519" i="80" s="1"/>
  <c r="B520" i="80" s="1"/>
  <c r="H500" i="80"/>
  <c r="H501" i="80" s="1"/>
  <c r="H502" i="80" s="1"/>
  <c r="H503" i="80" s="1"/>
  <c r="H504" i="80" s="1"/>
  <c r="H505" i="80" s="1"/>
  <c r="H506" i="80" s="1"/>
  <c r="H507" i="80" s="1"/>
  <c r="H508" i="80" s="1"/>
  <c r="H509" i="80" s="1"/>
  <c r="H510" i="80" s="1"/>
  <c r="H511" i="80" s="1"/>
  <c r="H512" i="80" s="1"/>
  <c r="H513" i="80" s="1"/>
  <c r="H514" i="80" s="1"/>
  <c r="H515" i="80" s="1"/>
  <c r="H516" i="80" s="1"/>
  <c r="H517" i="80" s="1"/>
  <c r="H518" i="80" s="1"/>
  <c r="H519" i="80" s="1"/>
  <c r="H520" i="80" s="1"/>
  <c r="B499" i="80"/>
  <c r="H498" i="80"/>
  <c r="H499" i="80" s="1"/>
  <c r="B493" i="80"/>
  <c r="B494" i="80" s="1"/>
  <c r="B495" i="80" s="1"/>
  <c r="B496" i="80" s="1"/>
  <c r="B497" i="80" s="1"/>
  <c r="H492" i="80"/>
  <c r="H493" i="80" s="1"/>
  <c r="H494" i="80" s="1"/>
  <c r="H495" i="80" s="1"/>
  <c r="H496" i="80" s="1"/>
  <c r="H497" i="80" s="1"/>
  <c r="B486" i="80"/>
  <c r="B487" i="80" s="1"/>
  <c r="B488" i="80" s="1"/>
  <c r="B489" i="80" s="1"/>
  <c r="B490" i="80" s="1"/>
  <c r="B491" i="80" s="1"/>
  <c r="H484" i="80"/>
  <c r="H485" i="80" s="1"/>
  <c r="H486" i="80" s="1"/>
  <c r="H487" i="80" s="1"/>
  <c r="H488" i="80" s="1"/>
  <c r="H489" i="80" s="1"/>
  <c r="H490" i="80" s="1"/>
  <c r="H491" i="80" s="1"/>
  <c r="D474" i="80"/>
  <c r="B472" i="80"/>
  <c r="B473" i="80" s="1"/>
  <c r="B474" i="80" s="1"/>
  <c r="B475" i="80" s="1"/>
  <c r="B476" i="80" s="1"/>
  <c r="B477" i="80" s="1"/>
  <c r="B478" i="80" s="1"/>
  <c r="B479" i="80" s="1"/>
  <c r="B480" i="80" s="1"/>
  <c r="B481" i="80" s="1"/>
  <c r="B482" i="80" s="1"/>
  <c r="B483" i="80" s="1"/>
  <c r="H470" i="80"/>
  <c r="H471" i="80" s="1"/>
  <c r="H472" i="80" s="1"/>
  <c r="H473" i="80" s="1"/>
  <c r="H467" i="80"/>
  <c r="H468" i="80" s="1"/>
  <c r="H469" i="80" s="1"/>
  <c r="H439" i="80"/>
  <c r="H440" i="80" s="1"/>
  <c r="H441" i="80" s="1"/>
  <c r="H442" i="80" s="1"/>
  <c r="H443" i="80" s="1"/>
  <c r="H444" i="80" s="1"/>
  <c r="H445" i="80" s="1"/>
  <c r="H446" i="80" s="1"/>
  <c r="H447" i="80" s="1"/>
  <c r="H448" i="80" s="1"/>
  <c r="H449" i="80" s="1"/>
  <c r="H450" i="80" s="1"/>
  <c r="H451" i="80" s="1"/>
  <c r="H452" i="80" s="1"/>
  <c r="H453" i="80" s="1"/>
  <c r="H454" i="80" s="1"/>
  <c r="H455" i="80" s="1"/>
  <c r="H456" i="80" s="1"/>
  <c r="H457" i="80" s="1"/>
  <c r="H458" i="80" s="1"/>
  <c r="H459" i="80" s="1"/>
  <c r="H460" i="80" s="1"/>
  <c r="H461" i="80" s="1"/>
  <c r="H462" i="80" s="1"/>
  <c r="H463" i="80" s="1"/>
  <c r="H464" i="80" s="1"/>
  <c r="H465" i="80" s="1"/>
  <c r="H466" i="80" s="1"/>
  <c r="H436" i="80"/>
  <c r="H437" i="80" s="1"/>
  <c r="H438" i="80" s="1"/>
  <c r="H434" i="80"/>
  <c r="H435" i="80" s="1"/>
  <c r="H428" i="80"/>
  <c r="H429" i="80" s="1"/>
  <c r="H430" i="80" s="1"/>
  <c r="H431" i="80" s="1"/>
  <c r="H432" i="80" s="1"/>
  <c r="H433" i="80" s="1"/>
  <c r="D427" i="80"/>
  <c r="P41" i="61"/>
  <c r="B63" i="61"/>
  <c r="B64" i="61" s="1"/>
  <c r="B65" i="61" s="1"/>
  <c r="B66" i="61" s="1"/>
  <c r="B67" i="61" s="1"/>
  <c r="B68" i="61" s="1"/>
  <c r="B69" i="61" s="1"/>
  <c r="B70" i="61" s="1"/>
  <c r="B65" i="57"/>
  <c r="B66" i="57" s="1"/>
  <c r="B67" i="57" s="1"/>
  <c r="H63" i="57"/>
  <c r="H64" i="57" s="1"/>
  <c r="H65" i="57" s="1"/>
  <c r="H66" i="57" s="1"/>
  <c r="H67" i="57" s="1"/>
  <c r="Z18" i="80"/>
  <c r="H7" i="36"/>
  <c r="H8" i="36" s="1"/>
  <c r="H9" i="36" s="1"/>
  <c r="H10" i="36" s="1"/>
  <c r="H11" i="36" s="1"/>
  <c r="H12" i="36" s="1"/>
  <c r="H13" i="36" s="1"/>
  <c r="H14" i="36" s="1"/>
  <c r="H7" i="64"/>
  <c r="R54" i="80"/>
  <c r="R55" i="80"/>
  <c r="R56" i="80"/>
  <c r="R57" i="80"/>
  <c r="R58" i="80"/>
  <c r="B381" i="80"/>
  <c r="B382" i="80" s="1"/>
  <c r="B383" i="80" s="1"/>
  <c r="B384" i="80" s="1"/>
  <c r="B385" i="80" s="1"/>
  <c r="B386" i="80" s="1"/>
  <c r="B387" i="80" s="1"/>
  <c r="B388" i="80" s="1"/>
  <c r="B389" i="80" s="1"/>
  <c r="B390" i="80" s="1"/>
  <c r="B391" i="80" s="1"/>
  <c r="B392" i="80" s="1"/>
  <c r="B393" i="80" s="1"/>
  <c r="B394" i="80" s="1"/>
  <c r="B395" i="80" s="1"/>
  <c r="B396" i="80" s="1"/>
  <c r="B397" i="80" s="1"/>
  <c r="B398" i="80" s="1"/>
  <c r="B399" i="80" s="1"/>
  <c r="B400" i="80" s="1"/>
  <c r="B401" i="80" s="1"/>
  <c r="B402" i="80" s="1"/>
  <c r="B403" i="80" s="1"/>
  <c r="B404" i="80" s="1"/>
  <c r="B405" i="80" s="1"/>
  <c r="B406" i="80" s="1"/>
  <c r="B407" i="80" s="1"/>
  <c r="B408" i="80" s="1"/>
  <c r="B409" i="80" s="1"/>
  <c r="B410" i="80" s="1"/>
  <c r="B411" i="80" s="1"/>
  <c r="B412" i="80" s="1"/>
  <c r="B413" i="80" s="1"/>
  <c r="B414" i="80" s="1"/>
  <c r="B415" i="80" s="1"/>
  <c r="B416" i="80" s="1"/>
  <c r="B417" i="80" s="1"/>
  <c r="B418" i="80" s="1"/>
  <c r="B419" i="80" s="1"/>
  <c r="B420" i="80" s="1"/>
  <c r="B421" i="80" s="1"/>
  <c r="H380" i="80"/>
  <c r="H381" i="80" s="1"/>
  <c r="H382" i="80" s="1"/>
  <c r="H383" i="80" s="1"/>
  <c r="H384" i="80" s="1"/>
  <c r="H385" i="80" s="1"/>
  <c r="B377" i="80"/>
  <c r="B378" i="80" s="1"/>
  <c r="B379" i="80" s="1"/>
  <c r="H374" i="80"/>
  <c r="H375" i="80" s="1"/>
  <c r="H376" i="80" s="1"/>
  <c r="H377" i="80" s="1"/>
  <c r="H378" i="80" s="1"/>
  <c r="H379" i="80" s="1"/>
  <c r="A129" i="65"/>
  <c r="A130" i="65" s="1"/>
  <c r="A131" i="65" s="1"/>
  <c r="A132" i="65" s="1"/>
  <c r="A133" i="65" s="1"/>
  <c r="A134" i="65" s="1"/>
  <c r="A135" i="65" s="1"/>
  <c r="A136" i="65" s="1"/>
  <c r="A137" i="65" s="1"/>
  <c r="A138" i="65" s="1"/>
  <c r="A139" i="65" s="1"/>
  <c r="A140" i="65" s="1"/>
  <c r="A141" i="65" s="1"/>
  <c r="A142" i="65" s="1"/>
  <c r="A143" i="65" s="1"/>
  <c r="A144" i="65" s="1"/>
  <c r="A145" i="65" s="1"/>
  <c r="A146" i="65" s="1"/>
  <c r="A147" i="65" s="1"/>
  <c r="A148" i="65" s="1"/>
  <c r="A149" i="65" s="1"/>
  <c r="A150" i="65" s="1"/>
  <c r="A151" i="65" s="1"/>
  <c r="A152" i="65" s="1"/>
  <c r="A153" i="65" s="1"/>
  <c r="A154" i="65" s="1"/>
  <c r="A155" i="65" s="1"/>
  <c r="A156" i="65" s="1"/>
  <c r="B129" i="65"/>
  <c r="B130" i="65" s="1"/>
  <c r="B131" i="65" s="1"/>
  <c r="B132" i="65" s="1"/>
  <c r="B133" i="65" s="1"/>
  <c r="B134" i="65" s="1"/>
  <c r="B135" i="65" s="1"/>
  <c r="B136" i="65" s="1"/>
  <c r="B137" i="65" s="1"/>
  <c r="B138" i="65" s="1"/>
  <c r="B139" i="65" s="1"/>
  <c r="B140" i="65" s="1"/>
  <c r="B141" i="65" s="1"/>
  <c r="B142" i="65" s="1"/>
  <c r="B143" i="65" s="1"/>
  <c r="B144" i="65" s="1"/>
  <c r="B145" i="65" s="1"/>
  <c r="B146" i="65" s="1"/>
  <c r="B147" i="65" s="1"/>
  <c r="B148" i="65" s="1"/>
  <c r="B149" i="65" s="1"/>
  <c r="B150" i="65" s="1"/>
  <c r="B151" i="65" s="1"/>
  <c r="B152" i="65" s="1"/>
  <c r="B153" i="65" s="1"/>
  <c r="B154" i="65" s="1"/>
  <c r="B155" i="65" s="1"/>
  <c r="B156" i="65" s="1"/>
  <c r="B157" i="65" s="1"/>
  <c r="B158" i="65" s="1"/>
  <c r="B159" i="65" s="1"/>
  <c r="B160" i="65" s="1"/>
  <c r="B161" i="65" s="1"/>
  <c r="B162" i="65" s="1"/>
  <c r="B163" i="65" s="1"/>
  <c r="B164" i="65" s="1"/>
  <c r="B165" i="65" s="1"/>
  <c r="B166" i="65" s="1"/>
  <c r="B167" i="65" s="1"/>
  <c r="G1445" i="55"/>
  <c r="P66" i="71"/>
  <c r="P65" i="71"/>
  <c r="P40" i="61"/>
  <c r="P70" i="57"/>
  <c r="P43" i="64"/>
  <c r="P61" i="73"/>
  <c r="P60" i="73"/>
  <c r="AW45" i="1"/>
  <c r="AW44" i="1"/>
  <c r="AW43" i="1"/>
  <c r="AW42" i="1"/>
  <c r="AW38" i="1"/>
  <c r="AW37" i="1"/>
  <c r="AW36" i="1"/>
  <c r="AW35" i="1"/>
  <c r="AW34" i="1"/>
  <c r="AW33" i="1"/>
  <c r="AW32" i="1"/>
  <c r="AW31" i="1"/>
  <c r="AW30" i="1"/>
  <c r="AW29" i="1"/>
  <c r="AW28" i="1"/>
  <c r="AW27" i="1"/>
  <c r="AW26" i="1"/>
  <c r="AW25" i="1"/>
  <c r="AW24" i="1"/>
  <c r="AW22" i="1"/>
  <c r="AW20" i="1"/>
  <c r="AW19" i="1"/>
  <c r="AW18" i="1"/>
  <c r="AW15" i="1"/>
  <c r="AW14" i="1"/>
  <c r="AW11" i="1"/>
  <c r="AW10" i="1"/>
  <c r="AW4" i="1"/>
  <c r="P59" i="73"/>
  <c r="H54" i="57"/>
  <c r="H55" i="57" s="1"/>
  <c r="H56" i="57" s="1"/>
  <c r="H57" i="57" s="1"/>
  <c r="H58" i="57" s="1"/>
  <c r="H59" i="57" s="1"/>
  <c r="H60" i="57" s="1"/>
  <c r="H61" i="57" s="1"/>
  <c r="H62" i="57" s="1"/>
  <c r="H68" i="57" s="1"/>
  <c r="H69" i="57" s="1"/>
  <c r="P18" i="65"/>
  <c r="P69" i="57"/>
  <c r="P42" i="64"/>
  <c r="AV46" i="1"/>
  <c r="AV45" i="1"/>
  <c r="AV44" i="1"/>
  <c r="AV43" i="1"/>
  <c r="AV42" i="1"/>
  <c r="AV38" i="1"/>
  <c r="AV37" i="1"/>
  <c r="AV36" i="1"/>
  <c r="AV35" i="1"/>
  <c r="AV34" i="1"/>
  <c r="AV33" i="1"/>
  <c r="AV32" i="1"/>
  <c r="AV31" i="1"/>
  <c r="AV30" i="1"/>
  <c r="AV29" i="1"/>
  <c r="AV28" i="1"/>
  <c r="AV27" i="1"/>
  <c r="AV26" i="1"/>
  <c r="AV25" i="1"/>
  <c r="AV24" i="1"/>
  <c r="AV22" i="1"/>
  <c r="AV20" i="1"/>
  <c r="AV19" i="1"/>
  <c r="AV18" i="1"/>
  <c r="AV15" i="1"/>
  <c r="AV14" i="1"/>
  <c r="AV11" i="1"/>
  <c r="AV10" i="1"/>
  <c r="AV4" i="1"/>
  <c r="P39" i="61"/>
  <c r="P38" i="61"/>
  <c r="P37" i="61"/>
  <c r="B60" i="61"/>
  <c r="P45" i="72"/>
  <c r="P68" i="57"/>
  <c r="R24" i="76"/>
  <c r="B82" i="73"/>
  <c r="B83" i="73" s="1"/>
  <c r="B84" i="73" s="1"/>
  <c r="B85" i="73" s="1"/>
  <c r="B86" i="73" s="1"/>
  <c r="B87" i="73" s="1"/>
  <c r="B88" i="73" s="1"/>
  <c r="B89" i="73" s="1"/>
  <c r="B90" i="73" s="1"/>
  <c r="B91" i="73" s="1"/>
  <c r="P64" i="71"/>
  <c r="P44" i="72"/>
  <c r="P36" i="61"/>
  <c r="P35" i="61"/>
  <c r="P41" i="64"/>
  <c r="P34" i="61"/>
  <c r="AI28" i="77"/>
  <c r="AI29" i="77" s="1"/>
  <c r="AI30" i="77" s="1"/>
  <c r="AI31" i="77" s="1"/>
  <c r="AI32" i="77" s="1"/>
  <c r="AI33" i="77" s="1"/>
  <c r="AI34" i="77" s="1"/>
  <c r="AI35" i="77" s="1"/>
  <c r="AI36" i="77" s="1"/>
  <c r="AI37" i="77" s="1"/>
  <c r="AI39" i="77" s="1"/>
  <c r="AI40" i="77" s="1"/>
  <c r="AI41" i="77" s="1"/>
  <c r="AI42" i="77" s="1"/>
  <c r="AI43" i="77" s="1"/>
  <c r="AI45" i="77" s="1"/>
  <c r="AI46" i="77" s="1"/>
  <c r="AI47" i="77" s="1"/>
  <c r="AI49" i="77" s="1"/>
  <c r="AI50" i="77" s="1"/>
  <c r="AI51" i="77" s="1"/>
  <c r="AI52" i="77" s="1"/>
  <c r="P83" i="74"/>
  <c r="P38" i="59"/>
  <c r="P33" i="61"/>
  <c r="P40" i="64"/>
  <c r="P67" i="57"/>
  <c r="P58" i="73"/>
  <c r="P57" i="73"/>
  <c r="H80" i="73"/>
  <c r="H81" i="73" s="1"/>
  <c r="H82" i="73" s="1"/>
  <c r="H83" i="73" s="1"/>
  <c r="H84" i="73" s="1"/>
  <c r="H85" i="73" s="1"/>
  <c r="H86" i="73" s="1"/>
  <c r="H87" i="73" s="1"/>
  <c r="H88" i="73" s="1"/>
  <c r="H89" i="73" s="1"/>
  <c r="H90" i="73" s="1"/>
  <c r="H91" i="73" s="1"/>
  <c r="P43" i="72"/>
  <c r="P42" i="72"/>
  <c r="P34" i="75"/>
  <c r="P33" i="75"/>
  <c r="AU45" i="1"/>
  <c r="AU44" i="1"/>
  <c r="AU43" i="1"/>
  <c r="AU42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2" i="1"/>
  <c r="AU20" i="1"/>
  <c r="AU19" i="1"/>
  <c r="AU18" i="1"/>
  <c r="AU15" i="1"/>
  <c r="AU14" i="1"/>
  <c r="AU11" i="1"/>
  <c r="AU10" i="1"/>
  <c r="AU4" i="1"/>
  <c r="P39" i="64"/>
  <c r="P41" i="72"/>
  <c r="P66" i="57"/>
  <c r="P65" i="57"/>
  <c r="P82" i="74"/>
  <c r="P64" i="57"/>
  <c r="P32" i="61"/>
  <c r="P81" i="74"/>
  <c r="P40" i="72"/>
  <c r="P38" i="64"/>
  <c r="P37" i="64"/>
  <c r="H102" i="69"/>
  <c r="H103" i="69" s="1"/>
  <c r="H104" i="69" s="1"/>
  <c r="H105" i="69" s="1"/>
  <c r="H106" i="69" s="1"/>
  <c r="H107" i="69" s="1"/>
  <c r="H108" i="69" s="1"/>
  <c r="H109" i="69" s="1"/>
  <c r="H110" i="69" s="1"/>
  <c r="H111" i="69" s="1"/>
  <c r="H112" i="69" s="1"/>
  <c r="H113" i="69" s="1"/>
  <c r="P36" i="64"/>
  <c r="P35" i="64"/>
  <c r="P63" i="71"/>
  <c r="P63" i="57"/>
  <c r="P31" i="61"/>
  <c r="AT45" i="1"/>
  <c r="AT44" i="1"/>
  <c r="AT43" i="1"/>
  <c r="AT42" i="1"/>
  <c r="AT38" i="1"/>
  <c r="AT37" i="1"/>
  <c r="AT36" i="1"/>
  <c r="AT35" i="1"/>
  <c r="AT34" i="1"/>
  <c r="AT33" i="1"/>
  <c r="AT32" i="1"/>
  <c r="AT31" i="1"/>
  <c r="AT30" i="1"/>
  <c r="AT29" i="1"/>
  <c r="AT28" i="1"/>
  <c r="AT27" i="1"/>
  <c r="AT26" i="1"/>
  <c r="AT25" i="1"/>
  <c r="AT24" i="1"/>
  <c r="AT22" i="1"/>
  <c r="AT20" i="1"/>
  <c r="AT19" i="1"/>
  <c r="AT18" i="1"/>
  <c r="AT15" i="1"/>
  <c r="AT14" i="1"/>
  <c r="AT11" i="1"/>
  <c r="AT10" i="1"/>
  <c r="AT4" i="1"/>
  <c r="H99" i="69"/>
  <c r="H100" i="69" s="1"/>
  <c r="H101" i="69" s="1"/>
  <c r="P34" i="64"/>
  <c r="P33" i="64"/>
  <c r="P32" i="64"/>
  <c r="P31" i="64"/>
  <c r="B55" i="57"/>
  <c r="B56" i="57" s="1"/>
  <c r="B57" i="57" s="1"/>
  <c r="B58" i="57" s="1"/>
  <c r="B59" i="57" s="1"/>
  <c r="B60" i="57" s="1"/>
  <c r="B61" i="57" s="1"/>
  <c r="B62" i="57" s="1"/>
  <c r="P37" i="59"/>
  <c r="P30" i="61"/>
  <c r="P60" i="36"/>
  <c r="P56" i="73"/>
  <c r="P55" i="73"/>
  <c r="P80" i="74"/>
  <c r="P62" i="71"/>
  <c r="P62" i="57"/>
  <c r="P39" i="72"/>
  <c r="B79" i="73"/>
  <c r="P61" i="57"/>
  <c r="H77" i="73"/>
  <c r="H78" i="73" s="1"/>
  <c r="H79" i="73" s="1"/>
  <c r="P59" i="36"/>
  <c r="P54" i="73"/>
  <c r="P29" i="61"/>
  <c r="P30" i="64"/>
  <c r="P28" i="61"/>
  <c r="B106" i="63"/>
  <c r="B107" i="63" s="1"/>
  <c r="B108" i="63" s="1"/>
  <c r="B109" i="63" s="1"/>
  <c r="B110" i="63" s="1"/>
  <c r="B111" i="63" s="1"/>
  <c r="B112" i="63" s="1"/>
  <c r="B113" i="63" s="1"/>
  <c r="B114" i="63" s="1"/>
  <c r="B115" i="63" s="1"/>
  <c r="B116" i="63" s="1"/>
  <c r="B117" i="63" s="1"/>
  <c r="B118" i="63" s="1"/>
  <c r="B119" i="63" s="1"/>
  <c r="B120" i="63" s="1"/>
  <c r="B121" i="63" s="1"/>
  <c r="B122" i="63" s="1"/>
  <c r="B123" i="63" s="1"/>
  <c r="B124" i="63" s="1"/>
  <c r="B125" i="63" s="1"/>
  <c r="B126" i="63" s="1"/>
  <c r="P60" i="57"/>
  <c r="P29" i="64"/>
  <c r="P58" i="36"/>
  <c r="P27" i="61"/>
  <c r="AS45" i="1"/>
  <c r="AS44" i="1"/>
  <c r="AS43" i="1"/>
  <c r="AS42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2" i="1"/>
  <c r="AS20" i="1"/>
  <c r="AS19" i="1"/>
  <c r="AS18" i="1"/>
  <c r="AS15" i="1"/>
  <c r="AS14" i="1"/>
  <c r="AS11" i="1"/>
  <c r="AS10" i="1"/>
  <c r="AS4" i="1"/>
  <c r="P61" i="71"/>
  <c r="H107" i="63"/>
  <c r="H108" i="63" s="1"/>
  <c r="H109" i="63" s="1"/>
  <c r="H110" i="63" s="1"/>
  <c r="H111" i="63" s="1"/>
  <c r="H112" i="63" s="1"/>
  <c r="H113" i="63" s="1"/>
  <c r="H114" i="63" s="1"/>
  <c r="H115" i="63" s="1"/>
  <c r="H116" i="63" s="1"/>
  <c r="H117" i="63" s="1"/>
  <c r="H118" i="63" s="1"/>
  <c r="H119" i="63" s="1"/>
  <c r="H120" i="63" s="1"/>
  <c r="H121" i="63" s="1"/>
  <c r="H122" i="63" s="1"/>
  <c r="H123" i="63" s="1"/>
  <c r="H124" i="63" s="1"/>
  <c r="H125" i="63" s="1"/>
  <c r="H126" i="63" s="1"/>
  <c r="H127" i="63" s="1"/>
  <c r="H128" i="63" s="1"/>
  <c r="H129" i="63" s="1"/>
  <c r="H130" i="63" s="1"/>
  <c r="H131" i="63" s="1"/>
  <c r="H132" i="63" s="1"/>
  <c r="H133" i="63" s="1"/>
  <c r="H134" i="63" s="1"/>
  <c r="W26" i="80"/>
  <c r="H47" i="61"/>
  <c r="H48" i="61" s="1"/>
  <c r="H49" i="61" s="1"/>
  <c r="H50" i="61" s="1"/>
  <c r="H51" i="61" s="1"/>
  <c r="H52" i="61" s="1"/>
  <c r="H53" i="61" s="1"/>
  <c r="H54" i="61" s="1"/>
  <c r="H55" i="61" s="1"/>
  <c r="H56" i="61" s="1"/>
  <c r="H57" i="61" s="1"/>
  <c r="P26" i="61"/>
  <c r="P60" i="71"/>
  <c r="P28" i="64"/>
  <c r="P59" i="57"/>
  <c r="P44" i="67"/>
  <c r="H126" i="62"/>
  <c r="H127" i="62" s="1"/>
  <c r="B127" i="62"/>
  <c r="P59" i="71"/>
  <c r="P57" i="36"/>
  <c r="P56" i="36"/>
  <c r="B33" i="70"/>
  <c r="B34" i="70" s="1"/>
  <c r="B35" i="70" s="1"/>
  <c r="B36" i="70" s="1"/>
  <c r="B37" i="70" s="1"/>
  <c r="B38" i="70" s="1"/>
  <c r="B39" i="70" s="1"/>
  <c r="B40" i="70" s="1"/>
  <c r="B41" i="70" s="1"/>
  <c r="B42" i="70" s="1"/>
  <c r="P55" i="36"/>
  <c r="P16" i="63"/>
  <c r="P58" i="57"/>
  <c r="P57" i="57"/>
  <c r="P79" i="74"/>
  <c r="AR46" i="1"/>
  <c r="AR45" i="1"/>
  <c r="AR44" i="1"/>
  <c r="AR43" i="1"/>
  <c r="AR42" i="1"/>
  <c r="AR38" i="1"/>
  <c r="AR37" i="1"/>
  <c r="AR36" i="1"/>
  <c r="AR35" i="1"/>
  <c r="AR34" i="1"/>
  <c r="AR33" i="1"/>
  <c r="AR32" i="1"/>
  <c r="AR31" i="1"/>
  <c r="AR30" i="1"/>
  <c r="AR29" i="1"/>
  <c r="AR28" i="1"/>
  <c r="AR27" i="1"/>
  <c r="AR26" i="1"/>
  <c r="AR25" i="1"/>
  <c r="AR24" i="1"/>
  <c r="AR22" i="1"/>
  <c r="AR20" i="1"/>
  <c r="AR19" i="1"/>
  <c r="AR18" i="1"/>
  <c r="AR15" i="1"/>
  <c r="AR14" i="1"/>
  <c r="AR11" i="1"/>
  <c r="AR10" i="1"/>
  <c r="AR4" i="1"/>
  <c r="P27" i="64"/>
  <c r="P78" i="74"/>
  <c r="P53" i="73"/>
  <c r="P54" i="36"/>
  <c r="P53" i="36"/>
  <c r="P52" i="36"/>
  <c r="D98" i="69"/>
  <c r="B50" i="61"/>
  <c r="B51" i="61" s="1"/>
  <c r="B52" i="61" s="1"/>
  <c r="B53" i="61" s="1"/>
  <c r="B54" i="61" s="1"/>
  <c r="B55" i="61" s="1"/>
  <c r="B56" i="61" s="1"/>
  <c r="B57" i="61" s="1"/>
  <c r="P51" i="36"/>
  <c r="P50" i="36"/>
  <c r="P26" i="64"/>
  <c r="P49" i="36"/>
  <c r="P77" i="74"/>
  <c r="P58" i="71"/>
  <c r="P43" i="67"/>
  <c r="P56" i="57"/>
  <c r="K23" i="59"/>
  <c r="P19" i="62"/>
  <c r="P76" i="74"/>
  <c r="P75" i="74"/>
  <c r="P36" i="59"/>
  <c r="P52" i="73"/>
  <c r="P74" i="74"/>
  <c r="P48" i="36"/>
  <c r="P73" i="74"/>
  <c r="P47" i="36"/>
  <c r="P72" i="74"/>
  <c r="P71" i="74"/>
  <c r="P46" i="36"/>
  <c r="P70" i="74"/>
  <c r="P25" i="64"/>
  <c r="P55" i="57"/>
  <c r="P35" i="59"/>
  <c r="P54" i="57"/>
  <c r="P45" i="36"/>
  <c r="AQ4" i="1"/>
  <c r="AQ45" i="1"/>
  <c r="AQ44" i="1"/>
  <c r="AQ43" i="1"/>
  <c r="AQ42" i="1"/>
  <c r="AQ38" i="1"/>
  <c r="AQ37" i="1"/>
  <c r="AQ36" i="1"/>
  <c r="AQ35" i="1"/>
  <c r="AQ34" i="1"/>
  <c r="AQ33" i="1"/>
  <c r="AQ32" i="1"/>
  <c r="AQ31" i="1"/>
  <c r="AQ30" i="1"/>
  <c r="AQ29" i="1"/>
  <c r="AQ28" i="1"/>
  <c r="AQ27" i="1"/>
  <c r="AQ26" i="1"/>
  <c r="AQ25" i="1"/>
  <c r="AQ24" i="1"/>
  <c r="AQ22" i="1"/>
  <c r="AQ20" i="1"/>
  <c r="AQ19" i="1"/>
  <c r="AQ18" i="1"/>
  <c r="AQ15" i="1"/>
  <c r="AQ14" i="1"/>
  <c r="AQ11" i="1"/>
  <c r="AQ10" i="1"/>
  <c r="B51" i="57"/>
  <c r="B52" i="57" s="1"/>
  <c r="B53" i="57" s="1"/>
  <c r="H44" i="61"/>
  <c r="H45" i="61" s="1"/>
  <c r="H46" i="61" s="1"/>
  <c r="B46" i="61"/>
  <c r="P44" i="36"/>
  <c r="P24" i="64"/>
  <c r="P69" i="74"/>
  <c r="P68" i="74"/>
  <c r="P43" i="36"/>
  <c r="P51" i="73"/>
  <c r="P34" i="59"/>
  <c r="B120" i="65"/>
  <c r="B121" i="65" s="1"/>
  <c r="B122" i="65" s="1"/>
  <c r="B123" i="65" s="1"/>
  <c r="B124" i="65" s="1"/>
  <c r="B125" i="65" s="1"/>
  <c r="B126" i="65" s="1"/>
  <c r="B127" i="65" s="1"/>
  <c r="P33" i="59"/>
  <c r="P57" i="71"/>
  <c r="C82" i="79"/>
  <c r="D82" i="79"/>
  <c r="C149" i="55"/>
  <c r="B93" i="69"/>
  <c r="B94" i="69" s="1"/>
  <c r="B95" i="69" s="1"/>
  <c r="B96" i="69" s="1"/>
  <c r="B97" i="69" s="1"/>
  <c r="B98" i="69" s="1"/>
  <c r="B99" i="69" s="1"/>
  <c r="P67" i="74"/>
  <c r="P66" i="74"/>
  <c r="P42" i="36"/>
  <c r="O61" i="1"/>
  <c r="P53" i="57"/>
  <c r="P65" i="74"/>
  <c r="P64" i="74"/>
  <c r="P63" i="74"/>
  <c r="P41" i="36"/>
  <c r="P40" i="36"/>
  <c r="P39" i="36"/>
  <c r="P38" i="36"/>
  <c r="P52" i="57"/>
  <c r="P23" i="64"/>
  <c r="P37" i="36"/>
  <c r="H49" i="57"/>
  <c r="H50" i="57" s="1"/>
  <c r="H51" i="57" s="1"/>
  <c r="H52" i="57" s="1"/>
  <c r="H53" i="57" s="1"/>
  <c r="H118" i="65"/>
  <c r="H119" i="65" s="1"/>
  <c r="H120" i="65" s="1"/>
  <c r="H121" i="65" s="1"/>
  <c r="H122" i="65" s="1"/>
  <c r="H123" i="65" s="1"/>
  <c r="H124" i="65" s="1"/>
  <c r="H125" i="65" s="1"/>
  <c r="H126" i="65" s="1"/>
  <c r="H127" i="65" s="1"/>
  <c r="H128" i="65" s="1"/>
  <c r="H129" i="65" s="1"/>
  <c r="H130" i="65" s="1"/>
  <c r="H131" i="65" s="1"/>
  <c r="H132" i="65" s="1"/>
  <c r="H133" i="65" s="1"/>
  <c r="H134" i="65" s="1"/>
  <c r="H135" i="65" s="1"/>
  <c r="H136" i="65" s="1"/>
  <c r="H137" i="65" s="1"/>
  <c r="H138" i="65" s="1"/>
  <c r="H139" i="65" s="1"/>
  <c r="H140" i="65" s="1"/>
  <c r="H141" i="65" s="1"/>
  <c r="H142" i="65" s="1"/>
  <c r="H143" i="65" s="1"/>
  <c r="H144" i="65" s="1"/>
  <c r="H145" i="65" s="1"/>
  <c r="H146" i="65" s="1"/>
  <c r="H147" i="65" s="1"/>
  <c r="H148" i="65" s="1"/>
  <c r="H149" i="65" s="1"/>
  <c r="H150" i="65" s="1"/>
  <c r="H151" i="65" s="1"/>
  <c r="H152" i="65" s="1"/>
  <c r="H153" i="65" s="1"/>
  <c r="H154" i="65" s="1"/>
  <c r="H155" i="65" s="1"/>
  <c r="H156" i="65" s="1"/>
  <c r="H157" i="65" s="1"/>
  <c r="H158" i="65" s="1"/>
  <c r="H159" i="65" s="1"/>
  <c r="H160" i="65" s="1"/>
  <c r="H161" i="65" s="1"/>
  <c r="H162" i="65" s="1"/>
  <c r="H163" i="65" s="1"/>
  <c r="H164" i="65" s="1"/>
  <c r="H165" i="65" s="1"/>
  <c r="H166" i="65" s="1"/>
  <c r="H167" i="65" s="1"/>
  <c r="P22" i="64"/>
  <c r="P32" i="59"/>
  <c r="P36" i="36"/>
  <c r="P17" i="65"/>
  <c r="P51" i="57"/>
  <c r="P38" i="72"/>
  <c r="P50" i="57"/>
  <c r="P31" i="59"/>
  <c r="H91" i="69"/>
  <c r="H92" i="69" s="1"/>
  <c r="H93" i="69" s="1"/>
  <c r="H94" i="69" s="1"/>
  <c r="H95" i="69" s="1"/>
  <c r="H96" i="69" s="1"/>
  <c r="H97" i="69" s="1"/>
  <c r="H98" i="69" s="1"/>
  <c r="P49" i="57"/>
  <c r="AP45" i="1"/>
  <c r="AP44" i="1"/>
  <c r="AP43" i="1"/>
  <c r="AP42" i="1"/>
  <c r="AP38" i="1"/>
  <c r="AP37" i="1"/>
  <c r="AP36" i="1"/>
  <c r="AP35" i="1"/>
  <c r="AP34" i="1"/>
  <c r="AP33" i="1"/>
  <c r="AP32" i="1"/>
  <c r="AP31" i="1"/>
  <c r="AP30" i="1"/>
  <c r="AP29" i="1"/>
  <c r="AP28" i="1"/>
  <c r="AP27" i="1"/>
  <c r="AP26" i="1"/>
  <c r="AP25" i="1"/>
  <c r="AP24" i="1"/>
  <c r="AP22" i="1"/>
  <c r="AP20" i="1"/>
  <c r="AP19" i="1"/>
  <c r="AP18" i="1"/>
  <c r="AP15" i="1"/>
  <c r="AP14" i="1"/>
  <c r="AP11" i="1"/>
  <c r="AP10" i="1"/>
  <c r="AP4" i="1"/>
  <c r="P30" i="59"/>
  <c r="P56" i="71"/>
  <c r="P32" i="75"/>
  <c r="P31" i="75"/>
  <c r="C22" i="64"/>
  <c r="C23" i="64"/>
  <c r="C24" i="64"/>
  <c r="C25" i="64"/>
  <c r="C21" i="64"/>
  <c r="P29" i="59"/>
  <c r="H38" i="61"/>
  <c r="H39" i="61" s="1"/>
  <c r="H40" i="61" s="1"/>
  <c r="H41" i="61" s="1"/>
  <c r="H42" i="61" s="1"/>
  <c r="H43" i="61" s="1"/>
  <c r="B40" i="61"/>
  <c r="B41" i="61" s="1"/>
  <c r="B42" i="61" s="1"/>
  <c r="B43" i="61" s="1"/>
  <c r="B28" i="64"/>
  <c r="B29" i="64" s="1"/>
  <c r="B30" i="64" s="1"/>
  <c r="B31" i="64" s="1"/>
  <c r="B32" i="64" s="1"/>
  <c r="B33" i="64" s="1"/>
  <c r="B34" i="64" s="1"/>
  <c r="B35" i="64" s="1"/>
  <c r="B36" i="64" s="1"/>
  <c r="B37" i="64" s="1"/>
  <c r="B38" i="64" s="1"/>
  <c r="B39" i="64" s="1"/>
  <c r="B40" i="64" s="1"/>
  <c r="B41" i="64" s="1"/>
  <c r="B42" i="64" s="1"/>
  <c r="B43" i="64" s="1"/>
  <c r="B44" i="64" s="1"/>
  <c r="B45" i="64" s="1"/>
  <c r="B46" i="64" s="1"/>
  <c r="B47" i="64" s="1"/>
  <c r="B48" i="64" s="1"/>
  <c r="B49" i="64" s="1"/>
  <c r="B50" i="64" s="1"/>
  <c r="B51" i="64" s="1"/>
  <c r="B52" i="64" s="1"/>
  <c r="B53" i="64" s="1"/>
  <c r="B54" i="64" s="1"/>
  <c r="B55" i="64" s="1"/>
  <c r="B56" i="64" s="1"/>
  <c r="B57" i="64" s="1"/>
  <c r="B58" i="64" s="1"/>
  <c r="B59" i="64" s="1"/>
  <c r="B60" i="64" s="1"/>
  <c r="D46" i="57"/>
  <c r="P42" i="67"/>
  <c r="P21" i="64"/>
  <c r="P20" i="64"/>
  <c r="P55" i="71"/>
  <c r="P28" i="59"/>
  <c r="P41" i="67"/>
  <c r="P54" i="71"/>
  <c r="P37" i="72"/>
  <c r="P48" i="57"/>
  <c r="P53" i="71"/>
  <c r="J59" i="1"/>
  <c r="P40" i="67"/>
  <c r="P47" i="57"/>
  <c r="Z17" i="80"/>
  <c r="H368" i="80"/>
  <c r="H369" i="80" s="1"/>
  <c r="H370" i="80" s="1"/>
  <c r="B358" i="80"/>
  <c r="B359" i="80" s="1"/>
  <c r="B360" i="80" s="1"/>
  <c r="B361" i="80" s="1"/>
  <c r="B362" i="80" s="1"/>
  <c r="B363" i="80" s="1"/>
  <c r="B364" i="80" s="1"/>
  <c r="B365" i="80" s="1"/>
  <c r="B366" i="80" s="1"/>
  <c r="B367" i="80" s="1"/>
  <c r="B368" i="80" s="1"/>
  <c r="H356" i="80"/>
  <c r="H357" i="80" s="1"/>
  <c r="H358" i="80" s="1"/>
  <c r="H359" i="80" s="1"/>
  <c r="H360" i="80" s="1"/>
  <c r="H361" i="80" s="1"/>
  <c r="H362" i="80" s="1"/>
  <c r="H363" i="80" s="1"/>
  <c r="H364" i="80" s="1"/>
  <c r="H365" i="80" s="1"/>
  <c r="H366" i="80" s="1"/>
  <c r="H367" i="80" s="1"/>
  <c r="G334" i="80"/>
  <c r="D334" i="80"/>
  <c r="G326" i="80"/>
  <c r="D326" i="80"/>
  <c r="D321" i="80"/>
  <c r="B319" i="80"/>
  <c r="B320" i="80" s="1"/>
  <c r="B321" i="80" s="1"/>
  <c r="B322" i="80" s="1"/>
  <c r="B323" i="80" s="1"/>
  <c r="B324" i="80" s="1"/>
  <c r="B325" i="80" s="1"/>
  <c r="B326" i="80" s="1"/>
  <c r="B327" i="80" s="1"/>
  <c r="B328" i="80" s="1"/>
  <c r="B329" i="80" s="1"/>
  <c r="B330" i="80" s="1"/>
  <c r="B331" i="80" s="1"/>
  <c r="B332" i="80" s="1"/>
  <c r="B333" i="80" s="1"/>
  <c r="B334" i="80" s="1"/>
  <c r="B335" i="80" s="1"/>
  <c r="B336" i="80" s="1"/>
  <c r="B337" i="80" s="1"/>
  <c r="B338" i="80" s="1"/>
  <c r="B339" i="80" s="1"/>
  <c r="B340" i="80" s="1"/>
  <c r="B341" i="80" s="1"/>
  <c r="B342" i="80" s="1"/>
  <c r="B343" i="80" s="1"/>
  <c r="B344" i="80" s="1"/>
  <c r="B345" i="80" s="1"/>
  <c r="B346" i="80" s="1"/>
  <c r="B347" i="80" s="1"/>
  <c r="B348" i="80" s="1"/>
  <c r="B349" i="80" s="1"/>
  <c r="B350" i="80" s="1"/>
  <c r="B351" i="80" s="1"/>
  <c r="B352" i="80" s="1"/>
  <c r="B353" i="80" s="1"/>
  <c r="B354" i="80" s="1"/>
  <c r="B355" i="80" s="1"/>
  <c r="H317" i="80"/>
  <c r="H318" i="80" s="1"/>
  <c r="H319" i="80" s="1"/>
  <c r="H320" i="80" s="1"/>
  <c r="H321" i="80" s="1"/>
  <c r="H322" i="80" s="1"/>
  <c r="H323" i="80" s="1"/>
  <c r="H324" i="80" s="1"/>
  <c r="H325" i="80" s="1"/>
  <c r="H326" i="80" s="1"/>
  <c r="H327" i="80" s="1"/>
  <c r="H328" i="80" s="1"/>
  <c r="H329" i="80" s="1"/>
  <c r="H330" i="80" s="1"/>
  <c r="H331" i="80" s="1"/>
  <c r="H332" i="80" s="1"/>
  <c r="H333" i="80" s="1"/>
  <c r="H308" i="80"/>
  <c r="H309" i="80" s="1"/>
  <c r="H310" i="80" s="1"/>
  <c r="H311" i="80" s="1"/>
  <c r="H312" i="80" s="1"/>
  <c r="H313" i="80" s="1"/>
  <c r="H314" i="80" s="1"/>
  <c r="H315" i="80" s="1"/>
  <c r="H316" i="80" s="1"/>
  <c r="P62" i="74"/>
  <c r="P52" i="71"/>
  <c r="P51" i="71"/>
  <c r="P19" i="64"/>
  <c r="P27" i="59"/>
  <c r="P30" i="75"/>
  <c r="P29" i="75"/>
  <c r="P28" i="75"/>
  <c r="P27" i="75"/>
  <c r="P26" i="75"/>
  <c r="P50" i="71"/>
  <c r="P18" i="64"/>
  <c r="P26" i="59"/>
  <c r="P49" i="71"/>
  <c r="P46" i="57"/>
  <c r="AO46" i="1"/>
  <c r="AO45" i="1"/>
  <c r="AO44" i="1"/>
  <c r="AO43" i="1"/>
  <c r="AO42" i="1"/>
  <c r="AO38" i="1"/>
  <c r="AO37" i="1"/>
  <c r="AO36" i="1"/>
  <c r="AO35" i="1"/>
  <c r="AO34" i="1"/>
  <c r="AO33" i="1"/>
  <c r="AO32" i="1"/>
  <c r="AO31" i="1"/>
  <c r="AO30" i="1"/>
  <c r="AO29" i="1"/>
  <c r="AO28" i="1"/>
  <c r="AO27" i="1"/>
  <c r="AO26" i="1"/>
  <c r="AO25" i="1"/>
  <c r="AO24" i="1"/>
  <c r="AO22" i="1"/>
  <c r="AO20" i="1"/>
  <c r="AO19" i="1"/>
  <c r="AO18" i="1"/>
  <c r="AO15" i="1"/>
  <c r="AO14" i="1"/>
  <c r="AO11" i="1"/>
  <c r="AO10" i="1"/>
  <c r="AO4" i="1"/>
  <c r="P45" i="57"/>
  <c r="P48" i="71"/>
  <c r="P61" i="74"/>
  <c r="P60" i="74"/>
  <c r="P39" i="67"/>
  <c r="P44" i="57"/>
  <c r="P25" i="59"/>
  <c r="Y149" i="77"/>
  <c r="P25" i="75"/>
  <c r="B22" i="64"/>
  <c r="B23" i="64" s="1"/>
  <c r="B24" i="64" s="1"/>
  <c r="B25" i="64" s="1"/>
  <c r="P43" i="57"/>
  <c r="P47" i="71"/>
  <c r="P24" i="59"/>
  <c r="P23" i="59"/>
  <c r="P59" i="74"/>
  <c r="P42" i="57"/>
  <c r="P46" i="71"/>
  <c r="P45" i="71"/>
  <c r="P41" i="57"/>
  <c r="P17" i="64"/>
  <c r="H21" i="64"/>
  <c r="H22" i="64" s="1"/>
  <c r="H23" i="64" s="1"/>
  <c r="H24" i="64" s="1"/>
  <c r="P44" i="71"/>
  <c r="P58" i="74"/>
  <c r="P40" i="57"/>
  <c r="P43" i="71"/>
  <c r="P22" i="59"/>
  <c r="AN46" i="1"/>
  <c r="AN45" i="1"/>
  <c r="AN44" i="1"/>
  <c r="AN43" i="1"/>
  <c r="AN42" i="1"/>
  <c r="AN38" i="1"/>
  <c r="AN37" i="1"/>
  <c r="AN36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2" i="1"/>
  <c r="AN20" i="1"/>
  <c r="AN19" i="1"/>
  <c r="AN18" i="1"/>
  <c r="AN15" i="1"/>
  <c r="AN14" i="1"/>
  <c r="AN11" i="1"/>
  <c r="AN10" i="1"/>
  <c r="AN4" i="1"/>
  <c r="P18" i="62"/>
  <c r="P57" i="74"/>
  <c r="B32" i="61"/>
  <c r="B33" i="61" s="1"/>
  <c r="B34" i="61" s="1"/>
  <c r="B35" i="61" s="1"/>
  <c r="B36" i="61" s="1"/>
  <c r="B37" i="61" s="1"/>
  <c r="P38" i="67"/>
  <c r="B73" i="67"/>
  <c r="B74" i="67" s="1"/>
  <c r="B75" i="67" s="1"/>
  <c r="B76" i="67" s="1"/>
  <c r="B77" i="67" s="1"/>
  <c r="B78" i="67" s="1"/>
  <c r="B79" i="67" s="1"/>
  <c r="B80" i="67" s="1"/>
  <c r="B81" i="67" s="1"/>
  <c r="B82" i="67" s="1"/>
  <c r="B83" i="67" s="1"/>
  <c r="B84" i="67" s="1"/>
  <c r="B85" i="67" s="1"/>
  <c r="B86" i="67" s="1"/>
  <c r="B87" i="67" s="1"/>
  <c r="B88" i="67" s="1"/>
  <c r="B89" i="67" s="1"/>
  <c r="B90" i="67" s="1"/>
  <c r="B91" i="67" s="1"/>
  <c r="B92" i="67" s="1"/>
  <c r="B93" i="67" s="1"/>
  <c r="B94" i="67" s="1"/>
  <c r="B95" i="67" s="1"/>
  <c r="B96" i="67" s="1"/>
  <c r="B97" i="67" s="1"/>
  <c r="B98" i="67" s="1"/>
  <c r="B99" i="67" s="1"/>
  <c r="B100" i="67" s="1"/>
  <c r="B101" i="67" s="1"/>
  <c r="B102" i="67" s="1"/>
  <c r="B103" i="67" s="1"/>
  <c r="B104" i="67" s="1"/>
  <c r="B105" i="67" s="1"/>
  <c r="B106" i="67" s="1"/>
  <c r="B107" i="67" s="1"/>
  <c r="B108" i="67" s="1"/>
  <c r="B109" i="67" s="1"/>
  <c r="B110" i="67" s="1"/>
  <c r="B111" i="67" s="1"/>
  <c r="B112" i="67" s="1"/>
  <c r="B113" i="67" s="1"/>
  <c r="B114" i="67" s="1"/>
  <c r="B115" i="67" s="1"/>
  <c r="P42" i="71"/>
  <c r="P35" i="36"/>
  <c r="P21" i="59"/>
  <c r="P39" i="57"/>
  <c r="K70" i="62"/>
  <c r="P20" i="59"/>
  <c r="P41" i="71"/>
  <c r="P40" i="71"/>
  <c r="G1050" i="55"/>
  <c r="P56" i="74"/>
  <c r="P55" i="74"/>
  <c r="H50" i="71"/>
  <c r="H51" i="71" s="1"/>
  <c r="H52" i="71" s="1"/>
  <c r="H53" i="71" s="1"/>
  <c r="H54" i="71" s="1"/>
  <c r="H55" i="71" s="1"/>
  <c r="H56" i="71" s="1"/>
  <c r="H57" i="71" s="1"/>
  <c r="H58" i="71" s="1"/>
  <c r="H59" i="71" s="1"/>
  <c r="H60" i="71" s="1"/>
  <c r="H61" i="71" s="1"/>
  <c r="H62" i="71" s="1"/>
  <c r="H63" i="71" s="1"/>
  <c r="H64" i="71" s="1"/>
  <c r="H65" i="71" s="1"/>
  <c r="H66" i="71" s="1"/>
  <c r="H67" i="71" s="1"/>
  <c r="H68" i="71" s="1"/>
  <c r="H69" i="71" s="1"/>
  <c r="H70" i="71" s="1"/>
  <c r="H71" i="71" s="1"/>
  <c r="H72" i="71" s="1"/>
  <c r="H73" i="71" s="1"/>
  <c r="H74" i="71" s="1"/>
  <c r="H75" i="71" s="1"/>
  <c r="H76" i="71" s="1"/>
  <c r="H77" i="71" s="1"/>
  <c r="H78" i="71" s="1"/>
  <c r="H79" i="71" s="1"/>
  <c r="H80" i="71" s="1"/>
  <c r="H81" i="71" s="1"/>
  <c r="H82" i="71" s="1"/>
  <c r="H83" i="71" s="1"/>
  <c r="H84" i="71" s="1"/>
  <c r="H85" i="71" s="1"/>
  <c r="H86" i="71" s="1"/>
  <c r="H87" i="71" s="1"/>
  <c r="H88" i="71" s="1"/>
  <c r="H89" i="71" s="1"/>
  <c r="H90" i="71" s="1"/>
  <c r="H91" i="71" s="1"/>
  <c r="H92" i="71" s="1"/>
  <c r="H93" i="71" s="1"/>
  <c r="H94" i="71" s="1"/>
  <c r="H95" i="71" s="1"/>
  <c r="H96" i="71" s="1"/>
  <c r="H97" i="71" s="1"/>
  <c r="H98" i="71" s="1"/>
  <c r="H99" i="71" s="1"/>
  <c r="H100" i="71" s="1"/>
  <c r="H101" i="71" s="1"/>
  <c r="H102" i="71" s="1"/>
  <c r="H103" i="71" s="1"/>
  <c r="H104" i="71" s="1"/>
  <c r="H105" i="71" s="1"/>
  <c r="H106" i="71" s="1"/>
  <c r="P38" i="57"/>
  <c r="P37" i="67"/>
  <c r="B57" i="79"/>
  <c r="B58" i="79" s="1"/>
  <c r="B59" i="79" s="1"/>
  <c r="B61" i="79" s="1"/>
  <c r="B62" i="79" s="1"/>
  <c r="B63" i="79" s="1"/>
  <c r="B64" i="79" s="1"/>
  <c r="B65" i="79" s="1"/>
  <c r="B66" i="79" s="1"/>
  <c r="B67" i="79" s="1"/>
  <c r="B77" i="79" s="1"/>
  <c r="B78" i="79" s="1"/>
  <c r="B79" i="79" s="1"/>
  <c r="B80" i="79" s="1"/>
  <c r="P19" i="59"/>
  <c r="P37" i="57"/>
  <c r="P36" i="57"/>
  <c r="P18" i="59"/>
  <c r="P17" i="59"/>
  <c r="B119" i="62"/>
  <c r="B120" i="62" s="1"/>
  <c r="B121" i="62" s="1"/>
  <c r="B122" i="62" s="1"/>
  <c r="B123" i="62" s="1"/>
  <c r="B124" i="62" s="1"/>
  <c r="B125" i="62" s="1"/>
  <c r="P39" i="71"/>
  <c r="P34" i="36"/>
  <c r="P38" i="71"/>
  <c r="P33" i="36"/>
  <c r="P37" i="71"/>
  <c r="P36" i="71"/>
  <c r="P36" i="72"/>
  <c r="P36" i="67"/>
  <c r="P35" i="71"/>
  <c r="P54" i="74"/>
  <c r="P53" i="74"/>
  <c r="AM45" i="1"/>
  <c r="AM44" i="1"/>
  <c r="AM43" i="1"/>
  <c r="AM42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2" i="1"/>
  <c r="AM20" i="1"/>
  <c r="AM19" i="1"/>
  <c r="AM18" i="1"/>
  <c r="AM15" i="1"/>
  <c r="AM14" i="1"/>
  <c r="AM11" i="1"/>
  <c r="AM10" i="1"/>
  <c r="AM4" i="1"/>
  <c r="P34" i="71"/>
  <c r="P33" i="71"/>
  <c r="Q61" i="1"/>
  <c r="B50" i="72"/>
  <c r="B51" i="72" s="1"/>
  <c r="B52" i="72" s="1"/>
  <c r="B53" i="72" s="1"/>
  <c r="B54" i="72" s="1"/>
  <c r="B55" i="72" s="1"/>
  <c r="B56" i="72" s="1"/>
  <c r="B57" i="72" s="1"/>
  <c r="B58" i="72" s="1"/>
  <c r="B59" i="72" s="1"/>
  <c r="B60" i="72" s="1"/>
  <c r="B61" i="72" s="1"/>
  <c r="B62" i="72" s="1"/>
  <c r="B63" i="72" s="1"/>
  <c r="B64" i="72" s="1"/>
  <c r="B65" i="72" s="1"/>
  <c r="B66" i="72" s="1"/>
  <c r="B67" i="72" s="1"/>
  <c r="B68" i="72" s="1"/>
  <c r="B69" i="72" s="1"/>
  <c r="B70" i="72" s="1"/>
  <c r="B71" i="72" s="1"/>
  <c r="B72" i="72" s="1"/>
  <c r="B73" i="72" s="1"/>
  <c r="B75" i="72" s="1"/>
  <c r="B76" i="72" s="1"/>
  <c r="B77" i="72" s="1"/>
  <c r="B78" i="72" s="1"/>
  <c r="B79" i="72" s="1"/>
  <c r="B80" i="72" s="1"/>
  <c r="B81" i="72" s="1"/>
  <c r="B82" i="72" s="1"/>
  <c r="B83" i="72" s="1"/>
  <c r="B84" i="72" s="1"/>
  <c r="P16" i="59"/>
  <c r="P35" i="57"/>
  <c r="P34" i="57"/>
  <c r="P33" i="57"/>
  <c r="P32" i="36"/>
  <c r="P31" i="36"/>
  <c r="P35" i="67"/>
  <c r="P52" i="74"/>
  <c r="P51" i="74"/>
  <c r="P32" i="71"/>
  <c r="B9" i="75"/>
  <c r="B10" i="75" s="1"/>
  <c r="B11" i="75" s="1"/>
  <c r="B12" i="75" s="1"/>
  <c r="B13" i="75" s="1"/>
  <c r="B14" i="75" s="1"/>
  <c r="B15" i="75" s="1"/>
  <c r="B16" i="75" s="1"/>
  <c r="B17" i="75" s="1"/>
  <c r="B18" i="75" s="1"/>
  <c r="B19" i="75" s="1"/>
  <c r="B20" i="75" s="1"/>
  <c r="B21" i="75" s="1"/>
  <c r="B22" i="75" s="1"/>
  <c r="B23" i="75" s="1"/>
  <c r="B24" i="75" s="1"/>
  <c r="B25" i="75" s="1"/>
  <c r="B26" i="75" s="1"/>
  <c r="B27" i="75" s="1"/>
  <c r="B28" i="75" s="1"/>
  <c r="B29" i="75" s="1"/>
  <c r="B30" i="75" s="1"/>
  <c r="B31" i="75" s="1"/>
  <c r="B32" i="75" s="1"/>
  <c r="Q22" i="76"/>
  <c r="U23" i="76"/>
  <c r="Z16" i="80"/>
  <c r="Z15" i="80"/>
  <c r="P32" i="57"/>
  <c r="P31" i="57"/>
  <c r="P30" i="57"/>
  <c r="B9" i="70"/>
  <c r="B10" i="70" s="1"/>
  <c r="B11" i="70" s="1"/>
  <c r="B12" i="70" s="1"/>
  <c r="B13" i="70" s="1"/>
  <c r="B14" i="70" s="1"/>
  <c r="B15" i="70" s="1"/>
  <c r="B16" i="70" s="1"/>
  <c r="B17" i="70" s="1"/>
  <c r="B18" i="70" s="1"/>
  <c r="B19" i="70" s="1"/>
  <c r="B20" i="70" s="1"/>
  <c r="B21" i="70" s="1"/>
  <c r="B22" i="70" s="1"/>
  <c r="B23" i="70" s="1"/>
  <c r="B24" i="70" s="1"/>
  <c r="B25" i="70" s="1"/>
  <c r="B26" i="70" s="1"/>
  <c r="B27" i="70" s="1"/>
  <c r="B28" i="70" s="1"/>
  <c r="B29" i="70" s="1"/>
  <c r="B30" i="70" s="1"/>
  <c r="B31" i="70" s="1"/>
  <c r="R40" i="80"/>
  <c r="R41" i="80"/>
  <c r="R42" i="80"/>
  <c r="R43" i="80"/>
  <c r="R44" i="80"/>
  <c r="R45" i="80"/>
  <c r="R46" i="80"/>
  <c r="R47" i="80"/>
  <c r="R48" i="80"/>
  <c r="R49" i="80"/>
  <c r="R50" i="80"/>
  <c r="R51" i="80"/>
  <c r="R52" i="80"/>
  <c r="R53" i="80"/>
  <c r="B304" i="80"/>
  <c r="B305" i="80" s="1"/>
  <c r="B306" i="80" s="1"/>
  <c r="B307" i="80" s="1"/>
  <c r="H299" i="80"/>
  <c r="H300" i="80" s="1"/>
  <c r="H301" i="80" s="1"/>
  <c r="H302" i="80" s="1"/>
  <c r="H303" i="80" s="1"/>
  <c r="H304" i="80" s="1"/>
  <c r="H305" i="80" s="1"/>
  <c r="H306" i="80" s="1"/>
  <c r="H307" i="80" s="1"/>
  <c r="B290" i="80"/>
  <c r="B291" i="80" s="1"/>
  <c r="B292" i="80" s="1"/>
  <c r="B293" i="80" s="1"/>
  <c r="B294" i="80" s="1"/>
  <c r="B295" i="80" s="1"/>
  <c r="B296" i="80" s="1"/>
  <c r="B297" i="80" s="1"/>
  <c r="B298" i="80" s="1"/>
  <c r="H288" i="80"/>
  <c r="H289" i="80" s="1"/>
  <c r="H290" i="80" s="1"/>
  <c r="H291" i="80" s="1"/>
  <c r="H292" i="80" s="1"/>
  <c r="H293" i="80" s="1"/>
  <c r="H294" i="80" s="1"/>
  <c r="H295" i="80" s="1"/>
  <c r="H296" i="80" s="1"/>
  <c r="H297" i="80" s="1"/>
  <c r="H298" i="80" s="1"/>
  <c r="B283" i="80"/>
  <c r="B284" i="80" s="1"/>
  <c r="B285" i="80" s="1"/>
  <c r="B286" i="80" s="1"/>
  <c r="B287" i="80" s="1"/>
  <c r="H281" i="80"/>
  <c r="H282" i="80" s="1"/>
  <c r="H283" i="80" s="1"/>
  <c r="H284" i="80" s="1"/>
  <c r="H285" i="80" s="1"/>
  <c r="H286" i="80" s="1"/>
  <c r="H287" i="80" s="1"/>
  <c r="H280" i="80"/>
  <c r="H279" i="80"/>
  <c r="B276" i="80"/>
  <c r="B277" i="80" s="1"/>
  <c r="B278" i="80" s="1"/>
  <c r="H274" i="80"/>
  <c r="H275" i="80" s="1"/>
  <c r="H276" i="80" s="1"/>
  <c r="H277" i="80" s="1"/>
  <c r="H278" i="80" s="1"/>
  <c r="B266" i="80"/>
  <c r="B267" i="80" s="1"/>
  <c r="B268" i="80" s="1"/>
  <c r="B269" i="80" s="1"/>
  <c r="B270" i="80" s="1"/>
  <c r="B271" i="80" s="1"/>
  <c r="B272" i="80" s="1"/>
  <c r="B273" i="80" s="1"/>
  <c r="C264" i="80"/>
  <c r="H262" i="80"/>
  <c r="H263" i="80" s="1"/>
  <c r="H264" i="80" s="1"/>
  <c r="H265" i="80" s="1"/>
  <c r="H266" i="80" s="1"/>
  <c r="H267" i="80" s="1"/>
  <c r="H268" i="80" s="1"/>
  <c r="H269" i="80" s="1"/>
  <c r="H270" i="80" s="1"/>
  <c r="B253" i="80"/>
  <c r="B254" i="80" s="1"/>
  <c r="B255" i="80" s="1"/>
  <c r="B256" i="80" s="1"/>
  <c r="B257" i="80" s="1"/>
  <c r="B258" i="80" s="1"/>
  <c r="B259" i="80" s="1"/>
  <c r="B260" i="80" s="1"/>
  <c r="B261" i="80" s="1"/>
  <c r="H252" i="80"/>
  <c r="H253" i="80" s="1"/>
  <c r="H254" i="80" s="1"/>
  <c r="H255" i="80" s="1"/>
  <c r="H256" i="80" s="1"/>
  <c r="H257" i="80" s="1"/>
  <c r="H258" i="80" s="1"/>
  <c r="H259" i="80" s="1"/>
  <c r="H260" i="80" s="1"/>
  <c r="H261" i="80" s="1"/>
  <c r="B248" i="80"/>
  <c r="B249" i="80" s="1"/>
  <c r="B250" i="80" s="1"/>
  <c r="B251" i="80" s="1"/>
  <c r="H246" i="80"/>
  <c r="H247" i="80" s="1"/>
  <c r="H248" i="80" s="1"/>
  <c r="H249" i="80" s="1"/>
  <c r="H250" i="80" s="1"/>
  <c r="H251" i="80" s="1"/>
  <c r="P29" i="57"/>
  <c r="H41" i="72"/>
  <c r="H42" i="72" s="1"/>
  <c r="H43" i="72" s="1"/>
  <c r="H44" i="72" s="1"/>
  <c r="H45" i="72" s="1"/>
  <c r="H46" i="72" s="1"/>
  <c r="H47" i="72" s="1"/>
  <c r="H48" i="72"/>
  <c r="H49" i="72" s="1"/>
  <c r="H50" i="72" s="1"/>
  <c r="H51" i="72" s="1"/>
  <c r="H52" i="72" s="1"/>
  <c r="H53" i="72" s="1"/>
  <c r="H54" i="72" s="1"/>
  <c r="H55" i="72" s="1"/>
  <c r="H56" i="72" s="1"/>
  <c r="H57" i="72" s="1"/>
  <c r="H58" i="72" s="1"/>
  <c r="H59" i="72" s="1"/>
  <c r="H60" i="72" s="1"/>
  <c r="H61" i="72" s="1"/>
  <c r="H62" i="72" s="1"/>
  <c r="H63" i="72" s="1"/>
  <c r="H64" i="72" s="1"/>
  <c r="H65" i="72" s="1"/>
  <c r="H66" i="72" s="1"/>
  <c r="H67" i="72" s="1"/>
  <c r="H68" i="72" s="1"/>
  <c r="H69" i="72" s="1"/>
  <c r="H70" i="72" s="1"/>
  <c r="H71" i="72" s="1"/>
  <c r="H72" i="72" s="1"/>
  <c r="H73" i="72" s="1"/>
  <c r="H74" i="72" s="1"/>
  <c r="H75" i="72" s="1"/>
  <c r="H76" i="72" s="1"/>
  <c r="H77" i="72" s="1"/>
  <c r="H78" i="72" s="1"/>
  <c r="H79" i="72" s="1"/>
  <c r="H80" i="72" s="1"/>
  <c r="H81" i="72" s="1"/>
  <c r="H82" i="72" s="1"/>
  <c r="H83" i="72" s="1"/>
  <c r="H84" i="72" s="1"/>
  <c r="P50" i="74"/>
  <c r="P30" i="36"/>
  <c r="P28" i="57"/>
  <c r="P29" i="36"/>
  <c r="P28" i="36"/>
  <c r="P27" i="36"/>
  <c r="H30" i="61"/>
  <c r="H31" i="61" s="1"/>
  <c r="H32" i="61" s="1"/>
  <c r="H33" i="61" s="1"/>
  <c r="H34" i="61" s="1"/>
  <c r="H35" i="61" s="1"/>
  <c r="H36" i="61" s="1"/>
  <c r="H117" i="62"/>
  <c r="H118" i="62" s="1"/>
  <c r="H119" i="62" s="1"/>
  <c r="H120" i="62" s="1"/>
  <c r="H121" i="62" s="1"/>
  <c r="H122" i="62" s="1"/>
  <c r="H123" i="62" s="1"/>
  <c r="H124" i="62" s="1"/>
  <c r="H125" i="62" s="1"/>
  <c r="AM46" i="1" s="1"/>
  <c r="P49" i="74"/>
  <c r="P48" i="74"/>
  <c r="P47" i="74"/>
  <c r="P31" i="71"/>
  <c r="B98" i="58"/>
  <c r="B99" i="58" s="1"/>
  <c r="B100" i="58" s="1"/>
  <c r="B101" i="58" s="1"/>
  <c r="B102" i="58" s="1"/>
  <c r="B103" i="58" s="1"/>
  <c r="B104" i="58" s="1"/>
  <c r="B105" i="58" s="1"/>
  <c r="B106" i="58" s="1"/>
  <c r="B107" i="58" s="1"/>
  <c r="B108" i="58" s="1"/>
  <c r="B109" i="58" s="1"/>
  <c r="B110" i="58" s="1"/>
  <c r="B111" i="58" s="1"/>
  <c r="B112" i="58" s="1"/>
  <c r="B113" i="58" s="1"/>
  <c r="B114" i="58" s="1"/>
  <c r="B115" i="58" s="1"/>
  <c r="B116" i="58" s="1"/>
  <c r="B117" i="58" s="1"/>
  <c r="B118" i="58" s="1"/>
  <c r="B119" i="58" s="1"/>
  <c r="B120" i="58" s="1"/>
  <c r="B121" i="58" s="1"/>
  <c r="B122" i="58" s="1"/>
  <c r="B123" i="58" s="1"/>
  <c r="B124" i="58" s="1"/>
  <c r="B125" i="58" s="1"/>
  <c r="B126" i="58" s="1"/>
  <c r="B127" i="58" s="1"/>
  <c r="B128" i="58" s="1"/>
  <c r="B129" i="58" s="1"/>
  <c r="B130" i="58" s="1"/>
  <c r="B131" i="58" s="1"/>
  <c r="B132" i="58" s="1"/>
  <c r="B133" i="58" s="1"/>
  <c r="B134" i="58" s="1"/>
  <c r="B135" i="58" s="1"/>
  <c r="B136" i="58" s="1"/>
  <c r="B137" i="58" s="1"/>
  <c r="B138" i="58" s="1"/>
  <c r="B139" i="58" s="1"/>
  <c r="B140" i="58" s="1"/>
  <c r="B141" i="58" s="1"/>
  <c r="B142" i="58" s="1"/>
  <c r="B143" i="58" s="1"/>
  <c r="B144" i="58" s="1"/>
  <c r="B145" i="58" s="1"/>
  <c r="B146" i="58" s="1"/>
  <c r="B147" i="58" s="1"/>
  <c r="B148" i="58" s="1"/>
  <c r="B149" i="58" s="1"/>
  <c r="P46" i="74"/>
  <c r="P45" i="74"/>
  <c r="P30" i="71"/>
  <c r="P26" i="36"/>
  <c r="B70" i="69"/>
  <c r="B71" i="69" s="1"/>
  <c r="B72" i="69" s="1"/>
  <c r="B73" i="69" s="1"/>
  <c r="B74" i="69" s="1"/>
  <c r="B75" i="69" s="1"/>
  <c r="B76" i="69" s="1"/>
  <c r="B77" i="69" s="1"/>
  <c r="B78" i="69" s="1"/>
  <c r="B79" i="69" s="1"/>
  <c r="B80" i="69" s="1"/>
  <c r="B81" i="69" s="1"/>
  <c r="B82" i="69" s="1"/>
  <c r="B83" i="69" s="1"/>
  <c r="B84" i="69" s="1"/>
  <c r="B85" i="69" s="1"/>
  <c r="B86" i="69" s="1"/>
  <c r="B87" i="69" s="1"/>
  <c r="B88" i="69" s="1"/>
  <c r="B89" i="69" s="1"/>
  <c r="B90" i="69" s="1"/>
  <c r="P27" i="57"/>
  <c r="P44" i="74"/>
  <c r="P29" i="71"/>
  <c r="P25" i="36"/>
  <c r="B77" i="77"/>
  <c r="AL45" i="1"/>
  <c r="AL44" i="1"/>
  <c r="AL43" i="1"/>
  <c r="AL42" i="1"/>
  <c r="AL38" i="1"/>
  <c r="AL37" i="1"/>
  <c r="AL36" i="1"/>
  <c r="AL35" i="1"/>
  <c r="AL34" i="1"/>
  <c r="AL33" i="1"/>
  <c r="AL32" i="1"/>
  <c r="AL31" i="1"/>
  <c r="AL30" i="1"/>
  <c r="AL29" i="1"/>
  <c r="AL28" i="1"/>
  <c r="AL27" i="1"/>
  <c r="AL26" i="1"/>
  <c r="AL25" i="1"/>
  <c r="AL24" i="1"/>
  <c r="AL22" i="1"/>
  <c r="AL20" i="1"/>
  <c r="AL19" i="1"/>
  <c r="AL18" i="1"/>
  <c r="AL15" i="1"/>
  <c r="AL14" i="1"/>
  <c r="AL11" i="1"/>
  <c r="AL10" i="1"/>
  <c r="AL4" i="1"/>
  <c r="P16" i="64"/>
  <c r="AY46" i="1" l="1"/>
  <c r="AS46" i="1"/>
  <c r="AP46" i="1"/>
  <c r="H271" i="80"/>
  <c r="H272" i="80" s="1"/>
  <c r="H273" i="80" s="1"/>
  <c r="BA9" i="1"/>
  <c r="BA12" i="1" s="1"/>
  <c r="BA17" i="1"/>
  <c r="AZ9" i="1"/>
  <c r="AZ12" i="1" s="1"/>
  <c r="AZ17" i="1"/>
  <c r="AX46" i="1"/>
  <c r="AY9" i="1"/>
  <c r="AY13" i="1" s="1"/>
  <c r="AY8" i="1" s="1"/>
  <c r="AY17" i="1"/>
  <c r="AX17" i="1"/>
  <c r="AX9" i="1"/>
  <c r="AX13" i="1" s="1"/>
  <c r="AX8" i="1" s="1"/>
  <c r="H474" i="80"/>
  <c r="H475" i="80" s="1"/>
  <c r="H476" i="80" s="1"/>
  <c r="H477" i="80" s="1"/>
  <c r="H478" i="80" s="1"/>
  <c r="H479" i="80" s="1"/>
  <c r="H480" i="80" s="1"/>
  <c r="H481" i="80" s="1"/>
  <c r="H482" i="80" s="1"/>
  <c r="H483" i="80" s="1"/>
  <c r="H387" i="80"/>
  <c r="H386" i="80"/>
  <c r="H388" i="80" s="1"/>
  <c r="H389" i="80" s="1"/>
  <c r="H390" i="80" s="1"/>
  <c r="H391" i="80" s="1"/>
  <c r="H392" i="80" s="1"/>
  <c r="H393" i="80" s="1"/>
  <c r="H394" i="80" s="1"/>
  <c r="H395" i="80" s="1"/>
  <c r="H396" i="80" s="1"/>
  <c r="H397" i="80" s="1"/>
  <c r="H398" i="80" s="1"/>
  <c r="H399" i="80" s="1"/>
  <c r="H400" i="80" s="1"/>
  <c r="H401" i="80" s="1"/>
  <c r="H402" i="80" s="1"/>
  <c r="H403" i="80" s="1"/>
  <c r="H404" i="80" s="1"/>
  <c r="H405" i="80" s="1"/>
  <c r="H406" i="80" s="1"/>
  <c r="H407" i="80" s="1"/>
  <c r="H408" i="80" s="1"/>
  <c r="H409" i="80" s="1"/>
  <c r="H410" i="80" s="1"/>
  <c r="H411" i="80" s="1"/>
  <c r="H412" i="80" s="1"/>
  <c r="H413" i="80" s="1"/>
  <c r="H414" i="80" s="1"/>
  <c r="H415" i="80" s="1"/>
  <c r="H416" i="80" s="1"/>
  <c r="H417" i="80" s="1"/>
  <c r="H418" i="80" s="1"/>
  <c r="H419" i="80" s="1"/>
  <c r="H420" i="80" s="1"/>
  <c r="H421" i="80" s="1"/>
  <c r="H422" i="80" s="1"/>
  <c r="H423" i="80" s="1"/>
  <c r="H424" i="80" s="1"/>
  <c r="H425" i="80" s="1"/>
  <c r="H426" i="80" s="1"/>
  <c r="H427" i="80" s="1"/>
  <c r="AW9" i="1"/>
  <c r="AW13" i="1" s="1"/>
  <c r="AW8" i="1" s="1"/>
  <c r="AW17" i="1"/>
  <c r="AV9" i="1"/>
  <c r="AV12" i="1" s="1"/>
  <c r="AV17" i="1"/>
  <c r="AU9" i="1"/>
  <c r="AU13" i="1" s="1"/>
  <c r="AU8" i="1" s="1"/>
  <c r="AU17" i="1"/>
  <c r="AO25" i="77"/>
  <c r="AO26" i="77" s="1"/>
  <c r="AO27" i="77" s="1"/>
  <c r="AO28" i="77" s="1"/>
  <c r="AO29" i="77" s="1"/>
  <c r="AO30" i="77" s="1"/>
  <c r="AO31" i="77" s="1"/>
  <c r="AO32" i="77" s="1"/>
  <c r="AO33" i="77" s="1"/>
  <c r="AO34" i="77" s="1"/>
  <c r="AO35" i="77" s="1"/>
  <c r="AO36" i="77" s="1"/>
  <c r="AO37" i="77" s="1"/>
  <c r="AO38" i="77" s="1"/>
  <c r="AO39" i="77" s="1"/>
  <c r="AO40" i="77" s="1"/>
  <c r="AO41" i="77" s="1"/>
  <c r="AO42" i="77" s="1"/>
  <c r="AO43" i="77" s="1"/>
  <c r="AO44" i="77" s="1"/>
  <c r="AO45" i="77" s="1"/>
  <c r="AO46" i="77" s="1"/>
  <c r="AO47" i="77" s="1"/>
  <c r="AO48" i="77" s="1"/>
  <c r="AO49" i="77" s="1"/>
  <c r="AO50" i="77" s="1"/>
  <c r="AO51" i="77" s="1"/>
  <c r="AO52" i="77" s="1"/>
  <c r="AO53" i="77" s="1"/>
  <c r="AO54" i="77" s="1"/>
  <c r="AO55" i="77" s="1"/>
  <c r="AO56" i="77" s="1"/>
  <c r="AO57" i="77" s="1"/>
  <c r="AO58" i="77" s="1"/>
  <c r="AO59" i="77" s="1"/>
  <c r="AO60" i="77" s="1"/>
  <c r="AO61" i="77" s="1"/>
  <c r="AO62" i="77" s="1"/>
  <c r="AO63" i="77" s="1"/>
  <c r="H334" i="80"/>
  <c r="H335" i="80" s="1"/>
  <c r="H336" i="80" s="1"/>
  <c r="H337" i="80" s="1"/>
  <c r="H338" i="80" s="1"/>
  <c r="H339" i="80" s="1"/>
  <c r="H340" i="80" s="1"/>
  <c r="H341" i="80" s="1"/>
  <c r="H342" i="80" s="1"/>
  <c r="H343" i="80" s="1"/>
  <c r="H344" i="80" s="1"/>
  <c r="H345" i="80" s="1"/>
  <c r="H346" i="80" s="1"/>
  <c r="H347" i="80" s="1"/>
  <c r="H348" i="80" s="1"/>
  <c r="H349" i="80" s="1"/>
  <c r="H350" i="80" s="1"/>
  <c r="H351" i="80" s="1"/>
  <c r="H352" i="80" s="1"/>
  <c r="H353" i="80" s="1"/>
  <c r="H354" i="80" s="1"/>
  <c r="H355" i="80" s="1"/>
  <c r="H371" i="80"/>
  <c r="H372" i="80" s="1"/>
  <c r="H373" i="80" s="1"/>
  <c r="AT9" i="1"/>
  <c r="AT12" i="1" s="1"/>
  <c r="AT17" i="1"/>
  <c r="AS9" i="1"/>
  <c r="AS13" i="1" s="1"/>
  <c r="AS8" i="1" s="1"/>
  <c r="AS17" i="1"/>
  <c r="AR9" i="1"/>
  <c r="AR13" i="1" s="1"/>
  <c r="AR8" i="1" s="1"/>
  <c r="AR17" i="1"/>
  <c r="AQ9" i="1"/>
  <c r="AQ12" i="1" s="1"/>
  <c r="AQ17" i="1"/>
  <c r="AP9" i="1"/>
  <c r="AP12" i="1" s="1"/>
  <c r="AP17" i="1"/>
  <c r="H25" i="64"/>
  <c r="H26" i="64" s="1"/>
  <c r="H27" i="64" s="1"/>
  <c r="H28" i="64" s="1"/>
  <c r="H29" i="64" s="1"/>
  <c r="H30" i="64" s="1"/>
  <c r="H31" i="64" s="1"/>
  <c r="H32" i="64" s="1"/>
  <c r="H33" i="64" s="1"/>
  <c r="H34" i="64" s="1"/>
  <c r="AO9" i="1"/>
  <c r="AO13" i="1" s="1"/>
  <c r="AO8" i="1" s="1"/>
  <c r="AO17" i="1"/>
  <c r="AN9" i="1"/>
  <c r="AN13" i="1" s="1"/>
  <c r="AN8" i="1" s="1"/>
  <c r="AN17" i="1"/>
  <c r="AM17" i="1"/>
  <c r="AM9" i="1"/>
  <c r="AM13" i="1" s="1"/>
  <c r="AM8" i="1" s="1"/>
  <c r="AL9" i="1"/>
  <c r="AL12" i="1" s="1"/>
  <c r="AL17" i="1"/>
  <c r="P34" i="67"/>
  <c r="C142" i="55"/>
  <c r="K28" i="71"/>
  <c r="P28" i="71"/>
  <c r="P35" i="72"/>
  <c r="BA13" i="1" l="1"/>
  <c r="BA8" i="1" s="1"/>
  <c r="BA40" i="1" s="1"/>
  <c r="AZ13" i="1"/>
  <c r="AZ8" i="1" s="1"/>
  <c r="AZ40" i="1" s="1"/>
  <c r="AY12" i="1"/>
  <c r="AX12" i="1"/>
  <c r="AY40" i="1"/>
  <c r="AX40" i="1"/>
  <c r="AW40" i="1"/>
  <c r="AW12" i="1"/>
  <c r="AV13" i="1"/>
  <c r="AV8" i="1" s="1"/>
  <c r="AV40" i="1" s="1"/>
  <c r="AU40" i="1"/>
  <c r="AU12" i="1"/>
  <c r="AT13" i="1"/>
  <c r="AT8" i="1" s="1"/>
  <c r="AT40" i="1" s="1"/>
  <c r="AS12" i="1"/>
  <c r="AS40" i="1"/>
  <c r="AR40" i="1"/>
  <c r="AR12" i="1"/>
  <c r="AQ13" i="1"/>
  <c r="AQ8" i="1" s="1"/>
  <c r="AQ40" i="1" s="1"/>
  <c r="AP13" i="1"/>
  <c r="AP8" i="1" s="1"/>
  <c r="AP40" i="1" s="1"/>
  <c r="AO40" i="1"/>
  <c r="AO12" i="1"/>
  <c r="AN40" i="1"/>
  <c r="AN12" i="1"/>
  <c r="AM40" i="1"/>
  <c r="AM12" i="1"/>
  <c r="AL13" i="1"/>
  <c r="AL8" i="1" s="1"/>
  <c r="AL40" i="1" s="1"/>
  <c r="C140" i="55"/>
  <c r="P27" i="71"/>
  <c r="B67" i="69"/>
  <c r="B64" i="69"/>
  <c r="P50" i="73" l="1"/>
  <c r="B9" i="59"/>
  <c r="B10" i="59" s="1"/>
  <c r="B11" i="59" s="1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P43" i="74"/>
  <c r="P26" i="57"/>
  <c r="P24" i="36"/>
  <c r="P49" i="73" l="1"/>
  <c r="P25" i="61"/>
  <c r="P24" i="61"/>
  <c r="P23" i="61"/>
  <c r="P22" i="61"/>
  <c r="P76" i="69" l="1"/>
  <c r="P75" i="69"/>
  <c r="AK45" i="1"/>
  <c r="AK44" i="1"/>
  <c r="AK43" i="1"/>
  <c r="AK42" i="1"/>
  <c r="AK38" i="1"/>
  <c r="AK37" i="1"/>
  <c r="AK36" i="1"/>
  <c r="AK35" i="1"/>
  <c r="AK34" i="1"/>
  <c r="AK33" i="1"/>
  <c r="AK32" i="1"/>
  <c r="AK31" i="1"/>
  <c r="AK30" i="1"/>
  <c r="AK29" i="1"/>
  <c r="AK28" i="1"/>
  <c r="AK27" i="1"/>
  <c r="AK26" i="1"/>
  <c r="AK25" i="1"/>
  <c r="AK24" i="1"/>
  <c r="AK22" i="1"/>
  <c r="AK20" i="1"/>
  <c r="AK19" i="1"/>
  <c r="AK18" i="1"/>
  <c r="AK15" i="1"/>
  <c r="AK14" i="1"/>
  <c r="AK11" i="1"/>
  <c r="AK10" i="1"/>
  <c r="AK4" i="1"/>
  <c r="P74" i="69"/>
  <c r="AK9" i="1" l="1"/>
  <c r="AK12" i="1" s="1"/>
  <c r="AK17" i="1"/>
  <c r="B101" i="63"/>
  <c r="B102" i="63" s="1"/>
  <c r="AK13" i="1" l="1"/>
  <c r="AK8" i="1" s="1"/>
  <c r="AK40" i="1" s="1"/>
  <c r="H96" i="58" l="1"/>
  <c r="H97" i="58" s="1"/>
  <c r="H98" i="58" s="1"/>
  <c r="H99" i="58" s="1"/>
  <c r="H100" i="58" s="1"/>
  <c r="H101" i="58" s="1"/>
  <c r="H102" i="58" s="1"/>
  <c r="H103" i="58" s="1"/>
  <c r="H104" i="58" s="1"/>
  <c r="H105" i="58" s="1"/>
  <c r="H106" i="58" s="1"/>
  <c r="H107" i="58" s="1"/>
  <c r="H108" i="58" s="1"/>
  <c r="H109" i="58" s="1"/>
  <c r="H110" i="58" s="1"/>
  <c r="H111" i="58" s="1"/>
  <c r="H112" i="58" s="1"/>
  <c r="H113" i="58" s="1"/>
  <c r="H114" i="58" s="1"/>
  <c r="H115" i="58" s="1"/>
  <c r="H116" i="58" s="1"/>
  <c r="H117" i="58" s="1"/>
  <c r="H118" i="58" s="1"/>
  <c r="H119" i="58" s="1"/>
  <c r="H120" i="58" s="1"/>
  <c r="H121" i="58" s="1"/>
  <c r="H122" i="58" s="1"/>
  <c r="H123" i="58" s="1"/>
  <c r="H124" i="58" s="1"/>
  <c r="H125" i="58" s="1"/>
  <c r="H126" i="58" s="1"/>
  <c r="H127" i="58" s="1"/>
  <c r="H128" i="58" s="1"/>
  <c r="H129" i="58" s="1"/>
  <c r="H130" i="58" s="1"/>
  <c r="H131" i="58" s="1"/>
  <c r="H132" i="58" s="1"/>
  <c r="H133" i="58" s="1"/>
  <c r="H134" i="58" s="1"/>
  <c r="H135" i="58" s="1"/>
  <c r="H136" i="58" s="1"/>
  <c r="H137" i="58" s="1"/>
  <c r="H138" i="58" s="1"/>
  <c r="H139" i="58" s="1"/>
  <c r="H140" i="58" s="1"/>
  <c r="H141" i="58" s="1"/>
  <c r="H142" i="58" s="1"/>
  <c r="H143" i="58" s="1"/>
  <c r="H144" i="58" s="1"/>
  <c r="H145" i="58" s="1"/>
  <c r="H146" i="58" s="1"/>
  <c r="H147" i="58" s="1"/>
  <c r="H148" i="58" s="1"/>
  <c r="H149" i="58" s="1"/>
  <c r="AW46" i="1" s="1"/>
  <c r="P42" i="74"/>
  <c r="P25" i="57"/>
  <c r="P23" i="36"/>
  <c r="H70" i="77"/>
  <c r="H71" i="77" s="1"/>
  <c r="H72" i="77" s="1"/>
  <c r="H73" i="77" s="1"/>
  <c r="H74" i="77" s="1"/>
  <c r="H75" i="77" s="1"/>
  <c r="H76" i="77" s="1"/>
  <c r="H77" i="77" s="1"/>
  <c r="H78" i="77" s="1"/>
  <c r="H79" i="77" s="1"/>
  <c r="H41" i="77"/>
  <c r="H42" i="77" s="1"/>
  <c r="H43" i="77" s="1"/>
  <c r="H46" i="77"/>
  <c r="H47" i="77" s="1"/>
  <c r="H48" i="77" s="1"/>
  <c r="H49" i="77" s="1"/>
  <c r="H50" i="77" s="1"/>
  <c r="H51" i="77" s="1"/>
  <c r="H52" i="77" s="1"/>
  <c r="H53" i="77" s="1"/>
  <c r="H54" i="77" s="1"/>
  <c r="H55" i="77" s="1"/>
  <c r="H56" i="77" s="1"/>
  <c r="H57" i="77" s="1"/>
  <c r="H58" i="77" s="1"/>
  <c r="H59" i="77" s="1"/>
  <c r="H60" i="77" s="1"/>
  <c r="H61" i="77" s="1"/>
  <c r="H62" i="77" s="1"/>
  <c r="H63" i="77" s="1"/>
  <c r="H64" i="77" s="1"/>
  <c r="H65" i="77" s="1"/>
  <c r="H66" i="77" s="1"/>
  <c r="H67" i="77" s="1"/>
  <c r="H68" i="77" s="1"/>
  <c r="H69" i="77" s="1"/>
  <c r="P48" i="73" l="1"/>
  <c r="D102" i="63" l="1"/>
  <c r="P41" i="74"/>
  <c r="P22" i="36"/>
  <c r="P73" i="69" l="1"/>
  <c r="P47" i="73" l="1"/>
  <c r="P72" i="69"/>
  <c r="P40" i="74"/>
  <c r="P21" i="36"/>
  <c r="P24" i="57"/>
  <c r="P23" i="57"/>
  <c r="B23" i="57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B34" i="57" s="1"/>
  <c r="B35" i="57" s="1"/>
  <c r="B36" i="57" s="1"/>
  <c r="B37" i="57" s="1"/>
  <c r="B38" i="57" s="1"/>
  <c r="B39" i="57" s="1"/>
  <c r="B40" i="57" s="1"/>
  <c r="B41" i="57" s="1"/>
  <c r="B42" i="57" s="1"/>
  <c r="B43" i="57" s="1"/>
  <c r="B44" i="57" s="1"/>
  <c r="B45" i="57" s="1"/>
  <c r="B46" i="57" s="1"/>
  <c r="B47" i="57" s="1"/>
  <c r="B48" i="57" s="1"/>
  <c r="H99" i="63"/>
  <c r="H100" i="63" s="1"/>
  <c r="H101" i="63" s="1"/>
  <c r="H102" i="63" s="1"/>
  <c r="H103" i="63" s="1"/>
  <c r="H104" i="63" s="1"/>
  <c r="H105" i="63" s="1"/>
  <c r="P46" i="73"/>
  <c r="B46" i="73"/>
  <c r="B47" i="73" s="1"/>
  <c r="B48" i="73" s="1"/>
  <c r="B49" i="73" s="1"/>
  <c r="B50" i="73" s="1"/>
  <c r="B51" i="73" s="1"/>
  <c r="B52" i="73" s="1"/>
  <c r="B53" i="73" s="1"/>
  <c r="B54" i="73" s="1"/>
  <c r="B55" i="73" s="1"/>
  <c r="B56" i="73" s="1"/>
  <c r="B57" i="73" s="1"/>
  <c r="B58" i="73" s="1"/>
  <c r="B59" i="73" s="1"/>
  <c r="B60" i="73" s="1"/>
  <c r="B61" i="73" s="1"/>
  <c r="B62" i="73" s="1"/>
  <c r="B63" i="73" s="1"/>
  <c r="B64" i="73" s="1"/>
  <c r="B65" i="73" s="1"/>
  <c r="B66" i="73" s="1"/>
  <c r="B67" i="73" s="1"/>
  <c r="B68" i="73" s="1"/>
  <c r="B69" i="73" s="1"/>
  <c r="B70" i="73" s="1"/>
  <c r="B71" i="73" s="1"/>
  <c r="B72" i="73" s="1"/>
  <c r="B73" i="73" s="1"/>
  <c r="B74" i="73" s="1"/>
  <c r="B75" i="73" s="1"/>
  <c r="B76" i="73" s="1"/>
  <c r="K40" i="73"/>
  <c r="P39" i="74" l="1"/>
  <c r="H72" i="63"/>
  <c r="H73" i="63" s="1"/>
  <c r="H74" i="63" s="1"/>
  <c r="H75" i="63"/>
  <c r="H76" i="63" s="1"/>
  <c r="H77" i="63" s="1"/>
  <c r="H78" i="63" s="1"/>
  <c r="H79" i="63" s="1"/>
  <c r="H80" i="63" s="1"/>
  <c r="H81" i="63" s="1"/>
  <c r="H82" i="63" s="1"/>
  <c r="H83" i="63" s="1"/>
  <c r="H84" i="63" s="1"/>
  <c r="H85" i="63" s="1"/>
  <c r="H86" i="63" s="1"/>
  <c r="H87" i="63" s="1"/>
  <c r="H88" i="63" s="1"/>
  <c r="H89" i="63" s="1"/>
  <c r="H90" i="63" s="1"/>
  <c r="H91" i="63" s="1"/>
  <c r="H92" i="63" s="1"/>
  <c r="H93" i="63" s="1"/>
  <c r="H94" i="63" s="1"/>
  <c r="H95" i="63" s="1"/>
  <c r="H96" i="63" s="1"/>
  <c r="H97" i="63" s="1"/>
  <c r="H98" i="63" s="1"/>
  <c r="H66" i="63"/>
  <c r="H67" i="63" s="1"/>
  <c r="H68" i="63" s="1"/>
  <c r="H69" i="63" s="1"/>
  <c r="H70" i="63" s="1"/>
  <c r="H71" i="63" s="1"/>
  <c r="H48" i="63"/>
  <c r="H49" i="63" s="1"/>
  <c r="H50" i="63" s="1"/>
  <c r="H51" i="63" s="1"/>
  <c r="H52" i="63" s="1"/>
  <c r="H53" i="63" s="1"/>
  <c r="H54" i="63" s="1"/>
  <c r="H55" i="63" s="1"/>
  <c r="H56" i="63" s="1"/>
  <c r="H57" i="63" s="1"/>
  <c r="H58" i="63" s="1"/>
  <c r="H59" i="63" s="1"/>
  <c r="H60" i="63" s="1"/>
  <c r="H61" i="63" s="1"/>
  <c r="H62" i="63" s="1"/>
  <c r="H63" i="63" s="1"/>
  <c r="H64" i="63" s="1"/>
  <c r="H65" i="63" s="1"/>
  <c r="P20" i="36"/>
  <c r="P21" i="61"/>
  <c r="C129" i="55" l="1"/>
  <c r="D54" i="79"/>
  <c r="C54" i="79"/>
  <c r="C130" i="55"/>
  <c r="O36" i="79"/>
  <c r="N36" i="79"/>
  <c r="B9" i="64" l="1"/>
  <c r="B10" i="64" s="1"/>
  <c r="B11" i="64" s="1"/>
  <c r="B12" i="64" s="1"/>
  <c r="B13" i="64" s="1"/>
  <c r="B14" i="64" s="1"/>
  <c r="B15" i="64" s="1"/>
  <c r="B16" i="64" s="1"/>
  <c r="B17" i="64" s="1"/>
  <c r="B18" i="64" s="1"/>
  <c r="B19" i="64" s="1"/>
  <c r="B20" i="64" s="1"/>
  <c r="Z35" i="76" l="1"/>
  <c r="R35" i="76"/>
  <c r="S35" i="76" s="1"/>
  <c r="U35" i="76" s="1"/>
  <c r="P45" i="73"/>
  <c r="AJ45" i="1"/>
  <c r="AJ44" i="1"/>
  <c r="AJ43" i="1"/>
  <c r="AJ42" i="1"/>
  <c r="AJ38" i="1"/>
  <c r="AJ37" i="1"/>
  <c r="AJ36" i="1"/>
  <c r="AJ35" i="1"/>
  <c r="AJ34" i="1"/>
  <c r="AJ33" i="1"/>
  <c r="AJ32" i="1"/>
  <c r="AJ31" i="1"/>
  <c r="AJ30" i="1"/>
  <c r="AJ29" i="1"/>
  <c r="AJ28" i="1"/>
  <c r="AJ27" i="1"/>
  <c r="AJ26" i="1"/>
  <c r="AJ25" i="1"/>
  <c r="AJ24" i="1"/>
  <c r="AJ22" i="1"/>
  <c r="AJ20" i="1"/>
  <c r="AJ19" i="1"/>
  <c r="AJ18" i="1"/>
  <c r="AJ15" i="1"/>
  <c r="AJ14" i="1"/>
  <c r="AJ11" i="1"/>
  <c r="AJ10" i="1"/>
  <c r="AJ4" i="1"/>
  <c r="P44" i="73"/>
  <c r="P26" i="71"/>
  <c r="P38" i="74"/>
  <c r="B52" i="71"/>
  <c r="B53" i="71" s="1"/>
  <c r="B54" i="71" s="1"/>
  <c r="B55" i="71" s="1"/>
  <c r="B56" i="71" s="1"/>
  <c r="B57" i="71" s="1"/>
  <c r="B58" i="71" s="1"/>
  <c r="B59" i="71" s="1"/>
  <c r="B60" i="71" s="1"/>
  <c r="B61" i="71" s="1"/>
  <c r="B62" i="71" s="1"/>
  <c r="B63" i="71" s="1"/>
  <c r="B64" i="71" s="1"/>
  <c r="B65" i="71" s="1"/>
  <c r="B66" i="71" s="1"/>
  <c r="B67" i="71" s="1"/>
  <c r="B68" i="71" s="1"/>
  <c r="B69" i="71" s="1"/>
  <c r="B70" i="71" s="1"/>
  <c r="B71" i="71" s="1"/>
  <c r="B72" i="71" s="1"/>
  <c r="B73" i="71" s="1"/>
  <c r="B74" i="71" s="1"/>
  <c r="B75" i="71" s="1"/>
  <c r="B76" i="71" s="1"/>
  <c r="B77" i="71" s="1"/>
  <c r="B78" i="71" s="1"/>
  <c r="B79" i="71" s="1"/>
  <c r="B80" i="71" s="1"/>
  <c r="B81" i="71" s="1"/>
  <c r="B82" i="71" s="1"/>
  <c r="B83" i="71" s="1"/>
  <c r="B84" i="71" s="1"/>
  <c r="B85" i="71" s="1"/>
  <c r="B86" i="71" s="1"/>
  <c r="B87" i="71" s="1"/>
  <c r="B88" i="71" s="1"/>
  <c r="B89" i="71" s="1"/>
  <c r="B90" i="71" s="1"/>
  <c r="B91" i="71" s="1"/>
  <c r="B92" i="71" s="1"/>
  <c r="B93" i="71" s="1"/>
  <c r="B94" i="71" s="1"/>
  <c r="B95" i="71" s="1"/>
  <c r="B96" i="71" s="1"/>
  <c r="B97" i="71" s="1"/>
  <c r="B98" i="71" s="1"/>
  <c r="B99" i="71" s="1"/>
  <c r="B100" i="71" s="1"/>
  <c r="B101" i="71" s="1"/>
  <c r="B102" i="71" s="1"/>
  <c r="B103" i="71" s="1"/>
  <c r="B104" i="71" s="1"/>
  <c r="P19" i="36"/>
  <c r="P22" i="57"/>
  <c r="P21" i="57"/>
  <c r="P37" i="74"/>
  <c r="P18" i="36"/>
  <c r="P71" i="69"/>
  <c r="P36" i="74"/>
  <c r="X8" i="79"/>
  <c r="X10" i="79" s="1"/>
  <c r="X11" i="79" s="1"/>
  <c r="X14" i="79" s="1"/>
  <c r="X15" i="79" s="1"/>
  <c r="X16" i="79" s="1"/>
  <c r="X18" i="79" s="1"/>
  <c r="X19" i="79" s="1"/>
  <c r="X20" i="79" s="1"/>
  <c r="X21" i="79" s="1"/>
  <c r="X22" i="79" s="1"/>
  <c r="X23" i="79" s="1"/>
  <c r="P35" i="74"/>
  <c r="P70" i="69"/>
  <c r="P69" i="69"/>
  <c r="P20" i="61"/>
  <c r="P19" i="61"/>
  <c r="P18" i="61"/>
  <c r="P17" i="36"/>
  <c r="T35" i="76" l="1"/>
  <c r="AJ17" i="1"/>
  <c r="AJ9" i="1"/>
  <c r="AJ12" i="1" s="1"/>
  <c r="P43" i="73"/>
  <c r="P42" i="73"/>
  <c r="P41" i="73"/>
  <c r="P40" i="73"/>
  <c r="P39" i="73"/>
  <c r="P38" i="73"/>
  <c r="P37" i="73"/>
  <c r="P36" i="73"/>
  <c r="AJ13" i="1" l="1"/>
  <c r="AJ8" i="1" s="1"/>
  <c r="AJ40" i="1" s="1"/>
  <c r="P20" i="57" l="1"/>
  <c r="P19" i="57"/>
  <c r="P18" i="57"/>
  <c r="P17" i="57"/>
  <c r="P16" i="57"/>
  <c r="I7" i="79"/>
  <c r="I9" i="79" s="1"/>
  <c r="P34" i="74"/>
  <c r="P33" i="74"/>
  <c r="P32" i="74"/>
  <c r="AI45" i="1"/>
  <c r="AI44" i="1"/>
  <c r="AI43" i="1"/>
  <c r="AI42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2" i="1"/>
  <c r="AI20" i="1"/>
  <c r="AI19" i="1"/>
  <c r="AI18" i="1"/>
  <c r="AI15" i="1"/>
  <c r="AI14" i="1"/>
  <c r="AI11" i="1"/>
  <c r="AI10" i="1"/>
  <c r="AI4" i="1"/>
  <c r="B86" i="65"/>
  <c r="B87" i="65" s="1"/>
  <c r="B88" i="65" s="1"/>
  <c r="B89" i="65" s="1"/>
  <c r="B90" i="65" s="1"/>
  <c r="B91" i="65" s="1"/>
  <c r="B92" i="65" s="1"/>
  <c r="B93" i="65" s="1"/>
  <c r="B94" i="65" s="1"/>
  <c r="B95" i="65" s="1"/>
  <c r="B96" i="65" s="1"/>
  <c r="B97" i="65" s="1"/>
  <c r="B98" i="65" s="1"/>
  <c r="B99" i="65" s="1"/>
  <c r="B100" i="65" s="1"/>
  <c r="B101" i="65" s="1"/>
  <c r="B102" i="65" s="1"/>
  <c r="B103" i="65" s="1"/>
  <c r="B104" i="65" s="1"/>
  <c r="B105" i="65" s="1"/>
  <c r="B106" i="65" s="1"/>
  <c r="B107" i="65" s="1"/>
  <c r="B108" i="65" s="1"/>
  <c r="B109" i="65" s="1"/>
  <c r="B110" i="65" s="1"/>
  <c r="B111" i="65" s="1"/>
  <c r="B112" i="65" s="1"/>
  <c r="B113" i="65" s="1"/>
  <c r="B114" i="65" s="1"/>
  <c r="B115" i="65" s="1"/>
  <c r="B116" i="65" s="1"/>
  <c r="B117" i="65" s="1"/>
  <c r="P25" i="71"/>
  <c r="P16" i="65"/>
  <c r="AI9" i="1" l="1"/>
  <c r="AI12" i="1" s="1"/>
  <c r="AI17" i="1"/>
  <c r="P24" i="71"/>
  <c r="I10" i="79"/>
  <c r="AI13" i="1" l="1"/>
  <c r="AI8" i="1" s="1"/>
  <c r="AI40" i="1" s="1"/>
  <c r="P33" i="67"/>
  <c r="R8" i="79" l="1"/>
  <c r="B10" i="79"/>
  <c r="B11" i="79" s="1"/>
  <c r="B12" i="79" s="1"/>
  <c r="B13" i="79" s="1"/>
  <c r="B14" i="79" s="1"/>
  <c r="B15" i="79" s="1"/>
  <c r="B16" i="79" s="1"/>
  <c r="B17" i="79" s="1"/>
  <c r="B18" i="79" s="1"/>
  <c r="B19" i="79" s="1"/>
  <c r="B20" i="79" s="1"/>
  <c r="B21" i="79" s="1"/>
  <c r="B22" i="79" s="1"/>
  <c r="B23" i="79" s="1"/>
  <c r="B24" i="79" s="1"/>
  <c r="B25" i="79" s="1"/>
  <c r="B26" i="79" s="1"/>
  <c r="B27" i="79" s="1"/>
  <c r="B28" i="79" s="1"/>
  <c r="B29" i="79" s="1"/>
  <c r="B30" i="79" s="1"/>
  <c r="B31" i="79" s="1"/>
  <c r="B32" i="79" s="1"/>
  <c r="B33" i="79" s="1"/>
  <c r="B34" i="79" s="1"/>
  <c r="B35" i="79" s="1"/>
  <c r="B36" i="79" s="1"/>
  <c r="B37" i="79" s="1"/>
  <c r="B38" i="79" s="1"/>
  <c r="B39" i="79" s="1"/>
  <c r="B40" i="79" s="1"/>
  <c r="H52" i="69"/>
  <c r="H53" i="69" s="1"/>
  <c r="H54" i="69" s="1"/>
  <c r="H55" i="69" s="1"/>
  <c r="H56" i="69" s="1"/>
  <c r="H57" i="69" s="1"/>
  <c r="H58" i="69" s="1"/>
  <c r="H59" i="69" s="1"/>
  <c r="H60" i="69" s="1"/>
  <c r="H61" i="69" s="1"/>
  <c r="H62" i="69"/>
  <c r="H63" i="69" s="1"/>
  <c r="H64" i="69" s="1"/>
  <c r="H65" i="69" s="1"/>
  <c r="H66" i="69" s="1"/>
  <c r="H67" i="69" s="1"/>
  <c r="P68" i="69"/>
  <c r="P67" i="69"/>
  <c r="R10" i="79" l="1"/>
  <c r="R9" i="79"/>
  <c r="H68" i="69"/>
  <c r="H69" i="69" s="1"/>
  <c r="H70" i="69" s="1"/>
  <c r="H71" i="69" s="1"/>
  <c r="H72" i="69" s="1"/>
  <c r="H73" i="69" s="1"/>
  <c r="H74" i="69" s="1"/>
  <c r="H75" i="69" s="1"/>
  <c r="H76" i="69" s="1"/>
  <c r="H77" i="69" s="1"/>
  <c r="H78" i="69" s="1"/>
  <c r="H79" i="69" s="1"/>
  <c r="H80" i="69" s="1"/>
  <c r="H81" i="69" s="1"/>
  <c r="H82" i="69" s="1"/>
  <c r="H83" i="69" s="1"/>
  <c r="H84" i="69" s="1"/>
  <c r="H85" i="69" s="1"/>
  <c r="H86" i="69" s="1"/>
  <c r="H87" i="69" s="1"/>
  <c r="H88" i="69" s="1"/>
  <c r="H89" i="69" s="1"/>
  <c r="H90" i="69" s="1"/>
  <c r="AJ46" i="1"/>
  <c r="Q89" i="76"/>
  <c r="P66" i="69" l="1"/>
  <c r="P65" i="69"/>
  <c r="P64" i="69"/>
  <c r="P63" i="69"/>
  <c r="P62" i="69"/>
  <c r="P35" i="73"/>
  <c r="B35" i="73"/>
  <c r="B36" i="73" s="1"/>
  <c r="B37" i="73" s="1"/>
  <c r="B38" i="73" s="1"/>
  <c r="B39" i="73" s="1"/>
  <c r="B40" i="73" s="1"/>
  <c r="B41" i="73" s="1"/>
  <c r="B42" i="73" s="1"/>
  <c r="P34" i="73"/>
  <c r="P31" i="74"/>
  <c r="P30" i="74"/>
  <c r="P29" i="74"/>
  <c r="B24" i="74"/>
  <c r="B25" i="74" s="1"/>
  <c r="B26" i="74" s="1"/>
  <c r="B27" i="74" s="1"/>
  <c r="B28" i="74" s="1"/>
  <c r="B29" i="74" s="1"/>
  <c r="B30" i="74" s="1"/>
  <c r="B31" i="74" s="1"/>
  <c r="B32" i="74" s="1"/>
  <c r="B33" i="74" s="1"/>
  <c r="B34" i="74" s="1"/>
  <c r="B35" i="74" s="1"/>
  <c r="B36" i="74" s="1"/>
  <c r="B37" i="74" s="1"/>
  <c r="B38" i="74" s="1"/>
  <c r="B39" i="74" s="1"/>
  <c r="B40" i="74" s="1"/>
  <c r="B41" i="74" s="1"/>
  <c r="B42" i="74" s="1"/>
  <c r="B43" i="74" s="1"/>
  <c r="B44" i="74" s="1"/>
  <c r="B45" i="74" s="1"/>
  <c r="B46" i="74" s="1"/>
  <c r="B47" i="74" s="1"/>
  <c r="B49" i="74" s="1"/>
  <c r="B50" i="74" s="1"/>
  <c r="B51" i="74" s="1"/>
  <c r="B52" i="74" s="1"/>
  <c r="B53" i="74" s="1"/>
  <c r="B54" i="74" s="1"/>
  <c r="B55" i="74" s="1"/>
  <c r="B56" i="74" s="1"/>
  <c r="B57" i="74" s="1"/>
  <c r="B58" i="74" s="1"/>
  <c r="B59" i="74" s="1"/>
  <c r="B60" i="74" s="1"/>
  <c r="B61" i="74" s="1"/>
  <c r="B62" i="74" s="1"/>
  <c r="B63" i="74" s="1"/>
  <c r="B64" i="74" s="1"/>
  <c r="B65" i="74" s="1"/>
  <c r="B66" i="74" s="1"/>
  <c r="B67" i="74" s="1"/>
  <c r="B68" i="74" s="1"/>
  <c r="B69" i="74" s="1"/>
  <c r="B70" i="74" s="1"/>
  <c r="B71" i="74" s="1"/>
  <c r="B72" i="74" s="1"/>
  <c r="B73" i="74" s="1"/>
  <c r="B74" i="74" s="1"/>
  <c r="B75" i="74" s="1"/>
  <c r="B76" i="74" s="1"/>
  <c r="AH4" i="1" l="1"/>
  <c r="AH45" i="1"/>
  <c r="AH44" i="1"/>
  <c r="AH43" i="1"/>
  <c r="AH42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2" i="1"/>
  <c r="AH20" i="1"/>
  <c r="AH19" i="1"/>
  <c r="AH18" i="1"/>
  <c r="AH15" i="1"/>
  <c r="AH14" i="1"/>
  <c r="AH11" i="1"/>
  <c r="AH10" i="1"/>
  <c r="P33" i="73"/>
  <c r="P32" i="73"/>
  <c r="P32" i="67"/>
  <c r="B9" i="61"/>
  <c r="B10" i="61" s="1"/>
  <c r="B11" i="61" s="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P31" i="67"/>
  <c r="P31" i="73"/>
  <c r="P30" i="73"/>
  <c r="P29" i="73"/>
  <c r="H69" i="67"/>
  <c r="H70" i="67" s="1"/>
  <c r="H71" i="67" s="1"/>
  <c r="H72" i="67" s="1"/>
  <c r="H73" i="67" s="1"/>
  <c r="H74" i="67" s="1"/>
  <c r="H75" i="67" s="1"/>
  <c r="H76" i="67" s="1"/>
  <c r="H77" i="67" s="1"/>
  <c r="H78" i="67" s="1"/>
  <c r="H79" i="67" s="1"/>
  <c r="H80" i="67" s="1"/>
  <c r="H81" i="67" s="1"/>
  <c r="H82" i="67" s="1"/>
  <c r="H83" i="67" s="1"/>
  <c r="H84" i="67" s="1"/>
  <c r="H85" i="67" s="1"/>
  <c r="H86" i="67" s="1"/>
  <c r="H87" i="67" s="1"/>
  <c r="H88" i="67" s="1"/>
  <c r="H89" i="67" s="1"/>
  <c r="H90" i="67" s="1"/>
  <c r="H91" i="67" s="1"/>
  <c r="H92" i="67" s="1"/>
  <c r="H93" i="67" s="1"/>
  <c r="H94" i="67" s="1"/>
  <c r="H95" i="67" s="1"/>
  <c r="H96" i="67" s="1"/>
  <c r="H97" i="67" s="1"/>
  <c r="H98" i="67" s="1"/>
  <c r="H99" i="67" s="1"/>
  <c r="H100" i="67" s="1"/>
  <c r="H101" i="67" s="1"/>
  <c r="H102" i="67" s="1"/>
  <c r="H103" i="67" s="1"/>
  <c r="H104" i="67" s="1"/>
  <c r="H105" i="67" s="1"/>
  <c r="H106" i="67" s="1"/>
  <c r="H107" i="67" s="1"/>
  <c r="H108" i="67" s="1"/>
  <c r="H109" i="67" s="1"/>
  <c r="H110" i="67" s="1"/>
  <c r="H111" i="67" s="1"/>
  <c r="H112" i="67" s="1"/>
  <c r="H113" i="67" s="1"/>
  <c r="H114" i="67" s="1"/>
  <c r="H115" i="67" s="1"/>
  <c r="AH9" i="1" l="1"/>
  <c r="AH12" i="1" s="1"/>
  <c r="AH17" i="1"/>
  <c r="P28" i="74"/>
  <c r="AH13" i="1" l="1"/>
  <c r="AH8" i="1" s="1"/>
  <c r="AH40" i="1" s="1"/>
  <c r="H83" i="58" l="1"/>
  <c r="H84" i="58" s="1"/>
  <c r="H85" i="58" s="1"/>
  <c r="H86" i="58" s="1"/>
  <c r="H87" i="58" s="1"/>
  <c r="H88" i="58" s="1"/>
  <c r="H89" i="58" s="1"/>
  <c r="H90" i="58" s="1"/>
  <c r="H91" i="58" s="1"/>
  <c r="H92" i="58" s="1"/>
  <c r="H93" i="58" s="1"/>
  <c r="H94" i="58" s="1"/>
  <c r="H95" i="58" s="1"/>
  <c r="B84" i="58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41" i="79"/>
  <c r="B42" i="79" s="1"/>
  <c r="B43" i="79" s="1"/>
  <c r="D50" i="79"/>
  <c r="B44" i="79" l="1"/>
  <c r="B45" i="79" s="1"/>
  <c r="B46" i="79" s="1"/>
  <c r="B47" i="79" s="1"/>
  <c r="B48" i="79" s="1"/>
  <c r="B49" i="79" s="1"/>
  <c r="B50" i="79" s="1"/>
  <c r="P61" i="69"/>
  <c r="P60" i="69"/>
  <c r="AG45" i="1" l="1"/>
  <c r="AG44" i="1"/>
  <c r="AG43" i="1"/>
  <c r="AG42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2" i="1"/>
  <c r="AG20" i="1"/>
  <c r="AG19" i="1"/>
  <c r="AG18" i="1"/>
  <c r="AG15" i="1"/>
  <c r="AG14" i="1"/>
  <c r="AG11" i="1"/>
  <c r="AG10" i="1"/>
  <c r="AG4" i="1"/>
  <c r="P23" i="71"/>
  <c r="P30" i="67"/>
  <c r="P27" i="74"/>
  <c r="AG9" i="1" l="1"/>
  <c r="AG12" i="1" s="1"/>
  <c r="AG17" i="1"/>
  <c r="D29" i="73"/>
  <c r="P28" i="73"/>
  <c r="AG13" i="1" l="1"/>
  <c r="AG8" i="1" s="1"/>
  <c r="AG40" i="1" s="1"/>
  <c r="P26" i="74"/>
  <c r="Z33" i="76"/>
  <c r="Y33" i="76"/>
  <c r="R33" i="76"/>
  <c r="S33" i="76" l="1"/>
  <c r="U33" i="76" s="1"/>
  <c r="AR9" i="77"/>
  <c r="AR8" i="77"/>
  <c r="AR10" i="77"/>
  <c r="AR7" i="77"/>
  <c r="AR2" i="77"/>
  <c r="V10" i="77"/>
  <c r="V9" i="77"/>
  <c r="V8" i="77"/>
  <c r="K10" i="77"/>
  <c r="T33" i="76" l="1"/>
  <c r="AR11" i="77"/>
  <c r="AR13" i="77" s="1"/>
  <c r="AR12" i="77"/>
  <c r="O33" i="77" l="1"/>
  <c r="N33" i="77"/>
  <c r="O31" i="77"/>
  <c r="N31" i="77"/>
  <c r="V2" i="77" s="1"/>
  <c r="M28" i="77"/>
  <c r="M29" i="77" s="1"/>
  <c r="M31" i="77" s="1"/>
  <c r="M33" i="77" s="1"/>
  <c r="M12" i="77"/>
  <c r="M13" i="77" s="1"/>
  <c r="M14" i="77" s="1"/>
  <c r="M17" i="77" s="1"/>
  <c r="M18" i="77" s="1"/>
  <c r="M19" i="77" s="1"/>
  <c r="M20" i="77" s="1"/>
  <c r="AO7" i="77"/>
  <c r="AO8" i="77" s="1"/>
  <c r="AO9" i="77" s="1"/>
  <c r="AO10" i="77" s="1"/>
  <c r="AO11" i="77" s="1"/>
  <c r="AO12" i="77" s="1"/>
  <c r="AO13" i="77" s="1"/>
  <c r="AO14" i="77" s="1"/>
  <c r="AO15" i="77" s="1"/>
  <c r="AO16" i="77" s="1"/>
  <c r="AO17" i="77" s="1"/>
  <c r="AO18" i="77" s="1"/>
  <c r="AO19" i="77" s="1"/>
  <c r="AO20" i="77" s="1"/>
  <c r="AO21" i="77" s="1"/>
  <c r="AO22" i="77" s="1"/>
  <c r="AO23" i="77" s="1"/>
  <c r="AN2" i="77"/>
  <c r="AR4" i="77" s="1"/>
  <c r="K8" i="77"/>
  <c r="K9" i="77"/>
  <c r="B8" i="57"/>
  <c r="B9" i="57" s="1"/>
  <c r="B10" i="57" s="1"/>
  <c r="B11" i="57" s="1"/>
  <c r="B12" i="57" s="1"/>
  <c r="B13" i="57" s="1"/>
  <c r="B14" i="57" s="1"/>
  <c r="B15" i="57" s="1"/>
  <c r="B16" i="57" s="1"/>
  <c r="B17" i="57" s="1"/>
  <c r="B18" i="57" s="1"/>
  <c r="B19" i="57" s="1"/>
  <c r="B20" i="57" s="1"/>
  <c r="P59" i="69"/>
  <c r="P58" i="69"/>
  <c r="V7" i="77" l="1"/>
  <c r="R2" i="77"/>
  <c r="V3" i="77" s="1"/>
  <c r="AR3" i="77"/>
  <c r="G2" i="73"/>
  <c r="G2" i="79"/>
  <c r="V12" i="77" l="1"/>
  <c r="V11" i="77"/>
  <c r="V13" i="77" s="1"/>
  <c r="V4" i="77"/>
  <c r="P27" i="73"/>
  <c r="B105" i="62"/>
  <c r="B106" i="62" s="1"/>
  <c r="B107" i="62" s="1"/>
  <c r="B108" i="62" s="1"/>
  <c r="B109" i="62" s="1"/>
  <c r="B110" i="62" s="1"/>
  <c r="B111" i="62" s="1"/>
  <c r="B112" i="62" s="1"/>
  <c r="B113" i="62" s="1"/>
  <c r="B114" i="62" s="1"/>
  <c r="B115" i="62" s="1"/>
  <c r="B116" i="62" s="1"/>
  <c r="P25" i="74"/>
  <c r="P57" i="69"/>
  <c r="G632" i="55"/>
  <c r="P26" i="73"/>
  <c r="AF4" i="1"/>
  <c r="AE4" i="1"/>
  <c r="AF45" i="1"/>
  <c r="AF44" i="1"/>
  <c r="AF43" i="1"/>
  <c r="AF42" i="1"/>
  <c r="AF38" i="1"/>
  <c r="AF37" i="1"/>
  <c r="AF36" i="1"/>
  <c r="AF35" i="1"/>
  <c r="AF34" i="1"/>
  <c r="AF33" i="1"/>
  <c r="AF32" i="1"/>
  <c r="AF31" i="1"/>
  <c r="AF30" i="1"/>
  <c r="AF29" i="1"/>
  <c r="AF28" i="1"/>
  <c r="AF27" i="1"/>
  <c r="AF26" i="1"/>
  <c r="AF25" i="1"/>
  <c r="AF24" i="1"/>
  <c r="AF22" i="1"/>
  <c r="AF20" i="1"/>
  <c r="AF19" i="1"/>
  <c r="AF18" i="1"/>
  <c r="AF15" i="1"/>
  <c r="AF14" i="1"/>
  <c r="AF11" i="1"/>
  <c r="AF10" i="1"/>
  <c r="P56" i="69"/>
  <c r="P17" i="62"/>
  <c r="H103" i="62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K82" i="63"/>
  <c r="X28" i="77"/>
  <c r="X33" i="77" s="1"/>
  <c r="X36" i="77" s="1"/>
  <c r="X38" i="77" s="1"/>
  <c r="X39" i="77" s="1"/>
  <c r="X45" i="77" s="1"/>
  <c r="X48" i="77" s="1"/>
  <c r="X53" i="77" s="1"/>
  <c r="X54" i="77" s="1"/>
  <c r="X55" i="77" s="1"/>
  <c r="X61" i="77" s="1"/>
  <c r="X63" i="77" s="1"/>
  <c r="X65" i="77" s="1"/>
  <c r="X67" i="77" s="1"/>
  <c r="X69" i="77" s="1"/>
  <c r="X71" i="77" s="1"/>
  <c r="X73" i="77" s="1"/>
  <c r="X75" i="77" s="1"/>
  <c r="X77" i="77" s="1"/>
  <c r="X79" i="77" s="1"/>
  <c r="X84" i="77" s="1"/>
  <c r="X86" i="77" s="1"/>
  <c r="X88" i="77" s="1"/>
  <c r="X90" i="77" s="1"/>
  <c r="X92" i="77" s="1"/>
  <c r="X94" i="77" s="1"/>
  <c r="X98" i="77" s="1"/>
  <c r="X101" i="77" s="1"/>
  <c r="X103" i="77" s="1"/>
  <c r="X105" i="77" s="1"/>
  <c r="X109" i="77" s="1"/>
  <c r="X111" i="77" s="1"/>
  <c r="X113" i="77" s="1"/>
  <c r="X114" i="77" s="1"/>
  <c r="X122" i="77" s="1"/>
  <c r="X123" i="77" s="1"/>
  <c r="X126" i="77" s="1"/>
  <c r="X128" i="77" s="1"/>
  <c r="X138" i="77" s="1"/>
  <c r="X139" i="77" s="1"/>
  <c r="X140" i="77" s="1"/>
  <c r="X141" i="77" s="1"/>
  <c r="X144" i="77" s="1"/>
  <c r="X148" i="77" s="1"/>
  <c r="X152" i="77" s="1"/>
  <c r="X154" i="77" s="1"/>
  <c r="X155" i="77" s="1"/>
  <c r="X156" i="77" s="1"/>
  <c r="X157" i="77" s="1"/>
  <c r="X162" i="77" s="1"/>
  <c r="X163" i="77" s="1"/>
  <c r="X177" i="77" s="1"/>
  <c r="X178" i="77" s="1"/>
  <c r="X179" i="77" s="1"/>
  <c r="X180" i="77" s="1"/>
  <c r="X183" i="77" s="1"/>
  <c r="X189" i="77" s="1"/>
  <c r="X190" i="77" s="1"/>
  <c r="X191" i="77" s="1"/>
  <c r="X192" i="77" s="1"/>
  <c r="X198" i="77" s="1"/>
  <c r="X200" i="77" s="1"/>
  <c r="X201" i="77" s="1"/>
  <c r="X203" i="77" s="1"/>
  <c r="X204" i="77" s="1"/>
  <c r="X206" i="77" s="1"/>
  <c r="X207" i="77" s="1"/>
  <c r="X208" i="77" s="1"/>
  <c r="X209" i="77" s="1"/>
  <c r="X213" i="77" s="1"/>
  <c r="X214" i="77" s="1"/>
  <c r="X215" i="77" s="1"/>
  <c r="X216" i="77" s="1"/>
  <c r="X217" i="77" s="1"/>
  <c r="X218" i="77" s="1"/>
  <c r="X220" i="77" s="1"/>
  <c r="X221" i="77" s="1"/>
  <c r="X222" i="77" s="1"/>
  <c r="X223" i="77" s="1"/>
  <c r="X224" i="77" s="1"/>
  <c r="X225" i="77" s="1"/>
  <c r="X226" i="77" s="1"/>
  <c r="X227" i="77" s="1"/>
  <c r="X228" i="77" s="1"/>
  <c r="X229" i="77" s="1"/>
  <c r="X230" i="77" s="1"/>
  <c r="X231" i="77" s="1"/>
  <c r="X232" i="77" s="1"/>
  <c r="X233" i="77" s="1"/>
  <c r="X234" i="77" s="1"/>
  <c r="X235" i="77" s="1"/>
  <c r="X236" i="77" s="1"/>
  <c r="X237" i="77" s="1"/>
  <c r="X238" i="77" s="1"/>
  <c r="P24" i="74"/>
  <c r="AF9" i="1" l="1"/>
  <c r="AF13" i="1" s="1"/>
  <c r="AF8" i="1" s="1"/>
  <c r="AF17" i="1"/>
  <c r="AF12" i="1" l="1"/>
  <c r="AF40" i="1"/>
  <c r="P25" i="73" l="1"/>
  <c r="B25" i="73"/>
  <c r="B26" i="73" s="1"/>
  <c r="B27" i="73" s="1"/>
  <c r="B28" i="73" s="1"/>
  <c r="B29" i="73" s="1"/>
  <c r="B30" i="73" s="1"/>
  <c r="B31" i="73" s="1"/>
  <c r="P55" i="69"/>
  <c r="P54" i="69"/>
  <c r="B82" i="65"/>
  <c r="B83" i="65" s="1"/>
  <c r="B78" i="63"/>
  <c r="B79" i="63" s="1"/>
  <c r="B80" i="63" s="1"/>
  <c r="B81" i="63" s="1"/>
  <c r="B82" i="63" s="1"/>
  <c r="B83" i="63" s="1"/>
  <c r="B84" i="63" s="1"/>
  <c r="B85" i="63" s="1"/>
  <c r="B86" i="63" s="1"/>
  <c r="B87" i="63" s="1"/>
  <c r="B88" i="63" s="1"/>
  <c r="B89" i="63" s="1"/>
  <c r="B90" i="63" s="1"/>
  <c r="B91" i="63" s="1"/>
  <c r="B92" i="63" s="1"/>
  <c r="B93" i="63" s="1"/>
  <c r="B94" i="63" s="1"/>
  <c r="B95" i="63" s="1"/>
  <c r="B96" i="63" s="1"/>
  <c r="B97" i="63" s="1"/>
  <c r="B98" i="63" s="1"/>
  <c r="P23" i="74"/>
  <c r="P22" i="71"/>
  <c r="P24" i="73"/>
  <c r="B101" i="62"/>
  <c r="B102" i="62" s="1"/>
  <c r="P23" i="73"/>
  <c r="P53" i="69" l="1"/>
  <c r="B53" i="69"/>
  <c r="B54" i="69" s="1"/>
  <c r="B55" i="69" s="1"/>
  <c r="B56" i="69" s="1"/>
  <c r="B57" i="69" s="1"/>
  <c r="B58" i="69" s="1"/>
  <c r="B59" i="69" s="1"/>
  <c r="B60" i="69" s="1"/>
  <c r="B61" i="69" s="1"/>
  <c r="G566" i="55"/>
  <c r="P22" i="74"/>
  <c r="Z37" i="77"/>
  <c r="Y37" i="77"/>
  <c r="Z36" i="77"/>
  <c r="AG2" i="77"/>
  <c r="P22" i="73"/>
  <c r="P16" i="62"/>
  <c r="H100" i="62"/>
  <c r="H101" i="62" s="1"/>
  <c r="H102" i="62" s="1"/>
  <c r="AC2" i="77" l="1"/>
  <c r="AE45" i="1"/>
  <c r="AE44" i="1"/>
  <c r="AE43" i="1"/>
  <c r="AE42" i="1"/>
  <c r="AE38" i="1"/>
  <c r="AE37" i="1"/>
  <c r="AE36" i="1"/>
  <c r="AE35" i="1"/>
  <c r="AE34" i="1"/>
  <c r="AE33" i="1"/>
  <c r="AE32" i="1"/>
  <c r="AE31" i="1"/>
  <c r="AE30" i="1"/>
  <c r="AE29" i="1"/>
  <c r="AE28" i="1"/>
  <c r="AE27" i="1"/>
  <c r="AE26" i="1"/>
  <c r="AE25" i="1"/>
  <c r="AE24" i="1"/>
  <c r="AE22" i="1"/>
  <c r="AE20" i="1"/>
  <c r="AE19" i="1"/>
  <c r="AE18" i="1"/>
  <c r="AE15" i="1"/>
  <c r="AE14" i="1"/>
  <c r="AE11" i="1"/>
  <c r="AE10" i="1"/>
  <c r="P34" i="72"/>
  <c r="P52" i="69"/>
  <c r="P29" i="67"/>
  <c r="P28" i="67"/>
  <c r="P21" i="73"/>
  <c r="P21" i="74"/>
  <c r="P20" i="73"/>
  <c r="AG4" i="77" l="1"/>
  <c r="AG3" i="77"/>
  <c r="AG11" i="77"/>
  <c r="AG13" i="77" s="1"/>
  <c r="AG12" i="77"/>
  <c r="AE9" i="1"/>
  <c r="AE12" i="1" s="1"/>
  <c r="U6" i="76"/>
  <c r="U20" i="76"/>
  <c r="U21" i="76"/>
  <c r="U22" i="76"/>
  <c r="U24" i="76"/>
  <c r="U25" i="76"/>
  <c r="U5" i="76"/>
  <c r="U7" i="76"/>
  <c r="U9" i="76"/>
  <c r="U10" i="76"/>
  <c r="U11" i="76"/>
  <c r="U12" i="76"/>
  <c r="U13" i="76"/>
  <c r="U14" i="76"/>
  <c r="U15" i="76"/>
  <c r="U16" i="76"/>
  <c r="U17" i="76"/>
  <c r="U18" i="76"/>
  <c r="U19" i="76"/>
  <c r="AA6" i="76"/>
  <c r="Z6" i="76"/>
  <c r="AB7" i="76"/>
  <c r="AB6" i="76"/>
  <c r="AE13" i="1" l="1"/>
  <c r="AE8" i="1" s="1"/>
  <c r="Z31" i="76"/>
  <c r="Z32" i="76"/>
  <c r="Z34" i="76"/>
  <c r="Z22" i="76"/>
  <c r="Z23" i="76"/>
  <c r="Z24" i="76"/>
  <c r="Z25" i="76"/>
  <c r="Z26" i="76"/>
  <c r="Z27" i="76"/>
  <c r="Z28" i="76"/>
  <c r="Z29" i="76"/>
  <c r="Z30" i="76"/>
  <c r="Z7" i="76"/>
  <c r="Z8" i="76"/>
  <c r="Z9" i="76"/>
  <c r="Z10" i="76"/>
  <c r="Z11" i="76"/>
  <c r="Z12" i="76"/>
  <c r="Z13" i="76"/>
  <c r="Z14" i="76"/>
  <c r="Z15" i="76"/>
  <c r="Z16" i="76"/>
  <c r="Z17" i="76"/>
  <c r="Z18" i="76"/>
  <c r="Z19" i="76"/>
  <c r="Z20" i="76"/>
  <c r="Z21" i="76"/>
  <c r="Y25" i="76" l="1"/>
  <c r="Y26" i="76"/>
  <c r="Y27" i="76"/>
  <c r="Y28" i="76"/>
  <c r="Y29" i="76"/>
  <c r="Y30" i="76"/>
  <c r="Y31" i="76"/>
  <c r="Y32" i="76"/>
  <c r="Y34" i="76"/>
  <c r="AD7" i="79" l="1"/>
  <c r="AD8" i="79" s="1"/>
  <c r="AD9" i="79" s="1"/>
  <c r="AD10" i="79" s="1"/>
  <c r="AD11" i="79" s="1"/>
  <c r="AD12" i="79" s="1"/>
  <c r="AD13" i="79" s="1"/>
  <c r="AD14" i="79" s="1"/>
  <c r="AD15" i="79" s="1"/>
  <c r="AD16" i="79" s="1"/>
  <c r="AD17" i="79" s="1"/>
  <c r="AD18" i="79" s="1"/>
  <c r="AD19" i="79" s="1"/>
  <c r="AD20" i="79" s="1"/>
  <c r="AD21" i="79" s="1"/>
  <c r="AD22" i="79" s="1"/>
  <c r="AD23" i="79" s="1"/>
  <c r="AD24" i="79" s="1"/>
  <c r="AC2" i="79"/>
  <c r="Z14" i="80"/>
  <c r="R34" i="80" l="1"/>
  <c r="R35" i="80"/>
  <c r="R36" i="80"/>
  <c r="R38" i="80"/>
  <c r="R39" i="80"/>
  <c r="L200" i="80"/>
  <c r="H235" i="80"/>
  <c r="H236" i="80" s="1"/>
  <c r="H237" i="80" s="1"/>
  <c r="H238" i="80"/>
  <c r="H239" i="80" s="1"/>
  <c r="H240" i="80" s="1"/>
  <c r="H241" i="80" s="1"/>
  <c r="H242" i="80" s="1"/>
  <c r="H243" i="80" s="1"/>
  <c r="H244" i="80" s="1"/>
  <c r="H245" i="80" s="1"/>
  <c r="H209" i="80"/>
  <c r="H210" i="80" s="1"/>
  <c r="H211" i="80" s="1"/>
  <c r="H212" i="80" s="1"/>
  <c r="H213" i="80" s="1"/>
  <c r="H214" i="80" s="1"/>
  <c r="H215" i="80" s="1"/>
  <c r="H216" i="80" s="1"/>
  <c r="H217" i="80" s="1"/>
  <c r="H218" i="80" s="1"/>
  <c r="H219" i="80" s="1"/>
  <c r="H220" i="80" s="1"/>
  <c r="H221" i="80" s="1"/>
  <c r="H222" i="80" s="1"/>
  <c r="H223" i="80" s="1"/>
  <c r="H224" i="80" s="1"/>
  <c r="H225" i="80" s="1"/>
  <c r="H226" i="80" s="1"/>
  <c r="H227" i="80" s="1"/>
  <c r="H228" i="80" s="1"/>
  <c r="H229" i="80" s="1"/>
  <c r="H230" i="80" s="1"/>
  <c r="H231" i="80" s="1"/>
  <c r="H232" i="80" s="1"/>
  <c r="H233" i="80" s="1"/>
  <c r="H234" i="80" s="1"/>
  <c r="D241" i="80"/>
  <c r="R37" i="80" s="1"/>
  <c r="B234" i="80"/>
  <c r="B235" i="80" s="1"/>
  <c r="B236" i="80" s="1"/>
  <c r="B237" i="80" s="1"/>
  <c r="B238" i="80" s="1"/>
  <c r="B239" i="80" s="1"/>
  <c r="B240" i="80" s="1"/>
  <c r="B241" i="80" s="1"/>
  <c r="B229" i="80"/>
  <c r="B230" i="80" s="1"/>
  <c r="C226" i="80"/>
  <c r="Z13" i="80"/>
  <c r="R30" i="80"/>
  <c r="R31" i="80"/>
  <c r="R32" i="80"/>
  <c r="R33" i="80"/>
  <c r="H175" i="80"/>
  <c r="H176" i="80" s="1"/>
  <c r="H177" i="80" s="1"/>
  <c r="H178" i="80" s="1"/>
  <c r="H179" i="80" s="1"/>
  <c r="H180" i="80" s="1"/>
  <c r="H181" i="80"/>
  <c r="H182" i="80" s="1"/>
  <c r="H183" i="80" s="1"/>
  <c r="H184" i="80" s="1"/>
  <c r="H185" i="80" s="1"/>
  <c r="H186" i="80" s="1"/>
  <c r="H187" i="80" s="1"/>
  <c r="H188" i="80" s="1"/>
  <c r="H189" i="80" s="1"/>
  <c r="H190" i="80" s="1"/>
  <c r="H191" i="80" s="1"/>
  <c r="H199" i="80" s="1"/>
  <c r="H200" i="80" s="1"/>
  <c r="H201" i="80" s="1"/>
  <c r="H202" i="80" s="1"/>
  <c r="H203" i="80" s="1"/>
  <c r="H204" i="80" s="1"/>
  <c r="H205" i="80" s="1"/>
  <c r="H206" i="80" s="1"/>
  <c r="H207" i="80" s="1"/>
  <c r="H208" i="80" s="1"/>
  <c r="B185" i="80"/>
  <c r="B186" i="80" s="1"/>
  <c r="B187" i="80" s="1"/>
  <c r="B188" i="80" s="1"/>
  <c r="B189" i="80" s="1"/>
  <c r="B190" i="80" s="1"/>
  <c r="B191" i="80" s="1"/>
  <c r="B192" i="80" s="1"/>
  <c r="B179" i="80"/>
  <c r="B180" i="80" s="1"/>
  <c r="M9" i="79" l="1"/>
  <c r="M10" i="79" s="1"/>
  <c r="M11" i="79" s="1"/>
  <c r="M12" i="79" s="1"/>
  <c r="M13" i="79" s="1"/>
  <c r="M14" i="79" s="1"/>
  <c r="R29" i="80"/>
  <c r="R28" i="80"/>
  <c r="R27" i="80"/>
  <c r="R26" i="80"/>
  <c r="H154" i="80"/>
  <c r="H155" i="80" s="1"/>
  <c r="H156" i="80" s="1"/>
  <c r="H157" i="80" s="1"/>
  <c r="H158" i="80" s="1"/>
  <c r="H159" i="80" s="1"/>
  <c r="H160" i="80"/>
  <c r="H161" i="80"/>
  <c r="B164" i="80"/>
  <c r="B165" i="80" s="1"/>
  <c r="B166" i="80" s="1"/>
  <c r="B167" i="80" s="1"/>
  <c r="B168" i="80" s="1"/>
  <c r="B169" i="80" s="1"/>
  <c r="B170" i="80" s="1"/>
  <c r="B171" i="80" s="1"/>
  <c r="B172" i="80" s="1"/>
  <c r="B173" i="80" s="1"/>
  <c r="B174" i="80" s="1"/>
  <c r="C162" i="80"/>
  <c r="F39" i="1"/>
  <c r="F16" i="1"/>
  <c r="F47" i="1"/>
  <c r="D39" i="1"/>
  <c r="D16" i="1"/>
  <c r="L126" i="80"/>
  <c r="Z12" i="80"/>
  <c r="Z11" i="80"/>
  <c r="R25" i="80"/>
  <c r="R24" i="80"/>
  <c r="Z10" i="80"/>
  <c r="Z9" i="80"/>
  <c r="M2" i="59"/>
  <c r="B138" i="81"/>
  <c r="B137" i="81"/>
  <c r="B136" i="81"/>
  <c r="B135" i="81"/>
  <c r="H81" i="81"/>
  <c r="H82" i="81" s="1"/>
  <c r="H83" i="81" s="1"/>
  <c r="H84" i="81" s="1"/>
  <c r="H85" i="81" s="1"/>
  <c r="H86" i="81" s="1"/>
  <c r="H87" i="81" s="1"/>
  <c r="H88" i="81" s="1"/>
  <c r="H89" i="81" s="1"/>
  <c r="H90" i="81" s="1"/>
  <c r="H91" i="81" s="1"/>
  <c r="H92" i="81" s="1"/>
  <c r="H93" i="81" s="1"/>
  <c r="H94" i="81" s="1"/>
  <c r="H95" i="81" s="1"/>
  <c r="H96" i="81" s="1"/>
  <c r="H97" i="81" s="1"/>
  <c r="H98" i="81" s="1"/>
  <c r="H99" i="81" s="1"/>
  <c r="H100" i="81" s="1"/>
  <c r="H101" i="81" s="1"/>
  <c r="H102" i="81" s="1"/>
  <c r="H103" i="81" s="1"/>
  <c r="H104" i="81" s="1"/>
  <c r="H105" i="81" s="1"/>
  <c r="H106" i="81" s="1"/>
  <c r="H107" i="81" s="1"/>
  <c r="H108" i="81" s="1"/>
  <c r="H109" i="81" s="1"/>
  <c r="H110" i="81" s="1"/>
  <c r="H111" i="81" s="1"/>
  <c r="H112" i="81" s="1"/>
  <c r="H113" i="81" s="1"/>
  <c r="H114" i="81" s="1"/>
  <c r="H115" i="81" s="1"/>
  <c r="H116" i="81" s="1"/>
  <c r="H117" i="81" s="1"/>
  <c r="H118" i="81" s="1"/>
  <c r="H119" i="81" s="1"/>
  <c r="H120" i="81" s="1"/>
  <c r="H121" i="81" s="1"/>
  <c r="H122" i="81" s="1"/>
  <c r="H123" i="81" s="1"/>
  <c r="H124" i="81" s="1"/>
  <c r="H125" i="81" s="1"/>
  <c r="H126" i="81" s="1"/>
  <c r="H127" i="81" s="1"/>
  <c r="H128" i="81" s="1"/>
  <c r="H129" i="81" s="1"/>
  <c r="H130" i="81" s="1"/>
  <c r="H131" i="81" s="1"/>
  <c r="H132" i="81" s="1"/>
  <c r="H133" i="81" s="1"/>
  <c r="H134" i="81" s="1"/>
  <c r="H135" i="81" s="1"/>
  <c r="H136" i="81" s="1"/>
  <c r="H137" i="81" s="1"/>
  <c r="H138" i="81" s="1"/>
  <c r="H139" i="81" s="1"/>
  <c r="H140" i="81" s="1"/>
  <c r="H141" i="81" s="1"/>
  <c r="H142" i="81" s="1"/>
  <c r="H143" i="81" s="1"/>
  <c r="H144" i="81" s="1"/>
  <c r="H145" i="81" s="1"/>
  <c r="H146" i="81" s="1"/>
  <c r="H147" i="81" s="1"/>
  <c r="H148" i="81" s="1"/>
  <c r="H149" i="81" s="1"/>
  <c r="H150" i="81" s="1"/>
  <c r="H73" i="81"/>
  <c r="C72" i="81"/>
  <c r="D68" i="81"/>
  <c r="B54" i="81"/>
  <c r="B55" i="81" s="1"/>
  <c r="B56" i="81" s="1"/>
  <c r="B57" i="81" s="1"/>
  <c r="B58" i="81" s="1"/>
  <c r="B59" i="81" s="1"/>
  <c r="B60" i="81" s="1"/>
  <c r="B61" i="81" s="1"/>
  <c r="B62" i="81" s="1"/>
  <c r="B63" i="81" s="1"/>
  <c r="B64" i="81" s="1"/>
  <c r="B65" i="81" s="1"/>
  <c r="B66" i="81" s="1"/>
  <c r="B67" i="81" s="1"/>
  <c r="B68" i="81" s="1"/>
  <c r="B69" i="81" s="1"/>
  <c r="B70" i="81" s="1"/>
  <c r="B71" i="81" s="1"/>
  <c r="B72" i="81" s="1"/>
  <c r="C53" i="81"/>
  <c r="C54" i="81" s="1"/>
  <c r="B53" i="81"/>
  <c r="H30" i="81"/>
  <c r="H31" i="81" s="1"/>
  <c r="H32" i="81" s="1"/>
  <c r="H33" i="81" s="1"/>
  <c r="H34" i="81" s="1"/>
  <c r="H35" i="81" s="1"/>
  <c r="H36" i="81" s="1"/>
  <c r="H37" i="81" s="1"/>
  <c r="H38" i="81" s="1"/>
  <c r="H39" i="81" s="1"/>
  <c r="H40" i="81" s="1"/>
  <c r="H41" i="81" s="1"/>
  <c r="H42" i="81" s="1"/>
  <c r="H43" i="81" s="1"/>
  <c r="H44" i="81" s="1"/>
  <c r="H45" i="81" s="1"/>
  <c r="H46" i="81" s="1"/>
  <c r="H47" i="81" s="1"/>
  <c r="H48" i="81" s="1"/>
  <c r="H49" i="81" s="1"/>
  <c r="H50" i="81" s="1"/>
  <c r="H51" i="81" s="1"/>
  <c r="H52" i="81" s="1"/>
  <c r="H26" i="81"/>
  <c r="H27" i="81" s="1"/>
  <c r="H28" i="81" s="1"/>
  <c r="H29" i="81" s="1"/>
  <c r="H18" i="81"/>
  <c r="H19" i="81" s="1"/>
  <c r="H20" i="81" s="1"/>
  <c r="H21" i="81" s="1"/>
  <c r="H22" i="81" s="1"/>
  <c r="H23" i="81" s="1"/>
  <c r="H24" i="81" s="1"/>
  <c r="H25" i="81" s="1"/>
  <c r="H17" i="81"/>
  <c r="P15" i="81"/>
  <c r="P14" i="81"/>
  <c r="P13" i="81"/>
  <c r="P12" i="81"/>
  <c r="P11" i="81"/>
  <c r="P10" i="81"/>
  <c r="P9" i="81"/>
  <c r="P8" i="81"/>
  <c r="P7" i="81"/>
  <c r="H7" i="81"/>
  <c r="H8" i="81" s="1"/>
  <c r="H9" i="81" s="1"/>
  <c r="H10" i="81" s="1"/>
  <c r="H11" i="81" s="1"/>
  <c r="H12" i="81" s="1"/>
  <c r="H13" i="81" s="1"/>
  <c r="H14" i="81" s="1"/>
  <c r="H15" i="81" s="1"/>
  <c r="H16" i="81" s="1"/>
  <c r="P4" i="81"/>
  <c r="M2" i="81"/>
  <c r="G2" i="81"/>
  <c r="O4" i="81" s="1"/>
  <c r="O1" i="81" s="1"/>
  <c r="R23" i="80"/>
  <c r="R22" i="80"/>
  <c r="R21" i="80"/>
  <c r="H136" i="80"/>
  <c r="H137" i="80" s="1"/>
  <c r="H138" i="80" s="1"/>
  <c r="H139" i="80"/>
  <c r="H140" i="80" s="1"/>
  <c r="H141" i="80" s="1"/>
  <c r="H142" i="80" s="1"/>
  <c r="H143" i="80" s="1"/>
  <c r="H144" i="80" s="1"/>
  <c r="H145" i="80" s="1"/>
  <c r="H146" i="80" s="1"/>
  <c r="H147" i="80" s="1"/>
  <c r="H148" i="80" s="1"/>
  <c r="H149" i="80" s="1"/>
  <c r="H150" i="80" s="1"/>
  <c r="H151" i="80" s="1"/>
  <c r="H152" i="80" s="1"/>
  <c r="H153" i="80" s="1"/>
  <c r="H89" i="80"/>
  <c r="H90" i="80" s="1"/>
  <c r="H91" i="80" s="1"/>
  <c r="H92" i="80" s="1"/>
  <c r="H93" i="80"/>
  <c r="H94" i="80" s="1"/>
  <c r="H95" i="80" s="1"/>
  <c r="H96" i="80" s="1"/>
  <c r="H97" i="80" s="1"/>
  <c r="H98" i="80" s="1"/>
  <c r="H99" i="80" s="1"/>
  <c r="H100" i="80" s="1"/>
  <c r="H101" i="80" s="1"/>
  <c r="H102" i="80" s="1"/>
  <c r="H103" i="80" s="1"/>
  <c r="H104" i="80" s="1"/>
  <c r="H105" i="80" s="1"/>
  <c r="H106" i="80" s="1"/>
  <c r="H107" i="80" s="1"/>
  <c r="H108" i="80" s="1"/>
  <c r="H109" i="80" s="1"/>
  <c r="H110" i="80" s="1"/>
  <c r="H111" i="80" s="1"/>
  <c r="H112" i="80" s="1"/>
  <c r="H113" i="80" s="1"/>
  <c r="H114" i="80" s="1"/>
  <c r="H115" i="80" s="1"/>
  <c r="H80" i="80"/>
  <c r="H81" i="80" s="1"/>
  <c r="H82" i="80" s="1"/>
  <c r="H83" i="80" s="1"/>
  <c r="H84" i="80" s="1"/>
  <c r="H85" i="80" s="1"/>
  <c r="H86" i="80" s="1"/>
  <c r="H87" i="80" s="1"/>
  <c r="H88" i="80" s="1"/>
  <c r="C135" i="80"/>
  <c r="D131" i="80"/>
  <c r="C116" i="80"/>
  <c r="C117" i="80" s="1"/>
  <c r="B116" i="80"/>
  <c r="B117" i="80" s="1"/>
  <c r="B118" i="80" s="1"/>
  <c r="B119" i="80" s="1"/>
  <c r="B120" i="80" s="1"/>
  <c r="B121" i="80" s="1"/>
  <c r="B122" i="80" s="1"/>
  <c r="B123" i="80" s="1"/>
  <c r="B124" i="80" s="1"/>
  <c r="B125" i="80" s="1"/>
  <c r="B126" i="80" s="1"/>
  <c r="B127" i="80" s="1"/>
  <c r="B128" i="80" s="1"/>
  <c r="B129" i="80" s="1"/>
  <c r="B130" i="80" s="1"/>
  <c r="B131" i="80" s="1"/>
  <c r="B132" i="80" s="1"/>
  <c r="B133" i="80" s="1"/>
  <c r="B134" i="80" s="1"/>
  <c r="B135" i="80" s="1"/>
  <c r="O21" i="1"/>
  <c r="Z8" i="80"/>
  <c r="R20" i="80"/>
  <c r="R19" i="80"/>
  <c r="R18" i="80"/>
  <c r="R17" i="80"/>
  <c r="C58" i="80"/>
  <c r="Z7" i="80"/>
  <c r="Z6" i="80"/>
  <c r="R7" i="80"/>
  <c r="N21" i="1"/>
  <c r="R21" i="1"/>
  <c r="Y4" i="80"/>
  <c r="M16" i="79" l="1"/>
  <c r="M17" i="79" s="1"/>
  <c r="M18" i="79" s="1"/>
  <c r="H116" i="80"/>
  <c r="H117" i="80" s="1"/>
  <c r="H118" i="80" s="1"/>
  <c r="H119" i="80" s="1"/>
  <c r="H120" i="80" s="1"/>
  <c r="H121" i="80" s="1"/>
  <c r="H122" i="80" s="1"/>
  <c r="H123" i="80" s="1"/>
  <c r="H124" i="80" s="1"/>
  <c r="H125" i="80" s="1"/>
  <c r="H126" i="80" s="1"/>
  <c r="H127" i="80" s="1"/>
  <c r="H128" i="80" s="1"/>
  <c r="H129" i="80" s="1"/>
  <c r="H130" i="80" s="1"/>
  <c r="H131" i="80" s="1"/>
  <c r="H132" i="80" s="1"/>
  <c r="H133" i="80" s="1"/>
  <c r="H134" i="80" s="1"/>
  <c r="H135" i="80" s="1"/>
  <c r="H162" i="80"/>
  <c r="H163" i="80" s="1"/>
  <c r="H164" i="80" s="1"/>
  <c r="H165" i="80" s="1"/>
  <c r="H166" i="80" s="1"/>
  <c r="H167" i="80" s="1"/>
  <c r="H168" i="80" s="1"/>
  <c r="H169" i="80" s="1"/>
  <c r="H170" i="80" s="1"/>
  <c r="H171" i="80" s="1"/>
  <c r="H172" i="80" s="1"/>
  <c r="H173" i="80" s="1"/>
  <c r="H174" i="80" s="1"/>
  <c r="D21" i="1"/>
  <c r="H53" i="81"/>
  <c r="H54" i="81" s="1"/>
  <c r="H55" i="81" s="1"/>
  <c r="H56" i="81" s="1"/>
  <c r="H57" i="81" s="1"/>
  <c r="H58" i="81" s="1"/>
  <c r="H59" i="81" s="1"/>
  <c r="H60" i="81" s="1"/>
  <c r="H61" i="81" s="1"/>
  <c r="H62" i="81" s="1"/>
  <c r="H63" i="81" s="1"/>
  <c r="H64" i="81" s="1"/>
  <c r="H65" i="81" s="1"/>
  <c r="H66" i="81" s="1"/>
  <c r="H67" i="81" s="1"/>
  <c r="H68" i="81" s="1"/>
  <c r="H69" i="81" s="1"/>
  <c r="H70" i="81" s="1"/>
  <c r="H71" i="81" s="1"/>
  <c r="H72" i="81" s="1"/>
  <c r="H48" i="80"/>
  <c r="H49" i="80" s="1"/>
  <c r="H50" i="80" s="1"/>
  <c r="H51" i="80" s="1"/>
  <c r="H52" i="80" s="1"/>
  <c r="H53" i="80" s="1"/>
  <c r="H54" i="80" s="1"/>
  <c r="H55" i="80" s="1"/>
  <c r="H56" i="80" s="1"/>
  <c r="H57" i="80" s="1"/>
  <c r="H58" i="80" s="1"/>
  <c r="H59" i="80" s="1"/>
  <c r="H60" i="80" s="1"/>
  <c r="H61" i="80" s="1"/>
  <c r="H62" i="80" s="1"/>
  <c r="H63" i="80" s="1"/>
  <c r="H64" i="80" s="1"/>
  <c r="H65" i="80" s="1"/>
  <c r="H66" i="80" s="1"/>
  <c r="H67" i="80" s="1"/>
  <c r="H68" i="80" s="1"/>
  <c r="H69" i="80" s="1"/>
  <c r="H70" i="80" s="1"/>
  <c r="H71" i="80" s="1"/>
  <c r="H72" i="80" s="1"/>
  <c r="H73" i="80" s="1"/>
  <c r="H74" i="80" s="1"/>
  <c r="H75" i="80" s="1"/>
  <c r="H76" i="80" s="1"/>
  <c r="H77" i="80" s="1"/>
  <c r="H78" i="80" s="1"/>
  <c r="H79" i="80" s="1"/>
  <c r="H47" i="80"/>
  <c r="H36" i="80"/>
  <c r="H37" i="80" s="1"/>
  <c r="H38" i="80" s="1"/>
  <c r="H39" i="80" s="1"/>
  <c r="H40" i="80" s="1"/>
  <c r="H41" i="80" s="1"/>
  <c r="H42" i="80" s="1"/>
  <c r="H43" i="80" s="1"/>
  <c r="H44" i="80" s="1"/>
  <c r="H45" i="80" s="1"/>
  <c r="H46" i="80" s="1"/>
  <c r="H27" i="80"/>
  <c r="H28" i="80" s="1"/>
  <c r="H29" i="80" s="1"/>
  <c r="H23" i="80"/>
  <c r="H24" i="80" s="1"/>
  <c r="H25" i="80" s="1"/>
  <c r="H26" i="80" s="1"/>
  <c r="H20" i="80"/>
  <c r="H22" i="80" s="1"/>
  <c r="R16" i="80"/>
  <c r="R15" i="80"/>
  <c r="R14" i="80"/>
  <c r="R13" i="80"/>
  <c r="R12" i="80"/>
  <c r="R11" i="80"/>
  <c r="R10" i="80"/>
  <c r="R9" i="80"/>
  <c r="R8" i="80"/>
  <c r="H7" i="80"/>
  <c r="H8" i="80" s="1"/>
  <c r="H9" i="80" s="1"/>
  <c r="H10" i="80" s="1"/>
  <c r="H11" i="80" s="1"/>
  <c r="H12" i="80" s="1"/>
  <c r="H13" i="80" s="1"/>
  <c r="H14" i="80" s="1"/>
  <c r="H15" i="80" s="1"/>
  <c r="H16" i="80" s="1"/>
  <c r="H17" i="80" s="1"/>
  <c r="H18" i="80" s="1"/>
  <c r="H19" i="80" s="1"/>
  <c r="N2" i="80"/>
  <c r="G2" i="80"/>
  <c r="B20" i="74"/>
  <c r="B81" i="58"/>
  <c r="B82" i="58" s="1"/>
  <c r="R34" i="76"/>
  <c r="R32" i="76"/>
  <c r="C97" i="55"/>
  <c r="M20" i="79" l="1"/>
  <c r="M21" i="79" s="1"/>
  <c r="M22" i="79" s="1"/>
  <c r="M23" i="79" s="1"/>
  <c r="M24" i="79" s="1"/>
  <c r="M25" i="79" s="1"/>
  <c r="M26" i="79" s="1"/>
  <c r="M27" i="79" s="1"/>
  <c r="M28" i="79" s="1"/>
  <c r="M29" i="79" s="1"/>
  <c r="M30" i="79" s="1"/>
  <c r="M31" i="79" s="1"/>
  <c r="M32" i="79" s="1"/>
  <c r="M33" i="79" s="1"/>
  <c r="M34" i="79" s="1"/>
  <c r="M35" i="79" s="1"/>
  <c r="S34" i="76"/>
  <c r="U34" i="76" s="1"/>
  <c r="S32" i="76"/>
  <c r="U32" i="76" s="1"/>
  <c r="Q4" i="80"/>
  <c r="H21" i="80"/>
  <c r="H31" i="80"/>
  <c r="H30" i="80"/>
  <c r="H32" i="80" s="1"/>
  <c r="H33" i="80" s="1"/>
  <c r="P1" i="1" l="1"/>
  <c r="Q1" i="80"/>
  <c r="T32" i="76"/>
  <c r="T34" i="76"/>
  <c r="H35" i="80"/>
  <c r="H34" i="80"/>
  <c r="P19" i="73"/>
  <c r="P18" i="73"/>
  <c r="P51" i="69"/>
  <c r="B76" i="65" l="1"/>
  <c r="B77" i="65" s="1"/>
  <c r="P17" i="73"/>
  <c r="B51" i="77"/>
  <c r="B54" i="77" s="1"/>
  <c r="B55" i="77" s="1"/>
  <c r="B56" i="77" s="1"/>
  <c r="B58" i="77" s="1"/>
  <c r="B59" i="77" s="1"/>
  <c r="B62" i="77" s="1"/>
  <c r="B63" i="77" s="1"/>
  <c r="B64" i="77" s="1"/>
  <c r="B66" i="77" s="1"/>
  <c r="B69" i="77" s="1"/>
  <c r="P20" i="74"/>
  <c r="P19" i="74"/>
  <c r="D17" i="74"/>
  <c r="D15" i="74"/>
  <c r="P18" i="74"/>
  <c r="P27" i="67"/>
  <c r="P26" i="67"/>
  <c r="P25" i="67"/>
  <c r="P17" i="74" l="1"/>
  <c r="P16" i="74"/>
  <c r="AD17" i="77" l="1"/>
  <c r="AD18" i="77" s="1"/>
  <c r="AD19" i="77" s="1"/>
  <c r="AD20" i="77" s="1"/>
  <c r="AD21" i="77" s="1"/>
  <c r="AD22" i="77" s="1"/>
  <c r="AD23" i="77" s="1"/>
  <c r="AD24" i="77" s="1"/>
  <c r="AD25" i="77" s="1"/>
  <c r="AD26" i="77" s="1"/>
  <c r="AD27" i="77" s="1"/>
  <c r="AD28" i="77" s="1"/>
  <c r="AD29" i="77" s="1"/>
  <c r="AD30" i="77" s="1"/>
  <c r="AD31" i="77" s="1"/>
  <c r="AD32" i="77" s="1"/>
  <c r="AD33" i="77" s="1"/>
  <c r="AD34" i="77" s="1"/>
  <c r="AD35" i="77" s="1"/>
  <c r="AD36" i="77" s="1"/>
  <c r="AD37" i="77" s="1"/>
  <c r="AD38" i="77" s="1"/>
  <c r="AD39" i="77" s="1"/>
  <c r="AD40" i="77" s="1"/>
  <c r="AD41" i="77" s="1"/>
  <c r="AD42" i="77" s="1"/>
  <c r="AD43" i="77" s="1"/>
  <c r="AD44" i="77" s="1"/>
  <c r="AD45" i="77" s="1"/>
  <c r="AD46" i="77" s="1"/>
  <c r="AD47" i="77" s="1"/>
  <c r="AD48" i="77" s="1"/>
  <c r="AD49" i="77" s="1"/>
  <c r="AD50" i="77" s="1"/>
  <c r="AD51" i="77" s="1"/>
  <c r="AD52" i="77" s="1"/>
  <c r="AD53" i="77" s="1"/>
  <c r="AD54" i="77" s="1"/>
  <c r="AD55" i="77" s="1"/>
  <c r="AD56" i="77" s="1"/>
  <c r="AD57" i="77" s="1"/>
  <c r="AD58" i="77" s="1"/>
  <c r="AD59" i="77" s="1"/>
  <c r="AD60" i="77" s="1"/>
  <c r="AD61" i="77" s="1"/>
  <c r="AD62" i="77" s="1"/>
  <c r="AD63" i="77" s="1"/>
  <c r="AD64" i="77" s="1"/>
  <c r="AD65" i="77" s="1"/>
  <c r="AD66" i="77" s="1"/>
  <c r="AD67" i="77" s="1"/>
  <c r="AD68" i="77" s="1"/>
  <c r="AD69" i="77" s="1"/>
  <c r="AD70" i="77" s="1"/>
  <c r="AD71" i="77" s="1"/>
  <c r="AD72" i="77" s="1"/>
  <c r="AD73" i="77" s="1"/>
  <c r="AD74" i="77" s="1"/>
  <c r="AD75" i="77" s="1"/>
  <c r="AD76" i="77" s="1"/>
  <c r="AD77" i="77" s="1"/>
  <c r="AD78" i="77" s="1"/>
  <c r="AD79" i="77" s="1"/>
  <c r="AD80" i="77" s="1"/>
  <c r="AD81" i="77" s="1"/>
  <c r="AD82" i="77" s="1"/>
  <c r="AD83" i="77" s="1"/>
  <c r="AD84" i="77" s="1"/>
  <c r="AD85" i="77" s="1"/>
  <c r="AD86" i="77" s="1"/>
  <c r="AD87" i="77" s="1"/>
  <c r="AD88" i="77" s="1"/>
  <c r="AD89" i="77" s="1"/>
  <c r="AD90" i="77" s="1"/>
  <c r="AD91" i="77" s="1"/>
  <c r="AD92" i="77" s="1"/>
  <c r="AD93" i="77" s="1"/>
  <c r="AD94" i="77" s="1"/>
  <c r="AD95" i="77" s="1"/>
  <c r="AD96" i="77" s="1"/>
  <c r="AD97" i="77" s="1"/>
  <c r="AD98" i="77" s="1"/>
  <c r="AD99" i="77" s="1"/>
  <c r="AD100" i="77" s="1"/>
  <c r="AD101" i="77" s="1"/>
  <c r="AD102" i="77" s="1"/>
  <c r="AD103" i="77" s="1"/>
  <c r="AD104" i="77" s="1"/>
  <c r="AD105" i="77" s="1"/>
  <c r="AD106" i="77" s="1"/>
  <c r="AD107" i="77" s="1"/>
  <c r="AD108" i="77" s="1"/>
  <c r="AD109" i="77" s="1"/>
  <c r="AD110" i="77" s="1"/>
  <c r="AD111" i="77" s="1"/>
  <c r="AD112" i="77" s="1"/>
  <c r="AD113" i="77" s="1"/>
  <c r="AD114" i="77" s="1"/>
  <c r="AD115" i="77" s="1"/>
  <c r="AD116" i="77" s="1"/>
  <c r="AD117" i="77" s="1"/>
  <c r="AD118" i="77" s="1"/>
  <c r="AD119" i="77" s="1"/>
  <c r="AD120" i="77" s="1"/>
  <c r="AD121" i="77" s="1"/>
  <c r="AD122" i="77" s="1"/>
  <c r="AD123" i="77" s="1"/>
  <c r="AD124" i="77" s="1"/>
  <c r="AD125" i="77" s="1"/>
  <c r="AD126" i="77" s="1"/>
  <c r="AD127" i="77" s="1"/>
  <c r="AD128" i="77" s="1"/>
  <c r="AD129" i="77" s="1"/>
  <c r="AD130" i="77" s="1"/>
  <c r="AD131" i="77" s="1"/>
  <c r="AD132" i="77" s="1"/>
  <c r="AD133" i="77" s="1"/>
  <c r="AD134" i="77" s="1"/>
  <c r="AD135" i="77" s="1"/>
  <c r="AD136" i="77" s="1"/>
  <c r="AD137" i="77" s="1"/>
  <c r="AD138" i="77" s="1"/>
  <c r="AD139" i="77" s="1"/>
  <c r="AD140" i="77" s="1"/>
  <c r="AD141" i="77" s="1"/>
  <c r="AD142" i="77" s="1"/>
  <c r="AD143" i="77" s="1"/>
  <c r="AD144" i="77" s="1"/>
  <c r="AD145" i="77" s="1"/>
  <c r="AD146" i="77" s="1"/>
  <c r="AD147" i="77" s="1"/>
  <c r="AD148" i="77" s="1"/>
  <c r="AD149" i="77" s="1"/>
  <c r="AD150" i="77" s="1"/>
  <c r="AD151" i="77" s="1"/>
  <c r="AD152" i="77" s="1"/>
  <c r="AD153" i="77" s="1"/>
  <c r="AD154" i="77" s="1"/>
  <c r="AD155" i="77" s="1"/>
  <c r="AD156" i="77" s="1"/>
  <c r="AD157" i="77" s="1"/>
  <c r="AD158" i="77" s="1"/>
  <c r="AD159" i="77" s="1"/>
  <c r="AD160" i="77" s="1"/>
  <c r="AD161" i="77" s="1"/>
  <c r="AD162" i="77" s="1"/>
  <c r="AD163" i="77" s="1"/>
  <c r="AD164" i="77" s="1"/>
  <c r="AD165" i="77" s="1"/>
  <c r="AD166" i="77" s="1"/>
  <c r="AD167" i="77" s="1"/>
  <c r="AD168" i="77" s="1"/>
  <c r="AD169" i="77" s="1"/>
  <c r="AD170" i="77" s="1"/>
  <c r="AD171" i="77" s="1"/>
  <c r="AD172" i="77" s="1"/>
  <c r="AD173" i="77" s="1"/>
  <c r="AD174" i="77" s="1"/>
  <c r="AD175" i="77" s="1"/>
  <c r="AD176" i="77" s="1"/>
  <c r="AD177" i="77" s="1"/>
  <c r="AD178" i="77" s="1"/>
  <c r="AD179" i="77" s="1"/>
  <c r="AD180" i="77" s="1"/>
  <c r="AD181" i="77" s="1"/>
  <c r="AD182" i="77" s="1"/>
  <c r="AD183" i="77" s="1"/>
  <c r="AD184" i="77" s="1"/>
  <c r="AD185" i="77" s="1"/>
  <c r="AD186" i="77" s="1"/>
  <c r="AD187" i="77" s="1"/>
  <c r="AD188" i="77" s="1"/>
  <c r="AD189" i="77" s="1"/>
  <c r="AD190" i="77" s="1"/>
  <c r="AD191" i="77" s="1"/>
  <c r="AD192" i="77" s="1"/>
  <c r="AD193" i="77" s="1"/>
  <c r="AD194" i="77" s="1"/>
  <c r="AD195" i="77" s="1"/>
  <c r="AD196" i="77" s="1"/>
  <c r="AD197" i="77" s="1"/>
  <c r="AD198" i="77" s="1"/>
  <c r="AD199" i="77" s="1"/>
  <c r="AD200" i="77" s="1"/>
  <c r="AD201" i="77" s="1"/>
  <c r="AD202" i="77" s="1"/>
  <c r="AD203" i="77" s="1"/>
  <c r="AD204" i="77" s="1"/>
  <c r="AD205" i="77" s="1"/>
  <c r="AD206" i="77" s="1"/>
  <c r="AD207" i="77" s="1"/>
  <c r="AD208" i="77" s="1"/>
  <c r="AD209" i="77" s="1"/>
  <c r="AD210" i="77" s="1"/>
  <c r="AD211" i="77" s="1"/>
  <c r="AD212" i="77" s="1"/>
  <c r="AD213" i="77" s="1"/>
  <c r="AD214" i="77" s="1"/>
  <c r="AD215" i="77" s="1"/>
  <c r="AD216" i="77" s="1"/>
  <c r="AD217" i="77" s="1"/>
  <c r="AD218" i="77" s="1"/>
  <c r="AD219" i="77" s="1"/>
  <c r="AD220" i="77" s="1"/>
  <c r="AD221" i="77" s="1"/>
  <c r="AD222" i="77" s="1"/>
  <c r="AD223" i="77" s="1"/>
  <c r="AD224" i="77" s="1"/>
  <c r="AD225" i="77" s="1"/>
  <c r="AD226" i="77" s="1"/>
  <c r="AD227" i="77" s="1"/>
  <c r="AD228" i="77" s="1"/>
  <c r="AD229" i="77" s="1"/>
  <c r="AD230" i="77" s="1"/>
  <c r="AD231" i="77" s="1"/>
  <c r="AD232" i="77" s="1"/>
  <c r="AD233" i="77" s="1"/>
  <c r="AD234" i="77" s="1"/>
  <c r="AD235" i="77" s="1"/>
  <c r="AD236" i="77" s="1"/>
  <c r="AD237" i="77" s="1"/>
  <c r="AD238" i="77" s="1"/>
  <c r="AD239" i="77" s="1"/>
  <c r="AD240" i="77" s="1"/>
  <c r="AD241" i="77" s="1"/>
  <c r="AD242" i="77" s="1"/>
  <c r="AD243" i="77" s="1"/>
  <c r="AD244" i="77" s="1"/>
  <c r="AD245" i="77" s="1"/>
  <c r="AD246" i="77" s="1"/>
  <c r="AD247" i="77" s="1"/>
  <c r="AD248" i="77" s="1"/>
  <c r="X10" i="77"/>
  <c r="X11" i="77" s="1"/>
  <c r="X12" i="77" s="1"/>
  <c r="X13" i="77" s="1"/>
  <c r="X14" i="77" s="1"/>
  <c r="X15" i="77" s="1"/>
  <c r="X16" i="77" s="1"/>
  <c r="P50" i="69"/>
  <c r="P24" i="67"/>
  <c r="P23" i="67"/>
  <c r="P24" i="75" l="1"/>
  <c r="P16" i="73"/>
  <c r="P33" i="72"/>
  <c r="P49" i="69"/>
  <c r="B98" i="62"/>
  <c r="B99" i="62" s="1"/>
  <c r="AD7" i="77" l="1"/>
  <c r="AD8" i="77" s="1"/>
  <c r="AD9" i="77" s="1"/>
  <c r="AD10" i="77" s="1"/>
  <c r="AD11" i="77" s="1"/>
  <c r="AD12" i="77" s="1"/>
  <c r="AD13" i="77" s="1"/>
  <c r="AD14" i="77" s="1"/>
  <c r="AD15" i="77" s="1"/>
  <c r="AD16" i="77" s="1"/>
  <c r="D45" i="77"/>
  <c r="C44" i="77"/>
  <c r="P32" i="72"/>
  <c r="K2" i="77" l="1"/>
  <c r="H44" i="77"/>
  <c r="H45" i="77" s="1"/>
  <c r="G2" i="77"/>
  <c r="K7" i="77"/>
  <c r="AD4" i="1"/>
  <c r="AD45" i="1"/>
  <c r="AD44" i="1"/>
  <c r="AD43" i="1"/>
  <c r="AD42" i="1"/>
  <c r="AD38" i="1"/>
  <c r="AD37" i="1"/>
  <c r="AD36" i="1"/>
  <c r="AD35" i="1"/>
  <c r="AD34" i="1"/>
  <c r="AD33" i="1"/>
  <c r="AD32" i="1"/>
  <c r="AD31" i="1"/>
  <c r="AD30" i="1"/>
  <c r="AD29" i="1"/>
  <c r="AD28" i="1"/>
  <c r="AD27" i="1"/>
  <c r="AD26" i="1"/>
  <c r="AD25" i="1"/>
  <c r="AD24" i="1"/>
  <c r="AD22" i="1"/>
  <c r="AD20" i="1"/>
  <c r="AD19" i="1"/>
  <c r="AD18" i="1"/>
  <c r="AD15" i="1"/>
  <c r="AD14" i="1"/>
  <c r="AD11" i="1"/>
  <c r="AD10" i="1"/>
  <c r="P22" i="67"/>
  <c r="P21" i="67"/>
  <c r="K24" i="72"/>
  <c r="D28" i="72"/>
  <c r="K11" i="77" l="1"/>
  <c r="K13" i="77" s="1"/>
  <c r="K4" i="77"/>
  <c r="K12" i="77"/>
  <c r="K3" i="77"/>
  <c r="Q1" i="77"/>
  <c r="AD9" i="1"/>
  <c r="AD12" i="1" s="1"/>
  <c r="D45" i="71"/>
  <c r="AD13" i="1" l="1"/>
  <c r="AD8" i="1" s="1"/>
  <c r="P48" i="69"/>
  <c r="P47" i="69"/>
  <c r="R31" i="76"/>
  <c r="H96" i="62"/>
  <c r="H97" i="62" s="1"/>
  <c r="H98" i="62" s="1"/>
  <c r="H99" i="62" s="1"/>
  <c r="B95" i="62"/>
  <c r="P31" i="72"/>
  <c r="B31" i="72"/>
  <c r="B32" i="72" s="1"/>
  <c r="B33" i="72" s="1"/>
  <c r="B34" i="72" s="1"/>
  <c r="B35" i="72" s="1"/>
  <c r="B36" i="72" s="1"/>
  <c r="B37" i="72" s="1"/>
  <c r="B38" i="72" s="1"/>
  <c r="B39" i="72" s="1"/>
  <c r="B40" i="72" s="1"/>
  <c r="B41" i="72" s="1"/>
  <c r="B42" i="72" s="1"/>
  <c r="B43" i="72" s="1"/>
  <c r="B44" i="72" s="1"/>
  <c r="B45" i="72" s="1"/>
  <c r="P20" i="67"/>
  <c r="P46" i="69"/>
  <c r="P19" i="67"/>
  <c r="R30" i="76"/>
  <c r="AB30" i="76" s="1"/>
  <c r="P23" i="75"/>
  <c r="S30" i="76" l="1"/>
  <c r="U30" i="76" s="1"/>
  <c r="S31" i="76"/>
  <c r="U31" i="76" s="1"/>
  <c r="P18" i="67"/>
  <c r="T31" i="76" l="1"/>
  <c r="T30" i="76"/>
  <c r="P22" i="75"/>
  <c r="P21" i="75"/>
  <c r="P20" i="75"/>
  <c r="P19" i="75"/>
  <c r="R29" i="76" l="1"/>
  <c r="AB32" i="76" l="1"/>
  <c r="S29" i="76"/>
  <c r="U29" i="76" s="1"/>
  <c r="P30" i="72"/>
  <c r="H92" i="62"/>
  <c r="H93" i="62" s="1"/>
  <c r="H94" i="62" s="1"/>
  <c r="H95" i="62" s="1"/>
  <c r="H80" i="58"/>
  <c r="H81" i="58" s="1"/>
  <c r="H82" i="58" s="1"/>
  <c r="P29" i="72"/>
  <c r="P28" i="72"/>
  <c r="P27" i="72"/>
  <c r="P45" i="69"/>
  <c r="P44" i="69"/>
  <c r="X24" i="76"/>
  <c r="Y24" i="76" s="1"/>
  <c r="X23" i="76"/>
  <c r="Y23" i="76" s="1"/>
  <c r="R23" i="76"/>
  <c r="X22" i="76"/>
  <c r="Y22" i="76" s="1"/>
  <c r="AC21" i="1"/>
  <c r="AC4" i="1" s="1"/>
  <c r="I43" i="1"/>
  <c r="J43" i="1"/>
  <c r="M43" i="1"/>
  <c r="N43" i="1"/>
  <c r="O43" i="1"/>
  <c r="P43" i="1"/>
  <c r="Q43" i="1"/>
  <c r="R43" i="1"/>
  <c r="S43" i="1"/>
  <c r="T43" i="1"/>
  <c r="U43" i="1"/>
  <c r="W43" i="1"/>
  <c r="X43" i="1"/>
  <c r="Y43" i="1"/>
  <c r="AA43" i="1"/>
  <c r="AB43" i="1"/>
  <c r="AC43" i="1"/>
  <c r="I44" i="1"/>
  <c r="J44" i="1"/>
  <c r="M44" i="1"/>
  <c r="N44" i="1"/>
  <c r="O44" i="1"/>
  <c r="P44" i="1"/>
  <c r="Q44" i="1"/>
  <c r="T44" i="1"/>
  <c r="U44" i="1"/>
  <c r="V44" i="1"/>
  <c r="W44" i="1"/>
  <c r="X44" i="1"/>
  <c r="Y44" i="1"/>
  <c r="Z44" i="1"/>
  <c r="H60" i="1"/>
  <c r="G402" i="55" s="1"/>
  <c r="AB44" i="1"/>
  <c r="AC44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I18" i="1"/>
  <c r="I19" i="1"/>
  <c r="I23" i="1"/>
  <c r="I27" i="1"/>
  <c r="I28" i="1"/>
  <c r="I30" i="1"/>
  <c r="I31" i="1"/>
  <c r="I32" i="1"/>
  <c r="I36" i="1"/>
  <c r="I37" i="1"/>
  <c r="I38" i="1"/>
  <c r="I20" i="1"/>
  <c r="I22" i="1"/>
  <c r="I24" i="1"/>
  <c r="I25" i="1"/>
  <c r="I26" i="1"/>
  <c r="I29" i="1"/>
  <c r="I33" i="1"/>
  <c r="I34" i="1"/>
  <c r="I35" i="1"/>
  <c r="I11" i="1"/>
  <c r="I10" i="1"/>
  <c r="I14" i="1"/>
  <c r="I15" i="1"/>
  <c r="J18" i="1"/>
  <c r="J19" i="1"/>
  <c r="J23" i="1"/>
  <c r="J27" i="1"/>
  <c r="J28" i="1"/>
  <c r="J30" i="1"/>
  <c r="J31" i="1"/>
  <c r="J32" i="1"/>
  <c r="J36" i="1"/>
  <c r="J37" i="1"/>
  <c r="J38" i="1"/>
  <c r="J20" i="1"/>
  <c r="J22" i="1"/>
  <c r="J24" i="1"/>
  <c r="J25" i="1"/>
  <c r="J26" i="1"/>
  <c r="J29" i="1"/>
  <c r="J33" i="1"/>
  <c r="J34" i="1"/>
  <c r="J35" i="1"/>
  <c r="J11" i="1"/>
  <c r="J10" i="1"/>
  <c r="J14" i="1"/>
  <c r="J15" i="1"/>
  <c r="K18" i="1"/>
  <c r="K19" i="1"/>
  <c r="K23" i="1"/>
  <c r="K27" i="1"/>
  <c r="K28" i="1"/>
  <c r="K30" i="1"/>
  <c r="K31" i="1"/>
  <c r="K32" i="1"/>
  <c r="K36" i="1"/>
  <c r="K37" i="1"/>
  <c r="K38" i="1"/>
  <c r="K20" i="1"/>
  <c r="K22" i="1"/>
  <c r="K24" i="1"/>
  <c r="K25" i="1"/>
  <c r="K26" i="1"/>
  <c r="K29" i="1"/>
  <c r="K33" i="1"/>
  <c r="K34" i="1"/>
  <c r="K35" i="1"/>
  <c r="K11" i="1"/>
  <c r="K10" i="1"/>
  <c r="K14" i="1"/>
  <c r="K15" i="1"/>
  <c r="L18" i="1"/>
  <c r="L19" i="1"/>
  <c r="L23" i="1"/>
  <c r="L27" i="1"/>
  <c r="L28" i="1"/>
  <c r="L30" i="1"/>
  <c r="L31" i="1"/>
  <c r="L32" i="1"/>
  <c r="L36" i="1"/>
  <c r="L37" i="1"/>
  <c r="L38" i="1"/>
  <c r="L20" i="1"/>
  <c r="L22" i="1"/>
  <c r="L24" i="1"/>
  <c r="L25" i="1"/>
  <c r="L26" i="1"/>
  <c r="L29" i="1"/>
  <c r="L33" i="1"/>
  <c r="L34" i="1"/>
  <c r="L35" i="1"/>
  <c r="L11" i="1"/>
  <c r="L14" i="1"/>
  <c r="L15" i="1"/>
  <c r="M18" i="1"/>
  <c r="M23" i="1"/>
  <c r="M27" i="1"/>
  <c r="M28" i="1"/>
  <c r="M30" i="1"/>
  <c r="M31" i="1"/>
  <c r="M32" i="1"/>
  <c r="M36" i="1"/>
  <c r="M37" i="1"/>
  <c r="M38" i="1"/>
  <c r="M20" i="1"/>
  <c r="M22" i="1"/>
  <c r="M24" i="1"/>
  <c r="M25" i="1"/>
  <c r="M26" i="1"/>
  <c r="M29" i="1"/>
  <c r="M33" i="1"/>
  <c r="M34" i="1"/>
  <c r="M35" i="1"/>
  <c r="M11" i="1"/>
  <c r="M14" i="1"/>
  <c r="M15" i="1"/>
  <c r="N18" i="1"/>
  <c r="N19" i="1"/>
  <c r="N23" i="1"/>
  <c r="N27" i="1"/>
  <c r="N28" i="1"/>
  <c r="N30" i="1"/>
  <c r="N31" i="1"/>
  <c r="N32" i="1"/>
  <c r="N36" i="1"/>
  <c r="N37" i="1"/>
  <c r="N38" i="1"/>
  <c r="N20" i="1"/>
  <c r="N22" i="1"/>
  <c r="N24" i="1"/>
  <c r="N25" i="1"/>
  <c r="N26" i="1"/>
  <c r="N29" i="1"/>
  <c r="N33" i="1"/>
  <c r="N34" i="1"/>
  <c r="N35" i="1"/>
  <c r="N11" i="1"/>
  <c r="N10" i="1"/>
  <c r="N14" i="1"/>
  <c r="N15" i="1"/>
  <c r="O18" i="1"/>
  <c r="O19" i="1"/>
  <c r="O23" i="1"/>
  <c r="O27" i="1"/>
  <c r="O28" i="1"/>
  <c r="O30" i="1"/>
  <c r="O31" i="1"/>
  <c r="O32" i="1"/>
  <c r="O36" i="1"/>
  <c r="O37" i="1"/>
  <c r="O38" i="1"/>
  <c r="O20" i="1"/>
  <c r="O22" i="1"/>
  <c r="O24" i="1"/>
  <c r="O25" i="1"/>
  <c r="O26" i="1"/>
  <c r="O29" i="1"/>
  <c r="O33" i="1"/>
  <c r="O34" i="1"/>
  <c r="O35" i="1"/>
  <c r="O11" i="1"/>
  <c r="O10" i="1"/>
  <c r="O14" i="1"/>
  <c r="O15" i="1"/>
  <c r="P18" i="1"/>
  <c r="P19" i="1"/>
  <c r="P23" i="1"/>
  <c r="P27" i="1"/>
  <c r="P28" i="1"/>
  <c r="P30" i="1"/>
  <c r="P31" i="1"/>
  <c r="P32" i="1"/>
  <c r="P36" i="1"/>
  <c r="P37" i="1"/>
  <c r="P38" i="1"/>
  <c r="P20" i="1"/>
  <c r="P22" i="1"/>
  <c r="P24" i="1"/>
  <c r="P25" i="1"/>
  <c r="P26" i="1"/>
  <c r="P29" i="1"/>
  <c r="P33" i="1"/>
  <c r="P34" i="1"/>
  <c r="P35" i="1"/>
  <c r="P11" i="1"/>
  <c r="P10" i="1"/>
  <c r="P14" i="1"/>
  <c r="P15" i="1"/>
  <c r="Q18" i="1"/>
  <c r="Q19" i="1"/>
  <c r="Q23" i="1"/>
  <c r="Q27" i="1"/>
  <c r="Q28" i="1"/>
  <c r="Q30" i="1"/>
  <c r="Q31" i="1"/>
  <c r="Q32" i="1"/>
  <c r="Q36" i="1"/>
  <c r="Q37" i="1"/>
  <c r="Q38" i="1"/>
  <c r="Q20" i="1"/>
  <c r="Q22" i="1"/>
  <c r="Q24" i="1"/>
  <c r="Q25" i="1"/>
  <c r="Q26" i="1"/>
  <c r="Q29" i="1"/>
  <c r="Q33" i="1"/>
  <c r="Q34" i="1"/>
  <c r="Q35" i="1"/>
  <c r="Q11" i="1"/>
  <c r="Q10" i="1"/>
  <c r="Q14" i="1"/>
  <c r="Q15" i="1"/>
  <c r="R18" i="1"/>
  <c r="R19" i="1"/>
  <c r="R27" i="1"/>
  <c r="R28" i="1"/>
  <c r="R30" i="1"/>
  <c r="R31" i="1"/>
  <c r="R32" i="1"/>
  <c r="R36" i="1"/>
  <c r="R37" i="1"/>
  <c r="R38" i="1"/>
  <c r="R20" i="1"/>
  <c r="R22" i="1"/>
  <c r="R24" i="1"/>
  <c r="R25" i="1"/>
  <c r="R26" i="1"/>
  <c r="R29" i="1"/>
  <c r="R33" i="1"/>
  <c r="R34" i="1"/>
  <c r="R35" i="1"/>
  <c r="R11" i="1"/>
  <c r="R10" i="1"/>
  <c r="R14" i="1"/>
  <c r="R15" i="1"/>
  <c r="S18" i="1"/>
  <c r="S19" i="1"/>
  <c r="S23" i="1"/>
  <c r="S27" i="1"/>
  <c r="S28" i="1"/>
  <c r="S30" i="1"/>
  <c r="S31" i="1"/>
  <c r="S32" i="1"/>
  <c r="S36" i="1"/>
  <c r="S37" i="1"/>
  <c r="S38" i="1"/>
  <c r="S20" i="1"/>
  <c r="S22" i="1"/>
  <c r="S24" i="1"/>
  <c r="S25" i="1"/>
  <c r="S26" i="1"/>
  <c r="S29" i="1"/>
  <c r="S33" i="1"/>
  <c r="S34" i="1"/>
  <c r="S35" i="1"/>
  <c r="S11" i="1"/>
  <c r="S14" i="1"/>
  <c r="S15" i="1"/>
  <c r="T18" i="1"/>
  <c r="T19" i="1"/>
  <c r="T23" i="1"/>
  <c r="T27" i="1"/>
  <c r="T28" i="1"/>
  <c r="T30" i="1"/>
  <c r="T31" i="1"/>
  <c r="T32" i="1"/>
  <c r="T36" i="1"/>
  <c r="T37" i="1"/>
  <c r="T38" i="1"/>
  <c r="T20" i="1"/>
  <c r="T22" i="1"/>
  <c r="T24" i="1"/>
  <c r="T25" i="1"/>
  <c r="T26" i="1"/>
  <c r="T29" i="1"/>
  <c r="T33" i="1"/>
  <c r="T34" i="1"/>
  <c r="T35" i="1"/>
  <c r="T11" i="1"/>
  <c r="T10" i="1"/>
  <c r="T14" i="1"/>
  <c r="T15" i="1"/>
  <c r="U18" i="1"/>
  <c r="U19" i="1"/>
  <c r="U23" i="1"/>
  <c r="U27" i="1"/>
  <c r="U28" i="1"/>
  <c r="U30" i="1"/>
  <c r="U31" i="1"/>
  <c r="U32" i="1"/>
  <c r="U36" i="1"/>
  <c r="U37" i="1"/>
  <c r="U38" i="1"/>
  <c r="U20" i="1"/>
  <c r="U22" i="1"/>
  <c r="U24" i="1"/>
  <c r="U25" i="1"/>
  <c r="U26" i="1"/>
  <c r="U29" i="1"/>
  <c r="U33" i="1"/>
  <c r="U34" i="1"/>
  <c r="U35" i="1"/>
  <c r="U15" i="1"/>
  <c r="V18" i="1"/>
  <c r="V19" i="1"/>
  <c r="V23" i="1"/>
  <c r="V27" i="1"/>
  <c r="V28" i="1"/>
  <c r="V30" i="1"/>
  <c r="V31" i="1"/>
  <c r="V32" i="1"/>
  <c r="V36" i="1"/>
  <c r="V37" i="1"/>
  <c r="V38" i="1"/>
  <c r="V20" i="1"/>
  <c r="V22" i="1"/>
  <c r="V24" i="1"/>
  <c r="V25" i="1"/>
  <c r="V26" i="1"/>
  <c r="V29" i="1"/>
  <c r="V33" i="1"/>
  <c r="V34" i="1"/>
  <c r="V35" i="1"/>
  <c r="V14" i="1"/>
  <c r="V15" i="1"/>
  <c r="W18" i="1"/>
  <c r="W19" i="1"/>
  <c r="W23" i="1"/>
  <c r="W27" i="1"/>
  <c r="W28" i="1"/>
  <c r="W30" i="1"/>
  <c r="W31" i="1"/>
  <c r="W32" i="1"/>
  <c r="W36" i="1"/>
  <c r="W37" i="1"/>
  <c r="W38" i="1"/>
  <c r="W20" i="1"/>
  <c r="W22" i="1"/>
  <c r="W24" i="1"/>
  <c r="W25" i="1"/>
  <c r="W26" i="1"/>
  <c r="W29" i="1"/>
  <c r="W33" i="1"/>
  <c r="W34" i="1"/>
  <c r="W35" i="1"/>
  <c r="W11" i="1"/>
  <c r="W10" i="1"/>
  <c r="W14" i="1"/>
  <c r="W15" i="1"/>
  <c r="X18" i="1"/>
  <c r="X19" i="1"/>
  <c r="X23" i="1"/>
  <c r="X27" i="1"/>
  <c r="X28" i="1"/>
  <c r="X30" i="1"/>
  <c r="X31" i="1"/>
  <c r="X32" i="1"/>
  <c r="X36" i="1"/>
  <c r="X37" i="1"/>
  <c r="X38" i="1"/>
  <c r="X20" i="1"/>
  <c r="X22" i="1"/>
  <c r="X24" i="1"/>
  <c r="X25" i="1"/>
  <c r="X26" i="1"/>
  <c r="X29" i="1"/>
  <c r="X33" i="1"/>
  <c r="X34" i="1"/>
  <c r="X35" i="1"/>
  <c r="X10" i="1"/>
  <c r="X14" i="1"/>
  <c r="X15" i="1"/>
  <c r="Y18" i="1"/>
  <c r="Y19" i="1"/>
  <c r="Y23" i="1"/>
  <c r="Y27" i="1"/>
  <c r="Y28" i="1"/>
  <c r="Y30" i="1"/>
  <c r="Y31" i="1"/>
  <c r="Y32" i="1"/>
  <c r="Y36" i="1"/>
  <c r="Y37" i="1"/>
  <c r="Y38" i="1"/>
  <c r="Y20" i="1"/>
  <c r="Y22" i="1"/>
  <c r="Y24" i="1"/>
  <c r="Y25" i="1"/>
  <c r="Y26" i="1"/>
  <c r="Y29" i="1"/>
  <c r="Y33" i="1"/>
  <c r="Y34" i="1"/>
  <c r="Y35" i="1"/>
  <c r="Y11" i="1"/>
  <c r="Y10" i="1"/>
  <c r="Y14" i="1"/>
  <c r="Y15" i="1"/>
  <c r="Z18" i="1"/>
  <c r="Z19" i="1"/>
  <c r="R22" i="76"/>
  <c r="Z21" i="1" s="1"/>
  <c r="Z23" i="1"/>
  <c r="Z27" i="1"/>
  <c r="Z28" i="1"/>
  <c r="Z30" i="1"/>
  <c r="Z31" i="1"/>
  <c r="Z32" i="1"/>
  <c r="Z36" i="1"/>
  <c r="Z37" i="1"/>
  <c r="Z38" i="1"/>
  <c r="Z20" i="1"/>
  <c r="Z22" i="1"/>
  <c r="Z24" i="1"/>
  <c r="Z25" i="1"/>
  <c r="Z26" i="1"/>
  <c r="Z29" i="1"/>
  <c r="Z33" i="1"/>
  <c r="Z34" i="1"/>
  <c r="Z35" i="1"/>
  <c r="Z11" i="1"/>
  <c r="Z14" i="1"/>
  <c r="Z15" i="1"/>
  <c r="AA18" i="1"/>
  <c r="AA19" i="1"/>
  <c r="AA23" i="1"/>
  <c r="AA27" i="1"/>
  <c r="AA28" i="1"/>
  <c r="AA30" i="1"/>
  <c r="AA31" i="1"/>
  <c r="AA32" i="1"/>
  <c r="AA36" i="1"/>
  <c r="AA37" i="1"/>
  <c r="AA38" i="1"/>
  <c r="AA20" i="1"/>
  <c r="AA22" i="1"/>
  <c r="AA24" i="1"/>
  <c r="AA25" i="1"/>
  <c r="AA26" i="1"/>
  <c r="AA29" i="1"/>
  <c r="AA33" i="1"/>
  <c r="AA34" i="1"/>
  <c r="AA35" i="1"/>
  <c r="AA11" i="1"/>
  <c r="AA10" i="1"/>
  <c r="AA14" i="1"/>
  <c r="AA15" i="1"/>
  <c r="AB18" i="1"/>
  <c r="AB19" i="1"/>
  <c r="AB23" i="1"/>
  <c r="AB27" i="1"/>
  <c r="AB28" i="1"/>
  <c r="AB30" i="1"/>
  <c r="AB31" i="1"/>
  <c r="AB32" i="1"/>
  <c r="AB36" i="1"/>
  <c r="AB37" i="1"/>
  <c r="AB38" i="1"/>
  <c r="AB20" i="1"/>
  <c r="AB22" i="1"/>
  <c r="AB24" i="1"/>
  <c r="AB25" i="1"/>
  <c r="AB26" i="1"/>
  <c r="AB29" i="1"/>
  <c r="AB33" i="1"/>
  <c r="AB34" i="1"/>
  <c r="AB35" i="1"/>
  <c r="AB11" i="1"/>
  <c r="AB14" i="1"/>
  <c r="AB15" i="1"/>
  <c r="AC18" i="1"/>
  <c r="AC19" i="1"/>
  <c r="AC23" i="1"/>
  <c r="AC27" i="1"/>
  <c r="AC28" i="1"/>
  <c r="AC30" i="1"/>
  <c r="AC31" i="1"/>
  <c r="AC32" i="1"/>
  <c r="AC36" i="1"/>
  <c r="AC37" i="1"/>
  <c r="AC38" i="1"/>
  <c r="AC20" i="1"/>
  <c r="AC22" i="1"/>
  <c r="AC24" i="1"/>
  <c r="AC25" i="1"/>
  <c r="AC26" i="1"/>
  <c r="AC29" i="1"/>
  <c r="AC33" i="1"/>
  <c r="AC34" i="1"/>
  <c r="AC35" i="1"/>
  <c r="AC11" i="1"/>
  <c r="AC10" i="1"/>
  <c r="AC14" i="1"/>
  <c r="AC15" i="1"/>
  <c r="I4" i="1"/>
  <c r="J4" i="1"/>
  <c r="K4" i="1"/>
  <c r="L4" i="1"/>
  <c r="M4" i="1"/>
  <c r="N4" i="1"/>
  <c r="O4" i="1"/>
  <c r="P4" i="1"/>
  <c r="Q4" i="1"/>
  <c r="T4" i="1"/>
  <c r="U4" i="1"/>
  <c r="V4" i="1"/>
  <c r="W4" i="1"/>
  <c r="X4" i="1"/>
  <c r="Y4" i="1"/>
  <c r="AA4" i="1"/>
  <c r="AB4" i="1"/>
  <c r="I42" i="1"/>
  <c r="J42" i="1"/>
  <c r="K42" i="1"/>
  <c r="L42" i="1"/>
  <c r="M42" i="1"/>
  <c r="N42" i="1"/>
  <c r="O42" i="1"/>
  <c r="P42" i="1"/>
  <c r="Q42" i="1"/>
  <c r="R42" i="1"/>
  <c r="S42" i="1"/>
  <c r="T42" i="1"/>
  <c r="V42" i="1"/>
  <c r="W42" i="1"/>
  <c r="Y42" i="1"/>
  <c r="Z42" i="1"/>
  <c r="AA42" i="1"/>
  <c r="AB42" i="1"/>
  <c r="AC42" i="1"/>
  <c r="R2" i="78"/>
  <c r="G2" i="78"/>
  <c r="Q1" i="78" s="1"/>
  <c r="J2" i="1" s="1"/>
  <c r="R2" i="79"/>
  <c r="P43" i="69"/>
  <c r="B43" i="69"/>
  <c r="B44" i="69" s="1"/>
  <c r="B45" i="69" s="1"/>
  <c r="B46" i="69" s="1"/>
  <c r="B47" i="69" s="1"/>
  <c r="B48" i="69" s="1"/>
  <c r="B49" i="69" s="1"/>
  <c r="B50" i="69" s="1"/>
  <c r="B51" i="69" s="1"/>
  <c r="P26" i="72"/>
  <c r="B74" i="63"/>
  <c r="B90" i="62"/>
  <c r="B91" i="62" s="1"/>
  <c r="B92" i="62" s="1"/>
  <c r="B38" i="77"/>
  <c r="B40" i="77" s="1"/>
  <c r="B41" i="77" s="1"/>
  <c r="B44" i="77" s="1"/>
  <c r="B45" i="77" s="1"/>
  <c r="P42" i="69"/>
  <c r="R28" i="76"/>
  <c r="H77" i="58"/>
  <c r="H78" i="58" s="1"/>
  <c r="H79" i="58" s="1"/>
  <c r="B79" i="58"/>
  <c r="P18" i="75"/>
  <c r="C76" i="55"/>
  <c r="AB10" i="1" s="1"/>
  <c r="H139" i="79"/>
  <c r="B139" i="79"/>
  <c r="H138" i="79"/>
  <c r="B138" i="79"/>
  <c r="H137" i="79"/>
  <c r="B137" i="79"/>
  <c r="H136" i="79"/>
  <c r="B136" i="79"/>
  <c r="H7" i="79"/>
  <c r="H8" i="79" s="1"/>
  <c r="H9" i="79" s="1"/>
  <c r="H10" i="79" s="1"/>
  <c r="H11" i="79" s="1"/>
  <c r="H12" i="79" s="1"/>
  <c r="H13" i="79" s="1"/>
  <c r="H14" i="79" s="1"/>
  <c r="H15" i="79" s="1"/>
  <c r="H16" i="79" s="1"/>
  <c r="H17" i="79" s="1"/>
  <c r="H18" i="79" s="1"/>
  <c r="H19" i="79" s="1"/>
  <c r="H20" i="79" s="1"/>
  <c r="H21" i="79" s="1"/>
  <c r="H22" i="79" s="1"/>
  <c r="H23" i="79" s="1"/>
  <c r="H24" i="79" s="1"/>
  <c r="H25" i="79" s="1"/>
  <c r="H26" i="79" s="1"/>
  <c r="H27" i="79" s="1"/>
  <c r="H28" i="79" s="1"/>
  <c r="H29" i="79" s="1"/>
  <c r="H30" i="79" s="1"/>
  <c r="H31" i="79" s="1"/>
  <c r="H32" i="79" s="1"/>
  <c r="H33" i="79" s="1"/>
  <c r="H34" i="79" s="1"/>
  <c r="H35" i="79" s="1"/>
  <c r="H36" i="79" s="1"/>
  <c r="H37" i="79" s="1"/>
  <c r="H38" i="79" s="1"/>
  <c r="H39" i="79" s="1"/>
  <c r="H40" i="79" s="1"/>
  <c r="H41" i="79" s="1"/>
  <c r="H42" i="79" s="1"/>
  <c r="H43" i="79" s="1"/>
  <c r="H44" i="79" s="1"/>
  <c r="H45" i="79" s="1"/>
  <c r="H46" i="79" s="1"/>
  <c r="H47" i="79" s="1"/>
  <c r="H48" i="79" s="1"/>
  <c r="H49" i="79" s="1"/>
  <c r="H50" i="79" s="1"/>
  <c r="H51" i="79" s="1"/>
  <c r="H52" i="79" s="1"/>
  <c r="H53" i="79" s="1"/>
  <c r="H54" i="79" s="1"/>
  <c r="H55" i="79" s="1"/>
  <c r="H56" i="79" s="1"/>
  <c r="S7" i="79"/>
  <c r="S8" i="79" s="1"/>
  <c r="S9" i="79" s="1"/>
  <c r="S10" i="79" s="1"/>
  <c r="S11" i="79" s="1"/>
  <c r="S12" i="79" s="1"/>
  <c r="S13" i="79" s="1"/>
  <c r="S14" i="79" s="1"/>
  <c r="S15" i="79" s="1"/>
  <c r="S16" i="79" s="1"/>
  <c r="S17" i="79" s="1"/>
  <c r="S18" i="79" s="1"/>
  <c r="S19" i="79" s="1"/>
  <c r="S20" i="79" s="1"/>
  <c r="S21" i="79" s="1"/>
  <c r="S22" i="79" s="1"/>
  <c r="S23" i="79" s="1"/>
  <c r="S24" i="79" s="1"/>
  <c r="S25" i="79" s="1"/>
  <c r="S26" i="79" s="1"/>
  <c r="S27" i="79" s="1"/>
  <c r="S28" i="79" s="1"/>
  <c r="S29" i="79" s="1"/>
  <c r="S30" i="79" s="1"/>
  <c r="S31" i="79" s="1"/>
  <c r="S32" i="79" s="1"/>
  <c r="S33" i="79" s="1"/>
  <c r="S34" i="79" s="1"/>
  <c r="S35" i="79" s="1"/>
  <c r="S36" i="79" s="1"/>
  <c r="S37" i="79" s="1"/>
  <c r="S38" i="79" s="1"/>
  <c r="S39" i="79" s="1"/>
  <c r="H7" i="78"/>
  <c r="H8" i="78" s="1"/>
  <c r="H9" i="78"/>
  <c r="H10" i="78" s="1"/>
  <c r="H11" i="78" s="1"/>
  <c r="H12" i="78" s="1"/>
  <c r="H13" i="78" s="1"/>
  <c r="H14" i="78" s="1"/>
  <c r="H15" i="78" s="1"/>
  <c r="H16" i="78"/>
  <c r="H17" i="78"/>
  <c r="H18" i="78" s="1"/>
  <c r="H19" i="78"/>
  <c r="H20" i="78" s="1"/>
  <c r="H21" i="78" s="1"/>
  <c r="H22" i="78" s="1"/>
  <c r="H23" i="78" s="1"/>
  <c r="H24" i="78" s="1"/>
  <c r="H25" i="78" s="1"/>
  <c r="H26" i="78" s="1"/>
  <c r="H27" i="78" s="1"/>
  <c r="H28" i="78" s="1"/>
  <c r="H29" i="78" s="1"/>
  <c r="H30" i="78"/>
  <c r="H31" i="78" s="1"/>
  <c r="H32" i="78"/>
  <c r="H33" i="78" s="1"/>
  <c r="H34" i="78" s="1"/>
  <c r="H35" i="78" s="1"/>
  <c r="H36" i="78" s="1"/>
  <c r="H37" i="78" s="1"/>
  <c r="H38" i="78" s="1"/>
  <c r="H39" i="78" s="1"/>
  <c r="H40" i="78" s="1"/>
  <c r="H41" i="78" s="1"/>
  <c r="H42" i="78" s="1"/>
  <c r="H43" i="78" s="1"/>
  <c r="H44" i="78" s="1"/>
  <c r="H45" i="78" s="1"/>
  <c r="H46" i="78" s="1"/>
  <c r="H47" i="78" s="1"/>
  <c r="H48" i="78" s="1"/>
  <c r="H49" i="78" s="1"/>
  <c r="H139" i="78"/>
  <c r="B139" i="78"/>
  <c r="H138" i="78"/>
  <c r="B138" i="78"/>
  <c r="H137" i="78"/>
  <c r="B137" i="78"/>
  <c r="H136" i="78"/>
  <c r="B136" i="78"/>
  <c r="C58" i="78"/>
  <c r="C57" i="78"/>
  <c r="C56" i="78"/>
  <c r="C55" i="78"/>
  <c r="C54" i="78"/>
  <c r="C53" i="78"/>
  <c r="C52" i="78"/>
  <c r="C51" i="78"/>
  <c r="C50" i="78"/>
  <c r="B58" i="78"/>
  <c r="B57" i="78"/>
  <c r="B56" i="78"/>
  <c r="B55" i="78"/>
  <c r="B54" i="78"/>
  <c r="B53" i="78"/>
  <c r="B52" i="78"/>
  <c r="B51" i="78"/>
  <c r="B50" i="78"/>
  <c r="S7" i="78"/>
  <c r="S8" i="78" s="1"/>
  <c r="S9" i="78" s="1"/>
  <c r="S10" i="78" s="1"/>
  <c r="S11" i="78" s="1"/>
  <c r="S12" i="78" s="1"/>
  <c r="S13" i="78" s="1"/>
  <c r="S14" i="78" s="1"/>
  <c r="S15" i="78" s="1"/>
  <c r="S16" i="78" s="1"/>
  <c r="S17" i="78" s="1"/>
  <c r="S18" i="78" s="1"/>
  <c r="S19" i="78" s="1"/>
  <c r="S20" i="78" s="1"/>
  <c r="S21" i="78" s="1"/>
  <c r="S22" i="78" s="1"/>
  <c r="S23" i="78" s="1"/>
  <c r="S24" i="78" s="1"/>
  <c r="S25" i="78" s="1"/>
  <c r="S26" i="78" s="1"/>
  <c r="S27" i="78" s="1"/>
  <c r="S28" i="78" s="1"/>
  <c r="S29" i="78" s="1"/>
  <c r="S30" i="78" s="1"/>
  <c r="S31" i="78" s="1"/>
  <c r="S32" i="78" s="1"/>
  <c r="S33" i="78" s="1"/>
  <c r="S34" i="78" s="1"/>
  <c r="S7" i="77"/>
  <c r="S8" i="77" s="1"/>
  <c r="S9" i="77" s="1"/>
  <c r="S10" i="77" s="1"/>
  <c r="S11" i="77" s="1"/>
  <c r="S12" i="77" s="1"/>
  <c r="S13" i="77" s="1"/>
  <c r="S14" i="77" s="1"/>
  <c r="S15" i="77" s="1"/>
  <c r="S16" i="77" s="1"/>
  <c r="S17" i="77" s="1"/>
  <c r="S18" i="77" s="1"/>
  <c r="S19" i="77" s="1"/>
  <c r="S20" i="77" s="1"/>
  <c r="S21" i="77" s="1"/>
  <c r="S22" i="77" s="1"/>
  <c r="S23" i="77" s="1"/>
  <c r="S24" i="77" s="1"/>
  <c r="S25" i="77" s="1"/>
  <c r="S26" i="77" s="1"/>
  <c r="S27" i="77" s="1"/>
  <c r="S28" i="77" s="1"/>
  <c r="S29" i="77" s="1"/>
  <c r="S30" i="77" s="1"/>
  <c r="S31" i="77" s="1"/>
  <c r="S32" i="77" s="1"/>
  <c r="S33" i="77" s="1"/>
  <c r="S34" i="77" s="1"/>
  <c r="S35" i="77" s="1"/>
  <c r="S36" i="77" s="1"/>
  <c r="S37" i="77" s="1"/>
  <c r="S38" i="77" s="1"/>
  <c r="S39" i="77" s="1"/>
  <c r="S40" i="77" s="1"/>
  <c r="S41" i="77" s="1"/>
  <c r="S42" i="77" s="1"/>
  <c r="S43" i="77" s="1"/>
  <c r="S44" i="77" s="1"/>
  <c r="S45" i="77" s="1"/>
  <c r="S46" i="77" s="1"/>
  <c r="S47" i="77" s="1"/>
  <c r="S48" i="77" s="1"/>
  <c r="S49" i="77" s="1"/>
  <c r="S50" i="77" s="1"/>
  <c r="S51" i="77" s="1"/>
  <c r="S52" i="77" s="1"/>
  <c r="H139" i="77"/>
  <c r="B139" i="77"/>
  <c r="H138" i="77"/>
  <c r="B138" i="77"/>
  <c r="H137" i="77"/>
  <c r="B137" i="77"/>
  <c r="H136" i="77"/>
  <c r="B136" i="77"/>
  <c r="H7" i="77"/>
  <c r="H8" i="77" s="1"/>
  <c r="H9" i="77" s="1"/>
  <c r="H10" i="77" s="1"/>
  <c r="H11" i="77" s="1"/>
  <c r="H12" i="77" s="1"/>
  <c r="H13" i="77" s="1"/>
  <c r="H14" i="77" s="1"/>
  <c r="H15" i="77" s="1"/>
  <c r="H16" i="77" s="1"/>
  <c r="H17" i="77"/>
  <c r="H18" i="77" s="1"/>
  <c r="H19" i="77" s="1"/>
  <c r="H20" i="77"/>
  <c r="H21" i="77" s="1"/>
  <c r="H22" i="77" s="1"/>
  <c r="H23" i="77"/>
  <c r="H24" i="77" s="1"/>
  <c r="H25" i="77" s="1"/>
  <c r="H26" i="77" s="1"/>
  <c r="H27" i="77" s="1"/>
  <c r="H28" i="77" s="1"/>
  <c r="H29" i="77" s="1"/>
  <c r="H30" i="77" s="1"/>
  <c r="H31" i="77" s="1"/>
  <c r="H32" i="77" s="1"/>
  <c r="H33" i="77" s="1"/>
  <c r="H34" i="77" s="1"/>
  <c r="H35" i="77" s="1"/>
  <c r="H36" i="77" s="1"/>
  <c r="H37" i="77" s="1"/>
  <c r="H38" i="77" s="1"/>
  <c r="H39" i="77" s="1"/>
  <c r="H40" i="77" s="1"/>
  <c r="R27" i="76"/>
  <c r="R26" i="76"/>
  <c r="X4" i="76"/>
  <c r="Y4" i="76" s="1"/>
  <c r="X5" i="76"/>
  <c r="Y5" i="76" s="1"/>
  <c r="X6" i="76"/>
  <c r="Y6" i="76" s="1"/>
  <c r="R6" i="76"/>
  <c r="X7" i="76"/>
  <c r="Y7" i="76" s="1"/>
  <c r="X8" i="76"/>
  <c r="Y8" i="76" s="1"/>
  <c r="R8" i="76"/>
  <c r="S8" i="76" s="1"/>
  <c r="U8" i="76" s="1"/>
  <c r="X9" i="76"/>
  <c r="Y9" i="76" s="1"/>
  <c r="X10" i="76"/>
  <c r="Y10" i="76" s="1"/>
  <c r="R10" i="76"/>
  <c r="X11" i="76"/>
  <c r="Y11" i="76" s="1"/>
  <c r="R11" i="76"/>
  <c r="X12" i="76"/>
  <c r="Y12" i="76" s="1"/>
  <c r="R12" i="76"/>
  <c r="X13" i="76"/>
  <c r="Y13" i="76" s="1"/>
  <c r="R13" i="76"/>
  <c r="X14" i="76"/>
  <c r="Y14" i="76" s="1"/>
  <c r="X15" i="76"/>
  <c r="Y15" i="76" s="1"/>
  <c r="R15" i="76"/>
  <c r="X16" i="76"/>
  <c r="Y16" i="76" s="1"/>
  <c r="X17" i="76"/>
  <c r="Y17" i="76" s="1"/>
  <c r="X18" i="76"/>
  <c r="Y18" i="76" s="1"/>
  <c r="R18" i="76"/>
  <c r="X19" i="76"/>
  <c r="Y19" i="76" s="1"/>
  <c r="R19" i="76"/>
  <c r="X20" i="76"/>
  <c r="Y20" i="76" s="1"/>
  <c r="R20" i="76"/>
  <c r="X21" i="76"/>
  <c r="Y21" i="76" s="1"/>
  <c r="R21" i="76"/>
  <c r="R25" i="76"/>
  <c r="T25" i="76" s="1"/>
  <c r="B11" i="74"/>
  <c r="B12" i="74" s="1"/>
  <c r="B13" i="74" s="1"/>
  <c r="B14" i="74" s="1"/>
  <c r="B9" i="73"/>
  <c r="B10" i="73" s="1"/>
  <c r="B11" i="73" s="1"/>
  <c r="B12" i="73" s="1"/>
  <c r="B13" i="73" s="1"/>
  <c r="B14" i="73" s="1"/>
  <c r="B15" i="73" s="1"/>
  <c r="B16" i="73" s="1"/>
  <c r="B17" i="73" s="1"/>
  <c r="B18" i="73" s="1"/>
  <c r="B19" i="73" s="1"/>
  <c r="B20" i="73" s="1"/>
  <c r="P25" i="72"/>
  <c r="P17" i="75"/>
  <c r="P16" i="75"/>
  <c r="P41" i="69"/>
  <c r="P40" i="69"/>
  <c r="H87" i="62"/>
  <c r="H88" i="62" s="1"/>
  <c r="H89" i="62" s="1"/>
  <c r="H90" i="62" s="1"/>
  <c r="H91" i="62" s="1"/>
  <c r="P24" i="72"/>
  <c r="O23" i="55"/>
  <c r="R4" i="76"/>
  <c r="R5" i="76"/>
  <c r="R7" i="76"/>
  <c r="R9" i="76"/>
  <c r="R14" i="76"/>
  <c r="P23" i="72"/>
  <c r="B76" i="58"/>
  <c r="H7" i="74"/>
  <c r="H8" i="74" s="1"/>
  <c r="H9" i="74" s="1"/>
  <c r="H10" i="74" s="1"/>
  <c r="H11" i="74" s="1"/>
  <c r="H12" i="74" s="1"/>
  <c r="H13" i="74" s="1"/>
  <c r="H14" i="74" s="1"/>
  <c r="P39" i="69"/>
  <c r="P38" i="69"/>
  <c r="P37" i="69"/>
  <c r="H75" i="58"/>
  <c r="H76" i="58" s="1"/>
  <c r="P22" i="72"/>
  <c r="P43" i="70"/>
  <c r="F11" i="76"/>
  <c r="F15" i="76"/>
  <c r="F19" i="76"/>
  <c r="F12" i="76"/>
  <c r="F18" i="76"/>
  <c r="F10" i="76"/>
  <c r="F20" i="76"/>
  <c r="F23" i="76"/>
  <c r="F17" i="76"/>
  <c r="F14" i="76"/>
  <c r="F16" i="76"/>
  <c r="F4" i="76"/>
  <c r="F5" i="76"/>
  <c r="F9" i="76"/>
  <c r="F13" i="76"/>
  <c r="F21" i="76"/>
  <c r="F7" i="76"/>
  <c r="P21" i="72"/>
  <c r="X11" i="1"/>
  <c r="U11" i="1"/>
  <c r="B9" i="74"/>
  <c r="G2" i="36"/>
  <c r="M2" i="36"/>
  <c r="G2" i="57"/>
  <c r="M2" i="57"/>
  <c r="M2" i="70"/>
  <c r="G2" i="70"/>
  <c r="M2" i="74"/>
  <c r="F2" i="74"/>
  <c r="G2" i="72"/>
  <c r="M2" i="72"/>
  <c r="M2" i="75"/>
  <c r="G2" i="75"/>
  <c r="G2" i="67"/>
  <c r="M2" i="69"/>
  <c r="G2" i="69"/>
  <c r="G2" i="61"/>
  <c r="M2" i="61"/>
  <c r="M2" i="63"/>
  <c r="G2" i="71"/>
  <c r="M2" i="64"/>
  <c r="G2" i="64"/>
  <c r="M2" i="62"/>
  <c r="M2" i="58"/>
  <c r="G2" i="65"/>
  <c r="M2" i="65"/>
  <c r="M2" i="73"/>
  <c r="G2" i="59"/>
  <c r="P36" i="69"/>
  <c r="P20" i="72"/>
  <c r="P42" i="70"/>
  <c r="H72" i="58"/>
  <c r="H73" i="58" s="1"/>
  <c r="H74" i="58" s="1"/>
  <c r="B74" i="58"/>
  <c r="P19" i="72"/>
  <c r="B36" i="69"/>
  <c r="B37" i="69" s="1"/>
  <c r="B38" i="69" s="1"/>
  <c r="B39" i="69" s="1"/>
  <c r="B40" i="69" s="1"/>
  <c r="B41" i="69" s="1"/>
  <c r="P41" i="70"/>
  <c r="H69" i="58"/>
  <c r="H70" i="58" s="1"/>
  <c r="H71" i="58" s="1"/>
  <c r="B68" i="63"/>
  <c r="B69" i="63" s="1"/>
  <c r="B70" i="63" s="1"/>
  <c r="B71" i="63" s="1"/>
  <c r="P18" i="72"/>
  <c r="B18" i="72"/>
  <c r="B19" i="72" s="1"/>
  <c r="B20" i="72" s="1"/>
  <c r="B21" i="72" s="1"/>
  <c r="B22" i="72" s="1"/>
  <c r="B23" i="72" s="1"/>
  <c r="B24" i="72" s="1"/>
  <c r="B25" i="72" s="1"/>
  <c r="B26" i="72" s="1"/>
  <c r="B27" i="72" s="1"/>
  <c r="B28" i="72" s="1"/>
  <c r="P35" i="69"/>
  <c r="P34" i="69"/>
  <c r="P17" i="67"/>
  <c r="P40" i="70"/>
  <c r="B80" i="62"/>
  <c r="B81" i="62" s="1"/>
  <c r="B82" i="62" s="1"/>
  <c r="B83" i="62" s="1"/>
  <c r="B84" i="62" s="1"/>
  <c r="B85" i="62" s="1"/>
  <c r="B86" i="62" s="1"/>
  <c r="B87" i="62" s="1"/>
  <c r="P17" i="72"/>
  <c r="P33" i="69"/>
  <c r="D77" i="62"/>
  <c r="Z10" i="1" s="1"/>
  <c r="P39" i="70"/>
  <c r="H78" i="62"/>
  <c r="H79" i="62" s="1"/>
  <c r="H80" i="62" s="1"/>
  <c r="H81" i="62" s="1"/>
  <c r="H82" i="62" s="1"/>
  <c r="H83" i="62" s="1"/>
  <c r="H84" i="62" s="1"/>
  <c r="H85" i="62" s="1"/>
  <c r="H86" i="62" s="1"/>
  <c r="P32" i="69"/>
  <c r="V16" i="76"/>
  <c r="G345" i="55"/>
  <c r="Z43" i="1" s="1"/>
  <c r="E146" i="1"/>
  <c r="E60" i="1" s="1"/>
  <c r="M2" i="71"/>
  <c r="M2" i="67"/>
  <c r="B70" i="58"/>
  <c r="B71" i="58" s="1"/>
  <c r="P31" i="69"/>
  <c r="P38" i="70"/>
  <c r="P37" i="70"/>
  <c r="H50" i="62"/>
  <c r="H51" i="62" s="1"/>
  <c r="H52" i="62" s="1"/>
  <c r="H53" i="62" s="1"/>
  <c r="H54" i="62" s="1"/>
  <c r="P16" i="72"/>
  <c r="H69" i="65"/>
  <c r="H70" i="65" s="1"/>
  <c r="H71" i="65" s="1"/>
  <c r="H72" i="65"/>
  <c r="H73" i="65" s="1"/>
  <c r="H74" i="65" s="1"/>
  <c r="H75" i="65" s="1"/>
  <c r="H76" i="65" s="1"/>
  <c r="H77" i="65" s="1"/>
  <c r="H78" i="65" s="1"/>
  <c r="H79" i="65" s="1"/>
  <c r="H80" i="65" s="1"/>
  <c r="H81" i="65" s="1"/>
  <c r="H82" i="65" s="1"/>
  <c r="H83" i="65" s="1"/>
  <c r="H84" i="65" s="1"/>
  <c r="H85" i="65" s="1"/>
  <c r="H86" i="65" s="1"/>
  <c r="H87" i="65" s="1"/>
  <c r="H88" i="65" s="1"/>
  <c r="H89" i="65" s="1"/>
  <c r="H90" i="65" s="1"/>
  <c r="H91" i="65" s="1"/>
  <c r="H92" i="65" s="1"/>
  <c r="H93" i="65" s="1"/>
  <c r="H94" i="65" s="1"/>
  <c r="H95" i="65" s="1"/>
  <c r="H96" i="65" s="1"/>
  <c r="H97" i="65" s="1"/>
  <c r="H98" i="65" s="1"/>
  <c r="H99" i="65" s="1"/>
  <c r="H100" i="65" s="1"/>
  <c r="H101" i="65" s="1"/>
  <c r="H102" i="65" s="1"/>
  <c r="H103" i="65" s="1"/>
  <c r="H104" i="65" s="1"/>
  <c r="H105" i="65" s="1"/>
  <c r="H106" i="65" s="1"/>
  <c r="H107" i="65" s="1"/>
  <c r="H108" i="65" s="1"/>
  <c r="H109" i="65" s="1"/>
  <c r="H110" i="65" s="1"/>
  <c r="H111" i="65" s="1"/>
  <c r="H112" i="65" s="1"/>
  <c r="H113" i="65" s="1"/>
  <c r="H114" i="65" s="1"/>
  <c r="H115" i="65" s="1"/>
  <c r="H116" i="65" s="1"/>
  <c r="H117" i="65" s="1"/>
  <c r="B54" i="62"/>
  <c r="B55" i="62" s="1"/>
  <c r="B56" i="62" s="1"/>
  <c r="B57" i="62" s="1"/>
  <c r="B58" i="62" s="1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31" i="69"/>
  <c r="P30" i="69"/>
  <c r="P29" i="69"/>
  <c r="P36" i="70"/>
  <c r="H29" i="69"/>
  <c r="H30" i="69" s="1"/>
  <c r="H31" i="69" s="1"/>
  <c r="H32" i="69"/>
  <c r="P35" i="70"/>
  <c r="H15" i="65"/>
  <c r="H16" i="65" s="1"/>
  <c r="H17" i="65" s="1"/>
  <c r="H18" i="65" s="1"/>
  <c r="H19" i="65" s="1"/>
  <c r="H20" i="65" s="1"/>
  <c r="H21" i="65" s="1"/>
  <c r="H22" i="65" s="1"/>
  <c r="H23" i="65" s="1"/>
  <c r="H24" i="65" s="1"/>
  <c r="H25" i="65" s="1"/>
  <c r="H26" i="65" s="1"/>
  <c r="H27" i="65" s="1"/>
  <c r="H28" i="65" s="1"/>
  <c r="H29" i="65" s="1"/>
  <c r="H30" i="65" s="1"/>
  <c r="H31" i="65" s="1"/>
  <c r="H32" i="65" s="1"/>
  <c r="H33" i="65" s="1"/>
  <c r="H34" i="65" s="1"/>
  <c r="H35" i="65" s="1"/>
  <c r="H36" i="65" s="1"/>
  <c r="H37" i="65" s="1"/>
  <c r="H38" i="65" s="1"/>
  <c r="H39" i="65" s="1"/>
  <c r="H40" i="65" s="1"/>
  <c r="H41" i="65" s="1"/>
  <c r="H42" i="65" s="1"/>
  <c r="H43" i="65" s="1"/>
  <c r="H44" i="65" s="1"/>
  <c r="H45" i="65" s="1"/>
  <c r="H46" i="65" s="1"/>
  <c r="H47" i="65" s="1"/>
  <c r="H48" i="65" s="1"/>
  <c r="H49" i="65" s="1"/>
  <c r="H50" i="65" s="1"/>
  <c r="H51" i="65" s="1"/>
  <c r="H52" i="65" s="1"/>
  <c r="H53" i="65" s="1"/>
  <c r="H54" i="65" s="1"/>
  <c r="H55" i="65" s="1"/>
  <c r="H56" i="65" s="1"/>
  <c r="H57" i="65" s="1"/>
  <c r="H58" i="65" s="1"/>
  <c r="H59" i="65" s="1"/>
  <c r="H60" i="65" s="1"/>
  <c r="H61" i="65" s="1"/>
  <c r="H62" i="65" s="1"/>
  <c r="H63" i="65" s="1"/>
  <c r="H64" i="65" s="1"/>
  <c r="H65" i="65" s="1"/>
  <c r="H66" i="65" s="1"/>
  <c r="H67" i="65" s="1"/>
  <c r="H68" i="65" s="1"/>
  <c r="H66" i="58"/>
  <c r="H67" i="58" s="1"/>
  <c r="H68" i="58" s="1"/>
  <c r="B67" i="58"/>
  <c r="B68" i="58" s="1"/>
  <c r="H81" i="59"/>
  <c r="H82" i="59" s="1"/>
  <c r="H83" i="59" s="1"/>
  <c r="H84" i="59" s="1"/>
  <c r="H85" i="59" s="1"/>
  <c r="H86" i="59" s="1"/>
  <c r="H87" i="59" s="1"/>
  <c r="H88" i="59" s="1"/>
  <c r="H89" i="59" s="1"/>
  <c r="H90" i="59" s="1"/>
  <c r="H91" i="59" s="1"/>
  <c r="H92" i="59" s="1"/>
  <c r="H93" i="59" s="1"/>
  <c r="H94" i="59" s="1"/>
  <c r="H95" i="59" s="1"/>
  <c r="H96" i="59" s="1"/>
  <c r="H97" i="59" s="1"/>
  <c r="H98" i="59" s="1"/>
  <c r="H99" i="59" s="1"/>
  <c r="H100" i="59" s="1"/>
  <c r="H101" i="59" s="1"/>
  <c r="H102" i="59" s="1"/>
  <c r="H103" i="59" s="1"/>
  <c r="H104" i="59" s="1"/>
  <c r="H105" i="59" s="1"/>
  <c r="H106" i="59" s="1"/>
  <c r="H107" i="59" s="1"/>
  <c r="H108" i="59" s="1"/>
  <c r="H109" i="59" s="1"/>
  <c r="H110" i="59" s="1"/>
  <c r="H111" i="59" s="1"/>
  <c r="H112" i="59" s="1"/>
  <c r="H113" i="59" s="1"/>
  <c r="H114" i="59" s="1"/>
  <c r="H115" i="59" s="1"/>
  <c r="H116" i="59" s="1"/>
  <c r="H117" i="59" s="1"/>
  <c r="H118" i="59" s="1"/>
  <c r="H119" i="59" s="1"/>
  <c r="H120" i="59" s="1"/>
  <c r="H121" i="59" s="1"/>
  <c r="H122" i="59" s="1"/>
  <c r="H123" i="59" s="1"/>
  <c r="H124" i="59" s="1"/>
  <c r="H125" i="59" s="1"/>
  <c r="H126" i="59" s="1"/>
  <c r="H127" i="59" s="1"/>
  <c r="H128" i="59" s="1"/>
  <c r="H129" i="59" s="1"/>
  <c r="H130" i="59" s="1"/>
  <c r="H131" i="59" s="1"/>
  <c r="H132" i="59" s="1"/>
  <c r="H133" i="59" s="1"/>
  <c r="H134" i="59" s="1"/>
  <c r="H135" i="59" s="1"/>
  <c r="H136" i="59" s="1"/>
  <c r="H137" i="59" s="1"/>
  <c r="H138" i="59" s="1"/>
  <c r="H139" i="59" s="1"/>
  <c r="H140" i="59" s="1"/>
  <c r="H141" i="59" s="1"/>
  <c r="H142" i="59" s="1"/>
  <c r="H143" i="59" s="1"/>
  <c r="H144" i="59" s="1"/>
  <c r="H145" i="59" s="1"/>
  <c r="H146" i="59" s="1"/>
  <c r="H147" i="59" s="1"/>
  <c r="H148" i="59" s="1"/>
  <c r="H149" i="59" s="1"/>
  <c r="H150" i="59" s="1"/>
  <c r="J60" i="1"/>
  <c r="P21" i="71"/>
  <c r="P34" i="70"/>
  <c r="P17" i="61"/>
  <c r="B9" i="71"/>
  <c r="B10" i="71" s="1"/>
  <c r="B11" i="71" s="1"/>
  <c r="B12" i="71" s="1"/>
  <c r="B13" i="71" s="1"/>
  <c r="B14" i="71" s="1"/>
  <c r="B15" i="71" s="1"/>
  <c r="B16" i="71" s="1"/>
  <c r="B17" i="71" s="1"/>
  <c r="B18" i="71" s="1"/>
  <c r="B19" i="71" s="1"/>
  <c r="B20" i="71" s="1"/>
  <c r="B21" i="71" s="1"/>
  <c r="B22" i="71" s="1"/>
  <c r="B23" i="71" s="1"/>
  <c r="B24" i="71" s="1"/>
  <c r="B25" i="71" s="1"/>
  <c r="B26" i="71" s="1"/>
  <c r="B27" i="71" s="1"/>
  <c r="B28" i="71" s="1"/>
  <c r="B29" i="71" s="1"/>
  <c r="B30" i="71" s="1"/>
  <c r="B31" i="71" s="1"/>
  <c r="B32" i="71" s="1"/>
  <c r="B33" i="71" s="1"/>
  <c r="B34" i="71" s="1"/>
  <c r="B35" i="71" s="1"/>
  <c r="B36" i="71" s="1"/>
  <c r="B37" i="71" s="1"/>
  <c r="B38" i="71" s="1"/>
  <c r="B39" i="71" s="1"/>
  <c r="B40" i="71" s="1"/>
  <c r="B41" i="71" s="1"/>
  <c r="B42" i="71" s="1"/>
  <c r="B43" i="71" s="1"/>
  <c r="B44" i="71" s="1"/>
  <c r="B45" i="71" s="1"/>
  <c r="B46" i="71" s="1"/>
  <c r="B47" i="71" s="1"/>
  <c r="B48" i="71" s="1"/>
  <c r="B49" i="71" s="1"/>
  <c r="P16" i="61"/>
  <c r="B51" i="63"/>
  <c r="B52" i="63" s="1"/>
  <c r="B53" i="63" s="1"/>
  <c r="B54" i="63" s="1"/>
  <c r="B55" i="63" s="1"/>
  <c r="B56" i="63" s="1"/>
  <c r="B57" i="63" s="1"/>
  <c r="B58" i="63" s="1"/>
  <c r="B59" i="63" s="1"/>
  <c r="B60" i="63" s="1"/>
  <c r="B61" i="63" s="1"/>
  <c r="B62" i="63" s="1"/>
  <c r="B63" i="63" s="1"/>
  <c r="B64" i="63" s="1"/>
  <c r="B65" i="63" s="1"/>
  <c r="P33" i="70"/>
  <c r="P32" i="70"/>
  <c r="P31" i="70"/>
  <c r="H47" i="1"/>
  <c r="D47" i="1" s="1"/>
  <c r="I46" i="1"/>
  <c r="J46" i="1"/>
  <c r="H7" i="62"/>
  <c r="H8" i="62" s="1"/>
  <c r="H9" i="62" s="1"/>
  <c r="H10" i="62" s="1"/>
  <c r="H11" i="62" s="1"/>
  <c r="H7" i="61"/>
  <c r="H8" i="61" s="1"/>
  <c r="H9" i="61" s="1"/>
  <c r="H10" i="61" s="1"/>
  <c r="H11" i="61" s="1"/>
  <c r="H12" i="61" s="1"/>
  <c r="H13" i="61" s="1"/>
  <c r="H14" i="61" s="1"/>
  <c r="H15" i="61" s="1"/>
  <c r="H16" i="61" s="1"/>
  <c r="H17" i="61" s="1"/>
  <c r="H18" i="61" s="1"/>
  <c r="H19" i="61" s="1"/>
  <c r="H20" i="61" s="1"/>
  <c r="H21" i="61" s="1"/>
  <c r="H22" i="61" s="1"/>
  <c r="H23" i="61" s="1"/>
  <c r="H24" i="61" s="1"/>
  <c r="H25" i="61" s="1"/>
  <c r="H26" i="61" s="1"/>
  <c r="H27" i="61" s="1"/>
  <c r="H28" i="61" s="1"/>
  <c r="H29" i="61" s="1"/>
  <c r="AL46" i="1" s="1"/>
  <c r="H7" i="63"/>
  <c r="H8" i="63" s="1"/>
  <c r="H9" i="63" s="1"/>
  <c r="H10" i="63" s="1"/>
  <c r="H11" i="63" s="1"/>
  <c r="H12" i="63" s="1"/>
  <c r="H7" i="59"/>
  <c r="H8" i="59" s="1"/>
  <c r="H9" i="59" s="1"/>
  <c r="H10" i="59" s="1"/>
  <c r="H11" i="59" s="1"/>
  <c r="H12" i="59" s="1"/>
  <c r="H13" i="59" s="1"/>
  <c r="H14" i="59" s="1"/>
  <c r="H15" i="59" s="1"/>
  <c r="H16" i="59" s="1"/>
  <c r="H12" i="62"/>
  <c r="H13" i="62" s="1"/>
  <c r="H14" i="62" s="1"/>
  <c r="H15" i="62" s="1"/>
  <c r="H16" i="62" s="1"/>
  <c r="H17" i="62" s="1"/>
  <c r="H18" i="62" s="1"/>
  <c r="H8" i="64"/>
  <c r="H9" i="64" s="1"/>
  <c r="H10" i="64" s="1"/>
  <c r="H11" i="64" s="1"/>
  <c r="H12" i="64" s="1"/>
  <c r="H13" i="64" s="1"/>
  <c r="H14" i="64" s="1"/>
  <c r="H15" i="64" s="1"/>
  <c r="H16" i="64" s="1"/>
  <c r="H17" i="64" s="1"/>
  <c r="H18" i="64" s="1"/>
  <c r="H19" i="64" s="1"/>
  <c r="H20" i="64" s="1"/>
  <c r="H35" i="64" s="1"/>
  <c r="H36" i="64" s="1"/>
  <c r="H37" i="64" s="1"/>
  <c r="H38" i="64" s="1"/>
  <c r="H39" i="64" s="1"/>
  <c r="H40" i="64" s="1"/>
  <c r="H41" i="64" s="1"/>
  <c r="H42" i="64" s="1"/>
  <c r="H43" i="64" s="1"/>
  <c r="H44" i="64" s="1"/>
  <c r="H45" i="64" s="1"/>
  <c r="H46" i="64" s="1"/>
  <c r="H47" i="64" s="1"/>
  <c r="H48" i="64" s="1"/>
  <c r="H49" i="64" s="1"/>
  <c r="H50" i="64" s="1"/>
  <c r="P46" i="1"/>
  <c r="Q46" i="1"/>
  <c r="H7" i="70"/>
  <c r="H8" i="70" s="1"/>
  <c r="H9" i="70" s="1"/>
  <c r="H10" i="70" s="1"/>
  <c r="H11" i="70" s="1"/>
  <c r="H12" i="70" s="1"/>
  <c r="H13" i="70" s="1"/>
  <c r="H14" i="70" s="1"/>
  <c r="H15" i="70" s="1"/>
  <c r="H16" i="70" s="1"/>
  <c r="H17" i="70" s="1"/>
  <c r="H19" i="62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H44" i="62" s="1"/>
  <c r="H45" i="62" s="1"/>
  <c r="H46" i="62" s="1"/>
  <c r="H47" i="62" s="1"/>
  <c r="H48" i="62" s="1"/>
  <c r="H14" i="63"/>
  <c r="H15" i="63" s="1"/>
  <c r="H16" i="63" s="1"/>
  <c r="H17" i="63" s="1"/>
  <c r="H18" i="63" s="1"/>
  <c r="H19" i="63" s="1"/>
  <c r="H20" i="63" s="1"/>
  <c r="H21" i="63" s="1"/>
  <c r="H22" i="63" s="1"/>
  <c r="H23" i="63" s="1"/>
  <c r="H24" i="63" s="1"/>
  <c r="H25" i="63" s="1"/>
  <c r="H26" i="63" s="1"/>
  <c r="H27" i="63" s="1"/>
  <c r="H28" i="63" s="1"/>
  <c r="H29" i="63" s="1"/>
  <c r="H30" i="63" s="1"/>
  <c r="H31" i="63" s="1"/>
  <c r="H32" i="63" s="1"/>
  <c r="H33" i="63" s="1"/>
  <c r="H34" i="63" s="1"/>
  <c r="H35" i="63" s="1"/>
  <c r="H36" i="63" s="1"/>
  <c r="H37" i="63" s="1"/>
  <c r="H38" i="63" s="1"/>
  <c r="H39" i="63" s="1"/>
  <c r="H40" i="63" s="1"/>
  <c r="H41" i="63" s="1"/>
  <c r="H42" i="63" s="1"/>
  <c r="H43" i="63" s="1"/>
  <c r="H44" i="63" s="1"/>
  <c r="H45" i="63" s="1"/>
  <c r="H46" i="63" s="1"/>
  <c r="H47" i="63" s="1"/>
  <c r="H7" i="69"/>
  <c r="H8" i="69" s="1"/>
  <c r="H9" i="69" s="1"/>
  <c r="H10" i="69" s="1"/>
  <c r="H11" i="69" s="1"/>
  <c r="H12" i="69" s="1"/>
  <c r="H13" i="69" s="1"/>
  <c r="H14" i="69" s="1"/>
  <c r="H15" i="69" s="1"/>
  <c r="H16" i="69" s="1"/>
  <c r="H17" i="69" s="1"/>
  <c r="V46" i="1" s="1"/>
  <c r="H18" i="69"/>
  <c r="H19" i="69" s="1"/>
  <c r="H20" i="69" s="1"/>
  <c r="H21" i="69" s="1"/>
  <c r="H22" i="69" s="1"/>
  <c r="H23" i="69" s="1"/>
  <c r="H24" i="69" s="1"/>
  <c r="H25" i="69" s="1"/>
  <c r="H26" i="69" s="1"/>
  <c r="H27" i="69" s="1"/>
  <c r="H28" i="69" s="1"/>
  <c r="H39" i="1"/>
  <c r="H16" i="1"/>
  <c r="P28" i="69"/>
  <c r="P27" i="69"/>
  <c r="B20" i="69"/>
  <c r="B21" i="69" s="1"/>
  <c r="B22" i="69" s="1"/>
  <c r="B23" i="69" s="1"/>
  <c r="B24" i="69" s="1"/>
  <c r="B25" i="69" s="1"/>
  <c r="B26" i="69" s="1"/>
  <c r="B27" i="69" s="1"/>
  <c r="B28" i="69" s="1"/>
  <c r="P26" i="69"/>
  <c r="P25" i="69"/>
  <c r="P30" i="70"/>
  <c r="P29" i="70"/>
  <c r="P28" i="70"/>
  <c r="B9" i="72"/>
  <c r="B10" i="72" s="1"/>
  <c r="B11" i="72" s="1"/>
  <c r="B12" i="72" s="1"/>
  <c r="B13" i="72" s="1"/>
  <c r="B14" i="72" s="1"/>
  <c r="B15" i="72" s="1"/>
  <c r="B16" i="72" s="1"/>
  <c r="P20" i="71"/>
  <c r="P16" i="67"/>
  <c r="P24" i="69"/>
  <c r="B65" i="58"/>
  <c r="H7" i="71"/>
  <c r="H8" i="71" s="1"/>
  <c r="H9" i="71" s="1"/>
  <c r="H10" i="71" s="1"/>
  <c r="H11" i="71" s="1"/>
  <c r="H12" i="71" s="1"/>
  <c r="H13" i="71" s="1"/>
  <c r="H14" i="71" s="1"/>
  <c r="H15" i="71" s="1"/>
  <c r="H16" i="71" s="1"/>
  <c r="H17" i="71" s="1"/>
  <c r="H18" i="71" s="1"/>
  <c r="H19" i="71" s="1"/>
  <c r="H20" i="71" s="1"/>
  <c r="H21" i="71" s="1"/>
  <c r="H22" i="71" s="1"/>
  <c r="H23" i="71" s="1"/>
  <c r="H24" i="71" s="1"/>
  <c r="H25" i="71" s="1"/>
  <c r="H26" i="71" s="1"/>
  <c r="H27" i="71" s="1"/>
  <c r="H28" i="71" s="1"/>
  <c r="H29" i="71" s="1"/>
  <c r="H30" i="71" s="1"/>
  <c r="H31" i="71" s="1"/>
  <c r="H32" i="71" s="1"/>
  <c r="H33" i="71" s="1"/>
  <c r="H34" i="71" s="1"/>
  <c r="H35" i="71" s="1"/>
  <c r="H36" i="71" s="1"/>
  <c r="H37" i="71" s="1"/>
  <c r="H38" i="71" s="1"/>
  <c r="H39" i="71" s="1"/>
  <c r="H40" i="71" s="1"/>
  <c r="H41" i="71" s="1"/>
  <c r="H42" i="71" s="1"/>
  <c r="H43" i="71" s="1"/>
  <c r="H44" i="71" s="1"/>
  <c r="H45" i="71" s="1"/>
  <c r="H46" i="71" s="1"/>
  <c r="H47" i="71" s="1"/>
  <c r="H48" i="71" s="1"/>
  <c r="H49" i="71" s="1"/>
  <c r="H63" i="58"/>
  <c r="H64" i="58" s="1"/>
  <c r="H65" i="58" s="1"/>
  <c r="P27" i="70"/>
  <c r="P26" i="70"/>
  <c r="P19" i="71"/>
  <c r="P23" i="69"/>
  <c r="P25" i="70"/>
  <c r="P24" i="70"/>
  <c r="P18" i="71"/>
  <c r="P17" i="71"/>
  <c r="P23" i="70"/>
  <c r="P22" i="70"/>
  <c r="P21" i="70"/>
  <c r="P16" i="71"/>
  <c r="P16" i="36"/>
  <c r="P22" i="69"/>
  <c r="P21" i="69"/>
  <c r="G218" i="55"/>
  <c r="V43" i="1" s="1"/>
  <c r="P7" i="74"/>
  <c r="P8" i="74"/>
  <c r="P9" i="74"/>
  <c r="P10" i="74"/>
  <c r="P11" i="74"/>
  <c r="P12" i="74"/>
  <c r="P13" i="74"/>
  <c r="P14" i="74"/>
  <c r="P15" i="74"/>
  <c r="P7" i="75"/>
  <c r="P8" i="75"/>
  <c r="P9" i="75"/>
  <c r="P10" i="75"/>
  <c r="P11" i="75"/>
  <c r="P12" i="75"/>
  <c r="P13" i="75"/>
  <c r="P14" i="75"/>
  <c r="P15" i="75"/>
  <c r="P20" i="70"/>
  <c r="P20" i="69"/>
  <c r="P19" i="70"/>
  <c r="P18" i="70"/>
  <c r="P19" i="69"/>
  <c r="P17" i="70"/>
  <c r="D55" i="62"/>
  <c r="P18" i="69"/>
  <c r="P2" i="70"/>
  <c r="V10" i="1"/>
  <c r="P17" i="69"/>
  <c r="P16" i="69"/>
  <c r="P16" i="70"/>
  <c r="B12" i="69"/>
  <c r="B13" i="69" s="1"/>
  <c r="B14" i="69" s="1"/>
  <c r="B15" i="69" s="1"/>
  <c r="B16" i="69" s="1"/>
  <c r="B17" i="69" s="1"/>
  <c r="F55" i="58"/>
  <c r="D55" i="58"/>
  <c r="C55" i="58"/>
  <c r="I55" i="58"/>
  <c r="N75" i="76" s="1"/>
  <c r="B38" i="65"/>
  <c r="B39" i="65" s="1"/>
  <c r="B40" i="65" s="1"/>
  <c r="B41" i="65" s="1"/>
  <c r="B42" i="65" s="1"/>
  <c r="B43" i="65" s="1"/>
  <c r="B44" i="65" s="1"/>
  <c r="B45" i="65" s="1"/>
  <c r="B46" i="65" s="1"/>
  <c r="B47" i="65" s="1"/>
  <c r="B48" i="65" s="1"/>
  <c r="B49" i="65" s="1"/>
  <c r="B50" i="65" s="1"/>
  <c r="B51" i="65" s="1"/>
  <c r="B52" i="65" s="1"/>
  <c r="B53" i="65" s="1"/>
  <c r="B54" i="65" s="1"/>
  <c r="B55" i="65" s="1"/>
  <c r="B56" i="65" s="1"/>
  <c r="B57" i="65" s="1"/>
  <c r="B58" i="65" s="1"/>
  <c r="B59" i="65" s="1"/>
  <c r="B60" i="65" s="1"/>
  <c r="B61" i="65" s="1"/>
  <c r="B62" i="65" s="1"/>
  <c r="B63" i="65" s="1"/>
  <c r="B64" i="65" s="1"/>
  <c r="B65" i="65" s="1"/>
  <c r="B66" i="65" s="1"/>
  <c r="B67" i="65" s="1"/>
  <c r="B68" i="65" s="1"/>
  <c r="B69" i="65" s="1"/>
  <c r="B23" i="67"/>
  <c r="B24" i="67" s="1"/>
  <c r="B25" i="67" s="1"/>
  <c r="B26" i="67" s="1"/>
  <c r="B27" i="67" s="1"/>
  <c r="B28" i="67" s="1"/>
  <c r="B29" i="67" s="1"/>
  <c r="B30" i="67" s="1"/>
  <c r="B31" i="67" s="1"/>
  <c r="B32" i="67" s="1"/>
  <c r="B33" i="67" s="1"/>
  <c r="B34" i="67" s="1"/>
  <c r="B35" i="67" s="1"/>
  <c r="B36" i="67" s="1"/>
  <c r="B37" i="67" s="1"/>
  <c r="B38" i="67" s="1"/>
  <c r="B39" i="67" s="1"/>
  <c r="B40" i="67" s="1"/>
  <c r="B41" i="67" s="1"/>
  <c r="B42" i="67" s="1"/>
  <c r="B43" i="67" s="1"/>
  <c r="B44" i="67" s="1"/>
  <c r="B45" i="67" s="1"/>
  <c r="B46" i="67" s="1"/>
  <c r="B47" i="67" s="1"/>
  <c r="B48" i="67" s="1"/>
  <c r="B49" i="67" s="1"/>
  <c r="B50" i="67" s="1"/>
  <c r="B51" i="67" s="1"/>
  <c r="B52" i="67" s="1"/>
  <c r="B53" i="67" s="1"/>
  <c r="B54" i="67" s="1"/>
  <c r="B55" i="67" s="1"/>
  <c r="B56" i="67" s="1"/>
  <c r="B57" i="67" s="1"/>
  <c r="B58" i="67" s="1"/>
  <c r="B59" i="67" s="1"/>
  <c r="B60" i="67" s="1"/>
  <c r="B61" i="67" s="1"/>
  <c r="B62" i="67" s="1"/>
  <c r="B63" i="67" s="1"/>
  <c r="B64" i="67" s="1"/>
  <c r="B65" i="67" s="1"/>
  <c r="I3" i="76"/>
  <c r="H51" i="1" s="1"/>
  <c r="B53" i="58"/>
  <c r="B54" i="58" s="1"/>
  <c r="B55" i="58" s="1"/>
  <c r="B56" i="58" s="1"/>
  <c r="B57" i="58" s="1"/>
  <c r="B58" i="58" s="1"/>
  <c r="B59" i="58" s="1"/>
  <c r="B60" i="58" s="1"/>
  <c r="B61" i="58" s="1"/>
  <c r="B62" i="58" s="1"/>
  <c r="V19" i="76"/>
  <c r="V23" i="76"/>
  <c r="V22" i="76"/>
  <c r="V21" i="76"/>
  <c r="V20" i="76"/>
  <c r="V18" i="76"/>
  <c r="V17" i="76"/>
  <c r="V15" i="76"/>
  <c r="V14" i="76"/>
  <c r="V13" i="76"/>
  <c r="V12" i="76"/>
  <c r="V11" i="76"/>
  <c r="V10" i="76"/>
  <c r="V9" i="76"/>
  <c r="V8" i="76"/>
  <c r="V7" i="76"/>
  <c r="V6" i="76"/>
  <c r="V5" i="76"/>
  <c r="V4" i="76"/>
  <c r="C30" i="55"/>
  <c r="S44" i="1" s="1"/>
  <c r="C29" i="55"/>
  <c r="R44" i="1" s="1"/>
  <c r="Q21" i="76"/>
  <c r="Q20" i="76"/>
  <c r="Q19" i="76"/>
  <c r="Q18" i="76"/>
  <c r="Q17" i="76"/>
  <c r="Q16" i="76"/>
  <c r="Q15" i="76"/>
  <c r="Q14" i="76"/>
  <c r="Q13" i="76"/>
  <c r="Q12" i="76"/>
  <c r="Q11" i="76"/>
  <c r="Q10" i="76"/>
  <c r="Q9" i="76"/>
  <c r="Q8" i="76"/>
  <c r="Q7" i="76"/>
  <c r="Q6" i="76"/>
  <c r="Q5" i="76"/>
  <c r="Q4" i="76"/>
  <c r="P7" i="73"/>
  <c r="P8" i="73"/>
  <c r="P9" i="73"/>
  <c r="P10" i="73"/>
  <c r="P11" i="73"/>
  <c r="P12" i="73"/>
  <c r="P13" i="73"/>
  <c r="P14" i="73"/>
  <c r="P15" i="73"/>
  <c r="P7" i="72"/>
  <c r="P8" i="72"/>
  <c r="P9" i="72"/>
  <c r="P10" i="72"/>
  <c r="P11" i="72"/>
  <c r="P12" i="72"/>
  <c r="P13" i="72"/>
  <c r="P14" i="72"/>
  <c r="P15" i="72"/>
  <c r="P15" i="71"/>
  <c r="P14" i="71"/>
  <c r="P13" i="71"/>
  <c r="P12" i="71"/>
  <c r="P11" i="71"/>
  <c r="P10" i="71"/>
  <c r="P9" i="71"/>
  <c r="P8" i="71"/>
  <c r="P7" i="71"/>
  <c r="P15" i="70"/>
  <c r="P14" i="70"/>
  <c r="P13" i="70"/>
  <c r="P12" i="70"/>
  <c r="P11" i="70"/>
  <c r="P10" i="70"/>
  <c r="P9" i="70"/>
  <c r="P8" i="70"/>
  <c r="P7" i="70"/>
  <c r="P15" i="69"/>
  <c r="P14" i="69"/>
  <c r="P13" i="69"/>
  <c r="P12" i="69"/>
  <c r="P11" i="69"/>
  <c r="P10" i="69"/>
  <c r="P9" i="69"/>
  <c r="P8" i="69"/>
  <c r="P7" i="69"/>
  <c r="P15" i="67"/>
  <c r="P14" i="67"/>
  <c r="P13" i="67"/>
  <c r="P12" i="67"/>
  <c r="P11" i="67"/>
  <c r="P10" i="67"/>
  <c r="P9" i="67"/>
  <c r="P8" i="67"/>
  <c r="P7" i="67"/>
  <c r="P15" i="65"/>
  <c r="P14" i="65"/>
  <c r="P13" i="65"/>
  <c r="P12" i="65"/>
  <c r="P11" i="65"/>
  <c r="P10" i="65"/>
  <c r="P9" i="65"/>
  <c r="P8" i="65"/>
  <c r="P7" i="65"/>
  <c r="P15" i="64"/>
  <c r="P14" i="64"/>
  <c r="P13" i="64"/>
  <c r="P12" i="64"/>
  <c r="P11" i="64"/>
  <c r="P10" i="64"/>
  <c r="P9" i="64"/>
  <c r="P8" i="64"/>
  <c r="P7" i="64"/>
  <c r="P15" i="63"/>
  <c r="P14" i="63"/>
  <c r="P13" i="63"/>
  <c r="P12" i="63"/>
  <c r="P11" i="63"/>
  <c r="P10" i="63"/>
  <c r="P9" i="63"/>
  <c r="P8" i="63"/>
  <c r="P15" i="62"/>
  <c r="P14" i="62"/>
  <c r="P13" i="62"/>
  <c r="P12" i="62"/>
  <c r="P11" i="62"/>
  <c r="P9" i="62"/>
  <c r="P8" i="62"/>
  <c r="P7" i="62"/>
  <c r="P15" i="61"/>
  <c r="P14" i="61"/>
  <c r="P13" i="61"/>
  <c r="P12" i="61"/>
  <c r="P11" i="61"/>
  <c r="P10" i="61"/>
  <c r="P9" i="61"/>
  <c r="P8" i="61"/>
  <c r="P7" i="61"/>
  <c r="P15" i="59"/>
  <c r="P14" i="59"/>
  <c r="P13" i="59"/>
  <c r="P12" i="59"/>
  <c r="P11" i="59"/>
  <c r="P10" i="59"/>
  <c r="P9" i="59"/>
  <c r="P8" i="59"/>
  <c r="P7" i="59"/>
  <c r="P15" i="57"/>
  <c r="P14" i="57"/>
  <c r="P13" i="57"/>
  <c r="P12" i="57"/>
  <c r="P11" i="57"/>
  <c r="P10" i="57"/>
  <c r="P9" i="57"/>
  <c r="P8" i="57"/>
  <c r="P7" i="57"/>
  <c r="P7" i="36"/>
  <c r="P8" i="36"/>
  <c r="P9" i="36"/>
  <c r="P10" i="36"/>
  <c r="P11" i="36"/>
  <c r="P12" i="36"/>
  <c r="P13" i="36"/>
  <c r="P14" i="36"/>
  <c r="P15" i="36"/>
  <c r="H7" i="58"/>
  <c r="H8" i="58" s="1"/>
  <c r="H9" i="58" s="1"/>
  <c r="H10" i="58" s="1"/>
  <c r="H11" i="58" s="1"/>
  <c r="K46" i="1" s="1"/>
  <c r="H12" i="58"/>
  <c r="H13" i="58" s="1"/>
  <c r="H14" i="58" s="1"/>
  <c r="H15" i="58" s="1"/>
  <c r="H16" i="58" s="1"/>
  <c r="H17" i="58" s="1"/>
  <c r="H18" i="58" s="1"/>
  <c r="H19" i="58" s="1"/>
  <c r="H20" i="58" s="1"/>
  <c r="H21" i="58" s="1"/>
  <c r="H22" i="58" s="1"/>
  <c r="H23" i="58" s="1"/>
  <c r="H24" i="58" s="1"/>
  <c r="H25" i="58" s="1"/>
  <c r="H26" i="58" s="1"/>
  <c r="H27" i="58" s="1"/>
  <c r="H28" i="58"/>
  <c r="H29" i="58" s="1"/>
  <c r="H30" i="58" s="1"/>
  <c r="H31" i="58" s="1"/>
  <c r="H32" i="58" s="1"/>
  <c r="H33" i="58" s="1"/>
  <c r="H34" i="58" s="1"/>
  <c r="H35" i="58" s="1"/>
  <c r="H36" i="58" s="1"/>
  <c r="H37" i="58" s="1"/>
  <c r="H38" i="58" s="1"/>
  <c r="H39" i="58" s="1"/>
  <c r="H40" i="58" s="1"/>
  <c r="H41" i="58" s="1"/>
  <c r="H42" i="58" s="1"/>
  <c r="R46" i="1" s="1"/>
  <c r="H43" i="58"/>
  <c r="H44" i="58" s="1"/>
  <c r="H45" i="58" s="1"/>
  <c r="H46" i="58" s="1"/>
  <c r="D47" i="58"/>
  <c r="H48" i="58"/>
  <c r="H49" i="58" s="1"/>
  <c r="H50" i="58" s="1"/>
  <c r="H51" i="58" s="1"/>
  <c r="H52" i="58" s="1"/>
  <c r="H53" i="58" s="1"/>
  <c r="H54" i="58" s="1"/>
  <c r="P4" i="58"/>
  <c r="H21" i="76"/>
  <c r="H20" i="76"/>
  <c r="H19" i="76"/>
  <c r="H18" i="76"/>
  <c r="H17" i="76"/>
  <c r="H16" i="76"/>
  <c r="H15" i="76"/>
  <c r="H14" i="76"/>
  <c r="H13" i="76"/>
  <c r="H12" i="76"/>
  <c r="H11" i="76"/>
  <c r="H10" i="76"/>
  <c r="H9" i="76"/>
  <c r="H8" i="76"/>
  <c r="H7" i="76"/>
  <c r="H6" i="76"/>
  <c r="H5" i="76"/>
  <c r="H4" i="76"/>
  <c r="H23" i="76"/>
  <c r="H22" i="76"/>
  <c r="L17" i="55"/>
  <c r="L3" i="55"/>
  <c r="L2" i="55"/>
  <c r="L1" i="55"/>
  <c r="G35" i="55"/>
  <c r="L6" i="55"/>
  <c r="G50" i="55"/>
  <c r="M19" i="1" s="1"/>
  <c r="Q4" i="75"/>
  <c r="Q4" i="74"/>
  <c r="Q4" i="73"/>
  <c r="Q4" i="72"/>
  <c r="Q4" i="71"/>
  <c r="Q4" i="69"/>
  <c r="Q4" i="67"/>
  <c r="H12" i="65"/>
  <c r="H13" i="65" s="1"/>
  <c r="H14" i="65" s="1"/>
  <c r="Q4" i="65"/>
  <c r="Q4" i="64"/>
  <c r="C13" i="63"/>
  <c r="D13" i="63"/>
  <c r="Q4" i="63"/>
  <c r="C49" i="62"/>
  <c r="Q4" i="62"/>
  <c r="Q4" i="61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F36" i="2"/>
  <c r="E36" i="2"/>
  <c r="D36" i="2"/>
  <c r="P4" i="75"/>
  <c r="P4" i="74"/>
  <c r="P4" i="71"/>
  <c r="P4" i="73"/>
  <c r="P4" i="72"/>
  <c r="P4" i="70"/>
  <c r="P4" i="69"/>
  <c r="P4" i="67"/>
  <c r="P4" i="65"/>
  <c r="P4" i="64"/>
  <c r="P4" i="63"/>
  <c r="P4" i="62"/>
  <c r="P4" i="61"/>
  <c r="P4" i="59"/>
  <c r="P4" i="57"/>
  <c r="C26" i="55"/>
  <c r="C25" i="55"/>
  <c r="C24" i="55"/>
  <c r="L44" i="1" s="1"/>
  <c r="C23" i="55"/>
  <c r="C22" i="55"/>
  <c r="K44" i="1" s="1"/>
  <c r="C21" i="55"/>
  <c r="H136" i="75"/>
  <c r="H137" i="75"/>
  <c r="H138" i="75"/>
  <c r="H139" i="75"/>
  <c r="B139" i="75"/>
  <c r="B138" i="75"/>
  <c r="B137" i="75"/>
  <c r="B136" i="75"/>
  <c r="C58" i="75"/>
  <c r="B58" i="75"/>
  <c r="C57" i="75"/>
  <c r="B57" i="75"/>
  <c r="C56" i="75"/>
  <c r="B56" i="75"/>
  <c r="C55" i="75"/>
  <c r="B55" i="75"/>
  <c r="C54" i="75"/>
  <c r="H139" i="74"/>
  <c r="B139" i="74"/>
  <c r="H138" i="74"/>
  <c r="B138" i="74"/>
  <c r="H137" i="74"/>
  <c r="B137" i="74"/>
  <c r="H136" i="74"/>
  <c r="B136" i="74"/>
  <c r="H139" i="73"/>
  <c r="B139" i="73"/>
  <c r="H138" i="73"/>
  <c r="B138" i="73"/>
  <c r="H137" i="73"/>
  <c r="B137" i="73"/>
  <c r="H136" i="73"/>
  <c r="B136" i="73"/>
  <c r="H139" i="72"/>
  <c r="B139" i="72"/>
  <c r="H138" i="72"/>
  <c r="B138" i="72"/>
  <c r="H137" i="72"/>
  <c r="B137" i="72"/>
  <c r="H136" i="72"/>
  <c r="B136" i="72"/>
  <c r="H139" i="71"/>
  <c r="B139" i="71"/>
  <c r="H138" i="71"/>
  <c r="B138" i="71"/>
  <c r="H137" i="71"/>
  <c r="B137" i="71"/>
  <c r="H136" i="71"/>
  <c r="B136" i="71"/>
  <c r="H139" i="70"/>
  <c r="B139" i="70"/>
  <c r="H138" i="70"/>
  <c r="B138" i="70"/>
  <c r="H137" i="70"/>
  <c r="B137" i="70"/>
  <c r="H136" i="70"/>
  <c r="B136" i="70"/>
  <c r="H139" i="69"/>
  <c r="B139" i="69"/>
  <c r="H138" i="69"/>
  <c r="B138" i="69"/>
  <c r="H137" i="69"/>
  <c r="B137" i="69"/>
  <c r="H136" i="69"/>
  <c r="B136" i="69"/>
  <c r="H139" i="67"/>
  <c r="B139" i="67"/>
  <c r="H138" i="67"/>
  <c r="B138" i="67"/>
  <c r="H137" i="67"/>
  <c r="B137" i="67"/>
  <c r="H136" i="67"/>
  <c r="B136" i="67"/>
  <c r="H139" i="64"/>
  <c r="B139" i="64"/>
  <c r="H138" i="64"/>
  <c r="B138" i="64"/>
  <c r="H137" i="64"/>
  <c r="B137" i="64"/>
  <c r="H136" i="64"/>
  <c r="B136" i="64"/>
  <c r="H139" i="63"/>
  <c r="B139" i="63"/>
  <c r="H138" i="63"/>
  <c r="B138" i="63"/>
  <c r="H137" i="63"/>
  <c r="B137" i="63"/>
  <c r="H136" i="63"/>
  <c r="B136" i="63"/>
  <c r="H139" i="62"/>
  <c r="B139" i="62"/>
  <c r="H138" i="62"/>
  <c r="B138" i="62"/>
  <c r="H137" i="62"/>
  <c r="B137" i="62"/>
  <c r="H136" i="62"/>
  <c r="B136" i="62"/>
  <c r="H139" i="61"/>
  <c r="B139" i="61"/>
  <c r="H138" i="61"/>
  <c r="B138" i="61"/>
  <c r="H137" i="61"/>
  <c r="B137" i="61"/>
  <c r="H136" i="61"/>
  <c r="B136" i="61"/>
  <c r="H37" i="61"/>
  <c r="B138" i="59"/>
  <c r="B137" i="59"/>
  <c r="B136" i="59"/>
  <c r="B135" i="59"/>
  <c r="H139" i="57"/>
  <c r="B139" i="57"/>
  <c r="H138" i="57"/>
  <c r="B138" i="57"/>
  <c r="H137" i="57"/>
  <c r="B137" i="57"/>
  <c r="H136" i="57"/>
  <c r="B136" i="57"/>
  <c r="H7" i="75"/>
  <c r="H8" i="75" s="1"/>
  <c r="H9" i="75" s="1"/>
  <c r="H10" i="75" s="1"/>
  <c r="H11" i="75" s="1"/>
  <c r="H12" i="75" s="1"/>
  <c r="H13" i="75" s="1"/>
  <c r="H14" i="75" s="1"/>
  <c r="H15" i="75" s="1"/>
  <c r="H16" i="75" s="1"/>
  <c r="H17" i="75" s="1"/>
  <c r="H18" i="75" s="1"/>
  <c r="H19" i="75" s="1"/>
  <c r="H20" i="75" s="1"/>
  <c r="H7" i="73"/>
  <c r="H8" i="73" s="1"/>
  <c r="H9" i="73" s="1"/>
  <c r="H10" i="73" s="1"/>
  <c r="H11" i="73" s="1"/>
  <c r="H12" i="73" s="1"/>
  <c r="H13" i="73" s="1"/>
  <c r="H7" i="72"/>
  <c r="H8" i="72" s="1"/>
  <c r="H9" i="72" s="1"/>
  <c r="H10" i="72" s="1"/>
  <c r="H11" i="72" s="1"/>
  <c r="H12" i="72" s="1"/>
  <c r="H13" i="72" s="1"/>
  <c r="H14" i="72" s="1"/>
  <c r="H15" i="72" s="1"/>
  <c r="H16" i="72" s="1"/>
  <c r="H17" i="72" s="1"/>
  <c r="H18" i="72" s="1"/>
  <c r="H19" i="72" s="1"/>
  <c r="H20" i="72" s="1"/>
  <c r="H21" i="72" s="1"/>
  <c r="H22" i="72" s="1"/>
  <c r="H23" i="72" s="1"/>
  <c r="H24" i="72" s="1"/>
  <c r="H25" i="72" s="1"/>
  <c r="H26" i="72" s="1"/>
  <c r="H27" i="72" s="1"/>
  <c r="H28" i="72" s="1"/>
  <c r="H7" i="67"/>
  <c r="H8" i="67" s="1"/>
  <c r="H9" i="67" s="1"/>
  <c r="H10" i="67" s="1"/>
  <c r="H11" i="67" s="1"/>
  <c r="H12" i="67" s="1"/>
  <c r="H13" i="67" s="1"/>
  <c r="H14" i="67" s="1"/>
  <c r="H15" i="67" s="1"/>
  <c r="H16" i="67" s="1"/>
  <c r="H17" i="67" s="1"/>
  <c r="H18" i="67" s="1"/>
  <c r="H19" i="67" s="1"/>
  <c r="H7" i="65"/>
  <c r="H8" i="65" s="1"/>
  <c r="H9" i="65" s="1"/>
  <c r="H10" i="65" s="1"/>
  <c r="H11" i="65" s="1"/>
  <c r="H7" i="57"/>
  <c r="H8" i="57" s="1"/>
  <c r="H9" i="57" s="1"/>
  <c r="H10" i="57" s="1"/>
  <c r="H11" i="57" s="1"/>
  <c r="H12" i="57" s="1"/>
  <c r="H13" i="57" s="1"/>
  <c r="H14" i="57" s="1"/>
  <c r="H15" i="57" s="1"/>
  <c r="H16" i="57" s="1"/>
  <c r="H17" i="57" s="1"/>
  <c r="H18" i="57" s="1"/>
  <c r="H19" i="57" s="1"/>
  <c r="H20" i="57" s="1"/>
  <c r="H21" i="57" s="1"/>
  <c r="H22" i="57" s="1"/>
  <c r="H23" i="57" s="1"/>
  <c r="H24" i="57" s="1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37" i="57" s="1"/>
  <c r="H38" i="57" s="1"/>
  <c r="H39" i="57" s="1"/>
  <c r="H40" i="57" s="1"/>
  <c r="H41" i="57" s="1"/>
  <c r="H42" i="57" s="1"/>
  <c r="H43" i="57" s="1"/>
  <c r="H44" i="57" s="1"/>
  <c r="H45" i="57" s="1"/>
  <c r="H46" i="57" s="1"/>
  <c r="H47" i="57" s="1"/>
  <c r="H48" i="57" s="1"/>
  <c r="H15" i="74"/>
  <c r="H20" i="67"/>
  <c r="H21" i="67" s="1"/>
  <c r="H22" i="67" s="1"/>
  <c r="H23" i="67" s="1"/>
  <c r="H24" i="67" s="1"/>
  <c r="H25" i="67" s="1"/>
  <c r="H26" i="67" s="1"/>
  <c r="H27" i="67" s="1"/>
  <c r="H28" i="67" s="1"/>
  <c r="H29" i="67" s="1"/>
  <c r="H30" i="67" s="1"/>
  <c r="H31" i="67" s="1"/>
  <c r="H32" i="67" s="1"/>
  <c r="H33" i="67" s="1"/>
  <c r="H34" i="67" s="1"/>
  <c r="H35" i="67" s="1"/>
  <c r="H36" i="67" s="1"/>
  <c r="H37" i="67" s="1"/>
  <c r="H38" i="67" s="1"/>
  <c r="H39" i="67" s="1"/>
  <c r="H40" i="67" s="1"/>
  <c r="H41" i="67" s="1"/>
  <c r="H42" i="67" s="1"/>
  <c r="H43" i="67" s="1"/>
  <c r="H44" i="67" s="1"/>
  <c r="H45" i="67" s="1"/>
  <c r="H46" i="67" s="1"/>
  <c r="H47" i="67" s="1"/>
  <c r="H48" i="67" s="1"/>
  <c r="H49" i="67" s="1"/>
  <c r="H50" i="67" s="1"/>
  <c r="H51" i="67" s="1"/>
  <c r="H52" i="67" s="1"/>
  <c r="H53" i="67" s="1"/>
  <c r="H54" i="67" s="1"/>
  <c r="H55" i="67" s="1"/>
  <c r="H56" i="67" s="1"/>
  <c r="H57" i="67" s="1"/>
  <c r="H58" i="67" s="1"/>
  <c r="H59" i="67" s="1"/>
  <c r="H60" i="67" s="1"/>
  <c r="H61" i="67" s="1"/>
  <c r="H62" i="67" s="1"/>
  <c r="H63" i="67" s="1"/>
  <c r="H64" i="67" s="1"/>
  <c r="H65" i="67" s="1"/>
  <c r="H66" i="67" s="1"/>
  <c r="H67" i="67" s="1"/>
  <c r="H68" i="67" s="1"/>
  <c r="H29" i="72"/>
  <c r="H30" i="72" s="1"/>
  <c r="H31" i="72" s="1"/>
  <c r="H33" i="69"/>
  <c r="H34" i="69" s="1"/>
  <c r="H35" i="69" s="1"/>
  <c r="H36" i="69" s="1"/>
  <c r="H37" i="69" s="1"/>
  <c r="H38" i="69" s="1"/>
  <c r="H39" i="69" s="1"/>
  <c r="H40" i="69" s="1"/>
  <c r="H41" i="69" s="1"/>
  <c r="H42" i="69" s="1"/>
  <c r="H43" i="69" s="1"/>
  <c r="H44" i="69" s="1"/>
  <c r="H45" i="69" s="1"/>
  <c r="H46" i="69" s="1"/>
  <c r="H47" i="69" s="1"/>
  <c r="H48" i="69" s="1"/>
  <c r="H49" i="69" s="1"/>
  <c r="H50" i="69" s="1"/>
  <c r="H51" i="69" s="1"/>
  <c r="C1" i="2"/>
  <c r="F2" i="2"/>
  <c r="H2" i="2"/>
  <c r="J2" i="2" s="1"/>
  <c r="F4" i="2"/>
  <c r="H4" i="2" s="1"/>
  <c r="J4" i="2" s="1"/>
  <c r="F6" i="2"/>
  <c r="H6" i="2" s="1"/>
  <c r="J6" i="2" s="1"/>
  <c r="F13" i="2"/>
  <c r="H13" i="2" s="1"/>
  <c r="J13" i="2" s="1"/>
  <c r="F11" i="2"/>
  <c r="H11" i="2"/>
  <c r="J11" i="2" s="1"/>
  <c r="F9" i="2"/>
  <c r="H9" i="2" s="1"/>
  <c r="J9" i="2" s="1"/>
  <c r="Q10" i="2"/>
  <c r="P10" i="2"/>
  <c r="O10" i="2"/>
  <c r="O12" i="2"/>
  <c r="P12" i="2"/>
  <c r="S12" i="2" s="1"/>
  <c r="Q12" i="2"/>
  <c r="Q14" i="2"/>
  <c r="P14" i="2"/>
  <c r="M11" i="2"/>
  <c r="E4" i="2" s="1"/>
  <c r="O14" i="2"/>
  <c r="R14" i="2"/>
  <c r="M13" i="2"/>
  <c r="E6" i="2" s="1"/>
  <c r="N21" i="2"/>
  <c r="M22" i="2"/>
  <c r="M9" i="2"/>
  <c r="E2" i="2" s="1"/>
  <c r="F12" i="2"/>
  <c r="H12" i="2"/>
  <c r="J12" i="2"/>
  <c r="D5" i="2" s="1"/>
  <c r="F5" i="2" s="1"/>
  <c r="H5" i="2" s="1"/>
  <c r="J5" i="2" s="1"/>
  <c r="F14" i="2"/>
  <c r="H14" i="2"/>
  <c r="J14" i="2"/>
  <c r="D7" i="2" s="1"/>
  <c r="F7" i="2" s="1"/>
  <c r="H7" i="2" s="1"/>
  <c r="J7" i="2" s="1"/>
  <c r="F10" i="2"/>
  <c r="H10" i="2"/>
  <c r="J10" i="2" s="1"/>
  <c r="D3" i="2" s="1"/>
  <c r="F3" i="2" s="1"/>
  <c r="H3" i="2" s="1"/>
  <c r="J3" i="2" s="1"/>
  <c r="O21" i="2"/>
  <c r="O27" i="2"/>
  <c r="N29" i="2"/>
  <c r="O29" i="2" s="1"/>
  <c r="N33" i="2"/>
  <c r="M23" i="2"/>
  <c r="M26" i="2"/>
  <c r="P27" i="2" s="1"/>
  <c r="H144" i="36"/>
  <c r="B144" i="36"/>
  <c r="H143" i="36"/>
  <c r="B143" i="36"/>
  <c r="H142" i="36"/>
  <c r="B142" i="36"/>
  <c r="H141" i="36"/>
  <c r="B141" i="36"/>
  <c r="R10" i="2"/>
  <c r="S14" i="2"/>
  <c r="R12" i="2"/>
  <c r="O31" i="2"/>
  <c r="O28" i="2"/>
  <c r="O30" i="2"/>
  <c r="H18" i="70" l="1"/>
  <c r="H19" i="70" s="1"/>
  <c r="H20" i="70" s="1"/>
  <c r="H21" i="70" s="1"/>
  <c r="H22" i="70" s="1"/>
  <c r="H23" i="70" s="1"/>
  <c r="H24" i="70" s="1"/>
  <c r="H25" i="70" s="1"/>
  <c r="H26" i="70" s="1"/>
  <c r="H27" i="70" s="1"/>
  <c r="H28" i="70" s="1"/>
  <c r="H29" i="70" s="1"/>
  <c r="H30" i="70" s="1"/>
  <c r="H31" i="70" s="1"/>
  <c r="N46" i="1"/>
  <c r="P10" i="58"/>
  <c r="P9" i="58"/>
  <c r="P14" i="58"/>
  <c r="P15" i="58"/>
  <c r="P11" i="58"/>
  <c r="N60" i="76"/>
  <c r="P22" i="58"/>
  <c r="N95" i="76"/>
  <c r="N46" i="76"/>
  <c r="S27" i="76"/>
  <c r="U27" i="76" s="1"/>
  <c r="AN1" i="76"/>
  <c r="AO1" i="76" s="1"/>
  <c r="S4" i="76"/>
  <c r="U4" i="76" s="1"/>
  <c r="AG1" i="76"/>
  <c r="AH1" i="76" s="1"/>
  <c r="H54" i="64"/>
  <c r="H55" i="64" s="1"/>
  <c r="H56" i="64" s="1"/>
  <c r="H57" i="64" s="1"/>
  <c r="H58" i="64" s="1"/>
  <c r="H59" i="64" s="1"/>
  <c r="H60" i="64" s="1"/>
  <c r="H61" i="64" s="1"/>
  <c r="H62" i="64" s="1"/>
  <c r="H63" i="64" s="1"/>
  <c r="H64" i="64" s="1"/>
  <c r="H65" i="64" s="1"/>
  <c r="H66" i="64" s="1"/>
  <c r="H67" i="64" s="1"/>
  <c r="H68" i="64" s="1"/>
  <c r="H69" i="64" s="1"/>
  <c r="H51" i="64"/>
  <c r="H52" i="64" s="1"/>
  <c r="H53" i="64" s="1"/>
  <c r="O4" i="72"/>
  <c r="O1" i="72" s="1"/>
  <c r="H13" i="63"/>
  <c r="H32" i="70"/>
  <c r="H33" i="70" s="1"/>
  <c r="H34" i="70" s="1"/>
  <c r="H35" i="70" s="1"/>
  <c r="H36" i="70" s="1"/>
  <c r="H37" i="70" s="1"/>
  <c r="H38" i="70" s="1"/>
  <c r="H39" i="70" s="1"/>
  <c r="H40" i="70" s="1"/>
  <c r="H41" i="70" s="1"/>
  <c r="P7" i="58"/>
  <c r="P12" i="58"/>
  <c r="H55" i="58"/>
  <c r="N78" i="76"/>
  <c r="N70" i="76"/>
  <c r="U42" i="1"/>
  <c r="H47" i="58"/>
  <c r="S46" i="1" s="1"/>
  <c r="P8" i="58"/>
  <c r="P13" i="58"/>
  <c r="T23" i="76"/>
  <c r="P7" i="2"/>
  <c r="Q7" i="2"/>
  <c r="M6" i="2"/>
  <c r="O7" i="2"/>
  <c r="R7" i="2" s="1"/>
  <c r="Q3" i="2"/>
  <c r="M2" i="2"/>
  <c r="O3" i="2"/>
  <c r="P3" i="2"/>
  <c r="S3" i="2" s="1"/>
  <c r="O33" i="2"/>
  <c r="P31" i="2"/>
  <c r="M31" i="2" s="1"/>
  <c r="P5" i="2"/>
  <c r="S5" i="2" s="1"/>
  <c r="M4" i="2"/>
  <c r="Q5" i="2"/>
  <c r="O5" i="2"/>
  <c r="S10" i="2"/>
  <c r="L43" i="1"/>
  <c r="M10" i="1"/>
  <c r="M9" i="1" s="1"/>
  <c r="M12" i="1" s="1"/>
  <c r="G2" i="63"/>
  <c r="P7" i="63"/>
  <c r="F8" i="76"/>
  <c r="X42" i="1"/>
  <c r="B36" i="2"/>
  <c r="G2" i="62"/>
  <c r="O4" i="62" s="1"/>
  <c r="D10" i="76" s="1"/>
  <c r="E10" i="76" s="1"/>
  <c r="P10" i="62"/>
  <c r="K43" i="1"/>
  <c r="B5" i="55"/>
  <c r="H56" i="58"/>
  <c r="H57" i="58" s="1"/>
  <c r="H58" i="58" s="1"/>
  <c r="H59" i="58" s="1"/>
  <c r="H60" i="58" s="1"/>
  <c r="H61" i="58" s="1"/>
  <c r="H62" i="58" s="1"/>
  <c r="W46" i="1" s="1"/>
  <c r="L10" i="1"/>
  <c r="L9" i="1" s="1"/>
  <c r="L12" i="1" s="1"/>
  <c r="S4" i="1"/>
  <c r="R17" i="76"/>
  <c r="T17" i="76" s="1"/>
  <c r="L19" i="55"/>
  <c r="P21" i="58"/>
  <c r="N94" i="76"/>
  <c r="P89" i="76"/>
  <c r="N89" i="76"/>
  <c r="P20" i="58"/>
  <c r="N93" i="76"/>
  <c r="P19" i="58"/>
  <c r="N92" i="76"/>
  <c r="N90" i="76"/>
  <c r="N43" i="76"/>
  <c r="N47" i="76"/>
  <c r="N51" i="76"/>
  <c r="N55" i="76"/>
  <c r="N59" i="76"/>
  <c r="N63" i="76"/>
  <c r="N67" i="76"/>
  <c r="N71" i="76"/>
  <c r="P16" i="58"/>
  <c r="N91" i="76"/>
  <c r="N40" i="76"/>
  <c r="N45" i="76"/>
  <c r="N50" i="76"/>
  <c r="N56" i="76"/>
  <c r="N61" i="76"/>
  <c r="N66" i="76"/>
  <c r="N72" i="76"/>
  <c r="N83" i="76"/>
  <c r="N79" i="76"/>
  <c r="N76" i="76"/>
  <c r="P17" i="58"/>
  <c r="N42" i="76"/>
  <c r="N48" i="76"/>
  <c r="N53" i="76"/>
  <c r="N58" i="76"/>
  <c r="N64" i="76"/>
  <c r="N69" i="76"/>
  <c r="N74" i="76"/>
  <c r="N87" i="76"/>
  <c r="N84" i="76"/>
  <c r="N81" i="76"/>
  <c r="N77" i="76"/>
  <c r="N44" i="76"/>
  <c r="N49" i="76"/>
  <c r="N82" i="76"/>
  <c r="N65" i="76"/>
  <c r="N54" i="76"/>
  <c r="N73" i="76"/>
  <c r="N62" i="76"/>
  <c r="N52" i="76"/>
  <c r="R4" i="1"/>
  <c r="R16" i="76"/>
  <c r="S10" i="1"/>
  <c r="S9" i="1" s="1"/>
  <c r="S12" i="1" s="1"/>
  <c r="G2" i="58"/>
  <c r="U14" i="1"/>
  <c r="H14" i="1" s="1"/>
  <c r="F6" i="76"/>
  <c r="F3" i="76" s="1"/>
  <c r="N80" i="76"/>
  <c r="N86" i="76"/>
  <c r="L46" i="1"/>
  <c r="N88" i="76"/>
  <c r="N68" i="76"/>
  <c r="N57" i="76"/>
  <c r="N41" i="76"/>
  <c r="P18" i="58"/>
  <c r="U46" i="1"/>
  <c r="H55" i="62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Z46" i="1" s="1"/>
  <c r="U10" i="1"/>
  <c r="U9" i="1" s="1"/>
  <c r="U12" i="1" s="1"/>
  <c r="V11" i="1"/>
  <c r="F11" i="1" s="1"/>
  <c r="D16" i="76"/>
  <c r="E16" i="76" s="1"/>
  <c r="H49" i="62"/>
  <c r="T46" i="1" s="1"/>
  <c r="X46" i="1"/>
  <c r="O4" i="64"/>
  <c r="D12" i="76" s="1"/>
  <c r="E12" i="76" s="1"/>
  <c r="M46" i="1"/>
  <c r="AB46" i="1"/>
  <c r="F21" i="1"/>
  <c r="O4" i="57"/>
  <c r="O1" i="57" s="1"/>
  <c r="AH46" i="1"/>
  <c r="O4" i="61"/>
  <c r="D9" i="76" s="1"/>
  <c r="E9" i="76" s="1"/>
  <c r="O4" i="58"/>
  <c r="D6" i="76" s="1"/>
  <c r="E6" i="76" s="1"/>
  <c r="Q1" i="79"/>
  <c r="J3" i="1" s="1"/>
  <c r="R9" i="1"/>
  <c r="R12" i="1" s="1"/>
  <c r="O4" i="63"/>
  <c r="D11" i="76" s="1"/>
  <c r="E11" i="76" s="1"/>
  <c r="O4" i="36"/>
  <c r="D8" i="76" s="1"/>
  <c r="E8" i="76" s="1"/>
  <c r="T14" i="76"/>
  <c r="T13" i="76"/>
  <c r="T12" i="76"/>
  <c r="T11" i="76"/>
  <c r="T10" i="76"/>
  <c r="T7" i="76"/>
  <c r="T6" i="76"/>
  <c r="T22" i="76"/>
  <c r="T21" i="76"/>
  <c r="T20" i="76"/>
  <c r="T19" i="76"/>
  <c r="T18" i="76"/>
  <c r="T15" i="76"/>
  <c r="T9" i="76"/>
  <c r="AB27" i="76" s="1"/>
  <c r="T8" i="76"/>
  <c r="T5" i="76"/>
  <c r="T24" i="76"/>
  <c r="T29" i="76"/>
  <c r="Y9" i="1"/>
  <c r="Y12" i="1" s="1"/>
  <c r="X9" i="1"/>
  <c r="X12" i="1" s="1"/>
  <c r="W9" i="1"/>
  <c r="W12" i="1" s="1"/>
  <c r="T9" i="1"/>
  <c r="T12" i="1" s="1"/>
  <c r="Q9" i="1"/>
  <c r="Q12" i="1" s="1"/>
  <c r="P9" i="1"/>
  <c r="P12" i="1" s="1"/>
  <c r="O9" i="1"/>
  <c r="O12" i="1" s="1"/>
  <c r="N9" i="1"/>
  <c r="N12" i="1" s="1"/>
  <c r="K9" i="1"/>
  <c r="K12" i="1" s="1"/>
  <c r="H31" i="1"/>
  <c r="AC9" i="1"/>
  <c r="AC12" i="1" s="1"/>
  <c r="AB9" i="1"/>
  <c r="AB12" i="1" s="1"/>
  <c r="AA9" i="1"/>
  <c r="AA12" i="1" s="1"/>
  <c r="Z9" i="1"/>
  <c r="Z12" i="1" s="1"/>
  <c r="S26" i="76"/>
  <c r="U26" i="76" s="1"/>
  <c r="S28" i="76"/>
  <c r="U28" i="76" s="1"/>
  <c r="F45" i="1"/>
  <c r="O4" i="75"/>
  <c r="D23" i="76" s="1"/>
  <c r="F15" i="1"/>
  <c r="F35" i="1"/>
  <c r="F33" i="1"/>
  <c r="F26" i="1"/>
  <c r="F24" i="1"/>
  <c r="F20" i="1"/>
  <c r="F37" i="1"/>
  <c r="F32" i="1"/>
  <c r="F30" i="1"/>
  <c r="F27" i="1"/>
  <c r="F19" i="1"/>
  <c r="F34" i="1"/>
  <c r="F29" i="1"/>
  <c r="F25" i="1"/>
  <c r="F22" i="1"/>
  <c r="F38" i="1"/>
  <c r="F36" i="1"/>
  <c r="F31" i="1"/>
  <c r="F28" i="1"/>
  <c r="F18" i="1"/>
  <c r="D42" i="1"/>
  <c r="D15" i="1"/>
  <c r="D35" i="1"/>
  <c r="D33" i="1"/>
  <c r="D26" i="1"/>
  <c r="D24" i="1"/>
  <c r="D20" i="1"/>
  <c r="D37" i="1"/>
  <c r="D32" i="1"/>
  <c r="D30" i="1"/>
  <c r="D27" i="1"/>
  <c r="D19" i="1"/>
  <c r="D14" i="1"/>
  <c r="D11" i="1"/>
  <c r="D34" i="1"/>
  <c r="D29" i="1"/>
  <c r="D25" i="1"/>
  <c r="D22" i="1"/>
  <c r="D38" i="1"/>
  <c r="D36" i="1"/>
  <c r="D31" i="1"/>
  <c r="D28" i="1"/>
  <c r="D18" i="1"/>
  <c r="D44" i="1"/>
  <c r="O4" i="59"/>
  <c r="O1" i="59" s="1"/>
  <c r="H17" i="59"/>
  <c r="H18" i="59" s="1"/>
  <c r="H19" i="59" s="1"/>
  <c r="H20" i="59" s="1"/>
  <c r="H21" i="59" s="1"/>
  <c r="H22" i="59" s="1"/>
  <c r="H23" i="59" s="1"/>
  <c r="H24" i="59" s="1"/>
  <c r="H25" i="59" s="1"/>
  <c r="H26" i="59" s="1"/>
  <c r="H27" i="59" s="1"/>
  <c r="H28" i="59" s="1"/>
  <c r="H29" i="59" s="1"/>
  <c r="H50" i="78"/>
  <c r="H51" i="78" s="1"/>
  <c r="H52" i="78" s="1"/>
  <c r="H53" i="78" s="1"/>
  <c r="H54" i="78" s="1"/>
  <c r="H55" i="78" s="1"/>
  <c r="H56" i="78" s="1"/>
  <c r="H57" i="78" s="1"/>
  <c r="H58" i="78" s="1"/>
  <c r="O4" i="73"/>
  <c r="D21" i="76" s="1"/>
  <c r="E21" i="76" s="1"/>
  <c r="H38" i="1"/>
  <c r="O4" i="69"/>
  <c r="D17" i="76" s="1"/>
  <c r="E17" i="76" s="1"/>
  <c r="O2" i="70"/>
  <c r="H36" i="1"/>
  <c r="H16" i="74"/>
  <c r="H17" i="74" s="1"/>
  <c r="O4" i="74"/>
  <c r="D14" i="76" s="1"/>
  <c r="J1" i="1"/>
  <c r="O4" i="65"/>
  <c r="D13" i="76" s="1"/>
  <c r="E13" i="76" s="1"/>
  <c r="O4" i="70"/>
  <c r="D18" i="76" s="1"/>
  <c r="E18" i="76" s="1"/>
  <c r="H32" i="72"/>
  <c r="H33" i="72" s="1"/>
  <c r="H34" i="72" s="1"/>
  <c r="H35" i="72" s="1"/>
  <c r="H36" i="72" s="1"/>
  <c r="H37" i="72" s="1"/>
  <c r="H38" i="72" s="1"/>
  <c r="H39" i="72" s="1"/>
  <c r="H40" i="72" s="1"/>
  <c r="O4" i="67"/>
  <c r="D15" i="76" s="1"/>
  <c r="E15" i="76" s="1"/>
  <c r="D20" i="76"/>
  <c r="E20" i="76" s="1"/>
  <c r="O4" i="71"/>
  <c r="O1" i="71" s="1"/>
  <c r="H33" i="1"/>
  <c r="H26" i="1"/>
  <c r="H24" i="1"/>
  <c r="H20" i="1"/>
  <c r="H35" i="1"/>
  <c r="H14" i="73"/>
  <c r="H15" i="73" s="1"/>
  <c r="H16" i="73" s="1"/>
  <c r="H17" i="73" s="1"/>
  <c r="H18" i="73" s="1"/>
  <c r="H19" i="73" s="1"/>
  <c r="H20" i="73" s="1"/>
  <c r="H21" i="73" s="1"/>
  <c r="H34" i="1"/>
  <c r="H29" i="1"/>
  <c r="H25" i="1"/>
  <c r="H22" i="1"/>
  <c r="H19" i="1"/>
  <c r="H37" i="1"/>
  <c r="H30" i="1"/>
  <c r="H21" i="75"/>
  <c r="H22" i="75" s="1"/>
  <c r="H23" i="75" s="1"/>
  <c r="H24" i="75" s="1"/>
  <c r="H25" i="75" s="1"/>
  <c r="H26" i="75" s="1"/>
  <c r="H27" i="75" s="1"/>
  <c r="H28" i="75" s="1"/>
  <c r="H29" i="75" s="1"/>
  <c r="H30" i="75" s="1"/>
  <c r="H31" i="75" s="1"/>
  <c r="H32" i="75" s="1"/>
  <c r="H33" i="75" s="1"/>
  <c r="H34" i="75" s="1"/>
  <c r="H35" i="75" s="1"/>
  <c r="H36" i="75" s="1"/>
  <c r="H37" i="75" s="1"/>
  <c r="H38" i="75" s="1"/>
  <c r="H39" i="75" s="1"/>
  <c r="H40" i="75" s="1"/>
  <c r="H41" i="75" s="1"/>
  <c r="H42" i="75" s="1"/>
  <c r="H43" i="75" s="1"/>
  <c r="H44" i="75" s="1"/>
  <c r="H45" i="75" s="1"/>
  <c r="H46" i="75" s="1"/>
  <c r="H47" i="75" s="1"/>
  <c r="H48" i="75" s="1"/>
  <c r="H49" i="75" s="1"/>
  <c r="H50" i="75" s="1"/>
  <c r="H51" i="75" s="1"/>
  <c r="H52" i="75" s="1"/>
  <c r="H53" i="75" s="1"/>
  <c r="H54" i="75" s="1"/>
  <c r="H55" i="75" s="1"/>
  <c r="H56" i="75" s="1"/>
  <c r="H57" i="75" s="1"/>
  <c r="H58" i="75" s="1"/>
  <c r="J9" i="1"/>
  <c r="J12" i="1" s="1"/>
  <c r="I9" i="1"/>
  <c r="H18" i="1"/>
  <c r="H28" i="1"/>
  <c r="AA44" i="1"/>
  <c r="H44" i="1" s="1"/>
  <c r="F5" i="55"/>
  <c r="H27" i="1"/>
  <c r="N17" i="1"/>
  <c r="V17" i="1"/>
  <c r="AB17" i="1"/>
  <c r="T17" i="1"/>
  <c r="X17" i="1"/>
  <c r="P17" i="1"/>
  <c r="Z4" i="1"/>
  <c r="Z17" i="1"/>
  <c r="H21" i="1"/>
  <c r="AA17" i="1"/>
  <c r="W17" i="1"/>
  <c r="S17" i="1"/>
  <c r="O17" i="1"/>
  <c r="H32" i="1"/>
  <c r="AC17" i="1"/>
  <c r="Y17" i="1"/>
  <c r="U17" i="1"/>
  <c r="Q17" i="1"/>
  <c r="M17" i="1"/>
  <c r="L17" i="1"/>
  <c r="K17" i="1"/>
  <c r="J17" i="1"/>
  <c r="I17" i="1"/>
  <c r="X3" i="76"/>
  <c r="Y3" i="76"/>
  <c r="H15" i="1"/>
  <c r="H45" i="1"/>
  <c r="D45" i="1" s="1"/>
  <c r="AK46" i="1" l="1"/>
  <c r="H42" i="70"/>
  <c r="AT46" i="1" s="1"/>
  <c r="T16" i="76"/>
  <c r="AU1" i="76"/>
  <c r="AV1" i="76" s="1"/>
  <c r="E4" i="76"/>
  <c r="T4" i="76"/>
  <c r="AA4" i="76"/>
  <c r="Z4" i="76"/>
  <c r="F42" i="1"/>
  <c r="O1" i="61"/>
  <c r="J5" i="55"/>
  <c r="D7" i="76"/>
  <c r="E7" i="76" s="1"/>
  <c r="E14" i="76"/>
  <c r="D19" i="76"/>
  <c r="E19" i="76" s="1"/>
  <c r="O1" i="75"/>
  <c r="H43" i="1"/>
  <c r="G43" i="1" s="1"/>
  <c r="F43" i="1"/>
  <c r="D43" i="1"/>
  <c r="C43" i="1" s="1"/>
  <c r="D10" i="1"/>
  <c r="H42" i="1"/>
  <c r="F14" i="1"/>
  <c r="H10" i="1"/>
  <c r="F10" i="1"/>
  <c r="N39" i="76"/>
  <c r="H11" i="1"/>
  <c r="V9" i="1"/>
  <c r="V12" i="1" s="1"/>
  <c r="F12" i="1" s="1"/>
  <c r="R5" i="2"/>
  <c r="R3" i="2"/>
  <c r="O1" i="63"/>
  <c r="D5" i="76"/>
  <c r="E5" i="76" s="1"/>
  <c r="O1" i="64"/>
  <c r="S7" i="2"/>
  <c r="O1" i="67"/>
  <c r="O1" i="70"/>
  <c r="D32" i="76"/>
  <c r="O1" i="69"/>
  <c r="O1" i="74"/>
  <c r="O1" i="58"/>
  <c r="O1" i="36"/>
  <c r="N13" i="1"/>
  <c r="N8" i="1" s="1"/>
  <c r="N40" i="1" s="1"/>
  <c r="AA13" i="1"/>
  <c r="AA8" i="1" s="1"/>
  <c r="AA40" i="1" s="1"/>
  <c r="R13" i="1"/>
  <c r="R8" i="1" s="1"/>
  <c r="H57" i="79"/>
  <c r="H58" i="79" s="1"/>
  <c r="H59" i="79" s="1"/>
  <c r="H60" i="79" s="1"/>
  <c r="H61" i="79" s="1"/>
  <c r="H62" i="79" s="1"/>
  <c r="H63" i="79" s="1"/>
  <c r="H64" i="79" s="1"/>
  <c r="H65" i="79" s="1"/>
  <c r="H66" i="79" s="1"/>
  <c r="H67" i="79" s="1"/>
  <c r="H68" i="79" s="1"/>
  <c r="H69" i="79" s="1"/>
  <c r="H70" i="79" s="1"/>
  <c r="H71" i="79" s="1"/>
  <c r="H72" i="79" s="1"/>
  <c r="H73" i="79" s="1"/>
  <c r="H74" i="79" s="1"/>
  <c r="H75" i="79" s="1"/>
  <c r="H76" i="79" s="1"/>
  <c r="H77" i="79" s="1"/>
  <c r="H78" i="79" s="1"/>
  <c r="H79" i="79" s="1"/>
  <c r="H80" i="79" s="1"/>
  <c r="H81" i="79" s="1"/>
  <c r="H82" i="79" s="1"/>
  <c r="L13" i="1"/>
  <c r="L8" i="1" s="1"/>
  <c r="L40" i="1" s="1"/>
  <c r="P13" i="1"/>
  <c r="P8" i="1" s="1"/>
  <c r="P40" i="1" s="1"/>
  <c r="T13" i="1"/>
  <c r="T8" i="1" s="1"/>
  <c r="T40" i="1" s="1"/>
  <c r="X13" i="1"/>
  <c r="X8" i="1" s="1"/>
  <c r="X40" i="1" s="1"/>
  <c r="AB13" i="1"/>
  <c r="AB8" i="1" s="1"/>
  <c r="AB40" i="1" s="1"/>
  <c r="K13" i="1"/>
  <c r="K8" i="1" s="1"/>
  <c r="K40" i="1" s="1"/>
  <c r="M13" i="1"/>
  <c r="M8" i="1" s="1"/>
  <c r="M40" i="1" s="1"/>
  <c r="O13" i="1"/>
  <c r="O8" i="1" s="1"/>
  <c r="O40" i="1" s="1"/>
  <c r="Q13" i="1"/>
  <c r="Q8" i="1" s="1"/>
  <c r="Q40" i="1" s="1"/>
  <c r="S13" i="1"/>
  <c r="S8" i="1" s="1"/>
  <c r="U13" i="1"/>
  <c r="U8" i="1" s="1"/>
  <c r="U40" i="1" s="1"/>
  <c r="W13" i="1"/>
  <c r="W8" i="1" s="1"/>
  <c r="W40" i="1" s="1"/>
  <c r="O1" i="62"/>
  <c r="H22" i="73"/>
  <c r="H23" i="73" s="1"/>
  <c r="H24" i="73" s="1"/>
  <c r="H25" i="73" s="1"/>
  <c r="H26" i="73" s="1"/>
  <c r="H27" i="73" s="1"/>
  <c r="H28" i="73" s="1"/>
  <c r="H29" i="73" s="1"/>
  <c r="H30" i="73" s="1"/>
  <c r="H31" i="73" s="1"/>
  <c r="O1" i="73"/>
  <c r="AC13" i="1"/>
  <c r="AC8" i="1" s="1"/>
  <c r="AC40" i="1" s="1"/>
  <c r="T26" i="76"/>
  <c r="T27" i="76"/>
  <c r="T28" i="76"/>
  <c r="Y13" i="1"/>
  <c r="Y8" i="1" s="1"/>
  <c r="Y40" i="1" s="1"/>
  <c r="I13" i="1"/>
  <c r="I12" i="1"/>
  <c r="J13" i="1"/>
  <c r="Z13" i="1"/>
  <c r="U3" i="76"/>
  <c r="AD23" i="1" s="1"/>
  <c r="F44" i="1"/>
  <c r="D9" i="1"/>
  <c r="O46" i="1"/>
  <c r="F46" i="1" s="1"/>
  <c r="H30" i="59"/>
  <c r="H31" i="59" s="1"/>
  <c r="H32" i="59" s="1"/>
  <c r="H33" i="59" s="1"/>
  <c r="H34" i="59" s="1"/>
  <c r="H35" i="59" s="1"/>
  <c r="H36" i="59" s="1"/>
  <c r="O1" i="65"/>
  <c r="H18" i="74"/>
  <c r="H19" i="74" s="1"/>
  <c r="H20" i="74" s="1"/>
  <c r="H21" i="74" s="1"/>
  <c r="H22" i="74" s="1"/>
  <c r="AD46" i="1"/>
  <c r="Y46" i="1"/>
  <c r="AA46" i="1"/>
  <c r="H37" i="59" l="1"/>
  <c r="H38" i="59" s="1"/>
  <c r="H39" i="59" s="1"/>
  <c r="H40" i="59" s="1"/>
  <c r="H41" i="59" s="1"/>
  <c r="H42" i="59" s="1"/>
  <c r="H43" i="59" s="1"/>
  <c r="H44" i="59" s="1"/>
  <c r="H45" i="59" s="1"/>
  <c r="H46" i="59" s="1"/>
  <c r="H47" i="59" s="1"/>
  <c r="AC46" i="1"/>
  <c r="E3" i="76"/>
  <c r="E43" i="1"/>
  <c r="V13" i="1"/>
  <c r="V8" i="1" s="1"/>
  <c r="V40" i="1" s="1"/>
  <c r="H9" i="1"/>
  <c r="F9" i="1"/>
  <c r="H32" i="73"/>
  <c r="AG46" i="1"/>
  <c r="H23" i="74"/>
  <c r="H24" i="74" s="1"/>
  <c r="H25" i="74" s="1"/>
  <c r="H26" i="74" s="1"/>
  <c r="H27" i="74" s="1"/>
  <c r="H28" i="74" s="1"/>
  <c r="H29" i="74" s="1"/>
  <c r="H30" i="74" s="1"/>
  <c r="H31" i="74" s="1"/>
  <c r="H32" i="74" s="1"/>
  <c r="H33" i="74" s="1"/>
  <c r="H34" i="74" s="1"/>
  <c r="H35" i="74" s="1"/>
  <c r="H36" i="74" s="1"/>
  <c r="H37" i="74" s="1"/>
  <c r="H38" i="74" s="1"/>
  <c r="H39" i="74" s="1"/>
  <c r="H40" i="74" s="1"/>
  <c r="H41" i="74" s="1"/>
  <c r="H42" i="74" s="1"/>
  <c r="H43" i="74" s="1"/>
  <c r="H44" i="74" s="1"/>
  <c r="H45" i="74" s="1"/>
  <c r="H46" i="74" s="1"/>
  <c r="H47" i="74" s="1"/>
  <c r="H48" i="74" s="1"/>
  <c r="H49" i="74" s="1"/>
  <c r="H50" i="74" s="1"/>
  <c r="H51" i="74" s="1"/>
  <c r="H52" i="74" s="1"/>
  <c r="H53" i="74" s="1"/>
  <c r="H54" i="74" s="1"/>
  <c r="H55" i="74" s="1"/>
  <c r="H56" i="74" s="1"/>
  <c r="H57" i="74" s="1"/>
  <c r="H58" i="74" s="1"/>
  <c r="H59" i="74" s="1"/>
  <c r="H60" i="74" s="1"/>
  <c r="H61" i="74" s="1"/>
  <c r="H62" i="74" s="1"/>
  <c r="H63" i="74" s="1"/>
  <c r="H64" i="74" s="1"/>
  <c r="H65" i="74" s="1"/>
  <c r="H66" i="74" s="1"/>
  <c r="H67" i="74" s="1"/>
  <c r="H68" i="74" s="1"/>
  <c r="H69" i="74" s="1"/>
  <c r="H70" i="74" s="1"/>
  <c r="H71" i="74" s="1"/>
  <c r="H72" i="74" s="1"/>
  <c r="H73" i="74" s="1"/>
  <c r="H74" i="74" s="1"/>
  <c r="H75" i="74" s="1"/>
  <c r="H76" i="74" s="1"/>
  <c r="AF46" i="1"/>
  <c r="J8" i="1"/>
  <c r="J40" i="1" s="1"/>
  <c r="AE46" i="1"/>
  <c r="F23" i="1"/>
  <c r="AE17" i="1"/>
  <c r="AE40" i="1" s="1"/>
  <c r="I8" i="1"/>
  <c r="D13" i="1"/>
  <c r="Z8" i="1"/>
  <c r="Z40" i="1" s="1"/>
  <c r="H12" i="1"/>
  <c r="M1" i="1" s="1"/>
  <c r="D12" i="1"/>
  <c r="T3" i="76"/>
  <c r="R3" i="76"/>
  <c r="S3" i="76"/>
  <c r="S40" i="1"/>
  <c r="D46" i="1"/>
  <c r="H48" i="59" l="1"/>
  <c r="H49" i="59" s="1"/>
  <c r="H50" i="59" s="1"/>
  <c r="H51" i="59" s="1"/>
  <c r="H52" i="59" s="1"/>
  <c r="H53" i="59" s="1"/>
  <c r="H54" i="59" s="1"/>
  <c r="H55" i="59" s="1"/>
  <c r="H56" i="59" s="1"/>
  <c r="H57" i="59" s="1"/>
  <c r="H58" i="59" s="1"/>
  <c r="H59" i="59" s="1"/>
  <c r="H60" i="59" s="1"/>
  <c r="H61" i="59" s="1"/>
  <c r="H62" i="59" s="1"/>
  <c r="H63" i="59" s="1"/>
  <c r="H64" i="59" s="1"/>
  <c r="H65" i="59" s="1"/>
  <c r="H66" i="59" s="1"/>
  <c r="H67" i="59" s="1"/>
  <c r="H68" i="59" s="1"/>
  <c r="H69" i="59" s="1"/>
  <c r="H70" i="59" s="1"/>
  <c r="H71" i="59" s="1"/>
  <c r="H72" i="59" s="1"/>
  <c r="H73" i="59" s="1"/>
  <c r="AZ46" i="1"/>
  <c r="G4" i="1"/>
  <c r="F13" i="1"/>
  <c r="H13" i="1"/>
  <c r="H33" i="73"/>
  <c r="H34" i="73" s="1"/>
  <c r="H35" i="73" s="1"/>
  <c r="H36" i="73" s="1"/>
  <c r="H37" i="73" s="1"/>
  <c r="H38" i="73" s="1"/>
  <c r="H39" i="73" s="1"/>
  <c r="H40" i="73" s="1"/>
  <c r="H41" i="73" s="1"/>
  <c r="H42" i="73" s="1"/>
  <c r="B39" i="76"/>
  <c r="H8" i="1"/>
  <c r="G12" i="1" s="1"/>
  <c r="I40" i="1"/>
  <c r="AD17" i="1"/>
  <c r="AD40" i="1" s="1"/>
  <c r="D8" i="1"/>
  <c r="C12" i="1" s="1"/>
  <c r="F8" i="1"/>
  <c r="E12" i="1" s="1"/>
  <c r="H23" i="1"/>
  <c r="M2" i="1" s="1"/>
  <c r="H4" i="1" s="1"/>
  <c r="R17" i="1"/>
  <c r="D17" i="1" s="1"/>
  <c r="D23" i="1"/>
  <c r="H43" i="73" l="1"/>
  <c r="H44" i="73" s="1"/>
  <c r="H45" i="73" s="1"/>
  <c r="H46" i="73" s="1"/>
  <c r="H47" i="73" s="1"/>
  <c r="H48" i="73" s="1"/>
  <c r="H49" i="73" s="1"/>
  <c r="H50" i="73" s="1"/>
  <c r="H51" i="73" s="1"/>
  <c r="H52" i="73" s="1"/>
  <c r="H53" i="73" s="1"/>
  <c r="H54" i="73" s="1"/>
  <c r="H55" i="73" s="1"/>
  <c r="H56" i="73" s="1"/>
  <c r="H57" i="73" s="1"/>
  <c r="H58" i="73" s="1"/>
  <c r="H59" i="73" s="1"/>
  <c r="H60" i="73" s="1"/>
  <c r="H61" i="73" s="1"/>
  <c r="H62" i="73" s="1"/>
  <c r="H63" i="73" s="1"/>
  <c r="H64" i="73" s="1"/>
  <c r="H65" i="73" s="1"/>
  <c r="H66" i="73" s="1"/>
  <c r="H67" i="73" s="1"/>
  <c r="H68" i="73" s="1"/>
  <c r="H69" i="73" s="1"/>
  <c r="H70" i="73" s="1"/>
  <c r="H71" i="73" s="1"/>
  <c r="H72" i="73" s="1"/>
  <c r="H73" i="73" s="1"/>
  <c r="H74" i="73" s="1"/>
  <c r="H75" i="73" s="1"/>
  <c r="H76" i="73" s="1"/>
  <c r="AQ46" i="1" s="1"/>
  <c r="AI46" i="1"/>
  <c r="F40" i="1"/>
  <c r="E40" i="1" s="1"/>
  <c r="C13" i="1"/>
  <c r="C15" i="1"/>
  <c r="C9" i="1"/>
  <c r="E9" i="1"/>
  <c r="E13" i="1"/>
  <c r="G14" i="1"/>
  <c r="E15" i="1"/>
  <c r="E14" i="1"/>
  <c r="G15" i="1"/>
  <c r="G13" i="1"/>
  <c r="C14" i="1"/>
  <c r="G9" i="1"/>
  <c r="F17" i="1"/>
  <c r="B3" i="1"/>
  <c r="H17" i="1"/>
  <c r="G38" i="1" s="1"/>
  <c r="R40" i="1"/>
  <c r="D40" i="1" s="1"/>
  <c r="H46" i="1" l="1"/>
  <c r="H40" i="1"/>
  <c r="G1" i="1" s="1"/>
  <c r="G2" i="1" s="1"/>
  <c r="C23" i="1"/>
  <c r="E34" i="1"/>
  <c r="C40" i="1"/>
  <c r="G37" i="1"/>
  <c r="E35" i="1"/>
  <c r="G33" i="1"/>
  <c r="E18" i="1"/>
  <c r="E32" i="1"/>
  <c r="C19" i="1"/>
  <c r="G30" i="1"/>
  <c r="G27" i="1"/>
  <c r="G26" i="1"/>
  <c r="C38" i="1"/>
  <c r="E37" i="1"/>
  <c r="C20" i="1"/>
  <c r="G36" i="1"/>
  <c r="E24" i="1"/>
  <c r="G29" i="1"/>
  <c r="C27" i="1"/>
  <c r="G24" i="1"/>
  <c r="G19" i="1"/>
  <c r="G25" i="1"/>
  <c r="G23" i="1"/>
  <c r="G35" i="1"/>
  <c r="E23" i="1"/>
  <c r="C24" i="1"/>
  <c r="C28" i="1"/>
  <c r="E29" i="1"/>
  <c r="E27" i="1"/>
  <c r="C21" i="1"/>
  <c r="E31" i="1"/>
  <c r="C33" i="1"/>
  <c r="E28" i="1"/>
  <c r="G21" i="1"/>
  <c r="G28" i="1"/>
  <c r="E19" i="1"/>
  <c r="C37" i="1"/>
  <c r="C31" i="1"/>
  <c r="C36" i="1"/>
  <c r="C32" i="1"/>
  <c r="G20" i="1"/>
  <c r="G18" i="1"/>
  <c r="G32" i="1"/>
  <c r="G22" i="1"/>
  <c r="E38" i="1"/>
  <c r="C22" i="1"/>
  <c r="E20" i="1"/>
  <c r="E22" i="1"/>
  <c r="G34" i="1"/>
  <c r="G31" i="1"/>
  <c r="C34" i="1"/>
  <c r="C30" i="1"/>
  <c r="E33" i="1"/>
  <c r="E36" i="1"/>
  <c r="C35" i="1"/>
  <c r="C25" i="1"/>
  <c r="C18" i="1"/>
  <c r="E26" i="1"/>
  <c r="E21" i="1"/>
  <c r="E25" i="1"/>
  <c r="E30" i="1"/>
  <c r="C29" i="1"/>
  <c r="C26" i="1"/>
  <c r="D3" i="76" l="1"/>
  <c r="H41" i="1" s="1"/>
  <c r="B2" i="1" s="1"/>
  <c r="S1" i="1"/>
  <c r="G40" i="1"/>
  <c r="S2" i="1" l="1"/>
  <c r="D41" i="1"/>
  <c r="F41" i="1"/>
  <c r="G3" i="1"/>
  <c r="H3" i="1"/>
</calcChain>
</file>

<file path=xl/sharedStrings.xml><?xml version="1.0" encoding="utf-8"?>
<sst xmlns="http://schemas.openxmlformats.org/spreadsheetml/2006/main" count="16067" uniqueCount="1040">
  <si>
    <t xml:space="preserve">Rent Payment Schedule </t>
  </si>
  <si>
    <t>Name</t>
  </si>
  <si>
    <t>Street</t>
  </si>
  <si>
    <t>Time</t>
  </si>
  <si>
    <t>INCOME</t>
  </si>
  <si>
    <t>EXPENSE</t>
  </si>
  <si>
    <t>#</t>
  </si>
  <si>
    <t>Date Due</t>
  </si>
  <si>
    <t>Amount Due</t>
  </si>
  <si>
    <t>Amount Paid</t>
  </si>
  <si>
    <t>Date Paid</t>
  </si>
  <si>
    <t>Mileage</t>
  </si>
  <si>
    <t>Balance</t>
  </si>
  <si>
    <t>Date</t>
  </si>
  <si>
    <t>Expense</t>
  </si>
  <si>
    <t>Description</t>
  </si>
  <si>
    <t>Insurance</t>
  </si>
  <si>
    <t>Maintenance</t>
  </si>
  <si>
    <t/>
  </si>
  <si>
    <t>1EO9SQ</t>
  </si>
  <si>
    <t>Rego Renew</t>
  </si>
  <si>
    <t>1QF4SM</t>
  </si>
  <si>
    <t>Bank Charge</t>
  </si>
  <si>
    <t>1MV4GI</t>
  </si>
  <si>
    <t>Justin</t>
  </si>
  <si>
    <t>1AG9CK</t>
  </si>
  <si>
    <t>Servicing</t>
  </si>
  <si>
    <t>1OZ7GT</t>
  </si>
  <si>
    <t>1CN8DD</t>
  </si>
  <si>
    <t>1FR9YJ</t>
  </si>
  <si>
    <t>1MK4UR</t>
  </si>
  <si>
    <t>1BG9EG</t>
  </si>
  <si>
    <t>Fuel</t>
  </si>
  <si>
    <t>Name Transfer</t>
  </si>
  <si>
    <t>RedBook</t>
  </si>
  <si>
    <t>Withdraw</t>
  </si>
  <si>
    <t>WebSite</t>
  </si>
  <si>
    <t>Website</t>
  </si>
  <si>
    <t>Jetta</t>
  </si>
  <si>
    <t>Bank Transaction Fee</t>
  </si>
  <si>
    <t>Legal Fees</t>
  </si>
  <si>
    <t>ACN Application</t>
  </si>
  <si>
    <t>Pepper Money Leftover</t>
  </si>
  <si>
    <t>Other</t>
  </si>
  <si>
    <t>ZON184</t>
  </si>
  <si>
    <t>Bond Return</t>
  </si>
  <si>
    <t>Marketting</t>
  </si>
  <si>
    <t>Gumtree</t>
  </si>
  <si>
    <t>RWC</t>
  </si>
  <si>
    <t>Job Keeper Application</t>
  </si>
  <si>
    <t>Totals</t>
  </si>
  <si>
    <t>Income</t>
  </si>
  <si>
    <t>Expenses</t>
  </si>
  <si>
    <t>Cleaning Expense</t>
  </si>
  <si>
    <t>CPV</t>
  </si>
  <si>
    <t>Net Income</t>
  </si>
  <si>
    <t>Bond</t>
  </si>
  <si>
    <t>PPSR</t>
  </si>
  <si>
    <t>Ezidebit</t>
  </si>
  <si>
    <t>EziDebit</t>
  </si>
  <si>
    <t>We Buy</t>
  </si>
  <si>
    <t>We Use</t>
  </si>
  <si>
    <t>We Sell</t>
  </si>
  <si>
    <t>Price</t>
  </si>
  <si>
    <t>Depreciation</t>
  </si>
  <si>
    <t>Operating</t>
  </si>
  <si>
    <t>Profit</t>
  </si>
  <si>
    <t>Avg/Mnth</t>
  </si>
  <si>
    <t>Year</t>
  </si>
  <si>
    <t>To</t>
  </si>
  <si>
    <t>Odometer</t>
  </si>
  <si>
    <t>GP</t>
  </si>
  <si>
    <t>Red Book</t>
  </si>
  <si>
    <t>Total Expense</t>
  </si>
  <si>
    <t>Deprecition</t>
  </si>
  <si>
    <t>Emergency</t>
  </si>
  <si>
    <t>NP</t>
  </si>
  <si>
    <t>Total Depreciation</t>
  </si>
  <si>
    <t>Invoice Total</t>
  </si>
  <si>
    <t>Vendor Name</t>
  </si>
  <si>
    <t>Mazda 2</t>
  </si>
  <si>
    <t>Captiva</t>
  </si>
  <si>
    <t>Refund</t>
  </si>
  <si>
    <t>Total</t>
  </si>
  <si>
    <t>ALDI</t>
  </si>
  <si>
    <t>REPCO</t>
  </si>
  <si>
    <t>SUPER CHEAP</t>
  </si>
  <si>
    <t>BUNNINGS</t>
  </si>
  <si>
    <t>VICROADS</t>
  </si>
  <si>
    <t>CITY WRECKERS</t>
  </si>
  <si>
    <t>AUTO BARN</t>
  </si>
  <si>
    <t>OVERLAND 4X4</t>
  </si>
  <si>
    <t>Nijjar</t>
  </si>
  <si>
    <t>Mujtaba</t>
  </si>
  <si>
    <t>Tanveer</t>
  </si>
  <si>
    <t>Avtar</t>
  </si>
  <si>
    <t>Sobash</t>
  </si>
  <si>
    <t>Accounting</t>
  </si>
  <si>
    <t>Redbook</t>
  </si>
  <si>
    <t>Parking Meter</t>
  </si>
  <si>
    <t>1RY5UC</t>
  </si>
  <si>
    <t>PrixCar</t>
  </si>
  <si>
    <t>Job Keeper Payment</t>
  </si>
  <si>
    <t>2019 Toyota Camry</t>
  </si>
  <si>
    <t>Tow Truck</t>
  </si>
  <si>
    <t>2015 Ford Fiesta</t>
  </si>
  <si>
    <t>Read Permit</t>
  </si>
  <si>
    <t>Antriksh</t>
  </si>
  <si>
    <t>Bad Debt</t>
  </si>
  <si>
    <t>Abhiram</t>
  </si>
  <si>
    <t>Prixcar</t>
  </si>
  <si>
    <t>Other Income</t>
  </si>
  <si>
    <t>Payment Mode</t>
  </si>
  <si>
    <t>Driver Name</t>
  </si>
  <si>
    <t>Cash</t>
  </si>
  <si>
    <t>Payment Method</t>
  </si>
  <si>
    <t>PayID</t>
  </si>
  <si>
    <t>Bank Transfer</t>
  </si>
  <si>
    <t>Rental Income</t>
  </si>
  <si>
    <t>Unpaid Rent</t>
  </si>
  <si>
    <t>Office Expense</t>
  </si>
  <si>
    <t>Interest</t>
  </si>
  <si>
    <t>Cost Of Goods</t>
  </si>
  <si>
    <t>Balance BF</t>
  </si>
  <si>
    <t>Closed Account</t>
  </si>
  <si>
    <t>Other Payment</t>
  </si>
  <si>
    <t>Account Head</t>
  </si>
  <si>
    <t>Net</t>
  </si>
  <si>
    <t>Loan Riad</t>
  </si>
  <si>
    <t>Loan Refat</t>
  </si>
  <si>
    <t>co</t>
  </si>
  <si>
    <t>o</t>
  </si>
  <si>
    <t>%</t>
  </si>
  <si>
    <t>Fine / Toll</t>
  </si>
  <si>
    <t>Bank Deposit</t>
  </si>
  <si>
    <t>Other Expense</t>
  </si>
  <si>
    <t>Car Expenses</t>
  </si>
  <si>
    <t>Manav</t>
  </si>
  <si>
    <t>Balraj</t>
  </si>
  <si>
    <t>Malhi</t>
  </si>
  <si>
    <t>Bunnings</t>
  </si>
  <si>
    <t>Super Cheap Auto</t>
  </si>
  <si>
    <t>RACV</t>
  </si>
  <si>
    <t>Arjun</t>
  </si>
  <si>
    <t>Suncorp</t>
  </si>
  <si>
    <t>VCAT</t>
  </si>
  <si>
    <t>Venkat</t>
  </si>
  <si>
    <t>Marcus</t>
  </si>
  <si>
    <t>2014 Toyota Yaris</t>
  </si>
  <si>
    <t>Don</t>
  </si>
  <si>
    <t>Manpreet</t>
  </si>
  <si>
    <t>Harpreet</t>
  </si>
  <si>
    <t>Tyre X2</t>
  </si>
  <si>
    <t>Zuraidah</t>
  </si>
  <si>
    <t>MPS042520174</t>
  </si>
  <si>
    <t>Sukhjinder</t>
  </si>
  <si>
    <t>Battery</t>
  </si>
  <si>
    <t>Bond Adjust</t>
  </si>
  <si>
    <t>Moin</t>
  </si>
  <si>
    <t>Prathana</t>
  </si>
  <si>
    <t>Paint</t>
  </si>
  <si>
    <t>Jogpreet</t>
  </si>
  <si>
    <t>Hossain</t>
  </si>
  <si>
    <t>Steam Clean</t>
  </si>
  <si>
    <t>Scent</t>
  </si>
  <si>
    <t>DPF</t>
  </si>
  <si>
    <t>Tyre X 2</t>
  </si>
  <si>
    <t>1IE5EF</t>
  </si>
  <si>
    <t>2015 Mitsubishi Lancer</t>
  </si>
  <si>
    <t>2013 Volkswagen Passat</t>
  </si>
  <si>
    <t>Dent Remover</t>
  </si>
  <si>
    <t>Screw Driver</t>
  </si>
  <si>
    <t>Headlight Bulb</t>
  </si>
  <si>
    <t>Sameer</t>
  </si>
  <si>
    <t>2014 Holden Commodore</t>
  </si>
  <si>
    <t>Puneet</t>
  </si>
  <si>
    <t>Mohit</t>
  </si>
  <si>
    <t>Steering Cover</t>
  </si>
  <si>
    <t>Tyre Purchase</t>
  </si>
  <si>
    <t>Electrical</t>
  </si>
  <si>
    <t>Sale Of Stock</t>
  </si>
  <si>
    <t>Bond Received</t>
  </si>
  <si>
    <t>Sale of Stock</t>
  </si>
  <si>
    <t>Discount Rent</t>
  </si>
  <si>
    <t>Rental Income 1</t>
  </si>
  <si>
    <t>Rental Income 2</t>
  </si>
  <si>
    <t>Sami</t>
  </si>
  <si>
    <t>Car Wash</t>
  </si>
  <si>
    <t>Bulb Change</t>
  </si>
  <si>
    <t>Brake Disk</t>
  </si>
  <si>
    <t>Wiper Blade</t>
  </si>
  <si>
    <t>Timing Belt Repair</t>
  </si>
  <si>
    <t>Himanshu</t>
  </si>
  <si>
    <t>Umer</t>
  </si>
  <si>
    <t>2017 Toyota Camry</t>
  </si>
  <si>
    <t>1JI2UE</t>
  </si>
  <si>
    <t>Road Permit</t>
  </si>
  <si>
    <t>Rego Booking</t>
  </si>
  <si>
    <t>Panel Beater</t>
  </si>
  <si>
    <t>Visesio</t>
  </si>
  <si>
    <t>1SI9BW</t>
  </si>
  <si>
    <t>1SK3IR</t>
  </si>
  <si>
    <t>City</t>
  </si>
  <si>
    <t>Wiper</t>
  </si>
  <si>
    <t>Brake Pad</t>
  </si>
  <si>
    <t>Loan Other</t>
  </si>
  <si>
    <t>Toll</t>
  </si>
  <si>
    <t>PROFIT &amp; LOSS STATEMENT (2019-2020)</t>
  </si>
  <si>
    <t>1FR9YI</t>
  </si>
  <si>
    <t>Camry 2019</t>
  </si>
  <si>
    <t>Checked</t>
  </si>
  <si>
    <t>1SK3ir</t>
  </si>
  <si>
    <t>Camry 19</t>
  </si>
  <si>
    <t>Capital</t>
  </si>
  <si>
    <t>Cost Of Goods Sold</t>
  </si>
  <si>
    <t>Anwar</t>
  </si>
  <si>
    <t>Yash</t>
  </si>
  <si>
    <t>Gagandeep</t>
  </si>
  <si>
    <t>Taimoor</t>
  </si>
  <si>
    <t>Purchase 
Price</t>
  </si>
  <si>
    <t>Insurance
Value</t>
  </si>
  <si>
    <t>Current
Value</t>
  </si>
  <si>
    <t>Pay
Insurance</t>
  </si>
  <si>
    <t xml:space="preserve">Car Make, Model 
&amp; Rego
</t>
  </si>
  <si>
    <t>CPV
Expiry</t>
  </si>
  <si>
    <t>Suburd</t>
  </si>
  <si>
    <t>E-Mail</t>
  </si>
  <si>
    <t>Driver License
No.</t>
  </si>
  <si>
    <t>Accredition
No.</t>
  </si>
  <si>
    <t>D.O.B</t>
  </si>
  <si>
    <t>Our Ref</t>
  </si>
  <si>
    <t>Manav Bhambri</t>
  </si>
  <si>
    <t>Earned
Till Date</t>
  </si>
  <si>
    <t>Average
/ Month</t>
  </si>
  <si>
    <t>Start Date</t>
  </si>
  <si>
    <t>Not Known</t>
  </si>
  <si>
    <t>Car Rego</t>
  </si>
  <si>
    <t>Engine Service</t>
  </si>
  <si>
    <t>ODO</t>
  </si>
  <si>
    <t>Current ODO</t>
  </si>
  <si>
    <t>Tyre
Size</t>
  </si>
  <si>
    <t>Insurance
No.</t>
  </si>
  <si>
    <t>Insurance
Amount</t>
  </si>
  <si>
    <t>Insurance
Date</t>
  </si>
  <si>
    <t>Rego
Expiry</t>
  </si>
  <si>
    <t>Redbook
Expiry</t>
  </si>
  <si>
    <t>Purchase
Date</t>
  </si>
  <si>
    <t>Purchase
ODO</t>
  </si>
  <si>
    <t>2016 Volkswagen Jetta</t>
  </si>
  <si>
    <t>2015 Honda City</t>
  </si>
  <si>
    <t>MPS042570378</t>
  </si>
  <si>
    <t>MPS042657368</t>
  </si>
  <si>
    <t>MPS042871453</t>
  </si>
  <si>
    <t>MPS043030196</t>
  </si>
  <si>
    <t>MPS043317706</t>
  </si>
  <si>
    <t>MPS044197150</t>
  </si>
  <si>
    <t>MPS044664855</t>
  </si>
  <si>
    <t>MPS045165198</t>
  </si>
  <si>
    <t>MPS045184165</t>
  </si>
  <si>
    <t>RACV Claim</t>
  </si>
  <si>
    <t>Loan Retuen Riad</t>
  </si>
  <si>
    <t>Loan Return Refat</t>
  </si>
  <si>
    <t>Loan Return Other</t>
  </si>
  <si>
    <t>Loan Return Riad</t>
  </si>
  <si>
    <t>Cost of Goods</t>
  </si>
  <si>
    <t>Gear Box Service</t>
  </si>
  <si>
    <t>Gear Box Change</t>
  </si>
  <si>
    <t>Capital=Cost Of Goods+RWC+Name Transfer+Repair</t>
  </si>
  <si>
    <t>Tubo Pipe</t>
  </si>
  <si>
    <t>Fuel Filter</t>
  </si>
  <si>
    <t>Uber Rent</t>
  </si>
  <si>
    <t>NET</t>
  </si>
  <si>
    <t>77, Hillside Street</t>
  </si>
  <si>
    <t>Post Code</t>
  </si>
  <si>
    <t>Springvale</t>
  </si>
  <si>
    <t>1/16 Elm Grove,</t>
  </si>
  <si>
    <t>Mount Waverley</t>
  </si>
  <si>
    <t>SPRINGVALE</t>
  </si>
  <si>
    <t>Prathana Jogani</t>
  </si>
  <si>
    <t>Venkat Matcha</t>
  </si>
  <si>
    <t>2/14, Saddle Wynd</t>
  </si>
  <si>
    <t>Truganina</t>
  </si>
  <si>
    <t>005 333 066</t>
  </si>
  <si>
    <t>009 711 134</t>
  </si>
  <si>
    <t>2 Duval Drive</t>
  </si>
  <si>
    <t>Maddingley</t>
  </si>
  <si>
    <t>036 389 886</t>
  </si>
  <si>
    <t>Seyed H. Arefgargari</t>
  </si>
  <si>
    <t>5/7 Stephenson St</t>
  </si>
  <si>
    <t>26, Lightwood Drive</t>
  </si>
  <si>
    <t>Ferntree Gully</t>
  </si>
  <si>
    <t>013 822 532</t>
  </si>
  <si>
    <t>Jaspreet K. Malhi</t>
  </si>
  <si>
    <t>45, Bolwarra Street</t>
  </si>
  <si>
    <t>Chadstone</t>
  </si>
  <si>
    <t>009 119 287</t>
  </si>
  <si>
    <t>Sameer Anjam</t>
  </si>
  <si>
    <t>26, Malcolm Cresent</t>
  </si>
  <si>
    <t>Keysborough</t>
  </si>
  <si>
    <t>041 101 950</t>
  </si>
  <si>
    <t>10.30 AM</t>
  </si>
  <si>
    <t>8.30 PM</t>
  </si>
  <si>
    <t>U4/4-6 MALLAWA ST</t>
  </si>
  <si>
    <t>6.00 PM</t>
  </si>
  <si>
    <t>Puneet Kanwar</t>
  </si>
  <si>
    <t>Clayton South</t>
  </si>
  <si>
    <t>096 679 218</t>
  </si>
  <si>
    <t>Manpreet S Chahal</t>
  </si>
  <si>
    <t>102, Ellen Street</t>
  </si>
  <si>
    <t>4.30 PM</t>
  </si>
  <si>
    <t>038 898 467</t>
  </si>
  <si>
    <t>91 CABARNET CRES</t>
  </si>
  <si>
    <t>Justine Keon</t>
  </si>
  <si>
    <t>Justine</t>
  </si>
  <si>
    <t>Bundoora</t>
  </si>
  <si>
    <t>ANKYRAJPUT1012@GMAIL.COM</t>
  </si>
  <si>
    <t>Antiksh</t>
  </si>
  <si>
    <t>004 359 702</t>
  </si>
  <si>
    <t>7.30 PM</t>
  </si>
  <si>
    <t>Thornhill Park</t>
  </si>
  <si>
    <t>16 Maya Ave</t>
  </si>
  <si>
    <t>Anky</t>
  </si>
  <si>
    <t>HARPREETRANDHAWA313@GMAIL.COM</t>
  </si>
  <si>
    <t>Harpreet Singh</t>
  </si>
  <si>
    <t>023 752 120</t>
  </si>
  <si>
    <t>U2/17 Adelaide St</t>
  </si>
  <si>
    <t>St Albans</t>
  </si>
  <si>
    <t>Harprit</t>
  </si>
  <si>
    <t>Zuraida</t>
  </si>
  <si>
    <t>Hemanshu</t>
  </si>
  <si>
    <t>Gagandepp</t>
  </si>
  <si>
    <t>Umar</t>
  </si>
  <si>
    <t>Abhiram Nayakanti</t>
  </si>
  <si>
    <t>U4, 11 Roward Street</t>
  </si>
  <si>
    <t>Murrumbeena</t>
  </si>
  <si>
    <t>Mobile
No</t>
  </si>
  <si>
    <t>0412 010 991</t>
  </si>
  <si>
    <t>12.00 PM</t>
  </si>
  <si>
    <t>Zuraidah Binti Hasan</t>
  </si>
  <si>
    <t>U 4/22 Bowmore Road</t>
  </si>
  <si>
    <t>Noble Park</t>
  </si>
  <si>
    <t>0413 230 465</t>
  </si>
  <si>
    <t>039 487 699</t>
  </si>
  <si>
    <t>12.30 PM</t>
  </si>
  <si>
    <t>Hemanshu Kashyap</t>
  </si>
  <si>
    <t>6 Brushbox Ct</t>
  </si>
  <si>
    <t>Clayton</t>
  </si>
  <si>
    <t>0450 254 154</t>
  </si>
  <si>
    <t>hemanshukashyap0054@gmail.com</t>
  </si>
  <si>
    <t>040 307 692</t>
  </si>
  <si>
    <t>9.20 PM</t>
  </si>
  <si>
    <t>Sami Ur Rahman</t>
  </si>
  <si>
    <t>U18, 60 Auburn Road</t>
  </si>
  <si>
    <t>Hawthorn</t>
  </si>
  <si>
    <t>0403 940 535</t>
  </si>
  <si>
    <t>036 820 206</t>
  </si>
  <si>
    <t>2.00 PM</t>
  </si>
  <si>
    <t>037 407 965</t>
  </si>
  <si>
    <t>0410 783 596</t>
  </si>
  <si>
    <t>puneet_kanwar@rediffmail.com</t>
  </si>
  <si>
    <t>0433 991 056</t>
  </si>
  <si>
    <t>anjan.sameer84@gmail.com</t>
  </si>
  <si>
    <t>Mohamed Umer Nalir</t>
  </si>
  <si>
    <t>16, Miriam Close</t>
  </si>
  <si>
    <t>Wheelers Hill</t>
  </si>
  <si>
    <t>0452 301 204</t>
  </si>
  <si>
    <t>umer.nalir@outlook.com</t>
  </si>
  <si>
    <t>001 833 519</t>
  </si>
  <si>
    <t>7.00 PM</t>
  </si>
  <si>
    <t>Moin Ferdouse</t>
  </si>
  <si>
    <t>9 Frognal Drive</t>
  </si>
  <si>
    <t>Noble Park North</t>
  </si>
  <si>
    <t>0434 264 752</t>
  </si>
  <si>
    <t>mferdouse@gmail.com</t>
  </si>
  <si>
    <t>022 281 823</t>
  </si>
  <si>
    <t>10.30 PM</t>
  </si>
  <si>
    <t>0420 485 468</t>
  </si>
  <si>
    <t>manpreetrajia2@gmail.com</t>
  </si>
  <si>
    <t>0449 819 169</t>
  </si>
  <si>
    <t>hosseinaref@icloud.com</t>
  </si>
  <si>
    <t>1.30 PM</t>
  </si>
  <si>
    <t>Tahir</t>
  </si>
  <si>
    <t>Tehseen W Tahir</t>
  </si>
  <si>
    <t>123 Seebeck Road</t>
  </si>
  <si>
    <t>Rowville</t>
  </si>
  <si>
    <t>0413 948 497</t>
  </si>
  <si>
    <t>wtehseen@hotmail.com</t>
  </si>
  <si>
    <t>084 734 921</t>
  </si>
  <si>
    <t>0406 971 696</t>
  </si>
  <si>
    <t>bhambri71@gmail.com</t>
  </si>
  <si>
    <t>11.30 AM</t>
  </si>
  <si>
    <t>Kanchana Chaturanga Hettiarachchige Don</t>
  </si>
  <si>
    <t>0452 123 181</t>
  </si>
  <si>
    <t>0450 857 433</t>
  </si>
  <si>
    <t>prathanajp21@gmail.com</t>
  </si>
  <si>
    <t>0451 894 005</t>
  </si>
  <si>
    <t>0469 885 900</t>
  </si>
  <si>
    <t>sukhjindergrewal11@gmail.com</t>
  </si>
  <si>
    <t>Sukhjinder Sign Grewal</t>
  </si>
  <si>
    <t>11.45 PM</t>
  </si>
  <si>
    <t>Mohit Sharma</t>
  </si>
  <si>
    <t>18 Norris Street</t>
  </si>
  <si>
    <t>0452 060 627</t>
  </si>
  <si>
    <t>immohit6@gmail.com</t>
  </si>
  <si>
    <t>007 067 880</t>
  </si>
  <si>
    <t>9.00 PM</t>
  </si>
  <si>
    <t>Tarneit</t>
  </si>
  <si>
    <t>Taimoor Iqbal</t>
  </si>
  <si>
    <t>24, Kinnear Ave</t>
  </si>
  <si>
    <t>0469 324 993</t>
  </si>
  <si>
    <t>taimoor_001@hotmail.co.uk</t>
  </si>
  <si>
    <t>016 433 261</t>
  </si>
  <si>
    <t>4.00 PM</t>
  </si>
  <si>
    <t>Prince</t>
  </si>
  <si>
    <t>Tyre Fix</t>
  </si>
  <si>
    <t>Profit / Loss</t>
  </si>
  <si>
    <t>PROFIT &amp; LOSS STATEMENT (2020-2021)</t>
  </si>
  <si>
    <t>Tax</t>
  </si>
  <si>
    <t>Ashish</t>
  </si>
  <si>
    <t>Koreshi</t>
  </si>
  <si>
    <t>Philogene</t>
  </si>
  <si>
    <t>Impound</t>
  </si>
  <si>
    <t>Van</t>
  </si>
  <si>
    <t>URL Name</t>
  </si>
  <si>
    <t>Riad</t>
  </si>
  <si>
    <t>Refat</t>
  </si>
  <si>
    <t>Tyre Change</t>
  </si>
  <si>
    <t>195/60 R16</t>
  </si>
  <si>
    <t>235/45 R17</t>
  </si>
  <si>
    <t>215/60 R16</t>
  </si>
  <si>
    <t>205/55 R16</t>
  </si>
  <si>
    <t>185/55 R15</t>
  </si>
  <si>
    <t>azkoreshy@gmail.com</t>
  </si>
  <si>
    <t>Expense Adjust</t>
  </si>
  <si>
    <t>Comm</t>
  </si>
  <si>
    <t>YZA378</t>
  </si>
  <si>
    <t>GPS</t>
  </si>
  <si>
    <t>Engine Oil</t>
  </si>
  <si>
    <t>GPS Install</t>
  </si>
  <si>
    <t>ZXU285</t>
  </si>
  <si>
    <t>Ahmad</t>
  </si>
  <si>
    <t>Total Payment</t>
  </si>
  <si>
    <t>Current Rent</t>
  </si>
  <si>
    <t>Revised Rent</t>
  </si>
  <si>
    <t>Done</t>
  </si>
  <si>
    <t>1SK3DD</t>
  </si>
  <si>
    <t>VathShan</t>
  </si>
  <si>
    <t>Vathshan</t>
  </si>
  <si>
    <t>Visesio 1</t>
  </si>
  <si>
    <t>Gerard</t>
  </si>
  <si>
    <t>Tracksolid</t>
  </si>
  <si>
    <t>Philongene</t>
  </si>
  <si>
    <t>CarChabi</t>
  </si>
  <si>
    <t>Linkt</t>
  </si>
  <si>
    <t>Suncorp Insurance</t>
  </si>
  <si>
    <t>Pardeep</t>
  </si>
  <si>
    <t>Permit</t>
  </si>
  <si>
    <t>YLN480</t>
  </si>
  <si>
    <t>Go Daddy</t>
  </si>
  <si>
    <t>Bumper &amp; Door strip</t>
  </si>
  <si>
    <t>Tracksolid (1QF4SM)</t>
  </si>
  <si>
    <t>Sivarojan</t>
  </si>
  <si>
    <t>Inspection Appintment</t>
  </si>
  <si>
    <t>T2</t>
  </si>
  <si>
    <t>Gurtejbir</t>
  </si>
  <si>
    <t>New Driver</t>
  </si>
  <si>
    <t>Insurance Return</t>
  </si>
  <si>
    <t>Gunvir</t>
  </si>
  <si>
    <t>Piplu Bhai</t>
  </si>
  <si>
    <t>StarBucks</t>
  </si>
  <si>
    <t>Tyre</t>
  </si>
  <si>
    <t>Battery Charge</t>
  </si>
  <si>
    <t>https://www.youtube.com/watch?v=mxOsAsmmdSo</t>
  </si>
  <si>
    <t xml:space="preserve">Van Bawi </t>
  </si>
  <si>
    <t>vanbawivictor@gmail.com</t>
  </si>
  <si>
    <t>Sandeep</t>
  </si>
  <si>
    <t>Measurement</t>
  </si>
  <si>
    <t>Measurement Wdl Charge</t>
  </si>
  <si>
    <t>Panchal</t>
  </si>
  <si>
    <t>Bulb</t>
  </si>
  <si>
    <t>VIV</t>
  </si>
  <si>
    <t>XERO</t>
  </si>
  <si>
    <t>Bumper Pad</t>
  </si>
  <si>
    <t>Rinkesh</t>
  </si>
  <si>
    <t>Engine Parts</t>
  </si>
  <si>
    <t>RNR</t>
  </si>
  <si>
    <t>Gas</t>
  </si>
  <si>
    <t>Disk &amp; Brake</t>
  </si>
  <si>
    <t>Sahil</t>
  </si>
  <si>
    <t>YLN480 Bond Return</t>
  </si>
  <si>
    <t>Sivorajon Bond Return</t>
  </si>
  <si>
    <t>ZXU285 Rego Renew</t>
  </si>
  <si>
    <t>1JI2UE Tyre</t>
  </si>
  <si>
    <t>1BG9EG Bond Return</t>
  </si>
  <si>
    <t>1CN8DD Bond Return</t>
  </si>
  <si>
    <t>GIO</t>
  </si>
  <si>
    <t>Lexus</t>
  </si>
  <si>
    <t>1SX5TQ</t>
  </si>
  <si>
    <t>Nic</t>
  </si>
  <si>
    <t>Bond 1SI9W</t>
  </si>
  <si>
    <t>GPS Tracker</t>
  </si>
  <si>
    <t xml:space="preserve">Speed Fine </t>
  </si>
  <si>
    <t>Sabbir</t>
  </si>
  <si>
    <t>GPS Unit</t>
  </si>
  <si>
    <t>AC Gas &amp; Bumper Fitting</t>
  </si>
  <si>
    <t>VIV Inspection</t>
  </si>
  <si>
    <t>Seat Buckle</t>
  </si>
  <si>
    <t>Prince Panel Beater &amp; Fuel</t>
  </si>
  <si>
    <t>Loan Return</t>
  </si>
  <si>
    <t>Daniel</t>
  </si>
  <si>
    <t>Faiq</t>
  </si>
  <si>
    <t>Payment Received</t>
  </si>
  <si>
    <t>82 Kingsford Drive</t>
  </si>
  <si>
    <t>Point Cook</t>
  </si>
  <si>
    <t xml:space="preserve">0434 587 992 </t>
  </si>
  <si>
    <t>205 79315</t>
  </si>
  <si>
    <t>Disk Rotor</t>
  </si>
  <si>
    <t>4 X Tyre</t>
  </si>
  <si>
    <t>Seat Buckle Labour</t>
  </si>
  <si>
    <t>Wheel allignment</t>
  </si>
  <si>
    <t>Harsh</t>
  </si>
  <si>
    <t>1SV2AO</t>
  </si>
  <si>
    <t>Dent</t>
  </si>
  <si>
    <t>Service &amp; Tyre</t>
  </si>
  <si>
    <t>Vikram</t>
  </si>
  <si>
    <t>Solicitor</t>
  </si>
  <si>
    <t>Service</t>
  </si>
  <si>
    <t>1CF1ZO</t>
  </si>
  <si>
    <t>Purchase Price</t>
  </si>
  <si>
    <t>2013 Volkswagen Jetta</t>
  </si>
  <si>
    <t>Rego Booking Appointment</t>
  </si>
  <si>
    <t>VIV Re Inspection</t>
  </si>
  <si>
    <t>Ink Station</t>
  </si>
  <si>
    <t>Tyre Repair</t>
  </si>
  <si>
    <t>x</t>
  </si>
  <si>
    <t>Rego</t>
  </si>
  <si>
    <t>X</t>
  </si>
  <si>
    <t>Yanick</t>
  </si>
  <si>
    <t>BMM465</t>
  </si>
  <si>
    <t>Prius</t>
  </si>
  <si>
    <t>Car Price</t>
  </si>
  <si>
    <t>ASIC Renewal</t>
  </si>
  <si>
    <t>Unique Auto Prestige</t>
  </si>
  <si>
    <t>Cargo Bar</t>
  </si>
  <si>
    <t>PTRS</t>
  </si>
  <si>
    <t>Engine Mount</t>
  </si>
  <si>
    <t>Ahmed</t>
  </si>
  <si>
    <t>Rent Subsidy</t>
  </si>
  <si>
    <t>Bahee</t>
  </si>
  <si>
    <t>Uniqe Auto</t>
  </si>
  <si>
    <t>MyWebhost</t>
  </si>
  <si>
    <t>Sabbir Bhai</t>
  </si>
  <si>
    <t>Raz</t>
  </si>
  <si>
    <t>Kaleb</t>
  </si>
  <si>
    <t>Doljeet</t>
  </si>
  <si>
    <t>Fine</t>
  </si>
  <si>
    <t>PPSR Honda Civic</t>
  </si>
  <si>
    <t>BIA869</t>
  </si>
  <si>
    <t>Pancal</t>
  </si>
  <si>
    <t>Road Permit Civic</t>
  </si>
  <si>
    <t>Param</t>
  </si>
  <si>
    <t>2015 Toyota Camry</t>
  </si>
  <si>
    <t>E</t>
  </si>
  <si>
    <t>Car
Rego</t>
  </si>
  <si>
    <t>Redbook Lexus</t>
  </si>
  <si>
    <t>CPV Lexus</t>
  </si>
  <si>
    <t>Insurance Lexus</t>
  </si>
  <si>
    <t>Honda Civic</t>
  </si>
  <si>
    <t>PIPLU BHAI</t>
  </si>
  <si>
    <t>SABBIR BHAI</t>
  </si>
  <si>
    <t>Volkswagen Passat</t>
  </si>
  <si>
    <t>Payment 
Mode</t>
  </si>
  <si>
    <t>Piplu Vhai</t>
  </si>
  <si>
    <t>Tej</t>
  </si>
  <si>
    <t>Toyota Prius</t>
  </si>
  <si>
    <t>Barry</t>
  </si>
  <si>
    <t>Return</t>
  </si>
  <si>
    <t>Sandeep 1</t>
  </si>
  <si>
    <t>Moiz</t>
  </si>
  <si>
    <t>Mondeo 2010</t>
  </si>
  <si>
    <t>Parveen</t>
  </si>
  <si>
    <t>Sunshed</t>
  </si>
  <si>
    <t>Uber</t>
  </si>
  <si>
    <t>AC Repair</t>
  </si>
  <si>
    <t>TyreX2</t>
  </si>
  <si>
    <t>Yin</t>
  </si>
  <si>
    <t>GPS Remove</t>
  </si>
  <si>
    <t>Rent Return</t>
  </si>
  <si>
    <t>Floor Mat</t>
  </si>
  <si>
    <t>Over Paid</t>
  </si>
  <si>
    <t>2013 Toyota Camry</t>
  </si>
  <si>
    <t>xc</t>
  </si>
  <si>
    <t>cc</t>
  </si>
  <si>
    <t>1AN3YD</t>
  </si>
  <si>
    <t>Akhil</t>
  </si>
  <si>
    <t>1SQ6LX</t>
  </si>
  <si>
    <t>Allied Taxation</t>
  </si>
  <si>
    <t>Key Cut</t>
  </si>
  <si>
    <t>Donation</t>
  </si>
  <si>
    <t>Sale</t>
  </si>
  <si>
    <t>Abhinav</t>
  </si>
  <si>
    <t>Mario</t>
  </si>
  <si>
    <t>Jye</t>
  </si>
  <si>
    <t>1SM3VL</t>
  </si>
  <si>
    <t>2014 Toyota Corolla Hybrid</t>
  </si>
  <si>
    <t>Not Done</t>
  </si>
  <si>
    <t>Yaswanth</t>
  </si>
  <si>
    <t>GPS Service</t>
  </si>
  <si>
    <t>Sunny</t>
  </si>
  <si>
    <t>TUW944</t>
  </si>
  <si>
    <t>Volkswagen Jetta (1AN3YD)</t>
  </si>
  <si>
    <t>Kia Cerato (TUW944)</t>
  </si>
  <si>
    <t>Ankit</t>
  </si>
  <si>
    <t>Sold Cars</t>
  </si>
  <si>
    <t>Lewis</t>
  </si>
  <si>
    <t>Amandeep</t>
  </si>
  <si>
    <t>Caltex</t>
  </si>
  <si>
    <t>Cleaning</t>
  </si>
  <si>
    <t>Sun Shade</t>
  </si>
  <si>
    <t>Teja</t>
  </si>
  <si>
    <t>Key</t>
  </si>
  <si>
    <t>LawDepot</t>
  </si>
  <si>
    <t>Uber Eats</t>
  </si>
  <si>
    <t>Grays Online</t>
  </si>
  <si>
    <t>Talwinder</t>
  </si>
  <si>
    <t>Jye (1OZ7GT)</t>
  </si>
  <si>
    <t>Corona Suppliment</t>
  </si>
  <si>
    <t>Windscreen</t>
  </si>
  <si>
    <t>Door</t>
  </si>
  <si>
    <t>Door Window</t>
  </si>
  <si>
    <t>Tool Kit</t>
  </si>
  <si>
    <t>Purchase</t>
  </si>
  <si>
    <t>Details</t>
  </si>
  <si>
    <t>Amount</t>
  </si>
  <si>
    <t>Zon184</t>
  </si>
  <si>
    <t>Gear Box Serice</t>
  </si>
  <si>
    <t>Gear Box Repair</t>
  </si>
  <si>
    <t xml:space="preserve">
Car Rego</t>
  </si>
  <si>
    <t>Rent Payment Schedule</t>
  </si>
  <si>
    <t>Mercus</t>
  </si>
  <si>
    <t>Purchase &amp; Sell</t>
  </si>
  <si>
    <t>Turbo Pipe</t>
  </si>
  <si>
    <t>Uniqe Auto Prestige</t>
  </si>
  <si>
    <t>Bumper &amp; Door Stripe</t>
  </si>
  <si>
    <t>Rego Inspection</t>
  </si>
  <si>
    <t>2019-2020</t>
  </si>
  <si>
    <t>2020-2021</t>
  </si>
  <si>
    <t>Euro Diesel</t>
  </si>
  <si>
    <t>Maintenance (Mario)</t>
  </si>
  <si>
    <t xml:space="preserve">Paper Money </t>
  </si>
  <si>
    <t>Installment</t>
  </si>
  <si>
    <t>Peper Money</t>
  </si>
  <si>
    <t>Kezz 80</t>
  </si>
  <si>
    <t>Rental Income (Ex GST)</t>
  </si>
  <si>
    <t>GST</t>
  </si>
  <si>
    <t>Soni</t>
  </si>
  <si>
    <t>Toll Fine</t>
  </si>
  <si>
    <t>Honda CRV</t>
  </si>
  <si>
    <t>Camry 2019 + Camry 2015</t>
  </si>
  <si>
    <t>Transport</t>
  </si>
  <si>
    <t>Zeerak</t>
  </si>
  <si>
    <t>KaramJit</t>
  </si>
  <si>
    <t>Karamjit</t>
  </si>
  <si>
    <t>SRS Airbag</t>
  </si>
  <si>
    <t>Lea</t>
  </si>
  <si>
    <t>QBE</t>
  </si>
  <si>
    <t>Bumper Foglight Cover</t>
  </si>
  <si>
    <t>MyKi</t>
  </si>
  <si>
    <t>CBA</t>
  </si>
  <si>
    <t>Xero</t>
  </si>
  <si>
    <t>Ricky</t>
  </si>
  <si>
    <t>BGC869</t>
  </si>
  <si>
    <t>Business Expense Subsidy</t>
  </si>
  <si>
    <t>Wheel Allignment</t>
  </si>
  <si>
    <t xml:space="preserve">Measurement </t>
  </si>
  <si>
    <t>AutoVision</t>
  </si>
  <si>
    <t>Pascal</t>
  </si>
  <si>
    <t>Platinum</t>
  </si>
  <si>
    <t>VicRoads</t>
  </si>
  <si>
    <t>Prius Paint</t>
  </si>
  <si>
    <t>Disaster Payment</t>
  </si>
  <si>
    <t>Commonwealth</t>
  </si>
  <si>
    <t>Vantral IP</t>
  </si>
  <si>
    <t>Payment Schedule</t>
  </si>
  <si>
    <t>Volkswagen Tiguan (YZA 378)</t>
  </si>
  <si>
    <t>Toyota Lexus</t>
  </si>
  <si>
    <t>2014 Toyota Prius C</t>
  </si>
  <si>
    <t>2019 Toyota Camry Blue</t>
  </si>
  <si>
    <t>2021 Tesla 3</t>
  </si>
  <si>
    <t>Tesla 3</t>
  </si>
  <si>
    <t xml:space="preserve">Platinum </t>
  </si>
  <si>
    <t>Enetertainment</t>
  </si>
  <si>
    <t>Apple Store</t>
  </si>
  <si>
    <t>2019 toyota Camry Blue</t>
  </si>
  <si>
    <t>Cerato</t>
  </si>
  <si>
    <t>Myki</t>
  </si>
  <si>
    <t>Samad</t>
  </si>
  <si>
    <t>Kia Rio Maintenance</t>
  </si>
  <si>
    <t>2019 Toyota Camry Hybrid</t>
  </si>
  <si>
    <t>Manan</t>
  </si>
  <si>
    <t>CRV Tow</t>
  </si>
  <si>
    <t>VentraIp</t>
  </si>
  <si>
    <t>BMW X5</t>
  </si>
  <si>
    <t>Abdullah</t>
  </si>
  <si>
    <t>1UL9RY</t>
  </si>
  <si>
    <t>CrazyTel</t>
  </si>
  <si>
    <t>Qaiser</t>
  </si>
  <si>
    <t>Alloy Wheel</t>
  </si>
  <si>
    <t>Account Closed (YZA378)</t>
  </si>
  <si>
    <t>Account Closed (BIA869)</t>
  </si>
  <si>
    <t>Shan</t>
  </si>
  <si>
    <t>Key Match</t>
  </si>
  <si>
    <t>Bartels Taylor</t>
  </si>
  <si>
    <t>BJY 311 Insurance Claim</t>
  </si>
  <si>
    <t>Auto Vision</t>
  </si>
  <si>
    <t>Fog Light + shocker</t>
  </si>
  <si>
    <t>EastLink</t>
  </si>
  <si>
    <t>TXN372</t>
  </si>
  <si>
    <t>Vissio</t>
  </si>
  <si>
    <t>Manheim</t>
  </si>
  <si>
    <t>1UK1BK</t>
  </si>
  <si>
    <t>1UT9BR</t>
  </si>
  <si>
    <t>Received From Zaidi</t>
  </si>
  <si>
    <t>1UV5KI</t>
  </si>
  <si>
    <t>Sabbir Bhai Payment of 1000</t>
  </si>
  <si>
    <t>Mayur</t>
  </si>
  <si>
    <t>Ford Epping</t>
  </si>
  <si>
    <t>OfficeWroks</t>
  </si>
  <si>
    <t>Vicroads</t>
  </si>
  <si>
    <t>Amazon</t>
  </si>
  <si>
    <t>AAMI</t>
  </si>
  <si>
    <t>Keys</t>
  </si>
  <si>
    <t>KMART</t>
  </si>
  <si>
    <t>Jagadish</t>
  </si>
  <si>
    <t>Recoveries</t>
  </si>
  <si>
    <t>Starbucks</t>
  </si>
  <si>
    <t>Ankush</t>
  </si>
  <si>
    <t>Anirudh</t>
  </si>
  <si>
    <t>Mohammad</t>
  </si>
  <si>
    <t>Farah</t>
  </si>
  <si>
    <t>ASIC</t>
  </si>
  <si>
    <t>Key Battery</t>
  </si>
  <si>
    <t>7Eleven</t>
  </si>
  <si>
    <t>Lebara</t>
  </si>
  <si>
    <t>2018 Toyota Camry</t>
  </si>
  <si>
    <t>2018 Toyota Camry Hybrid</t>
  </si>
  <si>
    <t>2018 Toyota Camry hybrid</t>
  </si>
  <si>
    <t>SA</t>
  </si>
  <si>
    <t>Car Database</t>
  </si>
  <si>
    <t>2018 Toyota Camry White</t>
  </si>
  <si>
    <t>Suzuki Swift</t>
  </si>
  <si>
    <t>2013 Suzuki Swift</t>
  </si>
  <si>
    <t>ViV Inspection Booking</t>
  </si>
  <si>
    <t>Tools</t>
  </si>
  <si>
    <t>Transport SA</t>
  </si>
  <si>
    <t>Abdirahman</t>
  </si>
  <si>
    <t>Amount 
Paid</t>
  </si>
  <si>
    <t>Merchant Trust Initiative Establishment Fee</t>
  </si>
  <si>
    <t>Parking Fine</t>
  </si>
  <si>
    <t>Engine Install</t>
  </si>
  <si>
    <t>Bikash</t>
  </si>
  <si>
    <t>AAMi</t>
  </si>
  <si>
    <t>Ajay</t>
  </si>
  <si>
    <t>Side Mirror</t>
  </si>
  <si>
    <t>Tool Box</t>
  </si>
  <si>
    <t>Transferred to Other Expense</t>
  </si>
  <si>
    <t>Giri</t>
  </si>
  <si>
    <t>Withdraw Charge</t>
  </si>
  <si>
    <t>Mangi</t>
  </si>
  <si>
    <t>Abdulla</t>
  </si>
  <si>
    <t>Charbel</t>
  </si>
  <si>
    <t>Steven</t>
  </si>
  <si>
    <t>Angela</t>
  </si>
  <si>
    <t>Headkight Bulb</t>
  </si>
  <si>
    <t>Fairfield Boat Club</t>
  </si>
  <si>
    <t>GPS (1UV5KI,1UT9BR,1SK3DD,1UK1BK)</t>
  </si>
  <si>
    <t>Payment To Bikash</t>
  </si>
  <si>
    <t>Autovision</t>
  </si>
  <si>
    <t>Door Lock</t>
  </si>
  <si>
    <t>Payment To AutoVision</t>
  </si>
  <si>
    <t>Payment To Abdullah</t>
  </si>
  <si>
    <t>Payment To Mario</t>
  </si>
  <si>
    <t xml:space="preserve">Key </t>
  </si>
  <si>
    <t>Arshpreet</t>
  </si>
  <si>
    <t>TXN373</t>
  </si>
  <si>
    <t>Marqus</t>
  </si>
  <si>
    <t>Seat</t>
  </si>
  <si>
    <t>Camry Transport</t>
  </si>
  <si>
    <t xml:space="preserve">Bearing </t>
  </si>
  <si>
    <t xml:space="preserve">LEBARA </t>
  </si>
  <si>
    <t>Supercheap</t>
  </si>
  <si>
    <t>1SK3IR Rego</t>
  </si>
  <si>
    <t>Super Cheap</t>
  </si>
  <si>
    <t>R</t>
  </si>
  <si>
    <t>Camry 2019 Key</t>
  </si>
  <si>
    <t>1UE9OC</t>
  </si>
  <si>
    <t>Tow</t>
  </si>
  <si>
    <t>Uber Inspect</t>
  </si>
  <si>
    <t>KSK Accounting</t>
  </si>
  <si>
    <t>Artan</t>
  </si>
  <si>
    <t>Monil</t>
  </si>
  <si>
    <t>B2B</t>
  </si>
  <si>
    <t>Seat Fitting</t>
  </si>
  <si>
    <t>Bearring Change</t>
  </si>
  <si>
    <t>Himdeep</t>
  </si>
  <si>
    <t>Break Repair</t>
  </si>
  <si>
    <t>Neesha</t>
  </si>
  <si>
    <t>Sim</t>
  </si>
  <si>
    <t>Renault Master Windscreen</t>
  </si>
  <si>
    <t>eBay</t>
  </si>
  <si>
    <t>20.03/2022</t>
  </si>
  <si>
    <t>TXN374</t>
  </si>
  <si>
    <t>Arrear</t>
  </si>
  <si>
    <t>Coolant</t>
  </si>
  <si>
    <t>Fines</t>
  </si>
  <si>
    <t>Simer</t>
  </si>
  <si>
    <t>Seat Belt</t>
  </si>
  <si>
    <t>Door Remote</t>
  </si>
  <si>
    <t>John</t>
  </si>
  <si>
    <t>Manager 365</t>
  </si>
  <si>
    <t>Suspenson</t>
  </si>
  <si>
    <t>Airbag Sensor</t>
  </si>
  <si>
    <t>Doner Car</t>
  </si>
  <si>
    <t>Brake</t>
  </si>
  <si>
    <t>AC Pipe</t>
  </si>
  <si>
    <t>Whell Allignment</t>
  </si>
  <si>
    <t>SRS Airbag Check</t>
  </si>
  <si>
    <t>GST Refund</t>
  </si>
  <si>
    <t>Market Guru</t>
  </si>
  <si>
    <t>Fuse Box</t>
  </si>
  <si>
    <t>Mcgrath</t>
  </si>
  <si>
    <t>Parts</t>
  </si>
  <si>
    <t>Nabeen</t>
  </si>
  <si>
    <t>Vedangi</t>
  </si>
  <si>
    <t>Headlight, Wiper, Diskbrake, indicator)</t>
  </si>
  <si>
    <t>Tyre X 4</t>
  </si>
  <si>
    <t>Battery Charger</t>
  </si>
  <si>
    <t>Car Scanner</t>
  </si>
  <si>
    <t>Mechanic</t>
  </si>
  <si>
    <t>Access</t>
  </si>
  <si>
    <t>PROFIT &amp; LOSS STATEMENT (2021-2022)</t>
  </si>
  <si>
    <t>Material</t>
  </si>
  <si>
    <t>Tyre X 3</t>
  </si>
  <si>
    <t>Air Filter Box</t>
  </si>
  <si>
    <t>Sensor Radar</t>
  </si>
  <si>
    <t>Sensor Badge</t>
  </si>
  <si>
    <t>Labor</t>
  </si>
  <si>
    <t>Transfer Test</t>
  </si>
  <si>
    <t>Vinita</t>
  </si>
  <si>
    <t>Radiator, Cooling Fan, Condensor, Radiator Hose</t>
  </si>
  <si>
    <t>Mahesh</t>
  </si>
  <si>
    <t>Badge</t>
  </si>
  <si>
    <t>Twillo</t>
  </si>
  <si>
    <t>Rent YZA378</t>
  </si>
  <si>
    <t>Transaction Fee</t>
  </si>
  <si>
    <t>Sarkees</t>
  </si>
  <si>
    <t>PayRoller</t>
  </si>
  <si>
    <t>Cleaning Material</t>
  </si>
  <si>
    <t>Lease</t>
  </si>
  <si>
    <t>AutoVisiom</t>
  </si>
  <si>
    <t>Dheeraj</t>
  </si>
  <si>
    <t>SuperCheap</t>
  </si>
  <si>
    <t xml:space="preserve">H &amp; H Measurement </t>
  </si>
  <si>
    <t>Glove Box / Floor Mat</t>
  </si>
  <si>
    <t>Tow Doner Car</t>
  </si>
  <si>
    <t>Tyre X 1</t>
  </si>
  <si>
    <t>Mohammed</t>
  </si>
  <si>
    <t>Hybrid Battery</t>
  </si>
  <si>
    <t>Payroller</t>
  </si>
  <si>
    <t xml:space="preserve">Tyre </t>
  </si>
  <si>
    <t>Steering Rack</t>
  </si>
  <si>
    <t>Withdraw Fee</t>
  </si>
  <si>
    <t>Payadvantage</t>
  </si>
  <si>
    <t>Radar Callibration</t>
  </si>
  <si>
    <t>Hub</t>
  </si>
  <si>
    <t>MyWebHost</t>
  </si>
  <si>
    <t>Chirag</t>
  </si>
  <si>
    <t>Charlie</t>
  </si>
  <si>
    <t>Camry Blue 2019</t>
  </si>
  <si>
    <t>Bonnet Lock, Wiper Cowl Cover, Engine Cover</t>
  </si>
  <si>
    <t>H &amp; H Measurement</t>
  </si>
  <si>
    <t>Bonnet</t>
  </si>
  <si>
    <t>Ventral IP</t>
  </si>
  <si>
    <t>Quertaer Panel</t>
  </si>
  <si>
    <t xml:space="preserve">Rent Return </t>
  </si>
  <si>
    <t>Lemans Toyota Petrol</t>
  </si>
  <si>
    <t>H &amp; H Measurement Hybrid</t>
  </si>
  <si>
    <t>Panel Beatre</t>
  </si>
  <si>
    <t>Light</t>
  </si>
  <si>
    <t>AC Pipe Petrol</t>
  </si>
  <si>
    <t>Wheel Allignment Petrol</t>
  </si>
  <si>
    <t>Road Permit Petrol</t>
  </si>
  <si>
    <t>Drive Shaft</t>
  </si>
  <si>
    <t>Absorber Pad Petrol</t>
  </si>
  <si>
    <t>Abdulla Petrol</t>
  </si>
  <si>
    <t>VentralIP</t>
  </si>
  <si>
    <t>Repco</t>
  </si>
  <si>
    <t>Detailling</t>
  </si>
  <si>
    <t>Ebay</t>
  </si>
  <si>
    <t>Vivek</t>
  </si>
  <si>
    <t>Engine Tray</t>
  </si>
  <si>
    <t>Welding</t>
  </si>
  <si>
    <t>Tesla Welding</t>
  </si>
  <si>
    <t>VIV Inspection Hybrid</t>
  </si>
  <si>
    <t>Road Permit Hybrid</t>
  </si>
  <si>
    <t>Adel Invoice</t>
  </si>
  <si>
    <t>Adel Invoice Hybrid</t>
  </si>
  <si>
    <t>Fog Light Cover</t>
  </si>
  <si>
    <t>Prius Hybrid Stat Writeoff</t>
  </si>
  <si>
    <t>Fine 1OZ7GT</t>
  </si>
  <si>
    <t>AC Compressor</t>
  </si>
  <si>
    <t>CarCare</t>
  </si>
  <si>
    <t xml:space="preserve">Transmission Repair </t>
  </si>
  <si>
    <t>Auto Vision Hybrid</t>
  </si>
  <si>
    <t>Lemans Toyota Hybrid</t>
  </si>
  <si>
    <t>Half Cut Adel Hybrid</t>
  </si>
  <si>
    <t>Half Cut Adel Petrol</t>
  </si>
  <si>
    <t>Sarkees Petrol</t>
  </si>
  <si>
    <t>Floor Mat Hybrid</t>
  </si>
  <si>
    <t>Structure Bracket</t>
  </si>
  <si>
    <t>HollardLns</t>
  </si>
  <si>
    <t>Petrol Key X 2</t>
  </si>
  <si>
    <t>Petrol RWC</t>
  </si>
  <si>
    <t>Shabbir</t>
  </si>
  <si>
    <t>Gas Charge</t>
  </si>
  <si>
    <t>Mohand</t>
  </si>
  <si>
    <t>Haddara</t>
  </si>
  <si>
    <t>Wheel Allignment Hybrid</t>
  </si>
  <si>
    <t>Rego Petrol</t>
  </si>
  <si>
    <t>Honda Jazz</t>
  </si>
  <si>
    <t>Swift White</t>
  </si>
  <si>
    <t>Swift Blue</t>
  </si>
  <si>
    <t>2007 Suzuki Swift Blue</t>
  </si>
  <si>
    <t>Abshir</t>
  </si>
  <si>
    <t>MD</t>
  </si>
  <si>
    <t>PayAdvantage</t>
  </si>
  <si>
    <t>BrakePad</t>
  </si>
  <si>
    <t>76A</t>
  </si>
  <si>
    <t>Petrol AC Repair Lemans</t>
  </si>
  <si>
    <t>Petrol</t>
  </si>
  <si>
    <t>Lemans Toyota</t>
  </si>
  <si>
    <t>Chasis Bracket</t>
  </si>
  <si>
    <t>Petrol Road Permit</t>
  </si>
  <si>
    <t>Regas</t>
  </si>
  <si>
    <t>Porsche</t>
  </si>
  <si>
    <t>Daxesh</t>
  </si>
  <si>
    <t>Petrol Rego</t>
  </si>
  <si>
    <t>Petrol Redbook</t>
  </si>
  <si>
    <t>Godaddy</t>
  </si>
  <si>
    <t>EV Sticker</t>
  </si>
  <si>
    <t>Hybrid Parking</t>
  </si>
  <si>
    <t>Matt</t>
  </si>
  <si>
    <t>Hybrid Headlights</t>
  </si>
  <si>
    <t>Adjust</t>
  </si>
  <si>
    <t>Glen Eira</t>
  </si>
  <si>
    <t>PPSR Honda Jazz</t>
  </si>
  <si>
    <t>Absorber Pad</t>
  </si>
  <si>
    <t>Detailing</t>
  </si>
  <si>
    <t>Head Lights</t>
  </si>
  <si>
    <t>Lemans AC Repair</t>
  </si>
  <si>
    <t>Lemans</t>
  </si>
  <si>
    <t>Parking</t>
  </si>
  <si>
    <t>Hybrid</t>
  </si>
  <si>
    <t>Half Cut Red</t>
  </si>
  <si>
    <t>Appointment</t>
  </si>
  <si>
    <t>Overlimit fee</t>
  </si>
  <si>
    <t>Key Abdulla</t>
  </si>
  <si>
    <t>Camry Silver Stat Tow</t>
  </si>
  <si>
    <t>Tow to Pickels</t>
  </si>
  <si>
    <t>Doner Tow</t>
  </si>
  <si>
    <t>Doner Tow to Pickels</t>
  </si>
  <si>
    <t>Camry 07</t>
  </si>
  <si>
    <t>Abdulla 1500+2500</t>
  </si>
  <si>
    <t>Head Light</t>
  </si>
  <si>
    <t>HeadLight</t>
  </si>
  <si>
    <t>Camry Tow Bill</t>
  </si>
  <si>
    <t>Paid</t>
  </si>
  <si>
    <t>Allon</t>
  </si>
  <si>
    <t>Avtaar</t>
  </si>
  <si>
    <t>Porche Emrah Deposit</t>
  </si>
  <si>
    <t>Labara Sim</t>
  </si>
  <si>
    <t>Light Bulb</t>
  </si>
  <si>
    <t>Amazon Prime</t>
  </si>
  <si>
    <t>Classic Pettiserrie</t>
  </si>
  <si>
    <t>CSKN Group</t>
  </si>
  <si>
    <t>Kevin</t>
  </si>
  <si>
    <t>Keerthi</t>
  </si>
  <si>
    <t>Debit Interest Excess</t>
  </si>
  <si>
    <t>Darshan</t>
  </si>
  <si>
    <t>Eastlink</t>
  </si>
  <si>
    <t xml:space="preserve">Parking Fine </t>
  </si>
  <si>
    <t>City of Melbourne</t>
  </si>
  <si>
    <t>Suranjay</t>
  </si>
  <si>
    <t>Anita</t>
  </si>
  <si>
    <t>Joseph</t>
  </si>
  <si>
    <t>Atiq</t>
  </si>
  <si>
    <t>AC Ragas</t>
  </si>
  <si>
    <t>Hirday</t>
  </si>
  <si>
    <t>CommBank</t>
  </si>
  <si>
    <t>AutoVison</t>
  </si>
  <si>
    <t>Maintanance</t>
  </si>
  <si>
    <t>Fawad</t>
  </si>
  <si>
    <t>Tesla Joseph</t>
  </si>
  <si>
    <t>Amad Selim</t>
  </si>
  <si>
    <t>Knox Wrecker</t>
  </si>
  <si>
    <t>Clear Code</t>
  </si>
  <si>
    <t>Vansh</t>
  </si>
  <si>
    <t>ATM Fee</t>
  </si>
  <si>
    <t>City Wreckers</t>
  </si>
  <si>
    <t>Brimbank City Council</t>
  </si>
  <si>
    <t>Sai</t>
  </si>
  <si>
    <t>Krishna</t>
  </si>
  <si>
    <t>Shah</t>
  </si>
  <si>
    <t>Degas</t>
  </si>
  <si>
    <t>Hyundai Getz</t>
  </si>
  <si>
    <t>Toy Mulgrave</t>
  </si>
  <si>
    <t>Peg</t>
  </si>
  <si>
    <t>Honda Insight</t>
  </si>
  <si>
    <t>Dool Ram</t>
  </si>
  <si>
    <t>Allignment</t>
  </si>
  <si>
    <t>2007 Hyundai Getz</t>
  </si>
  <si>
    <t>Dusk Australia</t>
  </si>
  <si>
    <t>Bhupender</t>
  </si>
  <si>
    <t>Headlight</t>
  </si>
  <si>
    <t>Door Mirror</t>
  </si>
  <si>
    <t>City Wreckers (window Trim, Boot Trim)</t>
  </si>
  <si>
    <t>Tesla Inc</t>
  </si>
  <si>
    <t>Coffee Club</t>
  </si>
  <si>
    <t>Tesla Parts</t>
  </si>
  <si>
    <t>Piller A + Alloy Wheel + Trim</t>
  </si>
  <si>
    <t>Bumper Trim</t>
  </si>
  <si>
    <t>Bumper Absorber</t>
  </si>
  <si>
    <t>City Wrecker</t>
  </si>
  <si>
    <t>Kukamani</t>
  </si>
  <si>
    <t>Half Cut Silver</t>
  </si>
  <si>
    <t>Kirshna</t>
  </si>
  <si>
    <t>Spash Tray</t>
  </si>
  <si>
    <t>Exhaust Pipe</t>
  </si>
  <si>
    <t>Dealer</t>
  </si>
  <si>
    <t>Purge Valve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</si>
</sst>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2" formatCode="_(&quot;$&quot;* #,##0_);_(&quot;$&quot;* \(#,##0\);_(&quot;$&quot;* &quot;-&quot;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mm/dd/yy;@"/>
    <numFmt numFmtId="167" formatCode="&quot;$&quot;#,##0.00"/>
    <numFmt numFmtId="168" formatCode="&quot;$&quot;#,##0.000"/>
    <numFmt numFmtId="169" formatCode="_-\$* #,##0.00_-;\-\$* #,##0.00_-;_-\$* &quot;-&quot;??_-;_-@_-"/>
    <numFmt numFmtId="170" formatCode="m/d/yy;@"/>
    <numFmt numFmtId="171" formatCode="_(* #,##0_);_(* \(#,##0\);_(* &quot;-&quot;??_);_(@_)"/>
    <numFmt numFmtId="172" formatCode="0.0"/>
    <numFmt numFmtId="173" formatCode="&quot;$&quot;#,##0"/>
    <numFmt numFmtId="174" formatCode="_(&quot;$&quot;* #,##0.00_);_(&quot;$&quot;* \(#,##0.00\);_(&quot;$&quot;* &quot;-&quot;_);_(@_)"/>
    <numFmt numFmtId="175" formatCode="#,##0;[Red]#,##0"/>
    <numFmt numFmtId="176" formatCode="_-* #,##0_-;\-* #,##0_-;_-* &quot;-&quot;??_-;_-@_-"/>
    <numFmt numFmtId="177" formatCode="dd/mm/yy;@"/>
    <numFmt numFmtId="178" formatCode="_(* #,##0.0000_);_(* \(#,##0.0000\);_(* &quot;-&quot;??_);_(@_)"/>
    <numFmt numFmtId="179" formatCode="_(* #,##0.00000_);_(* \(#,##0.00000\);_(* &quot;-&quot;??_);_(@_)"/>
    <numFmt numFmtId="180" formatCode="d/mm/yy;@"/>
    <numFmt numFmtId="181" formatCode="#,##0_ ;[Red]\-#,##0\ "/>
    <numFmt numFmtId="182" formatCode="_-&quot;$&quot;* #,##0_-;\-&quot;$&quot;* #,##0_-;_-&quot;$&quot;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24"/>
      <color theme="4" tint="-0.249977111117893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color theme="3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Arial"/>
      <family val="2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80">
    <xf numFmtId="0" fontId="0" fillId="0" borderId="0" xfId="0"/>
    <xf numFmtId="0" fontId="3" fillId="0" borderId="0" xfId="0" applyFont="1"/>
    <xf numFmtId="167" fontId="0" fillId="0" borderId="0" xfId="0" applyNumberFormat="1"/>
    <xf numFmtId="167" fontId="3" fillId="0" borderId="0" xfId="0" applyNumberFormat="1" applyFont="1"/>
    <xf numFmtId="0" fontId="3" fillId="2" borderId="0" xfId="0" applyFont="1" applyFill="1"/>
    <xf numFmtId="0" fontId="0" fillId="0" borderId="0" xfId="0" applyAlignment="1">
      <alignment horizontal="left" indent="1"/>
    </xf>
    <xf numFmtId="167" fontId="3" fillId="0" borderId="2" xfId="0" applyNumberFormat="1" applyFont="1" applyBorder="1"/>
    <xf numFmtId="1" fontId="0" fillId="0" borderId="0" xfId="0" applyNumberFormat="1"/>
    <xf numFmtId="2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73" fontId="0" fillId="0" borderId="0" xfId="0" applyNumberFormat="1"/>
    <xf numFmtId="172" fontId="0" fillId="0" borderId="0" xfId="0" applyNumberFormat="1"/>
    <xf numFmtId="2" fontId="0" fillId="0" borderId="0" xfId="0" applyNumberFormat="1" applyAlignment="1">
      <alignment vertical="center"/>
    </xf>
    <xf numFmtId="0" fontId="0" fillId="5" borderId="0" xfId="0" applyFill="1"/>
    <xf numFmtId="0" fontId="2" fillId="0" borderId="0" xfId="2" applyAlignment="1" applyProtection="1"/>
    <xf numFmtId="14" fontId="0" fillId="0" borderId="0" xfId="0" applyNumberFormat="1"/>
    <xf numFmtId="169" fontId="0" fillId="0" borderId="0" xfId="0" applyNumberFormat="1"/>
    <xf numFmtId="43" fontId="3" fillId="0" borderId="0" xfId="0" applyNumberFormat="1" applyFont="1" applyAlignment="1">
      <alignment horizontal="center" vertical="center"/>
    </xf>
    <xf numFmtId="175" fontId="0" fillId="0" borderId="0" xfId="0" applyNumberFormat="1"/>
    <xf numFmtId="176" fontId="1" fillId="0" borderId="0" xfId="1" applyNumberFormat="1" applyFont="1"/>
    <xf numFmtId="0" fontId="0" fillId="6" borderId="0" xfId="0" applyFill="1"/>
    <xf numFmtId="176" fontId="0" fillId="0" borderId="0" xfId="0" applyNumberFormat="1"/>
    <xf numFmtId="43" fontId="0" fillId="0" borderId="0" xfId="0" applyNumberFormat="1"/>
    <xf numFmtId="176" fontId="0" fillId="5" borderId="0" xfId="0" applyNumberFormat="1" applyFill="1"/>
    <xf numFmtId="0" fontId="0" fillId="7" borderId="0" xfId="0" applyFill="1" applyAlignment="1">
      <alignment horizontal="center" vertical="center"/>
    </xf>
    <xf numFmtId="0" fontId="0" fillId="9" borderId="0" xfId="0" applyFill="1" applyAlignment="1">
      <alignment horizontal="center" vertical="center"/>
    </xf>
    <xf numFmtId="171" fontId="1" fillId="7" borderId="0" xfId="1" applyNumberFormat="1" applyFont="1" applyFill="1" applyAlignment="1">
      <alignment horizontal="center" vertical="center"/>
    </xf>
    <xf numFmtId="171" fontId="1" fillId="8" borderId="0" xfId="1" applyNumberFormat="1" applyFont="1" applyFill="1" applyAlignment="1">
      <alignment horizontal="center" vertical="center"/>
    </xf>
    <xf numFmtId="171" fontId="1" fillId="0" borderId="0" xfId="1" applyNumberFormat="1" applyFont="1"/>
    <xf numFmtId="0" fontId="0" fillId="8" borderId="0" xfId="0" applyFill="1" applyAlignment="1">
      <alignment horizontal="center" vertical="center"/>
    </xf>
    <xf numFmtId="171" fontId="0" fillId="0" borderId="0" xfId="1" applyNumberFormat="1" applyFont="1"/>
    <xf numFmtId="0" fontId="0" fillId="0" borderId="0" xfId="0" applyAlignment="1">
      <alignment horizontal="left"/>
    </xf>
    <xf numFmtId="167" fontId="3" fillId="0" borderId="0" xfId="0" applyNumberFormat="1" applyFont="1" applyAlignment="1">
      <alignment horizontal="right"/>
    </xf>
    <xf numFmtId="167" fontId="0" fillId="0" borderId="12" xfId="0" applyNumberFormat="1" applyBorder="1"/>
    <xf numFmtId="169" fontId="0" fillId="0" borderId="0" xfId="0" applyNumberFormat="1" applyAlignment="1">
      <alignment vertical="center"/>
    </xf>
    <xf numFmtId="167" fontId="0" fillId="0" borderId="0" xfId="0" applyNumberFormat="1" applyAlignment="1">
      <alignment horizontal="left"/>
    </xf>
    <xf numFmtId="165" fontId="0" fillId="0" borderId="0" xfId="0" applyNumberFormat="1"/>
    <xf numFmtId="0" fontId="3" fillId="2" borderId="0" xfId="0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65" fontId="0" fillId="0" borderId="0" xfId="0" applyNumberFormat="1" applyAlignment="1">
      <alignment vertical="center"/>
    </xf>
    <xf numFmtId="0" fontId="0" fillId="12" borderId="0" xfId="0" applyFill="1"/>
    <xf numFmtId="168" fontId="0" fillId="12" borderId="0" xfId="0" applyNumberFormat="1" applyFill="1"/>
    <xf numFmtId="0" fontId="0" fillId="12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171" fontId="0" fillId="2" borderId="0" xfId="1" applyNumberFormat="1" applyFont="1" applyFill="1" applyAlignment="1">
      <alignment horizontal="center" vertical="center"/>
    </xf>
    <xf numFmtId="169" fontId="0" fillId="2" borderId="0" xfId="0" applyNumberFormat="1" applyFill="1" applyAlignment="1">
      <alignment horizontal="right" vertical="center"/>
    </xf>
    <xf numFmtId="14" fontId="0" fillId="4" borderId="3" xfId="0" applyNumberFormat="1" applyFill="1" applyBorder="1" applyAlignment="1">
      <alignment horizontal="right" vertical="center" indent="1"/>
    </xf>
    <xf numFmtId="166" fontId="0" fillId="0" borderId="0" xfId="0" applyNumberFormat="1" applyAlignment="1">
      <alignment horizontal="left"/>
    </xf>
    <xf numFmtId="170" fontId="0" fillId="0" borderId="0" xfId="0" applyNumberFormat="1"/>
    <xf numFmtId="171" fontId="1" fillId="0" borderId="0" xfId="1" applyNumberFormat="1" applyFont="1" applyFill="1" applyAlignment="1">
      <alignment horizontal="center" vertical="center"/>
    </xf>
    <xf numFmtId="176" fontId="1" fillId="0" borderId="0" xfId="1" applyNumberFormat="1" applyFont="1" applyFill="1"/>
    <xf numFmtId="174" fontId="0" fillId="0" borderId="0" xfId="0" applyNumberFormat="1" applyAlignment="1">
      <alignment horizontal="right" vertical="center"/>
    </xf>
    <xf numFmtId="174" fontId="0" fillId="0" borderId="0" xfId="0" applyNumberFormat="1"/>
    <xf numFmtId="171" fontId="1" fillId="0" borderId="0" xfId="1" applyNumberFormat="1" applyFont="1" applyFill="1" applyAlignment="1">
      <alignment vertical="center"/>
    </xf>
    <xf numFmtId="171" fontId="0" fillId="0" borderId="0" xfId="1" applyNumberFormat="1" applyFont="1" applyFill="1" applyAlignment="1">
      <alignment horizontal="left" vertical="center"/>
    </xf>
    <xf numFmtId="0" fontId="7" fillId="0" borderId="0" xfId="0" applyFont="1" applyAlignment="1">
      <alignment vertical="center"/>
    </xf>
    <xf numFmtId="0" fontId="6" fillId="3" borderId="0" xfId="0" applyFont="1" applyFill="1" applyAlignment="1">
      <alignment vertical="center"/>
    </xf>
    <xf numFmtId="0" fontId="4" fillId="0" borderId="0" xfId="0" applyFont="1"/>
    <xf numFmtId="0" fontId="0" fillId="0" borderId="0" xfId="0" applyAlignment="1">
      <alignment horizontal="left" vertical="center"/>
    </xf>
    <xf numFmtId="171" fontId="1" fillId="0" borderId="0" xfId="1" applyNumberFormat="1" applyFont="1" applyFill="1" applyAlignment="1">
      <alignment horizontal="left" vertical="center"/>
    </xf>
    <xf numFmtId="164" fontId="0" fillId="0" borderId="0" xfId="0" applyNumberFormat="1" applyAlignment="1">
      <alignment vertical="center"/>
    </xf>
    <xf numFmtId="174" fontId="0" fillId="0" borderId="0" xfId="0" applyNumberFormat="1" applyAlignment="1">
      <alignment vertical="center"/>
    </xf>
    <xf numFmtId="165" fontId="0" fillId="0" borderId="0" xfId="0" applyNumberFormat="1" applyAlignment="1">
      <alignment horizontal="center" vertical="center"/>
    </xf>
    <xf numFmtId="0" fontId="0" fillId="5" borderId="0" xfId="0" applyFill="1" applyAlignment="1">
      <alignment vertical="center"/>
    </xf>
    <xf numFmtId="0" fontId="0" fillId="5" borderId="0" xfId="0" applyFill="1" applyAlignment="1">
      <alignment horizontal="center" vertical="center"/>
    </xf>
    <xf numFmtId="14" fontId="0" fillId="5" borderId="3" xfId="0" applyNumberFormat="1" applyFill="1" applyBorder="1" applyAlignment="1">
      <alignment horizontal="right" vertical="center" indent="1"/>
    </xf>
    <xf numFmtId="0" fontId="0" fillId="0" borderId="12" xfId="0" applyBorder="1" applyAlignment="1">
      <alignment horizontal="left"/>
    </xf>
    <xf numFmtId="10" fontId="0" fillId="0" borderId="0" xfId="0" applyNumberFormat="1" applyAlignment="1">
      <alignment horizontal="center" vertical="center"/>
    </xf>
    <xf numFmtId="174" fontId="0" fillId="10" borderId="0" xfId="0" applyNumberFormat="1" applyFill="1" applyAlignment="1">
      <alignment horizontal="right" vertical="center"/>
    </xf>
    <xf numFmtId="169" fontId="0" fillId="10" borderId="0" xfId="0" applyNumberFormat="1" applyFill="1"/>
    <xf numFmtId="14" fontId="0" fillId="0" borderId="3" xfId="0" applyNumberFormat="1" applyBorder="1" applyAlignment="1">
      <alignment horizontal="right" vertical="center" indent="1"/>
    </xf>
    <xf numFmtId="0" fontId="0" fillId="14" borderId="0" xfId="0" applyFill="1"/>
    <xf numFmtId="167" fontId="2" fillId="0" borderId="0" xfId="2" applyNumberFormat="1" applyBorder="1" applyAlignment="1" applyProtection="1">
      <alignment horizontal="left"/>
    </xf>
    <xf numFmtId="167" fontId="0" fillId="0" borderId="0" xfId="0" applyNumberFormat="1" applyAlignment="1">
      <alignment horizontal="center" vertical="center"/>
    </xf>
    <xf numFmtId="0" fontId="3" fillId="0" borderId="2" xfId="0" applyFont="1" applyBorder="1"/>
    <xf numFmtId="169" fontId="0" fillId="5" borderId="0" xfId="0" applyNumberFormat="1" applyFill="1"/>
    <xf numFmtId="166" fontId="0" fillId="5" borderId="0" xfId="0" applyNumberFormat="1" applyFill="1" applyAlignment="1">
      <alignment horizontal="left"/>
    </xf>
    <xf numFmtId="43" fontId="0" fillId="0" borderId="0" xfId="1" applyFont="1"/>
    <xf numFmtId="171" fontId="3" fillId="0" borderId="0" xfId="1" applyNumberFormat="1" applyFont="1" applyBorder="1" applyAlignment="1">
      <alignment horizontal="right"/>
    </xf>
    <xf numFmtId="174" fontId="0" fillId="0" borderId="0" xfId="0" applyNumberFormat="1" applyAlignment="1">
      <alignment horizontal="left"/>
    </xf>
    <xf numFmtId="0" fontId="0" fillId="0" borderId="0" xfId="1" applyNumberFormat="1" applyFont="1"/>
    <xf numFmtId="0" fontId="5" fillId="3" borderId="13" xfId="0" applyFont="1" applyFill="1" applyBorder="1" applyAlignment="1">
      <alignment horizontal="center" vertical="top" wrapText="1"/>
    </xf>
    <xf numFmtId="10" fontId="3" fillId="0" borderId="2" xfId="0" applyNumberFormat="1" applyFont="1" applyBorder="1"/>
    <xf numFmtId="43" fontId="1" fillId="0" borderId="0" xfId="1" applyFont="1"/>
    <xf numFmtId="173" fontId="3" fillId="15" borderId="0" xfId="0" applyNumberFormat="1" applyFont="1" applyFill="1"/>
    <xf numFmtId="167" fontId="3" fillId="15" borderId="0" xfId="0" applyNumberFormat="1" applyFont="1" applyFill="1"/>
    <xf numFmtId="167" fontId="3" fillId="15" borderId="0" xfId="0" applyNumberFormat="1" applyFont="1" applyFill="1" applyAlignment="1">
      <alignment horizontal="right"/>
    </xf>
    <xf numFmtId="0" fontId="0" fillId="16" borderId="0" xfId="0" applyFill="1" applyAlignment="1">
      <alignment horizontal="center" vertical="center"/>
    </xf>
    <xf numFmtId="0" fontId="0" fillId="16" borderId="0" xfId="0" applyFill="1"/>
    <xf numFmtId="171" fontId="0" fillId="16" borderId="0" xfId="1" applyNumberFormat="1" applyFont="1" applyFill="1"/>
    <xf numFmtId="14" fontId="0" fillId="16" borderId="0" xfId="0" applyNumberFormat="1" applyFill="1"/>
    <xf numFmtId="0" fontId="0" fillId="2" borderId="1" xfId="0" applyFill="1" applyBorder="1" applyAlignment="1">
      <alignment vertical="center"/>
    </xf>
    <xf numFmtId="0" fontId="5" fillId="3" borderId="20" xfId="0" applyFont="1" applyFill="1" applyBorder="1" applyAlignment="1">
      <alignment horizontal="center" vertical="top"/>
    </xf>
    <xf numFmtId="42" fontId="0" fillId="0" borderId="0" xfId="0" applyNumberFormat="1" applyAlignment="1">
      <alignment horizontal="right" vertical="center"/>
    </xf>
    <xf numFmtId="42" fontId="0" fillId="16" borderId="0" xfId="0" applyNumberFormat="1" applyFill="1" applyAlignment="1">
      <alignment horizontal="right" vertical="center"/>
    </xf>
    <xf numFmtId="0" fontId="0" fillId="2" borderId="17" xfId="0" applyFill="1" applyBorder="1" applyAlignment="1">
      <alignment vertical="center"/>
    </xf>
    <xf numFmtId="43" fontId="0" fillId="16" borderId="0" xfId="0" applyNumberFormat="1" applyFill="1"/>
    <xf numFmtId="43" fontId="0" fillId="16" borderId="0" xfId="1" applyFont="1" applyFill="1"/>
    <xf numFmtId="43" fontId="0" fillId="0" borderId="0" xfId="1" applyFont="1" applyFill="1" applyBorder="1" applyAlignment="1"/>
    <xf numFmtId="177" fontId="0" fillId="2" borderId="17" xfId="0" applyNumberFormat="1" applyFill="1" applyBorder="1" applyAlignment="1">
      <alignment horizontal="center" vertical="center"/>
    </xf>
    <xf numFmtId="177" fontId="0" fillId="16" borderId="0" xfId="0" applyNumberFormat="1" applyFill="1" applyAlignment="1">
      <alignment horizontal="center"/>
    </xf>
    <xf numFmtId="177" fontId="0" fillId="0" borderId="0" xfId="0" applyNumberFormat="1" applyAlignment="1">
      <alignment horizontal="center"/>
    </xf>
    <xf numFmtId="177" fontId="5" fillId="3" borderId="23" xfId="0" applyNumberFormat="1" applyFont="1" applyFill="1" applyBorder="1" applyAlignment="1">
      <alignment horizontal="center" vertical="center" wrapText="1"/>
    </xf>
    <xf numFmtId="177" fontId="0" fillId="0" borderId="15" xfId="0" applyNumberFormat="1" applyBorder="1" applyAlignment="1">
      <alignment horizontal="center"/>
    </xf>
    <xf numFmtId="171" fontId="5" fillId="3" borderId="8" xfId="1" applyNumberFormat="1" applyFont="1" applyFill="1" applyBorder="1" applyAlignment="1">
      <alignment horizontal="center" vertical="center" wrapText="1"/>
    </xf>
    <xf numFmtId="171" fontId="0" fillId="16" borderId="0" xfId="1" applyNumberFormat="1" applyFont="1" applyFill="1" applyBorder="1" applyAlignment="1"/>
    <xf numFmtId="164" fontId="0" fillId="0" borderId="0" xfId="4" applyFont="1"/>
    <xf numFmtId="164" fontId="3" fillId="0" borderId="0" xfId="4" applyFont="1"/>
    <xf numFmtId="164" fontId="1" fillId="0" borderId="0" xfId="4" applyFont="1"/>
    <xf numFmtId="164" fontId="0" fillId="0" borderId="0" xfId="0" applyNumberFormat="1" applyAlignment="1">
      <alignment horizontal="center" vertical="center"/>
    </xf>
    <xf numFmtId="164" fontId="0" fillId="0" borderId="0" xfId="0" applyNumberFormat="1"/>
    <xf numFmtId="164" fontId="0" fillId="0" borderId="0" xfId="0" applyNumberFormat="1" applyAlignment="1">
      <alignment horizontal="right" vertical="center"/>
    </xf>
    <xf numFmtId="0" fontId="8" fillId="0" borderId="0" xfId="0" applyFont="1" applyAlignment="1">
      <alignment vertical="center"/>
    </xf>
    <xf numFmtId="42" fontId="0" fillId="16" borderId="0" xfId="0" applyNumberFormat="1" applyFill="1"/>
    <xf numFmtId="42" fontId="0" fillId="0" borderId="0" xfId="0" applyNumberFormat="1"/>
    <xf numFmtId="178" fontId="0" fillId="0" borderId="0" xfId="1" applyNumberFormat="1" applyFont="1"/>
    <xf numFmtId="179" fontId="0" fillId="0" borderId="0" xfId="1" applyNumberFormat="1" applyFont="1"/>
    <xf numFmtId="0" fontId="6" fillId="3" borderId="19" xfId="0" applyFont="1" applyFill="1" applyBorder="1" applyAlignment="1">
      <alignment vertical="center"/>
    </xf>
    <xf numFmtId="0" fontId="0" fillId="12" borderId="0" xfId="0" applyFill="1" applyAlignment="1">
      <alignment vertical="center"/>
    </xf>
    <xf numFmtId="43" fontId="0" fillId="2" borderId="17" xfId="1" applyFont="1" applyFill="1" applyBorder="1" applyAlignment="1">
      <alignment horizontal="center" vertical="center"/>
    </xf>
    <xf numFmtId="171" fontId="0" fillId="2" borderId="17" xfId="1" applyNumberFormat="1" applyFont="1" applyFill="1" applyBorder="1" applyAlignment="1">
      <alignment horizontal="center" vertical="center"/>
    </xf>
    <xf numFmtId="180" fontId="0" fillId="12" borderId="0" xfId="0" applyNumberFormat="1" applyFill="1" applyAlignment="1">
      <alignment vertical="center"/>
    </xf>
    <xf numFmtId="180" fontId="0" fillId="0" borderId="0" xfId="0" applyNumberFormat="1"/>
    <xf numFmtId="49" fontId="0" fillId="12" borderId="0" xfId="0" applyNumberFormat="1" applyFill="1" applyAlignment="1">
      <alignment vertical="center"/>
    </xf>
    <xf numFmtId="49" fontId="0" fillId="0" borderId="0" xfId="0" applyNumberFormat="1"/>
    <xf numFmtId="49" fontId="0" fillId="0" borderId="0" xfId="0" applyNumberFormat="1" applyAlignment="1">
      <alignment horizontal="center" vertical="center"/>
    </xf>
    <xf numFmtId="171" fontId="0" fillId="0" borderId="0" xfId="0" applyNumberFormat="1" applyAlignment="1">
      <alignment horizontal="left" vertical="center"/>
    </xf>
    <xf numFmtId="171" fontId="0" fillId="12" borderId="0" xfId="1" applyNumberFormat="1" applyFont="1" applyFill="1" applyAlignment="1"/>
    <xf numFmtId="171" fontId="0" fillId="0" borderId="0" xfId="1" applyNumberFormat="1" applyFont="1" applyAlignment="1"/>
    <xf numFmtId="171" fontId="0" fillId="0" borderId="0" xfId="1" applyNumberFormat="1" applyFont="1" applyAlignment="1">
      <alignment horizontal="center" vertical="center"/>
    </xf>
    <xf numFmtId="171" fontId="2" fillId="0" borderId="0" xfId="2" applyNumberFormat="1" applyAlignment="1" applyProtection="1">
      <alignment horizontal="left" vertical="center"/>
    </xf>
    <xf numFmtId="171" fontId="0" fillId="17" borderId="0" xfId="0" applyNumberFormat="1" applyFill="1" applyAlignment="1">
      <alignment horizontal="left" vertical="center"/>
    </xf>
    <xf numFmtId="0" fontId="0" fillId="17" borderId="0" xfId="0" applyFill="1" applyAlignment="1">
      <alignment horizontal="center" vertical="center"/>
    </xf>
    <xf numFmtId="171" fontId="2" fillId="17" borderId="0" xfId="2" applyNumberFormat="1" applyFill="1" applyAlignment="1" applyProtection="1">
      <alignment horizontal="left" vertical="center"/>
    </xf>
    <xf numFmtId="49" fontId="0" fillId="17" borderId="0" xfId="0" applyNumberFormat="1" applyFill="1" applyAlignment="1">
      <alignment horizontal="center" vertical="center"/>
    </xf>
    <xf numFmtId="180" fontId="0" fillId="17" borderId="0" xfId="0" applyNumberFormat="1" applyFill="1"/>
    <xf numFmtId="171" fontId="0" fillId="17" borderId="0" xfId="1" applyNumberFormat="1" applyFont="1" applyFill="1" applyAlignment="1"/>
    <xf numFmtId="0" fontId="0" fillId="17" borderId="0" xfId="0" applyFill="1"/>
    <xf numFmtId="171" fontId="0" fillId="17" borderId="0" xfId="1" applyNumberFormat="1" applyFont="1" applyFill="1" applyAlignment="1">
      <alignment horizontal="center" vertical="center"/>
    </xf>
    <xf numFmtId="0" fontId="2" fillId="17" borderId="0" xfId="2" applyFill="1" applyAlignment="1" applyProtection="1"/>
    <xf numFmtId="49" fontId="0" fillId="17" borderId="0" xfId="0" applyNumberFormat="1" applyFill="1"/>
    <xf numFmtId="171" fontId="0" fillId="17" borderId="0" xfId="1" applyNumberFormat="1" applyFont="1" applyFill="1"/>
    <xf numFmtId="173" fontId="12" fillId="0" borderId="0" xfId="0" applyNumberFormat="1" applyFont="1" applyAlignment="1">
      <alignment horizontal="right"/>
    </xf>
    <xf numFmtId="42" fontId="0" fillId="2" borderId="17" xfId="0" applyNumberFormat="1" applyFill="1" applyBorder="1" applyAlignment="1">
      <alignment vertical="center"/>
    </xf>
    <xf numFmtId="43" fontId="0" fillId="2" borderId="17" xfId="0" applyNumberFormat="1" applyFill="1" applyBorder="1" applyAlignment="1">
      <alignment vertical="center"/>
    </xf>
    <xf numFmtId="165" fontId="0" fillId="2" borderId="17" xfId="0" applyNumberFormat="1" applyFill="1" applyBorder="1" applyAlignment="1">
      <alignment vertical="center"/>
    </xf>
    <xf numFmtId="173" fontId="0" fillId="0" borderId="0" xfId="0" applyNumberFormat="1" applyAlignment="1">
      <alignment horizontal="center" vertical="center"/>
    </xf>
    <xf numFmtId="171" fontId="0" fillId="0" borderId="0" xfId="1" applyNumberFormat="1" applyFont="1" applyFill="1" applyAlignment="1"/>
    <xf numFmtId="167" fontId="0" fillId="8" borderId="0" xfId="0" applyNumberFormat="1" applyFill="1"/>
    <xf numFmtId="173" fontId="0" fillId="8" borderId="0" xfId="0" applyNumberFormat="1" applyFill="1"/>
    <xf numFmtId="2" fontId="0" fillId="8" borderId="0" xfId="0" applyNumberFormat="1" applyFill="1"/>
    <xf numFmtId="0" fontId="0" fillId="8" borderId="0" xfId="0" applyFill="1"/>
    <xf numFmtId="180" fontId="0" fillId="8" borderId="0" xfId="0" applyNumberFormat="1" applyFill="1"/>
    <xf numFmtId="168" fontId="6" fillId="11" borderId="0" xfId="0" applyNumberFormat="1" applyFont="1" applyFill="1" applyAlignment="1">
      <alignment horizontal="center" vertical="center"/>
    </xf>
    <xf numFmtId="167" fontId="3" fillId="0" borderId="0" xfId="4" applyNumberFormat="1" applyFont="1"/>
    <xf numFmtId="171" fontId="0" fillId="5" borderId="0" xfId="1" applyNumberFormat="1" applyFont="1" applyFill="1"/>
    <xf numFmtId="0" fontId="15" fillId="3" borderId="0" xfId="0" applyFont="1" applyFill="1"/>
    <xf numFmtId="2" fontId="13" fillId="3" borderId="0" xfId="0" applyNumberFormat="1" applyFont="1" applyFill="1"/>
    <xf numFmtId="167" fontId="13" fillId="3" borderId="0" xfId="0" applyNumberFormat="1" applyFont="1" applyFill="1" applyAlignment="1">
      <alignment horizontal="right"/>
    </xf>
    <xf numFmtId="0" fontId="14" fillId="3" borderId="0" xfId="0" applyFont="1" applyFill="1"/>
    <xf numFmtId="165" fontId="14" fillId="3" borderId="0" xfId="0" applyNumberFormat="1" applyFont="1" applyFill="1"/>
    <xf numFmtId="181" fontId="0" fillId="0" borderId="0" xfId="0" applyNumberFormat="1"/>
    <xf numFmtId="43" fontId="0" fillId="0" borderId="0" xfId="1" applyFont="1" applyFill="1" applyAlignment="1"/>
    <xf numFmtId="43" fontId="0" fillId="0" borderId="0" xfId="1" applyFont="1" applyAlignment="1"/>
    <xf numFmtId="14" fontId="0" fillId="0" borderId="0" xfId="0" applyNumberFormat="1" applyAlignment="1">
      <alignment vertical="center"/>
    </xf>
    <xf numFmtId="171" fontId="0" fillId="0" borderId="0" xfId="1" applyNumberFormat="1" applyFont="1" applyAlignment="1">
      <alignment vertical="center"/>
    </xf>
    <xf numFmtId="0" fontId="0" fillId="18" borderId="0" xfId="0" applyFill="1" applyAlignment="1">
      <alignment vertical="center"/>
    </xf>
    <xf numFmtId="171" fontId="0" fillId="18" borderId="0" xfId="1" applyNumberFormat="1" applyFont="1" applyFill="1" applyAlignment="1">
      <alignment vertical="center"/>
    </xf>
    <xf numFmtId="180" fontId="0" fillId="18" borderId="0" xfId="0" applyNumberFormat="1" applyFill="1" applyAlignment="1">
      <alignment horizontal="right" vertical="center"/>
    </xf>
    <xf numFmtId="171" fontId="0" fillId="18" borderId="0" xfId="1" applyNumberFormat="1" applyFont="1" applyFill="1" applyAlignment="1">
      <alignment horizontal="center" vertical="center"/>
    </xf>
    <xf numFmtId="0" fontId="0" fillId="18" borderId="0" xfId="0" applyFill="1" applyAlignment="1">
      <alignment horizontal="center" vertical="center"/>
    </xf>
    <xf numFmtId="171" fontId="0" fillId="18" borderId="0" xfId="1" applyNumberFormat="1" applyFont="1" applyFill="1"/>
    <xf numFmtId="180" fontId="0" fillId="18" borderId="0" xfId="0" applyNumberFormat="1" applyFill="1" applyAlignment="1">
      <alignment horizontal="right"/>
    </xf>
    <xf numFmtId="0" fontId="0" fillId="18" borderId="0" xfId="0" applyFill="1"/>
    <xf numFmtId="43" fontId="0" fillId="0" borderId="0" xfId="1" applyFont="1" applyAlignment="1">
      <alignment horizontal="left" vertical="center"/>
    </xf>
    <xf numFmtId="167" fontId="6" fillId="0" borderId="0" xfId="0" applyNumberFormat="1" applyFont="1" applyAlignment="1">
      <alignment horizontal="center" vertical="center"/>
    </xf>
    <xf numFmtId="167" fontId="6" fillId="0" borderId="15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77" fontId="0" fillId="0" borderId="0" xfId="0" applyNumberFormat="1"/>
    <xf numFmtId="177" fontId="0" fillId="2" borderId="0" xfId="0" applyNumberFormat="1" applyFill="1" applyAlignment="1">
      <alignment horizontal="center" vertical="center"/>
    </xf>
    <xf numFmtId="177" fontId="0" fillId="4" borderId="3" xfId="0" applyNumberFormat="1" applyFill="1" applyBorder="1" applyAlignment="1">
      <alignment horizontal="right" vertical="center"/>
    </xf>
    <xf numFmtId="177" fontId="0" fillId="0" borderId="0" xfId="0" applyNumberFormat="1" applyAlignment="1">
      <alignment horizontal="right" vertical="center"/>
    </xf>
    <xf numFmtId="177" fontId="0" fillId="2" borderId="0" xfId="0" applyNumberFormat="1" applyFill="1" applyAlignment="1">
      <alignment horizontal="right" vertical="center"/>
    </xf>
    <xf numFmtId="177" fontId="8" fillId="0" borderId="0" xfId="0" applyNumberFormat="1" applyFont="1" applyAlignment="1">
      <alignment vertical="center"/>
    </xf>
    <xf numFmtId="177" fontId="0" fillId="12" borderId="0" xfId="0" applyNumberFormat="1" applyFill="1" applyAlignment="1">
      <alignment horizontal="center" vertical="center"/>
    </xf>
    <xf numFmtId="169" fontId="0" fillId="6" borderId="0" xfId="0" applyNumberFormat="1" applyFill="1"/>
    <xf numFmtId="164" fontId="0" fillId="0" borderId="0" xfId="4" applyFont="1" applyFill="1"/>
    <xf numFmtId="164" fontId="1" fillId="0" borderId="0" xfId="4" applyFont="1" applyFill="1"/>
    <xf numFmtId="167" fontId="3" fillId="3" borderId="0" xfId="0" applyNumberFormat="1" applyFont="1" applyFill="1" applyAlignment="1">
      <alignment vertical="center"/>
    </xf>
    <xf numFmtId="167" fontId="3" fillId="3" borderId="27" xfId="0" applyNumberFormat="1" applyFont="1" applyFill="1" applyBorder="1" applyAlignment="1">
      <alignment vertical="center"/>
    </xf>
    <xf numFmtId="173" fontId="3" fillId="0" borderId="0" xfId="4" applyNumberFormat="1" applyFont="1"/>
    <xf numFmtId="182" fontId="0" fillId="0" borderId="0" xfId="0" applyNumberFormat="1" applyAlignment="1">
      <alignment horizontal="center" vertical="center"/>
    </xf>
    <xf numFmtId="171" fontId="5" fillId="3" borderId="13" xfId="1" applyNumberFormat="1" applyFont="1" applyFill="1" applyBorder="1" applyAlignment="1">
      <alignment horizontal="center" wrapText="1"/>
    </xf>
    <xf numFmtId="171" fontId="5" fillId="3" borderId="25" xfId="1" applyNumberFormat="1" applyFont="1" applyFill="1" applyBorder="1" applyAlignment="1">
      <alignment horizontal="left" wrapText="1"/>
    </xf>
    <xf numFmtId="164" fontId="0" fillId="2" borderId="17" xfId="0" applyNumberFormat="1" applyFill="1" applyBorder="1" applyAlignment="1">
      <alignment vertical="center"/>
    </xf>
    <xf numFmtId="14" fontId="0" fillId="0" borderId="0" xfId="0" applyNumberFormat="1" applyAlignment="1">
      <alignment horizontal="center" vertical="center"/>
    </xf>
    <xf numFmtId="169" fontId="12" fillId="0" borderId="0" xfId="0" applyNumberFormat="1" applyFont="1"/>
    <xf numFmtId="0" fontId="12" fillId="0" borderId="0" xfId="0" applyFont="1"/>
    <xf numFmtId="171" fontId="0" fillId="0" borderId="0" xfId="0" applyNumberFormat="1"/>
    <xf numFmtId="173" fontId="0" fillId="8" borderId="0" xfId="0" applyNumberFormat="1" applyFill="1" applyAlignment="1">
      <alignment vertical="center"/>
    </xf>
    <xf numFmtId="43" fontId="3" fillId="8" borderId="0" xfId="1" applyFont="1" applyFill="1"/>
    <xf numFmtId="18" fontId="0" fillId="0" borderId="0" xfId="0" applyNumberFormat="1"/>
    <xf numFmtId="14" fontId="0" fillId="19" borderId="0" xfId="0" applyNumberFormat="1" applyFill="1"/>
    <xf numFmtId="169" fontId="0" fillId="19" borderId="0" xfId="0" applyNumberFormat="1" applyFill="1"/>
    <xf numFmtId="0" fontId="0" fillId="19" borderId="0" xfId="0" applyFill="1"/>
    <xf numFmtId="43" fontId="0" fillId="6" borderId="0" xfId="1" applyFont="1" applyFill="1"/>
    <xf numFmtId="43" fontId="0" fillId="0" borderId="0" xfId="1" applyFont="1" applyFill="1"/>
    <xf numFmtId="171" fontId="0" fillId="0" borderId="0" xfId="1" applyNumberFormat="1" applyFont="1" applyFill="1"/>
    <xf numFmtId="169" fontId="8" fillId="0" borderId="0" xfId="0" applyNumberFormat="1" applyFont="1" applyAlignment="1">
      <alignment vertical="center"/>
    </xf>
    <xf numFmtId="14" fontId="0" fillId="5" borderId="0" xfId="0" applyNumberFormat="1" applyFill="1"/>
    <xf numFmtId="171" fontId="0" fillId="0" borderId="0" xfId="0" applyNumberFormat="1" applyAlignment="1">
      <alignment vertical="center"/>
    </xf>
    <xf numFmtId="14" fontId="0" fillId="20" borderId="0" xfId="0" applyNumberFormat="1" applyFill="1"/>
    <xf numFmtId="169" fontId="0" fillId="20" borderId="0" xfId="0" applyNumberFormat="1" applyFill="1"/>
    <xf numFmtId="0" fontId="0" fillId="20" borderId="0" xfId="0" applyFill="1"/>
    <xf numFmtId="0" fontId="0" fillId="9" borderId="0" xfId="0" applyFill="1"/>
    <xf numFmtId="14" fontId="12" fillId="21" borderId="0" xfId="0" applyNumberFormat="1" applyFont="1" applyFill="1"/>
    <xf numFmtId="174" fontId="12" fillId="21" borderId="0" xfId="0" applyNumberFormat="1" applyFont="1" applyFill="1"/>
    <xf numFmtId="0" fontId="12" fillId="21" borderId="0" xfId="0" applyFont="1" applyFill="1"/>
    <xf numFmtId="14" fontId="0" fillId="21" borderId="0" xfId="0" applyNumberFormat="1" applyFill="1"/>
    <xf numFmtId="14" fontId="0" fillId="22" borderId="0" xfId="0" applyNumberFormat="1" applyFill="1"/>
    <xf numFmtId="169" fontId="0" fillId="22" borderId="0" xfId="0" applyNumberFormat="1" applyFill="1"/>
    <xf numFmtId="0" fontId="0" fillId="22" borderId="0" xfId="0" applyFill="1"/>
    <xf numFmtId="0" fontId="0" fillId="6" borderId="0" xfId="0" applyFill="1" applyAlignment="1">
      <alignment horizontal="center" vertical="center"/>
    </xf>
    <xf numFmtId="173" fontId="3" fillId="0" borderId="0" xfId="0" applyNumberFormat="1" applyFont="1"/>
    <xf numFmtId="171" fontId="0" fillId="2" borderId="28" xfId="1" applyNumberFormat="1" applyFont="1" applyFill="1" applyBorder="1" applyAlignment="1">
      <alignment horizontal="center" vertical="center"/>
    </xf>
    <xf numFmtId="171" fontId="0" fillId="0" borderId="28" xfId="1" applyNumberFormat="1" applyFont="1" applyBorder="1"/>
    <xf numFmtId="171" fontId="0" fillId="5" borderId="28" xfId="1" applyNumberFormat="1" applyFont="1" applyFill="1" applyBorder="1"/>
    <xf numFmtId="14" fontId="0" fillId="4" borderId="31" xfId="0" applyNumberFormat="1" applyFill="1" applyBorder="1" applyAlignment="1">
      <alignment horizontal="right" vertical="center" indent="1"/>
    </xf>
    <xf numFmtId="14" fontId="0" fillId="5" borderId="31" xfId="0" applyNumberFormat="1" applyFill="1" applyBorder="1" applyAlignment="1">
      <alignment horizontal="right" vertical="center" indent="1"/>
    </xf>
    <xf numFmtId="14" fontId="0" fillId="0" borderId="31" xfId="0" applyNumberFormat="1" applyBorder="1" applyAlignment="1">
      <alignment horizontal="right" vertical="center" indent="1"/>
    </xf>
    <xf numFmtId="168" fontId="0" fillId="12" borderId="28" xfId="0" applyNumberFormat="1" applyFill="1" applyBorder="1"/>
    <xf numFmtId="169" fontId="0" fillId="0" borderId="28" xfId="0" applyNumberFormat="1" applyBorder="1"/>
    <xf numFmtId="169" fontId="0" fillId="5" borderId="28" xfId="0" applyNumberFormat="1" applyFill="1" applyBorder="1"/>
    <xf numFmtId="0" fontId="0" fillId="0" borderId="28" xfId="0" applyBorder="1"/>
    <xf numFmtId="169" fontId="17" fillId="0" borderId="0" xfId="0" applyNumberFormat="1" applyFont="1"/>
    <xf numFmtId="169" fontId="0" fillId="11" borderId="0" xfId="0" applyNumberFormat="1" applyFill="1"/>
    <xf numFmtId="169" fontId="0" fillId="21" borderId="0" xfId="0" applyNumberFormat="1" applyFill="1"/>
    <xf numFmtId="169" fontId="0" fillId="15" borderId="0" xfId="0" applyNumberFormat="1" applyFill="1"/>
    <xf numFmtId="0" fontId="12" fillId="15" borderId="0" xfId="0" applyFont="1" applyFill="1"/>
    <xf numFmtId="169" fontId="12" fillId="15" borderId="0" xfId="0" applyNumberFormat="1" applyFont="1" applyFill="1"/>
    <xf numFmtId="14" fontId="0" fillId="25" borderId="3" xfId="0" applyNumberFormat="1" applyFill="1" applyBorder="1" applyAlignment="1">
      <alignment horizontal="right" vertical="center" indent="1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11" borderId="6" xfId="0" applyFont="1" applyFill="1" applyBorder="1" applyAlignment="1">
      <alignment horizontal="center" vertical="center"/>
    </xf>
    <xf numFmtId="0" fontId="5" fillId="11" borderId="7" xfId="0" applyFont="1" applyFill="1" applyBorder="1" applyAlignment="1">
      <alignment horizontal="center" vertical="center"/>
    </xf>
    <xf numFmtId="0" fontId="5" fillId="11" borderId="8" xfId="0" applyFont="1" applyFill="1" applyBorder="1" applyAlignment="1">
      <alignment horizontal="center" vertical="center"/>
    </xf>
    <xf numFmtId="0" fontId="5" fillId="11" borderId="9" xfId="0" applyFont="1" applyFill="1" applyBorder="1" applyAlignment="1">
      <alignment horizontal="center" vertical="center"/>
    </xf>
    <xf numFmtId="0" fontId="5" fillId="11" borderId="10" xfId="0" applyFont="1" applyFill="1" applyBorder="1" applyAlignment="1">
      <alignment horizontal="center" vertical="center"/>
    </xf>
    <xf numFmtId="0" fontId="5" fillId="11" borderId="11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6" fillId="3" borderId="15" xfId="0" applyFont="1" applyFill="1" applyBorder="1" applyAlignment="1">
      <alignment horizontal="right" vertical="center"/>
    </xf>
    <xf numFmtId="167" fontId="6" fillId="3" borderId="0" xfId="0" applyNumberFormat="1" applyFont="1" applyFill="1" applyAlignment="1">
      <alignment horizontal="center" vertical="center"/>
    </xf>
    <xf numFmtId="167" fontId="6" fillId="3" borderId="15" xfId="0" applyNumberFormat="1" applyFont="1" applyFill="1" applyBorder="1" applyAlignment="1">
      <alignment horizontal="center" vertical="center"/>
    </xf>
    <xf numFmtId="0" fontId="6" fillId="11" borderId="0" xfId="0" applyFont="1" applyFill="1" applyAlignment="1">
      <alignment horizontal="right" vertical="center"/>
    </xf>
    <xf numFmtId="0" fontId="6" fillId="11" borderId="15" xfId="0" applyFont="1" applyFill="1" applyBorder="1" applyAlignment="1">
      <alignment horizontal="right" vertical="center"/>
    </xf>
    <xf numFmtId="167" fontId="6" fillId="11" borderId="0" xfId="0" applyNumberFormat="1" applyFont="1" applyFill="1" applyAlignment="1">
      <alignment horizontal="center" vertical="center"/>
    </xf>
    <xf numFmtId="0" fontId="6" fillId="11" borderId="0" xfId="0" applyFont="1" applyFill="1" applyAlignment="1">
      <alignment horizontal="center" vertical="center"/>
    </xf>
    <xf numFmtId="0" fontId="6" fillId="11" borderId="15" xfId="0" applyFont="1" applyFill="1" applyBorder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11" borderId="4" xfId="0" applyFont="1" applyFill="1" applyBorder="1" applyAlignment="1">
      <alignment horizontal="center" vertical="center"/>
    </xf>
    <xf numFmtId="0" fontId="5" fillId="11" borderId="5" xfId="0" applyFont="1" applyFill="1" applyBorder="1" applyAlignment="1">
      <alignment horizontal="center" vertical="center"/>
    </xf>
    <xf numFmtId="167" fontId="10" fillId="4" borderId="0" xfId="0" applyNumberFormat="1" applyFont="1" applyFill="1" applyAlignment="1">
      <alignment horizontal="center" vertical="center"/>
    </xf>
    <xf numFmtId="164" fontId="10" fillId="4" borderId="0" xfId="0" applyNumberFormat="1" applyFont="1" applyFill="1" applyAlignment="1">
      <alignment horizontal="center" vertical="center"/>
    </xf>
    <xf numFmtId="164" fontId="10" fillId="4" borderId="15" xfId="0" applyNumberFormat="1" applyFont="1" applyFill="1" applyBorder="1" applyAlignment="1">
      <alignment horizontal="center" vertical="center"/>
    </xf>
    <xf numFmtId="171" fontId="5" fillId="3" borderId="6" xfId="1" applyNumberFormat="1" applyFont="1" applyFill="1" applyBorder="1" applyAlignment="1">
      <alignment horizontal="center" vertical="center"/>
    </xf>
    <xf numFmtId="171" fontId="5" fillId="3" borderId="7" xfId="1" applyNumberFormat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horizontal="center" vertical="center"/>
    </xf>
    <xf numFmtId="164" fontId="11" fillId="4" borderId="0" xfId="0" applyNumberFormat="1" applyFont="1" applyFill="1" applyAlignment="1">
      <alignment horizontal="center" vertical="center"/>
    </xf>
    <xf numFmtId="164" fontId="11" fillId="4" borderId="15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6" fillId="24" borderId="0" xfId="0" applyFont="1" applyFill="1" applyAlignment="1">
      <alignment horizontal="right" vertical="center"/>
    </xf>
    <xf numFmtId="0" fontId="6" fillId="24" borderId="15" xfId="0" applyFont="1" applyFill="1" applyBorder="1" applyAlignment="1">
      <alignment horizontal="right" vertical="center"/>
    </xf>
    <xf numFmtId="167" fontId="6" fillId="24" borderId="0" xfId="0" applyNumberFormat="1" applyFont="1" applyFill="1" applyAlignment="1">
      <alignment horizontal="center" vertical="center"/>
    </xf>
    <xf numFmtId="167" fontId="6" fillId="24" borderId="15" xfId="0" applyNumberFormat="1" applyFont="1" applyFill="1" applyBorder="1" applyAlignment="1">
      <alignment horizontal="center" vertical="center"/>
    </xf>
    <xf numFmtId="0" fontId="6" fillId="19" borderId="0" xfId="0" applyFont="1" applyFill="1" applyAlignment="1">
      <alignment horizontal="right" vertical="center"/>
    </xf>
    <xf numFmtId="0" fontId="6" fillId="19" borderId="15" xfId="0" applyFont="1" applyFill="1" applyBorder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wrapText="1"/>
    </xf>
    <xf numFmtId="0" fontId="5" fillId="11" borderId="13" xfId="0" applyFont="1" applyFill="1" applyBorder="1" applyAlignment="1">
      <alignment horizontal="center" vertical="center" wrapText="1"/>
    </xf>
    <xf numFmtId="0" fontId="5" fillId="11" borderId="14" xfId="0" applyFont="1" applyFill="1" applyBorder="1" applyAlignment="1">
      <alignment horizontal="center" vertical="center"/>
    </xf>
    <xf numFmtId="171" fontId="5" fillId="3" borderId="28" xfId="1" applyNumberFormat="1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0" fontId="5" fillId="23" borderId="13" xfId="0" applyFont="1" applyFill="1" applyBorder="1" applyAlignment="1">
      <alignment horizontal="center" vertical="center"/>
    </xf>
    <xf numFmtId="0" fontId="5" fillId="23" borderId="14" xfId="0" applyFont="1" applyFill="1" applyBorder="1" applyAlignment="1">
      <alignment horizontal="center" vertical="center"/>
    </xf>
    <xf numFmtId="0" fontId="5" fillId="11" borderId="28" xfId="0" applyFon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7" fontId="9" fillId="3" borderId="8" xfId="0" applyNumberFormat="1" applyFont="1" applyFill="1" applyBorder="1" applyAlignment="1">
      <alignment horizontal="center" vertical="center"/>
    </xf>
    <xf numFmtId="17" fontId="9" fillId="3" borderId="17" xfId="0" applyNumberFormat="1" applyFont="1" applyFill="1" applyBorder="1" applyAlignment="1">
      <alignment horizontal="center" vertical="center"/>
    </xf>
    <xf numFmtId="17" fontId="9" fillId="3" borderId="18" xfId="0" applyNumberFormat="1" applyFont="1" applyFill="1" applyBorder="1" applyAlignment="1">
      <alignment horizontal="center" vertical="center"/>
    </xf>
    <xf numFmtId="17" fontId="9" fillId="3" borderId="15" xfId="0" applyNumberFormat="1" applyFont="1" applyFill="1" applyBorder="1" applyAlignment="1">
      <alignment horizontal="center" vertical="center"/>
    </xf>
    <xf numFmtId="167" fontId="3" fillId="3" borderId="0" xfId="0" applyNumberFormat="1" applyFont="1" applyFill="1" applyAlignment="1">
      <alignment horizontal="center" vertical="center"/>
    </xf>
    <xf numFmtId="173" fontId="0" fillId="13" borderId="0" xfId="0" applyNumberFormat="1" applyFill="1" applyAlignment="1">
      <alignment horizontal="center" vertical="center"/>
    </xf>
    <xf numFmtId="17" fontId="9" fillId="3" borderId="9" xfId="0" applyNumberFormat="1" applyFont="1" applyFill="1" applyBorder="1" applyAlignment="1">
      <alignment horizontal="center" vertical="center"/>
    </xf>
    <xf numFmtId="17" fontId="9" fillId="3" borderId="26" xfId="0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168" fontId="6" fillId="3" borderId="16" xfId="0" applyNumberFormat="1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6" fillId="3" borderId="15" xfId="0" applyFont="1" applyFill="1" applyBorder="1" applyAlignment="1">
      <alignment horizontal="center" vertical="center"/>
    </xf>
    <xf numFmtId="168" fontId="6" fillId="11" borderId="16" xfId="0" applyNumberFormat="1" applyFont="1" applyFill="1" applyBorder="1" applyAlignment="1">
      <alignment horizontal="center" vertical="center"/>
    </xf>
    <xf numFmtId="0" fontId="6" fillId="11" borderId="16" xfId="0" applyFont="1" applyFill="1" applyBorder="1" applyAlignment="1">
      <alignment horizontal="center" vertical="center"/>
    </xf>
    <xf numFmtId="168" fontId="6" fillId="11" borderId="17" xfId="0" applyNumberFormat="1" applyFont="1" applyFill="1" applyBorder="1" applyAlignment="1">
      <alignment horizontal="center" vertical="center"/>
    </xf>
    <xf numFmtId="168" fontId="6" fillId="11" borderId="0" xfId="0" applyNumberFormat="1" applyFont="1" applyFill="1" applyAlignment="1">
      <alignment horizontal="center" vertical="center"/>
    </xf>
    <xf numFmtId="0" fontId="5" fillId="24" borderId="4" xfId="0" applyFont="1" applyFill="1" applyBorder="1" applyAlignment="1">
      <alignment horizontal="center" vertical="center"/>
    </xf>
    <xf numFmtId="0" fontId="5" fillId="24" borderId="5" xfId="0" applyFont="1" applyFill="1" applyBorder="1" applyAlignment="1">
      <alignment horizontal="center" vertical="center"/>
    </xf>
    <xf numFmtId="0" fontId="5" fillId="24" borderId="13" xfId="0" applyFont="1" applyFill="1" applyBorder="1" applyAlignment="1">
      <alignment horizontal="center" vertical="center"/>
    </xf>
    <xf numFmtId="0" fontId="5" fillId="24" borderId="14" xfId="0" applyFont="1" applyFill="1" applyBorder="1" applyAlignment="1">
      <alignment horizontal="center" vertical="center"/>
    </xf>
    <xf numFmtId="0" fontId="5" fillId="11" borderId="13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3" borderId="14" xfId="0" applyFont="1" applyFill="1" applyBorder="1" applyAlignment="1">
      <alignment horizontal="center" vertical="center" wrapText="1"/>
    </xf>
    <xf numFmtId="171" fontId="5" fillId="3" borderId="13" xfId="1" applyNumberFormat="1" applyFont="1" applyFill="1" applyBorder="1" applyAlignment="1">
      <alignment horizontal="center" vertical="center"/>
    </xf>
    <xf numFmtId="171" fontId="5" fillId="3" borderId="14" xfId="1" applyNumberFormat="1" applyFont="1" applyFill="1" applyBorder="1" applyAlignment="1">
      <alignment horizontal="center" vertical="center"/>
    </xf>
    <xf numFmtId="0" fontId="5" fillId="19" borderId="13" xfId="0" applyFont="1" applyFill="1" applyBorder="1" applyAlignment="1">
      <alignment horizontal="center" vertical="center"/>
    </xf>
    <xf numFmtId="0" fontId="5" fillId="19" borderId="14" xfId="0" applyFont="1" applyFill="1" applyBorder="1" applyAlignment="1">
      <alignment horizontal="center" vertical="center"/>
    </xf>
    <xf numFmtId="0" fontId="7" fillId="19" borderId="0" xfId="0" applyFont="1" applyFill="1" applyAlignment="1">
      <alignment horizontal="center" vertical="center"/>
    </xf>
    <xf numFmtId="0" fontId="5" fillId="19" borderId="4" xfId="0" applyFont="1" applyFill="1" applyBorder="1" applyAlignment="1">
      <alignment horizontal="center" vertical="center"/>
    </xf>
    <xf numFmtId="0" fontId="5" fillId="19" borderId="5" xfId="0" applyFont="1" applyFill="1" applyBorder="1" applyAlignment="1">
      <alignment horizontal="center" vertical="center"/>
    </xf>
    <xf numFmtId="167" fontId="6" fillId="19" borderId="0" xfId="0" applyNumberFormat="1" applyFont="1" applyFill="1" applyAlignment="1">
      <alignment horizontal="center" vertical="center"/>
    </xf>
    <xf numFmtId="167" fontId="6" fillId="19" borderId="15" xfId="0" applyNumberFormat="1" applyFont="1" applyFill="1" applyBorder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5" fillId="3" borderId="6" xfId="0" applyFont="1" applyFill="1" applyBorder="1" applyAlignment="1">
      <alignment horizontal="center" vertical="center" wrapText="1"/>
    </xf>
    <xf numFmtId="0" fontId="6" fillId="19" borderId="0" xfId="0" applyFont="1" applyFill="1" applyAlignment="1">
      <alignment horizontal="center" vertical="center"/>
    </xf>
    <xf numFmtId="0" fontId="6" fillId="19" borderId="15" xfId="0" applyFont="1" applyFill="1" applyBorder="1" applyAlignment="1">
      <alignment horizontal="center" vertical="center"/>
    </xf>
    <xf numFmtId="177" fontId="5" fillId="3" borderId="4" xfId="0" applyNumberFormat="1" applyFont="1" applyFill="1" applyBorder="1" applyAlignment="1">
      <alignment horizontal="right" vertical="center"/>
    </xf>
    <xf numFmtId="177" fontId="5" fillId="3" borderId="5" xfId="0" applyNumberFormat="1" applyFont="1" applyFill="1" applyBorder="1" applyAlignment="1">
      <alignment horizontal="right" vertical="center"/>
    </xf>
    <xf numFmtId="177" fontId="5" fillId="3" borderId="6" xfId="0" applyNumberFormat="1" applyFont="1" applyFill="1" applyBorder="1" applyAlignment="1">
      <alignment horizontal="center" vertical="center"/>
    </xf>
    <xf numFmtId="177" fontId="5" fillId="3" borderId="7" xfId="0" applyNumberFormat="1" applyFont="1" applyFill="1" applyBorder="1" applyAlignment="1">
      <alignment horizontal="center" vertical="center"/>
    </xf>
    <xf numFmtId="171" fontId="5" fillId="3" borderId="13" xfId="1" applyNumberFormat="1" applyFont="1" applyFill="1" applyBorder="1" applyAlignment="1">
      <alignment horizontal="center" vertical="center" wrapText="1"/>
    </xf>
    <xf numFmtId="171" fontId="5" fillId="3" borderId="20" xfId="1" applyNumberFormat="1" applyFont="1" applyFill="1" applyBorder="1" applyAlignment="1">
      <alignment horizontal="center" vertical="center" wrapText="1"/>
    </xf>
    <xf numFmtId="180" fontId="5" fillId="11" borderId="4" xfId="0" applyNumberFormat="1" applyFont="1" applyFill="1" applyBorder="1" applyAlignment="1">
      <alignment horizontal="center" vertical="center"/>
    </xf>
    <xf numFmtId="180" fontId="5" fillId="11" borderId="5" xfId="0" applyNumberFormat="1" applyFont="1" applyFill="1" applyBorder="1" applyAlignment="1">
      <alignment horizontal="center" vertical="center"/>
    </xf>
    <xf numFmtId="180" fontId="5" fillId="11" borderId="13" xfId="0" applyNumberFormat="1" applyFont="1" applyFill="1" applyBorder="1" applyAlignment="1">
      <alignment horizontal="center" vertical="center"/>
    </xf>
    <xf numFmtId="180" fontId="5" fillId="11" borderId="14" xfId="0" applyNumberFormat="1" applyFont="1" applyFill="1" applyBorder="1" applyAlignment="1">
      <alignment horizontal="center" vertical="center"/>
    </xf>
    <xf numFmtId="171" fontId="5" fillId="11" borderId="24" xfId="1" applyNumberFormat="1" applyFont="1" applyFill="1" applyBorder="1" applyAlignment="1">
      <alignment horizontal="center" vertical="center"/>
    </xf>
    <xf numFmtId="0" fontId="5" fillId="3" borderId="21" xfId="0" applyFont="1" applyFill="1" applyBorder="1" applyAlignment="1">
      <alignment horizontal="center" vertical="center"/>
    </xf>
    <xf numFmtId="171" fontId="5" fillId="3" borderId="20" xfId="1" applyNumberFormat="1" applyFont="1" applyFill="1" applyBorder="1" applyAlignment="1">
      <alignment horizontal="center" vertical="center"/>
    </xf>
    <xf numFmtId="49" fontId="5" fillId="11" borderId="13" xfId="0" applyNumberFormat="1" applyFont="1" applyFill="1" applyBorder="1" applyAlignment="1">
      <alignment horizontal="center" vertical="center" wrapText="1"/>
    </xf>
    <xf numFmtId="49" fontId="5" fillId="11" borderId="14" xfId="0" applyNumberFormat="1" applyFont="1" applyFill="1" applyBorder="1" applyAlignment="1">
      <alignment horizontal="center" vertical="center" wrapText="1"/>
    </xf>
    <xf numFmtId="0" fontId="5" fillId="11" borderId="14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top" wrapText="1"/>
    </xf>
    <xf numFmtId="0" fontId="5" fillId="3" borderId="20" xfId="0" applyFont="1" applyFill="1" applyBorder="1" applyAlignment="1">
      <alignment horizontal="center" vertical="top"/>
    </xf>
    <xf numFmtId="171" fontId="5" fillId="3" borderId="6" xfId="1" applyNumberFormat="1" applyFont="1" applyFill="1" applyBorder="1" applyAlignment="1">
      <alignment horizontal="center" vertical="center" wrapText="1"/>
    </xf>
    <xf numFmtId="171" fontId="5" fillId="3" borderId="22" xfId="1" applyNumberFormat="1" applyFont="1" applyFill="1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top" wrapText="1"/>
    </xf>
    <xf numFmtId="171" fontId="5" fillId="3" borderId="4" xfId="1" applyNumberFormat="1" applyFont="1" applyFill="1" applyBorder="1" applyAlignment="1">
      <alignment horizontal="center" vertical="center" wrapText="1"/>
    </xf>
    <xf numFmtId="171" fontId="5" fillId="3" borderId="21" xfId="1" applyNumberFormat="1" applyFont="1" applyFill="1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center"/>
    </xf>
    <xf numFmtId="177" fontId="5" fillId="3" borderId="13" xfId="0" applyNumberFormat="1" applyFont="1" applyFill="1" applyBorder="1" applyAlignment="1">
      <alignment horizontal="center" vertical="center" wrapText="1"/>
    </xf>
    <xf numFmtId="177" fontId="5" fillId="3" borderId="20" xfId="0" applyNumberFormat="1" applyFont="1" applyFill="1" applyBorder="1" applyAlignment="1">
      <alignment horizontal="center" vertical="center"/>
    </xf>
    <xf numFmtId="43" fontId="5" fillId="3" borderId="13" xfId="1" applyFont="1" applyFill="1" applyBorder="1" applyAlignment="1">
      <alignment horizontal="center" vertical="center" wrapText="1"/>
    </xf>
    <xf numFmtId="43" fontId="5" fillId="3" borderId="20" xfId="1" applyFont="1" applyFill="1" applyBorder="1" applyAlignment="1">
      <alignment horizontal="center" vertical="center"/>
    </xf>
    <xf numFmtId="177" fontId="5" fillId="3" borderId="4" xfId="0" applyNumberFormat="1" applyFont="1" applyFill="1" applyBorder="1" applyAlignment="1">
      <alignment horizontal="center" vertical="center" wrapText="1"/>
    </xf>
    <xf numFmtId="177" fontId="5" fillId="3" borderId="21" xfId="0" applyNumberFormat="1" applyFont="1" applyFill="1" applyBorder="1" applyAlignment="1">
      <alignment horizontal="center" vertical="center"/>
    </xf>
    <xf numFmtId="177" fontId="5" fillId="3" borderId="20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171" fontId="1" fillId="9" borderId="0" xfId="1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9" borderId="0" xfId="0" applyFill="1" applyAlignment="1">
      <alignment horizontal="center"/>
    </xf>
    <xf numFmtId="0" fontId="0" fillId="8" borderId="0" xfId="0" applyFill="1" applyAlignment="1">
      <alignment horizontal="center" vertical="center"/>
    </xf>
  </cellXfs>
  <cellStyles count="5">
    <cellStyle name="Comma" xfId="1" builtinId="3"/>
    <cellStyle name="Comma 2" xfId="3" xr:uid="{00000000-0005-0000-0000-000001000000}"/>
    <cellStyle name="Currency" xfId="4" builtinId="4"/>
    <cellStyle name="Hyperlink" xfId="2" builtinId="8"/>
    <cellStyle name="Normal" xfId="0" builtinId="0"/>
  </cellStyles>
  <dxfs count="29378"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2"/>
        </patternFill>
      </fill>
    </dxf>
    <dxf>
      <fill>
        <patternFill>
          <bgColor rgb="FFFFFF00"/>
        </patternFill>
      </fill>
    </dxf>
    <dxf>
      <fill>
        <patternFill>
          <bgColor theme="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00B050"/>
      </font>
    </dxf>
    <dxf>
      <font>
        <color theme="4" tint="-0.24994659260841701"/>
      </font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HARPREETRANDHAWA313@GMAIL.COM" TargetMode="External"/><Relationship Id="rId13" Type="http://schemas.openxmlformats.org/officeDocument/2006/relationships/hyperlink" Target="mailto:sukhjindergrewal11@gmail.com" TargetMode="External"/><Relationship Id="rId18" Type="http://schemas.openxmlformats.org/officeDocument/2006/relationships/printerSettings" Target="../printerSettings/printerSettings25.bin"/><Relationship Id="rId3" Type="http://schemas.openxmlformats.org/officeDocument/2006/relationships/hyperlink" Target="mailto:anjan.sameer84@gmail.com" TargetMode="External"/><Relationship Id="rId7" Type="http://schemas.openxmlformats.org/officeDocument/2006/relationships/hyperlink" Target="mailto:hosseinaref@icloud.com" TargetMode="External"/><Relationship Id="rId12" Type="http://schemas.openxmlformats.org/officeDocument/2006/relationships/hyperlink" Target="mailto:prathanajp21@gmail.com" TargetMode="External"/><Relationship Id="rId17" Type="http://schemas.openxmlformats.org/officeDocument/2006/relationships/hyperlink" Target="mailto:vanbawivictor@gmail.com" TargetMode="External"/><Relationship Id="rId2" Type="http://schemas.openxmlformats.org/officeDocument/2006/relationships/hyperlink" Target="mailto:puneet_kanwar@rediffmail.com" TargetMode="External"/><Relationship Id="rId16" Type="http://schemas.openxmlformats.org/officeDocument/2006/relationships/hyperlink" Target="mailto:azkoreshy@gmail.com" TargetMode="External"/><Relationship Id="rId1" Type="http://schemas.openxmlformats.org/officeDocument/2006/relationships/hyperlink" Target="mailto:hemanshukashyap0054@gmail.com" TargetMode="External"/><Relationship Id="rId6" Type="http://schemas.openxmlformats.org/officeDocument/2006/relationships/hyperlink" Target="mailto:manpreetrajia2@gmail.com" TargetMode="External"/><Relationship Id="rId11" Type="http://schemas.openxmlformats.org/officeDocument/2006/relationships/hyperlink" Target="mailto:bhambri71@gmail.com" TargetMode="External"/><Relationship Id="rId5" Type="http://schemas.openxmlformats.org/officeDocument/2006/relationships/hyperlink" Target="mailto:mferdouse@gmail.com" TargetMode="External"/><Relationship Id="rId15" Type="http://schemas.openxmlformats.org/officeDocument/2006/relationships/hyperlink" Target="mailto:taimoor_001@hotmail.co.uk" TargetMode="External"/><Relationship Id="rId10" Type="http://schemas.openxmlformats.org/officeDocument/2006/relationships/hyperlink" Target="mailto:wtehseen@hotmail.com" TargetMode="External"/><Relationship Id="rId4" Type="http://schemas.openxmlformats.org/officeDocument/2006/relationships/hyperlink" Target="mailto:umer.nalir@outlook.com" TargetMode="External"/><Relationship Id="rId9" Type="http://schemas.openxmlformats.org/officeDocument/2006/relationships/hyperlink" Target="mailto:ANKYRAJPUT1012@GMAIL.COM" TargetMode="External"/><Relationship Id="rId14" Type="http://schemas.openxmlformats.org/officeDocument/2006/relationships/hyperlink" Target="mailto:immohit6@gmail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54"/>
  <sheetViews>
    <sheetView zoomScaleNormal="100" workbookViewId="0">
      <pane ySplit="5" topLeftCell="A6" activePane="bottomLeft" state="frozen"/>
      <selection pane="bottomLeft" activeCell="Q4" sqref="Q4"/>
    </sheetView>
  </sheetViews>
  <sheetFormatPr defaultColWidth="8.85546875" defaultRowHeight="15" customHeight="1" x14ac:dyDescent="0.25"/>
  <cols>
    <col min="1" max="1" width="3.28515625" style="10" bestFit="1" customWidth="1"/>
    <col min="2" max="2" width="12.5703125" bestFit="1" customWidth="1"/>
    <col min="3" max="3" width="10.140625" customWidth="1"/>
    <col min="4" max="4" width="9.28515625" customWidth="1"/>
    <col min="5" max="5" width="10.7109375" bestFit="1" customWidth="1"/>
    <col min="6" max="6" width="15.28515625" customWidth="1"/>
    <col min="7" max="7" width="9.42578125" style="31" customWidth="1"/>
    <col min="8" max="8" width="11.5703125" bestFit="1" customWidth="1"/>
    <col min="9" max="9" width="12.7109375" bestFit="1" customWidth="1"/>
    <col min="10" max="10" width="15.140625" customWidth="1"/>
    <col min="11" max="11" width="9.85546875" customWidth="1"/>
    <col min="12" max="12" width="12.5703125" customWidth="1"/>
    <col min="13" max="13" width="10.7109375" customWidth="1"/>
    <col min="14" max="14" width="12.7109375" customWidth="1"/>
    <col min="15" max="16" width="10.5703125" customWidth="1"/>
    <col min="17" max="17" width="10.5703125" bestFit="1" customWidth="1"/>
  </cols>
  <sheetData>
    <row r="1" spans="1:18" ht="35.1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5">
        <f>SUM(P6:P90)-O4</f>
        <v>-275.00000000000091</v>
      </c>
      <c r="P1" s="255"/>
      <c r="Q1" s="114"/>
      <c r="R1" s="114"/>
    </row>
    <row r="2" spans="1:18" s="9" customFormat="1" ht="15.95" customHeight="1" x14ac:dyDescent="0.25">
      <c r="A2" s="256" t="s">
        <v>4</v>
      </c>
      <c r="B2" s="256"/>
      <c r="C2" s="256"/>
      <c r="D2" s="256"/>
      <c r="E2" s="256"/>
      <c r="F2" s="256"/>
      <c r="G2" s="258">
        <f>SUM($D$6:$D$2989)-SUMIF($F$7:$F$289,"Bond Received",$D$7:$D$2989)-SUMIF($F$7:$F$289,"Unpaid Rent",$D$7:$D$2989)-(SUMIF($F$7:$F$289,"Discount Rent",$D$7:$D$2989)*2)</f>
        <v>10640</v>
      </c>
      <c r="H2" s="258"/>
      <c r="I2" s="258"/>
      <c r="J2" s="260" t="s">
        <v>5</v>
      </c>
      <c r="K2" s="260"/>
      <c r="L2" s="260"/>
      <c r="M2" s="262">
        <f>SUM($K$6:$K$2989)-SUMIF($L$6:$L$2989,"Bond Return",$K$6:$K$2989)</f>
        <v>4214.3199999999979</v>
      </c>
      <c r="N2" s="263"/>
      <c r="O2" s="265"/>
      <c r="P2" s="265"/>
      <c r="Q2" s="35"/>
    </row>
    <row r="3" spans="1:18" s="9" customFormat="1" ht="15.95" customHeight="1" x14ac:dyDescent="0.25">
      <c r="A3" s="257"/>
      <c r="B3" s="257"/>
      <c r="C3" s="257"/>
      <c r="D3" s="257"/>
      <c r="E3" s="257"/>
      <c r="F3" s="257"/>
      <c r="G3" s="259"/>
      <c r="H3" s="259"/>
      <c r="I3" s="259"/>
      <c r="J3" s="261"/>
      <c r="K3" s="261"/>
      <c r="L3" s="261"/>
      <c r="M3" s="264"/>
      <c r="N3" s="264"/>
      <c r="O3" s="266"/>
      <c r="P3" s="266"/>
    </row>
    <row r="4" spans="1:18" s="9" customFormat="1" ht="15.95" customHeight="1" x14ac:dyDescent="0.25">
      <c r="A4" s="244" t="s">
        <v>6</v>
      </c>
      <c r="B4" s="244" t="s">
        <v>7</v>
      </c>
      <c r="C4" s="267" t="s">
        <v>8</v>
      </c>
      <c r="D4" s="269" t="s">
        <v>9</v>
      </c>
      <c r="E4" s="269" t="s">
        <v>10</v>
      </c>
      <c r="F4" s="252" t="s">
        <v>112</v>
      </c>
      <c r="G4" s="276" t="s">
        <v>11</v>
      </c>
      <c r="H4" s="244" t="s">
        <v>12</v>
      </c>
      <c r="I4" s="244" t="s">
        <v>113</v>
      </c>
      <c r="J4" s="246" t="s">
        <v>13</v>
      </c>
      <c r="K4" s="246" t="s">
        <v>14</v>
      </c>
      <c r="L4" s="248" t="s">
        <v>15</v>
      </c>
      <c r="M4" s="249"/>
      <c r="N4" s="271" t="s">
        <v>113</v>
      </c>
      <c r="O4" s="273">
        <f>G2-M2</f>
        <v>6425.6800000000021</v>
      </c>
      <c r="P4" s="274">
        <f>SUM(P2:P3)</f>
        <v>0</v>
      </c>
      <c r="Q4" s="63"/>
    </row>
    <row r="5" spans="1:18" s="10" customFormat="1" x14ac:dyDescent="0.25">
      <c r="A5" s="245"/>
      <c r="B5" s="245"/>
      <c r="C5" s="268"/>
      <c r="D5" s="270"/>
      <c r="E5" s="270"/>
      <c r="F5" s="253"/>
      <c r="G5" s="277"/>
      <c r="H5" s="245"/>
      <c r="I5" s="245"/>
      <c r="J5" s="247"/>
      <c r="K5" s="247"/>
      <c r="L5" s="250"/>
      <c r="M5" s="251"/>
      <c r="N5" s="272"/>
      <c r="O5" s="275"/>
      <c r="P5" s="275"/>
      <c r="Q5" s="18"/>
      <c r="R5" s="64"/>
    </row>
    <row r="6" spans="1:18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1"/>
      <c r="K6" s="42"/>
      <c r="L6" s="43" t="s">
        <v>123</v>
      </c>
      <c r="M6" s="43"/>
      <c r="N6" s="43"/>
      <c r="O6"/>
    </row>
    <row r="7" spans="1:18" ht="15" customHeight="1" x14ac:dyDescent="0.25">
      <c r="A7" s="10">
        <v>1</v>
      </c>
      <c r="B7" s="48">
        <v>43774</v>
      </c>
      <c r="C7" s="17">
        <v>460</v>
      </c>
      <c r="D7" s="17">
        <v>460</v>
      </c>
      <c r="E7" s="16">
        <v>43774</v>
      </c>
      <c r="F7" s="16" t="s">
        <v>181</v>
      </c>
      <c r="G7" s="31">
        <v>136035</v>
      </c>
      <c r="H7" s="17">
        <f>IFERROR(IF(F6="Closed account",(IF(F7="Unpaid Rent",(C7),(C7-D7))),(IF(F7="Unpaid Rent",(C7+H6),(C7-D7+H6)))),"")</f>
        <v>0</v>
      </c>
      <c r="I7" s="17" t="s">
        <v>155</v>
      </c>
      <c r="J7" s="48">
        <v>43774</v>
      </c>
      <c r="K7" s="17">
        <v>139.82</v>
      </c>
      <c r="L7" s="49" t="s">
        <v>16</v>
      </c>
      <c r="N7" t="s">
        <v>155</v>
      </c>
      <c r="O7" t="s">
        <v>155</v>
      </c>
      <c r="P7" s="111">
        <f>SUMIF($I$6:$I$2992,O7,$D$6:$D$2992)-SUMIFS($D$6:$D$2992,$I$6:$I$2992,O7,$F$6:$F$2992,"Unpaid Rent")-(SUMIFS($D$6:$D$2992,$I$6:$I$2992,O7,$F$6:$F$2992,"Discount Rent")*2)-(SUMIFS($D$6:$D$2992,$I$6:$I$2992,O7,$F$6:$F$2992,"Bond Received"))-SUMIF($N$6:$N$2989,O7,$K$6:$K$2989)+SUMIFS($K$6:$K$2989,$N$6:$N$2989,O7,$L$6:$L$2989,"Bond Return")</f>
        <v>1500.3600000000001</v>
      </c>
    </row>
    <row r="8" spans="1:18" ht="15" customHeight="1" x14ac:dyDescent="0.25">
      <c r="A8" s="10">
        <v>1</v>
      </c>
      <c r="B8" s="48">
        <v>43774</v>
      </c>
      <c r="C8" s="17">
        <v>230</v>
      </c>
      <c r="D8" s="17">
        <v>230</v>
      </c>
      <c r="E8" s="16">
        <v>43774</v>
      </c>
      <c r="F8" s="16" t="s">
        <v>114</v>
      </c>
      <c r="H8" s="17">
        <f>IFERROR(IF(F7="Closed account",(IF(F8="Unpaid Rent",(C8),(C8-D8))),(IF(F8="Unpaid Rent",(C8+H7),(C8-D8+H7)))),"")</f>
        <v>0</v>
      </c>
      <c r="I8" s="17" t="s">
        <v>155</v>
      </c>
      <c r="J8" s="48">
        <v>43781</v>
      </c>
      <c r="K8" s="17">
        <v>80</v>
      </c>
      <c r="L8" s="49" t="s">
        <v>17</v>
      </c>
      <c r="M8" t="s">
        <v>203</v>
      </c>
      <c r="N8" t="s">
        <v>155</v>
      </c>
      <c r="O8" s="9" t="s">
        <v>24</v>
      </c>
      <c r="P8" s="111">
        <f t="shared" ref="P8:P15" si="0">SUMIF($I$6:$I$2992,O8,$D$6:$D$2992)-SUMIFS($D$6:$D$2992,$I$6:$I$2992,O8,$F$6:$F$2992,"Unpaid Rent")-(SUMIFS($D$6:$D$2992,$I$6:$I$2992,O8,$F$6:$F$2992,"Discount Rent")*2)-(SUMIFS($D$6:$D$2992,$I$6:$I$2992,O8,$F$6:$F$2992,"Bond Received"))-SUMIF($N$6:$N$2989,O8,$K$6:$K$2989)+SUMIFS($K$6:$K$2989,$N$6:$N$2989,O8,$L$6:$L$2989,"Bond Return")</f>
        <v>519.52</v>
      </c>
    </row>
    <row r="9" spans="1:18" ht="15" customHeight="1" x14ac:dyDescent="0.25">
      <c r="A9" s="10">
        <v>2</v>
      </c>
      <c r="B9" s="48">
        <v>43781</v>
      </c>
      <c r="C9" s="17">
        <v>230</v>
      </c>
      <c r="D9" s="17">
        <v>230</v>
      </c>
      <c r="E9" s="16">
        <v>43781</v>
      </c>
      <c r="F9" s="16" t="s">
        <v>59</v>
      </c>
      <c r="H9" s="17">
        <f t="shared" ref="H9:H72" si="1">IFERROR(IF(F8="Closed account",(IF(F9="Unpaid Rent",(C9),(C9-D9))),(IF(F9="Unpaid Rent",(C9+H8),(C9-D9+H8)))),"")</f>
        <v>0</v>
      </c>
      <c r="I9" s="17" t="s">
        <v>155</v>
      </c>
      <c r="J9" s="48">
        <v>43797</v>
      </c>
      <c r="K9" s="17">
        <v>90</v>
      </c>
      <c r="L9" s="49" t="s">
        <v>26</v>
      </c>
      <c r="N9" t="s">
        <v>155</v>
      </c>
      <c r="O9" s="13" t="s">
        <v>158</v>
      </c>
      <c r="P9" s="111">
        <f t="shared" si="0"/>
        <v>535</v>
      </c>
    </row>
    <row r="10" spans="1:18" ht="15" customHeight="1" x14ac:dyDescent="0.25">
      <c r="A10" s="10">
        <v>3</v>
      </c>
      <c r="B10" s="48">
        <v>43788</v>
      </c>
      <c r="C10" s="17">
        <v>230</v>
      </c>
      <c r="D10" s="17">
        <v>220</v>
      </c>
      <c r="E10" s="16">
        <v>43788</v>
      </c>
      <c r="F10" s="16" t="s">
        <v>59</v>
      </c>
      <c r="H10" s="17">
        <f t="shared" si="1"/>
        <v>10</v>
      </c>
      <c r="I10" s="17" t="s">
        <v>155</v>
      </c>
      <c r="J10" s="48">
        <v>43809</v>
      </c>
      <c r="K10" s="17">
        <v>139.82</v>
      </c>
      <c r="L10" s="49" t="s">
        <v>16</v>
      </c>
      <c r="N10" t="s">
        <v>155</v>
      </c>
      <c r="O10" s="19" t="s">
        <v>93</v>
      </c>
      <c r="P10" s="111">
        <f t="shared" si="0"/>
        <v>4347.7000000000007</v>
      </c>
    </row>
    <row r="11" spans="1:18" ht="15" customHeight="1" x14ac:dyDescent="0.25">
      <c r="A11" s="10">
        <v>4</v>
      </c>
      <c r="B11" s="48">
        <v>43795</v>
      </c>
      <c r="C11" s="17">
        <v>230</v>
      </c>
      <c r="D11" s="17">
        <v>220</v>
      </c>
      <c r="E11" s="16">
        <v>43797</v>
      </c>
      <c r="F11" s="16" t="s">
        <v>59</v>
      </c>
      <c r="H11" s="17">
        <f t="shared" si="1"/>
        <v>20</v>
      </c>
      <c r="I11" s="17" t="s">
        <v>155</v>
      </c>
      <c r="J11" s="48">
        <v>43800</v>
      </c>
      <c r="K11" s="17">
        <v>460</v>
      </c>
      <c r="L11" s="49" t="s">
        <v>45</v>
      </c>
      <c r="N11" t="s">
        <v>155</v>
      </c>
      <c r="O11" s="9" t="s">
        <v>14</v>
      </c>
      <c r="P11" s="111">
        <f t="shared" si="0"/>
        <v>-751.9</v>
      </c>
    </row>
    <row r="12" spans="1:18" ht="15" customHeight="1" x14ac:dyDescent="0.25">
      <c r="A12" s="10">
        <v>5</v>
      </c>
      <c r="B12" s="48">
        <v>43802</v>
      </c>
      <c r="C12" s="17">
        <v>230</v>
      </c>
      <c r="D12" s="17">
        <v>220</v>
      </c>
      <c r="E12" s="16">
        <v>43802</v>
      </c>
      <c r="F12" s="16" t="s">
        <v>59</v>
      </c>
      <c r="H12" s="17">
        <f t="shared" si="1"/>
        <v>30</v>
      </c>
      <c r="I12" s="17" t="s">
        <v>155</v>
      </c>
      <c r="J12" s="48">
        <v>43835</v>
      </c>
      <c r="K12" s="17">
        <v>86.03</v>
      </c>
      <c r="L12" s="49" t="s">
        <v>32</v>
      </c>
      <c r="N12" t="s">
        <v>24</v>
      </c>
      <c r="P12" s="111">
        <f t="shared" si="0"/>
        <v>0</v>
      </c>
    </row>
    <row r="13" spans="1:18" ht="15" customHeight="1" x14ac:dyDescent="0.25">
      <c r="A13" s="10">
        <v>6</v>
      </c>
      <c r="B13" s="48">
        <v>43809</v>
      </c>
      <c r="C13" s="17">
        <v>200</v>
      </c>
      <c r="D13" s="17">
        <v>240</v>
      </c>
      <c r="E13" s="16">
        <v>43809</v>
      </c>
      <c r="F13" s="16" t="s">
        <v>59</v>
      </c>
      <c r="H13" s="17">
        <f t="shared" si="1"/>
        <v>-10</v>
      </c>
      <c r="I13" s="17" t="s">
        <v>155</v>
      </c>
      <c r="J13" s="48">
        <v>43837</v>
      </c>
      <c r="K13" s="17">
        <v>110.98</v>
      </c>
      <c r="L13" s="49" t="s">
        <v>16</v>
      </c>
      <c r="N13" t="s">
        <v>24</v>
      </c>
      <c r="O13" s="17"/>
      <c r="P13" s="111">
        <f t="shared" si="0"/>
        <v>0</v>
      </c>
    </row>
    <row r="14" spans="1:18" ht="15" customHeight="1" x14ac:dyDescent="0.25">
      <c r="A14" s="10">
        <v>7</v>
      </c>
      <c r="B14" s="48">
        <v>43816</v>
      </c>
      <c r="C14" s="17">
        <v>200</v>
      </c>
      <c r="D14" s="17">
        <v>240</v>
      </c>
      <c r="E14" s="16">
        <v>43818</v>
      </c>
      <c r="F14" s="16" t="s">
        <v>59</v>
      </c>
      <c r="H14" s="17">
        <f t="shared" si="1"/>
        <v>-50</v>
      </c>
      <c r="I14" s="17" t="s">
        <v>155</v>
      </c>
      <c r="J14" s="48">
        <v>43866</v>
      </c>
      <c r="K14" s="17">
        <v>110.98</v>
      </c>
      <c r="L14" s="49" t="s">
        <v>16</v>
      </c>
      <c r="N14" t="s">
        <v>24</v>
      </c>
      <c r="P14" s="111">
        <f t="shared" si="0"/>
        <v>0</v>
      </c>
    </row>
    <row r="15" spans="1:18" ht="15" customHeight="1" x14ac:dyDescent="0.25">
      <c r="A15" s="10">
        <v>8</v>
      </c>
      <c r="B15" s="48">
        <v>43823</v>
      </c>
      <c r="C15" s="17">
        <v>200</v>
      </c>
      <c r="D15" s="17"/>
      <c r="E15" s="16"/>
      <c r="F15" s="16" t="s">
        <v>59</v>
      </c>
      <c r="H15" s="17">
        <f t="shared" si="1"/>
        <v>150</v>
      </c>
      <c r="I15" s="17" t="s">
        <v>155</v>
      </c>
      <c r="J15" s="48">
        <v>43864</v>
      </c>
      <c r="K15" s="17">
        <v>5.5</v>
      </c>
      <c r="L15" s="49" t="s">
        <v>22</v>
      </c>
      <c r="N15" t="s">
        <v>24</v>
      </c>
      <c r="P15" s="111">
        <f t="shared" si="0"/>
        <v>0</v>
      </c>
    </row>
    <row r="16" spans="1:18" ht="15" customHeight="1" x14ac:dyDescent="0.25">
      <c r="A16" s="10">
        <v>9</v>
      </c>
      <c r="B16" s="48">
        <v>43830</v>
      </c>
      <c r="C16" s="17">
        <v>200</v>
      </c>
      <c r="D16" s="17">
        <v>350</v>
      </c>
      <c r="E16" s="16">
        <v>43831</v>
      </c>
      <c r="F16" s="16" t="s">
        <v>124</v>
      </c>
      <c r="H16" s="17">
        <f t="shared" si="1"/>
        <v>0</v>
      </c>
      <c r="I16" s="17" t="s">
        <v>155</v>
      </c>
      <c r="J16" s="48">
        <v>43874</v>
      </c>
      <c r="K16" s="17">
        <v>290</v>
      </c>
      <c r="L16" s="49" t="s">
        <v>17</v>
      </c>
      <c r="M16" t="s">
        <v>156</v>
      </c>
      <c r="N16" t="s">
        <v>14</v>
      </c>
    </row>
    <row r="17" spans="1:14" ht="15" customHeight="1" x14ac:dyDescent="0.25">
      <c r="A17" s="10">
        <v>1</v>
      </c>
      <c r="B17" s="48">
        <v>43835</v>
      </c>
      <c r="C17" s="17">
        <v>250</v>
      </c>
      <c r="D17" s="17">
        <v>250</v>
      </c>
      <c r="E17" s="16">
        <v>43835</v>
      </c>
      <c r="F17" s="16" t="s">
        <v>114</v>
      </c>
      <c r="H17" s="17">
        <f t="shared" si="1"/>
        <v>0</v>
      </c>
      <c r="I17" s="17" t="s">
        <v>24</v>
      </c>
      <c r="J17" s="48">
        <v>43895</v>
      </c>
      <c r="K17" s="17">
        <v>110.98</v>
      </c>
      <c r="L17" s="49" t="s">
        <v>16</v>
      </c>
      <c r="N17" t="s">
        <v>24</v>
      </c>
    </row>
    <row r="18" spans="1:14" ht="15" customHeight="1" x14ac:dyDescent="0.25">
      <c r="A18" s="10">
        <v>2</v>
      </c>
      <c r="B18" s="48">
        <v>43842</v>
      </c>
      <c r="C18" s="17">
        <v>250</v>
      </c>
      <c r="D18" s="17"/>
      <c r="E18" s="16"/>
      <c r="F18" s="16"/>
      <c r="H18" s="17">
        <f t="shared" si="1"/>
        <v>250</v>
      </c>
      <c r="I18" s="17" t="s">
        <v>24</v>
      </c>
      <c r="J18" s="48">
        <v>43896</v>
      </c>
      <c r="K18" s="17">
        <v>50</v>
      </c>
      <c r="L18" s="49" t="s">
        <v>26</v>
      </c>
      <c r="N18" t="s">
        <v>24</v>
      </c>
    </row>
    <row r="19" spans="1:14" ht="15" customHeight="1" x14ac:dyDescent="0.25">
      <c r="A19" s="10">
        <v>3</v>
      </c>
      <c r="B19" s="48">
        <v>43849</v>
      </c>
      <c r="C19" s="17">
        <v>250</v>
      </c>
      <c r="D19" s="17">
        <v>200</v>
      </c>
      <c r="E19" s="16">
        <v>43851</v>
      </c>
      <c r="F19" s="16"/>
      <c r="H19" s="17">
        <f t="shared" si="1"/>
        <v>300</v>
      </c>
      <c r="I19" s="17" t="s">
        <v>24</v>
      </c>
      <c r="J19" s="48">
        <v>43896</v>
      </c>
      <c r="K19" s="17">
        <v>71.959999999999994</v>
      </c>
      <c r="L19" s="49" t="s">
        <v>32</v>
      </c>
      <c r="N19" t="s">
        <v>24</v>
      </c>
    </row>
    <row r="20" spans="1:14" ht="15" customHeight="1" x14ac:dyDescent="0.25">
      <c r="A20" s="10">
        <v>4</v>
      </c>
      <c r="B20" s="48">
        <v>43856</v>
      </c>
      <c r="C20" s="17">
        <v>250</v>
      </c>
      <c r="D20" s="17"/>
      <c r="E20" s="16"/>
      <c r="F20" s="16"/>
      <c r="H20" s="17">
        <f t="shared" si="1"/>
        <v>550</v>
      </c>
      <c r="I20" s="17" t="s">
        <v>24</v>
      </c>
      <c r="J20" s="48">
        <v>43896</v>
      </c>
      <c r="K20" s="17">
        <v>25.99</v>
      </c>
      <c r="L20" s="49" t="s">
        <v>26</v>
      </c>
      <c r="N20" t="s">
        <v>24</v>
      </c>
    </row>
    <row r="21" spans="1:14" ht="15" customHeight="1" x14ac:dyDescent="0.25">
      <c r="A21" s="10">
        <v>5</v>
      </c>
      <c r="B21" s="48">
        <v>43863</v>
      </c>
      <c r="C21" s="17">
        <v>250</v>
      </c>
      <c r="D21" s="17">
        <v>500</v>
      </c>
      <c r="E21" s="16">
        <v>43864</v>
      </c>
      <c r="F21" s="16" t="s">
        <v>59</v>
      </c>
      <c r="H21" s="17">
        <f t="shared" si="1"/>
        <v>300</v>
      </c>
      <c r="I21" s="17" t="s">
        <v>24</v>
      </c>
      <c r="J21" s="48">
        <v>43896</v>
      </c>
      <c r="K21" s="17">
        <v>108.06</v>
      </c>
      <c r="L21" s="49" t="s">
        <v>26</v>
      </c>
      <c r="N21" t="s">
        <v>24</v>
      </c>
    </row>
    <row r="22" spans="1:14" ht="15" customHeight="1" x14ac:dyDescent="0.25">
      <c r="A22" s="10">
        <v>6</v>
      </c>
      <c r="B22" s="48">
        <v>43870</v>
      </c>
      <c r="C22" s="17">
        <v>250</v>
      </c>
      <c r="D22" s="17"/>
      <c r="E22" s="16"/>
      <c r="F22" s="16"/>
      <c r="H22" s="17">
        <f t="shared" si="1"/>
        <v>550</v>
      </c>
      <c r="I22" s="17" t="s">
        <v>24</v>
      </c>
      <c r="J22" s="48">
        <v>43912</v>
      </c>
      <c r="K22" s="17">
        <v>250</v>
      </c>
      <c r="L22" s="49" t="s">
        <v>45</v>
      </c>
      <c r="N22" t="s">
        <v>158</v>
      </c>
    </row>
    <row r="23" spans="1:14" ht="15" customHeight="1" x14ac:dyDescent="0.25">
      <c r="A23" s="10">
        <v>7</v>
      </c>
      <c r="B23" s="48">
        <v>43877</v>
      </c>
      <c r="C23" s="17">
        <v>250</v>
      </c>
      <c r="D23" s="17"/>
      <c r="E23" s="16"/>
      <c r="F23" s="16"/>
      <c r="H23" s="17">
        <f t="shared" si="1"/>
        <v>800</v>
      </c>
      <c r="I23" s="17" t="s">
        <v>24</v>
      </c>
      <c r="J23" s="48">
        <v>43917</v>
      </c>
      <c r="K23" s="17">
        <v>7.95</v>
      </c>
      <c r="L23" s="49" t="s">
        <v>53</v>
      </c>
      <c r="M23" t="s">
        <v>187</v>
      </c>
      <c r="N23" t="s">
        <v>93</v>
      </c>
    </row>
    <row r="24" spans="1:14" ht="15" customHeight="1" x14ac:dyDescent="0.25">
      <c r="A24" s="10">
        <v>9</v>
      </c>
      <c r="B24" s="48">
        <v>43884</v>
      </c>
      <c r="C24" s="17">
        <v>250</v>
      </c>
      <c r="D24" s="17">
        <v>250</v>
      </c>
      <c r="E24" s="16">
        <v>43883</v>
      </c>
      <c r="H24" s="17">
        <f t="shared" si="1"/>
        <v>800</v>
      </c>
      <c r="I24" s="17" t="s">
        <v>24</v>
      </c>
      <c r="J24" s="48">
        <v>43928</v>
      </c>
      <c r="K24" s="17">
        <v>146.19</v>
      </c>
      <c r="L24" s="49" t="s">
        <v>16</v>
      </c>
      <c r="N24" t="s">
        <v>93</v>
      </c>
    </row>
    <row r="25" spans="1:14" ht="15" customHeight="1" x14ac:dyDescent="0.25">
      <c r="A25" s="10">
        <v>10</v>
      </c>
      <c r="B25" s="48">
        <v>43891</v>
      </c>
      <c r="C25" s="17">
        <v>250</v>
      </c>
      <c r="D25" s="17"/>
      <c r="E25" s="16"/>
      <c r="F25" t="s">
        <v>124</v>
      </c>
      <c r="H25" s="17">
        <f t="shared" si="1"/>
        <v>1050</v>
      </c>
      <c r="I25" s="17" t="s">
        <v>24</v>
      </c>
      <c r="J25" s="48">
        <v>43948</v>
      </c>
      <c r="K25" s="17">
        <v>5.5</v>
      </c>
      <c r="L25" s="49" t="s">
        <v>22</v>
      </c>
      <c r="N25" t="s">
        <v>93</v>
      </c>
    </row>
    <row r="26" spans="1:14" ht="15" customHeight="1" x14ac:dyDescent="0.25">
      <c r="A26" s="10">
        <v>1</v>
      </c>
      <c r="B26" s="48">
        <v>43897</v>
      </c>
      <c r="C26" s="17">
        <v>250</v>
      </c>
      <c r="D26" s="17">
        <v>250</v>
      </c>
      <c r="E26" s="16">
        <v>43896</v>
      </c>
      <c r="F26" s="16" t="s">
        <v>181</v>
      </c>
      <c r="H26" s="17">
        <f t="shared" si="1"/>
        <v>0</v>
      </c>
      <c r="I26" s="17" t="s">
        <v>158</v>
      </c>
      <c r="J26" s="48">
        <v>43971</v>
      </c>
      <c r="K26" s="17">
        <v>60</v>
      </c>
      <c r="L26" s="49" t="s">
        <v>34</v>
      </c>
      <c r="N26" t="s">
        <v>93</v>
      </c>
    </row>
    <row r="27" spans="1:14" ht="15" customHeight="1" x14ac:dyDescent="0.25">
      <c r="A27" s="10">
        <v>1</v>
      </c>
      <c r="B27" s="48">
        <v>43897</v>
      </c>
      <c r="C27" s="17">
        <v>250</v>
      </c>
      <c r="D27" s="17">
        <v>250</v>
      </c>
      <c r="E27" s="16">
        <v>43896</v>
      </c>
      <c r="F27" s="16" t="s">
        <v>114</v>
      </c>
      <c r="H27" s="17">
        <f t="shared" si="1"/>
        <v>0</v>
      </c>
      <c r="I27" s="17" t="s">
        <v>158</v>
      </c>
      <c r="J27" s="48">
        <v>43974</v>
      </c>
      <c r="K27" s="17">
        <v>22</v>
      </c>
      <c r="L27" s="49" t="s">
        <v>34</v>
      </c>
      <c r="N27" t="s">
        <v>93</v>
      </c>
    </row>
    <row r="28" spans="1:14" ht="15" customHeight="1" x14ac:dyDescent="0.25">
      <c r="A28" s="10">
        <v>2</v>
      </c>
      <c r="B28" s="48">
        <v>43904</v>
      </c>
      <c r="C28" s="17">
        <v>250</v>
      </c>
      <c r="D28" s="17">
        <v>250</v>
      </c>
      <c r="E28" s="16">
        <v>43906</v>
      </c>
      <c r="F28" s="16" t="s">
        <v>114</v>
      </c>
      <c r="H28" s="17">
        <f t="shared" si="1"/>
        <v>0</v>
      </c>
      <c r="I28" s="17" t="s">
        <v>158</v>
      </c>
      <c r="J28" s="48">
        <v>43978</v>
      </c>
      <c r="K28" s="17">
        <v>56.9</v>
      </c>
      <c r="L28" s="49" t="s">
        <v>17</v>
      </c>
      <c r="M28" t="s">
        <v>188</v>
      </c>
      <c r="N28" t="s">
        <v>14</v>
      </c>
    </row>
    <row r="29" spans="1:14" ht="15" customHeight="1" x14ac:dyDescent="0.25">
      <c r="A29" s="10">
        <v>3</v>
      </c>
      <c r="B29" s="48">
        <v>43911</v>
      </c>
      <c r="C29" s="17">
        <v>35</v>
      </c>
      <c r="D29" s="17">
        <v>35</v>
      </c>
      <c r="E29" s="16">
        <v>43912</v>
      </c>
      <c r="F29" s="16" t="s">
        <v>124</v>
      </c>
      <c r="H29" s="17">
        <f t="shared" si="1"/>
        <v>0</v>
      </c>
      <c r="I29" s="17" t="s">
        <v>158</v>
      </c>
      <c r="J29" s="48">
        <v>43956</v>
      </c>
      <c r="K29" s="17">
        <v>146.19</v>
      </c>
      <c r="L29" s="49" t="s">
        <v>16</v>
      </c>
      <c r="N29" t="s">
        <v>93</v>
      </c>
    </row>
    <row r="30" spans="1:14" ht="15" customHeight="1" x14ac:dyDescent="0.25">
      <c r="A30" s="10">
        <v>1</v>
      </c>
      <c r="B30" s="48">
        <v>43917</v>
      </c>
      <c r="C30" s="17">
        <v>180</v>
      </c>
      <c r="D30" s="17">
        <v>180</v>
      </c>
      <c r="E30" s="16">
        <v>43917</v>
      </c>
      <c r="F30" s="16" t="s">
        <v>181</v>
      </c>
      <c r="H30" s="17">
        <f t="shared" si="1"/>
        <v>0</v>
      </c>
      <c r="I30" s="17" t="s">
        <v>93</v>
      </c>
      <c r="J30" s="48">
        <v>43979</v>
      </c>
      <c r="K30" s="17">
        <v>120</v>
      </c>
      <c r="L30" s="49" t="s">
        <v>17</v>
      </c>
      <c r="M30" t="s">
        <v>178</v>
      </c>
      <c r="N30" t="s">
        <v>14</v>
      </c>
    </row>
    <row r="31" spans="1:14" ht="15" customHeight="1" x14ac:dyDescent="0.25">
      <c r="A31" s="10">
        <v>1</v>
      </c>
      <c r="B31" s="48">
        <v>43917</v>
      </c>
      <c r="C31" s="17">
        <v>180</v>
      </c>
      <c r="D31" s="17">
        <v>180</v>
      </c>
      <c r="E31" s="16">
        <v>43916</v>
      </c>
      <c r="F31" s="16" t="s">
        <v>114</v>
      </c>
      <c r="H31" s="17">
        <f t="shared" si="1"/>
        <v>0</v>
      </c>
      <c r="I31" s="17" t="s">
        <v>93</v>
      </c>
      <c r="J31" s="48">
        <v>44020</v>
      </c>
      <c r="K31" s="17">
        <v>130</v>
      </c>
      <c r="L31" s="49" t="s">
        <v>26</v>
      </c>
      <c r="N31" t="s">
        <v>93</v>
      </c>
    </row>
    <row r="32" spans="1:14" ht="15" customHeight="1" x14ac:dyDescent="0.25">
      <c r="A32" s="10">
        <v>2</v>
      </c>
      <c r="B32" s="48">
        <v>43924</v>
      </c>
      <c r="C32" s="17"/>
      <c r="D32" s="17"/>
      <c r="E32" s="16"/>
      <c r="F32" s="16"/>
      <c r="H32" s="17">
        <f t="shared" si="1"/>
        <v>0</v>
      </c>
      <c r="I32" s="17" t="s">
        <v>93</v>
      </c>
      <c r="J32" s="48">
        <v>44069</v>
      </c>
      <c r="K32" s="17">
        <v>0.99</v>
      </c>
      <c r="L32" s="49" t="s">
        <v>22</v>
      </c>
      <c r="N32" t="s">
        <v>93</v>
      </c>
    </row>
    <row r="33" spans="1:14" ht="15" customHeight="1" x14ac:dyDescent="0.25">
      <c r="A33" s="10">
        <v>3</v>
      </c>
      <c r="B33" s="48">
        <v>43931</v>
      </c>
      <c r="C33" s="17"/>
      <c r="D33" s="17"/>
      <c r="E33" s="16">
        <v>43941</v>
      </c>
      <c r="F33" s="16" t="s">
        <v>59</v>
      </c>
      <c r="H33" s="17">
        <f t="shared" si="1"/>
        <v>0</v>
      </c>
      <c r="I33" s="17" t="s">
        <v>93</v>
      </c>
      <c r="J33" s="48">
        <v>44081</v>
      </c>
      <c r="K33" s="17">
        <v>135.59</v>
      </c>
      <c r="L33" s="49" t="s">
        <v>16</v>
      </c>
      <c r="N33" t="s">
        <v>93</v>
      </c>
    </row>
    <row r="34" spans="1:14" ht="15" customHeight="1" x14ac:dyDescent="0.25">
      <c r="A34" s="10">
        <v>4</v>
      </c>
      <c r="B34" s="48">
        <v>43938</v>
      </c>
      <c r="C34" s="17">
        <v>180</v>
      </c>
      <c r="D34" s="17">
        <v>180</v>
      </c>
      <c r="E34" s="16">
        <v>43942</v>
      </c>
      <c r="F34" s="16" t="s">
        <v>59</v>
      </c>
      <c r="H34" s="17">
        <f t="shared" si="1"/>
        <v>0</v>
      </c>
      <c r="I34" s="17" t="s">
        <v>93</v>
      </c>
      <c r="J34" s="48">
        <v>44088</v>
      </c>
      <c r="K34" s="17">
        <v>90</v>
      </c>
      <c r="L34" s="49" t="s">
        <v>26</v>
      </c>
      <c r="N34" t="s">
        <v>93</v>
      </c>
    </row>
    <row r="35" spans="1:14" ht="15" customHeight="1" x14ac:dyDescent="0.25">
      <c r="A35" s="10">
        <v>5</v>
      </c>
      <c r="B35" s="48">
        <v>43945</v>
      </c>
      <c r="C35" s="17">
        <v>180</v>
      </c>
      <c r="D35" s="17"/>
      <c r="E35" s="16"/>
      <c r="F35" s="16"/>
      <c r="H35" s="17">
        <f t="shared" si="1"/>
        <v>180</v>
      </c>
      <c r="I35" s="17" t="s">
        <v>93</v>
      </c>
      <c r="J35" s="48">
        <v>44083</v>
      </c>
      <c r="K35" s="17">
        <v>0.99</v>
      </c>
      <c r="L35" s="49" t="s">
        <v>22</v>
      </c>
      <c r="N35" t="s">
        <v>93</v>
      </c>
    </row>
    <row r="36" spans="1:14" ht="15" customHeight="1" x14ac:dyDescent="0.25">
      <c r="A36" s="10">
        <v>6</v>
      </c>
      <c r="B36" s="48">
        <v>43952</v>
      </c>
      <c r="C36" s="17">
        <v>180</v>
      </c>
      <c r="D36" s="17">
        <v>360</v>
      </c>
      <c r="E36" s="16">
        <v>43955</v>
      </c>
      <c r="F36" s="16" t="s">
        <v>59</v>
      </c>
      <c r="H36" s="17">
        <f t="shared" si="1"/>
        <v>0</v>
      </c>
      <c r="I36" s="17" t="s">
        <v>93</v>
      </c>
      <c r="J36" s="48">
        <v>44090</v>
      </c>
      <c r="K36" s="17">
        <v>2.75</v>
      </c>
      <c r="L36" s="49" t="s">
        <v>22</v>
      </c>
      <c r="N36" t="s">
        <v>93</v>
      </c>
    </row>
    <row r="37" spans="1:14" ht="15" customHeight="1" x14ac:dyDescent="0.25">
      <c r="A37" s="10">
        <v>7</v>
      </c>
      <c r="B37" s="48">
        <v>43959</v>
      </c>
      <c r="C37" s="17">
        <v>180</v>
      </c>
      <c r="D37" s="17"/>
      <c r="E37" s="16"/>
      <c r="H37" s="17">
        <f t="shared" si="1"/>
        <v>180</v>
      </c>
      <c r="I37" s="17" t="s">
        <v>93</v>
      </c>
      <c r="J37" s="48">
        <v>44113</v>
      </c>
      <c r="K37" s="17">
        <v>135.59</v>
      </c>
      <c r="L37" s="49" t="s">
        <v>16</v>
      </c>
      <c r="N37" t="s">
        <v>93</v>
      </c>
    </row>
    <row r="38" spans="1:14" ht="15" customHeight="1" x14ac:dyDescent="0.25">
      <c r="A38" s="10">
        <v>8</v>
      </c>
      <c r="B38" s="48">
        <v>43966</v>
      </c>
      <c r="C38" s="17">
        <v>180</v>
      </c>
      <c r="D38" s="17"/>
      <c r="E38" s="16"/>
      <c r="F38" s="16"/>
      <c r="H38" s="17">
        <f t="shared" si="1"/>
        <v>360</v>
      </c>
      <c r="I38" s="17" t="s">
        <v>93</v>
      </c>
      <c r="J38" s="48">
        <v>44117</v>
      </c>
      <c r="K38" s="17">
        <v>55.1</v>
      </c>
      <c r="L38" s="49" t="s">
        <v>54</v>
      </c>
      <c r="N38" t="s">
        <v>93</v>
      </c>
    </row>
    <row r="39" spans="1:14" ht="15" customHeight="1" x14ac:dyDescent="0.25">
      <c r="A39" s="10">
        <v>9</v>
      </c>
      <c r="B39" s="48">
        <v>43973</v>
      </c>
      <c r="C39" s="17">
        <v>180</v>
      </c>
      <c r="D39" s="17"/>
      <c r="E39" s="16"/>
      <c r="F39" s="16"/>
      <c r="H39" s="17">
        <f t="shared" si="1"/>
        <v>540</v>
      </c>
      <c r="I39" s="17" t="s">
        <v>93</v>
      </c>
      <c r="J39" s="48">
        <v>44111</v>
      </c>
      <c r="K39" s="17">
        <v>0.99</v>
      </c>
      <c r="L39" s="49" t="s">
        <v>22</v>
      </c>
      <c r="N39" t="s">
        <v>93</v>
      </c>
    </row>
    <row r="40" spans="1:14" ht="15" customHeight="1" x14ac:dyDescent="0.25">
      <c r="A40" s="10">
        <v>10</v>
      </c>
      <c r="B40" s="48">
        <v>43980</v>
      </c>
      <c r="C40" s="17">
        <v>180</v>
      </c>
      <c r="D40" s="17">
        <v>360</v>
      </c>
      <c r="E40" s="16">
        <v>43978</v>
      </c>
      <c r="F40" s="16" t="s">
        <v>59</v>
      </c>
      <c r="H40" s="17">
        <f t="shared" si="1"/>
        <v>360</v>
      </c>
      <c r="I40" s="17" t="s">
        <v>93</v>
      </c>
      <c r="J40" s="48">
        <v>44130</v>
      </c>
      <c r="K40" s="17">
        <v>198</v>
      </c>
      <c r="L40" s="49" t="s">
        <v>20</v>
      </c>
      <c r="N40" t="s">
        <v>93</v>
      </c>
    </row>
    <row r="41" spans="1:14" ht="15" customHeight="1" x14ac:dyDescent="0.25">
      <c r="A41" s="10">
        <v>11</v>
      </c>
      <c r="B41" s="48">
        <v>43987</v>
      </c>
      <c r="C41" s="17">
        <v>180</v>
      </c>
      <c r="D41" s="17">
        <v>360</v>
      </c>
      <c r="E41" s="16">
        <v>43992</v>
      </c>
      <c r="F41" s="16" t="s">
        <v>59</v>
      </c>
      <c r="H41" s="17">
        <f t="shared" si="1"/>
        <v>180</v>
      </c>
      <c r="I41" s="17" t="s">
        <v>93</v>
      </c>
      <c r="J41" s="48">
        <v>44146</v>
      </c>
      <c r="K41" s="17">
        <v>0.99</v>
      </c>
      <c r="L41" s="49" t="s">
        <v>22</v>
      </c>
      <c r="N41" t="s">
        <v>93</v>
      </c>
    </row>
    <row r="42" spans="1:14" ht="15" customHeight="1" x14ac:dyDescent="0.25">
      <c r="A42" s="10">
        <v>12</v>
      </c>
      <c r="B42" s="48">
        <v>43994</v>
      </c>
      <c r="C42" s="17">
        <v>180</v>
      </c>
      <c r="D42" s="17"/>
      <c r="E42" s="16"/>
      <c r="H42" s="17">
        <f t="shared" si="1"/>
        <v>360</v>
      </c>
      <c r="I42" s="17" t="s">
        <v>93</v>
      </c>
      <c r="J42" s="48">
        <v>44153</v>
      </c>
      <c r="K42" s="17">
        <v>0.99</v>
      </c>
      <c r="L42" s="49" t="s">
        <v>22</v>
      </c>
      <c r="N42" t="s">
        <v>93</v>
      </c>
    </row>
    <row r="43" spans="1:14" ht="15" customHeight="1" x14ac:dyDescent="0.25">
      <c r="A43" s="10">
        <v>13</v>
      </c>
      <c r="B43" s="48">
        <v>44001</v>
      </c>
      <c r="C43" s="17">
        <v>180</v>
      </c>
      <c r="D43" s="17"/>
      <c r="E43" s="16"/>
      <c r="F43" s="16"/>
      <c r="H43" s="17">
        <f t="shared" si="1"/>
        <v>540</v>
      </c>
      <c r="I43" s="17" t="s">
        <v>93</v>
      </c>
      <c r="J43" s="48">
        <v>44153</v>
      </c>
      <c r="K43" s="17">
        <v>2.75</v>
      </c>
      <c r="L43" s="49" t="s">
        <v>22</v>
      </c>
      <c r="N43" t="s">
        <v>93</v>
      </c>
    </row>
    <row r="44" spans="1:14" ht="15" customHeight="1" x14ac:dyDescent="0.25">
      <c r="A44" s="10">
        <v>14</v>
      </c>
      <c r="B44" s="48">
        <v>44008</v>
      </c>
      <c r="C44" s="17">
        <v>180</v>
      </c>
      <c r="D44" s="17"/>
      <c r="E44" s="16"/>
      <c r="F44" s="16"/>
      <c r="H44" s="17">
        <f t="shared" si="1"/>
        <v>720</v>
      </c>
      <c r="I44" s="17" t="s">
        <v>93</v>
      </c>
      <c r="J44" s="48">
        <v>44160</v>
      </c>
      <c r="K44" s="17">
        <v>2.75</v>
      </c>
      <c r="L44" s="49" t="s">
        <v>22</v>
      </c>
      <c r="N44" t="s">
        <v>93</v>
      </c>
    </row>
    <row r="45" spans="1:14" ht="15" customHeight="1" x14ac:dyDescent="0.25">
      <c r="A45" s="10">
        <v>15</v>
      </c>
      <c r="B45" s="48">
        <v>44015</v>
      </c>
      <c r="C45" s="17">
        <v>180</v>
      </c>
      <c r="D45" s="17">
        <v>540</v>
      </c>
      <c r="E45" s="16">
        <v>44013</v>
      </c>
      <c r="F45" t="s">
        <v>59</v>
      </c>
      <c r="H45" s="17">
        <f t="shared" si="1"/>
        <v>360</v>
      </c>
      <c r="I45" s="17" t="s">
        <v>93</v>
      </c>
      <c r="J45" s="48">
        <v>44167</v>
      </c>
      <c r="K45" s="17">
        <v>0.99</v>
      </c>
      <c r="L45" s="49" t="s">
        <v>22</v>
      </c>
      <c r="N45" t="s">
        <v>93</v>
      </c>
    </row>
    <row r="46" spans="1:14" ht="15" customHeight="1" x14ac:dyDescent="0.25">
      <c r="A46" s="10">
        <v>16</v>
      </c>
      <c r="B46" s="48">
        <v>44022</v>
      </c>
      <c r="C46" s="17">
        <v>180</v>
      </c>
      <c r="D46" s="17">
        <v>180</v>
      </c>
      <c r="E46" s="16">
        <v>44020</v>
      </c>
      <c r="F46" t="s">
        <v>59</v>
      </c>
      <c r="H46" s="17">
        <f t="shared" si="1"/>
        <v>360</v>
      </c>
      <c r="I46" s="17" t="s">
        <v>93</v>
      </c>
      <c r="J46" s="48">
        <v>44176</v>
      </c>
      <c r="K46" s="17">
        <v>460</v>
      </c>
      <c r="L46" s="49" t="s">
        <v>17</v>
      </c>
      <c r="M46" t="s">
        <v>178</v>
      </c>
      <c r="N46" t="s">
        <v>93</v>
      </c>
    </row>
    <row r="47" spans="1:14" ht="15" customHeight="1" x14ac:dyDescent="0.25">
      <c r="A47" s="10">
        <v>17</v>
      </c>
      <c r="B47" s="48">
        <v>44029</v>
      </c>
      <c r="C47" s="17">
        <v>180</v>
      </c>
      <c r="D47" s="17">
        <v>180</v>
      </c>
      <c r="E47" s="16">
        <v>44027</v>
      </c>
      <c r="F47" t="s">
        <v>59</v>
      </c>
      <c r="H47" s="17">
        <f t="shared" si="1"/>
        <v>360</v>
      </c>
      <c r="I47" s="17" t="s">
        <v>93</v>
      </c>
      <c r="J47" s="48">
        <v>44205</v>
      </c>
      <c r="K47" s="17">
        <v>39.44</v>
      </c>
      <c r="L47" s="49" t="s">
        <v>45</v>
      </c>
      <c r="M47" t="s">
        <v>32</v>
      </c>
      <c r="N47" t="s">
        <v>93</v>
      </c>
    </row>
    <row r="48" spans="1:14" ht="15" customHeight="1" x14ac:dyDescent="0.25">
      <c r="A48" s="10">
        <v>18</v>
      </c>
      <c r="B48" s="48">
        <v>44036</v>
      </c>
      <c r="C48" s="17">
        <v>180</v>
      </c>
      <c r="D48" s="17">
        <v>180</v>
      </c>
      <c r="E48" s="16">
        <v>44034</v>
      </c>
      <c r="F48" t="s">
        <v>59</v>
      </c>
      <c r="H48" s="17">
        <f t="shared" si="1"/>
        <v>360</v>
      </c>
      <c r="I48" s="17" t="s">
        <v>93</v>
      </c>
      <c r="J48" s="48">
        <v>44211</v>
      </c>
      <c r="K48" s="17">
        <v>726</v>
      </c>
      <c r="L48" s="49" t="s">
        <v>17</v>
      </c>
      <c r="N48" t="s">
        <v>93</v>
      </c>
    </row>
    <row r="49" spans="1:14" ht="15" customHeight="1" x14ac:dyDescent="0.25">
      <c r="A49" s="10">
        <v>19</v>
      </c>
      <c r="B49" s="48">
        <v>44043</v>
      </c>
      <c r="C49" s="17">
        <v>150</v>
      </c>
      <c r="D49" s="17">
        <v>250</v>
      </c>
      <c r="E49" s="16">
        <v>44044</v>
      </c>
      <c r="F49" t="s">
        <v>117</v>
      </c>
      <c r="G49" s="31" t="s">
        <v>592</v>
      </c>
      <c r="H49" s="17">
        <f t="shared" si="1"/>
        <v>260</v>
      </c>
      <c r="I49" s="17" t="s">
        <v>93</v>
      </c>
      <c r="J49" s="48">
        <v>44243</v>
      </c>
      <c r="K49" s="17">
        <v>140</v>
      </c>
      <c r="L49" s="49" t="s">
        <v>45</v>
      </c>
      <c r="M49" t="s">
        <v>206</v>
      </c>
      <c r="N49" t="s">
        <v>93</v>
      </c>
    </row>
    <row r="50" spans="1:14" ht="15" customHeight="1" x14ac:dyDescent="0.25">
      <c r="A50" s="10">
        <v>20</v>
      </c>
      <c r="B50" s="48">
        <v>44050</v>
      </c>
      <c r="C50" s="17">
        <v>150</v>
      </c>
      <c r="D50" s="17"/>
      <c r="E50" s="16"/>
      <c r="H50" s="17">
        <f t="shared" si="1"/>
        <v>410</v>
      </c>
      <c r="I50" s="17" t="s">
        <v>93</v>
      </c>
      <c r="J50" s="48">
        <v>44259</v>
      </c>
      <c r="K50" s="17">
        <v>189.04</v>
      </c>
      <c r="L50" s="49" t="s">
        <v>45</v>
      </c>
      <c r="M50" t="s">
        <v>206</v>
      </c>
      <c r="N50" t="s">
        <v>93</v>
      </c>
    </row>
    <row r="51" spans="1:14" ht="15" customHeight="1" x14ac:dyDescent="0.25">
      <c r="A51" s="10">
        <v>21</v>
      </c>
      <c r="B51" s="48">
        <v>44057</v>
      </c>
      <c r="C51" s="17">
        <v>150</v>
      </c>
      <c r="D51" s="17">
        <v>300</v>
      </c>
      <c r="E51" s="16">
        <v>44062</v>
      </c>
      <c r="F51" t="s">
        <v>59</v>
      </c>
      <c r="H51" s="17">
        <f t="shared" si="1"/>
        <v>260</v>
      </c>
      <c r="I51" s="17" t="s">
        <v>93</v>
      </c>
      <c r="J51" s="48"/>
      <c r="K51" s="17"/>
      <c r="L51" s="49"/>
    </row>
    <row r="52" spans="1:14" ht="15" customHeight="1" x14ac:dyDescent="0.25">
      <c r="A52" s="10">
        <v>22</v>
      </c>
      <c r="B52" s="48">
        <v>44064</v>
      </c>
      <c r="C52" s="17">
        <v>150</v>
      </c>
      <c r="D52" s="17"/>
      <c r="E52" s="16">
        <v>44061</v>
      </c>
      <c r="F52" t="s">
        <v>117</v>
      </c>
      <c r="H52" s="17">
        <f t="shared" si="1"/>
        <v>410</v>
      </c>
      <c r="I52" s="17" t="s">
        <v>93</v>
      </c>
      <c r="J52" s="48"/>
      <c r="K52" s="17"/>
      <c r="L52" s="49"/>
    </row>
    <row r="53" spans="1:14" ht="15" customHeight="1" x14ac:dyDescent="0.25">
      <c r="A53" s="10">
        <v>23</v>
      </c>
      <c r="B53" s="48">
        <f t="shared" ref="B53:B70" si="2">B52+7</f>
        <v>44071</v>
      </c>
      <c r="C53" s="17">
        <f>C52</f>
        <v>150</v>
      </c>
      <c r="D53" s="17">
        <v>300</v>
      </c>
      <c r="E53" s="16">
        <v>44076</v>
      </c>
      <c r="F53" t="s">
        <v>59</v>
      </c>
      <c r="G53" s="157"/>
      <c r="H53" s="17">
        <f t="shared" si="1"/>
        <v>260</v>
      </c>
      <c r="I53" s="17" t="s">
        <v>93</v>
      </c>
      <c r="J53" s="48"/>
      <c r="K53" s="17"/>
      <c r="L53" s="49"/>
    </row>
    <row r="54" spans="1:14" ht="15" customHeight="1" x14ac:dyDescent="0.25">
      <c r="A54" s="10">
        <v>24</v>
      </c>
      <c r="B54" s="48">
        <f t="shared" si="2"/>
        <v>44078</v>
      </c>
      <c r="C54" s="17">
        <f>C53</f>
        <v>150</v>
      </c>
      <c r="D54" s="17"/>
      <c r="H54" s="17">
        <f t="shared" si="1"/>
        <v>410</v>
      </c>
      <c r="I54" s="17" t="s">
        <v>93</v>
      </c>
      <c r="J54" s="48"/>
      <c r="K54" s="17"/>
      <c r="L54" s="49"/>
    </row>
    <row r="55" spans="1:14" ht="15" customHeight="1" x14ac:dyDescent="0.25">
      <c r="A55" s="10">
        <v>25</v>
      </c>
      <c r="B55" s="48">
        <f t="shared" si="2"/>
        <v>44085</v>
      </c>
      <c r="C55" s="17">
        <v>150</v>
      </c>
      <c r="D55" s="17"/>
      <c r="H55" s="17">
        <f t="shared" si="1"/>
        <v>560</v>
      </c>
      <c r="I55" s="17" t="s">
        <v>93</v>
      </c>
      <c r="J55" s="48"/>
      <c r="K55" s="17"/>
      <c r="L55" s="49"/>
    </row>
    <row r="56" spans="1:14" ht="15" customHeight="1" x14ac:dyDescent="0.25">
      <c r="A56" s="10">
        <v>26</v>
      </c>
      <c r="B56" s="48">
        <f t="shared" si="2"/>
        <v>44092</v>
      </c>
      <c r="C56" s="17">
        <v>150</v>
      </c>
      <c r="D56" s="17">
        <v>300</v>
      </c>
      <c r="E56" s="16">
        <v>44097</v>
      </c>
      <c r="F56" t="s">
        <v>59</v>
      </c>
      <c r="H56" s="17">
        <f t="shared" si="1"/>
        <v>410</v>
      </c>
      <c r="I56" s="17" t="s">
        <v>93</v>
      </c>
      <c r="J56" s="48"/>
      <c r="K56" s="17"/>
      <c r="L56" s="49"/>
    </row>
    <row r="57" spans="1:14" ht="15" customHeight="1" x14ac:dyDescent="0.25">
      <c r="A57" s="10">
        <v>27</v>
      </c>
      <c r="B57" s="48">
        <f t="shared" si="2"/>
        <v>44099</v>
      </c>
      <c r="C57" s="17">
        <v>150</v>
      </c>
      <c r="D57" s="17"/>
      <c r="H57" s="17">
        <f t="shared" si="1"/>
        <v>560</v>
      </c>
      <c r="I57" s="17" t="s">
        <v>93</v>
      </c>
      <c r="J57" s="48"/>
      <c r="K57" s="17"/>
      <c r="L57" s="49"/>
    </row>
    <row r="58" spans="1:14" ht="15" customHeight="1" x14ac:dyDescent="0.25">
      <c r="A58" s="10">
        <v>28</v>
      </c>
      <c r="B58" s="48">
        <f t="shared" si="2"/>
        <v>44106</v>
      </c>
      <c r="C58" s="17">
        <v>150</v>
      </c>
      <c r="D58" s="17"/>
      <c r="H58" s="17">
        <f t="shared" si="1"/>
        <v>710</v>
      </c>
      <c r="I58" s="17" t="s">
        <v>93</v>
      </c>
      <c r="J58" s="48"/>
      <c r="K58" s="17"/>
      <c r="L58" s="49"/>
    </row>
    <row r="59" spans="1:14" ht="15" customHeight="1" x14ac:dyDescent="0.25">
      <c r="A59" s="10">
        <v>29</v>
      </c>
      <c r="B59" s="48">
        <f t="shared" si="2"/>
        <v>44113</v>
      </c>
      <c r="C59" s="17">
        <v>150</v>
      </c>
      <c r="D59" s="17">
        <v>300</v>
      </c>
      <c r="E59" s="16">
        <v>44118</v>
      </c>
      <c r="F59" t="s">
        <v>59</v>
      </c>
      <c r="H59" s="17">
        <f>IFERROR(IF(F58="Closed account",(IF(F59="Unpaid Rent",(C59),(C59-D59))),(IF(F59="Unpaid Rent",(C59+H58),(C59-D59+H58)))),"")</f>
        <v>560</v>
      </c>
      <c r="I59" s="17" t="s">
        <v>93</v>
      </c>
      <c r="J59" s="48"/>
      <c r="K59" s="17"/>
      <c r="L59" s="49"/>
    </row>
    <row r="60" spans="1:14" ht="15" customHeight="1" x14ac:dyDescent="0.25">
      <c r="A60" s="10">
        <v>30</v>
      </c>
      <c r="B60" s="48">
        <f t="shared" si="2"/>
        <v>44120</v>
      </c>
      <c r="C60" s="17">
        <v>150</v>
      </c>
      <c r="D60" s="17">
        <v>300</v>
      </c>
      <c r="E60" s="16">
        <v>44125</v>
      </c>
      <c r="F60" t="s">
        <v>59</v>
      </c>
      <c r="H60" s="17">
        <f t="shared" si="1"/>
        <v>410</v>
      </c>
      <c r="I60" s="17" t="s">
        <v>93</v>
      </c>
      <c r="J60" s="48"/>
      <c r="K60" s="17"/>
      <c r="L60" s="49"/>
    </row>
    <row r="61" spans="1:14" ht="15" customHeight="1" x14ac:dyDescent="0.25">
      <c r="A61" s="10">
        <v>31</v>
      </c>
      <c r="B61" s="48">
        <f t="shared" si="2"/>
        <v>44127</v>
      </c>
      <c r="C61" s="17">
        <v>150</v>
      </c>
      <c r="D61" s="17"/>
      <c r="H61" s="17">
        <f t="shared" si="1"/>
        <v>560</v>
      </c>
      <c r="I61" s="17" t="s">
        <v>93</v>
      </c>
      <c r="J61" s="48"/>
      <c r="K61" s="17"/>
      <c r="L61" s="49"/>
    </row>
    <row r="62" spans="1:14" ht="15" customHeight="1" x14ac:dyDescent="0.25">
      <c r="A62" s="10">
        <v>32</v>
      </c>
      <c r="B62" s="48">
        <f t="shared" si="2"/>
        <v>44134</v>
      </c>
      <c r="C62" s="17">
        <v>150</v>
      </c>
      <c r="D62" s="17">
        <v>300</v>
      </c>
      <c r="E62" s="16">
        <v>44137</v>
      </c>
      <c r="F62" t="s">
        <v>117</v>
      </c>
      <c r="G62" s="31" t="s">
        <v>592</v>
      </c>
      <c r="H62" s="17">
        <f t="shared" si="1"/>
        <v>410</v>
      </c>
      <c r="I62" s="17" t="s">
        <v>93</v>
      </c>
      <c r="J62" s="48"/>
      <c r="K62" s="17"/>
      <c r="L62" s="49"/>
    </row>
    <row r="63" spans="1:14" ht="15" customHeight="1" x14ac:dyDescent="0.25">
      <c r="A63" s="10">
        <v>33</v>
      </c>
      <c r="B63" s="48">
        <f t="shared" si="2"/>
        <v>44141</v>
      </c>
      <c r="C63" s="17">
        <v>180</v>
      </c>
      <c r="D63" s="17"/>
      <c r="E63" s="16"/>
      <c r="H63" s="17">
        <f t="shared" si="1"/>
        <v>590</v>
      </c>
      <c r="I63" s="17" t="s">
        <v>93</v>
      </c>
      <c r="J63" s="48"/>
      <c r="K63" s="17"/>
      <c r="L63" s="49"/>
    </row>
    <row r="64" spans="1:14" ht="15" customHeight="1" x14ac:dyDescent="0.25">
      <c r="A64" s="10">
        <v>34</v>
      </c>
      <c r="B64" s="48">
        <f t="shared" si="2"/>
        <v>44148</v>
      </c>
      <c r="C64" s="17">
        <v>180</v>
      </c>
      <c r="D64" s="17">
        <v>200</v>
      </c>
      <c r="E64" s="16">
        <v>44277</v>
      </c>
      <c r="F64" t="s">
        <v>117</v>
      </c>
      <c r="H64" s="17">
        <f t="shared" si="1"/>
        <v>570</v>
      </c>
      <c r="I64" s="17" t="s">
        <v>93</v>
      </c>
      <c r="J64" s="48"/>
      <c r="K64" s="17"/>
      <c r="L64" s="49"/>
    </row>
    <row r="65" spans="1:14" ht="15" customHeight="1" x14ac:dyDescent="0.25">
      <c r="A65" s="10">
        <v>35</v>
      </c>
      <c r="B65" s="48">
        <f t="shared" si="2"/>
        <v>44155</v>
      </c>
      <c r="C65" s="17">
        <v>180</v>
      </c>
      <c r="D65" s="17">
        <v>300</v>
      </c>
      <c r="E65" s="16">
        <v>44155</v>
      </c>
      <c r="F65" t="s">
        <v>511</v>
      </c>
      <c r="G65" s="31" t="s">
        <v>591</v>
      </c>
      <c r="H65" s="17">
        <f t="shared" si="1"/>
        <v>450</v>
      </c>
      <c r="I65" s="17" t="s">
        <v>93</v>
      </c>
      <c r="J65" s="48"/>
      <c r="K65" s="17"/>
      <c r="L65" s="49"/>
    </row>
    <row r="66" spans="1:14" ht="15" customHeight="1" x14ac:dyDescent="0.25">
      <c r="A66" s="10">
        <v>36</v>
      </c>
      <c r="B66" s="48">
        <f t="shared" si="2"/>
        <v>44162</v>
      </c>
      <c r="C66" s="17">
        <v>180</v>
      </c>
      <c r="D66" s="17">
        <v>360</v>
      </c>
      <c r="E66" s="16">
        <v>44165</v>
      </c>
      <c r="F66" t="s">
        <v>117</v>
      </c>
      <c r="G66" s="31" t="s">
        <v>592</v>
      </c>
      <c r="H66" s="17">
        <f t="shared" si="1"/>
        <v>270</v>
      </c>
      <c r="I66" s="17" t="s">
        <v>93</v>
      </c>
      <c r="J66" s="48"/>
      <c r="K66" s="17"/>
      <c r="L66" s="49"/>
    </row>
    <row r="67" spans="1:14" ht="15" customHeight="1" x14ac:dyDescent="0.25">
      <c r="A67" s="10">
        <v>37</v>
      </c>
      <c r="B67" s="48">
        <f t="shared" si="2"/>
        <v>44169</v>
      </c>
      <c r="C67" s="17">
        <v>180</v>
      </c>
      <c r="D67" s="17">
        <v>260</v>
      </c>
      <c r="E67" s="16">
        <v>44172</v>
      </c>
      <c r="F67" t="s">
        <v>511</v>
      </c>
      <c r="G67" s="31" t="s">
        <v>591</v>
      </c>
      <c r="H67" s="17">
        <f t="shared" si="1"/>
        <v>190</v>
      </c>
      <c r="I67" s="17" t="s">
        <v>93</v>
      </c>
      <c r="J67" s="48"/>
      <c r="K67" s="17"/>
      <c r="L67" s="49"/>
    </row>
    <row r="68" spans="1:14" ht="15" customHeight="1" x14ac:dyDescent="0.25">
      <c r="A68" s="10">
        <v>38</v>
      </c>
      <c r="B68" s="48">
        <f t="shared" si="2"/>
        <v>44176</v>
      </c>
      <c r="C68" s="17">
        <v>180</v>
      </c>
      <c r="D68" s="17">
        <f>460-270</f>
        <v>190</v>
      </c>
      <c r="E68" s="16">
        <v>44176</v>
      </c>
      <c r="F68" t="s">
        <v>117</v>
      </c>
      <c r="H68" s="17">
        <f t="shared" si="1"/>
        <v>180</v>
      </c>
      <c r="I68" s="17" t="s">
        <v>93</v>
      </c>
      <c r="J68" s="48"/>
      <c r="K68" s="17"/>
      <c r="L68" s="49"/>
    </row>
    <row r="69" spans="1:14" ht="15" customHeight="1" x14ac:dyDescent="0.25">
      <c r="A69" s="10">
        <v>39</v>
      </c>
      <c r="B69" s="48">
        <f t="shared" si="2"/>
        <v>44183</v>
      </c>
      <c r="C69" s="17">
        <v>180</v>
      </c>
      <c r="D69" s="17">
        <v>200</v>
      </c>
      <c r="E69" s="16">
        <v>44184</v>
      </c>
      <c r="F69" t="s">
        <v>117</v>
      </c>
      <c r="G69" s="31" t="s">
        <v>592</v>
      </c>
      <c r="H69" s="17">
        <f t="shared" si="1"/>
        <v>160</v>
      </c>
      <c r="I69" s="17" t="s">
        <v>93</v>
      </c>
      <c r="J69" s="48"/>
      <c r="K69" s="17"/>
      <c r="L69" s="49"/>
    </row>
    <row r="70" spans="1:14" ht="15" customHeight="1" x14ac:dyDescent="0.25">
      <c r="A70" s="10">
        <v>40</v>
      </c>
      <c r="B70" s="48">
        <f t="shared" si="2"/>
        <v>44190</v>
      </c>
      <c r="C70" s="17">
        <v>200</v>
      </c>
      <c r="D70" s="17">
        <v>200</v>
      </c>
      <c r="E70" s="16">
        <v>44194</v>
      </c>
      <c r="F70" t="s">
        <v>117</v>
      </c>
      <c r="G70" s="31" t="s">
        <v>592</v>
      </c>
      <c r="H70" s="17">
        <f t="shared" si="1"/>
        <v>160</v>
      </c>
      <c r="I70" s="17" t="s">
        <v>93</v>
      </c>
      <c r="J70" s="48"/>
      <c r="K70" s="17"/>
      <c r="L70" s="49"/>
    </row>
    <row r="71" spans="1:14" ht="15" customHeight="1" x14ac:dyDescent="0.25">
      <c r="A71" s="10">
        <v>42</v>
      </c>
      <c r="B71" s="48">
        <f>B70+7</f>
        <v>44197</v>
      </c>
      <c r="C71" s="17">
        <v>200</v>
      </c>
      <c r="D71" s="17">
        <v>200</v>
      </c>
      <c r="E71" s="16">
        <v>43834</v>
      </c>
      <c r="F71" t="s">
        <v>117</v>
      </c>
      <c r="G71" s="31" t="s">
        <v>592</v>
      </c>
      <c r="H71" s="17">
        <f t="shared" si="1"/>
        <v>160</v>
      </c>
      <c r="I71" s="17" t="s">
        <v>93</v>
      </c>
      <c r="J71" s="48"/>
      <c r="K71" s="17"/>
      <c r="L71" s="49"/>
    </row>
    <row r="72" spans="1:14" ht="15" customHeight="1" x14ac:dyDescent="0.25">
      <c r="A72" s="10">
        <v>43</v>
      </c>
      <c r="B72" s="48">
        <f>B71+7</f>
        <v>44204</v>
      </c>
      <c r="C72" s="17">
        <f>57-17</f>
        <v>40</v>
      </c>
      <c r="D72" s="17">
        <v>200</v>
      </c>
      <c r="E72" s="16">
        <v>44263</v>
      </c>
      <c r="F72" t="s">
        <v>124</v>
      </c>
      <c r="H72" s="17">
        <f t="shared" si="1"/>
        <v>0</v>
      </c>
      <c r="I72" s="17" t="s">
        <v>93</v>
      </c>
      <c r="J72" s="48"/>
      <c r="K72" s="17"/>
      <c r="L72" s="49"/>
    </row>
    <row r="73" spans="1:14" x14ac:dyDescent="0.25">
      <c r="B73" s="48"/>
      <c r="C73" s="17"/>
      <c r="D73" s="17"/>
      <c r="E73" s="16">
        <v>44263</v>
      </c>
      <c r="H73" s="17">
        <f t="shared" ref="H73:H136" si="3">IFERROR(IF(F72="Closed account",(IF(F73="Unpaid Rent",(C73),(C73-D73))),(IF(F73="Unpaid Rent",(C73+H72),(C73-D73+H72)))),"")</f>
        <v>0</v>
      </c>
      <c r="I73" s="17"/>
      <c r="J73" s="48"/>
      <c r="K73" s="17"/>
      <c r="L73" s="49"/>
    </row>
    <row r="74" spans="1:14" x14ac:dyDescent="0.25">
      <c r="A74">
        <v>1</v>
      </c>
      <c r="B74" s="50">
        <v>44160</v>
      </c>
      <c r="C74">
        <v>40</v>
      </c>
      <c r="D74">
        <v>40</v>
      </c>
      <c r="E74" s="16">
        <v>44160</v>
      </c>
      <c r="F74" t="s">
        <v>117</v>
      </c>
      <c r="H74" s="17">
        <v>0</v>
      </c>
      <c r="I74" t="s">
        <v>465</v>
      </c>
      <c r="J74" s="48">
        <v>44170</v>
      </c>
      <c r="K74" s="17">
        <v>200</v>
      </c>
      <c r="L74" s="49" t="s">
        <v>45</v>
      </c>
      <c r="N74" t="s">
        <v>465</v>
      </c>
    </row>
    <row r="75" spans="1:14" x14ac:dyDescent="0.25">
      <c r="A75">
        <v>1</v>
      </c>
      <c r="B75" s="50">
        <v>44169</v>
      </c>
      <c r="C75">
        <v>200</v>
      </c>
      <c r="D75">
        <v>200</v>
      </c>
      <c r="E75" s="16">
        <v>44169</v>
      </c>
      <c r="F75" t="s">
        <v>181</v>
      </c>
      <c r="H75" s="17">
        <v>0</v>
      </c>
      <c r="I75" t="s">
        <v>465</v>
      </c>
      <c r="J75" s="48">
        <v>44180</v>
      </c>
      <c r="K75" s="17">
        <v>105</v>
      </c>
      <c r="L75" s="49" t="s">
        <v>16</v>
      </c>
      <c r="N75" t="s">
        <v>14</v>
      </c>
    </row>
    <row r="76" spans="1:14" x14ac:dyDescent="0.25">
      <c r="A76">
        <v>1</v>
      </c>
      <c r="B76" s="50">
        <v>44169</v>
      </c>
      <c r="C76">
        <v>80</v>
      </c>
      <c r="D76">
        <v>80</v>
      </c>
      <c r="E76" s="16">
        <v>44169</v>
      </c>
      <c r="F76" t="s">
        <v>124</v>
      </c>
      <c r="H76" s="17">
        <v>0</v>
      </c>
      <c r="I76" t="s">
        <v>465</v>
      </c>
      <c r="J76" s="48">
        <v>44178</v>
      </c>
      <c r="K76" s="17">
        <v>700</v>
      </c>
      <c r="L76" s="49" t="s">
        <v>45</v>
      </c>
      <c r="N76" t="s">
        <v>467</v>
      </c>
    </row>
    <row r="77" spans="1:14" x14ac:dyDescent="0.25">
      <c r="A77">
        <v>1</v>
      </c>
      <c r="B77" s="50">
        <v>44174</v>
      </c>
      <c r="C77">
        <v>700</v>
      </c>
      <c r="D77">
        <v>700</v>
      </c>
      <c r="E77" s="16">
        <v>44174</v>
      </c>
      <c r="F77" t="s">
        <v>181</v>
      </c>
      <c r="H77" s="17">
        <v>0</v>
      </c>
      <c r="I77" t="s">
        <v>467</v>
      </c>
      <c r="J77" s="48">
        <v>44229</v>
      </c>
      <c r="K77" s="17">
        <v>180</v>
      </c>
      <c r="L77" s="49" t="s">
        <v>20</v>
      </c>
      <c r="N77" t="s">
        <v>14</v>
      </c>
    </row>
    <row r="78" spans="1:14" x14ac:dyDescent="0.25">
      <c r="A78">
        <v>1</v>
      </c>
      <c r="B78" s="50">
        <v>44174</v>
      </c>
      <c r="C78">
        <v>350</v>
      </c>
      <c r="D78">
        <v>350</v>
      </c>
      <c r="E78" s="16">
        <v>44174</v>
      </c>
      <c r="F78" t="s">
        <v>117</v>
      </c>
      <c r="H78" s="17">
        <v>0</v>
      </c>
      <c r="I78" t="s">
        <v>467</v>
      </c>
      <c r="J78" s="48"/>
      <c r="K78" s="17"/>
      <c r="L78" s="49"/>
    </row>
    <row r="79" spans="1:14" x14ac:dyDescent="0.25">
      <c r="A79">
        <v>1</v>
      </c>
      <c r="B79" s="50">
        <v>44175</v>
      </c>
      <c r="C79">
        <v>-75</v>
      </c>
      <c r="D79">
        <v>-75</v>
      </c>
      <c r="E79" s="16">
        <v>44175</v>
      </c>
      <c r="F79" t="s">
        <v>117</v>
      </c>
      <c r="H79" s="17">
        <v>0</v>
      </c>
      <c r="I79" t="s">
        <v>467</v>
      </c>
      <c r="J79" s="48"/>
      <c r="K79" s="17"/>
      <c r="L79" s="49"/>
    </row>
    <row r="80" spans="1:14" x14ac:dyDescent="0.25">
      <c r="A80">
        <v>1</v>
      </c>
      <c r="B80" s="50">
        <v>44178</v>
      </c>
      <c r="C80">
        <v>-120</v>
      </c>
      <c r="D80">
        <v>-120</v>
      </c>
      <c r="E80" s="16">
        <v>44178</v>
      </c>
      <c r="F80" t="s">
        <v>117</v>
      </c>
      <c r="H80" s="17">
        <v>0</v>
      </c>
      <c r="I80" t="s">
        <v>467</v>
      </c>
      <c r="J80" s="48"/>
      <c r="K80" s="17"/>
      <c r="L80" s="49"/>
    </row>
    <row r="81" spans="1:12" x14ac:dyDescent="0.25">
      <c r="A81"/>
      <c r="B81" s="50"/>
      <c r="H81" s="17">
        <f t="shared" si="3"/>
        <v>0</v>
      </c>
      <c r="J81" s="48"/>
      <c r="K81" s="17"/>
      <c r="L81" s="49"/>
    </row>
    <row r="82" spans="1:12" x14ac:dyDescent="0.25">
      <c r="A82"/>
      <c r="B82" s="50"/>
      <c r="H82" s="17">
        <f t="shared" si="3"/>
        <v>0</v>
      </c>
      <c r="J82" s="48"/>
      <c r="K82" s="17"/>
      <c r="L82" s="49"/>
    </row>
    <row r="83" spans="1:12" x14ac:dyDescent="0.25">
      <c r="A83"/>
      <c r="B83" s="50"/>
      <c r="H83" s="17">
        <f t="shared" si="3"/>
        <v>0</v>
      </c>
      <c r="J83" s="48"/>
      <c r="K83" s="17"/>
      <c r="L83" s="49"/>
    </row>
    <row r="84" spans="1:12" x14ac:dyDescent="0.25">
      <c r="A84"/>
      <c r="B84" s="50"/>
      <c r="H84" s="17">
        <f t="shared" si="3"/>
        <v>0</v>
      </c>
      <c r="J84" s="48"/>
      <c r="K84" s="17"/>
      <c r="L84" s="49"/>
    </row>
    <row r="85" spans="1:12" x14ac:dyDescent="0.25">
      <c r="A85"/>
      <c r="B85" s="50"/>
      <c r="H85" s="17">
        <f t="shared" si="3"/>
        <v>0</v>
      </c>
      <c r="J85" s="48"/>
      <c r="K85" s="17"/>
      <c r="L85" s="49"/>
    </row>
    <row r="86" spans="1:12" x14ac:dyDescent="0.25">
      <c r="A86"/>
      <c r="B86" s="50"/>
      <c r="H86" s="17">
        <f t="shared" si="3"/>
        <v>0</v>
      </c>
      <c r="J86" s="48"/>
      <c r="K86" s="17"/>
      <c r="L86" s="49"/>
    </row>
    <row r="87" spans="1:12" x14ac:dyDescent="0.25">
      <c r="A87"/>
      <c r="B87" s="50"/>
      <c r="H87" s="17">
        <f t="shared" si="3"/>
        <v>0</v>
      </c>
      <c r="J87" s="48"/>
      <c r="K87" s="17"/>
      <c r="L87" s="49"/>
    </row>
    <row r="88" spans="1:12" x14ac:dyDescent="0.25">
      <c r="A88"/>
      <c r="B88" s="50"/>
      <c r="H88" s="17">
        <f t="shared" si="3"/>
        <v>0</v>
      </c>
      <c r="J88" s="48"/>
      <c r="K88" s="17"/>
      <c r="L88" s="49"/>
    </row>
    <row r="89" spans="1:12" x14ac:dyDescent="0.25">
      <c r="A89"/>
      <c r="B89" s="50"/>
      <c r="H89" s="17">
        <f t="shared" si="3"/>
        <v>0</v>
      </c>
      <c r="J89" s="48"/>
      <c r="K89" s="17"/>
      <c r="L89" s="49"/>
    </row>
    <row r="90" spans="1:12" x14ac:dyDescent="0.25">
      <c r="A90"/>
      <c r="B90" s="50"/>
      <c r="H90" s="17">
        <f t="shared" si="3"/>
        <v>0</v>
      </c>
      <c r="J90" s="48"/>
      <c r="K90" s="17"/>
      <c r="L90" s="49"/>
    </row>
    <row r="91" spans="1:12" x14ac:dyDescent="0.25">
      <c r="A91"/>
      <c r="B91" s="50"/>
      <c r="H91" s="17">
        <f t="shared" si="3"/>
        <v>0</v>
      </c>
      <c r="J91" s="48"/>
      <c r="K91" s="17"/>
      <c r="L91" s="49"/>
    </row>
    <row r="92" spans="1:12" x14ac:dyDescent="0.25">
      <c r="A92"/>
      <c r="B92" s="50"/>
      <c r="H92" s="17">
        <f t="shared" si="3"/>
        <v>0</v>
      </c>
      <c r="J92" s="48"/>
      <c r="K92" s="17"/>
      <c r="L92" s="49"/>
    </row>
    <row r="93" spans="1:12" x14ac:dyDescent="0.25">
      <c r="A93"/>
      <c r="B93" s="50"/>
      <c r="H93" s="17">
        <f t="shared" si="3"/>
        <v>0</v>
      </c>
      <c r="J93" s="48"/>
      <c r="K93" s="17"/>
      <c r="L93" s="49"/>
    </row>
    <row r="94" spans="1:12" x14ac:dyDescent="0.25">
      <c r="A94"/>
      <c r="B94" s="50"/>
      <c r="H94" s="17">
        <f t="shared" si="3"/>
        <v>0</v>
      </c>
      <c r="J94" s="48"/>
      <c r="K94" s="17"/>
      <c r="L94" s="49"/>
    </row>
    <row r="95" spans="1:12" x14ac:dyDescent="0.25">
      <c r="A95"/>
      <c r="B95" s="50"/>
      <c r="H95" s="17">
        <f t="shared" si="3"/>
        <v>0</v>
      </c>
      <c r="J95" s="48"/>
      <c r="K95" s="17"/>
      <c r="L95" s="49"/>
    </row>
    <row r="96" spans="1:12" x14ac:dyDescent="0.25">
      <c r="A96"/>
      <c r="B96" s="50"/>
      <c r="H96" s="17">
        <f t="shared" si="3"/>
        <v>0</v>
      </c>
      <c r="J96" s="48"/>
      <c r="K96" s="17"/>
      <c r="L96" s="49"/>
    </row>
    <row r="97" spans="1:12" x14ac:dyDescent="0.25">
      <c r="A97"/>
      <c r="B97" s="50"/>
      <c r="H97" s="17">
        <f t="shared" si="3"/>
        <v>0</v>
      </c>
      <c r="J97" s="48"/>
      <c r="K97" s="17"/>
      <c r="L97" s="49"/>
    </row>
    <row r="98" spans="1:12" x14ac:dyDescent="0.25">
      <c r="A98"/>
      <c r="B98" s="50"/>
      <c r="H98" s="17">
        <f t="shared" si="3"/>
        <v>0</v>
      </c>
      <c r="J98" s="48"/>
      <c r="K98" s="17"/>
      <c r="L98" s="49"/>
    </row>
    <row r="99" spans="1:12" x14ac:dyDescent="0.25">
      <c r="A99"/>
      <c r="B99" s="50"/>
      <c r="H99" s="17">
        <f t="shared" si="3"/>
        <v>0</v>
      </c>
      <c r="J99" s="48"/>
      <c r="K99" s="17"/>
      <c r="L99" s="49"/>
    </row>
    <row r="100" spans="1:12" x14ac:dyDescent="0.25">
      <c r="A100"/>
      <c r="B100" s="50"/>
      <c r="H100" s="17">
        <f t="shared" si="3"/>
        <v>0</v>
      </c>
      <c r="J100" s="48"/>
      <c r="K100" s="17"/>
      <c r="L100" s="49"/>
    </row>
    <row r="101" spans="1:12" x14ac:dyDescent="0.25">
      <c r="A101"/>
      <c r="B101" s="50"/>
      <c r="H101" s="17">
        <f t="shared" si="3"/>
        <v>0</v>
      </c>
      <c r="J101" s="48"/>
      <c r="K101" s="17"/>
      <c r="L101" s="49"/>
    </row>
    <row r="102" spans="1:12" x14ac:dyDescent="0.25">
      <c r="A102"/>
      <c r="B102" s="50"/>
      <c r="H102" s="17">
        <f t="shared" si="3"/>
        <v>0</v>
      </c>
      <c r="J102" s="48"/>
      <c r="K102" s="17"/>
      <c r="L102" s="49"/>
    </row>
    <row r="103" spans="1:12" x14ac:dyDescent="0.25">
      <c r="A103"/>
      <c r="B103" s="50"/>
      <c r="H103" s="17">
        <f t="shared" si="3"/>
        <v>0</v>
      </c>
      <c r="J103" s="48"/>
      <c r="K103" s="17"/>
      <c r="L103" s="49"/>
    </row>
    <row r="104" spans="1:12" x14ac:dyDescent="0.25">
      <c r="A104"/>
      <c r="B104" s="50"/>
      <c r="H104" s="17">
        <f t="shared" si="3"/>
        <v>0</v>
      </c>
      <c r="J104" s="48"/>
      <c r="K104" s="17"/>
      <c r="L104" s="49"/>
    </row>
    <row r="105" spans="1:12" x14ac:dyDescent="0.25">
      <c r="A105"/>
      <c r="B105" s="50"/>
      <c r="H105" s="17">
        <f t="shared" si="3"/>
        <v>0</v>
      </c>
      <c r="J105" s="48"/>
      <c r="K105" s="17"/>
      <c r="L105" s="49"/>
    </row>
    <row r="106" spans="1:12" x14ac:dyDescent="0.25">
      <c r="A106"/>
      <c r="B106" s="50"/>
      <c r="H106" s="17">
        <f t="shared" si="3"/>
        <v>0</v>
      </c>
      <c r="J106" s="48"/>
      <c r="K106" s="17"/>
      <c r="L106" s="49"/>
    </row>
    <row r="107" spans="1:12" x14ac:dyDescent="0.25">
      <c r="A107"/>
      <c r="B107" s="50"/>
      <c r="H107" s="17">
        <f t="shared" si="3"/>
        <v>0</v>
      </c>
      <c r="J107" s="48"/>
      <c r="K107" s="17"/>
      <c r="L107" s="49"/>
    </row>
    <row r="108" spans="1:12" x14ac:dyDescent="0.25">
      <c r="A108"/>
      <c r="B108" s="50"/>
      <c r="H108" s="17">
        <f t="shared" si="3"/>
        <v>0</v>
      </c>
      <c r="J108" s="48"/>
      <c r="K108" s="17"/>
      <c r="L108" s="49"/>
    </row>
    <row r="109" spans="1:12" x14ac:dyDescent="0.25">
      <c r="A109"/>
      <c r="B109" s="50"/>
      <c r="H109" s="17">
        <f t="shared" si="3"/>
        <v>0</v>
      </c>
      <c r="J109" s="48"/>
      <c r="K109" s="17"/>
      <c r="L109" s="49"/>
    </row>
    <row r="110" spans="1:12" x14ac:dyDescent="0.25">
      <c r="A110"/>
      <c r="B110" s="50"/>
      <c r="H110" s="17">
        <f t="shared" si="3"/>
        <v>0</v>
      </c>
      <c r="J110" s="48"/>
      <c r="K110" s="17"/>
      <c r="L110" s="49"/>
    </row>
    <row r="111" spans="1:12" x14ac:dyDescent="0.25">
      <c r="A111"/>
      <c r="B111" s="50"/>
      <c r="H111" s="17">
        <f t="shared" si="3"/>
        <v>0</v>
      </c>
      <c r="J111" s="48"/>
      <c r="K111" s="17"/>
      <c r="L111" s="49"/>
    </row>
    <row r="112" spans="1:12" x14ac:dyDescent="0.25">
      <c r="A112"/>
      <c r="B112" s="50"/>
      <c r="H112" s="17">
        <f t="shared" si="3"/>
        <v>0</v>
      </c>
      <c r="J112" s="48"/>
      <c r="K112" s="17"/>
      <c r="L112" s="49"/>
    </row>
    <row r="113" spans="1:12" x14ac:dyDescent="0.25">
      <c r="A113"/>
      <c r="B113" s="50"/>
      <c r="H113" s="17">
        <f t="shared" si="3"/>
        <v>0</v>
      </c>
      <c r="J113" s="48"/>
      <c r="K113" s="17"/>
      <c r="L113" s="49"/>
    </row>
    <row r="114" spans="1:12" x14ac:dyDescent="0.25">
      <c r="A114"/>
      <c r="B114" s="50"/>
      <c r="H114" s="17">
        <f t="shared" si="3"/>
        <v>0</v>
      </c>
      <c r="J114" s="48"/>
      <c r="K114" s="17"/>
      <c r="L114" s="49"/>
    </row>
    <row r="115" spans="1:12" x14ac:dyDescent="0.25">
      <c r="A115"/>
      <c r="B115" s="50"/>
      <c r="H115" s="17">
        <f t="shared" si="3"/>
        <v>0</v>
      </c>
      <c r="J115" s="48"/>
      <c r="K115" s="17"/>
      <c r="L115" s="49"/>
    </row>
    <row r="116" spans="1:12" x14ac:dyDescent="0.25">
      <c r="A116"/>
      <c r="B116" s="50"/>
      <c r="H116" s="17">
        <f t="shared" si="3"/>
        <v>0</v>
      </c>
      <c r="J116" s="48"/>
      <c r="K116" s="17"/>
      <c r="L116" s="49"/>
    </row>
    <row r="117" spans="1:12" x14ac:dyDescent="0.25">
      <c r="A117"/>
      <c r="B117" s="50"/>
      <c r="H117" s="17">
        <f t="shared" si="3"/>
        <v>0</v>
      </c>
      <c r="J117" s="48"/>
      <c r="K117" s="17"/>
      <c r="L117" s="49"/>
    </row>
    <row r="118" spans="1:12" x14ac:dyDescent="0.25">
      <c r="A118"/>
      <c r="B118" s="50"/>
      <c r="H118" s="17">
        <f t="shared" si="3"/>
        <v>0</v>
      </c>
      <c r="J118" s="48"/>
      <c r="K118" s="17"/>
      <c r="L118" s="49"/>
    </row>
    <row r="119" spans="1:12" x14ac:dyDescent="0.25">
      <c r="A119"/>
      <c r="B119" s="50"/>
      <c r="H119" s="17">
        <f t="shared" si="3"/>
        <v>0</v>
      </c>
      <c r="J119" s="48"/>
      <c r="K119" s="17"/>
      <c r="L119" s="49"/>
    </row>
    <row r="120" spans="1:12" x14ac:dyDescent="0.25">
      <c r="B120" s="50"/>
      <c r="H120" s="17">
        <f t="shared" si="3"/>
        <v>0</v>
      </c>
      <c r="J120" s="48"/>
      <c r="K120" s="17"/>
      <c r="L120" s="49"/>
    </row>
    <row r="121" spans="1:12" x14ac:dyDescent="0.25">
      <c r="B121" s="50"/>
      <c r="H121" s="17">
        <f t="shared" si="3"/>
        <v>0</v>
      </c>
      <c r="J121" s="48"/>
      <c r="K121" s="17"/>
      <c r="L121" s="49"/>
    </row>
    <row r="122" spans="1:12" x14ac:dyDescent="0.25">
      <c r="B122" s="50"/>
      <c r="H122" s="17">
        <f t="shared" si="3"/>
        <v>0</v>
      </c>
      <c r="J122" s="48"/>
      <c r="K122" s="17"/>
      <c r="L122" s="49"/>
    </row>
    <row r="123" spans="1:12" x14ac:dyDescent="0.25">
      <c r="B123" s="50"/>
      <c r="H123" s="17">
        <f t="shared" si="3"/>
        <v>0</v>
      </c>
      <c r="J123" s="48"/>
      <c r="K123" s="17"/>
      <c r="L123" s="49"/>
    </row>
    <row r="124" spans="1:12" x14ac:dyDescent="0.25">
      <c r="B124" s="50"/>
      <c r="H124" s="17">
        <f t="shared" si="3"/>
        <v>0</v>
      </c>
      <c r="J124" s="48"/>
      <c r="K124" s="17"/>
      <c r="L124" s="49"/>
    </row>
    <row r="125" spans="1:12" x14ac:dyDescent="0.25">
      <c r="B125" s="50"/>
      <c r="H125" s="17">
        <f t="shared" si="3"/>
        <v>0</v>
      </c>
      <c r="J125" s="48"/>
      <c r="K125" s="17"/>
      <c r="L125" s="49"/>
    </row>
    <row r="126" spans="1:12" x14ac:dyDescent="0.25">
      <c r="B126" s="50"/>
      <c r="H126" s="17">
        <f t="shared" si="3"/>
        <v>0</v>
      </c>
      <c r="J126" s="48"/>
      <c r="K126" s="17"/>
      <c r="L126" s="49"/>
    </row>
    <row r="127" spans="1:12" x14ac:dyDescent="0.25">
      <c r="B127" s="50"/>
      <c r="H127" s="17">
        <f t="shared" si="3"/>
        <v>0</v>
      </c>
      <c r="J127" s="48"/>
      <c r="K127" s="17"/>
      <c r="L127" s="49"/>
    </row>
    <row r="128" spans="1:12" x14ac:dyDescent="0.25">
      <c r="B128" s="50"/>
      <c r="H128" s="17">
        <f t="shared" si="3"/>
        <v>0</v>
      </c>
      <c r="J128" s="48"/>
      <c r="K128" s="17"/>
      <c r="L128" s="49"/>
    </row>
    <row r="129" spans="1:12" x14ac:dyDescent="0.25">
      <c r="B129" s="50"/>
      <c r="H129" s="17">
        <f t="shared" si="3"/>
        <v>0</v>
      </c>
      <c r="J129" s="48"/>
      <c r="K129" s="17"/>
      <c r="L129" s="49"/>
    </row>
    <row r="130" spans="1:12" x14ac:dyDescent="0.25">
      <c r="B130" s="50"/>
      <c r="H130" s="17">
        <f t="shared" si="3"/>
        <v>0</v>
      </c>
      <c r="J130" s="48"/>
      <c r="K130" s="17"/>
      <c r="L130" s="49"/>
    </row>
    <row r="131" spans="1:12" x14ac:dyDescent="0.25">
      <c r="B131" s="50"/>
      <c r="H131" s="17">
        <f t="shared" si="3"/>
        <v>0</v>
      </c>
      <c r="J131" s="48"/>
      <c r="K131" s="17"/>
      <c r="L131" s="49"/>
    </row>
    <row r="132" spans="1:12" x14ac:dyDescent="0.25">
      <c r="B132" s="50"/>
      <c r="H132" s="17">
        <f t="shared" si="3"/>
        <v>0</v>
      </c>
      <c r="J132" s="48"/>
      <c r="K132" s="17"/>
      <c r="L132" s="49"/>
    </row>
    <row r="133" spans="1:12" x14ac:dyDescent="0.25">
      <c r="B133" s="50"/>
      <c r="H133" s="17">
        <f t="shared" si="3"/>
        <v>0</v>
      </c>
      <c r="J133" s="48"/>
      <c r="K133" s="17"/>
      <c r="L133" s="49"/>
    </row>
    <row r="134" spans="1:12" x14ac:dyDescent="0.25">
      <c r="B134" s="50"/>
      <c r="H134" s="17">
        <f t="shared" si="3"/>
        <v>0</v>
      </c>
      <c r="J134" s="48"/>
      <c r="K134" s="17"/>
      <c r="L134" s="49"/>
    </row>
    <row r="135" spans="1:12" x14ac:dyDescent="0.25">
      <c r="A135" s="10" t="s">
        <v>18</v>
      </c>
      <c r="B135" s="50" t="str">
        <f>IF($A135&lt;&gt;"",IF(_term=26,IF(A135=1,first_payment,B134+14),IF(_term=52,IF(A135=1,first_payment,B134+7),DATE(YEAR(first_payment),MONTH(first_payment)+(A135-1)*per_year,IF(_term=24,IF(1-MOD(A135,2)=1,DAY(first_payment)+14,DAY(first_payment)),DAY(first_payment))))),"")</f>
        <v/>
      </c>
      <c r="H135" s="17">
        <f t="shared" si="3"/>
        <v>0</v>
      </c>
      <c r="J135" s="48"/>
      <c r="K135" s="17"/>
      <c r="L135" s="49"/>
    </row>
    <row r="136" spans="1:12" x14ac:dyDescent="0.25">
      <c r="A136" s="10" t="s">
        <v>18</v>
      </c>
      <c r="B136" s="50" t="str">
        <f>IF($A136&lt;&gt;"",IF(_term=26,IF(A136=1,first_payment,B135+14),IF(_term=52,IF(A136=1,first_payment,B135+7),DATE(YEAR(first_payment),MONTH(first_payment)+(A136-1)*per_year,IF(_term=24,IF(1-MOD(A136,2)=1,DAY(first_payment)+14,DAY(first_payment)),DAY(first_payment))))),"")</f>
        <v/>
      </c>
      <c r="H136" s="17">
        <f t="shared" si="3"/>
        <v>0</v>
      </c>
      <c r="J136" s="48"/>
      <c r="K136" s="17"/>
      <c r="L136" s="49"/>
    </row>
    <row r="137" spans="1:12" x14ac:dyDescent="0.25">
      <c r="A137" s="10" t="s">
        <v>18</v>
      </c>
      <c r="B137" s="50" t="str">
        <f>IF($A137&lt;&gt;"",IF(_term=26,IF(A137=1,first_payment,B136+14),IF(_term=52,IF(A137=1,first_payment,B136+7),DATE(YEAR(first_payment),MONTH(first_payment)+(A137-1)*per_year,IF(_term=24,IF(1-MOD(A137,2)=1,DAY(first_payment)+14,DAY(first_payment)),DAY(first_payment))))),"")</f>
        <v/>
      </c>
      <c r="H137" s="17">
        <f t="shared" ref="H137:H150" si="4">IFERROR(IF(F136="Closed account",(IF(F137="Unpaid Rent",(C137),(C137-D137))),(IF(F137="Unpaid Rent",(C137+H136),(C137-D137+H136)))),"")</f>
        <v>0</v>
      </c>
      <c r="J137" s="48"/>
      <c r="K137" s="17"/>
      <c r="L137" s="49"/>
    </row>
    <row r="138" spans="1:12" x14ac:dyDescent="0.25">
      <c r="A138" s="10" t="s">
        <v>18</v>
      </c>
      <c r="B138" s="50" t="str">
        <f>IF($A138&lt;&gt;"",IF(_term=26,IF(A138=1,first_payment,B137+14),IF(_term=52,IF(A138=1,first_payment,B137+7),DATE(YEAR(first_payment),MONTH(first_payment)+(A138-1)*per_year,IF(_term=24,IF(1-MOD(A138,2)=1,DAY(first_payment)+14,DAY(first_payment)),DAY(first_payment))))),"")</f>
        <v/>
      </c>
      <c r="H138" s="17">
        <f t="shared" si="4"/>
        <v>0</v>
      </c>
      <c r="J138" s="48"/>
      <c r="K138" s="17"/>
      <c r="L138" s="49"/>
    </row>
    <row r="139" spans="1:12" x14ac:dyDescent="0.25">
      <c r="H139" s="17">
        <f t="shared" si="4"/>
        <v>0</v>
      </c>
      <c r="J139" s="48"/>
      <c r="K139" s="17"/>
      <c r="L139" s="49"/>
    </row>
    <row r="140" spans="1:12" ht="15" customHeight="1" x14ac:dyDescent="0.25">
      <c r="H140" s="17">
        <f t="shared" si="4"/>
        <v>0</v>
      </c>
      <c r="J140" s="48"/>
      <c r="K140" s="17"/>
      <c r="L140" s="49"/>
    </row>
    <row r="141" spans="1:12" ht="15" customHeight="1" x14ac:dyDescent="0.25">
      <c r="H141" s="17">
        <f t="shared" si="4"/>
        <v>0</v>
      </c>
      <c r="J141" s="48"/>
      <c r="K141" s="17"/>
      <c r="L141" s="49"/>
    </row>
    <row r="142" spans="1:12" ht="15" customHeight="1" x14ac:dyDescent="0.25">
      <c r="H142" s="17">
        <f t="shared" si="4"/>
        <v>0</v>
      </c>
      <c r="J142" s="48"/>
      <c r="K142" s="17"/>
      <c r="L142" s="49"/>
    </row>
    <row r="143" spans="1:12" ht="15" customHeight="1" x14ac:dyDescent="0.25">
      <c r="H143" s="17">
        <f t="shared" si="4"/>
        <v>0</v>
      </c>
      <c r="J143" s="48"/>
      <c r="K143" s="17"/>
      <c r="L143" s="49"/>
    </row>
    <row r="144" spans="1:12" ht="15" customHeight="1" x14ac:dyDescent="0.25">
      <c r="H144" s="17">
        <f t="shared" si="4"/>
        <v>0</v>
      </c>
      <c r="J144" s="48"/>
      <c r="K144" s="17"/>
      <c r="L144" s="49"/>
    </row>
    <row r="145" spans="2:12" ht="15" customHeight="1" x14ac:dyDescent="0.25">
      <c r="H145" s="17">
        <f t="shared" si="4"/>
        <v>0</v>
      </c>
      <c r="J145" s="48"/>
      <c r="K145" s="17"/>
      <c r="L145" s="49"/>
    </row>
    <row r="146" spans="2:12" ht="15" customHeight="1" x14ac:dyDescent="0.25">
      <c r="H146" s="17">
        <f t="shared" si="4"/>
        <v>0</v>
      </c>
      <c r="J146" s="48"/>
      <c r="K146" s="17"/>
      <c r="L146" s="49"/>
    </row>
    <row r="147" spans="2:12" ht="15" customHeight="1" x14ac:dyDescent="0.25">
      <c r="H147" s="17">
        <f t="shared" si="4"/>
        <v>0</v>
      </c>
      <c r="J147" s="48"/>
      <c r="K147" s="17"/>
      <c r="L147" s="49"/>
    </row>
    <row r="148" spans="2:12" ht="15" customHeight="1" x14ac:dyDescent="0.25">
      <c r="H148" s="17">
        <f t="shared" si="4"/>
        <v>0</v>
      </c>
      <c r="J148" s="48"/>
      <c r="K148" s="17"/>
      <c r="L148" s="49"/>
    </row>
    <row r="149" spans="2:12" ht="15" customHeight="1" x14ac:dyDescent="0.25">
      <c r="H149" s="17">
        <f t="shared" si="4"/>
        <v>0</v>
      </c>
      <c r="J149" s="48"/>
      <c r="K149" s="17"/>
      <c r="L149" s="49"/>
    </row>
    <row r="150" spans="2:12" ht="15" customHeight="1" x14ac:dyDescent="0.25">
      <c r="H150" s="17">
        <f t="shared" si="4"/>
        <v>0</v>
      </c>
      <c r="J150" s="48"/>
      <c r="K150" s="17"/>
      <c r="L150" s="49"/>
    </row>
    <row r="151" spans="2:12" ht="15" customHeight="1" x14ac:dyDescent="0.25">
      <c r="B151" s="48"/>
      <c r="C151" s="17"/>
      <c r="D151" s="17"/>
      <c r="E151" s="16"/>
      <c r="H151" s="17"/>
      <c r="I151" s="17"/>
      <c r="J151" s="48"/>
      <c r="K151" s="17"/>
      <c r="L151" s="49"/>
    </row>
    <row r="152" spans="2:12" ht="15" customHeight="1" x14ac:dyDescent="0.25">
      <c r="B152" s="16"/>
      <c r="C152" s="17"/>
      <c r="H152" s="17"/>
      <c r="I152" s="17"/>
      <c r="J152" s="48"/>
      <c r="K152" s="17"/>
      <c r="L152" s="49"/>
    </row>
    <row r="153" spans="2:12" ht="15" customHeight="1" x14ac:dyDescent="0.25">
      <c r="J153" s="48"/>
      <c r="K153" s="17"/>
      <c r="L153" s="49"/>
    </row>
    <row r="154" spans="2:12" ht="15" customHeight="1" x14ac:dyDescent="0.25">
      <c r="J154" s="48"/>
      <c r="K154" s="17"/>
      <c r="L154" s="49"/>
    </row>
    <row r="155" spans="2:12" ht="15" customHeight="1" x14ac:dyDescent="0.25">
      <c r="J155" s="48"/>
      <c r="K155" s="17"/>
      <c r="L155" s="49"/>
    </row>
    <row r="156" spans="2:12" ht="15" customHeight="1" x14ac:dyDescent="0.25">
      <c r="J156" s="48"/>
      <c r="K156" s="17"/>
      <c r="L156" s="49"/>
    </row>
    <row r="157" spans="2:12" ht="15" customHeight="1" x14ac:dyDescent="0.25">
      <c r="J157" s="48"/>
      <c r="K157" s="17"/>
      <c r="L157" s="49"/>
    </row>
    <row r="158" spans="2:12" ht="15" customHeight="1" x14ac:dyDescent="0.25">
      <c r="J158" s="48"/>
      <c r="K158" s="17"/>
      <c r="L158" s="49"/>
    </row>
    <row r="159" spans="2:12" ht="15" customHeight="1" x14ac:dyDescent="0.25">
      <c r="J159" s="48"/>
      <c r="K159" s="17"/>
      <c r="L159" s="49"/>
    </row>
    <row r="160" spans="2:12" ht="15" customHeight="1" x14ac:dyDescent="0.25">
      <c r="J160" s="48"/>
      <c r="K160" s="17"/>
      <c r="L160" s="49"/>
    </row>
    <row r="161" spans="10:12" ht="15" customHeight="1" x14ac:dyDescent="0.25">
      <c r="J161" s="48"/>
      <c r="K161" s="17"/>
      <c r="L161" s="49"/>
    </row>
    <row r="162" spans="10:12" ht="15" customHeight="1" x14ac:dyDescent="0.25">
      <c r="J162" s="48"/>
      <c r="K162" s="17"/>
      <c r="L162" s="49"/>
    </row>
    <row r="163" spans="10:12" ht="15" customHeight="1" x14ac:dyDescent="0.25">
      <c r="J163" s="48"/>
      <c r="K163" s="17"/>
      <c r="L163" s="49"/>
    </row>
    <row r="164" spans="10:12" ht="15" customHeight="1" x14ac:dyDescent="0.25">
      <c r="J164" s="48"/>
      <c r="K164" s="17"/>
      <c r="L164" s="49"/>
    </row>
    <row r="165" spans="10:12" ht="15" customHeight="1" x14ac:dyDescent="0.25">
      <c r="J165" s="48"/>
      <c r="K165" s="17"/>
      <c r="L165" s="49"/>
    </row>
    <row r="166" spans="10:12" ht="15" customHeight="1" x14ac:dyDescent="0.25">
      <c r="J166" s="48"/>
      <c r="K166" s="17"/>
      <c r="L166" s="49"/>
    </row>
    <row r="167" spans="10:12" ht="15" customHeight="1" x14ac:dyDescent="0.25">
      <c r="J167" s="48"/>
      <c r="K167" s="17"/>
      <c r="L167" s="49"/>
    </row>
    <row r="168" spans="10:12" ht="15" customHeight="1" x14ac:dyDescent="0.25">
      <c r="J168" s="48"/>
      <c r="K168" s="17"/>
      <c r="L168" s="49"/>
    </row>
    <row r="169" spans="10:12" ht="15" customHeight="1" x14ac:dyDescent="0.25">
      <c r="J169" s="48"/>
      <c r="K169" s="17"/>
      <c r="L169" s="49"/>
    </row>
    <row r="170" spans="10:12" ht="15" customHeight="1" x14ac:dyDescent="0.25">
      <c r="J170" s="48"/>
      <c r="K170" s="17"/>
      <c r="L170" s="49"/>
    </row>
    <row r="171" spans="10:12" ht="15" customHeight="1" x14ac:dyDescent="0.25">
      <c r="J171" s="48"/>
      <c r="K171" s="17"/>
      <c r="L171" s="49"/>
    </row>
    <row r="172" spans="10:12" ht="15" customHeight="1" x14ac:dyDescent="0.25">
      <c r="J172" s="48"/>
      <c r="K172" s="17"/>
      <c r="L172" s="49"/>
    </row>
    <row r="173" spans="10:12" ht="15" customHeight="1" x14ac:dyDescent="0.25">
      <c r="J173" s="48"/>
      <c r="K173" s="17"/>
      <c r="L173" s="49"/>
    </row>
    <row r="174" spans="10:12" ht="15" customHeight="1" x14ac:dyDescent="0.25">
      <c r="J174" s="48"/>
      <c r="K174" s="17"/>
      <c r="L174" s="49"/>
    </row>
    <row r="175" spans="10:12" ht="15" customHeight="1" x14ac:dyDescent="0.25">
      <c r="J175" s="48"/>
      <c r="K175" s="17"/>
      <c r="L175" s="49"/>
    </row>
    <row r="176" spans="10:12" ht="15" customHeight="1" x14ac:dyDescent="0.25">
      <c r="J176" s="48"/>
      <c r="K176" s="17"/>
      <c r="L176" s="49"/>
    </row>
    <row r="177" spans="10:12" ht="15" customHeight="1" x14ac:dyDescent="0.25">
      <c r="J177" s="48"/>
      <c r="K177" s="17"/>
      <c r="L177" s="49"/>
    </row>
    <row r="178" spans="10:12" ht="15" customHeight="1" x14ac:dyDescent="0.25">
      <c r="J178" s="48"/>
      <c r="K178" s="17"/>
      <c r="L178" s="49"/>
    </row>
    <row r="179" spans="10:12" ht="15" customHeight="1" x14ac:dyDescent="0.25">
      <c r="J179" s="48"/>
      <c r="K179" s="17"/>
      <c r="L179" s="49"/>
    </row>
    <row r="180" spans="10:12" ht="15" customHeight="1" x14ac:dyDescent="0.25">
      <c r="J180" s="48"/>
      <c r="K180" s="17"/>
      <c r="L180" s="49"/>
    </row>
    <row r="181" spans="10:12" ht="15" customHeight="1" x14ac:dyDescent="0.25">
      <c r="J181" s="48"/>
      <c r="K181" s="17"/>
      <c r="L181" s="49"/>
    </row>
    <row r="182" spans="10:12" ht="15" customHeight="1" x14ac:dyDescent="0.25">
      <c r="J182" s="48"/>
      <c r="K182" s="17"/>
      <c r="L182" s="49"/>
    </row>
    <row r="183" spans="10:12" ht="15" customHeight="1" x14ac:dyDescent="0.25">
      <c r="J183" s="48"/>
      <c r="K183" s="17"/>
      <c r="L183" s="49"/>
    </row>
    <row r="184" spans="10:12" ht="15" customHeight="1" x14ac:dyDescent="0.25">
      <c r="J184" s="48"/>
      <c r="K184" s="17"/>
      <c r="L184" s="49"/>
    </row>
    <row r="185" spans="10:12" ht="15" customHeight="1" x14ac:dyDescent="0.25">
      <c r="J185" s="48"/>
      <c r="K185" s="17"/>
      <c r="L185" s="49"/>
    </row>
    <row r="186" spans="10:12" ht="15" customHeight="1" x14ac:dyDescent="0.25">
      <c r="J186" s="48"/>
      <c r="K186" s="17"/>
      <c r="L186" s="49"/>
    </row>
    <row r="187" spans="10:12" ht="15" customHeight="1" x14ac:dyDescent="0.25">
      <c r="J187" s="48"/>
      <c r="K187" s="17"/>
      <c r="L187" s="49"/>
    </row>
    <row r="188" spans="10:12" ht="15" customHeight="1" x14ac:dyDescent="0.25">
      <c r="J188" s="48"/>
      <c r="K188" s="17"/>
      <c r="L188" s="49"/>
    </row>
    <row r="189" spans="10:12" ht="15" customHeight="1" x14ac:dyDescent="0.25">
      <c r="J189" s="48"/>
      <c r="K189" s="17"/>
      <c r="L189" s="49"/>
    </row>
    <row r="190" spans="10:12" ht="15" customHeight="1" x14ac:dyDescent="0.25">
      <c r="J190" s="48"/>
      <c r="K190" s="17"/>
      <c r="L190" s="49"/>
    </row>
    <row r="191" spans="10:12" ht="15" customHeight="1" x14ac:dyDescent="0.25">
      <c r="J191" s="48"/>
      <c r="K191" s="17"/>
      <c r="L191" s="49"/>
    </row>
    <row r="192" spans="10:12" ht="15" customHeight="1" x14ac:dyDescent="0.25">
      <c r="J192" s="48"/>
      <c r="K192" s="17"/>
      <c r="L192" s="49"/>
    </row>
    <row r="193" spans="10:12" ht="15" customHeight="1" x14ac:dyDescent="0.25">
      <c r="J193" s="48"/>
      <c r="K193" s="17"/>
      <c r="L193" s="49"/>
    </row>
    <row r="194" spans="10:12" ht="15" customHeight="1" x14ac:dyDescent="0.25">
      <c r="J194" s="48"/>
      <c r="K194" s="17"/>
      <c r="L194" s="49"/>
    </row>
    <row r="195" spans="10:12" ht="15" customHeight="1" x14ac:dyDescent="0.25">
      <c r="J195" s="48"/>
      <c r="K195" s="17"/>
      <c r="L195" s="49"/>
    </row>
    <row r="196" spans="10:12" ht="15" customHeight="1" x14ac:dyDescent="0.25">
      <c r="J196" s="48"/>
      <c r="K196" s="17"/>
      <c r="L196" s="49"/>
    </row>
    <row r="197" spans="10:12" ht="15" customHeight="1" x14ac:dyDescent="0.25">
      <c r="J197" s="48"/>
      <c r="K197" s="17"/>
      <c r="L197" s="49"/>
    </row>
    <row r="198" spans="10:12" ht="15" customHeight="1" x14ac:dyDescent="0.25">
      <c r="J198" s="48"/>
      <c r="K198" s="17"/>
      <c r="L198" s="49"/>
    </row>
    <row r="199" spans="10:12" ht="15" customHeight="1" x14ac:dyDescent="0.25">
      <c r="J199" s="48"/>
      <c r="K199" s="17"/>
      <c r="L199" s="49"/>
    </row>
    <row r="200" spans="10:12" ht="15" customHeight="1" x14ac:dyDescent="0.25">
      <c r="J200" s="48"/>
      <c r="K200" s="17"/>
      <c r="L200" s="49"/>
    </row>
    <row r="201" spans="10:12" ht="15" customHeight="1" x14ac:dyDescent="0.25">
      <c r="J201" s="48"/>
      <c r="K201" s="17"/>
      <c r="L201" s="49"/>
    </row>
    <row r="202" spans="10:12" ht="15" customHeight="1" x14ac:dyDescent="0.25">
      <c r="J202" s="48"/>
      <c r="K202" s="17"/>
      <c r="L202" s="49"/>
    </row>
    <row r="203" spans="10:12" ht="15" customHeight="1" x14ac:dyDescent="0.25">
      <c r="J203" s="48"/>
      <c r="K203" s="17"/>
      <c r="L203" s="49"/>
    </row>
    <row r="204" spans="10:12" ht="15" customHeight="1" x14ac:dyDescent="0.25">
      <c r="J204" s="48"/>
      <c r="K204" s="17"/>
      <c r="L204" s="49"/>
    </row>
    <row r="205" spans="10:12" ht="15" customHeight="1" x14ac:dyDescent="0.25">
      <c r="J205" s="48"/>
      <c r="K205" s="17"/>
      <c r="L205" s="49"/>
    </row>
    <row r="206" spans="10:12" ht="15" customHeight="1" x14ac:dyDescent="0.25">
      <c r="J206" s="48"/>
      <c r="K206" s="17"/>
      <c r="L206" s="49"/>
    </row>
    <row r="207" spans="10:12" ht="15" customHeight="1" x14ac:dyDescent="0.25">
      <c r="J207" s="48"/>
      <c r="K207" s="17"/>
      <c r="L207" s="49"/>
    </row>
    <row r="208" spans="10:12" ht="15" customHeight="1" x14ac:dyDescent="0.25">
      <c r="J208" s="48"/>
      <c r="K208" s="17"/>
      <c r="L208" s="49"/>
    </row>
    <row r="209" spans="10:12" ht="15" customHeight="1" x14ac:dyDescent="0.25">
      <c r="J209" s="48"/>
      <c r="K209" s="17"/>
      <c r="L209" s="49"/>
    </row>
    <row r="210" spans="10:12" ht="15" customHeight="1" x14ac:dyDescent="0.25">
      <c r="J210" s="48"/>
      <c r="K210" s="17"/>
      <c r="L210" s="49"/>
    </row>
    <row r="211" spans="10:12" ht="15" customHeight="1" x14ac:dyDescent="0.25">
      <c r="J211" s="48"/>
      <c r="K211" s="17"/>
      <c r="L211" s="49"/>
    </row>
    <row r="212" spans="10:12" ht="15" customHeight="1" x14ac:dyDescent="0.25">
      <c r="J212" s="48"/>
      <c r="K212" s="17"/>
      <c r="L212" s="49"/>
    </row>
    <row r="213" spans="10:12" ht="15" customHeight="1" x14ac:dyDescent="0.25">
      <c r="J213" s="48"/>
      <c r="K213" s="17"/>
      <c r="L213" s="49"/>
    </row>
    <row r="214" spans="10:12" ht="15" customHeight="1" x14ac:dyDescent="0.25">
      <c r="J214" s="48"/>
      <c r="K214" s="17"/>
      <c r="L214" s="49"/>
    </row>
    <row r="215" spans="10:12" ht="15" customHeight="1" x14ac:dyDescent="0.25">
      <c r="J215" s="48"/>
      <c r="K215" s="17"/>
      <c r="L215" s="49"/>
    </row>
    <row r="216" spans="10:12" ht="15" customHeight="1" x14ac:dyDescent="0.25">
      <c r="J216" s="48"/>
      <c r="K216" s="17"/>
      <c r="L216" s="49"/>
    </row>
    <row r="217" spans="10:12" ht="15" customHeight="1" x14ac:dyDescent="0.25">
      <c r="J217" s="48"/>
      <c r="K217" s="17"/>
      <c r="L217" s="49"/>
    </row>
    <row r="218" spans="10:12" ht="15" customHeight="1" x14ac:dyDescent="0.25">
      <c r="J218" s="48"/>
      <c r="K218" s="17"/>
      <c r="L218" s="49"/>
    </row>
    <row r="219" spans="10:12" ht="15" customHeight="1" x14ac:dyDescent="0.25">
      <c r="J219" s="48"/>
      <c r="K219" s="17"/>
      <c r="L219" s="49"/>
    </row>
    <row r="220" spans="10:12" ht="15" customHeight="1" x14ac:dyDescent="0.25">
      <c r="J220" s="48"/>
      <c r="K220" s="17"/>
      <c r="L220" s="49"/>
    </row>
    <row r="221" spans="10:12" ht="15" customHeight="1" x14ac:dyDescent="0.25">
      <c r="J221" s="48"/>
      <c r="K221" s="17"/>
      <c r="L221" s="49"/>
    </row>
    <row r="222" spans="10:12" ht="15" customHeight="1" x14ac:dyDescent="0.25">
      <c r="J222" s="48"/>
      <c r="K222" s="17"/>
      <c r="L222" s="49"/>
    </row>
    <row r="223" spans="10:12" ht="15" customHeight="1" x14ac:dyDescent="0.25">
      <c r="J223" s="48"/>
      <c r="K223" s="17"/>
      <c r="L223" s="49"/>
    </row>
    <row r="224" spans="10:12" ht="15" customHeight="1" x14ac:dyDescent="0.25">
      <c r="J224" s="48"/>
      <c r="K224" s="17"/>
      <c r="L224" s="49"/>
    </row>
    <row r="225" spans="10:12" ht="15" customHeight="1" x14ac:dyDescent="0.25">
      <c r="J225" s="48"/>
      <c r="K225" s="17"/>
      <c r="L225" s="49"/>
    </row>
    <row r="226" spans="10:12" ht="15" customHeight="1" x14ac:dyDescent="0.25">
      <c r="J226" s="48"/>
      <c r="K226" s="17"/>
      <c r="L226" s="49"/>
    </row>
    <row r="227" spans="10:12" ht="15" customHeight="1" x14ac:dyDescent="0.25">
      <c r="J227" s="48"/>
      <c r="K227" s="17"/>
      <c r="L227" s="49"/>
    </row>
    <row r="228" spans="10:12" ht="15" customHeight="1" x14ac:dyDescent="0.25">
      <c r="J228" s="48"/>
      <c r="K228" s="17"/>
      <c r="L228" s="49"/>
    </row>
    <row r="229" spans="10:12" ht="15" customHeight="1" x14ac:dyDescent="0.25">
      <c r="J229" s="48"/>
      <c r="K229" s="17"/>
      <c r="L229" s="49"/>
    </row>
    <row r="230" spans="10:12" ht="15" customHeight="1" x14ac:dyDescent="0.25">
      <c r="J230" s="48"/>
      <c r="K230" s="17"/>
      <c r="L230" s="49"/>
    </row>
    <row r="231" spans="10:12" ht="15" customHeight="1" x14ac:dyDescent="0.25">
      <c r="J231" s="48"/>
      <c r="K231" s="17"/>
      <c r="L231" s="49"/>
    </row>
    <row r="232" spans="10:12" ht="15" customHeight="1" x14ac:dyDescent="0.25">
      <c r="J232" s="48"/>
      <c r="K232" s="17"/>
      <c r="L232" s="49"/>
    </row>
    <row r="233" spans="10:12" ht="15" customHeight="1" x14ac:dyDescent="0.25">
      <c r="J233" s="48"/>
      <c r="K233" s="17"/>
      <c r="L233" s="49"/>
    </row>
    <row r="234" spans="10:12" ht="15" customHeight="1" x14ac:dyDescent="0.25">
      <c r="J234" s="48"/>
      <c r="K234" s="17"/>
      <c r="L234" s="49"/>
    </row>
    <row r="235" spans="10:12" ht="15" customHeight="1" x14ac:dyDescent="0.25">
      <c r="J235" s="48"/>
      <c r="K235" s="17"/>
      <c r="L235" s="49"/>
    </row>
    <row r="236" spans="10:12" ht="15" customHeight="1" x14ac:dyDescent="0.25">
      <c r="J236" s="48"/>
      <c r="K236" s="17"/>
      <c r="L236" s="49"/>
    </row>
    <row r="237" spans="10:12" ht="15" customHeight="1" x14ac:dyDescent="0.25">
      <c r="J237" s="48"/>
      <c r="K237" s="17"/>
      <c r="L237" s="49"/>
    </row>
    <row r="238" spans="10:12" ht="15" customHeight="1" x14ac:dyDescent="0.25">
      <c r="J238" s="48"/>
      <c r="K238" s="17"/>
      <c r="L238" s="49"/>
    </row>
    <row r="239" spans="10:12" ht="15" customHeight="1" x14ac:dyDescent="0.25">
      <c r="J239" s="48"/>
      <c r="K239" s="17"/>
      <c r="L239" s="49"/>
    </row>
    <row r="240" spans="10:12" ht="15" customHeight="1" x14ac:dyDescent="0.25">
      <c r="J240" s="48"/>
      <c r="K240" s="17"/>
      <c r="L240" s="49"/>
    </row>
    <row r="241" spans="10:12" ht="15" customHeight="1" x14ac:dyDescent="0.25">
      <c r="J241" s="48"/>
      <c r="K241" s="17"/>
      <c r="L241" s="49"/>
    </row>
    <row r="242" spans="10:12" ht="15" customHeight="1" x14ac:dyDescent="0.25">
      <c r="J242" s="48"/>
      <c r="K242" s="17"/>
      <c r="L242" s="49"/>
    </row>
    <row r="243" spans="10:12" ht="15" customHeight="1" x14ac:dyDescent="0.25">
      <c r="J243" s="48"/>
      <c r="K243" s="17"/>
      <c r="L243" s="49"/>
    </row>
    <row r="244" spans="10:12" ht="15" customHeight="1" x14ac:dyDescent="0.25">
      <c r="J244" s="48"/>
      <c r="K244" s="17"/>
      <c r="L244" s="49"/>
    </row>
    <row r="245" spans="10:12" ht="15" customHeight="1" x14ac:dyDescent="0.25">
      <c r="J245" s="48"/>
      <c r="K245" s="17"/>
      <c r="L245" s="49"/>
    </row>
    <row r="246" spans="10:12" ht="15" customHeight="1" x14ac:dyDescent="0.25">
      <c r="J246" s="48"/>
      <c r="K246" s="17"/>
      <c r="L246" s="49"/>
    </row>
    <row r="247" spans="10:12" ht="15" customHeight="1" x14ac:dyDescent="0.25">
      <c r="J247" s="48"/>
      <c r="K247" s="17"/>
      <c r="L247" s="49"/>
    </row>
    <row r="248" spans="10:12" ht="15" customHeight="1" x14ac:dyDescent="0.25">
      <c r="J248" s="48"/>
      <c r="K248" s="17"/>
      <c r="L248" s="49"/>
    </row>
    <row r="249" spans="10:12" ht="15" customHeight="1" x14ac:dyDescent="0.25">
      <c r="J249" s="48"/>
      <c r="K249" s="17"/>
      <c r="L249" s="49"/>
    </row>
    <row r="250" spans="10:12" ht="15" customHeight="1" x14ac:dyDescent="0.25">
      <c r="J250" s="48"/>
      <c r="K250" s="17"/>
      <c r="L250" s="49"/>
    </row>
    <row r="251" spans="10:12" ht="15" customHeight="1" x14ac:dyDescent="0.25">
      <c r="J251" s="48"/>
      <c r="K251" s="17"/>
      <c r="L251" s="49"/>
    </row>
    <row r="252" spans="10:12" ht="15" customHeight="1" x14ac:dyDescent="0.25">
      <c r="J252" s="48"/>
      <c r="K252" s="17"/>
      <c r="L252" s="49"/>
    </row>
    <row r="253" spans="10:12" ht="15" customHeight="1" x14ac:dyDescent="0.25">
      <c r="J253" s="48"/>
      <c r="K253" s="17"/>
      <c r="L253" s="49"/>
    </row>
    <row r="254" spans="10:12" ht="15" customHeight="1" x14ac:dyDescent="0.25">
      <c r="J254" s="48"/>
      <c r="K254" s="17"/>
      <c r="L254" s="49"/>
    </row>
    <row r="255" spans="10:12" ht="15" customHeight="1" x14ac:dyDescent="0.25">
      <c r="J255" s="48"/>
      <c r="K255" s="17"/>
      <c r="L255" s="49"/>
    </row>
    <row r="256" spans="10:12" ht="15" customHeight="1" x14ac:dyDescent="0.25">
      <c r="J256" s="48"/>
      <c r="K256" s="17"/>
      <c r="L256" s="49"/>
    </row>
    <row r="257" spans="10:12" ht="15" customHeight="1" x14ac:dyDescent="0.25">
      <c r="J257" s="48"/>
      <c r="K257" s="17"/>
      <c r="L257" s="49"/>
    </row>
    <row r="258" spans="10:12" ht="15" customHeight="1" x14ac:dyDescent="0.25">
      <c r="J258" s="48"/>
      <c r="K258" s="17"/>
      <c r="L258" s="49"/>
    </row>
    <row r="259" spans="10:12" ht="15" customHeight="1" x14ac:dyDescent="0.25">
      <c r="J259" s="48"/>
      <c r="K259" s="17"/>
      <c r="L259" s="49"/>
    </row>
    <row r="260" spans="10:12" ht="15" customHeight="1" x14ac:dyDescent="0.25">
      <c r="J260" s="48"/>
      <c r="K260" s="17"/>
      <c r="L260" s="49"/>
    </row>
    <row r="261" spans="10:12" ht="15" customHeight="1" x14ac:dyDescent="0.25">
      <c r="J261" s="48"/>
      <c r="K261" s="17"/>
      <c r="L261" s="49"/>
    </row>
    <row r="262" spans="10:12" ht="15" customHeight="1" x14ac:dyDescent="0.25">
      <c r="J262" s="48"/>
      <c r="K262" s="17"/>
      <c r="L262" s="49"/>
    </row>
    <row r="263" spans="10:12" ht="15" customHeight="1" x14ac:dyDescent="0.25">
      <c r="J263" s="48"/>
      <c r="K263" s="17"/>
      <c r="L263" s="49"/>
    </row>
    <row r="264" spans="10:12" ht="15" customHeight="1" x14ac:dyDescent="0.25">
      <c r="J264" s="48"/>
      <c r="K264" s="17"/>
      <c r="L264" s="49"/>
    </row>
    <row r="265" spans="10:12" ht="15" customHeight="1" x14ac:dyDescent="0.25">
      <c r="J265" s="48"/>
      <c r="K265" s="17"/>
      <c r="L265" s="49"/>
    </row>
    <row r="266" spans="10:12" ht="15" customHeight="1" x14ac:dyDescent="0.25">
      <c r="J266" s="48"/>
      <c r="K266" s="17"/>
      <c r="L266" s="49"/>
    </row>
    <row r="267" spans="10:12" ht="15" customHeight="1" x14ac:dyDescent="0.25">
      <c r="J267" s="48"/>
      <c r="K267" s="17"/>
      <c r="L267" s="49"/>
    </row>
    <row r="268" spans="10:12" ht="15" customHeight="1" x14ac:dyDescent="0.25">
      <c r="J268" s="48"/>
      <c r="K268" s="17"/>
      <c r="L268" s="49"/>
    </row>
    <row r="269" spans="10:12" ht="15" customHeight="1" x14ac:dyDescent="0.25">
      <c r="J269" s="48"/>
      <c r="K269" s="17"/>
      <c r="L269" s="49"/>
    </row>
    <row r="270" spans="10:12" ht="15" customHeight="1" x14ac:dyDescent="0.25">
      <c r="J270" s="48"/>
      <c r="K270" s="17"/>
      <c r="L270" s="49"/>
    </row>
    <row r="271" spans="10:12" ht="15" customHeight="1" x14ac:dyDescent="0.25">
      <c r="J271" s="48"/>
      <c r="K271" s="17"/>
      <c r="L271" s="49"/>
    </row>
    <row r="272" spans="10:12" ht="15" customHeight="1" x14ac:dyDescent="0.25">
      <c r="J272" s="48"/>
      <c r="K272" s="17"/>
      <c r="L272" s="49"/>
    </row>
    <row r="273" spans="10:12" ht="15" customHeight="1" x14ac:dyDescent="0.25">
      <c r="J273" s="48"/>
      <c r="K273" s="17"/>
      <c r="L273" s="49"/>
    </row>
    <row r="274" spans="10:12" ht="15" customHeight="1" x14ac:dyDescent="0.25">
      <c r="J274" s="48"/>
      <c r="K274" s="17"/>
      <c r="L274" s="49"/>
    </row>
    <row r="275" spans="10:12" ht="15" customHeight="1" x14ac:dyDescent="0.25">
      <c r="J275" s="48"/>
      <c r="K275" s="17"/>
      <c r="L275" s="49"/>
    </row>
    <row r="276" spans="10:12" ht="15" customHeight="1" x14ac:dyDescent="0.25">
      <c r="J276" s="48"/>
      <c r="K276" s="17"/>
      <c r="L276" s="49"/>
    </row>
    <row r="277" spans="10:12" ht="15" customHeight="1" x14ac:dyDescent="0.25">
      <c r="J277" s="48"/>
      <c r="K277" s="17"/>
      <c r="L277" s="49"/>
    </row>
    <row r="278" spans="10:12" ht="15" customHeight="1" x14ac:dyDescent="0.25">
      <c r="J278" s="48"/>
      <c r="K278" s="17"/>
      <c r="L278" s="49"/>
    </row>
    <row r="279" spans="10:12" ht="15" customHeight="1" x14ac:dyDescent="0.25">
      <c r="J279" s="48"/>
      <c r="K279" s="17"/>
      <c r="L279" s="49"/>
    </row>
    <row r="280" spans="10:12" ht="15" customHeight="1" x14ac:dyDescent="0.25">
      <c r="J280" s="48"/>
      <c r="K280" s="17"/>
      <c r="L280" s="49"/>
    </row>
    <row r="281" spans="10:12" ht="15" customHeight="1" x14ac:dyDescent="0.25">
      <c r="J281" s="48"/>
      <c r="K281" s="17"/>
      <c r="L281" s="49"/>
    </row>
    <row r="282" spans="10:12" ht="15" customHeight="1" x14ac:dyDescent="0.25">
      <c r="J282" s="48"/>
      <c r="K282" s="17"/>
      <c r="L282" s="49"/>
    </row>
    <row r="283" spans="10:12" ht="15" customHeight="1" x14ac:dyDescent="0.25">
      <c r="J283" s="48"/>
      <c r="K283" s="17"/>
      <c r="L283" s="49"/>
    </row>
    <row r="284" spans="10:12" ht="15" customHeight="1" x14ac:dyDescent="0.25">
      <c r="J284" s="48"/>
      <c r="K284" s="17"/>
      <c r="L284" s="49"/>
    </row>
    <row r="285" spans="10:12" ht="15" customHeight="1" x14ac:dyDescent="0.25">
      <c r="J285" s="48"/>
      <c r="K285" s="17"/>
      <c r="L285" s="49"/>
    </row>
    <row r="286" spans="10:12" ht="15" customHeight="1" x14ac:dyDescent="0.25">
      <c r="J286" s="48"/>
      <c r="K286" s="17"/>
      <c r="L286" s="49"/>
    </row>
    <row r="287" spans="10:12" ht="15" customHeight="1" x14ac:dyDescent="0.25">
      <c r="J287" s="48"/>
      <c r="K287" s="17"/>
      <c r="L287" s="49"/>
    </row>
    <row r="288" spans="10:12" ht="15" customHeight="1" x14ac:dyDescent="0.25">
      <c r="J288" s="48"/>
      <c r="K288" s="17"/>
      <c r="L288" s="49"/>
    </row>
    <row r="289" spans="10:12" ht="15" customHeight="1" x14ac:dyDescent="0.25">
      <c r="J289" s="48"/>
      <c r="K289" s="17"/>
      <c r="L289" s="49"/>
    </row>
    <row r="290" spans="10:12" ht="15" customHeight="1" x14ac:dyDescent="0.25">
      <c r="J290" s="48"/>
      <c r="K290" s="17"/>
      <c r="L290" s="49"/>
    </row>
    <row r="291" spans="10:12" ht="15" customHeight="1" x14ac:dyDescent="0.25">
      <c r="J291" s="48"/>
      <c r="K291" s="17"/>
      <c r="L291" s="49"/>
    </row>
    <row r="292" spans="10:12" ht="15" customHeight="1" x14ac:dyDescent="0.25">
      <c r="J292" s="48"/>
      <c r="K292" s="17"/>
      <c r="L292" s="49"/>
    </row>
    <row r="293" spans="10:12" ht="15" customHeight="1" x14ac:dyDescent="0.25">
      <c r="J293" s="48"/>
      <c r="K293" s="17"/>
      <c r="L293" s="49"/>
    </row>
    <row r="294" spans="10:12" ht="15" customHeight="1" x14ac:dyDescent="0.25">
      <c r="J294" s="48"/>
      <c r="K294" s="17"/>
      <c r="L294" s="49"/>
    </row>
    <row r="295" spans="10:12" ht="15" customHeight="1" x14ac:dyDescent="0.25">
      <c r="J295" s="48"/>
      <c r="K295" s="17"/>
      <c r="L295" s="49"/>
    </row>
    <row r="296" spans="10:12" ht="15" customHeight="1" x14ac:dyDescent="0.25">
      <c r="J296" s="48"/>
      <c r="K296" s="17"/>
      <c r="L296" s="49"/>
    </row>
    <row r="297" spans="10:12" ht="15" customHeight="1" x14ac:dyDescent="0.25">
      <c r="J297" s="48"/>
      <c r="K297" s="17"/>
      <c r="L297" s="49"/>
    </row>
    <row r="298" spans="10:12" ht="15" customHeight="1" x14ac:dyDescent="0.25">
      <c r="J298" s="48"/>
      <c r="K298" s="17"/>
      <c r="L298" s="49"/>
    </row>
    <row r="299" spans="10:12" ht="15" customHeight="1" x14ac:dyDescent="0.25">
      <c r="J299" s="48"/>
      <c r="K299" s="17"/>
      <c r="L299" s="49"/>
    </row>
    <row r="300" spans="10:12" ht="15" customHeight="1" x14ac:dyDescent="0.25">
      <c r="J300" s="48"/>
      <c r="K300" s="17"/>
      <c r="L300" s="49"/>
    </row>
    <row r="301" spans="10:12" ht="15" customHeight="1" x14ac:dyDescent="0.25">
      <c r="J301" s="48"/>
      <c r="K301" s="17"/>
      <c r="L301" s="49"/>
    </row>
    <row r="302" spans="10:12" ht="15" customHeight="1" x14ac:dyDescent="0.25">
      <c r="J302" s="48"/>
      <c r="K302" s="17"/>
      <c r="L302" s="49"/>
    </row>
    <row r="303" spans="10:12" ht="15" customHeight="1" x14ac:dyDescent="0.25">
      <c r="J303" s="48"/>
      <c r="K303" s="17"/>
      <c r="L303" s="49"/>
    </row>
    <row r="304" spans="10:12" ht="15" customHeight="1" x14ac:dyDescent="0.25">
      <c r="J304" s="48"/>
      <c r="K304" s="17"/>
      <c r="L304" s="49"/>
    </row>
    <row r="305" spans="10:12" ht="15" customHeight="1" x14ac:dyDescent="0.25">
      <c r="J305" s="48"/>
      <c r="K305" s="17"/>
      <c r="L305" s="49"/>
    </row>
    <row r="306" spans="10:12" ht="15" customHeight="1" x14ac:dyDescent="0.25">
      <c r="J306" s="48"/>
      <c r="K306" s="17"/>
      <c r="L306" s="49"/>
    </row>
    <row r="307" spans="10:12" ht="15" customHeight="1" x14ac:dyDescent="0.25">
      <c r="J307" s="48"/>
      <c r="K307" s="17"/>
      <c r="L307" s="49"/>
    </row>
    <row r="308" spans="10:12" ht="15" customHeight="1" x14ac:dyDescent="0.25">
      <c r="J308" s="48"/>
      <c r="K308" s="17"/>
      <c r="L308" s="49"/>
    </row>
    <row r="309" spans="10:12" ht="15" customHeight="1" x14ac:dyDescent="0.25">
      <c r="J309" s="48"/>
      <c r="K309" s="17"/>
      <c r="L309" s="49"/>
    </row>
    <row r="310" spans="10:12" ht="15" customHeight="1" x14ac:dyDescent="0.25">
      <c r="J310" s="48"/>
      <c r="K310" s="17"/>
      <c r="L310" s="49"/>
    </row>
    <row r="311" spans="10:12" ht="15" customHeight="1" x14ac:dyDescent="0.25">
      <c r="J311" s="48"/>
      <c r="K311" s="17"/>
      <c r="L311" s="49"/>
    </row>
    <row r="312" spans="10:12" ht="15" customHeight="1" x14ac:dyDescent="0.25">
      <c r="J312" s="48"/>
      <c r="K312" s="17"/>
      <c r="L312" s="49"/>
    </row>
    <row r="313" spans="10:12" ht="15" customHeight="1" x14ac:dyDescent="0.25">
      <c r="J313" s="48"/>
      <c r="K313" s="17"/>
      <c r="L313" s="49"/>
    </row>
    <row r="314" spans="10:12" ht="15" customHeight="1" x14ac:dyDescent="0.25">
      <c r="J314" s="48"/>
      <c r="K314" s="17"/>
      <c r="L314" s="49"/>
    </row>
    <row r="315" spans="10:12" ht="15" customHeight="1" x14ac:dyDescent="0.25">
      <c r="J315" s="48"/>
      <c r="K315" s="17"/>
      <c r="L315" s="49"/>
    </row>
    <row r="316" spans="10:12" ht="15" customHeight="1" x14ac:dyDescent="0.25">
      <c r="J316" s="48"/>
      <c r="K316" s="17"/>
      <c r="L316" s="49"/>
    </row>
    <row r="317" spans="10:12" ht="15" customHeight="1" x14ac:dyDescent="0.25">
      <c r="J317" s="48"/>
      <c r="K317" s="17"/>
      <c r="L317" s="49"/>
    </row>
    <row r="318" spans="10:12" ht="15" customHeight="1" x14ac:dyDescent="0.25">
      <c r="J318" s="48"/>
      <c r="K318" s="17"/>
      <c r="L318" s="49"/>
    </row>
    <row r="319" spans="10:12" ht="15" customHeight="1" x14ac:dyDescent="0.25">
      <c r="J319" s="16"/>
      <c r="K319" s="17"/>
      <c r="L319" s="49"/>
    </row>
    <row r="320" spans="10:12" ht="15" customHeight="1" x14ac:dyDescent="0.25">
      <c r="J320" s="16"/>
      <c r="K320" s="17"/>
      <c r="L320" s="49"/>
    </row>
    <row r="321" spans="10:12" ht="15" customHeight="1" x14ac:dyDescent="0.25">
      <c r="J321" s="16"/>
      <c r="K321" s="17"/>
      <c r="L321" s="49"/>
    </row>
    <row r="322" spans="10:12" ht="15" customHeight="1" x14ac:dyDescent="0.25">
      <c r="J322" s="16"/>
      <c r="K322" s="17"/>
      <c r="L322" s="49"/>
    </row>
    <row r="323" spans="10:12" ht="15" customHeight="1" x14ac:dyDescent="0.25">
      <c r="J323" s="16"/>
      <c r="K323" s="17"/>
      <c r="L323" s="49"/>
    </row>
    <row r="324" spans="10:12" ht="15" customHeight="1" x14ac:dyDescent="0.25">
      <c r="J324" s="16"/>
      <c r="K324" s="17"/>
      <c r="L324" s="49"/>
    </row>
    <row r="325" spans="10:12" ht="15" customHeight="1" x14ac:dyDescent="0.25">
      <c r="J325" s="16"/>
      <c r="K325" s="17"/>
      <c r="L325" s="49"/>
    </row>
    <row r="326" spans="10:12" ht="15" customHeight="1" x14ac:dyDescent="0.25">
      <c r="J326" s="16"/>
      <c r="K326" s="17"/>
      <c r="L326" s="49"/>
    </row>
    <row r="327" spans="10:12" ht="15" customHeight="1" x14ac:dyDescent="0.25">
      <c r="J327" s="16"/>
      <c r="K327" s="17"/>
      <c r="L327" s="49"/>
    </row>
    <row r="328" spans="10:12" ht="15" customHeight="1" x14ac:dyDescent="0.25">
      <c r="J328" s="16"/>
      <c r="K328" s="17"/>
      <c r="L328" s="49"/>
    </row>
    <row r="329" spans="10:12" ht="15" customHeight="1" x14ac:dyDescent="0.25">
      <c r="J329" s="16"/>
      <c r="K329" s="17"/>
      <c r="L329" s="49"/>
    </row>
    <row r="330" spans="10:12" ht="15" customHeight="1" x14ac:dyDescent="0.25">
      <c r="J330" s="16"/>
      <c r="K330" s="17"/>
      <c r="L330" s="49"/>
    </row>
    <row r="331" spans="10:12" ht="15" customHeight="1" x14ac:dyDescent="0.25">
      <c r="J331" s="16"/>
      <c r="K331" s="17"/>
      <c r="L331" s="49"/>
    </row>
    <row r="332" spans="10:12" ht="15" customHeight="1" x14ac:dyDescent="0.25">
      <c r="J332" s="16"/>
      <c r="K332" s="17"/>
      <c r="L332" s="49"/>
    </row>
    <row r="333" spans="10:12" ht="15" customHeight="1" x14ac:dyDescent="0.25">
      <c r="J333" s="16"/>
      <c r="K333" s="17"/>
      <c r="L333" s="49"/>
    </row>
    <row r="334" spans="10:12" ht="15" customHeight="1" x14ac:dyDescent="0.25">
      <c r="J334" s="16"/>
      <c r="K334" s="17"/>
      <c r="L334" s="49"/>
    </row>
    <row r="335" spans="10:12" ht="15" customHeight="1" x14ac:dyDescent="0.25">
      <c r="J335" s="16"/>
      <c r="K335" s="17"/>
      <c r="L335" s="49"/>
    </row>
    <row r="336" spans="10:12" ht="15" customHeight="1" x14ac:dyDescent="0.25">
      <c r="J336" s="16"/>
      <c r="K336" s="17"/>
      <c r="L336" s="49"/>
    </row>
    <row r="337" spans="10:12" ht="15" customHeight="1" x14ac:dyDescent="0.25">
      <c r="J337" s="16"/>
      <c r="K337" s="17"/>
      <c r="L337" s="49"/>
    </row>
    <row r="338" spans="10:12" ht="15" customHeight="1" x14ac:dyDescent="0.25">
      <c r="J338" s="16"/>
      <c r="K338" s="17"/>
      <c r="L338" s="49"/>
    </row>
    <row r="339" spans="10:12" ht="15" customHeight="1" x14ac:dyDescent="0.25">
      <c r="J339" s="16"/>
      <c r="K339" s="17"/>
      <c r="L339" s="49"/>
    </row>
    <row r="340" spans="10:12" ht="15" customHeight="1" x14ac:dyDescent="0.25">
      <c r="J340" s="16"/>
      <c r="K340" s="17"/>
      <c r="L340" s="49"/>
    </row>
    <row r="341" spans="10:12" ht="15" customHeight="1" x14ac:dyDescent="0.25">
      <c r="J341" s="16"/>
      <c r="K341" s="17"/>
      <c r="L341" s="49"/>
    </row>
    <row r="342" spans="10:12" ht="15" customHeight="1" x14ac:dyDescent="0.25">
      <c r="J342" s="16"/>
      <c r="K342" s="17"/>
      <c r="L342" s="49"/>
    </row>
    <row r="343" spans="10:12" ht="15" customHeight="1" x14ac:dyDescent="0.25">
      <c r="J343" s="16"/>
      <c r="K343" s="17"/>
      <c r="L343" s="49"/>
    </row>
    <row r="344" spans="10:12" ht="15" customHeight="1" x14ac:dyDescent="0.25">
      <c r="J344" s="16"/>
      <c r="K344" s="17"/>
      <c r="L344" s="49"/>
    </row>
    <row r="345" spans="10:12" ht="15" customHeight="1" x14ac:dyDescent="0.25">
      <c r="J345" s="16"/>
      <c r="K345" s="17"/>
      <c r="L345" s="49"/>
    </row>
    <row r="346" spans="10:12" ht="15" customHeight="1" x14ac:dyDescent="0.25">
      <c r="J346" s="16"/>
      <c r="K346" s="17"/>
      <c r="L346" s="49"/>
    </row>
    <row r="347" spans="10:12" ht="15" customHeight="1" x14ac:dyDescent="0.25">
      <c r="J347" s="16"/>
      <c r="K347" s="17"/>
      <c r="L347" s="49"/>
    </row>
    <row r="348" spans="10:12" ht="15" customHeight="1" x14ac:dyDescent="0.25">
      <c r="J348" s="16"/>
      <c r="K348" s="17"/>
      <c r="L348" s="49"/>
    </row>
    <row r="349" spans="10:12" ht="15" customHeight="1" x14ac:dyDescent="0.25">
      <c r="J349" s="16"/>
      <c r="K349" s="17"/>
      <c r="L349" s="49"/>
    </row>
    <row r="350" spans="10:12" ht="15" customHeight="1" x14ac:dyDescent="0.25">
      <c r="J350" s="16"/>
      <c r="K350" s="17"/>
      <c r="L350" s="49"/>
    </row>
    <row r="351" spans="10:12" ht="15" customHeight="1" x14ac:dyDescent="0.25">
      <c r="J351" s="16"/>
      <c r="K351" s="17"/>
      <c r="L351" s="49"/>
    </row>
    <row r="352" spans="10:12" ht="15" customHeight="1" x14ac:dyDescent="0.25">
      <c r="J352" s="16"/>
      <c r="K352" s="17"/>
      <c r="L352" s="49"/>
    </row>
    <row r="353" spans="10:12" ht="15" customHeight="1" x14ac:dyDescent="0.25">
      <c r="J353" s="16"/>
      <c r="K353" s="17"/>
      <c r="L353" s="49"/>
    </row>
    <row r="354" spans="10:12" ht="15" customHeight="1" x14ac:dyDescent="0.25">
      <c r="J354" s="16"/>
      <c r="K354" s="17"/>
      <c r="L354" s="49"/>
    </row>
  </sheetData>
  <autoFilter ref="A5:R152" xr:uid="{00000000-0009-0000-0000-000000000000}">
    <filterColumn colId="11" showButton="0"/>
  </autoFilter>
  <mergeCells count="21">
    <mergeCell ref="F4:F5"/>
    <mergeCell ref="A1:N1"/>
    <mergeCell ref="O1:P1"/>
    <mergeCell ref="A2:F3"/>
    <mergeCell ref="G2:I3"/>
    <mergeCell ref="J2:L3"/>
    <mergeCell ref="M2:N3"/>
    <mergeCell ref="O2:P3"/>
    <mergeCell ref="A4:A5"/>
    <mergeCell ref="B4:B5"/>
    <mergeCell ref="C4:C5"/>
    <mergeCell ref="D4:D5"/>
    <mergeCell ref="E4:E5"/>
    <mergeCell ref="N4:N5"/>
    <mergeCell ref="O4:P5"/>
    <mergeCell ref="G4:G5"/>
    <mergeCell ref="H4:H5"/>
    <mergeCell ref="I4:I5"/>
    <mergeCell ref="J4:J5"/>
    <mergeCell ref="K4:K5"/>
    <mergeCell ref="L4:M5"/>
  </mergeCells>
  <conditionalFormatting sqref="C40:C51 C7:E29 A7:A57 K7:M25 C58:C71 I58:I71 C52:E57 G7:I57 C151:C152 I151:I152">
    <cfRule type="expression" dxfId="29377" priority="1331">
      <formula>AND($A7&lt;&gt;"",MOD(ROW(),2))</formula>
    </cfRule>
  </conditionalFormatting>
  <conditionalFormatting sqref="D7:D29 K7:K25 D52:D57">
    <cfRule type="cellIs" dxfId="29376" priority="1328" operator="equal">
      <formula>$C7</formula>
    </cfRule>
    <cfRule type="cellIs" dxfId="29375" priority="1329" operator="greaterThan">
      <formula>$C7</formula>
    </cfRule>
    <cfRule type="cellIs" dxfId="29374" priority="1330" operator="lessThan">
      <formula>$C7</formula>
    </cfRule>
  </conditionalFormatting>
  <conditionalFormatting sqref="K26:M58">
    <cfRule type="expression" dxfId="29373" priority="1321">
      <formula>AND($A25&lt;&gt;"",MOD(ROW(),2))</formula>
    </cfRule>
  </conditionalFormatting>
  <conditionalFormatting sqref="K59:L84">
    <cfRule type="expression" dxfId="29372" priority="1320">
      <formula>AND($A58&lt;&gt;"",MOD(ROW(),2))</formula>
    </cfRule>
  </conditionalFormatting>
  <conditionalFormatting sqref="K26:K84">
    <cfRule type="cellIs" dxfId="29371" priority="1317" operator="equal">
      <formula>$C25</formula>
    </cfRule>
    <cfRule type="cellIs" dxfId="29370" priority="1318" operator="greaterThan">
      <formula>$C25</formula>
    </cfRule>
    <cfRule type="cellIs" dxfId="29369" priority="1319" operator="lessThan">
      <formula>$C25</formula>
    </cfRule>
  </conditionalFormatting>
  <conditionalFormatting sqref="K85:L110">
    <cfRule type="expression" dxfId="29368" priority="1316">
      <formula>AND($A84&lt;&gt;"",MOD(ROW(),2))</formula>
    </cfRule>
  </conditionalFormatting>
  <conditionalFormatting sqref="K85:K110">
    <cfRule type="cellIs" dxfId="29367" priority="1313" operator="equal">
      <formula>$C84</formula>
    </cfRule>
    <cfRule type="cellIs" dxfId="29366" priority="1314" operator="greaterThan">
      <formula>$C84</formula>
    </cfRule>
    <cfRule type="cellIs" dxfId="29365" priority="1315" operator="lessThan">
      <formula>$C84</formula>
    </cfRule>
  </conditionalFormatting>
  <conditionalFormatting sqref="K111:L136">
    <cfRule type="expression" dxfId="29364" priority="1312">
      <formula>AND($A110&lt;&gt;"",MOD(ROW(),2))</formula>
    </cfRule>
  </conditionalFormatting>
  <conditionalFormatting sqref="K111:K136">
    <cfRule type="cellIs" dxfId="29363" priority="1309" operator="equal">
      <formula>$C110</formula>
    </cfRule>
    <cfRule type="cellIs" dxfId="29362" priority="1310" operator="greaterThan">
      <formula>$C110</formula>
    </cfRule>
    <cfRule type="cellIs" dxfId="29361" priority="1311" operator="lessThan">
      <formula>$C110</formula>
    </cfRule>
  </conditionalFormatting>
  <conditionalFormatting sqref="K137:L162">
    <cfRule type="expression" dxfId="29360" priority="1308">
      <formula>AND($A136&lt;&gt;"",MOD(ROW(),2))</formula>
    </cfRule>
  </conditionalFormatting>
  <conditionalFormatting sqref="K137:K162">
    <cfRule type="cellIs" dxfId="29359" priority="1305" operator="equal">
      <formula>$C136</formula>
    </cfRule>
    <cfRule type="cellIs" dxfId="29358" priority="1306" operator="greaterThan">
      <formula>$C136</formula>
    </cfRule>
    <cfRule type="cellIs" dxfId="29357" priority="1307" operator="lessThan">
      <formula>$C136</formula>
    </cfRule>
  </conditionalFormatting>
  <conditionalFormatting sqref="K163:L188">
    <cfRule type="expression" dxfId="29356" priority="1304">
      <formula>AND($A162&lt;&gt;"",MOD(ROW(),2))</formula>
    </cfRule>
  </conditionalFormatting>
  <conditionalFormatting sqref="K163:K188">
    <cfRule type="cellIs" dxfId="29355" priority="1301" operator="equal">
      <formula>$C162</formula>
    </cfRule>
    <cfRule type="cellIs" dxfId="29354" priority="1302" operator="greaterThan">
      <formula>$C162</formula>
    </cfRule>
    <cfRule type="cellIs" dxfId="29353" priority="1303" operator="lessThan">
      <formula>$C162</formula>
    </cfRule>
  </conditionalFormatting>
  <conditionalFormatting sqref="K189:L214">
    <cfRule type="expression" dxfId="29352" priority="1300">
      <formula>AND($A188&lt;&gt;"",MOD(ROW(),2))</formula>
    </cfRule>
  </conditionalFormatting>
  <conditionalFormatting sqref="K189:K214">
    <cfRule type="cellIs" dxfId="29351" priority="1297" operator="equal">
      <formula>$C188</formula>
    </cfRule>
    <cfRule type="cellIs" dxfId="29350" priority="1298" operator="greaterThan">
      <formula>$C188</formula>
    </cfRule>
    <cfRule type="cellIs" dxfId="29349" priority="1299" operator="lessThan">
      <formula>$C188</formula>
    </cfRule>
  </conditionalFormatting>
  <conditionalFormatting sqref="K215:L240">
    <cfRule type="expression" dxfId="29348" priority="1296">
      <formula>AND($A214&lt;&gt;"",MOD(ROW(),2))</formula>
    </cfRule>
  </conditionalFormatting>
  <conditionalFormatting sqref="K215:K240">
    <cfRule type="cellIs" dxfId="29347" priority="1293" operator="equal">
      <formula>$C214</formula>
    </cfRule>
    <cfRule type="cellIs" dxfId="29346" priority="1294" operator="greaterThan">
      <formula>$C214</formula>
    </cfRule>
    <cfRule type="cellIs" dxfId="29345" priority="1295" operator="lessThan">
      <formula>$C214</formula>
    </cfRule>
  </conditionalFormatting>
  <conditionalFormatting sqref="K241:L266">
    <cfRule type="expression" dxfId="29344" priority="1292">
      <formula>AND($A240&lt;&gt;"",MOD(ROW(),2))</formula>
    </cfRule>
  </conditionalFormatting>
  <conditionalFormatting sqref="K241:K266">
    <cfRule type="cellIs" dxfId="29343" priority="1289" operator="equal">
      <formula>$C240</formula>
    </cfRule>
    <cfRule type="cellIs" dxfId="29342" priority="1290" operator="greaterThan">
      <formula>$C240</formula>
    </cfRule>
    <cfRule type="cellIs" dxfId="29341" priority="1291" operator="lessThan">
      <formula>$C240</formula>
    </cfRule>
  </conditionalFormatting>
  <conditionalFormatting sqref="K267:L292">
    <cfRule type="expression" dxfId="29340" priority="1288">
      <formula>AND($A266&lt;&gt;"",MOD(ROW(),2))</formula>
    </cfRule>
  </conditionalFormatting>
  <conditionalFormatting sqref="K267:K292">
    <cfRule type="cellIs" dxfId="29339" priority="1285" operator="equal">
      <formula>$C266</formula>
    </cfRule>
    <cfRule type="cellIs" dxfId="29338" priority="1286" operator="greaterThan">
      <formula>$C266</formula>
    </cfRule>
    <cfRule type="cellIs" dxfId="29337" priority="1287" operator="lessThan">
      <formula>$C266</formula>
    </cfRule>
  </conditionalFormatting>
  <conditionalFormatting sqref="K293:L318">
    <cfRule type="expression" dxfId="29336" priority="1284">
      <formula>AND($A292&lt;&gt;"",MOD(ROW(),2))</formula>
    </cfRule>
  </conditionalFormatting>
  <conditionalFormatting sqref="K293:K318">
    <cfRule type="cellIs" dxfId="29335" priority="1281" operator="equal">
      <formula>$C292</formula>
    </cfRule>
    <cfRule type="cellIs" dxfId="29334" priority="1282" operator="greaterThan">
      <formula>$C292</formula>
    </cfRule>
    <cfRule type="cellIs" dxfId="29333" priority="1283" operator="lessThan">
      <formula>$C292</formula>
    </cfRule>
  </conditionalFormatting>
  <conditionalFormatting sqref="F52:F68 F7:F29 F74:F2988">
    <cfRule type="containsText" dxfId="29332" priority="1280" operator="containsText" text="Unpaid Rent">
      <formula>NOT(ISERROR(SEARCH("Unpaid Rent",F7)))</formula>
    </cfRule>
    <cfRule type="containsText" dxfId="29331" priority="1322" stopIfTrue="1" operator="containsText" text="Closed Account">
      <formula>NOT(ISERROR(SEARCH("Closed Account",F7)))</formula>
    </cfRule>
  </conditionalFormatting>
  <conditionalFormatting sqref="M33:M58 L33:L318 L7:M32">
    <cfRule type="expression" dxfId="29330" priority="1327">
      <formula>AND(#REF!&lt;&gt;"",MOD(ROW(),2))</formula>
    </cfRule>
  </conditionalFormatting>
  <conditionalFormatting sqref="M33:M58 L33:L318 L7:M32">
    <cfRule type="expression" dxfId="29329" priority="1326">
      <formula>AND(#REF!&lt;&gt;"",MOD(ROW(),2))</formula>
    </cfRule>
  </conditionalFormatting>
  <conditionalFormatting sqref="M7:M58">
    <cfRule type="cellIs" dxfId="29328" priority="1323" operator="equal">
      <formula>#REF!</formula>
    </cfRule>
    <cfRule type="cellIs" dxfId="29327" priority="1324" operator="greaterThan">
      <formula>#REF!</formula>
    </cfRule>
    <cfRule type="cellIs" dxfId="29326" priority="1325" operator="lessThan">
      <formula>#REF!</formula>
    </cfRule>
  </conditionalFormatting>
  <conditionalFormatting sqref="K319:L321">
    <cfRule type="expression" dxfId="29325" priority="1277">
      <formula>AND($A318&lt;&gt;"",MOD(ROW(),2))</formula>
    </cfRule>
  </conditionalFormatting>
  <conditionalFormatting sqref="K319:K321">
    <cfRule type="cellIs" dxfId="29324" priority="1274" operator="equal">
      <formula>$C318</formula>
    </cfRule>
    <cfRule type="cellIs" dxfId="29323" priority="1275" operator="greaterThan">
      <formula>$C318</formula>
    </cfRule>
    <cfRule type="cellIs" dxfId="29322" priority="1276" operator="lessThan">
      <formula>$C318</formula>
    </cfRule>
  </conditionalFormatting>
  <conditionalFormatting sqref="L319:L321">
    <cfRule type="expression" dxfId="29321" priority="1279">
      <formula>AND(#REF!&lt;&gt;"",MOD(ROW(),2))</formula>
    </cfRule>
  </conditionalFormatting>
  <conditionalFormatting sqref="L319:L321">
    <cfRule type="expression" dxfId="29320" priority="1278">
      <formula>AND(#REF!&lt;&gt;"",MOD(ROW(),2))</formula>
    </cfRule>
  </conditionalFormatting>
  <conditionalFormatting sqref="K322:L324">
    <cfRule type="expression" dxfId="29319" priority="1271">
      <formula>AND($A321&lt;&gt;"",MOD(ROW(),2))</formula>
    </cfRule>
  </conditionalFormatting>
  <conditionalFormatting sqref="K322:K324">
    <cfRule type="cellIs" dxfId="29318" priority="1268" operator="equal">
      <formula>$C321</formula>
    </cfRule>
    <cfRule type="cellIs" dxfId="29317" priority="1269" operator="greaterThan">
      <formula>$C321</formula>
    </cfRule>
    <cfRule type="cellIs" dxfId="29316" priority="1270" operator="lessThan">
      <formula>$C321</formula>
    </cfRule>
  </conditionalFormatting>
  <conditionalFormatting sqref="L322:L324">
    <cfRule type="expression" dxfId="29315" priority="1273">
      <formula>AND(#REF!&lt;&gt;"",MOD(ROW(),2))</formula>
    </cfRule>
  </conditionalFormatting>
  <conditionalFormatting sqref="L322:L324">
    <cfRule type="expression" dxfId="29314" priority="1272">
      <formula>AND(#REF!&lt;&gt;"",MOD(ROW(),2))</formula>
    </cfRule>
  </conditionalFormatting>
  <conditionalFormatting sqref="K325:L327">
    <cfRule type="expression" dxfId="29313" priority="1265">
      <formula>AND($A324&lt;&gt;"",MOD(ROW(),2))</formula>
    </cfRule>
  </conditionalFormatting>
  <conditionalFormatting sqref="K325:K327">
    <cfRule type="cellIs" dxfId="29312" priority="1262" operator="equal">
      <formula>$C324</formula>
    </cfRule>
    <cfRule type="cellIs" dxfId="29311" priority="1263" operator="greaterThan">
      <formula>$C324</formula>
    </cfRule>
    <cfRule type="cellIs" dxfId="29310" priority="1264" operator="lessThan">
      <formula>$C324</formula>
    </cfRule>
  </conditionalFormatting>
  <conditionalFormatting sqref="L325:L327">
    <cfRule type="expression" dxfId="29309" priority="1267">
      <formula>AND(#REF!&lt;&gt;"",MOD(ROW(),2))</formula>
    </cfRule>
  </conditionalFormatting>
  <conditionalFormatting sqref="L325:L327">
    <cfRule type="expression" dxfId="29308" priority="1266">
      <formula>AND(#REF!&lt;&gt;"",MOD(ROW(),2))</formula>
    </cfRule>
  </conditionalFormatting>
  <conditionalFormatting sqref="K328:L330">
    <cfRule type="expression" dxfId="29307" priority="1259">
      <formula>AND($A327&lt;&gt;"",MOD(ROW(),2))</formula>
    </cfRule>
  </conditionalFormatting>
  <conditionalFormatting sqref="K328:K330">
    <cfRule type="cellIs" dxfId="29306" priority="1256" operator="equal">
      <formula>$C327</formula>
    </cfRule>
    <cfRule type="cellIs" dxfId="29305" priority="1257" operator="greaterThan">
      <formula>$C327</formula>
    </cfRule>
    <cfRule type="cellIs" dxfId="29304" priority="1258" operator="lessThan">
      <formula>$C327</formula>
    </cfRule>
  </conditionalFormatting>
  <conditionalFormatting sqref="L328:L330">
    <cfRule type="expression" dxfId="29303" priority="1261">
      <formula>AND(#REF!&lt;&gt;"",MOD(ROW(),2))</formula>
    </cfRule>
  </conditionalFormatting>
  <conditionalFormatting sqref="L328:L330">
    <cfRule type="expression" dxfId="29302" priority="1260">
      <formula>AND(#REF!&lt;&gt;"",MOD(ROW(),2))</formula>
    </cfRule>
  </conditionalFormatting>
  <conditionalFormatting sqref="K331:L333">
    <cfRule type="expression" dxfId="29301" priority="1253">
      <formula>AND($A330&lt;&gt;"",MOD(ROW(),2))</formula>
    </cfRule>
  </conditionalFormatting>
  <conditionalFormatting sqref="K331:K333">
    <cfRule type="cellIs" dxfId="29300" priority="1250" operator="equal">
      <formula>$C330</formula>
    </cfRule>
    <cfRule type="cellIs" dxfId="29299" priority="1251" operator="greaterThan">
      <formula>$C330</formula>
    </cfRule>
    <cfRule type="cellIs" dxfId="29298" priority="1252" operator="lessThan">
      <formula>$C330</formula>
    </cfRule>
  </conditionalFormatting>
  <conditionalFormatting sqref="L331:L333">
    <cfRule type="expression" dxfId="29297" priority="1255">
      <formula>AND(#REF!&lt;&gt;"",MOD(ROW(),2))</formula>
    </cfRule>
  </conditionalFormatting>
  <conditionalFormatting sqref="L331:L333">
    <cfRule type="expression" dxfId="29296" priority="1254">
      <formula>AND(#REF!&lt;&gt;"",MOD(ROW(),2))</formula>
    </cfRule>
  </conditionalFormatting>
  <conditionalFormatting sqref="K334:L336">
    <cfRule type="expression" dxfId="29295" priority="1247">
      <formula>AND($A333&lt;&gt;"",MOD(ROW(),2))</formula>
    </cfRule>
  </conditionalFormatting>
  <conditionalFormatting sqref="K334:K336">
    <cfRule type="cellIs" dxfId="29294" priority="1244" operator="equal">
      <formula>$C333</formula>
    </cfRule>
    <cfRule type="cellIs" dxfId="29293" priority="1245" operator="greaterThan">
      <formula>$C333</formula>
    </cfRule>
    <cfRule type="cellIs" dxfId="29292" priority="1246" operator="lessThan">
      <formula>$C333</formula>
    </cfRule>
  </conditionalFormatting>
  <conditionalFormatting sqref="L334:L336">
    <cfRule type="expression" dxfId="29291" priority="1249">
      <formula>AND(#REF!&lt;&gt;"",MOD(ROW(),2))</formula>
    </cfRule>
  </conditionalFormatting>
  <conditionalFormatting sqref="L334:L336">
    <cfRule type="expression" dxfId="29290" priority="1248">
      <formula>AND(#REF!&lt;&gt;"",MOD(ROW(),2))</formula>
    </cfRule>
  </conditionalFormatting>
  <conditionalFormatting sqref="K337:L339">
    <cfRule type="expression" dxfId="29289" priority="1241">
      <formula>AND($A336&lt;&gt;"",MOD(ROW(),2))</formula>
    </cfRule>
  </conditionalFormatting>
  <conditionalFormatting sqref="K337:K339">
    <cfRule type="cellIs" dxfId="29288" priority="1238" operator="equal">
      <formula>$C336</formula>
    </cfRule>
    <cfRule type="cellIs" dxfId="29287" priority="1239" operator="greaterThan">
      <formula>$C336</formula>
    </cfRule>
    <cfRule type="cellIs" dxfId="29286" priority="1240" operator="lessThan">
      <formula>$C336</formula>
    </cfRule>
  </conditionalFormatting>
  <conditionalFormatting sqref="L337:L339">
    <cfRule type="expression" dxfId="29285" priority="1243">
      <formula>AND(#REF!&lt;&gt;"",MOD(ROW(),2))</formula>
    </cfRule>
  </conditionalFormatting>
  <conditionalFormatting sqref="L337:L339">
    <cfRule type="expression" dxfId="29284" priority="1242">
      <formula>AND(#REF!&lt;&gt;"",MOD(ROW(),2))</formula>
    </cfRule>
  </conditionalFormatting>
  <conditionalFormatting sqref="K340:L342">
    <cfRule type="expression" dxfId="29283" priority="1235">
      <formula>AND($A339&lt;&gt;"",MOD(ROW(),2))</formula>
    </cfRule>
  </conditionalFormatting>
  <conditionalFormatting sqref="K340:K342">
    <cfRule type="cellIs" dxfId="29282" priority="1232" operator="equal">
      <formula>$C339</formula>
    </cfRule>
    <cfRule type="cellIs" dxfId="29281" priority="1233" operator="greaterThan">
      <formula>$C339</formula>
    </cfRule>
    <cfRule type="cellIs" dxfId="29280" priority="1234" operator="lessThan">
      <formula>$C339</formula>
    </cfRule>
  </conditionalFormatting>
  <conditionalFormatting sqref="L340:L342">
    <cfRule type="expression" dxfId="29279" priority="1237">
      <formula>AND(#REF!&lt;&gt;"",MOD(ROW(),2))</formula>
    </cfRule>
  </conditionalFormatting>
  <conditionalFormatting sqref="L340:L342">
    <cfRule type="expression" dxfId="29278" priority="1236">
      <formula>AND(#REF!&lt;&gt;"",MOD(ROW(),2))</formula>
    </cfRule>
  </conditionalFormatting>
  <conditionalFormatting sqref="K343:L345">
    <cfRule type="expression" dxfId="29277" priority="1229">
      <formula>AND($A342&lt;&gt;"",MOD(ROW(),2))</formula>
    </cfRule>
  </conditionalFormatting>
  <conditionalFormatting sqref="K343:K345">
    <cfRule type="cellIs" dxfId="29276" priority="1226" operator="equal">
      <formula>$C342</formula>
    </cfRule>
    <cfRule type="cellIs" dxfId="29275" priority="1227" operator="greaterThan">
      <formula>$C342</formula>
    </cfRule>
    <cfRule type="cellIs" dxfId="29274" priority="1228" operator="lessThan">
      <formula>$C342</formula>
    </cfRule>
  </conditionalFormatting>
  <conditionalFormatting sqref="L343:L345">
    <cfRule type="expression" dxfId="29273" priority="1231">
      <formula>AND(#REF!&lt;&gt;"",MOD(ROW(),2))</formula>
    </cfRule>
  </conditionalFormatting>
  <conditionalFormatting sqref="L343:L345">
    <cfRule type="expression" dxfId="29272" priority="1230">
      <formula>AND(#REF!&lt;&gt;"",MOD(ROW(),2))</formula>
    </cfRule>
  </conditionalFormatting>
  <conditionalFormatting sqref="K346:L348">
    <cfRule type="expression" dxfId="29271" priority="1223">
      <formula>AND($A345&lt;&gt;"",MOD(ROW(),2))</formula>
    </cfRule>
  </conditionalFormatting>
  <conditionalFormatting sqref="K346:K348">
    <cfRule type="cellIs" dxfId="29270" priority="1220" operator="equal">
      <formula>$C345</formula>
    </cfRule>
    <cfRule type="cellIs" dxfId="29269" priority="1221" operator="greaterThan">
      <formula>$C345</formula>
    </cfRule>
    <cfRule type="cellIs" dxfId="29268" priority="1222" operator="lessThan">
      <formula>$C345</formula>
    </cfRule>
  </conditionalFormatting>
  <conditionalFormatting sqref="L346:L348">
    <cfRule type="expression" dxfId="29267" priority="1225">
      <formula>AND(#REF!&lt;&gt;"",MOD(ROW(),2))</formula>
    </cfRule>
  </conditionalFormatting>
  <conditionalFormatting sqref="L346:L348">
    <cfRule type="expression" dxfId="29266" priority="1224">
      <formula>AND(#REF!&lt;&gt;"",MOD(ROW(),2))</formula>
    </cfRule>
  </conditionalFormatting>
  <conditionalFormatting sqref="K349:L351">
    <cfRule type="expression" dxfId="29265" priority="1217">
      <formula>AND($A348&lt;&gt;"",MOD(ROW(),2))</formula>
    </cfRule>
  </conditionalFormatting>
  <conditionalFormatting sqref="K349:K351">
    <cfRule type="cellIs" dxfId="29264" priority="1214" operator="equal">
      <formula>$C348</formula>
    </cfRule>
    <cfRule type="cellIs" dxfId="29263" priority="1215" operator="greaterThan">
      <formula>$C348</formula>
    </cfRule>
    <cfRule type="cellIs" dxfId="29262" priority="1216" operator="lessThan">
      <formula>$C348</formula>
    </cfRule>
  </conditionalFormatting>
  <conditionalFormatting sqref="L349:L351">
    <cfRule type="expression" dxfId="29261" priority="1219">
      <formula>AND(#REF!&lt;&gt;"",MOD(ROW(),2))</formula>
    </cfRule>
  </conditionalFormatting>
  <conditionalFormatting sqref="L349:L351">
    <cfRule type="expression" dxfId="29260" priority="1218">
      <formula>AND(#REF!&lt;&gt;"",MOD(ROW(),2))</formula>
    </cfRule>
  </conditionalFormatting>
  <conditionalFormatting sqref="K352:L354">
    <cfRule type="expression" dxfId="29259" priority="1211">
      <formula>AND($A351&lt;&gt;"",MOD(ROW(),2))</formula>
    </cfRule>
  </conditionalFormatting>
  <conditionalFormatting sqref="K352:K354">
    <cfRule type="cellIs" dxfId="29258" priority="1208" operator="equal">
      <formula>$C351</formula>
    </cfRule>
    <cfRule type="cellIs" dxfId="29257" priority="1209" operator="greaterThan">
      <formula>$C351</formula>
    </cfRule>
    <cfRule type="cellIs" dxfId="29256" priority="1210" operator="lessThan">
      <formula>$C351</formula>
    </cfRule>
  </conditionalFormatting>
  <conditionalFormatting sqref="L352:L354">
    <cfRule type="expression" dxfId="29255" priority="1213">
      <formula>AND(#REF!&lt;&gt;"",MOD(ROW(),2))</formula>
    </cfRule>
  </conditionalFormatting>
  <conditionalFormatting sqref="L352:L354">
    <cfRule type="expression" dxfId="29254" priority="1212">
      <formula>AND(#REF!&lt;&gt;"",MOD(ROW(),2))</formula>
    </cfRule>
  </conditionalFormatting>
  <conditionalFormatting sqref="C28">
    <cfRule type="expression" dxfId="29253" priority="1207">
      <formula>AND($A28&lt;&gt;"",MOD(ROW(),2))</formula>
    </cfRule>
  </conditionalFormatting>
  <conditionalFormatting sqref="C28">
    <cfRule type="cellIs" dxfId="29252" priority="1204" operator="equal">
      <formula>$C28</formula>
    </cfRule>
    <cfRule type="cellIs" dxfId="29251" priority="1205" operator="greaterThan">
      <formula>$C28</formula>
    </cfRule>
    <cfRule type="cellIs" dxfId="29250" priority="1206" operator="lessThan">
      <formula>$C28</formula>
    </cfRule>
  </conditionalFormatting>
  <conditionalFormatting sqref="C29">
    <cfRule type="expression" dxfId="29249" priority="1203">
      <formula>AND($A29&lt;&gt;"",MOD(ROW(),2))</formula>
    </cfRule>
  </conditionalFormatting>
  <conditionalFormatting sqref="C29">
    <cfRule type="cellIs" dxfId="29248" priority="1200" operator="equal">
      <formula>$C29</formula>
    </cfRule>
    <cfRule type="cellIs" dxfId="29247" priority="1201" operator="greaterThan">
      <formula>$C29</formula>
    </cfRule>
    <cfRule type="cellIs" dxfId="29246" priority="1202" operator="lessThan">
      <formula>$C29</formula>
    </cfRule>
  </conditionalFormatting>
  <conditionalFormatting sqref="C30">
    <cfRule type="expression" dxfId="29245" priority="1199">
      <formula>AND($A30&lt;&gt;"",MOD(ROW(),2))</formula>
    </cfRule>
  </conditionalFormatting>
  <conditionalFormatting sqref="C30">
    <cfRule type="cellIs" dxfId="29244" priority="1196" operator="equal">
      <formula>$C30</formula>
    </cfRule>
    <cfRule type="cellIs" dxfId="29243" priority="1197" operator="greaterThan">
      <formula>$C30</formula>
    </cfRule>
    <cfRule type="cellIs" dxfId="29242" priority="1198" operator="lessThan">
      <formula>$C30</formula>
    </cfRule>
  </conditionalFormatting>
  <conditionalFormatting sqref="C31">
    <cfRule type="expression" dxfId="29241" priority="1195">
      <formula>AND($A31&lt;&gt;"",MOD(ROW(),2))</formula>
    </cfRule>
  </conditionalFormatting>
  <conditionalFormatting sqref="C31">
    <cfRule type="cellIs" dxfId="29240" priority="1192" operator="equal">
      <formula>$C31</formula>
    </cfRule>
    <cfRule type="cellIs" dxfId="29239" priority="1193" operator="greaterThan">
      <formula>$C31</formula>
    </cfRule>
    <cfRule type="cellIs" dxfId="29238" priority="1194" operator="lessThan">
      <formula>$C31</formula>
    </cfRule>
  </conditionalFormatting>
  <conditionalFormatting sqref="C32">
    <cfRule type="expression" dxfId="29237" priority="1191">
      <formula>AND($A32&lt;&gt;"",MOD(ROW(),2))</formula>
    </cfRule>
  </conditionalFormatting>
  <conditionalFormatting sqref="C32">
    <cfRule type="cellIs" dxfId="29236" priority="1188" operator="equal">
      <formula>$C32</formula>
    </cfRule>
    <cfRule type="cellIs" dxfId="29235" priority="1189" operator="greaterThan">
      <formula>$C32</formula>
    </cfRule>
    <cfRule type="cellIs" dxfId="29234" priority="1190" operator="lessThan">
      <formula>$C32</formula>
    </cfRule>
  </conditionalFormatting>
  <conditionalFormatting sqref="C33">
    <cfRule type="expression" dxfId="29233" priority="1187">
      <formula>AND($A33&lt;&gt;"",MOD(ROW(),2))</formula>
    </cfRule>
  </conditionalFormatting>
  <conditionalFormatting sqref="C33">
    <cfRule type="cellIs" dxfId="29232" priority="1184" operator="equal">
      <formula>$C33</formula>
    </cfRule>
    <cfRule type="cellIs" dxfId="29231" priority="1185" operator="greaterThan">
      <formula>$C33</formula>
    </cfRule>
    <cfRule type="cellIs" dxfId="29230" priority="1186" operator="lessThan">
      <formula>$C33</formula>
    </cfRule>
  </conditionalFormatting>
  <conditionalFormatting sqref="C34">
    <cfRule type="expression" dxfId="29229" priority="1183">
      <formula>AND($A34&lt;&gt;"",MOD(ROW(),2))</formula>
    </cfRule>
  </conditionalFormatting>
  <conditionalFormatting sqref="C34">
    <cfRule type="cellIs" dxfId="29228" priority="1180" operator="equal">
      <formula>$C34</formula>
    </cfRule>
    <cfRule type="cellIs" dxfId="29227" priority="1181" operator="greaterThan">
      <formula>$C34</formula>
    </cfRule>
    <cfRule type="cellIs" dxfId="29226" priority="1182" operator="lessThan">
      <formula>$C34</formula>
    </cfRule>
  </conditionalFormatting>
  <conditionalFormatting sqref="C35">
    <cfRule type="expression" dxfId="29225" priority="1179">
      <formula>AND($A35&lt;&gt;"",MOD(ROW(),2))</formula>
    </cfRule>
  </conditionalFormatting>
  <conditionalFormatting sqref="C35">
    <cfRule type="cellIs" dxfId="29224" priority="1176" operator="equal">
      <formula>$C35</formula>
    </cfRule>
    <cfRule type="cellIs" dxfId="29223" priority="1177" operator="greaterThan">
      <formula>$C35</formula>
    </cfRule>
    <cfRule type="cellIs" dxfId="29222" priority="1178" operator="lessThan">
      <formula>$C35</formula>
    </cfRule>
  </conditionalFormatting>
  <conditionalFormatting sqref="C36">
    <cfRule type="expression" dxfId="29221" priority="1175">
      <formula>AND($A36&lt;&gt;"",MOD(ROW(),2))</formula>
    </cfRule>
  </conditionalFormatting>
  <conditionalFormatting sqref="C36">
    <cfRule type="cellIs" dxfId="29220" priority="1172" operator="equal">
      <formula>$C36</formula>
    </cfRule>
    <cfRule type="cellIs" dxfId="29219" priority="1173" operator="greaterThan">
      <formula>$C36</formula>
    </cfRule>
    <cfRule type="cellIs" dxfId="29218" priority="1174" operator="lessThan">
      <formula>$C36</formula>
    </cfRule>
  </conditionalFormatting>
  <conditionalFormatting sqref="C37">
    <cfRule type="expression" dxfId="29217" priority="1171">
      <formula>AND($A37&lt;&gt;"",MOD(ROW(),2))</formula>
    </cfRule>
  </conditionalFormatting>
  <conditionalFormatting sqref="C37">
    <cfRule type="cellIs" dxfId="29216" priority="1168" operator="equal">
      <formula>$C37</formula>
    </cfRule>
    <cfRule type="cellIs" dxfId="29215" priority="1169" operator="greaterThan">
      <formula>$C37</formula>
    </cfRule>
    <cfRule type="cellIs" dxfId="29214" priority="1170" operator="lessThan">
      <formula>$C37</formula>
    </cfRule>
  </conditionalFormatting>
  <conditionalFormatting sqref="C38">
    <cfRule type="expression" dxfId="29213" priority="1167">
      <formula>AND($A38&lt;&gt;"",MOD(ROW(),2))</formula>
    </cfRule>
  </conditionalFormatting>
  <conditionalFormatting sqref="C38">
    <cfRule type="cellIs" dxfId="29212" priority="1164" operator="equal">
      <formula>$C38</formula>
    </cfRule>
    <cfRule type="cellIs" dxfId="29211" priority="1165" operator="greaterThan">
      <formula>$C38</formula>
    </cfRule>
    <cfRule type="cellIs" dxfId="29210" priority="1166" operator="lessThan">
      <formula>$C38</formula>
    </cfRule>
  </conditionalFormatting>
  <conditionalFormatting sqref="C39">
    <cfRule type="expression" dxfId="29209" priority="1163">
      <formula>AND($A39&lt;&gt;"",MOD(ROW(),2))</formula>
    </cfRule>
  </conditionalFormatting>
  <conditionalFormatting sqref="C39">
    <cfRule type="cellIs" dxfId="29208" priority="1160" operator="equal">
      <formula>$C39</formula>
    </cfRule>
    <cfRule type="cellIs" dxfId="29207" priority="1161" operator="greaterThan">
      <formula>$C39</formula>
    </cfRule>
    <cfRule type="cellIs" dxfId="29206" priority="1162" operator="lessThan">
      <formula>$C39</formula>
    </cfRule>
  </conditionalFormatting>
  <conditionalFormatting sqref="D28:E28">
    <cfRule type="expression" dxfId="29205" priority="1159">
      <formula>AND($A28&lt;&gt;"",MOD(ROW(),2))</formula>
    </cfRule>
  </conditionalFormatting>
  <conditionalFormatting sqref="D28">
    <cfRule type="cellIs" dxfId="29204" priority="1156" operator="equal">
      <formula>$C28</formula>
    </cfRule>
    <cfRule type="cellIs" dxfId="29203" priority="1157" operator="greaterThan">
      <formula>$C28</formula>
    </cfRule>
    <cfRule type="cellIs" dxfId="29202" priority="1158" operator="lessThan">
      <formula>$C28</formula>
    </cfRule>
  </conditionalFormatting>
  <conditionalFormatting sqref="D29:E29">
    <cfRule type="expression" dxfId="29201" priority="1155">
      <formula>AND($A29&lt;&gt;"",MOD(ROW(),2))</formula>
    </cfRule>
  </conditionalFormatting>
  <conditionalFormatting sqref="D29">
    <cfRule type="cellIs" dxfId="29200" priority="1152" operator="equal">
      <formula>$C29</formula>
    </cfRule>
    <cfRule type="cellIs" dxfId="29199" priority="1153" operator="greaterThan">
      <formula>$C29</formula>
    </cfRule>
    <cfRule type="cellIs" dxfId="29198" priority="1154" operator="lessThan">
      <formula>$C29</formula>
    </cfRule>
  </conditionalFormatting>
  <conditionalFormatting sqref="D30:E30">
    <cfRule type="expression" dxfId="29197" priority="1151">
      <formula>AND($A30&lt;&gt;"",MOD(ROW(),2))</formula>
    </cfRule>
  </conditionalFormatting>
  <conditionalFormatting sqref="D30">
    <cfRule type="cellIs" dxfId="29196" priority="1148" operator="equal">
      <formula>$C30</formula>
    </cfRule>
    <cfRule type="cellIs" dxfId="29195" priority="1149" operator="greaterThan">
      <formula>$C30</formula>
    </cfRule>
    <cfRule type="cellIs" dxfId="29194" priority="1150" operator="lessThan">
      <formula>$C30</formula>
    </cfRule>
  </conditionalFormatting>
  <conditionalFormatting sqref="D31:E31">
    <cfRule type="expression" dxfId="29193" priority="1147">
      <formula>AND($A31&lt;&gt;"",MOD(ROW(),2))</formula>
    </cfRule>
  </conditionalFormatting>
  <conditionalFormatting sqref="D31">
    <cfRule type="cellIs" dxfId="29192" priority="1144" operator="equal">
      <formula>$C31</formula>
    </cfRule>
    <cfRule type="cellIs" dxfId="29191" priority="1145" operator="greaterThan">
      <formula>$C31</formula>
    </cfRule>
    <cfRule type="cellIs" dxfId="29190" priority="1146" operator="lessThan">
      <formula>$C31</formula>
    </cfRule>
  </conditionalFormatting>
  <conditionalFormatting sqref="D32:E32">
    <cfRule type="expression" dxfId="29189" priority="1143">
      <formula>AND($A32&lt;&gt;"",MOD(ROW(),2))</formula>
    </cfRule>
  </conditionalFormatting>
  <conditionalFormatting sqref="D32">
    <cfRule type="cellIs" dxfId="29188" priority="1140" operator="equal">
      <formula>$C32</formula>
    </cfRule>
    <cfRule type="cellIs" dxfId="29187" priority="1141" operator="greaterThan">
      <formula>$C32</formula>
    </cfRule>
    <cfRule type="cellIs" dxfId="29186" priority="1142" operator="lessThan">
      <formula>$C32</formula>
    </cfRule>
  </conditionalFormatting>
  <conditionalFormatting sqref="D33:E33">
    <cfRule type="expression" dxfId="29185" priority="1139">
      <formula>AND($A33&lt;&gt;"",MOD(ROW(),2))</formula>
    </cfRule>
  </conditionalFormatting>
  <conditionalFormatting sqref="D33">
    <cfRule type="cellIs" dxfId="29184" priority="1136" operator="equal">
      <formula>$C33</formula>
    </cfRule>
    <cfRule type="cellIs" dxfId="29183" priority="1137" operator="greaterThan">
      <formula>$C33</formula>
    </cfRule>
    <cfRule type="cellIs" dxfId="29182" priority="1138" operator="lessThan">
      <formula>$C33</formula>
    </cfRule>
  </conditionalFormatting>
  <conditionalFormatting sqref="D34:E34">
    <cfRule type="expression" dxfId="29181" priority="1135">
      <formula>AND($A34&lt;&gt;"",MOD(ROW(),2))</formula>
    </cfRule>
  </conditionalFormatting>
  <conditionalFormatting sqref="D34">
    <cfRule type="cellIs" dxfId="29180" priority="1132" operator="equal">
      <formula>$C34</formula>
    </cfRule>
    <cfRule type="cellIs" dxfId="29179" priority="1133" operator="greaterThan">
      <formula>$C34</formula>
    </cfRule>
    <cfRule type="cellIs" dxfId="29178" priority="1134" operator="lessThan">
      <formula>$C34</formula>
    </cfRule>
  </conditionalFormatting>
  <conditionalFormatting sqref="D35:E35">
    <cfRule type="expression" dxfId="29177" priority="1131">
      <formula>AND($A35&lt;&gt;"",MOD(ROW(),2))</formula>
    </cfRule>
  </conditionalFormatting>
  <conditionalFormatting sqref="D35">
    <cfRule type="cellIs" dxfId="29176" priority="1128" operator="equal">
      <formula>$C35</formula>
    </cfRule>
    <cfRule type="cellIs" dxfId="29175" priority="1129" operator="greaterThan">
      <formula>$C35</formula>
    </cfRule>
    <cfRule type="cellIs" dxfId="29174" priority="1130" operator="lessThan">
      <formula>$C35</formula>
    </cfRule>
  </conditionalFormatting>
  <conditionalFormatting sqref="D36:E36">
    <cfRule type="expression" dxfId="29173" priority="1127">
      <formula>AND($A36&lt;&gt;"",MOD(ROW(),2))</formula>
    </cfRule>
  </conditionalFormatting>
  <conditionalFormatting sqref="D36">
    <cfRule type="cellIs" dxfId="29172" priority="1124" operator="equal">
      <formula>$C36</formula>
    </cfRule>
    <cfRule type="cellIs" dxfId="29171" priority="1125" operator="greaterThan">
      <formula>$C36</formula>
    </cfRule>
    <cfRule type="cellIs" dxfId="29170" priority="1126" operator="lessThan">
      <formula>$C36</formula>
    </cfRule>
  </conditionalFormatting>
  <conditionalFormatting sqref="D37:E37">
    <cfRule type="expression" dxfId="29169" priority="1123">
      <formula>AND($A37&lt;&gt;"",MOD(ROW(),2))</formula>
    </cfRule>
  </conditionalFormatting>
  <conditionalFormatting sqref="D37">
    <cfRule type="cellIs" dxfId="29168" priority="1120" operator="equal">
      <formula>$C37</formula>
    </cfRule>
    <cfRule type="cellIs" dxfId="29167" priority="1121" operator="greaterThan">
      <formula>$C37</formula>
    </cfRule>
    <cfRule type="cellIs" dxfId="29166" priority="1122" operator="lessThan">
      <formula>$C37</formula>
    </cfRule>
  </conditionalFormatting>
  <conditionalFormatting sqref="D38:E38">
    <cfRule type="expression" dxfId="29165" priority="1119">
      <formula>AND($A38&lt;&gt;"",MOD(ROW(),2))</formula>
    </cfRule>
  </conditionalFormatting>
  <conditionalFormatting sqref="D38">
    <cfRule type="cellIs" dxfId="29164" priority="1116" operator="equal">
      <formula>$C38</formula>
    </cfRule>
    <cfRule type="cellIs" dxfId="29163" priority="1117" operator="greaterThan">
      <formula>$C38</formula>
    </cfRule>
    <cfRule type="cellIs" dxfId="29162" priority="1118" operator="lessThan">
      <formula>$C38</formula>
    </cfRule>
  </conditionalFormatting>
  <conditionalFormatting sqref="D39:E39">
    <cfRule type="expression" dxfId="29161" priority="1115">
      <formula>AND($A39&lt;&gt;"",MOD(ROW(),2))</formula>
    </cfRule>
  </conditionalFormatting>
  <conditionalFormatting sqref="D39">
    <cfRule type="cellIs" dxfId="29160" priority="1112" operator="equal">
      <formula>$C39</formula>
    </cfRule>
    <cfRule type="cellIs" dxfId="29159" priority="1113" operator="greaterThan">
      <formula>$C39</formula>
    </cfRule>
    <cfRule type="cellIs" dxfId="29158" priority="1114" operator="lessThan">
      <formula>$C39</formula>
    </cfRule>
  </conditionalFormatting>
  <conditionalFormatting sqref="F28:F42">
    <cfRule type="containsText" dxfId="29157" priority="1110" operator="containsText" text="Unpaid Rent">
      <formula>NOT(ISERROR(SEARCH("Unpaid Rent",F28)))</formula>
    </cfRule>
    <cfRule type="containsText" dxfId="29156" priority="1111" stopIfTrue="1" operator="containsText" text="Closed Account">
      <formula>NOT(ISERROR(SEARCH("Closed Account",F28)))</formula>
    </cfRule>
  </conditionalFormatting>
  <conditionalFormatting sqref="F40:F51">
    <cfRule type="containsText" dxfId="29155" priority="1108" operator="containsText" text="Unpaid Rent">
      <formula>NOT(ISERROR(SEARCH("Unpaid Rent",F40)))</formula>
    </cfRule>
    <cfRule type="containsText" dxfId="29154" priority="1109" stopIfTrue="1" operator="containsText" text="Closed Account">
      <formula>NOT(ISERROR(SEARCH("Closed Account",F40)))</formula>
    </cfRule>
  </conditionalFormatting>
  <conditionalFormatting sqref="D40:E40">
    <cfRule type="expression" dxfId="29153" priority="1107">
      <formula>AND($A40&lt;&gt;"",MOD(ROW(),2))</formula>
    </cfRule>
  </conditionalFormatting>
  <conditionalFormatting sqref="D40">
    <cfRule type="cellIs" dxfId="29152" priority="1104" operator="equal">
      <formula>$C40</formula>
    </cfRule>
    <cfRule type="cellIs" dxfId="29151" priority="1105" operator="greaterThan">
      <formula>$C40</formula>
    </cfRule>
    <cfRule type="cellIs" dxfId="29150" priority="1106" operator="lessThan">
      <formula>$C40</formula>
    </cfRule>
  </conditionalFormatting>
  <conditionalFormatting sqref="D41:E41">
    <cfRule type="expression" dxfId="29149" priority="1103">
      <formula>AND($A41&lt;&gt;"",MOD(ROW(),2))</formula>
    </cfRule>
  </conditionalFormatting>
  <conditionalFormatting sqref="D41">
    <cfRule type="cellIs" dxfId="29148" priority="1100" operator="equal">
      <formula>$C41</formula>
    </cfRule>
    <cfRule type="cellIs" dxfId="29147" priority="1101" operator="greaterThan">
      <formula>$C41</formula>
    </cfRule>
    <cfRule type="cellIs" dxfId="29146" priority="1102" operator="lessThan">
      <formula>$C41</formula>
    </cfRule>
  </conditionalFormatting>
  <conditionalFormatting sqref="D42:E42">
    <cfRule type="expression" dxfId="29145" priority="1099">
      <formula>AND($A42&lt;&gt;"",MOD(ROW(),2))</formula>
    </cfRule>
  </conditionalFormatting>
  <conditionalFormatting sqref="D42">
    <cfRule type="cellIs" dxfId="29144" priority="1096" operator="equal">
      <formula>$C42</formula>
    </cfRule>
    <cfRule type="cellIs" dxfId="29143" priority="1097" operator="greaterThan">
      <formula>$C42</formula>
    </cfRule>
    <cfRule type="cellIs" dxfId="29142" priority="1098" operator="lessThan">
      <formula>$C42</formula>
    </cfRule>
  </conditionalFormatting>
  <conditionalFormatting sqref="D43:E43">
    <cfRule type="expression" dxfId="29141" priority="1095">
      <formula>AND($A43&lt;&gt;"",MOD(ROW(),2))</formula>
    </cfRule>
  </conditionalFormatting>
  <conditionalFormatting sqref="D43">
    <cfRule type="cellIs" dxfId="29140" priority="1092" operator="equal">
      <formula>$C43</formula>
    </cfRule>
    <cfRule type="cellIs" dxfId="29139" priority="1093" operator="greaterThan">
      <formula>$C43</formula>
    </cfRule>
    <cfRule type="cellIs" dxfId="29138" priority="1094" operator="lessThan">
      <formula>$C43</formula>
    </cfRule>
  </conditionalFormatting>
  <conditionalFormatting sqref="D44:E44">
    <cfRule type="expression" dxfId="29137" priority="1091">
      <formula>AND($A44&lt;&gt;"",MOD(ROW(),2))</formula>
    </cfRule>
  </conditionalFormatting>
  <conditionalFormatting sqref="D44">
    <cfRule type="cellIs" dxfId="29136" priority="1088" operator="equal">
      <formula>$C44</formula>
    </cfRule>
    <cfRule type="cellIs" dxfId="29135" priority="1089" operator="greaterThan">
      <formula>$C44</formula>
    </cfRule>
    <cfRule type="cellIs" dxfId="29134" priority="1090" operator="lessThan">
      <formula>$C44</formula>
    </cfRule>
  </conditionalFormatting>
  <conditionalFormatting sqref="D45:E45">
    <cfRule type="expression" dxfId="29133" priority="1087">
      <formula>AND($A45&lt;&gt;"",MOD(ROW(),2))</formula>
    </cfRule>
  </conditionalFormatting>
  <conditionalFormatting sqref="D45">
    <cfRule type="cellIs" dxfId="29132" priority="1084" operator="equal">
      <formula>$C45</formula>
    </cfRule>
    <cfRule type="cellIs" dxfId="29131" priority="1085" operator="greaterThan">
      <formula>$C45</formula>
    </cfRule>
    <cfRule type="cellIs" dxfId="29130" priority="1086" operator="lessThan">
      <formula>$C45</formula>
    </cfRule>
  </conditionalFormatting>
  <conditionalFormatting sqref="D46:E46">
    <cfRule type="expression" dxfId="29129" priority="1083">
      <formula>AND($A46&lt;&gt;"",MOD(ROW(),2))</formula>
    </cfRule>
  </conditionalFormatting>
  <conditionalFormatting sqref="D46">
    <cfRule type="cellIs" dxfId="29128" priority="1080" operator="equal">
      <formula>$C46</formula>
    </cfRule>
    <cfRule type="cellIs" dxfId="29127" priority="1081" operator="greaterThan">
      <formula>$C46</formula>
    </cfRule>
    <cfRule type="cellIs" dxfId="29126" priority="1082" operator="lessThan">
      <formula>$C46</formula>
    </cfRule>
  </conditionalFormatting>
  <conditionalFormatting sqref="D47:E47">
    <cfRule type="expression" dxfId="29125" priority="1079">
      <formula>AND($A47&lt;&gt;"",MOD(ROW(),2))</formula>
    </cfRule>
  </conditionalFormatting>
  <conditionalFormatting sqref="D47">
    <cfRule type="cellIs" dxfId="29124" priority="1076" operator="equal">
      <formula>$C47</formula>
    </cfRule>
    <cfRule type="cellIs" dxfId="29123" priority="1077" operator="greaterThan">
      <formula>$C47</formula>
    </cfRule>
    <cfRule type="cellIs" dxfId="29122" priority="1078" operator="lessThan">
      <formula>$C47</formula>
    </cfRule>
  </conditionalFormatting>
  <conditionalFormatting sqref="D48:E48">
    <cfRule type="expression" dxfId="29121" priority="1075">
      <formula>AND($A48&lt;&gt;"",MOD(ROW(),2))</formula>
    </cfRule>
  </conditionalFormatting>
  <conditionalFormatting sqref="D48">
    <cfRule type="cellIs" dxfId="29120" priority="1072" operator="equal">
      <formula>$C48</formula>
    </cfRule>
    <cfRule type="cellIs" dxfId="29119" priority="1073" operator="greaterThan">
      <formula>$C48</formula>
    </cfRule>
    <cfRule type="cellIs" dxfId="29118" priority="1074" operator="lessThan">
      <formula>$C48</formula>
    </cfRule>
  </conditionalFormatting>
  <conditionalFormatting sqref="D49:E49">
    <cfRule type="expression" dxfId="29117" priority="1071">
      <formula>AND($A49&lt;&gt;"",MOD(ROW(),2))</formula>
    </cfRule>
  </conditionalFormatting>
  <conditionalFormatting sqref="D49">
    <cfRule type="cellIs" dxfId="29116" priority="1068" operator="equal">
      <formula>$C49</formula>
    </cfRule>
    <cfRule type="cellIs" dxfId="29115" priority="1069" operator="greaterThan">
      <formula>$C49</formula>
    </cfRule>
    <cfRule type="cellIs" dxfId="29114" priority="1070" operator="lessThan">
      <formula>$C49</formula>
    </cfRule>
  </conditionalFormatting>
  <conditionalFormatting sqref="D50:E50">
    <cfRule type="expression" dxfId="29113" priority="1067">
      <formula>AND($A50&lt;&gt;"",MOD(ROW(),2))</formula>
    </cfRule>
  </conditionalFormatting>
  <conditionalFormatting sqref="D50">
    <cfRule type="cellIs" dxfId="29112" priority="1064" operator="equal">
      <formula>$C50</formula>
    </cfRule>
    <cfRule type="cellIs" dxfId="29111" priority="1065" operator="greaterThan">
      <formula>$C50</formula>
    </cfRule>
    <cfRule type="cellIs" dxfId="29110" priority="1066" operator="lessThan">
      <formula>$C50</formula>
    </cfRule>
  </conditionalFormatting>
  <conditionalFormatting sqref="D51:E51">
    <cfRule type="expression" dxfId="29109" priority="1063">
      <formula>AND($A51&lt;&gt;"",MOD(ROW(),2))</formula>
    </cfRule>
  </conditionalFormatting>
  <conditionalFormatting sqref="D51">
    <cfRule type="cellIs" dxfId="29108" priority="1060" operator="equal">
      <formula>$C51</formula>
    </cfRule>
    <cfRule type="cellIs" dxfId="29107" priority="1061" operator="greaterThan">
      <formula>$C51</formula>
    </cfRule>
    <cfRule type="cellIs" dxfId="29106" priority="1062" operator="lessThan">
      <formula>$C51</formula>
    </cfRule>
  </conditionalFormatting>
  <conditionalFormatting sqref="C29">
    <cfRule type="expression" dxfId="29105" priority="1059">
      <formula>AND($A29&lt;&gt;"",MOD(ROW(),2))</formula>
    </cfRule>
  </conditionalFormatting>
  <conditionalFormatting sqref="C29">
    <cfRule type="cellIs" dxfId="29104" priority="1056" operator="equal">
      <formula>$C29</formula>
    </cfRule>
    <cfRule type="cellIs" dxfId="29103" priority="1057" operator="greaterThan">
      <formula>$C29</formula>
    </cfRule>
    <cfRule type="cellIs" dxfId="29102" priority="1058" operator="lessThan">
      <formula>$C29</formula>
    </cfRule>
  </conditionalFormatting>
  <conditionalFormatting sqref="C30">
    <cfRule type="expression" dxfId="29101" priority="1055">
      <formula>AND($A30&lt;&gt;"",MOD(ROW(),2))</formula>
    </cfRule>
  </conditionalFormatting>
  <conditionalFormatting sqref="C30">
    <cfRule type="cellIs" dxfId="29100" priority="1052" operator="equal">
      <formula>$C30</formula>
    </cfRule>
    <cfRule type="cellIs" dxfId="29099" priority="1053" operator="greaterThan">
      <formula>$C30</formula>
    </cfRule>
    <cfRule type="cellIs" dxfId="29098" priority="1054" operator="lessThan">
      <formula>$C30</formula>
    </cfRule>
  </conditionalFormatting>
  <conditionalFormatting sqref="C31">
    <cfRule type="expression" dxfId="29097" priority="1051">
      <formula>AND($A31&lt;&gt;"",MOD(ROW(),2))</formula>
    </cfRule>
  </conditionalFormatting>
  <conditionalFormatting sqref="C31">
    <cfRule type="cellIs" dxfId="29096" priority="1048" operator="equal">
      <formula>$C31</formula>
    </cfRule>
    <cfRule type="cellIs" dxfId="29095" priority="1049" operator="greaterThan">
      <formula>$C31</formula>
    </cfRule>
    <cfRule type="cellIs" dxfId="29094" priority="1050" operator="lessThan">
      <formula>$C31</formula>
    </cfRule>
  </conditionalFormatting>
  <conditionalFormatting sqref="C32">
    <cfRule type="expression" dxfId="29093" priority="1047">
      <formula>AND($A32&lt;&gt;"",MOD(ROW(),2))</formula>
    </cfRule>
  </conditionalFormatting>
  <conditionalFormatting sqref="C32">
    <cfRule type="cellIs" dxfId="29092" priority="1044" operator="equal">
      <formula>$C32</formula>
    </cfRule>
    <cfRule type="cellIs" dxfId="29091" priority="1045" operator="greaterThan">
      <formula>$C32</formula>
    </cfRule>
    <cfRule type="cellIs" dxfId="29090" priority="1046" operator="lessThan">
      <formula>$C32</formula>
    </cfRule>
  </conditionalFormatting>
  <conditionalFormatting sqref="C33">
    <cfRule type="expression" dxfId="29089" priority="1043">
      <formula>AND($A33&lt;&gt;"",MOD(ROW(),2))</formula>
    </cfRule>
  </conditionalFormatting>
  <conditionalFormatting sqref="C33">
    <cfRule type="cellIs" dxfId="29088" priority="1040" operator="equal">
      <formula>$C33</formula>
    </cfRule>
    <cfRule type="cellIs" dxfId="29087" priority="1041" operator="greaterThan">
      <formula>$C33</formula>
    </cfRule>
    <cfRule type="cellIs" dxfId="29086" priority="1042" operator="lessThan">
      <formula>$C33</formula>
    </cfRule>
  </conditionalFormatting>
  <conditionalFormatting sqref="C34">
    <cfRule type="expression" dxfId="29085" priority="1039">
      <formula>AND($A34&lt;&gt;"",MOD(ROW(),2))</formula>
    </cfRule>
  </conditionalFormatting>
  <conditionalFormatting sqref="C34">
    <cfRule type="cellIs" dxfId="29084" priority="1036" operator="equal">
      <formula>$C34</formula>
    </cfRule>
    <cfRule type="cellIs" dxfId="29083" priority="1037" operator="greaterThan">
      <formula>$C34</formula>
    </cfRule>
    <cfRule type="cellIs" dxfId="29082" priority="1038" operator="lessThan">
      <formula>$C34</formula>
    </cfRule>
  </conditionalFormatting>
  <conditionalFormatting sqref="C35">
    <cfRule type="expression" dxfId="29081" priority="1035">
      <formula>AND($A35&lt;&gt;"",MOD(ROW(),2))</formula>
    </cfRule>
  </conditionalFormatting>
  <conditionalFormatting sqref="C35">
    <cfRule type="cellIs" dxfId="29080" priority="1032" operator="equal">
      <formula>$C35</formula>
    </cfRule>
    <cfRule type="cellIs" dxfId="29079" priority="1033" operator="greaterThan">
      <formula>$C35</formula>
    </cfRule>
    <cfRule type="cellIs" dxfId="29078" priority="1034" operator="lessThan">
      <formula>$C35</formula>
    </cfRule>
  </conditionalFormatting>
  <conditionalFormatting sqref="C36">
    <cfRule type="expression" dxfId="29077" priority="1031">
      <formula>AND($A36&lt;&gt;"",MOD(ROW(),2))</formula>
    </cfRule>
  </conditionalFormatting>
  <conditionalFormatting sqref="C36">
    <cfRule type="cellIs" dxfId="29076" priority="1028" operator="equal">
      <formula>$C36</formula>
    </cfRule>
    <cfRule type="cellIs" dxfId="29075" priority="1029" operator="greaterThan">
      <formula>$C36</formula>
    </cfRule>
    <cfRule type="cellIs" dxfId="29074" priority="1030" operator="lessThan">
      <formula>$C36</formula>
    </cfRule>
  </conditionalFormatting>
  <conditionalFormatting sqref="C37">
    <cfRule type="expression" dxfId="29073" priority="1027">
      <formula>AND($A37&lt;&gt;"",MOD(ROW(),2))</formula>
    </cfRule>
  </conditionalFormatting>
  <conditionalFormatting sqref="C37">
    <cfRule type="cellIs" dxfId="29072" priority="1024" operator="equal">
      <formula>$C37</formula>
    </cfRule>
    <cfRule type="cellIs" dxfId="29071" priority="1025" operator="greaterThan">
      <formula>$C37</formula>
    </cfRule>
    <cfRule type="cellIs" dxfId="29070" priority="1026" operator="lessThan">
      <formula>$C37</formula>
    </cfRule>
  </conditionalFormatting>
  <conditionalFormatting sqref="C38">
    <cfRule type="expression" dxfId="29069" priority="1023">
      <formula>AND($A38&lt;&gt;"",MOD(ROW(),2))</formula>
    </cfRule>
  </conditionalFormatting>
  <conditionalFormatting sqref="C38">
    <cfRule type="cellIs" dxfId="29068" priority="1020" operator="equal">
      <formula>$C38</formula>
    </cfRule>
    <cfRule type="cellIs" dxfId="29067" priority="1021" operator="greaterThan">
      <formula>$C38</formula>
    </cfRule>
    <cfRule type="cellIs" dxfId="29066" priority="1022" operator="lessThan">
      <formula>$C38</formula>
    </cfRule>
  </conditionalFormatting>
  <conditionalFormatting sqref="C39">
    <cfRule type="expression" dxfId="29065" priority="1019">
      <formula>AND($A39&lt;&gt;"",MOD(ROW(),2))</formula>
    </cfRule>
  </conditionalFormatting>
  <conditionalFormatting sqref="C39">
    <cfRule type="cellIs" dxfId="29064" priority="1016" operator="equal">
      <formula>$C39</formula>
    </cfRule>
    <cfRule type="cellIs" dxfId="29063" priority="1017" operator="greaterThan">
      <formula>$C39</formula>
    </cfRule>
    <cfRule type="cellIs" dxfId="29062" priority="1018" operator="lessThan">
      <formula>$C39</formula>
    </cfRule>
  </conditionalFormatting>
  <conditionalFormatting sqref="C40">
    <cfRule type="expression" dxfId="29061" priority="1015">
      <formula>AND($A40&lt;&gt;"",MOD(ROW(),2))</formula>
    </cfRule>
  </conditionalFormatting>
  <conditionalFormatting sqref="C40">
    <cfRule type="cellIs" dxfId="29060" priority="1012" operator="equal">
      <formula>$C40</formula>
    </cfRule>
    <cfRule type="cellIs" dxfId="29059" priority="1013" operator="greaterThan">
      <formula>$C40</formula>
    </cfRule>
    <cfRule type="cellIs" dxfId="29058" priority="1014" operator="lessThan">
      <formula>$C40</formula>
    </cfRule>
  </conditionalFormatting>
  <conditionalFormatting sqref="D29:E29">
    <cfRule type="expression" dxfId="29057" priority="1011">
      <formula>AND($A29&lt;&gt;"",MOD(ROW(),2))</formula>
    </cfRule>
  </conditionalFormatting>
  <conditionalFormatting sqref="D29">
    <cfRule type="cellIs" dxfId="29056" priority="1008" operator="equal">
      <formula>$C29</formula>
    </cfRule>
    <cfRule type="cellIs" dxfId="29055" priority="1009" operator="greaterThan">
      <formula>$C29</formula>
    </cfRule>
    <cfRule type="cellIs" dxfId="29054" priority="1010" operator="lessThan">
      <formula>$C29</formula>
    </cfRule>
  </conditionalFormatting>
  <conditionalFormatting sqref="D30:E30">
    <cfRule type="expression" dxfId="29053" priority="1007">
      <formula>AND($A30&lt;&gt;"",MOD(ROW(),2))</formula>
    </cfRule>
  </conditionalFormatting>
  <conditionalFormatting sqref="D30">
    <cfRule type="cellIs" dxfId="29052" priority="1004" operator="equal">
      <formula>$C30</formula>
    </cfRule>
    <cfRule type="cellIs" dxfId="29051" priority="1005" operator="greaterThan">
      <formula>$C30</formula>
    </cfRule>
    <cfRule type="cellIs" dxfId="29050" priority="1006" operator="lessThan">
      <formula>$C30</formula>
    </cfRule>
  </conditionalFormatting>
  <conditionalFormatting sqref="D31:E31">
    <cfRule type="expression" dxfId="29049" priority="1003">
      <formula>AND($A31&lt;&gt;"",MOD(ROW(),2))</formula>
    </cfRule>
  </conditionalFormatting>
  <conditionalFormatting sqref="D31">
    <cfRule type="cellIs" dxfId="29048" priority="1000" operator="equal">
      <formula>$C31</formula>
    </cfRule>
    <cfRule type="cellIs" dxfId="29047" priority="1001" operator="greaterThan">
      <formula>$C31</formula>
    </cfRule>
    <cfRule type="cellIs" dxfId="29046" priority="1002" operator="lessThan">
      <formula>$C31</formula>
    </cfRule>
  </conditionalFormatting>
  <conditionalFormatting sqref="D32:E32">
    <cfRule type="expression" dxfId="29045" priority="999">
      <formula>AND($A32&lt;&gt;"",MOD(ROW(),2))</formula>
    </cfRule>
  </conditionalFormatting>
  <conditionalFormatting sqref="D32">
    <cfRule type="cellIs" dxfId="29044" priority="996" operator="equal">
      <formula>$C32</formula>
    </cfRule>
    <cfRule type="cellIs" dxfId="29043" priority="997" operator="greaterThan">
      <formula>$C32</formula>
    </cfRule>
    <cfRule type="cellIs" dxfId="29042" priority="998" operator="lessThan">
      <formula>$C32</formula>
    </cfRule>
  </conditionalFormatting>
  <conditionalFormatting sqref="D33:E33">
    <cfRule type="expression" dxfId="29041" priority="995">
      <formula>AND($A33&lt;&gt;"",MOD(ROW(),2))</formula>
    </cfRule>
  </conditionalFormatting>
  <conditionalFormatting sqref="D33">
    <cfRule type="cellIs" dxfId="29040" priority="992" operator="equal">
      <formula>$C33</formula>
    </cfRule>
    <cfRule type="cellIs" dxfId="29039" priority="993" operator="greaterThan">
      <formula>$C33</formula>
    </cfRule>
    <cfRule type="cellIs" dxfId="29038" priority="994" operator="lessThan">
      <formula>$C33</formula>
    </cfRule>
  </conditionalFormatting>
  <conditionalFormatting sqref="D34:E34">
    <cfRule type="expression" dxfId="29037" priority="991">
      <formula>AND($A34&lt;&gt;"",MOD(ROW(),2))</formula>
    </cfRule>
  </conditionalFormatting>
  <conditionalFormatting sqref="D34">
    <cfRule type="cellIs" dxfId="29036" priority="988" operator="equal">
      <formula>$C34</formula>
    </cfRule>
    <cfRule type="cellIs" dxfId="29035" priority="989" operator="greaterThan">
      <formula>$C34</formula>
    </cfRule>
    <cfRule type="cellIs" dxfId="29034" priority="990" operator="lessThan">
      <formula>$C34</formula>
    </cfRule>
  </conditionalFormatting>
  <conditionalFormatting sqref="D35:E35">
    <cfRule type="expression" dxfId="29033" priority="987">
      <formula>AND($A35&lt;&gt;"",MOD(ROW(),2))</formula>
    </cfRule>
  </conditionalFormatting>
  <conditionalFormatting sqref="D35">
    <cfRule type="cellIs" dxfId="29032" priority="984" operator="equal">
      <formula>$C35</formula>
    </cfRule>
    <cfRule type="cellIs" dxfId="29031" priority="985" operator="greaterThan">
      <formula>$C35</formula>
    </cfRule>
    <cfRule type="cellIs" dxfId="29030" priority="986" operator="lessThan">
      <formula>$C35</formula>
    </cfRule>
  </conditionalFormatting>
  <conditionalFormatting sqref="D36:E36">
    <cfRule type="expression" dxfId="29029" priority="983">
      <formula>AND($A36&lt;&gt;"",MOD(ROW(),2))</formula>
    </cfRule>
  </conditionalFormatting>
  <conditionalFormatting sqref="D36">
    <cfRule type="cellIs" dxfId="29028" priority="980" operator="equal">
      <formula>$C36</formula>
    </cfRule>
    <cfRule type="cellIs" dxfId="29027" priority="981" operator="greaterThan">
      <formula>$C36</formula>
    </cfRule>
    <cfRule type="cellIs" dxfId="29026" priority="982" operator="lessThan">
      <formula>$C36</formula>
    </cfRule>
  </conditionalFormatting>
  <conditionalFormatting sqref="D37:E37">
    <cfRule type="expression" dxfId="29025" priority="979">
      <formula>AND($A37&lt;&gt;"",MOD(ROW(),2))</formula>
    </cfRule>
  </conditionalFormatting>
  <conditionalFormatting sqref="D37">
    <cfRule type="cellIs" dxfId="29024" priority="976" operator="equal">
      <formula>$C37</formula>
    </cfRule>
    <cfRule type="cellIs" dxfId="29023" priority="977" operator="greaterThan">
      <formula>$C37</formula>
    </cfRule>
    <cfRule type="cellIs" dxfId="29022" priority="978" operator="lessThan">
      <formula>$C37</formula>
    </cfRule>
  </conditionalFormatting>
  <conditionalFormatting sqref="D38:E38">
    <cfRule type="expression" dxfId="29021" priority="975">
      <formula>AND($A38&lt;&gt;"",MOD(ROW(),2))</formula>
    </cfRule>
  </conditionalFormatting>
  <conditionalFormatting sqref="D38">
    <cfRule type="cellIs" dxfId="29020" priority="972" operator="equal">
      <formula>$C38</formula>
    </cfRule>
    <cfRule type="cellIs" dxfId="29019" priority="973" operator="greaterThan">
      <formula>$C38</formula>
    </cfRule>
    <cfRule type="cellIs" dxfId="29018" priority="974" operator="lessThan">
      <formula>$C38</formula>
    </cfRule>
  </conditionalFormatting>
  <conditionalFormatting sqref="D39:E39">
    <cfRule type="expression" dxfId="29017" priority="971">
      <formula>AND($A39&lt;&gt;"",MOD(ROW(),2))</formula>
    </cfRule>
  </conditionalFormatting>
  <conditionalFormatting sqref="D39">
    <cfRule type="cellIs" dxfId="29016" priority="968" operator="equal">
      <formula>$C39</formula>
    </cfRule>
    <cfRule type="cellIs" dxfId="29015" priority="969" operator="greaterThan">
      <formula>$C39</formula>
    </cfRule>
    <cfRule type="cellIs" dxfId="29014" priority="970" operator="lessThan">
      <formula>$C39</formula>
    </cfRule>
  </conditionalFormatting>
  <conditionalFormatting sqref="D40:E40">
    <cfRule type="expression" dxfId="29013" priority="967">
      <formula>AND($A40&lt;&gt;"",MOD(ROW(),2))</formula>
    </cfRule>
  </conditionalFormatting>
  <conditionalFormatting sqref="D40">
    <cfRule type="cellIs" dxfId="29012" priority="964" operator="equal">
      <formula>$C40</formula>
    </cfRule>
    <cfRule type="cellIs" dxfId="29011" priority="965" operator="greaterThan">
      <formula>$C40</formula>
    </cfRule>
    <cfRule type="cellIs" dxfId="29010" priority="966" operator="lessThan">
      <formula>$C40</formula>
    </cfRule>
  </conditionalFormatting>
  <conditionalFormatting sqref="D41:E41">
    <cfRule type="expression" dxfId="29009" priority="963">
      <formula>AND($A41&lt;&gt;"",MOD(ROW(),2))</formula>
    </cfRule>
  </conditionalFormatting>
  <conditionalFormatting sqref="D41">
    <cfRule type="cellIs" dxfId="29008" priority="960" operator="equal">
      <formula>$C41</formula>
    </cfRule>
    <cfRule type="cellIs" dxfId="29007" priority="961" operator="greaterThan">
      <formula>$C41</formula>
    </cfRule>
    <cfRule type="cellIs" dxfId="29006" priority="962" operator="lessThan">
      <formula>$C41</formula>
    </cfRule>
  </conditionalFormatting>
  <conditionalFormatting sqref="D42:E42">
    <cfRule type="expression" dxfId="29005" priority="959">
      <formula>AND($A42&lt;&gt;"",MOD(ROW(),2))</formula>
    </cfRule>
  </conditionalFormatting>
  <conditionalFormatting sqref="D42">
    <cfRule type="cellIs" dxfId="29004" priority="956" operator="equal">
      <formula>$C42</formula>
    </cfRule>
    <cfRule type="cellIs" dxfId="29003" priority="957" operator="greaterThan">
      <formula>$C42</formula>
    </cfRule>
    <cfRule type="cellIs" dxfId="29002" priority="958" operator="lessThan">
      <formula>$C42</formula>
    </cfRule>
  </conditionalFormatting>
  <conditionalFormatting sqref="D43:E43">
    <cfRule type="expression" dxfId="29001" priority="955">
      <formula>AND($A43&lt;&gt;"",MOD(ROW(),2))</formula>
    </cfRule>
  </conditionalFormatting>
  <conditionalFormatting sqref="D43">
    <cfRule type="cellIs" dxfId="29000" priority="952" operator="equal">
      <formula>$C43</formula>
    </cfRule>
    <cfRule type="cellIs" dxfId="28999" priority="953" operator="greaterThan">
      <formula>$C43</formula>
    </cfRule>
    <cfRule type="cellIs" dxfId="28998" priority="954" operator="lessThan">
      <formula>$C43</formula>
    </cfRule>
  </conditionalFormatting>
  <conditionalFormatting sqref="D44:E44">
    <cfRule type="expression" dxfId="28997" priority="951">
      <formula>AND($A44&lt;&gt;"",MOD(ROW(),2))</formula>
    </cfRule>
  </conditionalFormatting>
  <conditionalFormatting sqref="D44">
    <cfRule type="cellIs" dxfId="28996" priority="948" operator="equal">
      <formula>$C44</formula>
    </cfRule>
    <cfRule type="cellIs" dxfId="28995" priority="949" operator="greaterThan">
      <formula>$C44</formula>
    </cfRule>
    <cfRule type="cellIs" dxfId="28994" priority="950" operator="lessThan">
      <formula>$C44</formula>
    </cfRule>
  </conditionalFormatting>
  <conditionalFormatting sqref="D45:E45">
    <cfRule type="expression" dxfId="28993" priority="947">
      <formula>AND($A45&lt;&gt;"",MOD(ROW(),2))</formula>
    </cfRule>
  </conditionalFormatting>
  <conditionalFormatting sqref="D45">
    <cfRule type="cellIs" dxfId="28992" priority="944" operator="equal">
      <formula>$C45</formula>
    </cfRule>
    <cfRule type="cellIs" dxfId="28991" priority="945" operator="greaterThan">
      <formula>$C45</formula>
    </cfRule>
    <cfRule type="cellIs" dxfId="28990" priority="946" operator="lessThan">
      <formula>$C45</formula>
    </cfRule>
  </conditionalFormatting>
  <conditionalFormatting sqref="D46:E46">
    <cfRule type="expression" dxfId="28989" priority="943">
      <formula>AND($A46&lt;&gt;"",MOD(ROW(),2))</formula>
    </cfRule>
  </conditionalFormatting>
  <conditionalFormatting sqref="D46">
    <cfRule type="cellIs" dxfId="28988" priority="940" operator="equal">
      <formula>$C46</formula>
    </cfRule>
    <cfRule type="cellIs" dxfId="28987" priority="941" operator="greaterThan">
      <formula>$C46</formula>
    </cfRule>
    <cfRule type="cellIs" dxfId="28986" priority="942" operator="lessThan">
      <formula>$C46</formula>
    </cfRule>
  </conditionalFormatting>
  <conditionalFormatting sqref="D47:E47">
    <cfRule type="expression" dxfId="28985" priority="939">
      <formula>AND($A47&lt;&gt;"",MOD(ROW(),2))</formula>
    </cfRule>
  </conditionalFormatting>
  <conditionalFormatting sqref="D47">
    <cfRule type="cellIs" dxfId="28984" priority="936" operator="equal">
      <formula>$C47</formula>
    </cfRule>
    <cfRule type="cellIs" dxfId="28983" priority="937" operator="greaterThan">
      <formula>$C47</formula>
    </cfRule>
    <cfRule type="cellIs" dxfId="28982" priority="938" operator="lessThan">
      <formula>$C47</formula>
    </cfRule>
  </conditionalFormatting>
  <conditionalFormatting sqref="D48:E48">
    <cfRule type="expression" dxfId="28981" priority="935">
      <formula>AND($A48&lt;&gt;"",MOD(ROW(),2))</formula>
    </cfRule>
  </conditionalFormatting>
  <conditionalFormatting sqref="D48">
    <cfRule type="cellIs" dxfId="28980" priority="932" operator="equal">
      <formula>$C48</formula>
    </cfRule>
    <cfRule type="cellIs" dxfId="28979" priority="933" operator="greaterThan">
      <formula>$C48</formula>
    </cfRule>
    <cfRule type="cellIs" dxfId="28978" priority="934" operator="lessThan">
      <formula>$C48</formula>
    </cfRule>
  </conditionalFormatting>
  <conditionalFormatting sqref="C29">
    <cfRule type="expression" dxfId="28977" priority="931">
      <formula>AND($A29&lt;&gt;"",MOD(ROW(),2))</formula>
    </cfRule>
  </conditionalFormatting>
  <conditionalFormatting sqref="C29">
    <cfRule type="cellIs" dxfId="28976" priority="928" operator="equal">
      <formula>$C29</formula>
    </cfRule>
    <cfRule type="cellIs" dxfId="28975" priority="929" operator="greaterThan">
      <formula>$C29</formula>
    </cfRule>
    <cfRule type="cellIs" dxfId="28974" priority="930" operator="lessThan">
      <formula>$C29</formula>
    </cfRule>
  </conditionalFormatting>
  <conditionalFormatting sqref="C30">
    <cfRule type="expression" dxfId="28973" priority="927">
      <formula>AND($A30&lt;&gt;"",MOD(ROW(),2))</formula>
    </cfRule>
  </conditionalFormatting>
  <conditionalFormatting sqref="C30">
    <cfRule type="cellIs" dxfId="28972" priority="924" operator="equal">
      <formula>$C30</formula>
    </cfRule>
    <cfRule type="cellIs" dxfId="28971" priority="925" operator="greaterThan">
      <formula>$C30</formula>
    </cfRule>
    <cfRule type="cellIs" dxfId="28970" priority="926" operator="lessThan">
      <formula>$C30</formula>
    </cfRule>
  </conditionalFormatting>
  <conditionalFormatting sqref="C31">
    <cfRule type="expression" dxfId="28969" priority="923">
      <formula>AND($A31&lt;&gt;"",MOD(ROW(),2))</formula>
    </cfRule>
  </conditionalFormatting>
  <conditionalFormatting sqref="C31">
    <cfRule type="cellIs" dxfId="28968" priority="920" operator="equal">
      <formula>$C31</formula>
    </cfRule>
    <cfRule type="cellIs" dxfId="28967" priority="921" operator="greaterThan">
      <formula>$C31</formula>
    </cfRule>
    <cfRule type="cellIs" dxfId="28966" priority="922" operator="lessThan">
      <formula>$C31</formula>
    </cfRule>
  </conditionalFormatting>
  <conditionalFormatting sqref="C32">
    <cfRule type="expression" dxfId="28965" priority="919">
      <formula>AND($A32&lt;&gt;"",MOD(ROW(),2))</formula>
    </cfRule>
  </conditionalFormatting>
  <conditionalFormatting sqref="C32">
    <cfRule type="cellIs" dxfId="28964" priority="916" operator="equal">
      <formula>$C32</formula>
    </cfRule>
    <cfRule type="cellIs" dxfId="28963" priority="917" operator="greaterThan">
      <formula>$C32</formula>
    </cfRule>
    <cfRule type="cellIs" dxfId="28962" priority="918" operator="lessThan">
      <formula>$C32</formula>
    </cfRule>
  </conditionalFormatting>
  <conditionalFormatting sqref="C33">
    <cfRule type="expression" dxfId="28961" priority="915">
      <formula>AND($A33&lt;&gt;"",MOD(ROW(),2))</formula>
    </cfRule>
  </conditionalFormatting>
  <conditionalFormatting sqref="C33">
    <cfRule type="cellIs" dxfId="28960" priority="912" operator="equal">
      <formula>$C33</formula>
    </cfRule>
    <cfRule type="cellIs" dxfId="28959" priority="913" operator="greaterThan">
      <formula>$C33</formula>
    </cfRule>
    <cfRule type="cellIs" dxfId="28958" priority="914" operator="lessThan">
      <formula>$C33</formula>
    </cfRule>
  </conditionalFormatting>
  <conditionalFormatting sqref="C34">
    <cfRule type="expression" dxfId="28957" priority="911">
      <formula>AND($A34&lt;&gt;"",MOD(ROW(),2))</formula>
    </cfRule>
  </conditionalFormatting>
  <conditionalFormatting sqref="C34">
    <cfRule type="cellIs" dxfId="28956" priority="908" operator="equal">
      <formula>$C34</formula>
    </cfRule>
    <cfRule type="cellIs" dxfId="28955" priority="909" operator="greaterThan">
      <formula>$C34</formula>
    </cfRule>
    <cfRule type="cellIs" dxfId="28954" priority="910" operator="lessThan">
      <formula>$C34</formula>
    </cfRule>
  </conditionalFormatting>
  <conditionalFormatting sqref="C35">
    <cfRule type="expression" dxfId="28953" priority="907">
      <formula>AND($A35&lt;&gt;"",MOD(ROW(),2))</formula>
    </cfRule>
  </conditionalFormatting>
  <conditionalFormatting sqref="C35">
    <cfRule type="cellIs" dxfId="28952" priority="904" operator="equal">
      <formula>$C35</formula>
    </cfRule>
    <cfRule type="cellIs" dxfId="28951" priority="905" operator="greaterThan">
      <formula>$C35</formula>
    </cfRule>
    <cfRule type="cellIs" dxfId="28950" priority="906" operator="lessThan">
      <formula>$C35</formula>
    </cfRule>
  </conditionalFormatting>
  <conditionalFormatting sqref="C36">
    <cfRule type="expression" dxfId="28949" priority="903">
      <formula>AND($A36&lt;&gt;"",MOD(ROW(),2))</formula>
    </cfRule>
  </conditionalFormatting>
  <conditionalFormatting sqref="C36">
    <cfRule type="cellIs" dxfId="28948" priority="900" operator="equal">
      <formula>$C36</formula>
    </cfRule>
    <cfRule type="cellIs" dxfId="28947" priority="901" operator="greaterThan">
      <formula>$C36</formula>
    </cfRule>
    <cfRule type="cellIs" dxfId="28946" priority="902" operator="lessThan">
      <formula>$C36</formula>
    </cfRule>
  </conditionalFormatting>
  <conditionalFormatting sqref="C37">
    <cfRule type="expression" dxfId="28945" priority="899">
      <formula>AND($A37&lt;&gt;"",MOD(ROW(),2))</formula>
    </cfRule>
  </conditionalFormatting>
  <conditionalFormatting sqref="C37">
    <cfRule type="cellIs" dxfId="28944" priority="896" operator="equal">
      <formula>$C37</formula>
    </cfRule>
    <cfRule type="cellIs" dxfId="28943" priority="897" operator="greaterThan">
      <formula>$C37</formula>
    </cfRule>
    <cfRule type="cellIs" dxfId="28942" priority="898" operator="lessThan">
      <formula>$C37</formula>
    </cfRule>
  </conditionalFormatting>
  <conditionalFormatting sqref="C38">
    <cfRule type="expression" dxfId="28941" priority="895">
      <formula>AND($A38&lt;&gt;"",MOD(ROW(),2))</formula>
    </cfRule>
  </conditionalFormatting>
  <conditionalFormatting sqref="C38">
    <cfRule type="cellIs" dxfId="28940" priority="892" operator="equal">
      <formula>$C38</formula>
    </cfRule>
    <cfRule type="cellIs" dxfId="28939" priority="893" operator="greaterThan">
      <formula>$C38</formula>
    </cfRule>
    <cfRule type="cellIs" dxfId="28938" priority="894" operator="lessThan">
      <formula>$C38</formula>
    </cfRule>
  </conditionalFormatting>
  <conditionalFormatting sqref="C39">
    <cfRule type="expression" dxfId="28937" priority="891">
      <formula>AND($A39&lt;&gt;"",MOD(ROW(),2))</formula>
    </cfRule>
  </conditionalFormatting>
  <conditionalFormatting sqref="C39">
    <cfRule type="cellIs" dxfId="28936" priority="888" operator="equal">
      <formula>$C39</formula>
    </cfRule>
    <cfRule type="cellIs" dxfId="28935" priority="889" operator="greaterThan">
      <formula>$C39</formula>
    </cfRule>
    <cfRule type="cellIs" dxfId="28934" priority="890" operator="lessThan">
      <formula>$C39</formula>
    </cfRule>
  </conditionalFormatting>
  <conditionalFormatting sqref="C40">
    <cfRule type="expression" dxfId="28933" priority="887">
      <formula>AND($A40&lt;&gt;"",MOD(ROW(),2))</formula>
    </cfRule>
  </conditionalFormatting>
  <conditionalFormatting sqref="C40">
    <cfRule type="cellIs" dxfId="28932" priority="884" operator="equal">
      <formula>$C40</formula>
    </cfRule>
    <cfRule type="cellIs" dxfId="28931" priority="885" operator="greaterThan">
      <formula>$C40</formula>
    </cfRule>
    <cfRule type="cellIs" dxfId="28930" priority="886" operator="lessThan">
      <formula>$C40</formula>
    </cfRule>
  </conditionalFormatting>
  <conditionalFormatting sqref="D29:E29">
    <cfRule type="expression" dxfId="28929" priority="883">
      <formula>AND($A29&lt;&gt;"",MOD(ROW(),2))</formula>
    </cfRule>
  </conditionalFormatting>
  <conditionalFormatting sqref="D29">
    <cfRule type="cellIs" dxfId="28928" priority="880" operator="equal">
      <formula>$C29</formula>
    </cfRule>
    <cfRule type="cellIs" dxfId="28927" priority="881" operator="greaterThan">
      <formula>$C29</formula>
    </cfRule>
    <cfRule type="cellIs" dxfId="28926" priority="882" operator="lessThan">
      <formula>$C29</formula>
    </cfRule>
  </conditionalFormatting>
  <conditionalFormatting sqref="D30:E30">
    <cfRule type="expression" dxfId="28925" priority="879">
      <formula>AND($A30&lt;&gt;"",MOD(ROW(),2))</formula>
    </cfRule>
  </conditionalFormatting>
  <conditionalFormatting sqref="D30">
    <cfRule type="cellIs" dxfId="28924" priority="876" operator="equal">
      <formula>$C30</formula>
    </cfRule>
    <cfRule type="cellIs" dxfId="28923" priority="877" operator="greaterThan">
      <formula>$C30</formula>
    </cfRule>
    <cfRule type="cellIs" dxfId="28922" priority="878" operator="lessThan">
      <formula>$C30</formula>
    </cfRule>
  </conditionalFormatting>
  <conditionalFormatting sqref="D31:E31">
    <cfRule type="expression" dxfId="28921" priority="875">
      <formula>AND($A31&lt;&gt;"",MOD(ROW(),2))</formula>
    </cfRule>
  </conditionalFormatting>
  <conditionalFormatting sqref="D31">
    <cfRule type="cellIs" dxfId="28920" priority="872" operator="equal">
      <formula>$C31</formula>
    </cfRule>
    <cfRule type="cellIs" dxfId="28919" priority="873" operator="greaterThan">
      <formula>$C31</formula>
    </cfRule>
    <cfRule type="cellIs" dxfId="28918" priority="874" operator="lessThan">
      <formula>$C31</formula>
    </cfRule>
  </conditionalFormatting>
  <conditionalFormatting sqref="D32:E32">
    <cfRule type="expression" dxfId="28917" priority="871">
      <formula>AND($A32&lt;&gt;"",MOD(ROW(),2))</formula>
    </cfRule>
  </conditionalFormatting>
  <conditionalFormatting sqref="D32">
    <cfRule type="cellIs" dxfId="28916" priority="868" operator="equal">
      <formula>$C32</formula>
    </cfRule>
    <cfRule type="cellIs" dxfId="28915" priority="869" operator="greaterThan">
      <formula>$C32</formula>
    </cfRule>
    <cfRule type="cellIs" dxfId="28914" priority="870" operator="lessThan">
      <formula>$C32</formula>
    </cfRule>
  </conditionalFormatting>
  <conditionalFormatting sqref="D33:E33">
    <cfRule type="expression" dxfId="28913" priority="867">
      <formula>AND($A33&lt;&gt;"",MOD(ROW(),2))</formula>
    </cfRule>
  </conditionalFormatting>
  <conditionalFormatting sqref="D33">
    <cfRule type="cellIs" dxfId="28912" priority="864" operator="equal">
      <formula>$C33</formula>
    </cfRule>
    <cfRule type="cellIs" dxfId="28911" priority="865" operator="greaterThan">
      <formula>$C33</formula>
    </cfRule>
    <cfRule type="cellIs" dxfId="28910" priority="866" operator="lessThan">
      <formula>$C33</formula>
    </cfRule>
  </conditionalFormatting>
  <conditionalFormatting sqref="D34:E34">
    <cfRule type="expression" dxfId="28909" priority="863">
      <formula>AND($A34&lt;&gt;"",MOD(ROW(),2))</formula>
    </cfRule>
  </conditionalFormatting>
  <conditionalFormatting sqref="D34">
    <cfRule type="cellIs" dxfId="28908" priority="860" operator="equal">
      <formula>$C34</formula>
    </cfRule>
    <cfRule type="cellIs" dxfId="28907" priority="861" operator="greaterThan">
      <formula>$C34</formula>
    </cfRule>
    <cfRule type="cellIs" dxfId="28906" priority="862" operator="lessThan">
      <formula>$C34</formula>
    </cfRule>
  </conditionalFormatting>
  <conditionalFormatting sqref="D35:E35">
    <cfRule type="expression" dxfId="28905" priority="859">
      <formula>AND($A35&lt;&gt;"",MOD(ROW(),2))</formula>
    </cfRule>
  </conditionalFormatting>
  <conditionalFormatting sqref="D35">
    <cfRule type="cellIs" dxfId="28904" priority="856" operator="equal">
      <formula>$C35</formula>
    </cfRule>
    <cfRule type="cellIs" dxfId="28903" priority="857" operator="greaterThan">
      <formula>$C35</formula>
    </cfRule>
    <cfRule type="cellIs" dxfId="28902" priority="858" operator="lessThan">
      <formula>$C35</formula>
    </cfRule>
  </conditionalFormatting>
  <conditionalFormatting sqref="D36:E36">
    <cfRule type="expression" dxfId="28901" priority="855">
      <formula>AND($A36&lt;&gt;"",MOD(ROW(),2))</formula>
    </cfRule>
  </conditionalFormatting>
  <conditionalFormatting sqref="D36">
    <cfRule type="cellIs" dxfId="28900" priority="852" operator="equal">
      <formula>$C36</formula>
    </cfRule>
    <cfRule type="cellIs" dxfId="28899" priority="853" operator="greaterThan">
      <formula>$C36</formula>
    </cfRule>
    <cfRule type="cellIs" dxfId="28898" priority="854" operator="lessThan">
      <formula>$C36</formula>
    </cfRule>
  </conditionalFormatting>
  <conditionalFormatting sqref="D37:E37">
    <cfRule type="expression" dxfId="28897" priority="851">
      <formula>AND($A37&lt;&gt;"",MOD(ROW(),2))</formula>
    </cfRule>
  </conditionalFormatting>
  <conditionalFormatting sqref="D37">
    <cfRule type="cellIs" dxfId="28896" priority="848" operator="equal">
      <formula>$C37</formula>
    </cfRule>
    <cfRule type="cellIs" dxfId="28895" priority="849" operator="greaterThan">
      <formula>$C37</formula>
    </cfRule>
    <cfRule type="cellIs" dxfId="28894" priority="850" operator="lessThan">
      <formula>$C37</formula>
    </cfRule>
  </conditionalFormatting>
  <conditionalFormatting sqref="D38:E38">
    <cfRule type="expression" dxfId="28893" priority="847">
      <formula>AND($A38&lt;&gt;"",MOD(ROW(),2))</formula>
    </cfRule>
  </conditionalFormatting>
  <conditionalFormatting sqref="D38">
    <cfRule type="cellIs" dxfId="28892" priority="844" operator="equal">
      <formula>$C38</formula>
    </cfRule>
    <cfRule type="cellIs" dxfId="28891" priority="845" operator="greaterThan">
      <formula>$C38</formula>
    </cfRule>
    <cfRule type="cellIs" dxfId="28890" priority="846" operator="lessThan">
      <formula>$C38</formula>
    </cfRule>
  </conditionalFormatting>
  <conditionalFormatting sqref="D39:E39">
    <cfRule type="expression" dxfId="28889" priority="843">
      <formula>AND($A39&lt;&gt;"",MOD(ROW(),2))</formula>
    </cfRule>
  </conditionalFormatting>
  <conditionalFormatting sqref="D39">
    <cfRule type="cellIs" dxfId="28888" priority="840" operator="equal">
      <formula>$C39</formula>
    </cfRule>
    <cfRule type="cellIs" dxfId="28887" priority="841" operator="greaterThan">
      <formula>$C39</formula>
    </cfRule>
    <cfRule type="cellIs" dxfId="28886" priority="842" operator="lessThan">
      <formula>$C39</formula>
    </cfRule>
  </conditionalFormatting>
  <conditionalFormatting sqref="D40:E40">
    <cfRule type="expression" dxfId="28885" priority="839">
      <formula>AND($A40&lt;&gt;"",MOD(ROW(),2))</formula>
    </cfRule>
  </conditionalFormatting>
  <conditionalFormatting sqref="D40">
    <cfRule type="cellIs" dxfId="28884" priority="836" operator="equal">
      <formula>$C40</formula>
    </cfRule>
    <cfRule type="cellIs" dxfId="28883" priority="837" operator="greaterThan">
      <formula>$C40</formula>
    </cfRule>
    <cfRule type="cellIs" dxfId="28882" priority="838" operator="lessThan">
      <formula>$C40</formula>
    </cfRule>
  </conditionalFormatting>
  <conditionalFormatting sqref="D41:E41">
    <cfRule type="expression" dxfId="28881" priority="835">
      <formula>AND($A41&lt;&gt;"",MOD(ROW(),2))</formula>
    </cfRule>
  </conditionalFormatting>
  <conditionalFormatting sqref="D41">
    <cfRule type="cellIs" dxfId="28880" priority="832" operator="equal">
      <formula>$C41</formula>
    </cfRule>
    <cfRule type="cellIs" dxfId="28879" priority="833" operator="greaterThan">
      <formula>$C41</formula>
    </cfRule>
    <cfRule type="cellIs" dxfId="28878" priority="834" operator="lessThan">
      <formula>$C41</formula>
    </cfRule>
  </conditionalFormatting>
  <conditionalFormatting sqref="D42:E42">
    <cfRule type="expression" dxfId="28877" priority="831">
      <formula>AND($A42&lt;&gt;"",MOD(ROW(),2))</formula>
    </cfRule>
  </conditionalFormatting>
  <conditionalFormatting sqref="D42">
    <cfRule type="cellIs" dxfId="28876" priority="828" operator="equal">
      <formula>$C42</formula>
    </cfRule>
    <cfRule type="cellIs" dxfId="28875" priority="829" operator="greaterThan">
      <formula>$C42</formula>
    </cfRule>
    <cfRule type="cellIs" dxfId="28874" priority="830" operator="lessThan">
      <formula>$C42</formula>
    </cfRule>
  </conditionalFormatting>
  <conditionalFormatting sqref="D43:E43">
    <cfRule type="expression" dxfId="28873" priority="827">
      <formula>AND($A43&lt;&gt;"",MOD(ROW(),2))</formula>
    </cfRule>
  </conditionalFormatting>
  <conditionalFormatting sqref="D43">
    <cfRule type="cellIs" dxfId="28872" priority="824" operator="equal">
      <formula>$C43</formula>
    </cfRule>
    <cfRule type="cellIs" dxfId="28871" priority="825" operator="greaterThan">
      <formula>$C43</formula>
    </cfRule>
    <cfRule type="cellIs" dxfId="28870" priority="826" operator="lessThan">
      <formula>$C43</formula>
    </cfRule>
  </conditionalFormatting>
  <conditionalFormatting sqref="D44:E44">
    <cfRule type="expression" dxfId="28869" priority="823">
      <formula>AND($A44&lt;&gt;"",MOD(ROW(),2))</formula>
    </cfRule>
  </conditionalFormatting>
  <conditionalFormatting sqref="D44">
    <cfRule type="cellIs" dxfId="28868" priority="820" operator="equal">
      <formula>$C44</formula>
    </cfRule>
    <cfRule type="cellIs" dxfId="28867" priority="821" operator="greaterThan">
      <formula>$C44</formula>
    </cfRule>
    <cfRule type="cellIs" dxfId="28866" priority="822" operator="lessThan">
      <formula>$C44</formula>
    </cfRule>
  </conditionalFormatting>
  <conditionalFormatting sqref="D45:E45">
    <cfRule type="expression" dxfId="28865" priority="819">
      <formula>AND($A45&lt;&gt;"",MOD(ROW(),2))</formula>
    </cfRule>
  </conditionalFormatting>
  <conditionalFormatting sqref="D45">
    <cfRule type="cellIs" dxfId="28864" priority="816" operator="equal">
      <formula>$C45</formula>
    </cfRule>
    <cfRule type="cellIs" dxfId="28863" priority="817" operator="greaterThan">
      <formula>$C45</formula>
    </cfRule>
    <cfRule type="cellIs" dxfId="28862" priority="818" operator="lessThan">
      <formula>$C45</formula>
    </cfRule>
  </conditionalFormatting>
  <conditionalFormatting sqref="D46:E46">
    <cfRule type="expression" dxfId="28861" priority="815">
      <formula>AND($A46&lt;&gt;"",MOD(ROW(),2))</formula>
    </cfRule>
  </conditionalFormatting>
  <conditionalFormatting sqref="D46">
    <cfRule type="cellIs" dxfId="28860" priority="812" operator="equal">
      <formula>$C46</formula>
    </cfRule>
    <cfRule type="cellIs" dxfId="28859" priority="813" operator="greaterThan">
      <formula>$C46</formula>
    </cfRule>
    <cfRule type="cellIs" dxfId="28858" priority="814" operator="lessThan">
      <formula>$C46</formula>
    </cfRule>
  </conditionalFormatting>
  <conditionalFormatting sqref="D47:E47">
    <cfRule type="expression" dxfId="28857" priority="811">
      <formula>AND($A47&lt;&gt;"",MOD(ROW(),2))</formula>
    </cfRule>
  </conditionalFormatting>
  <conditionalFormatting sqref="D47">
    <cfRule type="cellIs" dxfId="28856" priority="808" operator="equal">
      <formula>$C47</formula>
    </cfRule>
    <cfRule type="cellIs" dxfId="28855" priority="809" operator="greaterThan">
      <formula>$C47</formula>
    </cfRule>
    <cfRule type="cellIs" dxfId="28854" priority="810" operator="lessThan">
      <formula>$C47</formula>
    </cfRule>
  </conditionalFormatting>
  <conditionalFormatting sqref="D48:E48">
    <cfRule type="expression" dxfId="28853" priority="807">
      <formula>AND($A48&lt;&gt;"",MOD(ROW(),2))</formula>
    </cfRule>
  </conditionalFormatting>
  <conditionalFormatting sqref="D48">
    <cfRule type="cellIs" dxfId="28852" priority="804" operator="equal">
      <formula>$C48</formula>
    </cfRule>
    <cfRule type="cellIs" dxfId="28851" priority="805" operator="greaterThan">
      <formula>$C48</formula>
    </cfRule>
    <cfRule type="cellIs" dxfId="28850" priority="806" operator="lessThan">
      <formula>$C48</formula>
    </cfRule>
  </conditionalFormatting>
  <conditionalFormatting sqref="D49:E49">
    <cfRule type="expression" dxfId="28849" priority="803">
      <formula>AND($A49&lt;&gt;"",MOD(ROW(),2))</formula>
    </cfRule>
  </conditionalFormatting>
  <conditionalFormatting sqref="D49">
    <cfRule type="cellIs" dxfId="28848" priority="800" operator="equal">
      <formula>$C49</formula>
    </cfRule>
    <cfRule type="cellIs" dxfId="28847" priority="801" operator="greaterThan">
      <formula>$C49</formula>
    </cfRule>
    <cfRule type="cellIs" dxfId="28846" priority="802" operator="lessThan">
      <formula>$C49</formula>
    </cfRule>
  </conditionalFormatting>
  <conditionalFormatting sqref="D50:E50">
    <cfRule type="expression" dxfId="28845" priority="799">
      <formula>AND($A50&lt;&gt;"",MOD(ROW(),2))</formula>
    </cfRule>
  </conditionalFormatting>
  <conditionalFormatting sqref="D50">
    <cfRule type="cellIs" dxfId="28844" priority="796" operator="equal">
      <formula>$C50</formula>
    </cfRule>
    <cfRule type="cellIs" dxfId="28843" priority="797" operator="greaterThan">
      <formula>$C50</formula>
    </cfRule>
    <cfRule type="cellIs" dxfId="28842" priority="798" operator="lessThan">
      <formula>$C50</formula>
    </cfRule>
  </conditionalFormatting>
  <conditionalFormatting sqref="C30">
    <cfRule type="expression" dxfId="28841" priority="795">
      <formula>AND($A30&lt;&gt;"",MOD(ROW(),2))</formula>
    </cfRule>
  </conditionalFormatting>
  <conditionalFormatting sqref="C30">
    <cfRule type="cellIs" dxfId="28840" priority="792" operator="equal">
      <formula>$C30</formula>
    </cfRule>
    <cfRule type="cellIs" dxfId="28839" priority="793" operator="greaterThan">
      <formula>$C30</formula>
    </cfRule>
    <cfRule type="cellIs" dxfId="28838" priority="794" operator="lessThan">
      <formula>$C30</formula>
    </cfRule>
  </conditionalFormatting>
  <conditionalFormatting sqref="C31">
    <cfRule type="expression" dxfId="28837" priority="791">
      <formula>AND($A31&lt;&gt;"",MOD(ROW(),2))</formula>
    </cfRule>
  </conditionalFormatting>
  <conditionalFormatting sqref="C31">
    <cfRule type="cellIs" dxfId="28836" priority="788" operator="equal">
      <formula>$C31</formula>
    </cfRule>
    <cfRule type="cellIs" dxfId="28835" priority="789" operator="greaterThan">
      <formula>$C31</formula>
    </cfRule>
    <cfRule type="cellIs" dxfId="28834" priority="790" operator="lessThan">
      <formula>$C31</formula>
    </cfRule>
  </conditionalFormatting>
  <conditionalFormatting sqref="C32">
    <cfRule type="expression" dxfId="28833" priority="787">
      <formula>AND($A32&lt;&gt;"",MOD(ROW(),2))</formula>
    </cfRule>
  </conditionalFormatting>
  <conditionalFormatting sqref="C32">
    <cfRule type="cellIs" dxfId="28832" priority="784" operator="equal">
      <formula>$C32</formula>
    </cfRule>
    <cfRule type="cellIs" dxfId="28831" priority="785" operator="greaterThan">
      <formula>$C32</formula>
    </cfRule>
    <cfRule type="cellIs" dxfId="28830" priority="786" operator="lessThan">
      <formula>$C32</formula>
    </cfRule>
  </conditionalFormatting>
  <conditionalFormatting sqref="C33">
    <cfRule type="expression" dxfId="28829" priority="783">
      <formula>AND($A33&lt;&gt;"",MOD(ROW(),2))</formula>
    </cfRule>
  </conditionalFormatting>
  <conditionalFormatting sqref="C33">
    <cfRule type="cellIs" dxfId="28828" priority="780" operator="equal">
      <formula>$C33</formula>
    </cfRule>
    <cfRule type="cellIs" dxfId="28827" priority="781" operator="greaterThan">
      <formula>$C33</formula>
    </cfRule>
    <cfRule type="cellIs" dxfId="28826" priority="782" operator="lessThan">
      <formula>$C33</formula>
    </cfRule>
  </conditionalFormatting>
  <conditionalFormatting sqref="C34">
    <cfRule type="expression" dxfId="28825" priority="779">
      <formula>AND($A34&lt;&gt;"",MOD(ROW(),2))</formula>
    </cfRule>
  </conditionalFormatting>
  <conditionalFormatting sqref="C34">
    <cfRule type="cellIs" dxfId="28824" priority="776" operator="equal">
      <formula>$C34</formula>
    </cfRule>
    <cfRule type="cellIs" dxfId="28823" priority="777" operator="greaterThan">
      <formula>$C34</formula>
    </cfRule>
    <cfRule type="cellIs" dxfId="28822" priority="778" operator="lessThan">
      <formula>$C34</formula>
    </cfRule>
  </conditionalFormatting>
  <conditionalFormatting sqref="C35">
    <cfRule type="expression" dxfId="28821" priority="775">
      <formula>AND($A35&lt;&gt;"",MOD(ROW(),2))</formula>
    </cfRule>
  </conditionalFormatting>
  <conditionalFormatting sqref="C35">
    <cfRule type="cellIs" dxfId="28820" priority="772" operator="equal">
      <formula>$C35</formula>
    </cfRule>
    <cfRule type="cellIs" dxfId="28819" priority="773" operator="greaterThan">
      <formula>$C35</formula>
    </cfRule>
    <cfRule type="cellIs" dxfId="28818" priority="774" operator="lessThan">
      <formula>$C35</formula>
    </cfRule>
  </conditionalFormatting>
  <conditionalFormatting sqref="C36">
    <cfRule type="expression" dxfId="28817" priority="771">
      <formula>AND($A36&lt;&gt;"",MOD(ROW(),2))</formula>
    </cfRule>
  </conditionalFormatting>
  <conditionalFormatting sqref="C36">
    <cfRule type="cellIs" dxfId="28816" priority="768" operator="equal">
      <formula>$C36</formula>
    </cfRule>
    <cfRule type="cellIs" dxfId="28815" priority="769" operator="greaterThan">
      <formula>$C36</formula>
    </cfRule>
    <cfRule type="cellIs" dxfId="28814" priority="770" operator="lessThan">
      <formula>$C36</formula>
    </cfRule>
  </conditionalFormatting>
  <conditionalFormatting sqref="C37">
    <cfRule type="expression" dxfId="28813" priority="767">
      <formula>AND($A37&lt;&gt;"",MOD(ROW(),2))</formula>
    </cfRule>
  </conditionalFormatting>
  <conditionalFormatting sqref="C37">
    <cfRule type="cellIs" dxfId="28812" priority="764" operator="equal">
      <formula>$C37</formula>
    </cfRule>
    <cfRule type="cellIs" dxfId="28811" priority="765" operator="greaterThan">
      <formula>$C37</formula>
    </cfRule>
    <cfRule type="cellIs" dxfId="28810" priority="766" operator="lessThan">
      <formula>$C37</formula>
    </cfRule>
  </conditionalFormatting>
  <conditionalFormatting sqref="C38">
    <cfRule type="expression" dxfId="28809" priority="763">
      <formula>AND($A38&lt;&gt;"",MOD(ROW(),2))</formula>
    </cfRule>
  </conditionalFormatting>
  <conditionalFormatting sqref="C38">
    <cfRule type="cellIs" dxfId="28808" priority="760" operator="equal">
      <formula>$C38</formula>
    </cfRule>
    <cfRule type="cellIs" dxfId="28807" priority="761" operator="greaterThan">
      <formula>$C38</formula>
    </cfRule>
    <cfRule type="cellIs" dxfId="28806" priority="762" operator="lessThan">
      <formula>$C38</formula>
    </cfRule>
  </conditionalFormatting>
  <conditionalFormatting sqref="C39">
    <cfRule type="expression" dxfId="28805" priority="759">
      <formula>AND($A39&lt;&gt;"",MOD(ROW(),2))</formula>
    </cfRule>
  </conditionalFormatting>
  <conditionalFormatting sqref="C39">
    <cfRule type="cellIs" dxfId="28804" priority="756" operator="equal">
      <formula>$C39</formula>
    </cfRule>
    <cfRule type="cellIs" dxfId="28803" priority="757" operator="greaterThan">
      <formula>$C39</formula>
    </cfRule>
    <cfRule type="cellIs" dxfId="28802" priority="758" operator="lessThan">
      <formula>$C39</formula>
    </cfRule>
  </conditionalFormatting>
  <conditionalFormatting sqref="C40">
    <cfRule type="expression" dxfId="28801" priority="755">
      <formula>AND($A40&lt;&gt;"",MOD(ROW(),2))</formula>
    </cfRule>
  </conditionalFormatting>
  <conditionalFormatting sqref="C40">
    <cfRule type="cellIs" dxfId="28800" priority="752" operator="equal">
      <formula>$C40</formula>
    </cfRule>
    <cfRule type="cellIs" dxfId="28799" priority="753" operator="greaterThan">
      <formula>$C40</formula>
    </cfRule>
    <cfRule type="cellIs" dxfId="28798" priority="754" operator="lessThan">
      <formula>$C40</formula>
    </cfRule>
  </conditionalFormatting>
  <conditionalFormatting sqref="C41">
    <cfRule type="expression" dxfId="28797" priority="751">
      <formula>AND($A41&lt;&gt;"",MOD(ROW(),2))</formula>
    </cfRule>
  </conditionalFormatting>
  <conditionalFormatting sqref="C41">
    <cfRule type="cellIs" dxfId="28796" priority="748" operator="equal">
      <formula>$C41</formula>
    </cfRule>
    <cfRule type="cellIs" dxfId="28795" priority="749" operator="greaterThan">
      <formula>$C41</formula>
    </cfRule>
    <cfRule type="cellIs" dxfId="28794" priority="750" operator="lessThan">
      <formula>$C41</formula>
    </cfRule>
  </conditionalFormatting>
  <conditionalFormatting sqref="D30:E30">
    <cfRule type="expression" dxfId="28793" priority="747">
      <formula>AND($A30&lt;&gt;"",MOD(ROW(),2))</formula>
    </cfRule>
  </conditionalFormatting>
  <conditionalFormatting sqref="D30">
    <cfRule type="cellIs" dxfId="28792" priority="744" operator="equal">
      <formula>$C30</formula>
    </cfRule>
    <cfRule type="cellIs" dxfId="28791" priority="745" operator="greaterThan">
      <formula>$C30</formula>
    </cfRule>
    <cfRule type="cellIs" dxfId="28790" priority="746" operator="lessThan">
      <formula>$C30</formula>
    </cfRule>
  </conditionalFormatting>
  <conditionalFormatting sqref="D31:E31">
    <cfRule type="expression" dxfId="28789" priority="743">
      <formula>AND($A31&lt;&gt;"",MOD(ROW(),2))</formula>
    </cfRule>
  </conditionalFormatting>
  <conditionalFormatting sqref="D31">
    <cfRule type="cellIs" dxfId="28788" priority="740" operator="equal">
      <formula>$C31</formula>
    </cfRule>
    <cfRule type="cellIs" dxfId="28787" priority="741" operator="greaterThan">
      <formula>$C31</formula>
    </cfRule>
    <cfRule type="cellIs" dxfId="28786" priority="742" operator="lessThan">
      <formula>$C31</formula>
    </cfRule>
  </conditionalFormatting>
  <conditionalFormatting sqref="D32:E32">
    <cfRule type="expression" dxfId="28785" priority="739">
      <formula>AND($A32&lt;&gt;"",MOD(ROW(),2))</formula>
    </cfRule>
  </conditionalFormatting>
  <conditionalFormatting sqref="D32">
    <cfRule type="cellIs" dxfId="28784" priority="736" operator="equal">
      <formula>$C32</formula>
    </cfRule>
    <cfRule type="cellIs" dxfId="28783" priority="737" operator="greaterThan">
      <formula>$C32</formula>
    </cfRule>
    <cfRule type="cellIs" dxfId="28782" priority="738" operator="lessThan">
      <formula>$C32</formula>
    </cfRule>
  </conditionalFormatting>
  <conditionalFormatting sqref="D33:E33">
    <cfRule type="expression" dxfId="28781" priority="735">
      <formula>AND($A33&lt;&gt;"",MOD(ROW(),2))</formula>
    </cfRule>
  </conditionalFormatting>
  <conditionalFormatting sqref="D33">
    <cfRule type="cellIs" dxfId="28780" priority="732" operator="equal">
      <formula>$C33</formula>
    </cfRule>
    <cfRule type="cellIs" dxfId="28779" priority="733" operator="greaterThan">
      <formula>$C33</formula>
    </cfRule>
    <cfRule type="cellIs" dxfId="28778" priority="734" operator="lessThan">
      <formula>$C33</formula>
    </cfRule>
  </conditionalFormatting>
  <conditionalFormatting sqref="D34:E34">
    <cfRule type="expression" dxfId="28777" priority="731">
      <formula>AND($A34&lt;&gt;"",MOD(ROW(),2))</formula>
    </cfRule>
  </conditionalFormatting>
  <conditionalFormatting sqref="D34">
    <cfRule type="cellIs" dxfId="28776" priority="728" operator="equal">
      <formula>$C34</formula>
    </cfRule>
    <cfRule type="cellIs" dxfId="28775" priority="729" operator="greaterThan">
      <formula>$C34</formula>
    </cfRule>
    <cfRule type="cellIs" dxfId="28774" priority="730" operator="lessThan">
      <formula>$C34</formula>
    </cfRule>
  </conditionalFormatting>
  <conditionalFormatting sqref="D35:E35">
    <cfRule type="expression" dxfId="28773" priority="727">
      <formula>AND($A35&lt;&gt;"",MOD(ROW(),2))</formula>
    </cfRule>
  </conditionalFormatting>
  <conditionalFormatting sqref="D35">
    <cfRule type="cellIs" dxfId="28772" priority="724" operator="equal">
      <formula>$C35</formula>
    </cfRule>
    <cfRule type="cellIs" dxfId="28771" priority="725" operator="greaterThan">
      <formula>$C35</formula>
    </cfRule>
    <cfRule type="cellIs" dxfId="28770" priority="726" operator="lessThan">
      <formula>$C35</formula>
    </cfRule>
  </conditionalFormatting>
  <conditionalFormatting sqref="D36:E36">
    <cfRule type="expression" dxfId="28769" priority="723">
      <formula>AND($A36&lt;&gt;"",MOD(ROW(),2))</formula>
    </cfRule>
  </conditionalFormatting>
  <conditionalFormatting sqref="D36">
    <cfRule type="cellIs" dxfId="28768" priority="720" operator="equal">
      <formula>$C36</formula>
    </cfRule>
    <cfRule type="cellIs" dxfId="28767" priority="721" operator="greaterThan">
      <formula>$C36</formula>
    </cfRule>
    <cfRule type="cellIs" dxfId="28766" priority="722" operator="lessThan">
      <formula>$C36</formula>
    </cfRule>
  </conditionalFormatting>
  <conditionalFormatting sqref="D37:E37">
    <cfRule type="expression" dxfId="28765" priority="719">
      <formula>AND($A37&lt;&gt;"",MOD(ROW(),2))</formula>
    </cfRule>
  </conditionalFormatting>
  <conditionalFormatting sqref="D37">
    <cfRule type="cellIs" dxfId="28764" priority="716" operator="equal">
      <formula>$C37</formula>
    </cfRule>
    <cfRule type="cellIs" dxfId="28763" priority="717" operator="greaterThan">
      <formula>$C37</formula>
    </cfRule>
    <cfRule type="cellIs" dxfId="28762" priority="718" operator="lessThan">
      <formula>$C37</formula>
    </cfRule>
  </conditionalFormatting>
  <conditionalFormatting sqref="D38:E38">
    <cfRule type="expression" dxfId="28761" priority="715">
      <formula>AND($A38&lt;&gt;"",MOD(ROW(),2))</formula>
    </cfRule>
  </conditionalFormatting>
  <conditionalFormatting sqref="D38">
    <cfRule type="cellIs" dxfId="28760" priority="712" operator="equal">
      <formula>$C38</formula>
    </cfRule>
    <cfRule type="cellIs" dxfId="28759" priority="713" operator="greaterThan">
      <formula>$C38</formula>
    </cfRule>
    <cfRule type="cellIs" dxfId="28758" priority="714" operator="lessThan">
      <formula>$C38</formula>
    </cfRule>
  </conditionalFormatting>
  <conditionalFormatting sqref="D39:E39">
    <cfRule type="expression" dxfId="28757" priority="711">
      <formula>AND($A39&lt;&gt;"",MOD(ROW(),2))</formula>
    </cfRule>
  </conditionalFormatting>
  <conditionalFormatting sqref="D39">
    <cfRule type="cellIs" dxfId="28756" priority="708" operator="equal">
      <formula>$C39</formula>
    </cfRule>
    <cfRule type="cellIs" dxfId="28755" priority="709" operator="greaterThan">
      <formula>$C39</formula>
    </cfRule>
    <cfRule type="cellIs" dxfId="28754" priority="710" operator="lessThan">
      <formula>$C39</formula>
    </cfRule>
  </conditionalFormatting>
  <conditionalFormatting sqref="D40:E40">
    <cfRule type="expression" dxfId="28753" priority="707">
      <formula>AND($A40&lt;&gt;"",MOD(ROW(),2))</formula>
    </cfRule>
  </conditionalFormatting>
  <conditionalFormatting sqref="D40">
    <cfRule type="cellIs" dxfId="28752" priority="704" operator="equal">
      <formula>$C40</formula>
    </cfRule>
    <cfRule type="cellIs" dxfId="28751" priority="705" operator="greaterThan">
      <formula>$C40</formula>
    </cfRule>
    <cfRule type="cellIs" dxfId="28750" priority="706" operator="lessThan">
      <formula>$C40</formula>
    </cfRule>
  </conditionalFormatting>
  <conditionalFormatting sqref="D41:E41">
    <cfRule type="expression" dxfId="28749" priority="703">
      <formula>AND($A41&lt;&gt;"",MOD(ROW(),2))</formula>
    </cfRule>
  </conditionalFormatting>
  <conditionalFormatting sqref="D41">
    <cfRule type="cellIs" dxfId="28748" priority="700" operator="equal">
      <formula>$C41</formula>
    </cfRule>
    <cfRule type="cellIs" dxfId="28747" priority="701" operator="greaterThan">
      <formula>$C41</formula>
    </cfRule>
    <cfRule type="cellIs" dxfId="28746" priority="702" operator="lessThan">
      <formula>$C41</formula>
    </cfRule>
  </conditionalFormatting>
  <conditionalFormatting sqref="D42:E42">
    <cfRule type="expression" dxfId="28745" priority="699">
      <formula>AND($A42&lt;&gt;"",MOD(ROW(),2))</formula>
    </cfRule>
  </conditionalFormatting>
  <conditionalFormatting sqref="D42">
    <cfRule type="cellIs" dxfId="28744" priority="696" operator="equal">
      <formula>$C42</formula>
    </cfRule>
    <cfRule type="cellIs" dxfId="28743" priority="697" operator="greaterThan">
      <formula>$C42</formula>
    </cfRule>
    <cfRule type="cellIs" dxfId="28742" priority="698" operator="lessThan">
      <formula>$C42</formula>
    </cfRule>
  </conditionalFormatting>
  <conditionalFormatting sqref="D43:E43">
    <cfRule type="expression" dxfId="28741" priority="695">
      <formula>AND($A43&lt;&gt;"",MOD(ROW(),2))</formula>
    </cfRule>
  </conditionalFormatting>
  <conditionalFormatting sqref="D43">
    <cfRule type="cellIs" dxfId="28740" priority="692" operator="equal">
      <formula>$C43</formula>
    </cfRule>
    <cfRule type="cellIs" dxfId="28739" priority="693" operator="greaterThan">
      <formula>$C43</formula>
    </cfRule>
    <cfRule type="cellIs" dxfId="28738" priority="694" operator="lessThan">
      <formula>$C43</formula>
    </cfRule>
  </conditionalFormatting>
  <conditionalFormatting sqref="D44:E44">
    <cfRule type="expression" dxfId="28737" priority="691">
      <formula>AND($A44&lt;&gt;"",MOD(ROW(),2))</formula>
    </cfRule>
  </conditionalFormatting>
  <conditionalFormatting sqref="D44">
    <cfRule type="cellIs" dxfId="28736" priority="688" operator="equal">
      <formula>$C44</formula>
    </cfRule>
    <cfRule type="cellIs" dxfId="28735" priority="689" operator="greaterThan">
      <formula>$C44</formula>
    </cfRule>
    <cfRule type="cellIs" dxfId="28734" priority="690" operator="lessThan">
      <formula>$C44</formula>
    </cfRule>
  </conditionalFormatting>
  <conditionalFormatting sqref="D45:E45">
    <cfRule type="expression" dxfId="28733" priority="687">
      <formula>AND($A45&lt;&gt;"",MOD(ROW(),2))</formula>
    </cfRule>
  </conditionalFormatting>
  <conditionalFormatting sqref="D45">
    <cfRule type="cellIs" dxfId="28732" priority="684" operator="equal">
      <formula>$C45</formula>
    </cfRule>
    <cfRule type="cellIs" dxfId="28731" priority="685" operator="greaterThan">
      <formula>$C45</formula>
    </cfRule>
    <cfRule type="cellIs" dxfId="28730" priority="686" operator="lessThan">
      <formula>$C45</formula>
    </cfRule>
  </conditionalFormatting>
  <conditionalFormatting sqref="D46:E46">
    <cfRule type="expression" dxfId="28729" priority="683">
      <formula>AND($A46&lt;&gt;"",MOD(ROW(),2))</formula>
    </cfRule>
  </conditionalFormatting>
  <conditionalFormatting sqref="D46">
    <cfRule type="cellIs" dxfId="28728" priority="680" operator="equal">
      <formula>$C46</formula>
    </cfRule>
    <cfRule type="cellIs" dxfId="28727" priority="681" operator="greaterThan">
      <formula>$C46</formula>
    </cfRule>
    <cfRule type="cellIs" dxfId="28726" priority="682" operator="lessThan">
      <formula>$C46</formula>
    </cfRule>
  </conditionalFormatting>
  <conditionalFormatting sqref="D47:E47">
    <cfRule type="expression" dxfId="28725" priority="679">
      <formula>AND($A47&lt;&gt;"",MOD(ROW(),2))</formula>
    </cfRule>
  </conditionalFormatting>
  <conditionalFormatting sqref="D47">
    <cfRule type="cellIs" dxfId="28724" priority="676" operator="equal">
      <formula>$C47</formula>
    </cfRule>
    <cfRule type="cellIs" dxfId="28723" priority="677" operator="greaterThan">
      <formula>$C47</formula>
    </cfRule>
    <cfRule type="cellIs" dxfId="28722" priority="678" operator="lessThan">
      <formula>$C47</formula>
    </cfRule>
  </conditionalFormatting>
  <conditionalFormatting sqref="D48:E48">
    <cfRule type="expression" dxfId="28721" priority="675">
      <formula>AND($A48&lt;&gt;"",MOD(ROW(),2))</formula>
    </cfRule>
  </conditionalFormatting>
  <conditionalFormatting sqref="D48">
    <cfRule type="cellIs" dxfId="28720" priority="672" operator="equal">
      <formula>$C48</formula>
    </cfRule>
    <cfRule type="cellIs" dxfId="28719" priority="673" operator="greaterThan">
      <formula>$C48</formula>
    </cfRule>
    <cfRule type="cellIs" dxfId="28718" priority="674" operator="lessThan">
      <formula>$C48</formula>
    </cfRule>
  </conditionalFormatting>
  <conditionalFormatting sqref="D49:E49">
    <cfRule type="expression" dxfId="28717" priority="671">
      <formula>AND($A49&lt;&gt;"",MOD(ROW(),2))</formula>
    </cfRule>
  </conditionalFormatting>
  <conditionalFormatting sqref="D49">
    <cfRule type="cellIs" dxfId="28716" priority="668" operator="equal">
      <formula>$C49</formula>
    </cfRule>
    <cfRule type="cellIs" dxfId="28715" priority="669" operator="greaterThan">
      <formula>$C49</formula>
    </cfRule>
    <cfRule type="cellIs" dxfId="28714" priority="670" operator="lessThan">
      <formula>$C49</formula>
    </cfRule>
  </conditionalFormatting>
  <conditionalFormatting sqref="C29">
    <cfRule type="expression" dxfId="28713" priority="667">
      <formula>AND($A29&lt;&gt;"",MOD(ROW(),2))</formula>
    </cfRule>
  </conditionalFormatting>
  <conditionalFormatting sqref="C29">
    <cfRule type="cellIs" dxfId="28712" priority="664" operator="equal">
      <formula>$C29</formula>
    </cfRule>
    <cfRule type="cellIs" dxfId="28711" priority="665" operator="greaterThan">
      <formula>$C29</formula>
    </cfRule>
    <cfRule type="cellIs" dxfId="28710" priority="666" operator="lessThan">
      <formula>$C29</formula>
    </cfRule>
  </conditionalFormatting>
  <conditionalFormatting sqref="C30">
    <cfRule type="expression" dxfId="28709" priority="663">
      <formula>AND($A30&lt;&gt;"",MOD(ROW(),2))</formula>
    </cfRule>
  </conditionalFormatting>
  <conditionalFormatting sqref="C30">
    <cfRule type="cellIs" dxfId="28708" priority="660" operator="equal">
      <formula>$C30</formula>
    </cfRule>
    <cfRule type="cellIs" dxfId="28707" priority="661" operator="greaterThan">
      <formula>$C30</formula>
    </cfRule>
    <cfRule type="cellIs" dxfId="28706" priority="662" operator="lessThan">
      <formula>$C30</formula>
    </cfRule>
  </conditionalFormatting>
  <conditionalFormatting sqref="C31">
    <cfRule type="expression" dxfId="28705" priority="659">
      <formula>AND($A31&lt;&gt;"",MOD(ROW(),2))</formula>
    </cfRule>
  </conditionalFormatting>
  <conditionalFormatting sqref="C31">
    <cfRule type="cellIs" dxfId="28704" priority="656" operator="equal">
      <formula>$C31</formula>
    </cfRule>
    <cfRule type="cellIs" dxfId="28703" priority="657" operator="greaterThan">
      <formula>$C31</formula>
    </cfRule>
    <cfRule type="cellIs" dxfId="28702" priority="658" operator="lessThan">
      <formula>$C31</formula>
    </cfRule>
  </conditionalFormatting>
  <conditionalFormatting sqref="C32">
    <cfRule type="expression" dxfId="28701" priority="655">
      <formula>AND($A32&lt;&gt;"",MOD(ROW(),2))</formula>
    </cfRule>
  </conditionalFormatting>
  <conditionalFormatting sqref="C32">
    <cfRule type="cellIs" dxfId="28700" priority="652" operator="equal">
      <formula>$C32</formula>
    </cfRule>
    <cfRule type="cellIs" dxfId="28699" priority="653" operator="greaterThan">
      <formula>$C32</formula>
    </cfRule>
    <cfRule type="cellIs" dxfId="28698" priority="654" operator="lessThan">
      <formula>$C32</formula>
    </cfRule>
  </conditionalFormatting>
  <conditionalFormatting sqref="C33">
    <cfRule type="expression" dxfId="28697" priority="651">
      <formula>AND($A33&lt;&gt;"",MOD(ROW(),2))</formula>
    </cfRule>
  </conditionalFormatting>
  <conditionalFormatting sqref="C33">
    <cfRule type="cellIs" dxfId="28696" priority="648" operator="equal">
      <formula>$C33</formula>
    </cfRule>
    <cfRule type="cellIs" dxfId="28695" priority="649" operator="greaterThan">
      <formula>$C33</formula>
    </cfRule>
    <cfRule type="cellIs" dxfId="28694" priority="650" operator="lessThan">
      <formula>$C33</formula>
    </cfRule>
  </conditionalFormatting>
  <conditionalFormatting sqref="C34">
    <cfRule type="expression" dxfId="28693" priority="647">
      <formula>AND($A34&lt;&gt;"",MOD(ROW(),2))</formula>
    </cfRule>
  </conditionalFormatting>
  <conditionalFormatting sqref="C34">
    <cfRule type="cellIs" dxfId="28692" priority="644" operator="equal">
      <formula>$C34</formula>
    </cfRule>
    <cfRule type="cellIs" dxfId="28691" priority="645" operator="greaterThan">
      <formula>$C34</formula>
    </cfRule>
    <cfRule type="cellIs" dxfId="28690" priority="646" operator="lessThan">
      <formula>$C34</formula>
    </cfRule>
  </conditionalFormatting>
  <conditionalFormatting sqref="C35">
    <cfRule type="expression" dxfId="28689" priority="643">
      <formula>AND($A35&lt;&gt;"",MOD(ROW(),2))</formula>
    </cfRule>
  </conditionalFormatting>
  <conditionalFormatting sqref="C35">
    <cfRule type="cellIs" dxfId="28688" priority="640" operator="equal">
      <formula>$C35</formula>
    </cfRule>
    <cfRule type="cellIs" dxfId="28687" priority="641" operator="greaterThan">
      <formula>$C35</formula>
    </cfRule>
    <cfRule type="cellIs" dxfId="28686" priority="642" operator="lessThan">
      <formula>$C35</formula>
    </cfRule>
  </conditionalFormatting>
  <conditionalFormatting sqref="C36">
    <cfRule type="expression" dxfId="28685" priority="639">
      <formula>AND($A36&lt;&gt;"",MOD(ROW(),2))</formula>
    </cfRule>
  </conditionalFormatting>
  <conditionalFormatting sqref="C36">
    <cfRule type="cellIs" dxfId="28684" priority="636" operator="equal">
      <formula>$C36</formula>
    </cfRule>
    <cfRule type="cellIs" dxfId="28683" priority="637" operator="greaterThan">
      <formula>$C36</formula>
    </cfRule>
    <cfRule type="cellIs" dxfId="28682" priority="638" operator="lessThan">
      <formula>$C36</formula>
    </cfRule>
  </conditionalFormatting>
  <conditionalFormatting sqref="C37">
    <cfRule type="expression" dxfId="28681" priority="635">
      <formula>AND($A37&lt;&gt;"",MOD(ROW(),2))</formula>
    </cfRule>
  </conditionalFormatting>
  <conditionalFormatting sqref="C37">
    <cfRule type="cellIs" dxfId="28680" priority="632" operator="equal">
      <formula>$C37</formula>
    </cfRule>
    <cfRule type="cellIs" dxfId="28679" priority="633" operator="greaterThan">
      <formula>$C37</formula>
    </cfRule>
    <cfRule type="cellIs" dxfId="28678" priority="634" operator="lessThan">
      <formula>$C37</formula>
    </cfRule>
  </conditionalFormatting>
  <conditionalFormatting sqref="C38">
    <cfRule type="expression" dxfId="28677" priority="631">
      <formula>AND($A38&lt;&gt;"",MOD(ROW(),2))</formula>
    </cfRule>
  </conditionalFormatting>
  <conditionalFormatting sqref="C38">
    <cfRule type="cellIs" dxfId="28676" priority="628" operator="equal">
      <formula>$C38</formula>
    </cfRule>
    <cfRule type="cellIs" dxfId="28675" priority="629" operator="greaterThan">
      <formula>$C38</formula>
    </cfRule>
    <cfRule type="cellIs" dxfId="28674" priority="630" operator="lessThan">
      <formula>$C38</formula>
    </cfRule>
  </conditionalFormatting>
  <conditionalFormatting sqref="C39">
    <cfRule type="expression" dxfId="28673" priority="627">
      <formula>AND($A39&lt;&gt;"",MOD(ROW(),2))</formula>
    </cfRule>
  </conditionalFormatting>
  <conditionalFormatting sqref="C39">
    <cfRule type="cellIs" dxfId="28672" priority="624" operator="equal">
      <formula>$C39</formula>
    </cfRule>
    <cfRule type="cellIs" dxfId="28671" priority="625" operator="greaterThan">
      <formula>$C39</formula>
    </cfRule>
    <cfRule type="cellIs" dxfId="28670" priority="626" operator="lessThan">
      <formula>$C39</formula>
    </cfRule>
  </conditionalFormatting>
  <conditionalFormatting sqref="C40">
    <cfRule type="expression" dxfId="28669" priority="623">
      <formula>AND($A40&lt;&gt;"",MOD(ROW(),2))</formula>
    </cfRule>
  </conditionalFormatting>
  <conditionalFormatting sqref="C40">
    <cfRule type="cellIs" dxfId="28668" priority="620" operator="equal">
      <formula>$C40</formula>
    </cfRule>
    <cfRule type="cellIs" dxfId="28667" priority="621" operator="greaterThan">
      <formula>$C40</formula>
    </cfRule>
    <cfRule type="cellIs" dxfId="28666" priority="622" operator="lessThan">
      <formula>$C40</formula>
    </cfRule>
  </conditionalFormatting>
  <conditionalFormatting sqref="D29:E29">
    <cfRule type="expression" dxfId="28665" priority="619">
      <formula>AND($A29&lt;&gt;"",MOD(ROW(),2))</formula>
    </cfRule>
  </conditionalFormatting>
  <conditionalFormatting sqref="D29">
    <cfRule type="cellIs" dxfId="28664" priority="616" operator="equal">
      <formula>$C29</formula>
    </cfRule>
    <cfRule type="cellIs" dxfId="28663" priority="617" operator="greaterThan">
      <formula>$C29</formula>
    </cfRule>
    <cfRule type="cellIs" dxfId="28662" priority="618" operator="lessThan">
      <formula>$C29</formula>
    </cfRule>
  </conditionalFormatting>
  <conditionalFormatting sqref="D30:E30">
    <cfRule type="expression" dxfId="28661" priority="615">
      <formula>AND($A30&lt;&gt;"",MOD(ROW(),2))</formula>
    </cfRule>
  </conditionalFormatting>
  <conditionalFormatting sqref="D30">
    <cfRule type="cellIs" dxfId="28660" priority="612" operator="equal">
      <formula>$C30</formula>
    </cfRule>
    <cfRule type="cellIs" dxfId="28659" priority="613" operator="greaterThan">
      <formula>$C30</formula>
    </cfRule>
    <cfRule type="cellIs" dxfId="28658" priority="614" operator="lessThan">
      <formula>$C30</formula>
    </cfRule>
  </conditionalFormatting>
  <conditionalFormatting sqref="D31:E31">
    <cfRule type="expression" dxfId="28657" priority="611">
      <formula>AND($A31&lt;&gt;"",MOD(ROW(),2))</formula>
    </cfRule>
  </conditionalFormatting>
  <conditionalFormatting sqref="D31">
    <cfRule type="cellIs" dxfId="28656" priority="608" operator="equal">
      <formula>$C31</formula>
    </cfRule>
    <cfRule type="cellIs" dxfId="28655" priority="609" operator="greaterThan">
      <formula>$C31</formula>
    </cfRule>
    <cfRule type="cellIs" dxfId="28654" priority="610" operator="lessThan">
      <formula>$C31</formula>
    </cfRule>
  </conditionalFormatting>
  <conditionalFormatting sqref="D32:E32">
    <cfRule type="expression" dxfId="28653" priority="607">
      <formula>AND($A32&lt;&gt;"",MOD(ROW(),2))</formula>
    </cfRule>
  </conditionalFormatting>
  <conditionalFormatting sqref="D32">
    <cfRule type="cellIs" dxfId="28652" priority="604" operator="equal">
      <formula>$C32</formula>
    </cfRule>
    <cfRule type="cellIs" dxfId="28651" priority="605" operator="greaterThan">
      <formula>$C32</formula>
    </cfRule>
    <cfRule type="cellIs" dxfId="28650" priority="606" operator="lessThan">
      <formula>$C32</formula>
    </cfRule>
  </conditionalFormatting>
  <conditionalFormatting sqref="D33:E33">
    <cfRule type="expression" dxfId="28649" priority="603">
      <formula>AND($A33&lt;&gt;"",MOD(ROW(),2))</formula>
    </cfRule>
  </conditionalFormatting>
  <conditionalFormatting sqref="D33">
    <cfRule type="cellIs" dxfId="28648" priority="600" operator="equal">
      <formula>$C33</formula>
    </cfRule>
    <cfRule type="cellIs" dxfId="28647" priority="601" operator="greaterThan">
      <formula>$C33</formula>
    </cfRule>
    <cfRule type="cellIs" dxfId="28646" priority="602" operator="lessThan">
      <formula>$C33</formula>
    </cfRule>
  </conditionalFormatting>
  <conditionalFormatting sqref="D34:E34">
    <cfRule type="expression" dxfId="28645" priority="599">
      <formula>AND($A34&lt;&gt;"",MOD(ROW(),2))</formula>
    </cfRule>
  </conditionalFormatting>
  <conditionalFormatting sqref="D34">
    <cfRule type="cellIs" dxfId="28644" priority="596" operator="equal">
      <formula>$C34</formula>
    </cfRule>
    <cfRule type="cellIs" dxfId="28643" priority="597" operator="greaterThan">
      <formula>$C34</formula>
    </cfRule>
    <cfRule type="cellIs" dxfId="28642" priority="598" operator="lessThan">
      <formula>$C34</formula>
    </cfRule>
  </conditionalFormatting>
  <conditionalFormatting sqref="D35:E35">
    <cfRule type="expression" dxfId="28641" priority="595">
      <formula>AND($A35&lt;&gt;"",MOD(ROW(),2))</formula>
    </cfRule>
  </conditionalFormatting>
  <conditionalFormatting sqref="D35">
    <cfRule type="cellIs" dxfId="28640" priority="592" operator="equal">
      <formula>$C35</formula>
    </cfRule>
    <cfRule type="cellIs" dxfId="28639" priority="593" operator="greaterThan">
      <formula>$C35</formula>
    </cfRule>
    <cfRule type="cellIs" dxfId="28638" priority="594" operator="lessThan">
      <formula>$C35</formula>
    </cfRule>
  </conditionalFormatting>
  <conditionalFormatting sqref="D36:E36">
    <cfRule type="expression" dxfId="28637" priority="591">
      <formula>AND($A36&lt;&gt;"",MOD(ROW(),2))</formula>
    </cfRule>
  </conditionalFormatting>
  <conditionalFormatting sqref="D36">
    <cfRule type="cellIs" dxfId="28636" priority="588" operator="equal">
      <formula>$C36</formula>
    </cfRule>
    <cfRule type="cellIs" dxfId="28635" priority="589" operator="greaterThan">
      <formula>$C36</formula>
    </cfRule>
    <cfRule type="cellIs" dxfId="28634" priority="590" operator="lessThan">
      <formula>$C36</formula>
    </cfRule>
  </conditionalFormatting>
  <conditionalFormatting sqref="D37:E37">
    <cfRule type="expression" dxfId="28633" priority="587">
      <formula>AND($A37&lt;&gt;"",MOD(ROW(),2))</formula>
    </cfRule>
  </conditionalFormatting>
  <conditionalFormatting sqref="D37">
    <cfRule type="cellIs" dxfId="28632" priority="584" operator="equal">
      <formula>$C37</formula>
    </cfRule>
    <cfRule type="cellIs" dxfId="28631" priority="585" operator="greaterThan">
      <formula>$C37</formula>
    </cfRule>
    <cfRule type="cellIs" dxfId="28630" priority="586" operator="lessThan">
      <formula>$C37</formula>
    </cfRule>
  </conditionalFormatting>
  <conditionalFormatting sqref="D38:E38">
    <cfRule type="expression" dxfId="28629" priority="583">
      <formula>AND($A38&lt;&gt;"",MOD(ROW(),2))</formula>
    </cfRule>
  </conditionalFormatting>
  <conditionalFormatting sqref="D38">
    <cfRule type="cellIs" dxfId="28628" priority="580" operator="equal">
      <formula>$C38</formula>
    </cfRule>
    <cfRule type="cellIs" dxfId="28627" priority="581" operator="greaterThan">
      <formula>$C38</formula>
    </cfRule>
    <cfRule type="cellIs" dxfId="28626" priority="582" operator="lessThan">
      <formula>$C38</formula>
    </cfRule>
  </conditionalFormatting>
  <conditionalFormatting sqref="D39:E39">
    <cfRule type="expression" dxfId="28625" priority="579">
      <formula>AND($A39&lt;&gt;"",MOD(ROW(),2))</formula>
    </cfRule>
  </conditionalFormatting>
  <conditionalFormatting sqref="D39">
    <cfRule type="cellIs" dxfId="28624" priority="576" operator="equal">
      <formula>$C39</formula>
    </cfRule>
    <cfRule type="cellIs" dxfId="28623" priority="577" operator="greaterThan">
      <formula>$C39</formula>
    </cfRule>
    <cfRule type="cellIs" dxfId="28622" priority="578" operator="lessThan">
      <formula>$C39</formula>
    </cfRule>
  </conditionalFormatting>
  <conditionalFormatting sqref="D40:E40">
    <cfRule type="expression" dxfId="28621" priority="575">
      <formula>AND($A40&lt;&gt;"",MOD(ROW(),2))</formula>
    </cfRule>
  </conditionalFormatting>
  <conditionalFormatting sqref="D40">
    <cfRule type="cellIs" dxfId="28620" priority="572" operator="equal">
      <formula>$C40</formula>
    </cfRule>
    <cfRule type="cellIs" dxfId="28619" priority="573" operator="greaterThan">
      <formula>$C40</formula>
    </cfRule>
    <cfRule type="cellIs" dxfId="28618" priority="574" operator="lessThan">
      <formula>$C40</formula>
    </cfRule>
  </conditionalFormatting>
  <conditionalFormatting sqref="D41:E41">
    <cfRule type="expression" dxfId="28617" priority="571">
      <formula>AND($A41&lt;&gt;"",MOD(ROW(),2))</formula>
    </cfRule>
  </conditionalFormatting>
  <conditionalFormatting sqref="D41">
    <cfRule type="cellIs" dxfId="28616" priority="568" operator="equal">
      <formula>$C41</formula>
    </cfRule>
    <cfRule type="cellIs" dxfId="28615" priority="569" operator="greaterThan">
      <formula>$C41</formula>
    </cfRule>
    <cfRule type="cellIs" dxfId="28614" priority="570" operator="lessThan">
      <formula>$C41</formula>
    </cfRule>
  </conditionalFormatting>
  <conditionalFormatting sqref="D42:E42">
    <cfRule type="expression" dxfId="28613" priority="567">
      <formula>AND($A42&lt;&gt;"",MOD(ROW(),2))</formula>
    </cfRule>
  </conditionalFormatting>
  <conditionalFormatting sqref="D42">
    <cfRule type="cellIs" dxfId="28612" priority="564" operator="equal">
      <formula>$C42</formula>
    </cfRule>
    <cfRule type="cellIs" dxfId="28611" priority="565" operator="greaterThan">
      <formula>$C42</formula>
    </cfRule>
    <cfRule type="cellIs" dxfId="28610" priority="566" operator="lessThan">
      <formula>$C42</formula>
    </cfRule>
  </conditionalFormatting>
  <conditionalFormatting sqref="D43:E43">
    <cfRule type="expression" dxfId="28609" priority="563">
      <formula>AND($A43&lt;&gt;"",MOD(ROW(),2))</formula>
    </cfRule>
  </conditionalFormatting>
  <conditionalFormatting sqref="D43">
    <cfRule type="cellIs" dxfId="28608" priority="560" operator="equal">
      <formula>$C43</formula>
    </cfRule>
    <cfRule type="cellIs" dxfId="28607" priority="561" operator="greaterThan">
      <formula>$C43</formula>
    </cfRule>
    <cfRule type="cellIs" dxfId="28606" priority="562" operator="lessThan">
      <formula>$C43</formula>
    </cfRule>
  </conditionalFormatting>
  <conditionalFormatting sqref="D44:E44">
    <cfRule type="expression" dxfId="28605" priority="559">
      <formula>AND($A44&lt;&gt;"",MOD(ROW(),2))</formula>
    </cfRule>
  </conditionalFormatting>
  <conditionalFormatting sqref="D44">
    <cfRule type="cellIs" dxfId="28604" priority="556" operator="equal">
      <formula>$C44</formula>
    </cfRule>
    <cfRule type="cellIs" dxfId="28603" priority="557" operator="greaterThan">
      <formula>$C44</formula>
    </cfRule>
    <cfRule type="cellIs" dxfId="28602" priority="558" operator="lessThan">
      <formula>$C44</formula>
    </cfRule>
  </conditionalFormatting>
  <conditionalFormatting sqref="D45:E45">
    <cfRule type="expression" dxfId="28601" priority="555">
      <formula>AND($A45&lt;&gt;"",MOD(ROW(),2))</formula>
    </cfRule>
  </conditionalFormatting>
  <conditionalFormatting sqref="D45">
    <cfRule type="cellIs" dxfId="28600" priority="552" operator="equal">
      <formula>$C45</formula>
    </cfRule>
    <cfRule type="cellIs" dxfId="28599" priority="553" operator="greaterThan">
      <formula>$C45</formula>
    </cfRule>
    <cfRule type="cellIs" dxfId="28598" priority="554" operator="lessThan">
      <formula>$C45</formula>
    </cfRule>
  </conditionalFormatting>
  <conditionalFormatting sqref="D46:E46">
    <cfRule type="expression" dxfId="28597" priority="551">
      <formula>AND($A46&lt;&gt;"",MOD(ROW(),2))</formula>
    </cfRule>
  </conditionalFormatting>
  <conditionalFormatting sqref="D46">
    <cfRule type="cellIs" dxfId="28596" priority="548" operator="equal">
      <formula>$C46</formula>
    </cfRule>
    <cfRule type="cellIs" dxfId="28595" priority="549" operator="greaterThan">
      <formula>$C46</formula>
    </cfRule>
    <cfRule type="cellIs" dxfId="28594" priority="550" operator="lessThan">
      <formula>$C46</formula>
    </cfRule>
  </conditionalFormatting>
  <conditionalFormatting sqref="D47:E47">
    <cfRule type="expression" dxfId="28593" priority="547">
      <formula>AND($A47&lt;&gt;"",MOD(ROW(),2))</formula>
    </cfRule>
  </conditionalFormatting>
  <conditionalFormatting sqref="D47">
    <cfRule type="cellIs" dxfId="28592" priority="544" operator="equal">
      <formula>$C47</formula>
    </cfRule>
    <cfRule type="cellIs" dxfId="28591" priority="545" operator="greaterThan">
      <formula>$C47</formula>
    </cfRule>
    <cfRule type="cellIs" dxfId="28590" priority="546" operator="lessThan">
      <formula>$C47</formula>
    </cfRule>
  </conditionalFormatting>
  <conditionalFormatting sqref="D48:E48">
    <cfRule type="expression" dxfId="28589" priority="543">
      <formula>AND($A48&lt;&gt;"",MOD(ROW(),2))</formula>
    </cfRule>
  </conditionalFormatting>
  <conditionalFormatting sqref="D48">
    <cfRule type="cellIs" dxfId="28588" priority="540" operator="equal">
      <formula>$C48</formula>
    </cfRule>
    <cfRule type="cellIs" dxfId="28587" priority="541" operator="greaterThan">
      <formula>$C48</formula>
    </cfRule>
    <cfRule type="cellIs" dxfId="28586" priority="542" operator="lessThan">
      <formula>$C48</formula>
    </cfRule>
  </conditionalFormatting>
  <conditionalFormatting sqref="D49:E49">
    <cfRule type="expression" dxfId="28585" priority="539">
      <formula>AND($A49&lt;&gt;"",MOD(ROW(),2))</formula>
    </cfRule>
  </conditionalFormatting>
  <conditionalFormatting sqref="D49">
    <cfRule type="cellIs" dxfId="28584" priority="536" operator="equal">
      <formula>$C49</formula>
    </cfRule>
    <cfRule type="cellIs" dxfId="28583" priority="537" operator="greaterThan">
      <formula>$C49</formula>
    </cfRule>
    <cfRule type="cellIs" dxfId="28582" priority="538" operator="lessThan">
      <formula>$C49</formula>
    </cfRule>
  </conditionalFormatting>
  <conditionalFormatting sqref="D50:E50">
    <cfRule type="expression" dxfId="28581" priority="535">
      <formula>AND($A50&lt;&gt;"",MOD(ROW(),2))</formula>
    </cfRule>
  </conditionalFormatting>
  <conditionalFormatting sqref="D50">
    <cfRule type="cellIs" dxfId="28580" priority="532" operator="equal">
      <formula>$C50</formula>
    </cfRule>
    <cfRule type="cellIs" dxfId="28579" priority="533" operator="greaterThan">
      <formula>$C50</formula>
    </cfRule>
    <cfRule type="cellIs" dxfId="28578" priority="534" operator="lessThan">
      <formula>$C50</formula>
    </cfRule>
  </conditionalFormatting>
  <conditionalFormatting sqref="D51:E51">
    <cfRule type="expression" dxfId="28577" priority="531">
      <formula>AND($A51&lt;&gt;"",MOD(ROW(),2))</formula>
    </cfRule>
  </conditionalFormatting>
  <conditionalFormatting sqref="D51">
    <cfRule type="cellIs" dxfId="28576" priority="528" operator="equal">
      <formula>$C51</formula>
    </cfRule>
    <cfRule type="cellIs" dxfId="28575" priority="529" operator="greaterThan">
      <formula>$C51</formula>
    </cfRule>
    <cfRule type="cellIs" dxfId="28574" priority="530" operator="lessThan">
      <formula>$C51</formula>
    </cfRule>
  </conditionalFormatting>
  <conditionalFormatting sqref="C30">
    <cfRule type="expression" dxfId="28573" priority="527">
      <formula>AND($A30&lt;&gt;"",MOD(ROW(),2))</formula>
    </cfRule>
  </conditionalFormatting>
  <conditionalFormatting sqref="C30">
    <cfRule type="cellIs" dxfId="28572" priority="524" operator="equal">
      <formula>$C30</formula>
    </cfRule>
    <cfRule type="cellIs" dxfId="28571" priority="525" operator="greaterThan">
      <formula>$C30</formula>
    </cfRule>
    <cfRule type="cellIs" dxfId="28570" priority="526" operator="lessThan">
      <formula>$C30</formula>
    </cfRule>
  </conditionalFormatting>
  <conditionalFormatting sqref="C31">
    <cfRule type="expression" dxfId="28569" priority="523">
      <formula>AND($A31&lt;&gt;"",MOD(ROW(),2))</formula>
    </cfRule>
  </conditionalFormatting>
  <conditionalFormatting sqref="C31">
    <cfRule type="cellIs" dxfId="28568" priority="520" operator="equal">
      <formula>$C31</formula>
    </cfRule>
    <cfRule type="cellIs" dxfId="28567" priority="521" operator="greaterThan">
      <formula>$C31</formula>
    </cfRule>
    <cfRule type="cellIs" dxfId="28566" priority="522" operator="lessThan">
      <formula>$C31</formula>
    </cfRule>
  </conditionalFormatting>
  <conditionalFormatting sqref="C32">
    <cfRule type="expression" dxfId="28565" priority="519">
      <formula>AND($A32&lt;&gt;"",MOD(ROW(),2))</formula>
    </cfRule>
  </conditionalFormatting>
  <conditionalFormatting sqref="C32">
    <cfRule type="cellIs" dxfId="28564" priority="516" operator="equal">
      <formula>$C32</formula>
    </cfRule>
    <cfRule type="cellIs" dxfId="28563" priority="517" operator="greaterThan">
      <formula>$C32</formula>
    </cfRule>
    <cfRule type="cellIs" dxfId="28562" priority="518" operator="lessThan">
      <formula>$C32</formula>
    </cfRule>
  </conditionalFormatting>
  <conditionalFormatting sqref="C33">
    <cfRule type="expression" dxfId="28561" priority="515">
      <formula>AND($A33&lt;&gt;"",MOD(ROW(),2))</formula>
    </cfRule>
  </conditionalFormatting>
  <conditionalFormatting sqref="C33">
    <cfRule type="cellIs" dxfId="28560" priority="512" operator="equal">
      <formula>$C33</formula>
    </cfRule>
    <cfRule type="cellIs" dxfId="28559" priority="513" operator="greaterThan">
      <formula>$C33</formula>
    </cfRule>
    <cfRule type="cellIs" dxfId="28558" priority="514" operator="lessThan">
      <formula>$C33</formula>
    </cfRule>
  </conditionalFormatting>
  <conditionalFormatting sqref="C34">
    <cfRule type="expression" dxfId="28557" priority="511">
      <formula>AND($A34&lt;&gt;"",MOD(ROW(),2))</formula>
    </cfRule>
  </conditionalFormatting>
  <conditionalFormatting sqref="C34">
    <cfRule type="cellIs" dxfId="28556" priority="508" operator="equal">
      <formula>$C34</formula>
    </cfRule>
    <cfRule type="cellIs" dxfId="28555" priority="509" operator="greaterThan">
      <formula>$C34</formula>
    </cfRule>
    <cfRule type="cellIs" dxfId="28554" priority="510" operator="lessThan">
      <formula>$C34</formula>
    </cfRule>
  </conditionalFormatting>
  <conditionalFormatting sqref="C35">
    <cfRule type="expression" dxfId="28553" priority="507">
      <formula>AND($A35&lt;&gt;"",MOD(ROW(),2))</formula>
    </cfRule>
  </conditionalFormatting>
  <conditionalFormatting sqref="C35">
    <cfRule type="cellIs" dxfId="28552" priority="504" operator="equal">
      <formula>$C35</formula>
    </cfRule>
    <cfRule type="cellIs" dxfId="28551" priority="505" operator="greaterThan">
      <formula>$C35</formula>
    </cfRule>
    <cfRule type="cellIs" dxfId="28550" priority="506" operator="lessThan">
      <formula>$C35</formula>
    </cfRule>
  </conditionalFormatting>
  <conditionalFormatting sqref="C36">
    <cfRule type="expression" dxfId="28549" priority="503">
      <formula>AND($A36&lt;&gt;"",MOD(ROW(),2))</formula>
    </cfRule>
  </conditionalFormatting>
  <conditionalFormatting sqref="C36">
    <cfRule type="cellIs" dxfId="28548" priority="500" operator="equal">
      <formula>$C36</formula>
    </cfRule>
    <cfRule type="cellIs" dxfId="28547" priority="501" operator="greaterThan">
      <formula>$C36</formula>
    </cfRule>
    <cfRule type="cellIs" dxfId="28546" priority="502" operator="lessThan">
      <formula>$C36</formula>
    </cfRule>
  </conditionalFormatting>
  <conditionalFormatting sqref="C37">
    <cfRule type="expression" dxfId="28545" priority="499">
      <formula>AND($A37&lt;&gt;"",MOD(ROW(),2))</formula>
    </cfRule>
  </conditionalFormatting>
  <conditionalFormatting sqref="C37">
    <cfRule type="cellIs" dxfId="28544" priority="496" operator="equal">
      <formula>$C37</formula>
    </cfRule>
    <cfRule type="cellIs" dxfId="28543" priority="497" operator="greaterThan">
      <formula>$C37</formula>
    </cfRule>
    <cfRule type="cellIs" dxfId="28542" priority="498" operator="lessThan">
      <formula>$C37</formula>
    </cfRule>
  </conditionalFormatting>
  <conditionalFormatting sqref="C38">
    <cfRule type="expression" dxfId="28541" priority="495">
      <formula>AND($A38&lt;&gt;"",MOD(ROW(),2))</formula>
    </cfRule>
  </conditionalFormatting>
  <conditionalFormatting sqref="C38">
    <cfRule type="cellIs" dxfId="28540" priority="492" operator="equal">
      <formula>$C38</formula>
    </cfRule>
    <cfRule type="cellIs" dxfId="28539" priority="493" operator="greaterThan">
      <formula>$C38</formula>
    </cfRule>
    <cfRule type="cellIs" dxfId="28538" priority="494" operator="lessThan">
      <formula>$C38</formula>
    </cfRule>
  </conditionalFormatting>
  <conditionalFormatting sqref="C39">
    <cfRule type="expression" dxfId="28537" priority="491">
      <formula>AND($A39&lt;&gt;"",MOD(ROW(),2))</formula>
    </cfRule>
  </conditionalFormatting>
  <conditionalFormatting sqref="C39">
    <cfRule type="cellIs" dxfId="28536" priority="488" operator="equal">
      <formula>$C39</formula>
    </cfRule>
    <cfRule type="cellIs" dxfId="28535" priority="489" operator="greaterThan">
      <formula>$C39</formula>
    </cfRule>
    <cfRule type="cellIs" dxfId="28534" priority="490" operator="lessThan">
      <formula>$C39</formula>
    </cfRule>
  </conditionalFormatting>
  <conditionalFormatting sqref="C40">
    <cfRule type="expression" dxfId="28533" priority="487">
      <formula>AND($A40&lt;&gt;"",MOD(ROW(),2))</formula>
    </cfRule>
  </conditionalFormatting>
  <conditionalFormatting sqref="C40">
    <cfRule type="cellIs" dxfId="28532" priority="484" operator="equal">
      <formula>$C40</formula>
    </cfRule>
    <cfRule type="cellIs" dxfId="28531" priority="485" operator="greaterThan">
      <formula>$C40</formula>
    </cfRule>
    <cfRule type="cellIs" dxfId="28530" priority="486" operator="lessThan">
      <formula>$C40</formula>
    </cfRule>
  </conditionalFormatting>
  <conditionalFormatting sqref="C41">
    <cfRule type="expression" dxfId="28529" priority="483">
      <formula>AND($A41&lt;&gt;"",MOD(ROW(),2))</formula>
    </cfRule>
  </conditionalFormatting>
  <conditionalFormatting sqref="C41">
    <cfRule type="cellIs" dxfId="28528" priority="480" operator="equal">
      <formula>$C41</formula>
    </cfRule>
    <cfRule type="cellIs" dxfId="28527" priority="481" operator="greaterThan">
      <formula>$C41</formula>
    </cfRule>
    <cfRule type="cellIs" dxfId="28526" priority="482" operator="lessThan">
      <formula>$C41</formula>
    </cfRule>
  </conditionalFormatting>
  <conditionalFormatting sqref="D30:E30">
    <cfRule type="expression" dxfId="28525" priority="479">
      <formula>AND($A30&lt;&gt;"",MOD(ROW(),2))</formula>
    </cfRule>
  </conditionalFormatting>
  <conditionalFormatting sqref="D30">
    <cfRule type="cellIs" dxfId="28524" priority="476" operator="equal">
      <formula>$C30</formula>
    </cfRule>
    <cfRule type="cellIs" dxfId="28523" priority="477" operator="greaterThan">
      <formula>$C30</formula>
    </cfRule>
    <cfRule type="cellIs" dxfId="28522" priority="478" operator="lessThan">
      <formula>$C30</formula>
    </cfRule>
  </conditionalFormatting>
  <conditionalFormatting sqref="D31:E31">
    <cfRule type="expression" dxfId="28521" priority="475">
      <formula>AND($A31&lt;&gt;"",MOD(ROW(),2))</formula>
    </cfRule>
  </conditionalFormatting>
  <conditionalFormatting sqref="D31">
    <cfRule type="cellIs" dxfId="28520" priority="472" operator="equal">
      <formula>$C31</formula>
    </cfRule>
    <cfRule type="cellIs" dxfId="28519" priority="473" operator="greaterThan">
      <formula>$C31</formula>
    </cfRule>
    <cfRule type="cellIs" dxfId="28518" priority="474" operator="lessThan">
      <formula>$C31</formula>
    </cfRule>
  </conditionalFormatting>
  <conditionalFormatting sqref="D32:E32">
    <cfRule type="expression" dxfId="28517" priority="471">
      <formula>AND($A32&lt;&gt;"",MOD(ROW(),2))</formula>
    </cfRule>
  </conditionalFormatting>
  <conditionalFormatting sqref="D32">
    <cfRule type="cellIs" dxfId="28516" priority="468" operator="equal">
      <formula>$C32</formula>
    </cfRule>
    <cfRule type="cellIs" dxfId="28515" priority="469" operator="greaterThan">
      <formula>$C32</formula>
    </cfRule>
    <cfRule type="cellIs" dxfId="28514" priority="470" operator="lessThan">
      <formula>$C32</formula>
    </cfRule>
  </conditionalFormatting>
  <conditionalFormatting sqref="D33:E33">
    <cfRule type="expression" dxfId="28513" priority="467">
      <formula>AND($A33&lt;&gt;"",MOD(ROW(),2))</formula>
    </cfRule>
  </conditionalFormatting>
  <conditionalFormatting sqref="D33">
    <cfRule type="cellIs" dxfId="28512" priority="464" operator="equal">
      <formula>$C33</formula>
    </cfRule>
    <cfRule type="cellIs" dxfId="28511" priority="465" operator="greaterThan">
      <formula>$C33</formula>
    </cfRule>
    <cfRule type="cellIs" dxfId="28510" priority="466" operator="lessThan">
      <formula>$C33</formula>
    </cfRule>
  </conditionalFormatting>
  <conditionalFormatting sqref="D34:E34">
    <cfRule type="expression" dxfId="28509" priority="463">
      <formula>AND($A34&lt;&gt;"",MOD(ROW(),2))</formula>
    </cfRule>
  </conditionalFormatting>
  <conditionalFormatting sqref="D34">
    <cfRule type="cellIs" dxfId="28508" priority="460" operator="equal">
      <formula>$C34</formula>
    </cfRule>
    <cfRule type="cellIs" dxfId="28507" priority="461" operator="greaterThan">
      <formula>$C34</formula>
    </cfRule>
    <cfRule type="cellIs" dxfId="28506" priority="462" operator="lessThan">
      <formula>$C34</formula>
    </cfRule>
  </conditionalFormatting>
  <conditionalFormatting sqref="D35:E35">
    <cfRule type="expression" dxfId="28505" priority="459">
      <formula>AND($A35&lt;&gt;"",MOD(ROW(),2))</formula>
    </cfRule>
  </conditionalFormatting>
  <conditionalFormatting sqref="D35">
    <cfRule type="cellIs" dxfId="28504" priority="456" operator="equal">
      <formula>$C35</formula>
    </cfRule>
    <cfRule type="cellIs" dxfId="28503" priority="457" operator="greaterThan">
      <formula>$C35</formula>
    </cfRule>
    <cfRule type="cellIs" dxfId="28502" priority="458" operator="lessThan">
      <formula>$C35</formula>
    </cfRule>
  </conditionalFormatting>
  <conditionalFormatting sqref="D36:E36">
    <cfRule type="expression" dxfId="28501" priority="455">
      <formula>AND($A36&lt;&gt;"",MOD(ROW(),2))</formula>
    </cfRule>
  </conditionalFormatting>
  <conditionalFormatting sqref="D36">
    <cfRule type="cellIs" dxfId="28500" priority="452" operator="equal">
      <formula>$C36</formula>
    </cfRule>
    <cfRule type="cellIs" dxfId="28499" priority="453" operator="greaterThan">
      <formula>$C36</formula>
    </cfRule>
    <cfRule type="cellIs" dxfId="28498" priority="454" operator="lessThan">
      <formula>$C36</formula>
    </cfRule>
  </conditionalFormatting>
  <conditionalFormatting sqref="D37:E37">
    <cfRule type="expression" dxfId="28497" priority="451">
      <formula>AND($A37&lt;&gt;"",MOD(ROW(),2))</formula>
    </cfRule>
  </conditionalFormatting>
  <conditionalFormatting sqref="D37">
    <cfRule type="cellIs" dxfId="28496" priority="448" operator="equal">
      <formula>$C37</formula>
    </cfRule>
    <cfRule type="cellIs" dxfId="28495" priority="449" operator="greaterThan">
      <formula>$C37</formula>
    </cfRule>
    <cfRule type="cellIs" dxfId="28494" priority="450" operator="lessThan">
      <formula>$C37</formula>
    </cfRule>
  </conditionalFormatting>
  <conditionalFormatting sqref="D38:E38">
    <cfRule type="expression" dxfId="28493" priority="447">
      <formula>AND($A38&lt;&gt;"",MOD(ROW(),2))</formula>
    </cfRule>
  </conditionalFormatting>
  <conditionalFormatting sqref="D38">
    <cfRule type="cellIs" dxfId="28492" priority="444" operator="equal">
      <formula>$C38</formula>
    </cfRule>
    <cfRule type="cellIs" dxfId="28491" priority="445" operator="greaterThan">
      <formula>$C38</formula>
    </cfRule>
    <cfRule type="cellIs" dxfId="28490" priority="446" operator="lessThan">
      <formula>$C38</formula>
    </cfRule>
  </conditionalFormatting>
  <conditionalFormatting sqref="D39:E39">
    <cfRule type="expression" dxfId="28489" priority="443">
      <formula>AND($A39&lt;&gt;"",MOD(ROW(),2))</formula>
    </cfRule>
  </conditionalFormatting>
  <conditionalFormatting sqref="D39">
    <cfRule type="cellIs" dxfId="28488" priority="440" operator="equal">
      <formula>$C39</formula>
    </cfRule>
    <cfRule type="cellIs" dxfId="28487" priority="441" operator="greaterThan">
      <formula>$C39</formula>
    </cfRule>
    <cfRule type="cellIs" dxfId="28486" priority="442" operator="lessThan">
      <formula>$C39</formula>
    </cfRule>
  </conditionalFormatting>
  <conditionalFormatting sqref="D40:E40">
    <cfRule type="expression" dxfId="28485" priority="439">
      <formula>AND($A40&lt;&gt;"",MOD(ROW(),2))</formula>
    </cfRule>
  </conditionalFormatting>
  <conditionalFormatting sqref="D40">
    <cfRule type="cellIs" dxfId="28484" priority="436" operator="equal">
      <formula>$C40</formula>
    </cfRule>
    <cfRule type="cellIs" dxfId="28483" priority="437" operator="greaterThan">
      <formula>$C40</formula>
    </cfRule>
    <cfRule type="cellIs" dxfId="28482" priority="438" operator="lessThan">
      <formula>$C40</formula>
    </cfRule>
  </conditionalFormatting>
  <conditionalFormatting sqref="D41:E41">
    <cfRule type="expression" dxfId="28481" priority="435">
      <formula>AND($A41&lt;&gt;"",MOD(ROW(),2))</formula>
    </cfRule>
  </conditionalFormatting>
  <conditionalFormatting sqref="D41">
    <cfRule type="cellIs" dxfId="28480" priority="432" operator="equal">
      <formula>$C41</formula>
    </cfRule>
    <cfRule type="cellIs" dxfId="28479" priority="433" operator="greaterThan">
      <formula>$C41</formula>
    </cfRule>
    <cfRule type="cellIs" dxfId="28478" priority="434" operator="lessThan">
      <formula>$C41</formula>
    </cfRule>
  </conditionalFormatting>
  <conditionalFormatting sqref="D42:E42">
    <cfRule type="expression" dxfId="28477" priority="431">
      <formula>AND($A42&lt;&gt;"",MOD(ROW(),2))</formula>
    </cfRule>
  </conditionalFormatting>
  <conditionalFormatting sqref="D42">
    <cfRule type="cellIs" dxfId="28476" priority="428" operator="equal">
      <formula>$C42</formula>
    </cfRule>
    <cfRule type="cellIs" dxfId="28475" priority="429" operator="greaterThan">
      <formula>$C42</formula>
    </cfRule>
    <cfRule type="cellIs" dxfId="28474" priority="430" operator="lessThan">
      <formula>$C42</formula>
    </cfRule>
  </conditionalFormatting>
  <conditionalFormatting sqref="D43:E43">
    <cfRule type="expression" dxfId="28473" priority="427">
      <formula>AND($A43&lt;&gt;"",MOD(ROW(),2))</formula>
    </cfRule>
  </conditionalFormatting>
  <conditionalFormatting sqref="D43">
    <cfRule type="cellIs" dxfId="28472" priority="424" operator="equal">
      <formula>$C43</formula>
    </cfRule>
    <cfRule type="cellIs" dxfId="28471" priority="425" operator="greaterThan">
      <formula>$C43</formula>
    </cfRule>
    <cfRule type="cellIs" dxfId="28470" priority="426" operator="lessThan">
      <formula>$C43</formula>
    </cfRule>
  </conditionalFormatting>
  <conditionalFormatting sqref="D44:E44">
    <cfRule type="expression" dxfId="28469" priority="423">
      <formula>AND($A44&lt;&gt;"",MOD(ROW(),2))</formula>
    </cfRule>
  </conditionalFormatting>
  <conditionalFormatting sqref="D44">
    <cfRule type="cellIs" dxfId="28468" priority="420" operator="equal">
      <formula>$C44</formula>
    </cfRule>
    <cfRule type="cellIs" dxfId="28467" priority="421" operator="greaterThan">
      <formula>$C44</formula>
    </cfRule>
    <cfRule type="cellIs" dxfId="28466" priority="422" operator="lessThan">
      <formula>$C44</formula>
    </cfRule>
  </conditionalFormatting>
  <conditionalFormatting sqref="D45:E45">
    <cfRule type="expression" dxfId="28465" priority="419">
      <formula>AND($A45&lt;&gt;"",MOD(ROW(),2))</formula>
    </cfRule>
  </conditionalFormatting>
  <conditionalFormatting sqref="D45">
    <cfRule type="cellIs" dxfId="28464" priority="416" operator="equal">
      <formula>$C45</formula>
    </cfRule>
    <cfRule type="cellIs" dxfId="28463" priority="417" operator="greaterThan">
      <formula>$C45</formula>
    </cfRule>
    <cfRule type="cellIs" dxfId="28462" priority="418" operator="lessThan">
      <formula>$C45</formula>
    </cfRule>
  </conditionalFormatting>
  <conditionalFormatting sqref="D46:E46">
    <cfRule type="expression" dxfId="28461" priority="415">
      <formula>AND($A46&lt;&gt;"",MOD(ROW(),2))</formula>
    </cfRule>
  </conditionalFormatting>
  <conditionalFormatting sqref="D46">
    <cfRule type="cellIs" dxfId="28460" priority="412" operator="equal">
      <formula>$C46</formula>
    </cfRule>
    <cfRule type="cellIs" dxfId="28459" priority="413" operator="greaterThan">
      <formula>$C46</formula>
    </cfRule>
    <cfRule type="cellIs" dxfId="28458" priority="414" operator="lessThan">
      <formula>$C46</formula>
    </cfRule>
  </conditionalFormatting>
  <conditionalFormatting sqref="D47:E47">
    <cfRule type="expression" dxfId="28457" priority="411">
      <formula>AND($A47&lt;&gt;"",MOD(ROW(),2))</formula>
    </cfRule>
  </conditionalFormatting>
  <conditionalFormatting sqref="D47">
    <cfRule type="cellIs" dxfId="28456" priority="408" operator="equal">
      <formula>$C47</formula>
    </cfRule>
    <cfRule type="cellIs" dxfId="28455" priority="409" operator="greaterThan">
      <formula>$C47</formula>
    </cfRule>
    <cfRule type="cellIs" dxfId="28454" priority="410" operator="lessThan">
      <formula>$C47</formula>
    </cfRule>
  </conditionalFormatting>
  <conditionalFormatting sqref="D48:E48">
    <cfRule type="expression" dxfId="28453" priority="407">
      <formula>AND($A48&lt;&gt;"",MOD(ROW(),2))</formula>
    </cfRule>
  </conditionalFormatting>
  <conditionalFormatting sqref="D48">
    <cfRule type="cellIs" dxfId="28452" priority="404" operator="equal">
      <formula>$C48</formula>
    </cfRule>
    <cfRule type="cellIs" dxfId="28451" priority="405" operator="greaterThan">
      <formula>$C48</formula>
    </cfRule>
    <cfRule type="cellIs" dxfId="28450" priority="406" operator="lessThan">
      <formula>$C48</formula>
    </cfRule>
  </conditionalFormatting>
  <conditionalFormatting sqref="D49:E49">
    <cfRule type="expression" dxfId="28449" priority="403">
      <formula>AND($A49&lt;&gt;"",MOD(ROW(),2))</formula>
    </cfRule>
  </conditionalFormatting>
  <conditionalFormatting sqref="D49">
    <cfRule type="cellIs" dxfId="28448" priority="400" operator="equal">
      <formula>$C49</formula>
    </cfRule>
    <cfRule type="cellIs" dxfId="28447" priority="401" operator="greaterThan">
      <formula>$C49</formula>
    </cfRule>
    <cfRule type="cellIs" dxfId="28446" priority="402" operator="lessThan">
      <formula>$C49</formula>
    </cfRule>
  </conditionalFormatting>
  <conditionalFormatting sqref="C30">
    <cfRule type="expression" dxfId="28445" priority="399">
      <formula>AND($A30&lt;&gt;"",MOD(ROW(),2))</formula>
    </cfRule>
  </conditionalFormatting>
  <conditionalFormatting sqref="C30">
    <cfRule type="cellIs" dxfId="28444" priority="396" operator="equal">
      <formula>$C30</formula>
    </cfRule>
    <cfRule type="cellIs" dxfId="28443" priority="397" operator="greaterThan">
      <formula>$C30</formula>
    </cfRule>
    <cfRule type="cellIs" dxfId="28442" priority="398" operator="lessThan">
      <formula>$C30</formula>
    </cfRule>
  </conditionalFormatting>
  <conditionalFormatting sqref="C31">
    <cfRule type="expression" dxfId="28441" priority="395">
      <formula>AND($A31&lt;&gt;"",MOD(ROW(),2))</formula>
    </cfRule>
  </conditionalFormatting>
  <conditionalFormatting sqref="C31">
    <cfRule type="cellIs" dxfId="28440" priority="392" operator="equal">
      <formula>$C31</formula>
    </cfRule>
    <cfRule type="cellIs" dxfId="28439" priority="393" operator="greaterThan">
      <formula>$C31</formula>
    </cfRule>
    <cfRule type="cellIs" dxfId="28438" priority="394" operator="lessThan">
      <formula>$C31</formula>
    </cfRule>
  </conditionalFormatting>
  <conditionalFormatting sqref="C32">
    <cfRule type="expression" dxfId="28437" priority="391">
      <formula>AND($A32&lt;&gt;"",MOD(ROW(),2))</formula>
    </cfRule>
  </conditionalFormatting>
  <conditionalFormatting sqref="C32">
    <cfRule type="cellIs" dxfId="28436" priority="388" operator="equal">
      <formula>$C32</formula>
    </cfRule>
    <cfRule type="cellIs" dxfId="28435" priority="389" operator="greaterThan">
      <formula>$C32</formula>
    </cfRule>
    <cfRule type="cellIs" dxfId="28434" priority="390" operator="lessThan">
      <formula>$C32</formula>
    </cfRule>
  </conditionalFormatting>
  <conditionalFormatting sqref="C33">
    <cfRule type="expression" dxfId="28433" priority="387">
      <formula>AND($A33&lt;&gt;"",MOD(ROW(),2))</formula>
    </cfRule>
  </conditionalFormatting>
  <conditionalFormatting sqref="C33">
    <cfRule type="cellIs" dxfId="28432" priority="384" operator="equal">
      <formula>$C33</formula>
    </cfRule>
    <cfRule type="cellIs" dxfId="28431" priority="385" operator="greaterThan">
      <formula>$C33</formula>
    </cfRule>
    <cfRule type="cellIs" dxfId="28430" priority="386" operator="lessThan">
      <formula>$C33</formula>
    </cfRule>
  </conditionalFormatting>
  <conditionalFormatting sqref="C34">
    <cfRule type="expression" dxfId="28429" priority="383">
      <formula>AND($A34&lt;&gt;"",MOD(ROW(),2))</formula>
    </cfRule>
  </conditionalFormatting>
  <conditionalFormatting sqref="C34">
    <cfRule type="cellIs" dxfId="28428" priority="380" operator="equal">
      <formula>$C34</formula>
    </cfRule>
    <cfRule type="cellIs" dxfId="28427" priority="381" operator="greaterThan">
      <formula>$C34</formula>
    </cfRule>
    <cfRule type="cellIs" dxfId="28426" priority="382" operator="lessThan">
      <formula>$C34</formula>
    </cfRule>
  </conditionalFormatting>
  <conditionalFormatting sqref="C35">
    <cfRule type="expression" dxfId="28425" priority="379">
      <formula>AND($A35&lt;&gt;"",MOD(ROW(),2))</formula>
    </cfRule>
  </conditionalFormatting>
  <conditionalFormatting sqref="C35">
    <cfRule type="cellIs" dxfId="28424" priority="376" operator="equal">
      <formula>$C35</formula>
    </cfRule>
    <cfRule type="cellIs" dxfId="28423" priority="377" operator="greaterThan">
      <formula>$C35</formula>
    </cfRule>
    <cfRule type="cellIs" dxfId="28422" priority="378" operator="lessThan">
      <formula>$C35</formula>
    </cfRule>
  </conditionalFormatting>
  <conditionalFormatting sqref="C36">
    <cfRule type="expression" dxfId="28421" priority="375">
      <formula>AND($A36&lt;&gt;"",MOD(ROW(),2))</formula>
    </cfRule>
  </conditionalFormatting>
  <conditionalFormatting sqref="C36">
    <cfRule type="cellIs" dxfId="28420" priority="372" operator="equal">
      <formula>$C36</formula>
    </cfRule>
    <cfRule type="cellIs" dxfId="28419" priority="373" operator="greaterThan">
      <formula>$C36</formula>
    </cfRule>
    <cfRule type="cellIs" dxfId="28418" priority="374" operator="lessThan">
      <formula>$C36</formula>
    </cfRule>
  </conditionalFormatting>
  <conditionalFormatting sqref="C37">
    <cfRule type="expression" dxfId="28417" priority="371">
      <formula>AND($A37&lt;&gt;"",MOD(ROW(),2))</formula>
    </cfRule>
  </conditionalFormatting>
  <conditionalFormatting sqref="C37">
    <cfRule type="cellIs" dxfId="28416" priority="368" operator="equal">
      <formula>$C37</formula>
    </cfRule>
    <cfRule type="cellIs" dxfId="28415" priority="369" operator="greaterThan">
      <formula>$C37</formula>
    </cfRule>
    <cfRule type="cellIs" dxfId="28414" priority="370" operator="lessThan">
      <formula>$C37</formula>
    </cfRule>
  </conditionalFormatting>
  <conditionalFormatting sqref="C38">
    <cfRule type="expression" dxfId="28413" priority="367">
      <formula>AND($A38&lt;&gt;"",MOD(ROW(),2))</formula>
    </cfRule>
  </conditionalFormatting>
  <conditionalFormatting sqref="C38">
    <cfRule type="cellIs" dxfId="28412" priority="364" operator="equal">
      <formula>$C38</formula>
    </cfRule>
    <cfRule type="cellIs" dxfId="28411" priority="365" operator="greaterThan">
      <formula>$C38</formula>
    </cfRule>
    <cfRule type="cellIs" dxfId="28410" priority="366" operator="lessThan">
      <formula>$C38</formula>
    </cfRule>
  </conditionalFormatting>
  <conditionalFormatting sqref="C39">
    <cfRule type="expression" dxfId="28409" priority="363">
      <formula>AND($A39&lt;&gt;"",MOD(ROW(),2))</formula>
    </cfRule>
  </conditionalFormatting>
  <conditionalFormatting sqref="C39">
    <cfRule type="cellIs" dxfId="28408" priority="360" operator="equal">
      <formula>$C39</formula>
    </cfRule>
    <cfRule type="cellIs" dxfId="28407" priority="361" operator="greaterThan">
      <formula>$C39</formula>
    </cfRule>
    <cfRule type="cellIs" dxfId="28406" priority="362" operator="lessThan">
      <formula>$C39</formula>
    </cfRule>
  </conditionalFormatting>
  <conditionalFormatting sqref="C40">
    <cfRule type="expression" dxfId="28405" priority="359">
      <formula>AND($A40&lt;&gt;"",MOD(ROW(),2))</formula>
    </cfRule>
  </conditionalFormatting>
  <conditionalFormatting sqref="C40">
    <cfRule type="cellIs" dxfId="28404" priority="356" operator="equal">
      <formula>$C40</formula>
    </cfRule>
    <cfRule type="cellIs" dxfId="28403" priority="357" operator="greaterThan">
      <formula>$C40</formula>
    </cfRule>
    <cfRule type="cellIs" dxfId="28402" priority="358" operator="lessThan">
      <formula>$C40</formula>
    </cfRule>
  </conditionalFormatting>
  <conditionalFormatting sqref="C41">
    <cfRule type="expression" dxfId="28401" priority="355">
      <formula>AND($A41&lt;&gt;"",MOD(ROW(),2))</formula>
    </cfRule>
  </conditionalFormatting>
  <conditionalFormatting sqref="C41">
    <cfRule type="cellIs" dxfId="28400" priority="352" operator="equal">
      <formula>$C41</formula>
    </cfRule>
    <cfRule type="cellIs" dxfId="28399" priority="353" operator="greaterThan">
      <formula>$C41</formula>
    </cfRule>
    <cfRule type="cellIs" dxfId="28398" priority="354" operator="lessThan">
      <formula>$C41</formula>
    </cfRule>
  </conditionalFormatting>
  <conditionalFormatting sqref="D30:E30">
    <cfRule type="expression" dxfId="28397" priority="351">
      <formula>AND($A30&lt;&gt;"",MOD(ROW(),2))</formula>
    </cfRule>
  </conditionalFormatting>
  <conditionalFormatting sqref="D30">
    <cfRule type="cellIs" dxfId="28396" priority="348" operator="equal">
      <formula>$C30</formula>
    </cfRule>
    <cfRule type="cellIs" dxfId="28395" priority="349" operator="greaterThan">
      <formula>$C30</formula>
    </cfRule>
    <cfRule type="cellIs" dxfId="28394" priority="350" operator="lessThan">
      <formula>$C30</formula>
    </cfRule>
  </conditionalFormatting>
  <conditionalFormatting sqref="D31:E31">
    <cfRule type="expression" dxfId="28393" priority="347">
      <formula>AND($A31&lt;&gt;"",MOD(ROW(),2))</formula>
    </cfRule>
  </conditionalFormatting>
  <conditionalFormatting sqref="D31">
    <cfRule type="cellIs" dxfId="28392" priority="344" operator="equal">
      <formula>$C31</formula>
    </cfRule>
    <cfRule type="cellIs" dxfId="28391" priority="345" operator="greaterThan">
      <formula>$C31</formula>
    </cfRule>
    <cfRule type="cellIs" dxfId="28390" priority="346" operator="lessThan">
      <formula>$C31</formula>
    </cfRule>
  </conditionalFormatting>
  <conditionalFormatting sqref="D32:E32">
    <cfRule type="expression" dxfId="28389" priority="343">
      <formula>AND($A32&lt;&gt;"",MOD(ROW(),2))</formula>
    </cfRule>
  </conditionalFormatting>
  <conditionalFormatting sqref="D32">
    <cfRule type="cellIs" dxfId="28388" priority="340" operator="equal">
      <formula>$C32</formula>
    </cfRule>
    <cfRule type="cellIs" dxfId="28387" priority="341" operator="greaterThan">
      <formula>$C32</formula>
    </cfRule>
    <cfRule type="cellIs" dxfId="28386" priority="342" operator="lessThan">
      <formula>$C32</formula>
    </cfRule>
  </conditionalFormatting>
  <conditionalFormatting sqref="D33:E33">
    <cfRule type="expression" dxfId="28385" priority="339">
      <formula>AND($A33&lt;&gt;"",MOD(ROW(),2))</formula>
    </cfRule>
  </conditionalFormatting>
  <conditionalFormatting sqref="D33">
    <cfRule type="cellIs" dxfId="28384" priority="336" operator="equal">
      <formula>$C33</formula>
    </cfRule>
    <cfRule type="cellIs" dxfId="28383" priority="337" operator="greaterThan">
      <formula>$C33</formula>
    </cfRule>
    <cfRule type="cellIs" dxfId="28382" priority="338" operator="lessThan">
      <formula>$C33</formula>
    </cfRule>
  </conditionalFormatting>
  <conditionalFormatting sqref="D34:E34">
    <cfRule type="expression" dxfId="28381" priority="335">
      <formula>AND($A34&lt;&gt;"",MOD(ROW(),2))</formula>
    </cfRule>
  </conditionalFormatting>
  <conditionalFormatting sqref="D34">
    <cfRule type="cellIs" dxfId="28380" priority="332" operator="equal">
      <formula>$C34</formula>
    </cfRule>
    <cfRule type="cellIs" dxfId="28379" priority="333" operator="greaterThan">
      <formula>$C34</formula>
    </cfRule>
    <cfRule type="cellIs" dxfId="28378" priority="334" operator="lessThan">
      <formula>$C34</formula>
    </cfRule>
  </conditionalFormatting>
  <conditionalFormatting sqref="D35:E35">
    <cfRule type="expression" dxfId="28377" priority="331">
      <formula>AND($A35&lt;&gt;"",MOD(ROW(),2))</formula>
    </cfRule>
  </conditionalFormatting>
  <conditionalFormatting sqref="D35">
    <cfRule type="cellIs" dxfId="28376" priority="328" operator="equal">
      <formula>$C35</formula>
    </cfRule>
    <cfRule type="cellIs" dxfId="28375" priority="329" operator="greaterThan">
      <formula>$C35</formula>
    </cfRule>
    <cfRule type="cellIs" dxfId="28374" priority="330" operator="lessThan">
      <formula>$C35</formula>
    </cfRule>
  </conditionalFormatting>
  <conditionalFormatting sqref="D36:E36">
    <cfRule type="expression" dxfId="28373" priority="327">
      <formula>AND($A36&lt;&gt;"",MOD(ROW(),2))</formula>
    </cfRule>
  </conditionalFormatting>
  <conditionalFormatting sqref="D36">
    <cfRule type="cellIs" dxfId="28372" priority="324" operator="equal">
      <formula>$C36</formula>
    </cfRule>
    <cfRule type="cellIs" dxfId="28371" priority="325" operator="greaterThan">
      <formula>$C36</formula>
    </cfRule>
    <cfRule type="cellIs" dxfId="28370" priority="326" operator="lessThan">
      <formula>$C36</formula>
    </cfRule>
  </conditionalFormatting>
  <conditionalFormatting sqref="D37:E37">
    <cfRule type="expression" dxfId="28369" priority="323">
      <formula>AND($A37&lt;&gt;"",MOD(ROW(),2))</formula>
    </cfRule>
  </conditionalFormatting>
  <conditionalFormatting sqref="D37">
    <cfRule type="cellIs" dxfId="28368" priority="320" operator="equal">
      <formula>$C37</formula>
    </cfRule>
    <cfRule type="cellIs" dxfId="28367" priority="321" operator="greaterThan">
      <formula>$C37</formula>
    </cfRule>
    <cfRule type="cellIs" dxfId="28366" priority="322" operator="lessThan">
      <formula>$C37</formula>
    </cfRule>
  </conditionalFormatting>
  <conditionalFormatting sqref="D38:E38">
    <cfRule type="expression" dxfId="28365" priority="319">
      <formula>AND($A38&lt;&gt;"",MOD(ROW(),2))</formula>
    </cfRule>
  </conditionalFormatting>
  <conditionalFormatting sqref="D38">
    <cfRule type="cellIs" dxfId="28364" priority="316" operator="equal">
      <formula>$C38</formula>
    </cfRule>
    <cfRule type="cellIs" dxfId="28363" priority="317" operator="greaterThan">
      <formula>$C38</formula>
    </cfRule>
    <cfRule type="cellIs" dxfId="28362" priority="318" operator="lessThan">
      <formula>$C38</formula>
    </cfRule>
  </conditionalFormatting>
  <conditionalFormatting sqref="D39:E39">
    <cfRule type="expression" dxfId="28361" priority="315">
      <formula>AND($A39&lt;&gt;"",MOD(ROW(),2))</formula>
    </cfRule>
  </conditionalFormatting>
  <conditionalFormatting sqref="D39">
    <cfRule type="cellIs" dxfId="28360" priority="312" operator="equal">
      <formula>$C39</formula>
    </cfRule>
    <cfRule type="cellIs" dxfId="28359" priority="313" operator="greaterThan">
      <formula>$C39</formula>
    </cfRule>
    <cfRule type="cellIs" dxfId="28358" priority="314" operator="lessThan">
      <formula>$C39</formula>
    </cfRule>
  </conditionalFormatting>
  <conditionalFormatting sqref="D40:E40">
    <cfRule type="expression" dxfId="28357" priority="311">
      <formula>AND($A40&lt;&gt;"",MOD(ROW(),2))</formula>
    </cfRule>
  </conditionalFormatting>
  <conditionalFormatting sqref="D40">
    <cfRule type="cellIs" dxfId="28356" priority="308" operator="equal">
      <formula>$C40</formula>
    </cfRule>
    <cfRule type="cellIs" dxfId="28355" priority="309" operator="greaterThan">
      <formula>$C40</formula>
    </cfRule>
    <cfRule type="cellIs" dxfId="28354" priority="310" operator="lessThan">
      <formula>$C40</formula>
    </cfRule>
  </conditionalFormatting>
  <conditionalFormatting sqref="D41:E41">
    <cfRule type="expression" dxfId="28353" priority="307">
      <formula>AND($A41&lt;&gt;"",MOD(ROW(),2))</formula>
    </cfRule>
  </conditionalFormatting>
  <conditionalFormatting sqref="D41">
    <cfRule type="cellIs" dxfId="28352" priority="304" operator="equal">
      <formula>$C41</formula>
    </cfRule>
    <cfRule type="cellIs" dxfId="28351" priority="305" operator="greaterThan">
      <formula>$C41</formula>
    </cfRule>
    <cfRule type="cellIs" dxfId="28350" priority="306" operator="lessThan">
      <formula>$C41</formula>
    </cfRule>
  </conditionalFormatting>
  <conditionalFormatting sqref="D42:E42">
    <cfRule type="expression" dxfId="28349" priority="303">
      <formula>AND($A42&lt;&gt;"",MOD(ROW(),2))</formula>
    </cfRule>
  </conditionalFormatting>
  <conditionalFormatting sqref="D42">
    <cfRule type="cellIs" dxfId="28348" priority="300" operator="equal">
      <formula>$C42</formula>
    </cfRule>
    <cfRule type="cellIs" dxfId="28347" priority="301" operator="greaterThan">
      <formula>$C42</formula>
    </cfRule>
    <cfRule type="cellIs" dxfId="28346" priority="302" operator="lessThan">
      <formula>$C42</formula>
    </cfRule>
  </conditionalFormatting>
  <conditionalFormatting sqref="D43:E43">
    <cfRule type="expression" dxfId="28345" priority="299">
      <formula>AND($A43&lt;&gt;"",MOD(ROW(),2))</formula>
    </cfRule>
  </conditionalFormatting>
  <conditionalFormatting sqref="D43">
    <cfRule type="cellIs" dxfId="28344" priority="296" operator="equal">
      <formula>$C43</formula>
    </cfRule>
    <cfRule type="cellIs" dxfId="28343" priority="297" operator="greaterThan">
      <formula>$C43</formula>
    </cfRule>
    <cfRule type="cellIs" dxfId="28342" priority="298" operator="lessThan">
      <formula>$C43</formula>
    </cfRule>
  </conditionalFormatting>
  <conditionalFormatting sqref="D44:E44">
    <cfRule type="expression" dxfId="28341" priority="295">
      <formula>AND($A44&lt;&gt;"",MOD(ROW(),2))</formula>
    </cfRule>
  </conditionalFormatting>
  <conditionalFormatting sqref="D44">
    <cfRule type="cellIs" dxfId="28340" priority="292" operator="equal">
      <formula>$C44</formula>
    </cfRule>
    <cfRule type="cellIs" dxfId="28339" priority="293" operator="greaterThan">
      <formula>$C44</formula>
    </cfRule>
    <cfRule type="cellIs" dxfId="28338" priority="294" operator="lessThan">
      <formula>$C44</formula>
    </cfRule>
  </conditionalFormatting>
  <conditionalFormatting sqref="D45:E45">
    <cfRule type="expression" dxfId="28337" priority="291">
      <formula>AND($A45&lt;&gt;"",MOD(ROW(),2))</formula>
    </cfRule>
  </conditionalFormatting>
  <conditionalFormatting sqref="D45">
    <cfRule type="cellIs" dxfId="28336" priority="288" operator="equal">
      <formula>$C45</formula>
    </cfRule>
    <cfRule type="cellIs" dxfId="28335" priority="289" operator="greaterThan">
      <formula>$C45</formula>
    </cfRule>
    <cfRule type="cellIs" dxfId="28334" priority="290" operator="lessThan">
      <formula>$C45</formula>
    </cfRule>
  </conditionalFormatting>
  <conditionalFormatting sqref="D46:E46">
    <cfRule type="expression" dxfId="28333" priority="287">
      <formula>AND($A46&lt;&gt;"",MOD(ROW(),2))</formula>
    </cfRule>
  </conditionalFormatting>
  <conditionalFormatting sqref="D46">
    <cfRule type="cellIs" dxfId="28332" priority="284" operator="equal">
      <formula>$C46</formula>
    </cfRule>
    <cfRule type="cellIs" dxfId="28331" priority="285" operator="greaterThan">
      <formula>$C46</formula>
    </cfRule>
    <cfRule type="cellIs" dxfId="28330" priority="286" operator="lessThan">
      <formula>$C46</formula>
    </cfRule>
  </conditionalFormatting>
  <conditionalFormatting sqref="D47:E47">
    <cfRule type="expression" dxfId="28329" priority="283">
      <formula>AND($A47&lt;&gt;"",MOD(ROW(),2))</formula>
    </cfRule>
  </conditionalFormatting>
  <conditionalFormatting sqref="D47">
    <cfRule type="cellIs" dxfId="28328" priority="280" operator="equal">
      <formula>$C47</formula>
    </cfRule>
    <cfRule type="cellIs" dxfId="28327" priority="281" operator="greaterThan">
      <formula>$C47</formula>
    </cfRule>
    <cfRule type="cellIs" dxfId="28326" priority="282" operator="lessThan">
      <formula>$C47</formula>
    </cfRule>
  </conditionalFormatting>
  <conditionalFormatting sqref="D48:E48">
    <cfRule type="expression" dxfId="28325" priority="279">
      <formula>AND($A48&lt;&gt;"",MOD(ROW(),2))</formula>
    </cfRule>
  </conditionalFormatting>
  <conditionalFormatting sqref="D48">
    <cfRule type="cellIs" dxfId="28324" priority="276" operator="equal">
      <formula>$C48</formula>
    </cfRule>
    <cfRule type="cellIs" dxfId="28323" priority="277" operator="greaterThan">
      <formula>$C48</formula>
    </cfRule>
    <cfRule type="cellIs" dxfId="28322" priority="278" operator="lessThan">
      <formula>$C48</formula>
    </cfRule>
  </conditionalFormatting>
  <conditionalFormatting sqref="D49:E49">
    <cfRule type="expression" dxfId="28321" priority="275">
      <formula>AND($A49&lt;&gt;"",MOD(ROW(),2))</formula>
    </cfRule>
  </conditionalFormatting>
  <conditionalFormatting sqref="D49">
    <cfRule type="cellIs" dxfId="28320" priority="272" operator="equal">
      <formula>$C49</formula>
    </cfRule>
    <cfRule type="cellIs" dxfId="28319" priority="273" operator="greaterThan">
      <formula>$C49</formula>
    </cfRule>
    <cfRule type="cellIs" dxfId="28318" priority="274" operator="lessThan">
      <formula>$C49</formula>
    </cfRule>
  </conditionalFormatting>
  <conditionalFormatting sqref="D50:E50">
    <cfRule type="expression" dxfId="28317" priority="271">
      <formula>AND($A50&lt;&gt;"",MOD(ROW(),2))</formula>
    </cfRule>
  </conditionalFormatting>
  <conditionalFormatting sqref="D50">
    <cfRule type="cellIs" dxfId="28316" priority="268" operator="equal">
      <formula>$C50</formula>
    </cfRule>
    <cfRule type="cellIs" dxfId="28315" priority="269" operator="greaterThan">
      <formula>$C50</formula>
    </cfRule>
    <cfRule type="cellIs" dxfId="28314" priority="270" operator="lessThan">
      <formula>$C50</formula>
    </cfRule>
  </conditionalFormatting>
  <conditionalFormatting sqref="D51:E51">
    <cfRule type="expression" dxfId="28313" priority="267">
      <formula>AND($A51&lt;&gt;"",MOD(ROW(),2))</formula>
    </cfRule>
  </conditionalFormatting>
  <conditionalFormatting sqref="D51">
    <cfRule type="cellIs" dxfId="28312" priority="264" operator="equal">
      <formula>$C51</formula>
    </cfRule>
    <cfRule type="cellIs" dxfId="28311" priority="265" operator="greaterThan">
      <formula>$C51</formula>
    </cfRule>
    <cfRule type="cellIs" dxfId="28310" priority="266" operator="lessThan">
      <formula>$C51</formula>
    </cfRule>
  </conditionalFormatting>
  <conditionalFormatting sqref="C31">
    <cfRule type="expression" dxfId="28309" priority="263">
      <formula>AND($A31&lt;&gt;"",MOD(ROW(),2))</formula>
    </cfRule>
  </conditionalFormatting>
  <conditionalFormatting sqref="C31">
    <cfRule type="cellIs" dxfId="28308" priority="260" operator="equal">
      <formula>$C31</formula>
    </cfRule>
    <cfRule type="cellIs" dxfId="28307" priority="261" operator="greaterThan">
      <formula>$C31</formula>
    </cfRule>
    <cfRule type="cellIs" dxfId="28306" priority="262" operator="lessThan">
      <formula>$C31</formula>
    </cfRule>
  </conditionalFormatting>
  <conditionalFormatting sqref="C32">
    <cfRule type="expression" dxfId="28305" priority="259">
      <formula>AND($A32&lt;&gt;"",MOD(ROW(),2))</formula>
    </cfRule>
  </conditionalFormatting>
  <conditionalFormatting sqref="C32">
    <cfRule type="cellIs" dxfId="28304" priority="256" operator="equal">
      <formula>$C32</formula>
    </cfRule>
    <cfRule type="cellIs" dxfId="28303" priority="257" operator="greaterThan">
      <formula>$C32</formula>
    </cfRule>
    <cfRule type="cellIs" dxfId="28302" priority="258" operator="lessThan">
      <formula>$C32</formula>
    </cfRule>
  </conditionalFormatting>
  <conditionalFormatting sqref="C33">
    <cfRule type="expression" dxfId="28301" priority="255">
      <formula>AND($A33&lt;&gt;"",MOD(ROW(),2))</formula>
    </cfRule>
  </conditionalFormatting>
  <conditionalFormatting sqref="C33">
    <cfRule type="cellIs" dxfId="28300" priority="252" operator="equal">
      <formula>$C33</formula>
    </cfRule>
    <cfRule type="cellIs" dxfId="28299" priority="253" operator="greaterThan">
      <formula>$C33</formula>
    </cfRule>
    <cfRule type="cellIs" dxfId="28298" priority="254" operator="lessThan">
      <formula>$C33</formula>
    </cfRule>
  </conditionalFormatting>
  <conditionalFormatting sqref="C34">
    <cfRule type="expression" dxfId="28297" priority="251">
      <formula>AND($A34&lt;&gt;"",MOD(ROW(),2))</formula>
    </cfRule>
  </conditionalFormatting>
  <conditionalFormatting sqref="C34">
    <cfRule type="cellIs" dxfId="28296" priority="248" operator="equal">
      <formula>$C34</formula>
    </cfRule>
    <cfRule type="cellIs" dxfId="28295" priority="249" operator="greaterThan">
      <formula>$C34</formula>
    </cfRule>
    <cfRule type="cellIs" dxfId="28294" priority="250" operator="lessThan">
      <formula>$C34</formula>
    </cfRule>
  </conditionalFormatting>
  <conditionalFormatting sqref="C35">
    <cfRule type="expression" dxfId="28293" priority="247">
      <formula>AND($A35&lt;&gt;"",MOD(ROW(),2))</formula>
    </cfRule>
  </conditionalFormatting>
  <conditionalFormatting sqref="C35">
    <cfRule type="cellIs" dxfId="28292" priority="244" operator="equal">
      <formula>$C35</formula>
    </cfRule>
    <cfRule type="cellIs" dxfId="28291" priority="245" operator="greaterThan">
      <formula>$C35</formula>
    </cfRule>
    <cfRule type="cellIs" dxfId="28290" priority="246" operator="lessThan">
      <formula>$C35</formula>
    </cfRule>
  </conditionalFormatting>
  <conditionalFormatting sqref="C36">
    <cfRule type="expression" dxfId="28289" priority="243">
      <formula>AND($A36&lt;&gt;"",MOD(ROW(),2))</formula>
    </cfRule>
  </conditionalFormatting>
  <conditionalFormatting sqref="C36">
    <cfRule type="cellIs" dxfId="28288" priority="240" operator="equal">
      <formula>$C36</formula>
    </cfRule>
    <cfRule type="cellIs" dxfId="28287" priority="241" operator="greaterThan">
      <formula>$C36</formula>
    </cfRule>
    <cfRule type="cellIs" dxfId="28286" priority="242" operator="lessThan">
      <formula>$C36</formula>
    </cfRule>
  </conditionalFormatting>
  <conditionalFormatting sqref="C37">
    <cfRule type="expression" dxfId="28285" priority="239">
      <formula>AND($A37&lt;&gt;"",MOD(ROW(),2))</formula>
    </cfRule>
  </conditionalFormatting>
  <conditionalFormatting sqref="C37">
    <cfRule type="cellIs" dxfId="28284" priority="236" operator="equal">
      <formula>$C37</formula>
    </cfRule>
    <cfRule type="cellIs" dxfId="28283" priority="237" operator="greaterThan">
      <formula>$C37</formula>
    </cfRule>
    <cfRule type="cellIs" dxfId="28282" priority="238" operator="lessThan">
      <formula>$C37</formula>
    </cfRule>
  </conditionalFormatting>
  <conditionalFormatting sqref="C38">
    <cfRule type="expression" dxfId="28281" priority="235">
      <formula>AND($A38&lt;&gt;"",MOD(ROW(),2))</formula>
    </cfRule>
  </conditionalFormatting>
  <conditionalFormatting sqref="C38">
    <cfRule type="cellIs" dxfId="28280" priority="232" operator="equal">
      <formula>$C38</formula>
    </cfRule>
    <cfRule type="cellIs" dxfId="28279" priority="233" operator="greaterThan">
      <formula>$C38</formula>
    </cfRule>
    <cfRule type="cellIs" dxfId="28278" priority="234" operator="lessThan">
      <formula>$C38</formula>
    </cfRule>
  </conditionalFormatting>
  <conditionalFormatting sqref="C39">
    <cfRule type="expression" dxfId="28277" priority="231">
      <formula>AND($A39&lt;&gt;"",MOD(ROW(),2))</formula>
    </cfRule>
  </conditionalFormatting>
  <conditionalFormatting sqref="C39">
    <cfRule type="cellIs" dxfId="28276" priority="228" operator="equal">
      <formula>$C39</formula>
    </cfRule>
    <cfRule type="cellIs" dxfId="28275" priority="229" operator="greaterThan">
      <formula>$C39</formula>
    </cfRule>
    <cfRule type="cellIs" dxfId="28274" priority="230" operator="lessThan">
      <formula>$C39</formula>
    </cfRule>
  </conditionalFormatting>
  <conditionalFormatting sqref="C40">
    <cfRule type="expression" dxfId="28273" priority="227">
      <formula>AND($A40&lt;&gt;"",MOD(ROW(),2))</formula>
    </cfRule>
  </conditionalFormatting>
  <conditionalFormatting sqref="C40">
    <cfRule type="cellIs" dxfId="28272" priority="224" operator="equal">
      <formula>$C40</formula>
    </cfRule>
    <cfRule type="cellIs" dxfId="28271" priority="225" operator="greaterThan">
      <formula>$C40</formula>
    </cfRule>
    <cfRule type="cellIs" dxfId="28270" priority="226" operator="lessThan">
      <formula>$C40</formula>
    </cfRule>
  </conditionalFormatting>
  <conditionalFormatting sqref="C41">
    <cfRule type="expression" dxfId="28269" priority="223">
      <formula>AND($A41&lt;&gt;"",MOD(ROW(),2))</formula>
    </cfRule>
  </conditionalFormatting>
  <conditionalFormatting sqref="C41">
    <cfRule type="cellIs" dxfId="28268" priority="220" operator="equal">
      <formula>$C41</formula>
    </cfRule>
    <cfRule type="cellIs" dxfId="28267" priority="221" operator="greaterThan">
      <formula>$C41</formula>
    </cfRule>
    <cfRule type="cellIs" dxfId="28266" priority="222" operator="lessThan">
      <formula>$C41</formula>
    </cfRule>
  </conditionalFormatting>
  <conditionalFormatting sqref="C42">
    <cfRule type="expression" dxfId="28265" priority="219">
      <formula>AND($A42&lt;&gt;"",MOD(ROW(),2))</formula>
    </cfRule>
  </conditionalFormatting>
  <conditionalFormatting sqref="C42">
    <cfRule type="cellIs" dxfId="28264" priority="216" operator="equal">
      <formula>$C42</formula>
    </cfRule>
    <cfRule type="cellIs" dxfId="28263" priority="217" operator="greaterThan">
      <formula>$C42</formula>
    </cfRule>
    <cfRule type="cellIs" dxfId="28262" priority="218" operator="lessThan">
      <formula>$C42</formula>
    </cfRule>
  </conditionalFormatting>
  <conditionalFormatting sqref="D31:E31">
    <cfRule type="expression" dxfId="28261" priority="215">
      <formula>AND($A31&lt;&gt;"",MOD(ROW(),2))</formula>
    </cfRule>
  </conditionalFormatting>
  <conditionalFormatting sqref="D31">
    <cfRule type="cellIs" dxfId="28260" priority="212" operator="equal">
      <formula>$C31</formula>
    </cfRule>
    <cfRule type="cellIs" dxfId="28259" priority="213" operator="greaterThan">
      <formula>$C31</formula>
    </cfRule>
    <cfRule type="cellIs" dxfId="28258" priority="214" operator="lessThan">
      <formula>$C31</formula>
    </cfRule>
  </conditionalFormatting>
  <conditionalFormatting sqref="D32:E32">
    <cfRule type="expression" dxfId="28257" priority="211">
      <formula>AND($A32&lt;&gt;"",MOD(ROW(),2))</formula>
    </cfRule>
  </conditionalFormatting>
  <conditionalFormatting sqref="D32">
    <cfRule type="cellIs" dxfId="28256" priority="208" operator="equal">
      <formula>$C32</formula>
    </cfRule>
    <cfRule type="cellIs" dxfId="28255" priority="209" operator="greaterThan">
      <formula>$C32</formula>
    </cfRule>
    <cfRule type="cellIs" dxfId="28254" priority="210" operator="lessThan">
      <formula>$C32</formula>
    </cfRule>
  </conditionalFormatting>
  <conditionalFormatting sqref="D33:E33">
    <cfRule type="expression" dxfId="28253" priority="207">
      <formula>AND($A33&lt;&gt;"",MOD(ROW(),2))</formula>
    </cfRule>
  </conditionalFormatting>
  <conditionalFormatting sqref="D33">
    <cfRule type="cellIs" dxfId="28252" priority="204" operator="equal">
      <formula>$C33</formula>
    </cfRule>
    <cfRule type="cellIs" dxfId="28251" priority="205" operator="greaterThan">
      <formula>$C33</formula>
    </cfRule>
    <cfRule type="cellIs" dxfId="28250" priority="206" operator="lessThan">
      <formula>$C33</formula>
    </cfRule>
  </conditionalFormatting>
  <conditionalFormatting sqref="D34:E34">
    <cfRule type="expression" dxfId="28249" priority="203">
      <formula>AND($A34&lt;&gt;"",MOD(ROW(),2))</formula>
    </cfRule>
  </conditionalFormatting>
  <conditionalFormatting sqref="D34">
    <cfRule type="cellIs" dxfId="28248" priority="200" operator="equal">
      <formula>$C34</formula>
    </cfRule>
    <cfRule type="cellIs" dxfId="28247" priority="201" operator="greaterThan">
      <formula>$C34</formula>
    </cfRule>
    <cfRule type="cellIs" dxfId="28246" priority="202" operator="lessThan">
      <formula>$C34</formula>
    </cfRule>
  </conditionalFormatting>
  <conditionalFormatting sqref="D35:E35">
    <cfRule type="expression" dxfId="28245" priority="199">
      <formula>AND($A35&lt;&gt;"",MOD(ROW(),2))</formula>
    </cfRule>
  </conditionalFormatting>
  <conditionalFormatting sqref="D35">
    <cfRule type="cellIs" dxfId="28244" priority="196" operator="equal">
      <formula>$C35</formula>
    </cfRule>
    <cfRule type="cellIs" dxfId="28243" priority="197" operator="greaterThan">
      <formula>$C35</formula>
    </cfRule>
    <cfRule type="cellIs" dxfId="28242" priority="198" operator="lessThan">
      <formula>$C35</formula>
    </cfRule>
  </conditionalFormatting>
  <conditionalFormatting sqref="D36:E36">
    <cfRule type="expression" dxfId="28241" priority="195">
      <formula>AND($A36&lt;&gt;"",MOD(ROW(),2))</formula>
    </cfRule>
  </conditionalFormatting>
  <conditionalFormatting sqref="D36">
    <cfRule type="cellIs" dxfId="28240" priority="192" operator="equal">
      <formula>$C36</formula>
    </cfRule>
    <cfRule type="cellIs" dxfId="28239" priority="193" operator="greaterThan">
      <formula>$C36</formula>
    </cfRule>
    <cfRule type="cellIs" dxfId="28238" priority="194" operator="lessThan">
      <formula>$C36</formula>
    </cfRule>
  </conditionalFormatting>
  <conditionalFormatting sqref="D37:E37">
    <cfRule type="expression" dxfId="28237" priority="191">
      <formula>AND($A37&lt;&gt;"",MOD(ROW(),2))</formula>
    </cfRule>
  </conditionalFormatting>
  <conditionalFormatting sqref="D37">
    <cfRule type="cellIs" dxfId="28236" priority="188" operator="equal">
      <formula>$C37</formula>
    </cfRule>
    <cfRule type="cellIs" dxfId="28235" priority="189" operator="greaterThan">
      <formula>$C37</formula>
    </cfRule>
    <cfRule type="cellIs" dxfId="28234" priority="190" operator="lessThan">
      <formula>$C37</formula>
    </cfRule>
  </conditionalFormatting>
  <conditionalFormatting sqref="D38:E38">
    <cfRule type="expression" dxfId="28233" priority="187">
      <formula>AND($A38&lt;&gt;"",MOD(ROW(),2))</formula>
    </cfRule>
  </conditionalFormatting>
  <conditionalFormatting sqref="D38">
    <cfRule type="cellIs" dxfId="28232" priority="184" operator="equal">
      <formula>$C38</formula>
    </cfRule>
    <cfRule type="cellIs" dxfId="28231" priority="185" operator="greaterThan">
      <formula>$C38</formula>
    </cfRule>
    <cfRule type="cellIs" dxfId="28230" priority="186" operator="lessThan">
      <formula>$C38</formula>
    </cfRule>
  </conditionalFormatting>
  <conditionalFormatting sqref="D39:E39">
    <cfRule type="expression" dxfId="28229" priority="183">
      <formula>AND($A39&lt;&gt;"",MOD(ROW(),2))</formula>
    </cfRule>
  </conditionalFormatting>
  <conditionalFormatting sqref="D39">
    <cfRule type="cellIs" dxfId="28228" priority="180" operator="equal">
      <formula>$C39</formula>
    </cfRule>
    <cfRule type="cellIs" dxfId="28227" priority="181" operator="greaterThan">
      <formula>$C39</formula>
    </cfRule>
    <cfRule type="cellIs" dxfId="28226" priority="182" operator="lessThan">
      <formula>$C39</formula>
    </cfRule>
  </conditionalFormatting>
  <conditionalFormatting sqref="D40:E40">
    <cfRule type="expression" dxfId="28225" priority="179">
      <formula>AND($A40&lt;&gt;"",MOD(ROW(),2))</formula>
    </cfRule>
  </conditionalFormatting>
  <conditionalFormatting sqref="D40">
    <cfRule type="cellIs" dxfId="28224" priority="176" operator="equal">
      <formula>$C40</formula>
    </cfRule>
    <cfRule type="cellIs" dxfId="28223" priority="177" operator="greaterThan">
      <formula>$C40</formula>
    </cfRule>
    <cfRule type="cellIs" dxfId="28222" priority="178" operator="lessThan">
      <formula>$C40</formula>
    </cfRule>
  </conditionalFormatting>
  <conditionalFormatting sqref="D41:E41">
    <cfRule type="expression" dxfId="28221" priority="175">
      <formula>AND($A41&lt;&gt;"",MOD(ROW(),2))</formula>
    </cfRule>
  </conditionalFormatting>
  <conditionalFormatting sqref="D41">
    <cfRule type="cellIs" dxfId="28220" priority="172" operator="equal">
      <formula>$C41</formula>
    </cfRule>
    <cfRule type="cellIs" dxfId="28219" priority="173" operator="greaterThan">
      <formula>$C41</formula>
    </cfRule>
    <cfRule type="cellIs" dxfId="28218" priority="174" operator="lessThan">
      <formula>$C41</formula>
    </cfRule>
  </conditionalFormatting>
  <conditionalFormatting sqref="D42:E42">
    <cfRule type="expression" dxfId="28217" priority="171">
      <formula>AND($A42&lt;&gt;"",MOD(ROW(),2))</formula>
    </cfRule>
  </conditionalFormatting>
  <conditionalFormatting sqref="D42">
    <cfRule type="cellIs" dxfId="28216" priority="168" operator="equal">
      <formula>$C42</formula>
    </cfRule>
    <cfRule type="cellIs" dxfId="28215" priority="169" operator="greaterThan">
      <formula>$C42</formula>
    </cfRule>
    <cfRule type="cellIs" dxfId="28214" priority="170" operator="lessThan">
      <formula>$C42</formula>
    </cfRule>
  </conditionalFormatting>
  <conditionalFormatting sqref="D43:E43">
    <cfRule type="expression" dxfId="28213" priority="167">
      <formula>AND($A43&lt;&gt;"",MOD(ROW(),2))</formula>
    </cfRule>
  </conditionalFormatting>
  <conditionalFormatting sqref="D43">
    <cfRule type="cellIs" dxfId="28212" priority="164" operator="equal">
      <formula>$C43</formula>
    </cfRule>
    <cfRule type="cellIs" dxfId="28211" priority="165" operator="greaterThan">
      <formula>$C43</formula>
    </cfRule>
    <cfRule type="cellIs" dxfId="28210" priority="166" operator="lessThan">
      <formula>$C43</formula>
    </cfRule>
  </conditionalFormatting>
  <conditionalFormatting sqref="D44:E44">
    <cfRule type="expression" dxfId="28209" priority="163">
      <formula>AND($A44&lt;&gt;"",MOD(ROW(),2))</formula>
    </cfRule>
  </conditionalFormatting>
  <conditionalFormatting sqref="D44">
    <cfRule type="cellIs" dxfId="28208" priority="160" operator="equal">
      <formula>$C44</formula>
    </cfRule>
    <cfRule type="cellIs" dxfId="28207" priority="161" operator="greaterThan">
      <formula>$C44</formula>
    </cfRule>
    <cfRule type="cellIs" dxfId="28206" priority="162" operator="lessThan">
      <formula>$C44</formula>
    </cfRule>
  </conditionalFormatting>
  <conditionalFormatting sqref="D45:E45">
    <cfRule type="expression" dxfId="28205" priority="159">
      <formula>AND($A45&lt;&gt;"",MOD(ROW(),2))</formula>
    </cfRule>
  </conditionalFormatting>
  <conditionalFormatting sqref="D45">
    <cfRule type="cellIs" dxfId="28204" priority="156" operator="equal">
      <formula>$C45</formula>
    </cfRule>
    <cfRule type="cellIs" dxfId="28203" priority="157" operator="greaterThan">
      <formula>$C45</formula>
    </cfRule>
    <cfRule type="cellIs" dxfId="28202" priority="158" operator="lessThan">
      <formula>$C45</formula>
    </cfRule>
  </conditionalFormatting>
  <conditionalFormatting sqref="D46:E46">
    <cfRule type="expression" dxfId="28201" priority="155">
      <formula>AND($A46&lt;&gt;"",MOD(ROW(),2))</formula>
    </cfRule>
  </conditionalFormatting>
  <conditionalFormatting sqref="D46">
    <cfRule type="cellIs" dxfId="28200" priority="152" operator="equal">
      <formula>$C46</formula>
    </cfRule>
    <cfRule type="cellIs" dxfId="28199" priority="153" operator="greaterThan">
      <formula>$C46</formula>
    </cfRule>
    <cfRule type="cellIs" dxfId="28198" priority="154" operator="lessThan">
      <formula>$C46</formula>
    </cfRule>
  </conditionalFormatting>
  <conditionalFormatting sqref="D47:E47">
    <cfRule type="expression" dxfId="28197" priority="151">
      <formula>AND($A47&lt;&gt;"",MOD(ROW(),2))</formula>
    </cfRule>
  </conditionalFormatting>
  <conditionalFormatting sqref="D47">
    <cfRule type="cellIs" dxfId="28196" priority="148" operator="equal">
      <formula>$C47</formula>
    </cfRule>
    <cfRule type="cellIs" dxfId="28195" priority="149" operator="greaterThan">
      <formula>$C47</formula>
    </cfRule>
    <cfRule type="cellIs" dxfId="28194" priority="150" operator="lessThan">
      <formula>$C47</formula>
    </cfRule>
  </conditionalFormatting>
  <conditionalFormatting sqref="D48:E48">
    <cfRule type="expression" dxfId="28193" priority="147">
      <formula>AND($A48&lt;&gt;"",MOD(ROW(),2))</formula>
    </cfRule>
  </conditionalFormatting>
  <conditionalFormatting sqref="D48">
    <cfRule type="cellIs" dxfId="28192" priority="144" operator="equal">
      <formula>$C48</formula>
    </cfRule>
    <cfRule type="cellIs" dxfId="28191" priority="145" operator="greaterThan">
      <formula>$C48</formula>
    </cfRule>
    <cfRule type="cellIs" dxfId="28190" priority="146" operator="lessThan">
      <formula>$C48</formula>
    </cfRule>
  </conditionalFormatting>
  <conditionalFormatting sqref="D49:E49">
    <cfRule type="expression" dxfId="28189" priority="143">
      <formula>AND($A49&lt;&gt;"",MOD(ROW(),2))</formula>
    </cfRule>
  </conditionalFormatting>
  <conditionalFormatting sqref="D49">
    <cfRule type="cellIs" dxfId="28188" priority="140" operator="equal">
      <formula>$C49</formula>
    </cfRule>
    <cfRule type="cellIs" dxfId="28187" priority="141" operator="greaterThan">
      <formula>$C49</formula>
    </cfRule>
    <cfRule type="cellIs" dxfId="28186" priority="142" operator="lessThan">
      <formula>$C49</formula>
    </cfRule>
  </conditionalFormatting>
  <conditionalFormatting sqref="D50:E50">
    <cfRule type="expression" dxfId="28185" priority="139">
      <formula>AND($A50&lt;&gt;"",MOD(ROW(),2))</formula>
    </cfRule>
  </conditionalFormatting>
  <conditionalFormatting sqref="D50">
    <cfRule type="cellIs" dxfId="28184" priority="136" operator="equal">
      <formula>$C50</formula>
    </cfRule>
    <cfRule type="cellIs" dxfId="28183" priority="137" operator="greaterThan">
      <formula>$C50</formula>
    </cfRule>
    <cfRule type="cellIs" dxfId="28182" priority="138" operator="lessThan">
      <formula>$C50</formula>
    </cfRule>
  </conditionalFormatting>
  <conditionalFormatting sqref="K26:M26">
    <cfRule type="expression" dxfId="28181" priority="1332">
      <formula>AND(#REF!&lt;&gt;"",MOD(ROW(),2))</formula>
    </cfRule>
  </conditionalFormatting>
  <conditionalFormatting sqref="K26">
    <cfRule type="cellIs" dxfId="28180" priority="1333" operator="equal">
      <formula>#REF!</formula>
    </cfRule>
    <cfRule type="cellIs" dxfId="28179" priority="1334" operator="greaterThan">
      <formula>#REF!</formula>
    </cfRule>
    <cfRule type="cellIs" dxfId="28178" priority="1335" operator="lessThan">
      <formula>#REF!</formula>
    </cfRule>
  </conditionalFormatting>
  <conditionalFormatting sqref="K25:M25">
    <cfRule type="expression" dxfId="28177" priority="132">
      <formula>AND(#REF!&lt;&gt;"",MOD(ROW(),2))</formula>
    </cfRule>
  </conditionalFormatting>
  <conditionalFormatting sqref="K25">
    <cfRule type="cellIs" dxfId="28176" priority="133" operator="equal">
      <formula>#REF!</formula>
    </cfRule>
    <cfRule type="cellIs" dxfId="28175" priority="134" operator="greaterThan">
      <formula>#REF!</formula>
    </cfRule>
    <cfRule type="cellIs" dxfId="28174" priority="135" operator="lessThan">
      <formula>#REF!</formula>
    </cfRule>
  </conditionalFormatting>
  <conditionalFormatting sqref="H58">
    <cfRule type="expression" dxfId="28173" priority="131">
      <formula>AND($A58&lt;&gt;"",MOD(ROW(),2))</formula>
    </cfRule>
  </conditionalFormatting>
  <conditionalFormatting sqref="H59">
    <cfRule type="expression" dxfId="28172" priority="130">
      <formula>AND($A59&lt;&gt;"",MOD(ROW(),2))</formula>
    </cfRule>
  </conditionalFormatting>
  <conditionalFormatting sqref="H60">
    <cfRule type="expression" dxfId="28171" priority="129">
      <formula>AND($A60&lt;&gt;"",MOD(ROW(),2))</formula>
    </cfRule>
  </conditionalFormatting>
  <conditionalFormatting sqref="H61">
    <cfRule type="expression" dxfId="28170" priority="128">
      <formula>AND($A61&lt;&gt;"",MOD(ROW(),2))</formula>
    </cfRule>
  </conditionalFormatting>
  <conditionalFormatting sqref="H62">
    <cfRule type="expression" dxfId="28169" priority="127">
      <formula>AND($A62&lt;&gt;"",MOD(ROW(),2))</formula>
    </cfRule>
  </conditionalFormatting>
  <conditionalFormatting sqref="H63">
    <cfRule type="expression" dxfId="28168" priority="126">
      <formula>AND($A63&lt;&gt;"",MOD(ROW(),2))</formula>
    </cfRule>
  </conditionalFormatting>
  <conditionalFormatting sqref="H64">
    <cfRule type="expression" dxfId="28167" priority="125">
      <formula>AND($A64&lt;&gt;"",MOD(ROW(),2))</formula>
    </cfRule>
  </conditionalFormatting>
  <conditionalFormatting sqref="H65">
    <cfRule type="expression" dxfId="28166" priority="124">
      <formula>AND($A65&lt;&gt;"",MOD(ROW(),2))</formula>
    </cfRule>
  </conditionalFormatting>
  <conditionalFormatting sqref="H66">
    <cfRule type="expression" dxfId="28165" priority="123">
      <formula>AND($A66&lt;&gt;"",MOD(ROW(),2))</formula>
    </cfRule>
  </conditionalFormatting>
  <conditionalFormatting sqref="H67">
    <cfRule type="expression" dxfId="28164" priority="122">
      <formula>AND($A67&lt;&gt;"",MOD(ROW(),2))</formula>
    </cfRule>
  </conditionalFormatting>
  <conditionalFormatting sqref="H68">
    <cfRule type="expression" dxfId="28163" priority="121">
      <formula>AND($A68&lt;&gt;"",MOD(ROW(),2))</formula>
    </cfRule>
  </conditionalFormatting>
  <conditionalFormatting sqref="H69">
    <cfRule type="expression" dxfId="28162" priority="120">
      <formula>AND($A69&lt;&gt;"",MOD(ROW(),2))</formula>
    </cfRule>
  </conditionalFormatting>
  <conditionalFormatting sqref="H70">
    <cfRule type="expression" dxfId="28161" priority="119">
      <formula>AND($A70&lt;&gt;"",MOD(ROW(),2))</formula>
    </cfRule>
  </conditionalFormatting>
  <conditionalFormatting sqref="H71">
    <cfRule type="expression" dxfId="28160" priority="118">
      <formula>AND($A71&lt;&gt;"",MOD(ROW(),2))</formula>
    </cfRule>
  </conditionalFormatting>
  <conditionalFormatting sqref="D58">
    <cfRule type="expression" dxfId="28159" priority="117">
      <formula>AND($A58&lt;&gt;"",MOD(ROW(),2))</formula>
    </cfRule>
  </conditionalFormatting>
  <conditionalFormatting sqref="D58">
    <cfRule type="cellIs" dxfId="28158" priority="114" operator="equal">
      <formula>$C58</formula>
    </cfRule>
    <cfRule type="cellIs" dxfId="28157" priority="115" operator="greaterThan">
      <formula>$C58</formula>
    </cfRule>
    <cfRule type="cellIs" dxfId="28156" priority="116" operator="lessThan">
      <formula>$C58</formula>
    </cfRule>
  </conditionalFormatting>
  <conditionalFormatting sqref="D59">
    <cfRule type="expression" dxfId="28155" priority="113">
      <formula>AND($A59&lt;&gt;"",MOD(ROW(),2))</formula>
    </cfRule>
  </conditionalFormatting>
  <conditionalFormatting sqref="D59">
    <cfRule type="cellIs" dxfId="28154" priority="110" operator="equal">
      <formula>$C59</formula>
    </cfRule>
    <cfRule type="cellIs" dxfId="28153" priority="111" operator="greaterThan">
      <formula>$C59</formula>
    </cfRule>
    <cfRule type="cellIs" dxfId="28152" priority="112" operator="lessThan">
      <formula>$C59</formula>
    </cfRule>
  </conditionalFormatting>
  <conditionalFormatting sqref="D60">
    <cfRule type="expression" dxfId="28151" priority="109">
      <formula>AND($A60&lt;&gt;"",MOD(ROW(),2))</formula>
    </cfRule>
  </conditionalFormatting>
  <conditionalFormatting sqref="D60">
    <cfRule type="cellIs" dxfId="28150" priority="106" operator="equal">
      <formula>$C60</formula>
    </cfRule>
    <cfRule type="cellIs" dxfId="28149" priority="107" operator="greaterThan">
      <formula>$C60</formula>
    </cfRule>
    <cfRule type="cellIs" dxfId="28148" priority="108" operator="lessThan">
      <formula>$C60</formula>
    </cfRule>
  </conditionalFormatting>
  <conditionalFormatting sqref="D61">
    <cfRule type="expression" dxfId="28147" priority="105">
      <formula>AND($A61&lt;&gt;"",MOD(ROW(),2))</formula>
    </cfRule>
  </conditionalFormatting>
  <conditionalFormatting sqref="D61">
    <cfRule type="cellIs" dxfId="28146" priority="102" operator="equal">
      <formula>$C61</formula>
    </cfRule>
    <cfRule type="cellIs" dxfId="28145" priority="103" operator="greaterThan">
      <formula>$C61</formula>
    </cfRule>
    <cfRule type="cellIs" dxfId="28144" priority="104" operator="lessThan">
      <formula>$C61</formula>
    </cfRule>
  </conditionalFormatting>
  <conditionalFormatting sqref="D62">
    <cfRule type="expression" dxfId="28143" priority="101">
      <formula>AND($A62&lt;&gt;"",MOD(ROW(),2))</formula>
    </cfRule>
  </conditionalFormatting>
  <conditionalFormatting sqref="D62">
    <cfRule type="cellIs" dxfId="28142" priority="98" operator="equal">
      <formula>$C62</formula>
    </cfRule>
    <cfRule type="cellIs" dxfId="28141" priority="99" operator="greaterThan">
      <formula>$C62</formula>
    </cfRule>
    <cfRule type="cellIs" dxfId="28140" priority="100" operator="lessThan">
      <formula>$C62</formula>
    </cfRule>
  </conditionalFormatting>
  <conditionalFormatting sqref="D63">
    <cfRule type="expression" dxfId="28139" priority="97">
      <formula>AND($A63&lt;&gt;"",MOD(ROW(),2))</formula>
    </cfRule>
  </conditionalFormatting>
  <conditionalFormatting sqref="D63">
    <cfRule type="cellIs" dxfId="28138" priority="94" operator="equal">
      <formula>$C63</formula>
    </cfRule>
    <cfRule type="cellIs" dxfId="28137" priority="95" operator="greaterThan">
      <formula>$C63</formula>
    </cfRule>
    <cfRule type="cellIs" dxfId="28136" priority="96" operator="lessThan">
      <formula>$C63</formula>
    </cfRule>
  </conditionalFormatting>
  <conditionalFormatting sqref="D64">
    <cfRule type="expression" dxfId="28135" priority="93">
      <formula>AND($A64&lt;&gt;"",MOD(ROW(),2))</formula>
    </cfRule>
  </conditionalFormatting>
  <conditionalFormatting sqref="D64">
    <cfRule type="cellIs" dxfId="28134" priority="90" operator="equal">
      <formula>$C64</formula>
    </cfRule>
    <cfRule type="cellIs" dxfId="28133" priority="91" operator="greaterThan">
      <formula>$C64</formula>
    </cfRule>
    <cfRule type="cellIs" dxfId="28132" priority="92" operator="lessThan">
      <formula>$C64</formula>
    </cfRule>
  </conditionalFormatting>
  <conditionalFormatting sqref="D65">
    <cfRule type="expression" dxfId="28131" priority="89">
      <formula>AND($A65&lt;&gt;"",MOD(ROW(),2))</formula>
    </cfRule>
  </conditionalFormatting>
  <conditionalFormatting sqref="D65">
    <cfRule type="cellIs" dxfId="28130" priority="86" operator="equal">
      <formula>$C65</formula>
    </cfRule>
    <cfRule type="cellIs" dxfId="28129" priority="87" operator="greaterThan">
      <formula>$C65</formula>
    </cfRule>
    <cfRule type="cellIs" dxfId="28128" priority="88" operator="lessThan">
      <formula>$C65</formula>
    </cfRule>
  </conditionalFormatting>
  <conditionalFormatting sqref="D66">
    <cfRule type="expression" dxfId="28127" priority="85">
      <formula>AND($A66&lt;&gt;"",MOD(ROW(),2))</formula>
    </cfRule>
  </conditionalFormatting>
  <conditionalFormatting sqref="D66">
    <cfRule type="cellIs" dxfId="28126" priority="82" operator="equal">
      <formula>$C66</formula>
    </cfRule>
    <cfRule type="cellIs" dxfId="28125" priority="83" operator="greaterThan">
      <formula>$C66</formula>
    </cfRule>
    <cfRule type="cellIs" dxfId="28124" priority="84" operator="lessThan">
      <formula>$C66</formula>
    </cfRule>
  </conditionalFormatting>
  <conditionalFormatting sqref="D67">
    <cfRule type="expression" dxfId="28123" priority="81">
      <formula>AND($A67&lt;&gt;"",MOD(ROW(),2))</formula>
    </cfRule>
  </conditionalFormatting>
  <conditionalFormatting sqref="D67">
    <cfRule type="cellIs" dxfId="28122" priority="78" operator="equal">
      <formula>$C67</formula>
    </cfRule>
    <cfRule type="cellIs" dxfId="28121" priority="79" operator="greaterThan">
      <formula>$C67</formula>
    </cfRule>
    <cfRule type="cellIs" dxfId="28120" priority="80" operator="lessThan">
      <formula>$C67</formula>
    </cfRule>
  </conditionalFormatting>
  <conditionalFormatting sqref="D68">
    <cfRule type="expression" dxfId="28119" priority="77">
      <formula>AND($A68&lt;&gt;"",MOD(ROW(),2))</formula>
    </cfRule>
  </conditionalFormatting>
  <conditionalFormatting sqref="D68">
    <cfRule type="cellIs" dxfId="28118" priority="74" operator="equal">
      <formula>$C68</formula>
    </cfRule>
    <cfRule type="cellIs" dxfId="28117" priority="75" operator="greaterThan">
      <formula>$C68</formula>
    </cfRule>
    <cfRule type="cellIs" dxfId="28116" priority="76" operator="lessThan">
      <formula>$C68</formula>
    </cfRule>
  </conditionalFormatting>
  <conditionalFormatting sqref="G58">
    <cfRule type="expression" dxfId="28115" priority="73">
      <formula>AND($A58&lt;&gt;"",MOD(ROW(),2))</formula>
    </cfRule>
  </conditionalFormatting>
  <conditionalFormatting sqref="G59">
    <cfRule type="expression" dxfId="28114" priority="72">
      <formula>AND($A59&lt;&gt;"",MOD(ROW(),2))</formula>
    </cfRule>
  </conditionalFormatting>
  <conditionalFormatting sqref="G60">
    <cfRule type="expression" dxfId="28113" priority="71">
      <formula>AND($A60&lt;&gt;"",MOD(ROW(),2))</formula>
    </cfRule>
  </conditionalFormatting>
  <conditionalFormatting sqref="G61">
    <cfRule type="expression" dxfId="28112" priority="70">
      <formula>AND($A61&lt;&gt;"",MOD(ROW(),2))</formula>
    </cfRule>
  </conditionalFormatting>
  <conditionalFormatting sqref="G62">
    <cfRule type="expression" dxfId="28111" priority="69">
      <formula>AND($A62&lt;&gt;"",MOD(ROW(),2))</formula>
    </cfRule>
  </conditionalFormatting>
  <conditionalFormatting sqref="G63">
    <cfRule type="expression" dxfId="28110" priority="68">
      <formula>AND($A63&lt;&gt;"",MOD(ROW(),2))</formula>
    </cfRule>
  </conditionalFormatting>
  <conditionalFormatting sqref="G64">
    <cfRule type="expression" dxfId="28109" priority="67">
      <formula>AND($A64&lt;&gt;"",MOD(ROW(),2))</formula>
    </cfRule>
  </conditionalFormatting>
  <conditionalFormatting sqref="G65">
    <cfRule type="expression" dxfId="28108" priority="66">
      <formula>AND($A65&lt;&gt;"",MOD(ROW(),2))</formula>
    </cfRule>
  </conditionalFormatting>
  <conditionalFormatting sqref="G66">
    <cfRule type="expression" dxfId="28107" priority="65">
      <formula>AND($A66&lt;&gt;"",MOD(ROW(),2))</formula>
    </cfRule>
  </conditionalFormatting>
  <conditionalFormatting sqref="G67">
    <cfRule type="expression" dxfId="28106" priority="64">
      <formula>AND($A67&lt;&gt;"",MOD(ROW(),2))</formula>
    </cfRule>
  </conditionalFormatting>
  <conditionalFormatting sqref="G68">
    <cfRule type="expression" dxfId="28105" priority="63">
      <formula>AND($A68&lt;&gt;"",MOD(ROW(),2))</formula>
    </cfRule>
  </conditionalFormatting>
  <conditionalFormatting sqref="G69">
    <cfRule type="expression" dxfId="28104" priority="62">
      <formula>AND($A69&lt;&gt;"",MOD(ROW(),2))</formula>
    </cfRule>
  </conditionalFormatting>
  <conditionalFormatting sqref="G70">
    <cfRule type="expression" dxfId="28103" priority="61">
      <formula>AND($A70&lt;&gt;"",MOD(ROW(),2))</formula>
    </cfRule>
  </conditionalFormatting>
  <conditionalFormatting sqref="G71">
    <cfRule type="expression" dxfId="28102" priority="60">
      <formula>AND($A71&lt;&gt;"",MOD(ROW(),2))</formula>
    </cfRule>
  </conditionalFormatting>
  <conditionalFormatting sqref="F69">
    <cfRule type="containsText" dxfId="28101" priority="58" operator="containsText" text="Unpaid Rent">
      <formula>NOT(ISERROR(SEARCH("Unpaid Rent",F69)))</formula>
    </cfRule>
    <cfRule type="containsText" dxfId="28100" priority="59" stopIfTrue="1" operator="containsText" text="Closed Account">
      <formula>NOT(ISERROR(SEARCH("Closed Account",F69)))</formula>
    </cfRule>
  </conditionalFormatting>
  <conditionalFormatting sqref="D69">
    <cfRule type="expression" dxfId="28099" priority="57">
      <formula>AND($A69&lt;&gt;"",MOD(ROW(),2))</formula>
    </cfRule>
  </conditionalFormatting>
  <conditionalFormatting sqref="D69">
    <cfRule type="cellIs" dxfId="28098" priority="54" operator="equal">
      <formula>$C69</formula>
    </cfRule>
    <cfRule type="cellIs" dxfId="28097" priority="55" operator="greaterThan">
      <formula>$C69</formula>
    </cfRule>
    <cfRule type="cellIs" dxfId="28096" priority="56" operator="lessThan">
      <formula>$C69</formula>
    </cfRule>
  </conditionalFormatting>
  <conditionalFormatting sqref="F70">
    <cfRule type="containsText" dxfId="28095" priority="52" operator="containsText" text="Unpaid Rent">
      <formula>NOT(ISERROR(SEARCH("Unpaid Rent",F70)))</formula>
    </cfRule>
    <cfRule type="containsText" dxfId="28094" priority="53" stopIfTrue="1" operator="containsText" text="Closed Account">
      <formula>NOT(ISERROR(SEARCH("Closed Account",F70)))</formula>
    </cfRule>
  </conditionalFormatting>
  <conditionalFormatting sqref="D70">
    <cfRule type="expression" dxfId="28093" priority="51">
      <formula>AND($A70&lt;&gt;"",MOD(ROW(),2))</formula>
    </cfRule>
  </conditionalFormatting>
  <conditionalFormatting sqref="D70">
    <cfRule type="cellIs" dxfId="28092" priority="48" operator="equal">
      <formula>$C70</formula>
    </cfRule>
    <cfRule type="cellIs" dxfId="28091" priority="49" operator="greaterThan">
      <formula>$C70</formula>
    </cfRule>
    <cfRule type="cellIs" dxfId="28090" priority="50" operator="lessThan">
      <formula>$C70</formula>
    </cfRule>
  </conditionalFormatting>
  <conditionalFormatting sqref="F71">
    <cfRule type="containsText" dxfId="28089" priority="46" operator="containsText" text="Unpaid Rent">
      <formula>NOT(ISERROR(SEARCH("Unpaid Rent",F71)))</formula>
    </cfRule>
    <cfRule type="containsText" dxfId="28088" priority="47" stopIfTrue="1" operator="containsText" text="Closed Account">
      <formula>NOT(ISERROR(SEARCH("Closed Account",F71)))</formula>
    </cfRule>
  </conditionalFormatting>
  <conditionalFormatting sqref="D71">
    <cfRule type="expression" dxfId="28087" priority="45">
      <formula>AND($A71&lt;&gt;"",MOD(ROW(),2))</formula>
    </cfRule>
  </conditionalFormatting>
  <conditionalFormatting sqref="D71">
    <cfRule type="cellIs" dxfId="28086" priority="42" operator="equal">
      <formula>$C71</formula>
    </cfRule>
    <cfRule type="cellIs" dxfId="28085" priority="43" operator="greaterThan">
      <formula>$C71</formula>
    </cfRule>
    <cfRule type="cellIs" dxfId="28084" priority="44" operator="lessThan">
      <formula>$C71</formula>
    </cfRule>
  </conditionalFormatting>
  <conditionalFormatting sqref="H151">
    <cfRule type="expression" dxfId="28083" priority="41">
      <formula>AND($A151&lt;&gt;"",MOD(ROW(),2))</formula>
    </cfRule>
  </conditionalFormatting>
  <conditionalFormatting sqref="D151">
    <cfRule type="expression" dxfId="28082" priority="40">
      <formula>AND($A151&lt;&gt;"",MOD(ROW(),2))</formula>
    </cfRule>
  </conditionalFormatting>
  <conditionalFormatting sqref="D151">
    <cfRule type="cellIs" dxfId="28081" priority="37" operator="equal">
      <formula>$C151</formula>
    </cfRule>
    <cfRule type="cellIs" dxfId="28080" priority="38" operator="greaterThan">
      <formula>$C151</formula>
    </cfRule>
    <cfRule type="cellIs" dxfId="28079" priority="39" operator="lessThan">
      <formula>$C151</formula>
    </cfRule>
  </conditionalFormatting>
  <conditionalFormatting sqref="H152">
    <cfRule type="expression" dxfId="28078" priority="36">
      <formula>AND($A152&lt;&gt;"",MOD(ROW(),2))</formula>
    </cfRule>
  </conditionalFormatting>
  <conditionalFormatting sqref="C71:C73 I71:I73">
    <cfRule type="expression" dxfId="28077" priority="35">
      <formula>AND($A71&lt;&gt;"",MOD(ROW(),2))</formula>
    </cfRule>
  </conditionalFormatting>
  <conditionalFormatting sqref="F71:F73">
    <cfRule type="containsText" dxfId="28076" priority="33" operator="containsText" text="Unpaid Rent">
      <formula>NOT(ISERROR(SEARCH("Unpaid Rent",F71)))</formula>
    </cfRule>
    <cfRule type="containsText" dxfId="28075" priority="34" stopIfTrue="1" operator="containsText" text="Closed Account">
      <formula>NOT(ISERROR(SEARCH("Closed Account",F71)))</formula>
    </cfRule>
  </conditionalFormatting>
  <conditionalFormatting sqref="H72">
    <cfRule type="expression" dxfId="28074" priority="32">
      <formula>AND($A72&lt;&gt;"",MOD(ROW(),2))</formula>
    </cfRule>
  </conditionalFormatting>
  <conditionalFormatting sqref="D72">
    <cfRule type="expression" dxfId="28073" priority="31">
      <formula>AND($A72&lt;&gt;"",MOD(ROW(),2))</formula>
    </cfRule>
  </conditionalFormatting>
  <conditionalFormatting sqref="D72">
    <cfRule type="cellIs" dxfId="28072" priority="28" operator="equal">
      <formula>$C72</formula>
    </cfRule>
    <cfRule type="cellIs" dxfId="28071" priority="29" operator="greaterThan">
      <formula>$C72</formula>
    </cfRule>
    <cfRule type="cellIs" dxfId="28070" priority="30" operator="lessThan">
      <formula>$C72</formula>
    </cfRule>
  </conditionalFormatting>
  <conditionalFormatting sqref="H73:H150">
    <cfRule type="expression" dxfId="28069" priority="27">
      <formula>AND($A73&lt;&gt;"",MOD(ROW(),2))</formula>
    </cfRule>
  </conditionalFormatting>
  <conditionalFormatting sqref="F72">
    <cfRule type="containsText" dxfId="28068" priority="25" operator="containsText" text="Unpaid Rent">
      <formula>NOT(ISERROR(SEARCH("Unpaid Rent",F72)))</formula>
    </cfRule>
    <cfRule type="containsText" dxfId="28067" priority="26" stopIfTrue="1" operator="containsText" text="Closed Account">
      <formula>NOT(ISERROR(SEARCH("Closed Account",F72)))</formula>
    </cfRule>
  </conditionalFormatting>
  <conditionalFormatting sqref="D72">
    <cfRule type="expression" dxfId="28066" priority="24">
      <formula>AND($A72&lt;&gt;"",MOD(ROW(),2))</formula>
    </cfRule>
  </conditionalFormatting>
  <conditionalFormatting sqref="D72">
    <cfRule type="cellIs" dxfId="28065" priority="21" operator="equal">
      <formula>$C72</formula>
    </cfRule>
    <cfRule type="cellIs" dxfId="28064" priority="22" operator="greaterThan">
      <formula>$C72</formula>
    </cfRule>
    <cfRule type="cellIs" dxfId="28063" priority="23" operator="lessThan">
      <formula>$C72</formula>
    </cfRule>
  </conditionalFormatting>
  <conditionalFormatting sqref="D73">
    <cfRule type="expression" dxfId="28062" priority="20">
      <formula>AND($A73&lt;&gt;"",MOD(ROW(),2))</formula>
    </cfRule>
  </conditionalFormatting>
  <conditionalFormatting sqref="D73">
    <cfRule type="cellIs" dxfId="28061" priority="17" operator="equal">
      <formula>$C73</formula>
    </cfRule>
    <cfRule type="cellIs" dxfId="28060" priority="18" operator="greaterThan">
      <formula>$C73</formula>
    </cfRule>
    <cfRule type="cellIs" dxfId="28059" priority="19" operator="lessThan">
      <formula>$C73</formula>
    </cfRule>
  </conditionalFormatting>
  <conditionalFormatting sqref="H71">
    <cfRule type="expression" dxfId="28058" priority="16">
      <formula>AND($A71&lt;&gt;"",MOD(ROW(),2))</formula>
    </cfRule>
  </conditionalFormatting>
  <conditionalFormatting sqref="D71">
    <cfRule type="expression" dxfId="28057" priority="15">
      <formula>AND($A71&lt;&gt;"",MOD(ROW(),2))</formula>
    </cfRule>
  </conditionalFormatting>
  <conditionalFormatting sqref="D71">
    <cfRule type="cellIs" dxfId="28056" priority="12" operator="equal">
      <formula>$C71</formula>
    </cfRule>
    <cfRule type="cellIs" dxfId="28055" priority="13" operator="greaterThan">
      <formula>$C71</formula>
    </cfRule>
    <cfRule type="cellIs" dxfId="28054" priority="14" operator="lessThan">
      <formula>$C71</formula>
    </cfRule>
  </conditionalFormatting>
  <conditionalFormatting sqref="H72">
    <cfRule type="expression" dxfId="28053" priority="11">
      <formula>AND($A72&lt;&gt;"",MOD(ROW(),2))</formula>
    </cfRule>
  </conditionalFormatting>
  <conditionalFormatting sqref="F71">
    <cfRule type="containsText" dxfId="28052" priority="9" operator="containsText" text="Unpaid Rent">
      <formula>NOT(ISERROR(SEARCH("Unpaid Rent",F71)))</formula>
    </cfRule>
    <cfRule type="containsText" dxfId="28051" priority="10" stopIfTrue="1" operator="containsText" text="Closed Account">
      <formula>NOT(ISERROR(SEARCH("Closed Account",F71)))</formula>
    </cfRule>
  </conditionalFormatting>
  <conditionalFormatting sqref="D71">
    <cfRule type="expression" dxfId="28050" priority="8">
      <formula>AND($A71&lt;&gt;"",MOD(ROW(),2))</formula>
    </cfRule>
  </conditionalFormatting>
  <conditionalFormatting sqref="D71">
    <cfRule type="cellIs" dxfId="28049" priority="5" operator="equal">
      <formula>$C71</formula>
    </cfRule>
    <cfRule type="cellIs" dxfId="28048" priority="6" operator="greaterThan">
      <formula>$C71</formula>
    </cfRule>
    <cfRule type="cellIs" dxfId="28047" priority="7" operator="lessThan">
      <formula>$C71</formula>
    </cfRule>
  </conditionalFormatting>
  <conditionalFormatting sqref="D72">
    <cfRule type="expression" dxfId="28046" priority="4">
      <formula>AND($A72&lt;&gt;"",MOD(ROW(),2))</formula>
    </cfRule>
  </conditionalFormatting>
  <conditionalFormatting sqref="D72">
    <cfRule type="cellIs" dxfId="28045" priority="1" operator="equal">
      <formula>$C72</formula>
    </cfRule>
    <cfRule type="cellIs" dxfId="28044" priority="2" operator="greaterThan">
      <formula>$C72</formula>
    </cfRule>
    <cfRule type="cellIs" dxfId="28043" priority="3" operator="lessThan">
      <formula>$C72</formula>
    </cfRule>
  </conditionalFormatting>
  <pageMargins left="0.75" right="0.75" top="1" bottom="1" header="0.5" footer="0.5"/>
  <pageSetup paperSize="9" orientation="portrait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="Payment Method" xr:uid="{00000000-0002-0000-0000-000000000000}">
          <x14:formula1>
            <xm:f>PullDownValues!$B$2:$B$12</xm:f>
          </x14:formula1>
          <xm:sqref>F7:F288</xm:sqref>
        </x14:dataValidation>
        <x14:dataValidation type="list" allowBlank="1" showInputMessage="1" showErrorMessage="1" xr:uid="{00000000-0002-0000-0000-000001000000}">
          <x14:formula1>
            <xm:f>PullDownValues!$F$2:$F$14</xm:f>
          </x14:formula1>
          <xm:sqref>L7:L354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354"/>
  <sheetViews>
    <sheetView zoomScaleNormal="100" workbookViewId="0">
      <pane ySplit="5" topLeftCell="A6" activePane="bottomLeft" state="frozen"/>
      <selection pane="bottomLeft" activeCell="K36" sqref="K36"/>
    </sheetView>
  </sheetViews>
  <sheetFormatPr defaultColWidth="8.85546875" defaultRowHeight="15" customHeight="1" x14ac:dyDescent="0.25"/>
  <cols>
    <col min="1" max="1" width="3.28515625" style="10" bestFit="1" customWidth="1"/>
    <col min="2" max="2" width="12.5703125" bestFit="1" customWidth="1"/>
    <col min="3" max="3" width="10.140625" customWidth="1"/>
    <col min="4" max="4" width="9.28515625" customWidth="1"/>
    <col min="5" max="5" width="10.7109375" bestFit="1" customWidth="1"/>
    <col min="6" max="6" width="15.28515625" customWidth="1"/>
    <col min="7" max="7" width="9.42578125" style="31" customWidth="1"/>
    <col min="8" max="8" width="11.5703125" bestFit="1" customWidth="1"/>
    <col min="9" max="9" width="12.7109375" bestFit="1" customWidth="1"/>
    <col min="10" max="10" width="15.140625" customWidth="1"/>
    <col min="11" max="11" width="12" customWidth="1"/>
    <col min="12" max="12" width="12.5703125" customWidth="1"/>
    <col min="13" max="13" width="10.7109375" customWidth="1"/>
    <col min="14" max="14" width="12.7109375" customWidth="1"/>
    <col min="15" max="16" width="10.5703125" customWidth="1"/>
    <col min="17" max="17" width="10.5703125" bestFit="1" customWidth="1"/>
  </cols>
  <sheetData>
    <row r="1" spans="1:18" ht="35.1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5">
        <f>SUM(P6:P90)-O4</f>
        <v>0</v>
      </c>
      <c r="P1" s="255"/>
      <c r="Q1" s="114"/>
      <c r="R1" s="114"/>
    </row>
    <row r="2" spans="1:18" s="9" customFormat="1" ht="15.95" customHeight="1" x14ac:dyDescent="0.25">
      <c r="A2" s="283" t="s">
        <v>4</v>
      </c>
      <c r="B2" s="283"/>
      <c r="C2" s="283"/>
      <c r="D2" s="283"/>
      <c r="E2" s="283"/>
      <c r="F2" s="283"/>
      <c r="G2" s="285">
        <f>SUM($D$6:$D$2989)-SUMIF($F$7:$F$289,"Bond Received",$D$7:$D$2989)-SUMIF($F$7:$F$289,"Unpaid Rent",$D$7:$D$2989)-(SUMIF($F$7:$F$289,"Discount Rent",$D$7:$D$2989)*2)</f>
        <v>10014</v>
      </c>
      <c r="H2" s="285"/>
      <c r="I2" s="285"/>
      <c r="J2" s="287" t="s">
        <v>5</v>
      </c>
      <c r="K2" s="287"/>
      <c r="L2" s="287"/>
      <c r="M2" s="262">
        <f>SUM($K$6:$K$2989)-SUMIF($L$6:$L$2989,"Bond Return",$K$6:$K$2989)</f>
        <v>5637.29</v>
      </c>
      <c r="N2" s="263"/>
      <c r="O2" s="265"/>
      <c r="P2" s="265"/>
      <c r="Q2" s="35"/>
    </row>
    <row r="3" spans="1:18" s="9" customFormat="1" ht="15.95" customHeight="1" x14ac:dyDescent="0.25">
      <c r="A3" s="284"/>
      <c r="B3" s="284"/>
      <c r="C3" s="284"/>
      <c r="D3" s="284"/>
      <c r="E3" s="284"/>
      <c r="F3" s="284"/>
      <c r="G3" s="286"/>
      <c r="H3" s="286"/>
      <c r="I3" s="286"/>
      <c r="J3" s="288"/>
      <c r="K3" s="288"/>
      <c r="L3" s="288"/>
      <c r="M3" s="264"/>
      <c r="N3" s="264"/>
      <c r="O3" s="266"/>
      <c r="P3" s="266"/>
    </row>
    <row r="4" spans="1:18" s="9" customFormat="1" ht="15.95" customHeight="1" x14ac:dyDescent="0.25">
      <c r="A4" s="244" t="s">
        <v>6</v>
      </c>
      <c r="B4" s="244" t="s">
        <v>7</v>
      </c>
      <c r="C4" s="267" t="s">
        <v>8</v>
      </c>
      <c r="D4" s="269" t="s">
        <v>9</v>
      </c>
      <c r="E4" s="269" t="s">
        <v>10</v>
      </c>
      <c r="F4" s="252" t="s">
        <v>112</v>
      </c>
      <c r="G4" s="276" t="s">
        <v>11</v>
      </c>
      <c r="H4" s="244" t="s">
        <v>12</v>
      </c>
      <c r="I4" s="322" t="s">
        <v>113</v>
      </c>
      <c r="J4" s="246" t="s">
        <v>13</v>
      </c>
      <c r="K4" s="246" t="s">
        <v>14</v>
      </c>
      <c r="L4" s="248" t="s">
        <v>15</v>
      </c>
      <c r="M4" s="249"/>
      <c r="N4" s="271" t="s">
        <v>113</v>
      </c>
      <c r="O4" s="273">
        <f>G2-M2</f>
        <v>4376.71</v>
      </c>
      <c r="P4" s="274">
        <f>SUM(P2:P3)</f>
        <v>0</v>
      </c>
      <c r="Q4" s="63"/>
    </row>
    <row r="5" spans="1:18" s="10" customFormat="1" x14ac:dyDescent="0.25">
      <c r="A5" s="245"/>
      <c r="B5" s="245"/>
      <c r="C5" s="268"/>
      <c r="D5" s="270"/>
      <c r="E5" s="270"/>
      <c r="F5" s="253"/>
      <c r="G5" s="277"/>
      <c r="H5" s="245"/>
      <c r="I5" s="323"/>
      <c r="J5" s="247"/>
      <c r="K5" s="247"/>
      <c r="L5" s="250"/>
      <c r="M5" s="251"/>
      <c r="N5" s="272"/>
      <c r="O5" s="275"/>
      <c r="P5" s="275"/>
      <c r="Q5" s="18"/>
      <c r="R5" s="64"/>
    </row>
    <row r="6" spans="1:18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1"/>
      <c r="K6" s="42"/>
      <c r="L6" s="43" t="s">
        <v>123</v>
      </c>
      <c r="M6" s="43"/>
      <c r="N6" s="43"/>
      <c r="O6"/>
    </row>
    <row r="7" spans="1:18" ht="15" customHeight="1" x14ac:dyDescent="0.25">
      <c r="A7" s="10">
        <v>1</v>
      </c>
      <c r="B7" s="48">
        <v>44557</v>
      </c>
      <c r="C7" s="17">
        <v>300</v>
      </c>
      <c r="D7" s="17">
        <v>300</v>
      </c>
      <c r="E7" s="16">
        <v>44557</v>
      </c>
      <c r="F7" s="16" t="s">
        <v>181</v>
      </c>
      <c r="H7" s="17">
        <f>IFERROR(IF(F6="Closed account",(IF(F7="Unpaid Rent",(C7),(C7-D7))),(IF(F7="Unpaid Rent",(C7+H6),(C7-D7+H6)))),"")</f>
        <v>0</v>
      </c>
      <c r="I7" s="17" t="s">
        <v>766</v>
      </c>
      <c r="J7" s="48">
        <v>44551</v>
      </c>
      <c r="K7" s="17">
        <v>45.44</v>
      </c>
      <c r="L7" s="49" t="s">
        <v>32</v>
      </c>
      <c r="N7" t="s">
        <v>766</v>
      </c>
      <c r="O7" t="s">
        <v>766</v>
      </c>
      <c r="P7" s="111">
        <f>SUMIF($I$6:$I$2992,O7,$D$6:$D$2992)-SUMIFS($D$6:$D$2992,$I$6:$I$2992,O7,$F$6:$F$2992,"Unpaid Rent")-(SUMIFS($D$6:$D$2992,$I$6:$I$2992,O7,$F$6:$F$2992,"Discount Rent")*2)-(SUMIFS($D$6:$D$2992,$I$6:$I$2992,O7,$F$6:$F$2992,"Bond Received"))-SUMIF($N$6:$N$2989,O7,$K$6:$K$2989)+SUMIFS($K$6:$K$2989,$N$6:$N$2989,O7,$L$6:$L$2989,"Bond Return")</f>
        <v>4343.08</v>
      </c>
    </row>
    <row r="8" spans="1:18" ht="15" customHeight="1" x14ac:dyDescent="0.25">
      <c r="A8" s="10">
        <v>1</v>
      </c>
      <c r="B8" s="48">
        <v>44557</v>
      </c>
      <c r="C8" s="17">
        <v>210</v>
      </c>
      <c r="D8" s="17">
        <v>210</v>
      </c>
      <c r="E8" s="16">
        <v>44557</v>
      </c>
      <c r="F8" s="16" t="s">
        <v>117</v>
      </c>
      <c r="H8" s="17">
        <f>IFERROR(IF(F7="Closed account",(IF(F8="Unpaid Rent",(C8),(C8-D8))),(IF(F8="Unpaid Rent",(C8+H7),(C8-D8+H7)))),"")</f>
        <v>0</v>
      </c>
      <c r="I8" s="17" t="s">
        <v>766</v>
      </c>
      <c r="J8" s="48">
        <v>44569</v>
      </c>
      <c r="K8" s="17">
        <v>230</v>
      </c>
      <c r="L8" s="49" t="s">
        <v>17</v>
      </c>
      <c r="M8" t="s">
        <v>436</v>
      </c>
      <c r="N8" t="s">
        <v>766</v>
      </c>
      <c r="O8" s="9" t="s">
        <v>14</v>
      </c>
      <c r="P8" s="111">
        <f t="shared" ref="P8:P52" si="0">SUMIF($I$6:$I$2992,O8,$D$6:$D$2992)-SUMIFS($D$6:$D$2992,$I$6:$I$2992,O8,$F$6:$F$2992,"Unpaid Rent")-(SUMIFS($D$6:$D$2992,$I$6:$I$2992,O8,$F$6:$F$2992,"Discount Rent")*2)-(SUMIFS($D$6:$D$2992,$I$6:$I$2992,O8,$F$6:$F$2992,"Bond Received"))-SUMIF($N$6:$N$2989,O8,$K$6:$K$2989)+SUMIFS($K$6:$K$2989,$N$6:$N$2989,O8,$L$6:$L$2989,"Bond Return")</f>
        <v>-3694.6899999999996</v>
      </c>
    </row>
    <row r="9" spans="1:18" ht="15" customHeight="1" x14ac:dyDescent="0.25">
      <c r="A9" s="10">
        <v>2</v>
      </c>
      <c r="B9" s="48">
        <f t="shared" ref="B9:B15" si="1">B8+7</f>
        <v>44564</v>
      </c>
      <c r="C9" s="17">
        <v>210</v>
      </c>
      <c r="D9" s="17">
        <v>210</v>
      </c>
      <c r="E9" s="16">
        <v>44565</v>
      </c>
      <c r="F9" s="16" t="s">
        <v>117</v>
      </c>
      <c r="H9" s="17">
        <f t="shared" ref="H9:H26" si="2">IFERROR(IF(F8="Closed account",(IF(F9="Unpaid Rent",(C9),(C9-D9))),(IF(F9="Unpaid Rent",(C9+H8),(C9-D9+H8)))),"")</f>
        <v>0</v>
      </c>
      <c r="I9" s="17" t="s">
        <v>766</v>
      </c>
      <c r="J9" s="48">
        <v>44569</v>
      </c>
      <c r="K9" s="17">
        <v>253</v>
      </c>
      <c r="L9" s="49" t="s">
        <v>17</v>
      </c>
      <c r="M9" t="s">
        <v>675</v>
      </c>
      <c r="N9" t="s">
        <v>14</v>
      </c>
      <c r="O9" s="13" t="s">
        <v>995</v>
      </c>
      <c r="P9" s="111">
        <f t="shared" si="0"/>
        <v>2970</v>
      </c>
    </row>
    <row r="10" spans="1:18" ht="15" customHeight="1" x14ac:dyDescent="0.25">
      <c r="A10" s="10">
        <v>3</v>
      </c>
      <c r="B10" s="48">
        <f t="shared" si="1"/>
        <v>44571</v>
      </c>
      <c r="C10" s="17">
        <v>200</v>
      </c>
      <c r="D10" s="17">
        <v>200</v>
      </c>
      <c r="E10" s="16">
        <v>44572</v>
      </c>
      <c r="F10" s="16" t="s">
        <v>114</v>
      </c>
      <c r="G10" s="31" t="s">
        <v>793</v>
      </c>
      <c r="H10" s="17">
        <f t="shared" si="2"/>
        <v>0</v>
      </c>
      <c r="I10" s="17" t="s">
        <v>766</v>
      </c>
      <c r="J10" s="48">
        <v>44631</v>
      </c>
      <c r="K10" s="17">
        <v>45</v>
      </c>
      <c r="L10" s="49" t="s">
        <v>17</v>
      </c>
      <c r="M10" t="s">
        <v>172</v>
      </c>
      <c r="N10" t="s">
        <v>14</v>
      </c>
      <c r="O10" s="19" t="s">
        <v>1022</v>
      </c>
      <c r="P10" s="111">
        <f t="shared" si="0"/>
        <v>758.31999999999994</v>
      </c>
    </row>
    <row r="11" spans="1:18" ht="15" customHeight="1" x14ac:dyDescent="0.25">
      <c r="A11" s="10">
        <v>4</v>
      </c>
      <c r="B11" s="48">
        <f t="shared" si="1"/>
        <v>44578</v>
      </c>
      <c r="C11" s="17">
        <v>210</v>
      </c>
      <c r="D11" s="17">
        <v>210</v>
      </c>
      <c r="E11" s="16">
        <v>44579</v>
      </c>
      <c r="F11" s="16" t="s">
        <v>114</v>
      </c>
      <c r="G11" s="31" t="s">
        <v>793</v>
      </c>
      <c r="H11" s="17">
        <f t="shared" si="2"/>
        <v>0</v>
      </c>
      <c r="I11" s="17" t="s">
        <v>766</v>
      </c>
      <c r="J11" s="48">
        <v>44628</v>
      </c>
      <c r="K11" s="17">
        <v>201.31</v>
      </c>
      <c r="L11" s="49" t="s">
        <v>20</v>
      </c>
      <c r="N11" t="s">
        <v>766</v>
      </c>
      <c r="O11" s="9"/>
      <c r="P11" s="111">
        <f t="shared" si="0"/>
        <v>0</v>
      </c>
    </row>
    <row r="12" spans="1:18" ht="15" customHeight="1" x14ac:dyDescent="0.25">
      <c r="A12" s="10">
        <v>5</v>
      </c>
      <c r="B12" s="48">
        <f t="shared" si="1"/>
        <v>44585</v>
      </c>
      <c r="C12" s="17">
        <v>210</v>
      </c>
      <c r="D12" s="17">
        <v>210</v>
      </c>
      <c r="E12" s="16">
        <v>44586</v>
      </c>
      <c r="F12" s="16" t="s">
        <v>114</v>
      </c>
      <c r="G12" s="31" t="s">
        <v>793</v>
      </c>
      <c r="H12" s="17">
        <f t="shared" si="2"/>
        <v>0</v>
      </c>
      <c r="I12" s="17" t="s">
        <v>766</v>
      </c>
      <c r="J12" s="48">
        <v>44649</v>
      </c>
      <c r="K12" s="17">
        <v>170</v>
      </c>
      <c r="L12" s="49" t="s">
        <v>17</v>
      </c>
      <c r="M12" t="s">
        <v>470</v>
      </c>
      <c r="N12" t="s">
        <v>766</v>
      </c>
      <c r="P12" s="111">
        <f t="shared" si="0"/>
        <v>0</v>
      </c>
    </row>
    <row r="13" spans="1:18" ht="15" customHeight="1" x14ac:dyDescent="0.25">
      <c r="A13" s="10">
        <v>6</v>
      </c>
      <c r="B13" s="48">
        <f t="shared" si="1"/>
        <v>44592</v>
      </c>
      <c r="C13" s="17">
        <v>210</v>
      </c>
      <c r="D13" s="17">
        <v>210</v>
      </c>
      <c r="E13" s="16">
        <v>44593</v>
      </c>
      <c r="F13" s="16" t="s">
        <v>114</v>
      </c>
      <c r="G13" s="31" t="s">
        <v>793</v>
      </c>
      <c r="H13" s="17">
        <f t="shared" si="2"/>
        <v>0</v>
      </c>
      <c r="I13" s="17" t="s">
        <v>766</v>
      </c>
      <c r="J13" s="48">
        <v>44663</v>
      </c>
      <c r="K13" s="17">
        <v>50</v>
      </c>
      <c r="L13" s="49" t="s">
        <v>26</v>
      </c>
      <c r="N13" t="s">
        <v>766</v>
      </c>
      <c r="O13" s="17"/>
      <c r="P13" s="111">
        <f t="shared" si="0"/>
        <v>0</v>
      </c>
    </row>
    <row r="14" spans="1:18" ht="15" customHeight="1" x14ac:dyDescent="0.25">
      <c r="A14" s="10">
        <v>7</v>
      </c>
      <c r="B14" s="48">
        <f t="shared" si="1"/>
        <v>44599</v>
      </c>
      <c r="C14" s="17">
        <v>210</v>
      </c>
      <c r="D14" s="17">
        <v>210</v>
      </c>
      <c r="E14" s="16">
        <v>44600</v>
      </c>
      <c r="F14" s="16" t="s">
        <v>114</v>
      </c>
      <c r="G14" s="31" t="s">
        <v>793</v>
      </c>
      <c r="H14" s="17">
        <f t="shared" si="2"/>
        <v>0</v>
      </c>
      <c r="I14" s="17" t="s">
        <v>766</v>
      </c>
      <c r="J14" s="48">
        <v>44677</v>
      </c>
      <c r="K14" s="17">
        <v>45</v>
      </c>
      <c r="L14" s="49" t="s">
        <v>17</v>
      </c>
      <c r="M14" t="s">
        <v>172</v>
      </c>
      <c r="N14" t="s">
        <v>766</v>
      </c>
      <c r="P14" s="111">
        <f t="shared" si="0"/>
        <v>0</v>
      </c>
    </row>
    <row r="15" spans="1:18" ht="15" customHeight="1" x14ac:dyDescent="0.25">
      <c r="A15" s="10">
        <v>8</v>
      </c>
      <c r="B15" s="48">
        <f t="shared" si="1"/>
        <v>44606</v>
      </c>
      <c r="C15" s="17">
        <v>210</v>
      </c>
      <c r="D15" s="17">
        <v>210</v>
      </c>
      <c r="E15" s="16">
        <v>44607</v>
      </c>
      <c r="F15" s="16" t="s">
        <v>114</v>
      </c>
      <c r="G15" s="31" t="s">
        <v>793</v>
      </c>
      <c r="H15" s="17">
        <f t="shared" si="2"/>
        <v>0</v>
      </c>
      <c r="I15" s="17" t="s">
        <v>766</v>
      </c>
      <c r="J15" s="48">
        <v>44699</v>
      </c>
      <c r="K15" s="17">
        <v>201.31</v>
      </c>
      <c r="L15" s="49" t="s">
        <v>20</v>
      </c>
      <c r="N15" t="s">
        <v>766</v>
      </c>
      <c r="P15" s="111">
        <f t="shared" si="0"/>
        <v>0</v>
      </c>
    </row>
    <row r="16" spans="1:18" ht="15" customHeight="1" x14ac:dyDescent="0.25">
      <c r="A16" s="10">
        <v>9</v>
      </c>
      <c r="B16" s="48">
        <f t="shared" ref="B16:B21" si="3">B15+7</f>
        <v>44613</v>
      </c>
      <c r="C16" s="17">
        <v>210</v>
      </c>
      <c r="D16" s="17">
        <v>210</v>
      </c>
      <c r="E16" s="16">
        <v>44614</v>
      </c>
      <c r="F16" s="16" t="s">
        <v>114</v>
      </c>
      <c r="G16" s="31" t="s">
        <v>793</v>
      </c>
      <c r="H16" s="17">
        <f t="shared" si="2"/>
        <v>0</v>
      </c>
      <c r="I16" s="17" t="s">
        <v>766</v>
      </c>
      <c r="J16" s="48">
        <v>44704</v>
      </c>
      <c r="K16" s="17">
        <v>50</v>
      </c>
      <c r="L16" s="49" t="s">
        <v>17</v>
      </c>
      <c r="M16" t="s">
        <v>172</v>
      </c>
      <c r="N16" t="s">
        <v>766</v>
      </c>
      <c r="P16" s="111">
        <f t="shared" si="0"/>
        <v>0</v>
      </c>
    </row>
    <row r="17" spans="1:16" ht="15" customHeight="1" x14ac:dyDescent="0.25">
      <c r="A17" s="10">
        <v>10</v>
      </c>
      <c r="B17" s="48">
        <f t="shared" si="3"/>
        <v>44620</v>
      </c>
      <c r="C17" s="17">
        <v>210</v>
      </c>
      <c r="D17" s="17">
        <v>210</v>
      </c>
      <c r="E17" s="16">
        <v>44621</v>
      </c>
      <c r="F17" s="16" t="s">
        <v>114</v>
      </c>
      <c r="G17" s="31" t="s">
        <v>793</v>
      </c>
      <c r="H17" s="17">
        <f t="shared" si="2"/>
        <v>0</v>
      </c>
      <c r="I17" s="17" t="s">
        <v>766</v>
      </c>
      <c r="J17" s="48">
        <v>44705</v>
      </c>
      <c r="K17" s="17">
        <v>300</v>
      </c>
      <c r="L17" s="49" t="s">
        <v>17</v>
      </c>
      <c r="M17" t="s">
        <v>835</v>
      </c>
      <c r="N17" t="s">
        <v>766</v>
      </c>
      <c r="P17" s="111">
        <f t="shared" si="0"/>
        <v>0</v>
      </c>
    </row>
    <row r="18" spans="1:16" ht="15" customHeight="1" x14ac:dyDescent="0.25">
      <c r="A18" s="10">
        <v>11</v>
      </c>
      <c r="B18" s="48">
        <f t="shared" si="3"/>
        <v>44627</v>
      </c>
      <c r="C18" s="17">
        <v>210</v>
      </c>
      <c r="D18" s="17">
        <v>210</v>
      </c>
      <c r="E18" s="16">
        <v>44628</v>
      </c>
      <c r="F18" s="16" t="s">
        <v>114</v>
      </c>
      <c r="G18" s="31" t="s">
        <v>793</v>
      </c>
      <c r="H18" s="17">
        <f t="shared" si="2"/>
        <v>0</v>
      </c>
      <c r="I18" s="17" t="s">
        <v>766</v>
      </c>
      <c r="J18" s="48">
        <v>44718</v>
      </c>
      <c r="K18" s="17">
        <v>100.87</v>
      </c>
      <c r="L18" s="49" t="s">
        <v>26</v>
      </c>
      <c r="M18" t="s">
        <v>841</v>
      </c>
      <c r="N18" t="s">
        <v>766</v>
      </c>
      <c r="P18" s="111">
        <f t="shared" si="0"/>
        <v>0</v>
      </c>
    </row>
    <row r="19" spans="1:16" ht="15" customHeight="1" x14ac:dyDescent="0.25">
      <c r="A19" s="10">
        <v>12</v>
      </c>
      <c r="B19" s="48">
        <f t="shared" si="3"/>
        <v>44634</v>
      </c>
      <c r="C19" s="17">
        <v>210</v>
      </c>
      <c r="D19" s="17">
        <v>210</v>
      </c>
      <c r="E19" s="16">
        <v>44635</v>
      </c>
      <c r="F19" s="16" t="s">
        <v>114</v>
      </c>
      <c r="G19" s="31" t="s">
        <v>793</v>
      </c>
      <c r="H19" s="17">
        <f t="shared" si="2"/>
        <v>0</v>
      </c>
      <c r="I19" s="17" t="s">
        <v>766</v>
      </c>
      <c r="J19" s="48">
        <v>44721</v>
      </c>
      <c r="K19" s="17">
        <v>50</v>
      </c>
      <c r="L19" s="49" t="s">
        <v>26</v>
      </c>
      <c r="M19" t="s">
        <v>846</v>
      </c>
      <c r="N19" t="s">
        <v>766</v>
      </c>
      <c r="P19" s="111">
        <f t="shared" si="0"/>
        <v>0</v>
      </c>
    </row>
    <row r="20" spans="1:16" ht="15" customHeight="1" x14ac:dyDescent="0.25">
      <c r="A20" s="10">
        <v>13</v>
      </c>
      <c r="B20" s="48">
        <f t="shared" si="3"/>
        <v>44641</v>
      </c>
      <c r="C20" s="17">
        <v>210</v>
      </c>
      <c r="D20" s="17">
        <v>210</v>
      </c>
      <c r="E20" s="16">
        <v>44642</v>
      </c>
      <c r="F20" s="16" t="s">
        <v>117</v>
      </c>
      <c r="H20" s="17">
        <f t="shared" si="2"/>
        <v>0</v>
      </c>
      <c r="I20" s="17" t="s">
        <v>766</v>
      </c>
      <c r="J20" s="48">
        <v>44741</v>
      </c>
      <c r="K20" s="17">
        <v>132</v>
      </c>
      <c r="L20" s="49" t="s">
        <v>17</v>
      </c>
      <c r="M20" t="s">
        <v>675</v>
      </c>
      <c r="N20" t="s">
        <v>766</v>
      </c>
      <c r="P20" s="111">
        <f t="shared" si="0"/>
        <v>0</v>
      </c>
    </row>
    <row r="21" spans="1:16" ht="15" customHeight="1" x14ac:dyDescent="0.25">
      <c r="A21" s="10">
        <v>14</v>
      </c>
      <c r="B21" s="48">
        <f t="shared" si="3"/>
        <v>44648</v>
      </c>
      <c r="C21" s="17">
        <v>210</v>
      </c>
      <c r="D21" s="17">
        <v>210</v>
      </c>
      <c r="E21" s="16">
        <v>44649</v>
      </c>
      <c r="F21" s="16" t="s">
        <v>117</v>
      </c>
      <c r="H21" s="17">
        <f t="shared" si="2"/>
        <v>0</v>
      </c>
      <c r="I21" s="17" t="s">
        <v>766</v>
      </c>
      <c r="J21" s="48">
        <v>44747</v>
      </c>
      <c r="K21" s="17">
        <v>20</v>
      </c>
      <c r="L21" s="49" t="s">
        <v>17</v>
      </c>
      <c r="M21" t="s">
        <v>172</v>
      </c>
      <c r="N21" t="s">
        <v>766</v>
      </c>
      <c r="P21" s="111">
        <f t="shared" si="0"/>
        <v>0</v>
      </c>
    </row>
    <row r="22" spans="1:16" ht="15" customHeight="1" x14ac:dyDescent="0.25">
      <c r="A22" s="10">
        <v>15</v>
      </c>
      <c r="B22" s="48">
        <f t="shared" ref="B22:B28" si="4">B21+7</f>
        <v>44655</v>
      </c>
      <c r="C22" s="17">
        <v>210</v>
      </c>
      <c r="D22" s="17">
        <v>210</v>
      </c>
      <c r="E22" s="16">
        <v>44656</v>
      </c>
      <c r="F22" s="16" t="s">
        <v>117</v>
      </c>
      <c r="H22" s="17">
        <f t="shared" si="2"/>
        <v>0</v>
      </c>
      <c r="I22" s="17" t="s">
        <v>766</v>
      </c>
      <c r="J22" s="48">
        <v>44760</v>
      </c>
      <c r="K22" s="17">
        <v>80</v>
      </c>
      <c r="L22" s="49" t="s">
        <v>17</v>
      </c>
      <c r="M22" t="s">
        <v>865</v>
      </c>
      <c r="N22" t="s">
        <v>766</v>
      </c>
      <c r="P22" s="111">
        <f t="shared" si="0"/>
        <v>0</v>
      </c>
    </row>
    <row r="23" spans="1:16" ht="15" customHeight="1" x14ac:dyDescent="0.25">
      <c r="A23" s="10">
        <v>16</v>
      </c>
      <c r="B23" s="48">
        <f t="shared" si="4"/>
        <v>44662</v>
      </c>
      <c r="C23" s="17">
        <v>210</v>
      </c>
      <c r="D23" s="17">
        <v>210</v>
      </c>
      <c r="E23" s="16">
        <v>44663</v>
      </c>
      <c r="F23" s="16" t="s">
        <v>117</v>
      </c>
      <c r="H23" s="17">
        <f t="shared" si="2"/>
        <v>0</v>
      </c>
      <c r="I23" s="17" t="s">
        <v>766</v>
      </c>
      <c r="J23" s="48">
        <v>44760</v>
      </c>
      <c r="K23" s="17">
        <f>55.99+5</f>
        <v>60.99</v>
      </c>
      <c r="L23" s="49" t="s">
        <v>17</v>
      </c>
      <c r="M23" t="s">
        <v>172</v>
      </c>
      <c r="N23" t="s">
        <v>766</v>
      </c>
      <c r="P23" s="111">
        <f t="shared" si="0"/>
        <v>0</v>
      </c>
    </row>
    <row r="24" spans="1:16" ht="15" customHeight="1" x14ac:dyDescent="0.25">
      <c r="A24" s="10">
        <v>17</v>
      </c>
      <c r="B24" s="48">
        <f t="shared" si="4"/>
        <v>44669</v>
      </c>
      <c r="C24" s="17">
        <v>210</v>
      </c>
      <c r="D24" s="17">
        <v>210</v>
      </c>
      <c r="E24" s="16">
        <v>44670</v>
      </c>
      <c r="F24" s="16" t="s">
        <v>117</v>
      </c>
      <c r="H24" s="17">
        <f t="shared" si="2"/>
        <v>0</v>
      </c>
      <c r="I24" s="17" t="s">
        <v>766</v>
      </c>
      <c r="J24" s="48">
        <v>44770</v>
      </c>
      <c r="K24" s="17">
        <v>80</v>
      </c>
      <c r="L24" s="49" t="s">
        <v>98</v>
      </c>
      <c r="N24" t="s">
        <v>14</v>
      </c>
      <c r="P24" s="111">
        <f t="shared" si="0"/>
        <v>0</v>
      </c>
    </row>
    <row r="25" spans="1:16" ht="15" customHeight="1" x14ac:dyDescent="0.25">
      <c r="A25" s="10">
        <v>18</v>
      </c>
      <c r="B25" s="48">
        <f t="shared" si="4"/>
        <v>44676</v>
      </c>
      <c r="C25" s="17">
        <v>210</v>
      </c>
      <c r="D25" s="17">
        <v>210</v>
      </c>
      <c r="E25" s="16">
        <v>44677</v>
      </c>
      <c r="F25" s="16" t="s">
        <v>117</v>
      </c>
      <c r="H25" s="17">
        <f t="shared" si="2"/>
        <v>0</v>
      </c>
      <c r="I25" s="17" t="s">
        <v>766</v>
      </c>
      <c r="J25" s="48">
        <v>44771</v>
      </c>
      <c r="K25" s="17">
        <v>1000</v>
      </c>
      <c r="L25" s="49" t="s">
        <v>17</v>
      </c>
      <c r="M25" t="s">
        <v>870</v>
      </c>
      <c r="N25" t="s">
        <v>14</v>
      </c>
      <c r="P25" s="111">
        <f t="shared" si="0"/>
        <v>0</v>
      </c>
    </row>
    <row r="26" spans="1:16" ht="15" customHeight="1" x14ac:dyDescent="0.25">
      <c r="A26" s="10">
        <v>19</v>
      </c>
      <c r="B26" s="48">
        <f t="shared" si="4"/>
        <v>44683</v>
      </c>
      <c r="C26" s="17">
        <v>210</v>
      </c>
      <c r="D26" s="17">
        <v>210</v>
      </c>
      <c r="E26" s="16">
        <v>44684</v>
      </c>
      <c r="F26" s="16" t="s">
        <v>117</v>
      </c>
      <c r="H26" s="17">
        <f t="shared" si="2"/>
        <v>0</v>
      </c>
      <c r="I26" s="17" t="s">
        <v>766</v>
      </c>
      <c r="J26" s="48">
        <v>44771</v>
      </c>
      <c r="K26" s="17">
        <v>2.5</v>
      </c>
      <c r="L26" s="49" t="s">
        <v>17</v>
      </c>
      <c r="M26" t="s">
        <v>871</v>
      </c>
      <c r="N26" t="s">
        <v>14</v>
      </c>
      <c r="P26" s="111">
        <f t="shared" si="0"/>
        <v>0</v>
      </c>
    </row>
    <row r="27" spans="1:16" ht="15" customHeight="1" x14ac:dyDescent="0.25">
      <c r="A27" s="10">
        <v>20</v>
      </c>
      <c r="B27" s="48">
        <f t="shared" si="4"/>
        <v>44690</v>
      </c>
      <c r="C27" s="17">
        <v>210</v>
      </c>
      <c r="D27" s="17">
        <v>210</v>
      </c>
      <c r="E27" s="16">
        <v>44691</v>
      </c>
      <c r="F27" s="16" t="s">
        <v>117</v>
      </c>
      <c r="H27" s="17">
        <f t="shared" ref="H27:H90" si="5">IFERROR(IF(F26="Closed account",(IF(F27="Unpaid Rent",(C27),(C27-D27))),(IF(F27="Unpaid Rent",(C27+H26),(C27-D27+H26)))),"")</f>
        <v>0</v>
      </c>
      <c r="I27" s="17" t="s">
        <v>766</v>
      </c>
      <c r="J27" s="48">
        <v>44772</v>
      </c>
      <c r="K27" s="17">
        <v>16.43</v>
      </c>
      <c r="L27" s="49" t="s">
        <v>32</v>
      </c>
      <c r="N27" t="s">
        <v>14</v>
      </c>
      <c r="P27" s="111">
        <f t="shared" si="0"/>
        <v>0</v>
      </c>
    </row>
    <row r="28" spans="1:16" ht="15" customHeight="1" x14ac:dyDescent="0.25">
      <c r="A28" s="10">
        <v>22</v>
      </c>
      <c r="B28" s="48">
        <f t="shared" si="4"/>
        <v>44697</v>
      </c>
      <c r="C28" s="17">
        <v>210</v>
      </c>
      <c r="D28" s="17">
        <v>210</v>
      </c>
      <c r="E28" s="16">
        <v>44698</v>
      </c>
      <c r="F28" s="16" t="s">
        <v>117</v>
      </c>
      <c r="H28" s="17">
        <f t="shared" si="5"/>
        <v>0</v>
      </c>
      <c r="I28" s="17" t="s">
        <v>766</v>
      </c>
      <c r="J28" s="48">
        <v>44775</v>
      </c>
      <c r="K28" s="17">
        <v>150</v>
      </c>
      <c r="L28" s="49" t="s">
        <v>17</v>
      </c>
      <c r="M28" t="s">
        <v>166</v>
      </c>
      <c r="N28" t="s">
        <v>14</v>
      </c>
      <c r="P28" s="111">
        <f t="shared" si="0"/>
        <v>0</v>
      </c>
    </row>
    <row r="29" spans="1:16" ht="15" customHeight="1" x14ac:dyDescent="0.25">
      <c r="A29" s="10">
        <v>23</v>
      </c>
      <c r="B29" s="48">
        <f t="shared" ref="B29:B34" si="6">B28+7</f>
        <v>44704</v>
      </c>
      <c r="C29" s="17">
        <v>210</v>
      </c>
      <c r="D29" s="17">
        <v>210</v>
      </c>
      <c r="E29" s="16">
        <v>44704</v>
      </c>
      <c r="F29" s="16" t="s">
        <v>117</v>
      </c>
      <c r="H29" s="17">
        <f t="shared" si="5"/>
        <v>0</v>
      </c>
      <c r="I29" s="17" t="s">
        <v>766</v>
      </c>
      <c r="J29" s="48">
        <v>44776</v>
      </c>
      <c r="K29" s="17">
        <v>250</v>
      </c>
      <c r="L29" s="49" t="s">
        <v>17</v>
      </c>
      <c r="M29" t="s">
        <v>874</v>
      </c>
      <c r="N29" t="s">
        <v>14</v>
      </c>
      <c r="P29" s="111">
        <f t="shared" si="0"/>
        <v>0</v>
      </c>
    </row>
    <row r="30" spans="1:16" ht="15" customHeight="1" x14ac:dyDescent="0.25">
      <c r="A30" s="10">
        <v>24</v>
      </c>
      <c r="B30" s="48">
        <f t="shared" si="6"/>
        <v>44711</v>
      </c>
      <c r="C30" s="17">
        <v>210</v>
      </c>
      <c r="D30" s="17">
        <v>210</v>
      </c>
      <c r="E30" s="16">
        <v>44712</v>
      </c>
      <c r="F30" s="16" t="s">
        <v>117</v>
      </c>
      <c r="H30" s="17">
        <f t="shared" si="5"/>
        <v>0</v>
      </c>
      <c r="I30" s="17" t="s">
        <v>766</v>
      </c>
      <c r="J30" s="48">
        <v>44777</v>
      </c>
      <c r="K30" s="17">
        <v>30</v>
      </c>
      <c r="L30" s="49" t="s">
        <v>98</v>
      </c>
      <c r="N30" t="s">
        <v>14</v>
      </c>
      <c r="P30" s="111">
        <f t="shared" si="0"/>
        <v>0</v>
      </c>
    </row>
    <row r="31" spans="1:16" ht="15" customHeight="1" x14ac:dyDescent="0.25">
      <c r="A31" s="10">
        <v>25</v>
      </c>
      <c r="B31" s="48">
        <f t="shared" si="6"/>
        <v>44718</v>
      </c>
      <c r="C31" s="17">
        <v>210</v>
      </c>
      <c r="D31" s="17">
        <v>210</v>
      </c>
      <c r="E31" s="16">
        <v>44719</v>
      </c>
      <c r="F31" s="16" t="s">
        <v>117</v>
      </c>
      <c r="H31" s="17">
        <f t="shared" si="5"/>
        <v>0</v>
      </c>
      <c r="I31" s="17" t="s">
        <v>766</v>
      </c>
      <c r="J31" s="48">
        <v>44783</v>
      </c>
      <c r="K31" s="17">
        <v>205.68</v>
      </c>
      <c r="L31" s="49" t="s">
        <v>20</v>
      </c>
      <c r="N31" t="s">
        <v>14</v>
      </c>
      <c r="P31" s="111">
        <f t="shared" si="0"/>
        <v>0</v>
      </c>
    </row>
    <row r="32" spans="1:16" ht="15" customHeight="1" x14ac:dyDescent="0.25">
      <c r="A32" s="10">
        <v>26</v>
      </c>
      <c r="B32" s="48">
        <f t="shared" si="6"/>
        <v>44725</v>
      </c>
      <c r="C32" s="17">
        <v>210</v>
      </c>
      <c r="D32" s="17">
        <v>210</v>
      </c>
      <c r="E32" s="16">
        <v>44726</v>
      </c>
      <c r="F32" s="16" t="s">
        <v>117</v>
      </c>
      <c r="H32" s="17">
        <f t="shared" si="5"/>
        <v>0</v>
      </c>
      <c r="I32" s="17" t="s">
        <v>766</v>
      </c>
      <c r="J32" s="48">
        <v>44791</v>
      </c>
      <c r="K32" s="17">
        <v>55.1</v>
      </c>
      <c r="L32" s="49" t="s">
        <v>54</v>
      </c>
      <c r="N32" t="s">
        <v>14</v>
      </c>
      <c r="P32" s="111">
        <f t="shared" si="0"/>
        <v>0</v>
      </c>
    </row>
    <row r="33" spans="1:16" ht="15" customHeight="1" x14ac:dyDescent="0.25">
      <c r="A33" s="10">
        <v>27</v>
      </c>
      <c r="B33" s="48">
        <f t="shared" si="6"/>
        <v>44732</v>
      </c>
      <c r="C33" s="17">
        <v>210</v>
      </c>
      <c r="D33" s="17">
        <v>210</v>
      </c>
      <c r="E33" s="16">
        <v>44733</v>
      </c>
      <c r="F33" s="16" t="s">
        <v>117</v>
      </c>
      <c r="H33" s="17">
        <f t="shared" si="5"/>
        <v>0</v>
      </c>
      <c r="I33" s="17" t="s">
        <v>766</v>
      </c>
      <c r="J33" s="48">
        <v>44793</v>
      </c>
      <c r="K33" s="17">
        <v>180</v>
      </c>
      <c r="L33" s="49" t="s">
        <v>17</v>
      </c>
      <c r="M33" t="s">
        <v>876</v>
      </c>
      <c r="N33" t="s">
        <v>14</v>
      </c>
      <c r="P33" s="111">
        <f t="shared" si="0"/>
        <v>0</v>
      </c>
    </row>
    <row r="34" spans="1:16" ht="15" customHeight="1" x14ac:dyDescent="0.25">
      <c r="A34" s="10">
        <v>28</v>
      </c>
      <c r="B34" s="48">
        <f t="shared" si="6"/>
        <v>44739</v>
      </c>
      <c r="C34" s="17">
        <v>210</v>
      </c>
      <c r="D34" s="17">
        <v>210</v>
      </c>
      <c r="E34" s="16">
        <v>44740</v>
      </c>
      <c r="F34" s="16" t="s">
        <v>117</v>
      </c>
      <c r="H34" s="17">
        <f t="shared" si="5"/>
        <v>0</v>
      </c>
      <c r="I34" s="17" t="s">
        <v>766</v>
      </c>
      <c r="J34" s="48">
        <v>44802</v>
      </c>
      <c r="K34" s="17">
        <v>190</v>
      </c>
      <c r="L34" s="49" t="s">
        <v>17</v>
      </c>
      <c r="M34" t="s">
        <v>470</v>
      </c>
      <c r="N34" t="s">
        <v>14</v>
      </c>
      <c r="P34" s="111">
        <f t="shared" si="0"/>
        <v>0</v>
      </c>
    </row>
    <row r="35" spans="1:16" ht="15" customHeight="1" x14ac:dyDescent="0.25">
      <c r="A35" s="10">
        <v>29</v>
      </c>
      <c r="B35" s="48">
        <f>B34+7</f>
        <v>44746</v>
      </c>
      <c r="C35" s="17">
        <v>210</v>
      </c>
      <c r="D35" s="17">
        <v>210</v>
      </c>
      <c r="E35" s="16">
        <v>44747</v>
      </c>
      <c r="F35" s="16" t="s">
        <v>117</v>
      </c>
      <c r="H35" s="17">
        <f t="shared" si="5"/>
        <v>0</v>
      </c>
      <c r="I35" s="17" t="s">
        <v>766</v>
      </c>
      <c r="J35" s="48">
        <v>44800</v>
      </c>
      <c r="K35" s="17">
        <v>250</v>
      </c>
      <c r="L35" s="49" t="s">
        <v>17</v>
      </c>
      <c r="M35" t="s">
        <v>892</v>
      </c>
      <c r="N35" t="s">
        <v>14</v>
      </c>
      <c r="P35" s="111">
        <f t="shared" si="0"/>
        <v>0</v>
      </c>
    </row>
    <row r="36" spans="1:16" ht="15" customHeight="1" x14ac:dyDescent="0.25">
      <c r="A36" s="10">
        <v>30</v>
      </c>
      <c r="B36" s="48">
        <f>B35+7</f>
        <v>44753</v>
      </c>
      <c r="C36" s="17">
        <v>210</v>
      </c>
      <c r="D36" s="17">
        <v>210</v>
      </c>
      <c r="E36" s="16">
        <v>44754</v>
      </c>
      <c r="F36" s="16" t="s">
        <v>124</v>
      </c>
      <c r="H36" s="17">
        <f t="shared" si="5"/>
        <v>0</v>
      </c>
      <c r="I36" s="17" t="s">
        <v>766</v>
      </c>
      <c r="J36" s="48">
        <v>44813</v>
      </c>
      <c r="K36" s="17">
        <v>23.49</v>
      </c>
      <c r="L36" s="49" t="s">
        <v>133</v>
      </c>
      <c r="N36" t="s">
        <v>14</v>
      </c>
      <c r="P36" s="111">
        <f t="shared" si="0"/>
        <v>0</v>
      </c>
    </row>
    <row r="37" spans="1:16" ht="15" customHeight="1" x14ac:dyDescent="0.25">
      <c r="A37" s="10">
        <v>1</v>
      </c>
      <c r="B37" s="48">
        <v>44964</v>
      </c>
      <c r="C37" s="17">
        <v>270</v>
      </c>
      <c r="D37" s="17">
        <v>270</v>
      </c>
      <c r="E37" s="16">
        <v>44964</v>
      </c>
      <c r="F37" s="16" t="s">
        <v>117</v>
      </c>
      <c r="H37" s="17">
        <f t="shared" si="5"/>
        <v>0</v>
      </c>
      <c r="I37" s="17" t="s">
        <v>995</v>
      </c>
      <c r="J37" s="48">
        <v>44820</v>
      </c>
      <c r="K37" s="17">
        <v>195</v>
      </c>
      <c r="L37" s="49" t="s">
        <v>17</v>
      </c>
      <c r="M37" t="s">
        <v>865</v>
      </c>
      <c r="N37" t="s">
        <v>14</v>
      </c>
      <c r="P37" s="111">
        <f t="shared" si="0"/>
        <v>0</v>
      </c>
    </row>
    <row r="38" spans="1:16" ht="15" customHeight="1" x14ac:dyDescent="0.25">
      <c r="A38" s="10">
        <v>2</v>
      </c>
      <c r="B38" s="48">
        <f t="shared" ref="B38:B47" si="7">B37+7</f>
        <v>44971</v>
      </c>
      <c r="C38" s="17">
        <v>270</v>
      </c>
      <c r="D38" s="17">
        <v>270</v>
      </c>
      <c r="E38" s="16">
        <v>44974</v>
      </c>
      <c r="F38" s="16" t="s">
        <v>117</v>
      </c>
      <c r="H38" s="17">
        <f t="shared" si="5"/>
        <v>0</v>
      </c>
      <c r="I38" s="17" t="s">
        <v>995</v>
      </c>
      <c r="J38" s="48">
        <v>44886</v>
      </c>
      <c r="K38" s="17">
        <v>205.68</v>
      </c>
      <c r="L38" s="49" t="s">
        <v>20</v>
      </c>
      <c r="N38" t="s">
        <v>14</v>
      </c>
      <c r="P38" s="111">
        <f t="shared" si="0"/>
        <v>0</v>
      </c>
    </row>
    <row r="39" spans="1:16" ht="15" customHeight="1" x14ac:dyDescent="0.25">
      <c r="A39" s="10">
        <v>3</v>
      </c>
      <c r="B39" s="48">
        <f t="shared" si="7"/>
        <v>44978</v>
      </c>
      <c r="C39" s="17">
        <v>270</v>
      </c>
      <c r="D39" s="17">
        <v>270</v>
      </c>
      <c r="E39" s="16">
        <v>44977</v>
      </c>
      <c r="F39" s="16" t="s">
        <v>117</v>
      </c>
      <c r="H39" s="17">
        <f t="shared" si="5"/>
        <v>0</v>
      </c>
      <c r="I39" s="17" t="s">
        <v>995</v>
      </c>
      <c r="J39" s="48">
        <v>44972</v>
      </c>
      <c r="K39" s="17">
        <v>440</v>
      </c>
      <c r="L39" s="49" t="s">
        <v>17</v>
      </c>
      <c r="M39" t="s">
        <v>675</v>
      </c>
      <c r="N39" t="s">
        <v>14</v>
      </c>
      <c r="P39" s="111">
        <f t="shared" si="0"/>
        <v>0</v>
      </c>
    </row>
    <row r="40" spans="1:16" ht="15" customHeight="1" x14ac:dyDescent="0.25">
      <c r="A40" s="10">
        <v>4</v>
      </c>
      <c r="B40" s="48">
        <f t="shared" si="7"/>
        <v>44985</v>
      </c>
      <c r="C40" s="17">
        <v>270</v>
      </c>
      <c r="D40" s="17">
        <v>270</v>
      </c>
      <c r="E40" s="16">
        <v>44988</v>
      </c>
      <c r="F40" s="16" t="s">
        <v>117</v>
      </c>
      <c r="H40" s="17">
        <f t="shared" si="5"/>
        <v>0</v>
      </c>
      <c r="I40" s="17" t="s">
        <v>995</v>
      </c>
      <c r="J40" s="48">
        <v>45006</v>
      </c>
      <c r="K40" s="17">
        <v>110</v>
      </c>
      <c r="L40" s="49" t="s">
        <v>17</v>
      </c>
      <c r="M40" t="s">
        <v>673</v>
      </c>
      <c r="N40" t="s">
        <v>14</v>
      </c>
      <c r="P40" s="111">
        <f t="shared" si="0"/>
        <v>0</v>
      </c>
    </row>
    <row r="41" spans="1:16" ht="15" customHeight="1" x14ac:dyDescent="0.25">
      <c r="A41" s="10">
        <v>5</v>
      </c>
      <c r="B41" s="48">
        <f t="shared" si="7"/>
        <v>44992</v>
      </c>
      <c r="C41" s="17">
        <v>270</v>
      </c>
      <c r="D41" s="17"/>
      <c r="E41" s="16"/>
      <c r="F41" s="16"/>
      <c r="H41" s="17">
        <f t="shared" si="5"/>
        <v>270</v>
      </c>
      <c r="I41" s="17" t="s">
        <v>995</v>
      </c>
      <c r="J41" s="48">
        <v>45034</v>
      </c>
      <c r="K41" s="17">
        <v>12.81</v>
      </c>
      <c r="L41" s="49" t="s">
        <v>17</v>
      </c>
      <c r="M41" t="s">
        <v>741</v>
      </c>
      <c r="N41" t="s">
        <v>14</v>
      </c>
      <c r="P41" s="111">
        <f t="shared" si="0"/>
        <v>0</v>
      </c>
    </row>
    <row r="42" spans="1:16" ht="15" customHeight="1" x14ac:dyDescent="0.25">
      <c r="A42" s="10">
        <v>6</v>
      </c>
      <c r="B42" s="48">
        <f t="shared" si="7"/>
        <v>44999</v>
      </c>
      <c r="C42" s="17">
        <v>270</v>
      </c>
      <c r="D42" s="17">
        <v>540</v>
      </c>
      <c r="E42" s="16">
        <v>45000</v>
      </c>
      <c r="F42" s="16" t="s">
        <v>117</v>
      </c>
      <c r="H42" s="17">
        <f t="shared" si="5"/>
        <v>0</v>
      </c>
      <c r="I42" s="17" t="s">
        <v>995</v>
      </c>
      <c r="J42" s="48">
        <v>45065</v>
      </c>
      <c r="K42" s="17">
        <v>205.68</v>
      </c>
      <c r="L42" s="49" t="s">
        <v>20</v>
      </c>
      <c r="N42" t="s">
        <v>1022</v>
      </c>
      <c r="P42" s="111">
        <f t="shared" si="0"/>
        <v>0</v>
      </c>
    </row>
    <row r="43" spans="1:16" ht="15" customHeight="1" x14ac:dyDescent="0.25">
      <c r="A43" s="10">
        <v>7</v>
      </c>
      <c r="B43" s="48">
        <f t="shared" si="7"/>
        <v>45006</v>
      </c>
      <c r="C43" s="17">
        <v>270</v>
      </c>
      <c r="D43" s="17">
        <v>270</v>
      </c>
      <c r="E43" s="16">
        <v>45005</v>
      </c>
      <c r="F43" s="16" t="s">
        <v>117</v>
      </c>
      <c r="H43" s="17">
        <f t="shared" si="5"/>
        <v>0</v>
      </c>
      <c r="I43" s="17" t="s">
        <v>995</v>
      </c>
      <c r="J43" s="48"/>
      <c r="K43" s="17"/>
      <c r="L43" s="49"/>
      <c r="P43" s="111">
        <f t="shared" si="0"/>
        <v>0</v>
      </c>
    </row>
    <row r="44" spans="1:16" ht="15" customHeight="1" x14ac:dyDescent="0.25">
      <c r="A44" s="10">
        <v>8</v>
      </c>
      <c r="B44" s="48">
        <f t="shared" si="7"/>
        <v>45013</v>
      </c>
      <c r="C44" s="17">
        <v>270</v>
      </c>
      <c r="D44" s="17">
        <v>270</v>
      </c>
      <c r="E44" s="16">
        <v>45013</v>
      </c>
      <c r="F44" s="16" t="s">
        <v>117</v>
      </c>
      <c r="H44" s="17">
        <f t="shared" si="5"/>
        <v>0</v>
      </c>
      <c r="I44" s="17" t="s">
        <v>995</v>
      </c>
      <c r="J44" s="48"/>
      <c r="K44" s="17"/>
      <c r="L44" s="49"/>
      <c r="N44">
        <f>SUBTOTAL(9,K7:K44)</f>
        <v>5637.29</v>
      </c>
      <c r="P44" s="111">
        <f t="shared" si="0"/>
        <v>0</v>
      </c>
    </row>
    <row r="45" spans="1:16" ht="15" customHeight="1" x14ac:dyDescent="0.25">
      <c r="A45" s="10">
        <v>9</v>
      </c>
      <c r="B45" s="48">
        <f t="shared" si="7"/>
        <v>45020</v>
      </c>
      <c r="C45" s="17">
        <v>270</v>
      </c>
      <c r="D45" s="17">
        <v>270</v>
      </c>
      <c r="E45" s="16">
        <v>45021</v>
      </c>
      <c r="F45" s="16" t="s">
        <v>117</v>
      </c>
      <c r="H45" s="17">
        <f t="shared" si="5"/>
        <v>0</v>
      </c>
      <c r="I45" s="17" t="s">
        <v>995</v>
      </c>
      <c r="J45" s="48"/>
      <c r="K45" s="17"/>
      <c r="L45" s="49"/>
      <c r="P45" s="111">
        <f t="shared" si="0"/>
        <v>0</v>
      </c>
    </row>
    <row r="46" spans="1:16" ht="15" customHeight="1" x14ac:dyDescent="0.25">
      <c r="A46" s="10">
        <v>10</v>
      </c>
      <c r="B46" s="48">
        <f t="shared" si="7"/>
        <v>45027</v>
      </c>
      <c r="C46" s="17">
        <v>270</v>
      </c>
      <c r="D46" s="17">
        <v>270</v>
      </c>
      <c r="E46" s="16">
        <v>45033</v>
      </c>
      <c r="F46" s="16" t="s">
        <v>117</v>
      </c>
      <c r="H46" s="17">
        <f t="shared" si="5"/>
        <v>0</v>
      </c>
      <c r="I46" s="17" t="s">
        <v>995</v>
      </c>
      <c r="J46" s="48"/>
      <c r="K46" s="17"/>
      <c r="L46" s="49"/>
      <c r="P46" s="111">
        <f t="shared" si="0"/>
        <v>0</v>
      </c>
    </row>
    <row r="47" spans="1:16" ht="15" customHeight="1" x14ac:dyDescent="0.25">
      <c r="A47" s="10">
        <v>11</v>
      </c>
      <c r="B47" s="48">
        <f t="shared" si="7"/>
        <v>45034</v>
      </c>
      <c r="C47" s="17">
        <v>270</v>
      </c>
      <c r="D47" s="17">
        <v>270</v>
      </c>
      <c r="E47" s="16">
        <v>45037</v>
      </c>
      <c r="F47" s="16" t="s">
        <v>124</v>
      </c>
      <c r="H47" s="17">
        <f t="shared" si="5"/>
        <v>0</v>
      </c>
      <c r="I47" s="17" t="s">
        <v>995</v>
      </c>
      <c r="J47" s="48"/>
      <c r="K47" s="17"/>
      <c r="L47" s="49"/>
      <c r="P47" s="111">
        <f t="shared" si="0"/>
        <v>0</v>
      </c>
    </row>
    <row r="48" spans="1:16" ht="15" customHeight="1" x14ac:dyDescent="0.25">
      <c r="A48" s="10">
        <v>1</v>
      </c>
      <c r="B48" s="48">
        <v>45042</v>
      </c>
      <c r="C48" s="17">
        <v>400</v>
      </c>
      <c r="D48" s="17">
        <v>400</v>
      </c>
      <c r="E48" s="16">
        <v>45041</v>
      </c>
      <c r="F48" s="16" t="s">
        <v>181</v>
      </c>
      <c r="H48" s="17">
        <f t="shared" si="5"/>
        <v>0</v>
      </c>
      <c r="I48" s="17" t="s">
        <v>1022</v>
      </c>
      <c r="J48" s="48"/>
      <c r="K48" s="17"/>
      <c r="L48" s="49"/>
      <c r="P48" s="111">
        <f t="shared" si="0"/>
        <v>0</v>
      </c>
    </row>
    <row r="49" spans="1:16" ht="15" customHeight="1" x14ac:dyDescent="0.25">
      <c r="A49" s="10">
        <v>1</v>
      </c>
      <c r="B49" s="48">
        <v>45042</v>
      </c>
      <c r="C49" s="17">
        <v>214</v>
      </c>
      <c r="D49" s="17">
        <v>214</v>
      </c>
      <c r="E49" s="16">
        <v>45041</v>
      </c>
      <c r="F49" s="16" t="s">
        <v>117</v>
      </c>
      <c r="H49" s="17">
        <f t="shared" si="5"/>
        <v>0</v>
      </c>
      <c r="I49" s="17" t="s">
        <v>1022</v>
      </c>
      <c r="J49" s="48"/>
      <c r="K49" s="17"/>
      <c r="L49" s="49"/>
      <c r="P49" s="111">
        <f t="shared" si="0"/>
        <v>0</v>
      </c>
    </row>
    <row r="50" spans="1:16" ht="15" customHeight="1" x14ac:dyDescent="0.25">
      <c r="A50" s="10">
        <v>2</v>
      </c>
      <c r="B50" s="48">
        <v>45048</v>
      </c>
      <c r="C50" s="17">
        <v>250</v>
      </c>
      <c r="D50" s="17">
        <v>250</v>
      </c>
      <c r="E50" s="16">
        <v>45049</v>
      </c>
      <c r="F50" s="16" t="s">
        <v>117</v>
      </c>
      <c r="H50" s="17">
        <f t="shared" si="5"/>
        <v>0</v>
      </c>
      <c r="I50" s="17" t="s">
        <v>1022</v>
      </c>
      <c r="J50" s="48"/>
      <c r="K50" s="17"/>
      <c r="L50" s="49"/>
      <c r="P50" s="111">
        <f t="shared" si="0"/>
        <v>0</v>
      </c>
    </row>
    <row r="51" spans="1:16" ht="15" customHeight="1" x14ac:dyDescent="0.25">
      <c r="A51" s="10">
        <v>3</v>
      </c>
      <c r="B51" s="48">
        <f>B50+7</f>
        <v>45055</v>
      </c>
      <c r="C51" s="17">
        <v>250</v>
      </c>
      <c r="D51" s="17">
        <v>250</v>
      </c>
      <c r="E51" s="16">
        <v>45056</v>
      </c>
      <c r="F51" s="16" t="s">
        <v>117</v>
      </c>
      <c r="H51" s="17">
        <f t="shared" si="5"/>
        <v>0</v>
      </c>
      <c r="I51" s="17" t="s">
        <v>1022</v>
      </c>
      <c r="J51" s="48"/>
      <c r="K51" s="17"/>
      <c r="L51" s="49"/>
      <c r="P51" s="111">
        <f t="shared" si="0"/>
        <v>0</v>
      </c>
    </row>
    <row r="52" spans="1:16" ht="15" customHeight="1" x14ac:dyDescent="0.25">
      <c r="A52" s="10">
        <v>4</v>
      </c>
      <c r="B52" s="48">
        <f>B51+7</f>
        <v>45062</v>
      </c>
      <c r="C52" s="17">
        <v>250</v>
      </c>
      <c r="D52" s="17">
        <v>250</v>
      </c>
      <c r="E52" s="16">
        <v>45063</v>
      </c>
      <c r="F52" s="16" t="s">
        <v>117</v>
      </c>
      <c r="H52" s="17">
        <f t="shared" si="5"/>
        <v>0</v>
      </c>
      <c r="I52" s="17" t="s">
        <v>1022</v>
      </c>
      <c r="J52" s="48"/>
      <c r="K52" s="17"/>
      <c r="L52" s="49"/>
      <c r="P52" s="111">
        <f t="shared" si="0"/>
        <v>0</v>
      </c>
    </row>
    <row r="53" spans="1:16" ht="15" customHeight="1" x14ac:dyDescent="0.25">
      <c r="B53" s="48"/>
      <c r="C53" s="17"/>
      <c r="D53" s="17"/>
      <c r="E53" s="16"/>
      <c r="G53" s="157"/>
      <c r="H53" s="17">
        <f t="shared" si="5"/>
        <v>0</v>
      </c>
      <c r="I53" s="17"/>
      <c r="J53" s="48"/>
      <c r="K53" s="17"/>
      <c r="L53" s="49"/>
    </row>
    <row r="54" spans="1:16" ht="15" customHeight="1" x14ac:dyDescent="0.25">
      <c r="B54" s="48"/>
      <c r="C54" s="17"/>
      <c r="D54" s="17"/>
      <c r="H54" s="17">
        <f t="shared" si="5"/>
        <v>0</v>
      </c>
      <c r="I54" s="17"/>
      <c r="J54" s="48"/>
      <c r="K54" s="17"/>
      <c r="L54" s="49"/>
    </row>
    <row r="55" spans="1:16" ht="15" customHeight="1" x14ac:dyDescent="0.25">
      <c r="B55" s="48"/>
      <c r="C55" s="17"/>
      <c r="D55" s="17"/>
      <c r="H55" s="17">
        <f t="shared" si="5"/>
        <v>0</v>
      </c>
      <c r="I55" s="17"/>
      <c r="J55" s="48"/>
      <c r="K55" s="17"/>
      <c r="L55" s="49"/>
    </row>
    <row r="56" spans="1:16" ht="15" customHeight="1" x14ac:dyDescent="0.25">
      <c r="B56" s="48"/>
      <c r="C56" s="17"/>
      <c r="D56" s="17"/>
      <c r="E56" s="16"/>
      <c r="H56" s="17">
        <f t="shared" si="5"/>
        <v>0</v>
      </c>
      <c r="I56" s="17"/>
      <c r="J56" s="48"/>
      <c r="K56" s="17"/>
      <c r="L56" s="49"/>
    </row>
    <row r="57" spans="1:16" ht="15" customHeight="1" x14ac:dyDescent="0.25">
      <c r="B57" s="48"/>
      <c r="C57" s="17"/>
      <c r="D57" s="17"/>
      <c r="H57" s="17">
        <f t="shared" si="5"/>
        <v>0</v>
      </c>
      <c r="I57" s="17"/>
      <c r="J57" s="48"/>
      <c r="K57" s="17"/>
      <c r="L57" s="49"/>
    </row>
    <row r="58" spans="1:16" ht="15" customHeight="1" x14ac:dyDescent="0.25">
      <c r="B58" s="48"/>
      <c r="C58" s="17"/>
      <c r="D58" s="17"/>
      <c r="H58" s="17">
        <f t="shared" si="5"/>
        <v>0</v>
      </c>
      <c r="I58" s="17"/>
      <c r="J58" s="48"/>
      <c r="K58" s="17"/>
      <c r="L58" s="49"/>
    </row>
    <row r="59" spans="1:16" ht="15" customHeight="1" x14ac:dyDescent="0.25">
      <c r="B59" s="48"/>
      <c r="C59" s="17"/>
      <c r="D59" s="17"/>
      <c r="E59" s="16"/>
      <c r="H59" s="17">
        <f>IFERROR(IF(F58="Closed account",(IF(F59="Unpaid Rent",(C59),(C59-D59))),(IF(F59="Unpaid Rent",(C59+H58),(C59-D59+H58)))),"")</f>
        <v>0</v>
      </c>
      <c r="I59" s="17"/>
      <c r="J59" s="48"/>
      <c r="K59" s="17"/>
      <c r="L59" s="49"/>
    </row>
    <row r="60" spans="1:16" ht="15" customHeight="1" x14ac:dyDescent="0.25">
      <c r="B60" s="48"/>
      <c r="C60" s="17"/>
      <c r="D60" s="17"/>
      <c r="E60" s="16"/>
      <c r="H60" s="17">
        <f t="shared" si="5"/>
        <v>0</v>
      </c>
      <c r="I60" s="17"/>
      <c r="J60" s="48"/>
      <c r="K60" s="17"/>
      <c r="L60" s="49"/>
    </row>
    <row r="61" spans="1:16" ht="15" customHeight="1" x14ac:dyDescent="0.25">
      <c r="B61" s="48"/>
      <c r="C61" s="17"/>
      <c r="D61" s="17"/>
      <c r="H61" s="17">
        <f t="shared" si="5"/>
        <v>0</v>
      </c>
      <c r="I61" s="17"/>
      <c r="J61" s="48"/>
      <c r="K61" s="17"/>
      <c r="L61" s="49"/>
    </row>
    <row r="62" spans="1:16" ht="15" customHeight="1" x14ac:dyDescent="0.25">
      <c r="B62" s="48"/>
      <c r="C62" s="17"/>
      <c r="D62" s="17"/>
      <c r="E62" s="16"/>
      <c r="H62" s="17">
        <f t="shared" si="5"/>
        <v>0</v>
      </c>
      <c r="I62" s="17"/>
      <c r="J62" s="48"/>
      <c r="K62" s="17"/>
      <c r="L62" s="49"/>
    </row>
    <row r="63" spans="1:16" ht="15" customHeight="1" x14ac:dyDescent="0.25">
      <c r="B63" s="48"/>
      <c r="C63" s="17"/>
      <c r="D63" s="17"/>
      <c r="E63" s="16"/>
      <c r="H63" s="17">
        <f t="shared" si="5"/>
        <v>0</v>
      </c>
      <c r="I63" s="17"/>
      <c r="J63" s="48"/>
      <c r="K63" s="17"/>
      <c r="L63" s="49"/>
    </row>
    <row r="64" spans="1:16" ht="15" customHeight="1" x14ac:dyDescent="0.25">
      <c r="B64" s="48"/>
      <c r="C64" s="17"/>
      <c r="D64" s="17"/>
      <c r="E64" s="16"/>
      <c r="H64" s="17">
        <f t="shared" si="5"/>
        <v>0</v>
      </c>
      <c r="I64" s="17"/>
      <c r="J64" s="48"/>
      <c r="K64" s="17"/>
      <c r="L64" s="49"/>
    </row>
    <row r="65" spans="1:12" ht="15" customHeight="1" x14ac:dyDescent="0.25">
      <c r="B65" s="48"/>
      <c r="C65" s="17"/>
      <c r="D65" s="17"/>
      <c r="E65" s="16"/>
      <c r="H65" s="17">
        <f t="shared" si="5"/>
        <v>0</v>
      </c>
      <c r="I65" s="17"/>
      <c r="J65" s="48"/>
      <c r="K65" s="17"/>
      <c r="L65" s="49"/>
    </row>
    <row r="66" spans="1:12" ht="15" customHeight="1" x14ac:dyDescent="0.25">
      <c r="B66" s="48"/>
      <c r="C66" s="17"/>
      <c r="D66" s="17"/>
      <c r="E66" s="16"/>
      <c r="H66" s="17">
        <f t="shared" si="5"/>
        <v>0</v>
      </c>
      <c r="I66" s="17"/>
      <c r="J66" s="48"/>
      <c r="K66" s="17"/>
      <c r="L66" s="49"/>
    </row>
    <row r="67" spans="1:12" ht="15" customHeight="1" x14ac:dyDescent="0.25">
      <c r="B67" s="48"/>
      <c r="C67" s="17"/>
      <c r="D67" s="17"/>
      <c r="E67" s="16"/>
      <c r="H67" s="17">
        <f t="shared" si="5"/>
        <v>0</v>
      </c>
      <c r="I67" s="17"/>
      <c r="J67" s="48"/>
      <c r="K67" s="17"/>
      <c r="L67" s="49"/>
    </row>
    <row r="68" spans="1:12" ht="15" customHeight="1" x14ac:dyDescent="0.25">
      <c r="B68" s="48"/>
      <c r="C68" s="17"/>
      <c r="D68" s="17"/>
      <c r="E68" s="16"/>
      <c r="H68" s="17">
        <f t="shared" si="5"/>
        <v>0</v>
      </c>
      <c r="I68" s="17"/>
      <c r="J68" s="48"/>
      <c r="K68" s="17"/>
      <c r="L68" s="49"/>
    </row>
    <row r="69" spans="1:12" ht="15" customHeight="1" x14ac:dyDescent="0.25">
      <c r="B69" s="48"/>
      <c r="C69" s="17"/>
      <c r="D69" s="17"/>
      <c r="E69" s="16"/>
      <c r="H69" s="17">
        <f t="shared" si="5"/>
        <v>0</v>
      </c>
      <c r="I69" s="17"/>
      <c r="J69" s="48"/>
      <c r="K69" s="17"/>
      <c r="L69" s="49"/>
    </row>
    <row r="70" spans="1:12" ht="15" customHeight="1" x14ac:dyDescent="0.25">
      <c r="B70" s="48"/>
      <c r="C70" s="17"/>
      <c r="D70" s="17"/>
      <c r="E70" s="16"/>
      <c r="H70" s="17">
        <f t="shared" si="5"/>
        <v>0</v>
      </c>
      <c r="I70" s="17"/>
      <c r="J70" s="48"/>
      <c r="K70" s="17"/>
      <c r="L70" s="49"/>
    </row>
    <row r="71" spans="1:12" ht="15" customHeight="1" x14ac:dyDescent="0.25">
      <c r="B71" s="48"/>
      <c r="C71" s="17"/>
      <c r="D71" s="17"/>
      <c r="E71" s="16"/>
      <c r="H71" s="17">
        <f>IFERROR(IF(F70="Closed account",(IF(F71="Unpaid Rent",(C71),(C71-D71))),(IF(F71="Unpaid Rent",(C71+H70),(C71-D71+H70)))),"")</f>
        <v>0</v>
      </c>
      <c r="I71" s="17"/>
      <c r="J71" s="48"/>
      <c r="K71" s="17"/>
      <c r="L71" s="49"/>
    </row>
    <row r="72" spans="1:12" ht="15" customHeight="1" x14ac:dyDescent="0.25">
      <c r="B72" s="48"/>
      <c r="C72" s="17"/>
      <c r="D72" s="17"/>
      <c r="E72" s="16"/>
      <c r="H72" s="17">
        <f>IFERROR(IF(F71="Closed account",(IF(F72="Unpaid Rent",(C72),(C72-D72))),(IF(F72="Unpaid Rent",(C72+H71),(C72-D72+H71)))),"")</f>
        <v>0</v>
      </c>
      <c r="I72" s="17"/>
      <c r="J72" s="48"/>
      <c r="K72" s="17"/>
      <c r="L72" s="49"/>
    </row>
    <row r="73" spans="1:12" x14ac:dyDescent="0.25">
      <c r="B73" s="48"/>
      <c r="C73" s="17"/>
      <c r="D73" s="17"/>
      <c r="E73" s="16"/>
      <c r="H73" s="17">
        <f t="shared" si="5"/>
        <v>0</v>
      </c>
      <c r="I73" s="17"/>
      <c r="J73" s="48"/>
      <c r="K73" s="17"/>
      <c r="L73" s="49"/>
    </row>
    <row r="74" spans="1:12" x14ac:dyDescent="0.25">
      <c r="A74"/>
      <c r="B74" s="50"/>
      <c r="E74" s="16"/>
      <c r="H74" s="17">
        <v>0</v>
      </c>
      <c r="J74" s="48"/>
      <c r="K74" s="17"/>
      <c r="L74" s="49"/>
    </row>
    <row r="75" spans="1:12" x14ac:dyDescent="0.25">
      <c r="A75"/>
      <c r="B75" s="50"/>
      <c r="E75" s="16"/>
      <c r="H75" s="17">
        <v>0</v>
      </c>
      <c r="J75" s="48"/>
      <c r="K75" s="17"/>
      <c r="L75" s="49"/>
    </row>
    <row r="76" spans="1:12" x14ac:dyDescent="0.25">
      <c r="A76"/>
      <c r="B76" s="50"/>
      <c r="E76" s="16"/>
      <c r="H76" s="17">
        <v>0</v>
      </c>
      <c r="J76" s="48"/>
      <c r="K76" s="17"/>
      <c r="L76" s="49"/>
    </row>
    <row r="77" spans="1:12" x14ac:dyDescent="0.25">
      <c r="A77"/>
      <c r="B77" s="50"/>
      <c r="E77" s="16"/>
      <c r="H77" s="17">
        <v>0</v>
      </c>
      <c r="J77" s="48"/>
      <c r="K77" s="17"/>
      <c r="L77" s="49"/>
    </row>
    <row r="78" spans="1:12" x14ac:dyDescent="0.25">
      <c r="A78"/>
      <c r="B78" s="50"/>
      <c r="E78" s="16"/>
      <c r="H78" s="17">
        <v>0</v>
      </c>
      <c r="J78" s="48"/>
      <c r="K78" s="17"/>
      <c r="L78" s="49"/>
    </row>
    <row r="79" spans="1:12" x14ac:dyDescent="0.25">
      <c r="A79"/>
      <c r="B79" s="50"/>
      <c r="E79" s="16"/>
      <c r="H79" s="17">
        <v>0</v>
      </c>
      <c r="J79" s="48"/>
      <c r="K79" s="17"/>
      <c r="L79" s="49"/>
    </row>
    <row r="80" spans="1:12" x14ac:dyDescent="0.25">
      <c r="A80"/>
      <c r="B80" s="50"/>
      <c r="E80" s="16"/>
      <c r="H80" s="17">
        <v>0</v>
      </c>
      <c r="J80" s="48"/>
      <c r="K80" s="17"/>
      <c r="L80" s="49"/>
    </row>
    <row r="81" spans="1:12" x14ac:dyDescent="0.25">
      <c r="A81"/>
      <c r="B81" s="50"/>
      <c r="H81" s="17">
        <f t="shared" si="5"/>
        <v>0</v>
      </c>
      <c r="J81" s="48"/>
      <c r="K81" s="17"/>
      <c r="L81" s="49"/>
    </row>
    <row r="82" spans="1:12" x14ac:dyDescent="0.25">
      <c r="A82"/>
      <c r="B82" s="50"/>
      <c r="H82" s="17">
        <f t="shared" si="5"/>
        <v>0</v>
      </c>
      <c r="J82" s="48"/>
      <c r="K82" s="17"/>
      <c r="L82" s="49"/>
    </row>
    <row r="83" spans="1:12" x14ac:dyDescent="0.25">
      <c r="A83"/>
      <c r="B83" s="50"/>
      <c r="H83" s="17">
        <f t="shared" si="5"/>
        <v>0</v>
      </c>
      <c r="J83" s="48"/>
      <c r="K83" s="17"/>
      <c r="L83" s="49"/>
    </row>
    <row r="84" spans="1:12" x14ac:dyDescent="0.25">
      <c r="A84"/>
      <c r="B84" s="50"/>
      <c r="H84" s="17">
        <f t="shared" si="5"/>
        <v>0</v>
      </c>
      <c r="J84" s="48"/>
      <c r="K84" s="17"/>
      <c r="L84" s="49"/>
    </row>
    <row r="85" spans="1:12" x14ac:dyDescent="0.25">
      <c r="A85"/>
      <c r="B85" s="50"/>
      <c r="H85" s="17">
        <f t="shared" si="5"/>
        <v>0</v>
      </c>
      <c r="J85" s="48"/>
      <c r="K85" s="17"/>
      <c r="L85" s="49"/>
    </row>
    <row r="86" spans="1:12" x14ac:dyDescent="0.25">
      <c r="A86"/>
      <c r="B86" s="50"/>
      <c r="H86" s="17">
        <f t="shared" si="5"/>
        <v>0</v>
      </c>
      <c r="J86" s="48"/>
      <c r="K86" s="17"/>
      <c r="L86" s="49"/>
    </row>
    <row r="87" spans="1:12" x14ac:dyDescent="0.25">
      <c r="A87"/>
      <c r="B87" s="50"/>
      <c r="H87" s="17">
        <f t="shared" si="5"/>
        <v>0</v>
      </c>
      <c r="J87" s="48"/>
      <c r="K87" s="17"/>
      <c r="L87" s="49"/>
    </row>
    <row r="88" spans="1:12" x14ac:dyDescent="0.25">
      <c r="A88"/>
      <c r="B88" s="50"/>
      <c r="H88" s="17">
        <f t="shared" si="5"/>
        <v>0</v>
      </c>
      <c r="J88" s="48"/>
      <c r="K88" s="17"/>
      <c r="L88" s="49"/>
    </row>
    <row r="89" spans="1:12" x14ac:dyDescent="0.25">
      <c r="A89"/>
      <c r="B89" s="50"/>
      <c r="H89" s="17">
        <f t="shared" si="5"/>
        <v>0</v>
      </c>
      <c r="J89" s="48"/>
      <c r="K89" s="17"/>
      <c r="L89" s="49"/>
    </row>
    <row r="90" spans="1:12" x14ac:dyDescent="0.25">
      <c r="A90"/>
      <c r="B90" s="50"/>
      <c r="H90" s="17">
        <f t="shared" si="5"/>
        <v>0</v>
      </c>
      <c r="J90" s="48"/>
      <c r="K90" s="17"/>
      <c r="L90" s="49"/>
    </row>
    <row r="91" spans="1:12" x14ac:dyDescent="0.25">
      <c r="A91"/>
      <c r="B91" s="50"/>
      <c r="H91" s="17">
        <f t="shared" ref="H91:H150" si="8">IFERROR(IF(F90="Closed account",(IF(F91="Unpaid Rent",(C91),(C91-D91))),(IF(F91="Unpaid Rent",(C91+H90),(C91-D91+H90)))),"")</f>
        <v>0</v>
      </c>
      <c r="J91" s="48"/>
      <c r="K91" s="17"/>
      <c r="L91" s="49"/>
    </row>
    <row r="92" spans="1:12" x14ac:dyDescent="0.25">
      <c r="A92"/>
      <c r="B92" s="50"/>
      <c r="H92" s="17">
        <f t="shared" si="8"/>
        <v>0</v>
      </c>
      <c r="J92" s="48"/>
      <c r="K92" s="17"/>
      <c r="L92" s="49"/>
    </row>
    <row r="93" spans="1:12" x14ac:dyDescent="0.25">
      <c r="A93"/>
      <c r="B93" s="50"/>
      <c r="H93" s="17">
        <f t="shared" si="8"/>
        <v>0</v>
      </c>
      <c r="J93" s="48"/>
      <c r="K93" s="17"/>
      <c r="L93" s="49"/>
    </row>
    <row r="94" spans="1:12" x14ac:dyDescent="0.25">
      <c r="A94"/>
      <c r="B94" s="50"/>
      <c r="H94" s="17">
        <f t="shared" si="8"/>
        <v>0</v>
      </c>
      <c r="J94" s="48"/>
      <c r="K94" s="17"/>
      <c r="L94" s="49"/>
    </row>
    <row r="95" spans="1:12" x14ac:dyDescent="0.25">
      <c r="A95"/>
      <c r="B95" s="50"/>
      <c r="H95" s="17">
        <f t="shared" si="8"/>
        <v>0</v>
      </c>
      <c r="J95" s="48"/>
      <c r="K95" s="17"/>
      <c r="L95" s="49"/>
    </row>
    <row r="96" spans="1:12" x14ac:dyDescent="0.25">
      <c r="A96"/>
      <c r="B96" s="50"/>
      <c r="H96" s="17">
        <f t="shared" si="8"/>
        <v>0</v>
      </c>
      <c r="J96" s="48"/>
      <c r="K96" s="17"/>
      <c r="L96" s="49"/>
    </row>
    <row r="97" spans="1:12" x14ac:dyDescent="0.25">
      <c r="A97"/>
      <c r="B97" s="50"/>
      <c r="H97" s="17">
        <f t="shared" si="8"/>
        <v>0</v>
      </c>
      <c r="J97" s="48"/>
      <c r="K97" s="17"/>
      <c r="L97" s="49"/>
    </row>
    <row r="98" spans="1:12" x14ac:dyDescent="0.25">
      <c r="A98"/>
      <c r="B98" s="50"/>
      <c r="H98" s="17">
        <f t="shared" si="8"/>
        <v>0</v>
      </c>
      <c r="J98" s="48"/>
      <c r="K98" s="17"/>
      <c r="L98" s="49"/>
    </row>
    <row r="99" spans="1:12" x14ac:dyDescent="0.25">
      <c r="A99"/>
      <c r="B99" s="50"/>
      <c r="H99" s="17">
        <f t="shared" si="8"/>
        <v>0</v>
      </c>
      <c r="J99" s="48"/>
      <c r="K99" s="17"/>
      <c r="L99" s="49"/>
    </row>
    <row r="100" spans="1:12" x14ac:dyDescent="0.25">
      <c r="A100"/>
      <c r="B100" s="50"/>
      <c r="H100" s="17">
        <f t="shared" si="8"/>
        <v>0</v>
      </c>
      <c r="J100" s="48"/>
      <c r="K100" s="17"/>
      <c r="L100" s="49"/>
    </row>
    <row r="101" spans="1:12" x14ac:dyDescent="0.25">
      <c r="A101"/>
      <c r="B101" s="50"/>
      <c r="H101" s="17">
        <f t="shared" si="8"/>
        <v>0</v>
      </c>
      <c r="J101" s="48"/>
      <c r="K101" s="17"/>
      <c r="L101" s="49"/>
    </row>
    <row r="102" spans="1:12" x14ac:dyDescent="0.25">
      <c r="A102"/>
      <c r="B102" s="50"/>
      <c r="H102" s="17">
        <f t="shared" si="8"/>
        <v>0</v>
      </c>
      <c r="J102" s="48"/>
      <c r="K102" s="17"/>
      <c r="L102" s="49"/>
    </row>
    <row r="103" spans="1:12" x14ac:dyDescent="0.25">
      <c r="A103"/>
      <c r="B103" s="50"/>
      <c r="H103" s="17">
        <f t="shared" si="8"/>
        <v>0</v>
      </c>
      <c r="J103" s="48"/>
      <c r="K103" s="17"/>
      <c r="L103" s="49"/>
    </row>
    <row r="104" spans="1:12" x14ac:dyDescent="0.25">
      <c r="A104"/>
      <c r="B104" s="50"/>
      <c r="H104" s="17">
        <f t="shared" si="8"/>
        <v>0</v>
      </c>
      <c r="J104" s="48"/>
      <c r="K104" s="17"/>
      <c r="L104" s="49"/>
    </row>
    <row r="105" spans="1:12" x14ac:dyDescent="0.25">
      <c r="A105"/>
      <c r="B105" s="50"/>
      <c r="H105" s="17">
        <f t="shared" si="8"/>
        <v>0</v>
      </c>
      <c r="J105" s="48"/>
      <c r="K105" s="17"/>
      <c r="L105" s="49"/>
    </row>
    <row r="106" spans="1:12" x14ac:dyDescent="0.25">
      <c r="A106"/>
      <c r="B106" s="50"/>
      <c r="H106" s="17">
        <f t="shared" si="8"/>
        <v>0</v>
      </c>
      <c r="J106" s="48"/>
      <c r="K106" s="17"/>
      <c r="L106" s="49"/>
    </row>
    <row r="107" spans="1:12" x14ac:dyDescent="0.25">
      <c r="A107"/>
      <c r="B107" s="50"/>
      <c r="H107" s="17">
        <f t="shared" si="8"/>
        <v>0</v>
      </c>
      <c r="J107" s="48"/>
      <c r="K107" s="17"/>
      <c r="L107" s="49"/>
    </row>
    <row r="108" spans="1:12" x14ac:dyDescent="0.25">
      <c r="A108"/>
      <c r="B108" s="50"/>
      <c r="H108" s="17">
        <f t="shared" si="8"/>
        <v>0</v>
      </c>
      <c r="J108" s="48"/>
      <c r="K108" s="17"/>
      <c r="L108" s="49"/>
    </row>
    <row r="109" spans="1:12" x14ac:dyDescent="0.25">
      <c r="A109"/>
      <c r="B109" s="50"/>
      <c r="H109" s="17">
        <f t="shared" si="8"/>
        <v>0</v>
      </c>
      <c r="J109" s="48"/>
      <c r="K109" s="17"/>
      <c r="L109" s="49"/>
    </row>
    <row r="110" spans="1:12" x14ac:dyDescent="0.25">
      <c r="A110"/>
      <c r="B110" s="50"/>
      <c r="H110" s="17">
        <f t="shared" si="8"/>
        <v>0</v>
      </c>
      <c r="J110" s="48"/>
      <c r="K110" s="17"/>
      <c r="L110" s="49"/>
    </row>
    <row r="111" spans="1:12" x14ac:dyDescent="0.25">
      <c r="A111"/>
      <c r="B111" s="50"/>
      <c r="H111" s="17">
        <f t="shared" si="8"/>
        <v>0</v>
      </c>
      <c r="J111" s="48"/>
      <c r="K111" s="17"/>
      <c r="L111" s="49"/>
    </row>
    <row r="112" spans="1:12" x14ac:dyDescent="0.25">
      <c r="A112"/>
      <c r="B112" s="50"/>
      <c r="H112" s="17">
        <f t="shared" si="8"/>
        <v>0</v>
      </c>
      <c r="J112" s="48"/>
      <c r="K112" s="17"/>
      <c r="L112" s="49"/>
    </row>
    <row r="113" spans="1:12" x14ac:dyDescent="0.25">
      <c r="A113"/>
      <c r="B113" s="50"/>
      <c r="H113" s="17">
        <f t="shared" si="8"/>
        <v>0</v>
      </c>
      <c r="J113" s="48"/>
      <c r="K113" s="17"/>
      <c r="L113" s="49"/>
    </row>
    <row r="114" spans="1:12" x14ac:dyDescent="0.25">
      <c r="A114"/>
      <c r="B114" s="50"/>
      <c r="H114" s="17">
        <f t="shared" si="8"/>
        <v>0</v>
      </c>
      <c r="J114" s="48"/>
      <c r="K114" s="17"/>
      <c r="L114" s="49"/>
    </row>
    <row r="115" spans="1:12" x14ac:dyDescent="0.25">
      <c r="A115"/>
      <c r="B115" s="50"/>
      <c r="H115" s="17">
        <f t="shared" si="8"/>
        <v>0</v>
      </c>
      <c r="J115" s="48"/>
      <c r="K115" s="17"/>
      <c r="L115" s="49"/>
    </row>
    <row r="116" spans="1:12" x14ac:dyDescent="0.25">
      <c r="A116"/>
      <c r="B116" s="50"/>
      <c r="H116" s="17">
        <f t="shared" si="8"/>
        <v>0</v>
      </c>
      <c r="J116" s="48"/>
      <c r="K116" s="17"/>
      <c r="L116" s="49"/>
    </row>
    <row r="117" spans="1:12" x14ac:dyDescent="0.25">
      <c r="A117"/>
      <c r="B117" s="50"/>
      <c r="H117" s="17">
        <f t="shared" si="8"/>
        <v>0</v>
      </c>
      <c r="J117" s="48"/>
      <c r="K117" s="17"/>
      <c r="L117" s="49"/>
    </row>
    <row r="118" spans="1:12" x14ac:dyDescent="0.25">
      <c r="A118"/>
      <c r="B118" s="50"/>
      <c r="H118" s="17">
        <f t="shared" si="8"/>
        <v>0</v>
      </c>
      <c r="J118" s="48"/>
      <c r="K118" s="17"/>
      <c r="L118" s="49"/>
    </row>
    <row r="119" spans="1:12" x14ac:dyDescent="0.25">
      <c r="A119"/>
      <c r="B119" s="50"/>
      <c r="H119" s="17">
        <f t="shared" si="8"/>
        <v>0</v>
      </c>
      <c r="J119" s="48"/>
      <c r="K119" s="17"/>
      <c r="L119" s="49"/>
    </row>
    <row r="120" spans="1:12" x14ac:dyDescent="0.25">
      <c r="B120" s="50"/>
      <c r="H120" s="17">
        <f t="shared" si="8"/>
        <v>0</v>
      </c>
      <c r="J120" s="48"/>
      <c r="K120" s="17"/>
      <c r="L120" s="49"/>
    </row>
    <row r="121" spans="1:12" x14ac:dyDescent="0.25">
      <c r="B121" s="50"/>
      <c r="H121" s="17">
        <f t="shared" si="8"/>
        <v>0</v>
      </c>
      <c r="J121" s="48"/>
      <c r="K121" s="17"/>
      <c r="L121" s="49"/>
    </row>
    <row r="122" spans="1:12" x14ac:dyDescent="0.25">
      <c r="B122" s="50"/>
      <c r="H122" s="17">
        <f t="shared" si="8"/>
        <v>0</v>
      </c>
      <c r="J122" s="48"/>
      <c r="K122" s="17"/>
      <c r="L122" s="49"/>
    </row>
    <row r="123" spans="1:12" x14ac:dyDescent="0.25">
      <c r="B123" s="50"/>
      <c r="H123" s="17">
        <f t="shared" si="8"/>
        <v>0</v>
      </c>
      <c r="J123" s="48"/>
      <c r="K123" s="17"/>
      <c r="L123" s="49"/>
    </row>
    <row r="124" spans="1:12" x14ac:dyDescent="0.25">
      <c r="B124" s="50"/>
      <c r="H124" s="17">
        <f t="shared" si="8"/>
        <v>0</v>
      </c>
      <c r="J124" s="48"/>
      <c r="K124" s="17"/>
      <c r="L124" s="49"/>
    </row>
    <row r="125" spans="1:12" x14ac:dyDescent="0.25">
      <c r="B125" s="50"/>
      <c r="H125" s="17">
        <f t="shared" si="8"/>
        <v>0</v>
      </c>
      <c r="J125" s="48"/>
      <c r="K125" s="17"/>
      <c r="L125" s="49"/>
    </row>
    <row r="126" spans="1:12" x14ac:dyDescent="0.25">
      <c r="B126" s="50"/>
      <c r="H126" s="17">
        <f t="shared" si="8"/>
        <v>0</v>
      </c>
      <c r="J126" s="48"/>
      <c r="K126" s="17"/>
      <c r="L126" s="49"/>
    </row>
    <row r="127" spans="1:12" x14ac:dyDescent="0.25">
      <c r="B127" s="50"/>
      <c r="H127" s="17">
        <f t="shared" si="8"/>
        <v>0</v>
      </c>
      <c r="J127" s="48"/>
      <c r="K127" s="17"/>
      <c r="L127" s="49"/>
    </row>
    <row r="128" spans="1:12" x14ac:dyDescent="0.25">
      <c r="B128" s="50"/>
      <c r="H128" s="17">
        <f t="shared" si="8"/>
        <v>0</v>
      </c>
      <c r="J128" s="48"/>
      <c r="K128" s="17"/>
      <c r="L128" s="49"/>
    </row>
    <row r="129" spans="1:12" x14ac:dyDescent="0.25">
      <c r="B129" s="50"/>
      <c r="H129" s="17">
        <f t="shared" si="8"/>
        <v>0</v>
      </c>
      <c r="J129" s="48"/>
      <c r="K129" s="17"/>
      <c r="L129" s="49"/>
    </row>
    <row r="130" spans="1:12" x14ac:dyDescent="0.25">
      <c r="B130" s="50"/>
      <c r="H130" s="17">
        <f t="shared" si="8"/>
        <v>0</v>
      </c>
      <c r="J130" s="48"/>
      <c r="K130" s="17"/>
      <c r="L130" s="49"/>
    </row>
    <row r="131" spans="1:12" x14ac:dyDescent="0.25">
      <c r="B131" s="50"/>
      <c r="H131" s="17">
        <f t="shared" si="8"/>
        <v>0</v>
      </c>
      <c r="J131" s="48"/>
      <c r="K131" s="17"/>
      <c r="L131" s="49"/>
    </row>
    <row r="132" spans="1:12" x14ac:dyDescent="0.25">
      <c r="B132" s="50"/>
      <c r="H132" s="17">
        <f t="shared" si="8"/>
        <v>0</v>
      </c>
      <c r="J132" s="48"/>
      <c r="K132" s="17"/>
      <c r="L132" s="49"/>
    </row>
    <row r="133" spans="1:12" x14ac:dyDescent="0.25">
      <c r="B133" s="50"/>
      <c r="H133" s="17">
        <f t="shared" si="8"/>
        <v>0</v>
      </c>
      <c r="J133" s="48"/>
      <c r="K133" s="17"/>
      <c r="L133" s="49"/>
    </row>
    <row r="134" spans="1:12" x14ac:dyDescent="0.25">
      <c r="B134" s="50"/>
      <c r="H134" s="17">
        <f t="shared" si="8"/>
        <v>0</v>
      </c>
      <c r="J134" s="48"/>
      <c r="K134" s="17"/>
      <c r="L134" s="49"/>
    </row>
    <row r="135" spans="1:12" x14ac:dyDescent="0.25">
      <c r="A135" s="10" t="s">
        <v>18</v>
      </c>
      <c r="B135" s="50" t="str">
        <f>IF($A135&lt;&gt;"",IF(_term=26,IF(A135=1,first_payment,B134+14),IF(_term=52,IF(A135=1,first_payment,B134+7),DATE(YEAR(first_payment),MONTH(first_payment)+(A135-1)*per_year,IF(_term=24,IF(1-MOD(A135,2)=1,DAY(first_payment)+14,DAY(first_payment)),DAY(first_payment))))),"")</f>
        <v/>
      </c>
      <c r="H135" s="17">
        <f t="shared" si="8"/>
        <v>0</v>
      </c>
      <c r="J135" s="48"/>
      <c r="K135" s="17"/>
      <c r="L135" s="49"/>
    </row>
    <row r="136" spans="1:12" x14ac:dyDescent="0.25">
      <c r="A136" s="10" t="s">
        <v>18</v>
      </c>
      <c r="B136" s="50" t="str">
        <f>IF($A136&lt;&gt;"",IF(_term=26,IF(A136=1,first_payment,B135+14),IF(_term=52,IF(A136=1,first_payment,B135+7),DATE(YEAR(first_payment),MONTH(first_payment)+(A136-1)*per_year,IF(_term=24,IF(1-MOD(A136,2)=1,DAY(first_payment)+14,DAY(first_payment)),DAY(first_payment))))),"")</f>
        <v/>
      </c>
      <c r="H136" s="17">
        <f t="shared" si="8"/>
        <v>0</v>
      </c>
      <c r="J136" s="48"/>
      <c r="K136" s="17"/>
      <c r="L136" s="49"/>
    </row>
    <row r="137" spans="1:12" x14ac:dyDescent="0.25">
      <c r="A137" s="10" t="s">
        <v>18</v>
      </c>
      <c r="B137" s="50" t="str">
        <f>IF($A137&lt;&gt;"",IF(_term=26,IF(A137=1,first_payment,B136+14),IF(_term=52,IF(A137=1,first_payment,B136+7),DATE(YEAR(first_payment),MONTH(first_payment)+(A137-1)*per_year,IF(_term=24,IF(1-MOD(A137,2)=1,DAY(first_payment)+14,DAY(first_payment)),DAY(first_payment))))),"")</f>
        <v/>
      </c>
      <c r="H137" s="17">
        <f t="shared" si="8"/>
        <v>0</v>
      </c>
      <c r="J137" s="48"/>
      <c r="K137" s="17"/>
      <c r="L137" s="49"/>
    </row>
    <row r="138" spans="1:12" x14ac:dyDescent="0.25">
      <c r="A138" s="10" t="s">
        <v>18</v>
      </c>
      <c r="B138" s="50" t="str">
        <f>IF($A138&lt;&gt;"",IF(_term=26,IF(A138=1,first_payment,B137+14),IF(_term=52,IF(A138=1,first_payment,B137+7),DATE(YEAR(first_payment),MONTH(first_payment)+(A138-1)*per_year,IF(_term=24,IF(1-MOD(A138,2)=1,DAY(first_payment)+14,DAY(first_payment)),DAY(first_payment))))),"")</f>
        <v/>
      </c>
      <c r="H138" s="17">
        <f t="shared" si="8"/>
        <v>0</v>
      </c>
      <c r="J138" s="48"/>
      <c r="K138" s="17"/>
      <c r="L138" s="49"/>
    </row>
    <row r="139" spans="1:12" x14ac:dyDescent="0.25">
      <c r="H139" s="17">
        <f t="shared" si="8"/>
        <v>0</v>
      </c>
      <c r="J139" s="48"/>
      <c r="K139" s="17"/>
      <c r="L139" s="49"/>
    </row>
    <row r="140" spans="1:12" ht="15" customHeight="1" x14ac:dyDescent="0.25">
      <c r="H140" s="17">
        <f t="shared" si="8"/>
        <v>0</v>
      </c>
      <c r="J140" s="48"/>
      <c r="K140" s="17"/>
      <c r="L140" s="49"/>
    </row>
    <row r="141" spans="1:12" ht="15" customHeight="1" x14ac:dyDescent="0.25">
      <c r="H141" s="17">
        <f t="shared" si="8"/>
        <v>0</v>
      </c>
      <c r="J141" s="48"/>
      <c r="K141" s="17"/>
      <c r="L141" s="49"/>
    </row>
    <row r="142" spans="1:12" ht="15" customHeight="1" x14ac:dyDescent="0.25">
      <c r="H142" s="17">
        <f t="shared" si="8"/>
        <v>0</v>
      </c>
      <c r="J142" s="48"/>
      <c r="K142" s="17"/>
      <c r="L142" s="49"/>
    </row>
    <row r="143" spans="1:12" ht="15" customHeight="1" x14ac:dyDescent="0.25">
      <c r="H143" s="17">
        <f t="shared" si="8"/>
        <v>0</v>
      </c>
      <c r="J143" s="48"/>
      <c r="K143" s="17"/>
      <c r="L143" s="49"/>
    </row>
    <row r="144" spans="1:12" ht="15" customHeight="1" x14ac:dyDescent="0.25">
      <c r="H144" s="17">
        <f t="shared" si="8"/>
        <v>0</v>
      </c>
      <c r="J144" s="48"/>
      <c r="K144" s="17"/>
      <c r="L144" s="49"/>
    </row>
    <row r="145" spans="2:12" ht="15" customHeight="1" x14ac:dyDescent="0.25">
      <c r="H145" s="17">
        <f t="shared" si="8"/>
        <v>0</v>
      </c>
      <c r="J145" s="48"/>
      <c r="K145" s="17"/>
      <c r="L145" s="49"/>
    </row>
    <row r="146" spans="2:12" ht="15" customHeight="1" x14ac:dyDescent="0.25">
      <c r="H146" s="17">
        <f t="shared" si="8"/>
        <v>0</v>
      </c>
      <c r="J146" s="48"/>
      <c r="K146" s="17"/>
      <c r="L146" s="49"/>
    </row>
    <row r="147" spans="2:12" ht="15" customHeight="1" x14ac:dyDescent="0.25">
      <c r="H147" s="17">
        <f t="shared" si="8"/>
        <v>0</v>
      </c>
      <c r="J147" s="48"/>
      <c r="K147" s="17"/>
      <c r="L147" s="49"/>
    </row>
    <row r="148" spans="2:12" ht="15" customHeight="1" x14ac:dyDescent="0.25">
      <c r="H148" s="17">
        <f t="shared" si="8"/>
        <v>0</v>
      </c>
      <c r="J148" s="48"/>
      <c r="K148" s="17"/>
      <c r="L148" s="49"/>
    </row>
    <row r="149" spans="2:12" ht="15" customHeight="1" x14ac:dyDescent="0.25">
      <c r="H149" s="17">
        <f t="shared" si="8"/>
        <v>0</v>
      </c>
      <c r="J149" s="48"/>
      <c r="K149" s="17"/>
      <c r="L149" s="49"/>
    </row>
    <row r="150" spans="2:12" ht="15" customHeight="1" x14ac:dyDescent="0.25">
      <c r="H150" s="17">
        <f t="shared" si="8"/>
        <v>0</v>
      </c>
      <c r="J150" s="48"/>
      <c r="K150" s="17"/>
      <c r="L150" s="49"/>
    </row>
    <row r="151" spans="2:12" ht="15" customHeight="1" x14ac:dyDescent="0.25">
      <c r="B151" s="48"/>
      <c r="C151" s="17"/>
      <c r="D151" s="17"/>
      <c r="E151" s="16"/>
      <c r="H151" s="17"/>
      <c r="I151" s="17"/>
      <c r="J151" s="48"/>
      <c r="K151" s="17"/>
      <c r="L151" s="49"/>
    </row>
    <row r="152" spans="2:12" ht="15" customHeight="1" x14ac:dyDescent="0.25">
      <c r="B152" s="16"/>
      <c r="C152" s="17"/>
      <c r="H152" s="17"/>
      <c r="I152" s="17"/>
      <c r="J152" s="48"/>
      <c r="K152" s="17"/>
      <c r="L152" s="49"/>
    </row>
    <row r="153" spans="2:12" ht="15" customHeight="1" x14ac:dyDescent="0.25">
      <c r="J153" s="48"/>
      <c r="K153" s="17"/>
      <c r="L153" s="49"/>
    </row>
    <row r="154" spans="2:12" ht="15" customHeight="1" x14ac:dyDescent="0.25">
      <c r="J154" s="48"/>
      <c r="K154" s="17"/>
      <c r="L154" s="49"/>
    </row>
    <row r="155" spans="2:12" ht="15" customHeight="1" x14ac:dyDescent="0.25">
      <c r="J155" s="48"/>
      <c r="K155" s="17"/>
      <c r="L155" s="49"/>
    </row>
    <row r="156" spans="2:12" ht="15" customHeight="1" x14ac:dyDescent="0.25">
      <c r="J156" s="48"/>
      <c r="K156" s="17"/>
      <c r="L156" s="49"/>
    </row>
    <row r="157" spans="2:12" ht="15" customHeight="1" x14ac:dyDescent="0.25">
      <c r="J157" s="48"/>
      <c r="K157" s="17"/>
      <c r="L157" s="49"/>
    </row>
    <row r="158" spans="2:12" ht="15" customHeight="1" x14ac:dyDescent="0.25">
      <c r="J158" s="48"/>
      <c r="K158" s="17"/>
      <c r="L158" s="49"/>
    </row>
    <row r="159" spans="2:12" ht="15" customHeight="1" x14ac:dyDescent="0.25">
      <c r="J159" s="48"/>
      <c r="K159" s="17"/>
      <c r="L159" s="49"/>
    </row>
    <row r="160" spans="2:12" ht="15" customHeight="1" x14ac:dyDescent="0.25">
      <c r="J160" s="48"/>
      <c r="K160" s="17"/>
      <c r="L160" s="49"/>
    </row>
    <row r="161" spans="10:12" ht="15" customHeight="1" x14ac:dyDescent="0.25">
      <c r="J161" s="48"/>
      <c r="K161" s="17"/>
      <c r="L161" s="49"/>
    </row>
    <row r="162" spans="10:12" ht="15" customHeight="1" x14ac:dyDescent="0.25">
      <c r="J162" s="48"/>
      <c r="K162" s="17"/>
      <c r="L162" s="49"/>
    </row>
    <row r="163" spans="10:12" ht="15" customHeight="1" x14ac:dyDescent="0.25">
      <c r="J163" s="48"/>
      <c r="K163" s="17"/>
      <c r="L163" s="49"/>
    </row>
    <row r="164" spans="10:12" ht="15" customHeight="1" x14ac:dyDescent="0.25">
      <c r="J164" s="48"/>
      <c r="K164" s="17"/>
      <c r="L164" s="49"/>
    </row>
    <row r="165" spans="10:12" ht="15" customHeight="1" x14ac:dyDescent="0.25">
      <c r="J165" s="48"/>
      <c r="K165" s="17"/>
      <c r="L165" s="49"/>
    </row>
    <row r="166" spans="10:12" ht="15" customHeight="1" x14ac:dyDescent="0.25">
      <c r="J166" s="48"/>
      <c r="K166" s="17"/>
      <c r="L166" s="49"/>
    </row>
    <row r="167" spans="10:12" ht="15" customHeight="1" x14ac:dyDescent="0.25">
      <c r="J167" s="48"/>
      <c r="K167" s="17"/>
      <c r="L167" s="49"/>
    </row>
    <row r="168" spans="10:12" ht="15" customHeight="1" x14ac:dyDescent="0.25">
      <c r="J168" s="48"/>
      <c r="K168" s="17"/>
      <c r="L168" s="49"/>
    </row>
    <row r="169" spans="10:12" ht="15" customHeight="1" x14ac:dyDescent="0.25">
      <c r="J169" s="48"/>
      <c r="K169" s="17"/>
      <c r="L169" s="49"/>
    </row>
    <row r="170" spans="10:12" ht="15" customHeight="1" x14ac:dyDescent="0.25">
      <c r="J170" s="48"/>
      <c r="K170" s="17"/>
      <c r="L170" s="49"/>
    </row>
    <row r="171" spans="10:12" ht="15" customHeight="1" x14ac:dyDescent="0.25">
      <c r="J171" s="48"/>
      <c r="K171" s="17"/>
      <c r="L171" s="49"/>
    </row>
    <row r="172" spans="10:12" ht="15" customHeight="1" x14ac:dyDescent="0.25">
      <c r="J172" s="48"/>
      <c r="K172" s="17"/>
      <c r="L172" s="49"/>
    </row>
    <row r="173" spans="10:12" ht="15" customHeight="1" x14ac:dyDescent="0.25">
      <c r="J173" s="48"/>
      <c r="K173" s="17"/>
      <c r="L173" s="49"/>
    </row>
    <row r="174" spans="10:12" ht="15" customHeight="1" x14ac:dyDescent="0.25">
      <c r="J174" s="48"/>
      <c r="K174" s="17"/>
      <c r="L174" s="49"/>
    </row>
    <row r="175" spans="10:12" ht="15" customHeight="1" x14ac:dyDescent="0.25">
      <c r="J175" s="48"/>
      <c r="K175" s="17"/>
      <c r="L175" s="49"/>
    </row>
    <row r="176" spans="10:12" ht="15" customHeight="1" x14ac:dyDescent="0.25">
      <c r="J176" s="48"/>
      <c r="K176" s="17"/>
      <c r="L176" s="49"/>
    </row>
    <row r="177" spans="10:12" ht="15" customHeight="1" x14ac:dyDescent="0.25">
      <c r="J177" s="48"/>
      <c r="K177" s="17"/>
      <c r="L177" s="49"/>
    </row>
    <row r="178" spans="10:12" ht="15" customHeight="1" x14ac:dyDescent="0.25">
      <c r="J178" s="48"/>
      <c r="K178" s="17"/>
      <c r="L178" s="49"/>
    </row>
    <row r="179" spans="10:12" ht="15" customHeight="1" x14ac:dyDescent="0.25">
      <c r="J179" s="48"/>
      <c r="K179" s="17"/>
      <c r="L179" s="49"/>
    </row>
    <row r="180" spans="10:12" ht="15" customHeight="1" x14ac:dyDescent="0.25">
      <c r="J180" s="48"/>
      <c r="K180" s="17"/>
      <c r="L180" s="49"/>
    </row>
    <row r="181" spans="10:12" ht="15" customHeight="1" x14ac:dyDescent="0.25">
      <c r="J181" s="48"/>
      <c r="K181" s="17"/>
      <c r="L181" s="49"/>
    </row>
    <row r="182" spans="10:12" ht="15" customHeight="1" x14ac:dyDescent="0.25">
      <c r="J182" s="48"/>
      <c r="K182" s="17"/>
      <c r="L182" s="49"/>
    </row>
    <row r="183" spans="10:12" ht="15" customHeight="1" x14ac:dyDescent="0.25">
      <c r="J183" s="48"/>
      <c r="K183" s="17"/>
      <c r="L183" s="49"/>
    </row>
    <row r="184" spans="10:12" ht="15" customHeight="1" x14ac:dyDescent="0.25">
      <c r="J184" s="48"/>
      <c r="K184" s="17"/>
      <c r="L184" s="49"/>
    </row>
    <row r="185" spans="10:12" ht="15" customHeight="1" x14ac:dyDescent="0.25">
      <c r="J185" s="48"/>
      <c r="K185" s="17"/>
      <c r="L185" s="49"/>
    </row>
    <row r="186" spans="10:12" ht="15" customHeight="1" x14ac:dyDescent="0.25">
      <c r="J186" s="48"/>
      <c r="K186" s="17"/>
      <c r="L186" s="49"/>
    </row>
    <row r="187" spans="10:12" ht="15" customHeight="1" x14ac:dyDescent="0.25">
      <c r="J187" s="48"/>
      <c r="K187" s="17"/>
      <c r="L187" s="49"/>
    </row>
    <row r="188" spans="10:12" ht="15" customHeight="1" x14ac:dyDescent="0.25">
      <c r="J188" s="48"/>
      <c r="K188" s="17"/>
      <c r="L188" s="49"/>
    </row>
    <row r="189" spans="10:12" ht="15" customHeight="1" x14ac:dyDescent="0.25">
      <c r="J189" s="48"/>
      <c r="K189" s="17"/>
      <c r="L189" s="49"/>
    </row>
    <row r="190" spans="10:12" ht="15" customHeight="1" x14ac:dyDescent="0.25">
      <c r="J190" s="48"/>
      <c r="K190" s="17"/>
      <c r="L190" s="49"/>
    </row>
    <row r="191" spans="10:12" ht="15" customHeight="1" x14ac:dyDescent="0.25">
      <c r="J191" s="48"/>
      <c r="K191" s="17"/>
      <c r="L191" s="49"/>
    </row>
    <row r="192" spans="10:12" ht="15" customHeight="1" x14ac:dyDescent="0.25">
      <c r="J192" s="48"/>
      <c r="K192" s="17"/>
      <c r="L192" s="49"/>
    </row>
    <row r="193" spans="10:12" ht="15" customHeight="1" x14ac:dyDescent="0.25">
      <c r="J193" s="48"/>
      <c r="K193" s="17"/>
      <c r="L193" s="49"/>
    </row>
    <row r="194" spans="10:12" ht="15" customHeight="1" x14ac:dyDescent="0.25">
      <c r="J194" s="48"/>
      <c r="K194" s="17"/>
      <c r="L194" s="49"/>
    </row>
    <row r="195" spans="10:12" ht="15" customHeight="1" x14ac:dyDescent="0.25">
      <c r="J195" s="48"/>
      <c r="K195" s="17"/>
      <c r="L195" s="49"/>
    </row>
    <row r="196" spans="10:12" ht="15" customHeight="1" x14ac:dyDescent="0.25">
      <c r="J196" s="48"/>
      <c r="K196" s="17"/>
      <c r="L196" s="49"/>
    </row>
    <row r="197" spans="10:12" ht="15" customHeight="1" x14ac:dyDescent="0.25">
      <c r="J197" s="48"/>
      <c r="K197" s="17"/>
      <c r="L197" s="49"/>
    </row>
    <row r="198" spans="10:12" ht="15" customHeight="1" x14ac:dyDescent="0.25">
      <c r="J198" s="48"/>
      <c r="K198" s="17"/>
      <c r="L198" s="49"/>
    </row>
    <row r="199" spans="10:12" ht="15" customHeight="1" x14ac:dyDescent="0.25">
      <c r="J199" s="48"/>
      <c r="K199" s="17"/>
      <c r="L199" s="49"/>
    </row>
    <row r="200" spans="10:12" ht="15" customHeight="1" x14ac:dyDescent="0.25">
      <c r="J200" s="48"/>
      <c r="K200" s="17"/>
      <c r="L200" s="49"/>
    </row>
    <row r="201" spans="10:12" ht="15" customHeight="1" x14ac:dyDescent="0.25">
      <c r="J201" s="48"/>
      <c r="K201" s="17"/>
      <c r="L201" s="49"/>
    </row>
    <row r="202" spans="10:12" ht="15" customHeight="1" x14ac:dyDescent="0.25">
      <c r="J202" s="48"/>
      <c r="K202" s="17"/>
      <c r="L202" s="49"/>
    </row>
    <row r="203" spans="10:12" ht="15" customHeight="1" x14ac:dyDescent="0.25">
      <c r="J203" s="48"/>
      <c r="K203" s="17"/>
      <c r="L203" s="49"/>
    </row>
    <row r="204" spans="10:12" ht="15" customHeight="1" x14ac:dyDescent="0.25">
      <c r="J204" s="48"/>
      <c r="K204" s="17"/>
      <c r="L204" s="49"/>
    </row>
    <row r="205" spans="10:12" ht="15" customHeight="1" x14ac:dyDescent="0.25">
      <c r="J205" s="48"/>
      <c r="K205" s="17"/>
      <c r="L205" s="49"/>
    </row>
    <row r="206" spans="10:12" ht="15" customHeight="1" x14ac:dyDescent="0.25">
      <c r="J206" s="48"/>
      <c r="K206" s="17"/>
      <c r="L206" s="49"/>
    </row>
    <row r="207" spans="10:12" ht="15" customHeight="1" x14ac:dyDescent="0.25">
      <c r="J207" s="48"/>
      <c r="K207" s="17"/>
      <c r="L207" s="49"/>
    </row>
    <row r="208" spans="10:12" ht="15" customHeight="1" x14ac:dyDescent="0.25">
      <c r="J208" s="48"/>
      <c r="K208" s="17"/>
      <c r="L208" s="49"/>
    </row>
    <row r="209" spans="10:12" ht="15" customHeight="1" x14ac:dyDescent="0.25">
      <c r="J209" s="48"/>
      <c r="K209" s="17"/>
      <c r="L209" s="49"/>
    </row>
    <row r="210" spans="10:12" ht="15" customHeight="1" x14ac:dyDescent="0.25">
      <c r="J210" s="48"/>
      <c r="K210" s="17"/>
      <c r="L210" s="49"/>
    </row>
    <row r="211" spans="10:12" ht="15" customHeight="1" x14ac:dyDescent="0.25">
      <c r="J211" s="48"/>
      <c r="K211" s="17"/>
      <c r="L211" s="49"/>
    </row>
    <row r="212" spans="10:12" ht="15" customHeight="1" x14ac:dyDescent="0.25">
      <c r="J212" s="48"/>
      <c r="K212" s="17"/>
      <c r="L212" s="49"/>
    </row>
    <row r="213" spans="10:12" ht="15" customHeight="1" x14ac:dyDescent="0.25">
      <c r="J213" s="48"/>
      <c r="K213" s="17"/>
      <c r="L213" s="49"/>
    </row>
    <row r="214" spans="10:12" ht="15" customHeight="1" x14ac:dyDescent="0.25">
      <c r="J214" s="48"/>
      <c r="K214" s="17"/>
      <c r="L214" s="49"/>
    </row>
    <row r="215" spans="10:12" ht="15" customHeight="1" x14ac:dyDescent="0.25">
      <c r="J215" s="48"/>
      <c r="K215" s="17"/>
      <c r="L215" s="49"/>
    </row>
    <row r="216" spans="10:12" ht="15" customHeight="1" x14ac:dyDescent="0.25">
      <c r="J216" s="48"/>
      <c r="K216" s="17"/>
      <c r="L216" s="49"/>
    </row>
    <row r="217" spans="10:12" ht="15" customHeight="1" x14ac:dyDescent="0.25">
      <c r="J217" s="48"/>
      <c r="K217" s="17"/>
      <c r="L217" s="49"/>
    </row>
    <row r="218" spans="10:12" ht="15" customHeight="1" x14ac:dyDescent="0.25">
      <c r="J218" s="48"/>
      <c r="K218" s="17"/>
      <c r="L218" s="49"/>
    </row>
    <row r="219" spans="10:12" ht="15" customHeight="1" x14ac:dyDescent="0.25">
      <c r="J219" s="48"/>
      <c r="K219" s="17"/>
      <c r="L219" s="49"/>
    </row>
    <row r="220" spans="10:12" ht="15" customHeight="1" x14ac:dyDescent="0.25">
      <c r="J220" s="48"/>
      <c r="K220" s="17"/>
      <c r="L220" s="49"/>
    </row>
    <row r="221" spans="10:12" ht="15" customHeight="1" x14ac:dyDescent="0.25">
      <c r="J221" s="48"/>
      <c r="K221" s="17"/>
      <c r="L221" s="49"/>
    </row>
    <row r="222" spans="10:12" ht="15" customHeight="1" x14ac:dyDescent="0.25">
      <c r="J222" s="48"/>
      <c r="K222" s="17"/>
      <c r="L222" s="49"/>
    </row>
    <row r="223" spans="10:12" ht="15" customHeight="1" x14ac:dyDescent="0.25">
      <c r="J223" s="48"/>
      <c r="K223" s="17"/>
      <c r="L223" s="49"/>
    </row>
    <row r="224" spans="10:12" ht="15" customHeight="1" x14ac:dyDescent="0.25">
      <c r="J224" s="48"/>
      <c r="K224" s="17"/>
      <c r="L224" s="49"/>
    </row>
    <row r="225" spans="10:12" ht="15" customHeight="1" x14ac:dyDescent="0.25">
      <c r="J225" s="48"/>
      <c r="K225" s="17"/>
      <c r="L225" s="49"/>
    </row>
    <row r="226" spans="10:12" ht="15" customHeight="1" x14ac:dyDescent="0.25">
      <c r="J226" s="48"/>
      <c r="K226" s="17"/>
      <c r="L226" s="49"/>
    </row>
    <row r="227" spans="10:12" ht="15" customHeight="1" x14ac:dyDescent="0.25">
      <c r="J227" s="48"/>
      <c r="K227" s="17"/>
      <c r="L227" s="49"/>
    </row>
    <row r="228" spans="10:12" ht="15" customHeight="1" x14ac:dyDescent="0.25">
      <c r="J228" s="48"/>
      <c r="K228" s="17"/>
      <c r="L228" s="49"/>
    </row>
    <row r="229" spans="10:12" ht="15" customHeight="1" x14ac:dyDescent="0.25">
      <c r="J229" s="48"/>
      <c r="K229" s="17"/>
      <c r="L229" s="49"/>
    </row>
    <row r="230" spans="10:12" ht="15" customHeight="1" x14ac:dyDescent="0.25">
      <c r="J230" s="48"/>
      <c r="K230" s="17"/>
      <c r="L230" s="49"/>
    </row>
    <row r="231" spans="10:12" ht="15" customHeight="1" x14ac:dyDescent="0.25">
      <c r="J231" s="48"/>
      <c r="K231" s="17"/>
      <c r="L231" s="49"/>
    </row>
    <row r="232" spans="10:12" ht="15" customHeight="1" x14ac:dyDescent="0.25">
      <c r="J232" s="48"/>
      <c r="K232" s="17"/>
      <c r="L232" s="49"/>
    </row>
    <row r="233" spans="10:12" ht="15" customHeight="1" x14ac:dyDescent="0.25">
      <c r="J233" s="48"/>
      <c r="K233" s="17"/>
      <c r="L233" s="49"/>
    </row>
    <row r="234" spans="10:12" ht="15" customHeight="1" x14ac:dyDescent="0.25">
      <c r="J234" s="48"/>
      <c r="K234" s="17"/>
      <c r="L234" s="49"/>
    </row>
    <row r="235" spans="10:12" ht="15" customHeight="1" x14ac:dyDescent="0.25">
      <c r="J235" s="48"/>
      <c r="K235" s="17"/>
      <c r="L235" s="49"/>
    </row>
    <row r="236" spans="10:12" ht="15" customHeight="1" x14ac:dyDescent="0.25">
      <c r="J236" s="48"/>
      <c r="K236" s="17"/>
      <c r="L236" s="49"/>
    </row>
    <row r="237" spans="10:12" ht="15" customHeight="1" x14ac:dyDescent="0.25">
      <c r="J237" s="48"/>
      <c r="K237" s="17"/>
      <c r="L237" s="49"/>
    </row>
    <row r="238" spans="10:12" ht="15" customHeight="1" x14ac:dyDescent="0.25">
      <c r="J238" s="48"/>
      <c r="K238" s="17"/>
      <c r="L238" s="49"/>
    </row>
    <row r="239" spans="10:12" ht="15" customHeight="1" x14ac:dyDescent="0.25">
      <c r="J239" s="48"/>
      <c r="K239" s="17"/>
      <c r="L239" s="49"/>
    </row>
    <row r="240" spans="10:12" ht="15" customHeight="1" x14ac:dyDescent="0.25">
      <c r="J240" s="48"/>
      <c r="K240" s="17"/>
      <c r="L240" s="49"/>
    </row>
    <row r="241" spans="10:12" ht="15" customHeight="1" x14ac:dyDescent="0.25">
      <c r="J241" s="48"/>
      <c r="K241" s="17"/>
      <c r="L241" s="49"/>
    </row>
    <row r="242" spans="10:12" ht="15" customHeight="1" x14ac:dyDescent="0.25">
      <c r="J242" s="48"/>
      <c r="K242" s="17"/>
      <c r="L242" s="49"/>
    </row>
    <row r="243" spans="10:12" ht="15" customHeight="1" x14ac:dyDescent="0.25">
      <c r="J243" s="48"/>
      <c r="K243" s="17"/>
      <c r="L243" s="49"/>
    </row>
    <row r="244" spans="10:12" ht="15" customHeight="1" x14ac:dyDescent="0.25">
      <c r="J244" s="48"/>
      <c r="K244" s="17"/>
      <c r="L244" s="49"/>
    </row>
    <row r="245" spans="10:12" ht="15" customHeight="1" x14ac:dyDescent="0.25">
      <c r="J245" s="48"/>
      <c r="K245" s="17"/>
      <c r="L245" s="49"/>
    </row>
    <row r="246" spans="10:12" ht="15" customHeight="1" x14ac:dyDescent="0.25">
      <c r="J246" s="48"/>
      <c r="K246" s="17"/>
      <c r="L246" s="49"/>
    </row>
    <row r="247" spans="10:12" ht="15" customHeight="1" x14ac:dyDescent="0.25">
      <c r="J247" s="48"/>
      <c r="K247" s="17"/>
      <c r="L247" s="49"/>
    </row>
    <row r="248" spans="10:12" ht="15" customHeight="1" x14ac:dyDescent="0.25">
      <c r="J248" s="48"/>
      <c r="K248" s="17"/>
      <c r="L248" s="49"/>
    </row>
    <row r="249" spans="10:12" ht="15" customHeight="1" x14ac:dyDescent="0.25">
      <c r="J249" s="48"/>
      <c r="K249" s="17"/>
      <c r="L249" s="49"/>
    </row>
    <row r="250" spans="10:12" ht="15" customHeight="1" x14ac:dyDescent="0.25">
      <c r="J250" s="48"/>
      <c r="K250" s="17"/>
      <c r="L250" s="49"/>
    </row>
    <row r="251" spans="10:12" ht="15" customHeight="1" x14ac:dyDescent="0.25">
      <c r="J251" s="48"/>
      <c r="K251" s="17"/>
      <c r="L251" s="49"/>
    </row>
    <row r="252" spans="10:12" ht="15" customHeight="1" x14ac:dyDescent="0.25">
      <c r="J252" s="48"/>
      <c r="K252" s="17"/>
      <c r="L252" s="49"/>
    </row>
    <row r="253" spans="10:12" ht="15" customHeight="1" x14ac:dyDescent="0.25">
      <c r="J253" s="48"/>
      <c r="K253" s="17"/>
      <c r="L253" s="49"/>
    </row>
    <row r="254" spans="10:12" ht="15" customHeight="1" x14ac:dyDescent="0.25">
      <c r="J254" s="48"/>
      <c r="K254" s="17"/>
      <c r="L254" s="49"/>
    </row>
    <row r="255" spans="10:12" ht="15" customHeight="1" x14ac:dyDescent="0.25">
      <c r="J255" s="48"/>
      <c r="K255" s="17"/>
      <c r="L255" s="49"/>
    </row>
    <row r="256" spans="10:12" ht="15" customHeight="1" x14ac:dyDescent="0.25">
      <c r="J256" s="48"/>
      <c r="K256" s="17"/>
      <c r="L256" s="49"/>
    </row>
    <row r="257" spans="10:12" ht="15" customHeight="1" x14ac:dyDescent="0.25">
      <c r="J257" s="48"/>
      <c r="K257" s="17"/>
      <c r="L257" s="49"/>
    </row>
    <row r="258" spans="10:12" ht="15" customHeight="1" x14ac:dyDescent="0.25">
      <c r="J258" s="48"/>
      <c r="K258" s="17"/>
      <c r="L258" s="49"/>
    </row>
    <row r="259" spans="10:12" ht="15" customHeight="1" x14ac:dyDescent="0.25">
      <c r="J259" s="48"/>
      <c r="K259" s="17"/>
      <c r="L259" s="49"/>
    </row>
    <row r="260" spans="10:12" ht="15" customHeight="1" x14ac:dyDescent="0.25">
      <c r="J260" s="48"/>
      <c r="K260" s="17"/>
      <c r="L260" s="49"/>
    </row>
    <row r="261" spans="10:12" ht="15" customHeight="1" x14ac:dyDescent="0.25">
      <c r="J261" s="48"/>
      <c r="K261" s="17"/>
      <c r="L261" s="49"/>
    </row>
    <row r="262" spans="10:12" ht="15" customHeight="1" x14ac:dyDescent="0.25">
      <c r="J262" s="48"/>
      <c r="K262" s="17"/>
      <c r="L262" s="49"/>
    </row>
    <row r="263" spans="10:12" ht="15" customHeight="1" x14ac:dyDescent="0.25">
      <c r="J263" s="48"/>
      <c r="K263" s="17"/>
      <c r="L263" s="49"/>
    </row>
    <row r="264" spans="10:12" ht="15" customHeight="1" x14ac:dyDescent="0.25">
      <c r="J264" s="48"/>
      <c r="K264" s="17"/>
      <c r="L264" s="49"/>
    </row>
    <row r="265" spans="10:12" ht="15" customHeight="1" x14ac:dyDescent="0.25">
      <c r="J265" s="48"/>
      <c r="K265" s="17"/>
      <c r="L265" s="49"/>
    </row>
    <row r="266" spans="10:12" ht="15" customHeight="1" x14ac:dyDescent="0.25">
      <c r="J266" s="48"/>
      <c r="K266" s="17"/>
      <c r="L266" s="49"/>
    </row>
    <row r="267" spans="10:12" ht="15" customHeight="1" x14ac:dyDescent="0.25">
      <c r="J267" s="48"/>
      <c r="K267" s="17"/>
      <c r="L267" s="49"/>
    </row>
    <row r="268" spans="10:12" ht="15" customHeight="1" x14ac:dyDescent="0.25">
      <c r="J268" s="48"/>
      <c r="K268" s="17"/>
      <c r="L268" s="49"/>
    </row>
    <row r="269" spans="10:12" ht="15" customHeight="1" x14ac:dyDescent="0.25">
      <c r="J269" s="48"/>
      <c r="K269" s="17"/>
      <c r="L269" s="49"/>
    </row>
    <row r="270" spans="10:12" ht="15" customHeight="1" x14ac:dyDescent="0.25">
      <c r="J270" s="48"/>
      <c r="K270" s="17"/>
      <c r="L270" s="49"/>
    </row>
    <row r="271" spans="10:12" ht="15" customHeight="1" x14ac:dyDescent="0.25">
      <c r="J271" s="48"/>
      <c r="K271" s="17"/>
      <c r="L271" s="49"/>
    </row>
    <row r="272" spans="10:12" ht="15" customHeight="1" x14ac:dyDescent="0.25">
      <c r="J272" s="48"/>
      <c r="K272" s="17"/>
      <c r="L272" s="49"/>
    </row>
    <row r="273" spans="10:12" ht="15" customHeight="1" x14ac:dyDescent="0.25">
      <c r="J273" s="48"/>
      <c r="K273" s="17"/>
      <c r="L273" s="49"/>
    </row>
    <row r="274" spans="10:12" ht="15" customHeight="1" x14ac:dyDescent="0.25">
      <c r="J274" s="48"/>
      <c r="K274" s="17"/>
      <c r="L274" s="49"/>
    </row>
    <row r="275" spans="10:12" ht="15" customHeight="1" x14ac:dyDescent="0.25">
      <c r="J275" s="48"/>
      <c r="K275" s="17"/>
      <c r="L275" s="49"/>
    </row>
    <row r="276" spans="10:12" ht="15" customHeight="1" x14ac:dyDescent="0.25">
      <c r="J276" s="48"/>
      <c r="K276" s="17"/>
      <c r="L276" s="49"/>
    </row>
    <row r="277" spans="10:12" ht="15" customHeight="1" x14ac:dyDescent="0.25">
      <c r="J277" s="48"/>
      <c r="K277" s="17"/>
      <c r="L277" s="49"/>
    </row>
    <row r="278" spans="10:12" ht="15" customHeight="1" x14ac:dyDescent="0.25">
      <c r="J278" s="48"/>
      <c r="K278" s="17"/>
      <c r="L278" s="49"/>
    </row>
    <row r="279" spans="10:12" ht="15" customHeight="1" x14ac:dyDescent="0.25">
      <c r="J279" s="48"/>
      <c r="K279" s="17"/>
      <c r="L279" s="49"/>
    </row>
    <row r="280" spans="10:12" ht="15" customHeight="1" x14ac:dyDescent="0.25">
      <c r="J280" s="48"/>
      <c r="K280" s="17"/>
      <c r="L280" s="49"/>
    </row>
    <row r="281" spans="10:12" ht="15" customHeight="1" x14ac:dyDescent="0.25">
      <c r="J281" s="48"/>
      <c r="K281" s="17"/>
      <c r="L281" s="49"/>
    </row>
    <row r="282" spans="10:12" ht="15" customHeight="1" x14ac:dyDescent="0.25">
      <c r="J282" s="48"/>
      <c r="K282" s="17"/>
      <c r="L282" s="49"/>
    </row>
    <row r="283" spans="10:12" ht="15" customHeight="1" x14ac:dyDescent="0.25">
      <c r="J283" s="48"/>
      <c r="K283" s="17"/>
      <c r="L283" s="49"/>
    </row>
    <row r="284" spans="10:12" ht="15" customHeight="1" x14ac:dyDescent="0.25">
      <c r="J284" s="48"/>
      <c r="K284" s="17"/>
      <c r="L284" s="49"/>
    </row>
    <row r="285" spans="10:12" ht="15" customHeight="1" x14ac:dyDescent="0.25">
      <c r="J285" s="48"/>
      <c r="K285" s="17"/>
      <c r="L285" s="49"/>
    </row>
    <row r="286" spans="10:12" ht="15" customHeight="1" x14ac:dyDescent="0.25">
      <c r="J286" s="48"/>
      <c r="K286" s="17"/>
      <c r="L286" s="49"/>
    </row>
    <row r="287" spans="10:12" ht="15" customHeight="1" x14ac:dyDescent="0.25">
      <c r="J287" s="48"/>
      <c r="K287" s="17"/>
      <c r="L287" s="49"/>
    </row>
    <row r="288" spans="10:12" ht="15" customHeight="1" x14ac:dyDescent="0.25">
      <c r="J288" s="48"/>
      <c r="K288" s="17"/>
      <c r="L288" s="49"/>
    </row>
    <row r="289" spans="10:12" ht="15" customHeight="1" x14ac:dyDescent="0.25">
      <c r="J289" s="48"/>
      <c r="K289" s="17"/>
      <c r="L289" s="49"/>
    </row>
    <row r="290" spans="10:12" ht="15" customHeight="1" x14ac:dyDescent="0.25">
      <c r="J290" s="48"/>
      <c r="K290" s="17"/>
      <c r="L290" s="49"/>
    </row>
    <row r="291" spans="10:12" ht="15" customHeight="1" x14ac:dyDescent="0.25">
      <c r="J291" s="48"/>
      <c r="K291" s="17"/>
      <c r="L291" s="49"/>
    </row>
    <row r="292" spans="10:12" ht="15" customHeight="1" x14ac:dyDescent="0.25">
      <c r="J292" s="48"/>
      <c r="K292" s="17"/>
      <c r="L292" s="49"/>
    </row>
    <row r="293" spans="10:12" ht="15" customHeight="1" x14ac:dyDescent="0.25">
      <c r="J293" s="48"/>
      <c r="K293" s="17"/>
      <c r="L293" s="49"/>
    </row>
    <row r="294" spans="10:12" ht="15" customHeight="1" x14ac:dyDescent="0.25">
      <c r="J294" s="48"/>
      <c r="K294" s="17"/>
      <c r="L294" s="49"/>
    </row>
    <row r="295" spans="10:12" ht="15" customHeight="1" x14ac:dyDescent="0.25">
      <c r="J295" s="48"/>
      <c r="K295" s="17"/>
      <c r="L295" s="49"/>
    </row>
    <row r="296" spans="10:12" ht="15" customHeight="1" x14ac:dyDescent="0.25">
      <c r="J296" s="48"/>
      <c r="K296" s="17"/>
      <c r="L296" s="49"/>
    </row>
    <row r="297" spans="10:12" ht="15" customHeight="1" x14ac:dyDescent="0.25">
      <c r="J297" s="48"/>
      <c r="K297" s="17"/>
      <c r="L297" s="49"/>
    </row>
    <row r="298" spans="10:12" ht="15" customHeight="1" x14ac:dyDescent="0.25">
      <c r="J298" s="48"/>
      <c r="K298" s="17"/>
      <c r="L298" s="49"/>
    </row>
    <row r="299" spans="10:12" ht="15" customHeight="1" x14ac:dyDescent="0.25">
      <c r="J299" s="48"/>
      <c r="K299" s="17"/>
      <c r="L299" s="49"/>
    </row>
    <row r="300" spans="10:12" ht="15" customHeight="1" x14ac:dyDescent="0.25">
      <c r="J300" s="48"/>
      <c r="K300" s="17"/>
      <c r="L300" s="49"/>
    </row>
    <row r="301" spans="10:12" ht="15" customHeight="1" x14ac:dyDescent="0.25">
      <c r="J301" s="48"/>
      <c r="K301" s="17"/>
      <c r="L301" s="49"/>
    </row>
    <row r="302" spans="10:12" ht="15" customHeight="1" x14ac:dyDescent="0.25">
      <c r="J302" s="48"/>
      <c r="K302" s="17"/>
      <c r="L302" s="49"/>
    </row>
    <row r="303" spans="10:12" ht="15" customHeight="1" x14ac:dyDescent="0.25">
      <c r="J303" s="48"/>
      <c r="K303" s="17"/>
      <c r="L303" s="49"/>
    </row>
    <row r="304" spans="10:12" ht="15" customHeight="1" x14ac:dyDescent="0.25">
      <c r="J304" s="48"/>
      <c r="K304" s="17"/>
      <c r="L304" s="49"/>
    </row>
    <row r="305" spans="10:12" ht="15" customHeight="1" x14ac:dyDescent="0.25">
      <c r="J305" s="48"/>
      <c r="K305" s="17"/>
      <c r="L305" s="49"/>
    </row>
    <row r="306" spans="10:12" ht="15" customHeight="1" x14ac:dyDescent="0.25">
      <c r="J306" s="48"/>
      <c r="K306" s="17"/>
      <c r="L306" s="49"/>
    </row>
    <row r="307" spans="10:12" ht="15" customHeight="1" x14ac:dyDescent="0.25">
      <c r="J307" s="48"/>
      <c r="K307" s="17"/>
      <c r="L307" s="49"/>
    </row>
    <row r="308" spans="10:12" ht="15" customHeight="1" x14ac:dyDescent="0.25">
      <c r="J308" s="48"/>
      <c r="K308" s="17"/>
      <c r="L308" s="49"/>
    </row>
    <row r="309" spans="10:12" ht="15" customHeight="1" x14ac:dyDescent="0.25">
      <c r="J309" s="48"/>
      <c r="K309" s="17"/>
      <c r="L309" s="49"/>
    </row>
    <row r="310" spans="10:12" ht="15" customHeight="1" x14ac:dyDescent="0.25">
      <c r="J310" s="48"/>
      <c r="K310" s="17"/>
      <c r="L310" s="49"/>
    </row>
    <row r="311" spans="10:12" ht="15" customHeight="1" x14ac:dyDescent="0.25">
      <c r="J311" s="48"/>
      <c r="K311" s="17"/>
      <c r="L311" s="49"/>
    </row>
    <row r="312" spans="10:12" ht="15" customHeight="1" x14ac:dyDescent="0.25">
      <c r="J312" s="48"/>
      <c r="K312" s="17"/>
      <c r="L312" s="49"/>
    </row>
    <row r="313" spans="10:12" ht="15" customHeight="1" x14ac:dyDescent="0.25">
      <c r="J313" s="48"/>
      <c r="K313" s="17"/>
      <c r="L313" s="49"/>
    </row>
    <row r="314" spans="10:12" ht="15" customHeight="1" x14ac:dyDescent="0.25">
      <c r="J314" s="48"/>
      <c r="K314" s="17"/>
      <c r="L314" s="49"/>
    </row>
    <row r="315" spans="10:12" ht="15" customHeight="1" x14ac:dyDescent="0.25">
      <c r="J315" s="48"/>
      <c r="K315" s="17"/>
      <c r="L315" s="49"/>
    </row>
    <row r="316" spans="10:12" ht="15" customHeight="1" x14ac:dyDescent="0.25">
      <c r="J316" s="48"/>
      <c r="K316" s="17"/>
      <c r="L316" s="49"/>
    </row>
    <row r="317" spans="10:12" ht="15" customHeight="1" x14ac:dyDescent="0.25">
      <c r="J317" s="48"/>
      <c r="K317" s="17"/>
      <c r="L317" s="49"/>
    </row>
    <row r="318" spans="10:12" ht="15" customHeight="1" x14ac:dyDescent="0.25">
      <c r="J318" s="48"/>
      <c r="K318" s="17"/>
      <c r="L318" s="49"/>
    </row>
    <row r="319" spans="10:12" ht="15" customHeight="1" x14ac:dyDescent="0.25">
      <c r="J319" s="16"/>
      <c r="K319" s="17"/>
      <c r="L319" s="49"/>
    </row>
    <row r="320" spans="10:12" ht="15" customHeight="1" x14ac:dyDescent="0.25">
      <c r="J320" s="16"/>
      <c r="K320" s="17"/>
      <c r="L320" s="49"/>
    </row>
    <row r="321" spans="10:12" ht="15" customHeight="1" x14ac:dyDescent="0.25">
      <c r="J321" s="16"/>
      <c r="K321" s="17"/>
      <c r="L321" s="49"/>
    </row>
    <row r="322" spans="10:12" ht="15" customHeight="1" x14ac:dyDescent="0.25">
      <c r="J322" s="16"/>
      <c r="K322" s="17"/>
      <c r="L322" s="49"/>
    </row>
    <row r="323" spans="10:12" ht="15" customHeight="1" x14ac:dyDescent="0.25">
      <c r="J323" s="16"/>
      <c r="K323" s="17"/>
      <c r="L323" s="49"/>
    </row>
    <row r="324" spans="10:12" ht="15" customHeight="1" x14ac:dyDescent="0.25">
      <c r="J324" s="16"/>
      <c r="K324" s="17"/>
      <c r="L324" s="49"/>
    </row>
    <row r="325" spans="10:12" ht="15" customHeight="1" x14ac:dyDescent="0.25">
      <c r="J325" s="16"/>
      <c r="K325" s="17"/>
      <c r="L325" s="49"/>
    </row>
    <row r="326" spans="10:12" ht="15" customHeight="1" x14ac:dyDescent="0.25">
      <c r="J326" s="16"/>
      <c r="K326" s="17"/>
      <c r="L326" s="49"/>
    </row>
    <row r="327" spans="10:12" ht="15" customHeight="1" x14ac:dyDescent="0.25">
      <c r="J327" s="16"/>
      <c r="K327" s="17"/>
      <c r="L327" s="49"/>
    </row>
    <row r="328" spans="10:12" ht="15" customHeight="1" x14ac:dyDescent="0.25">
      <c r="J328" s="16"/>
      <c r="K328" s="17"/>
      <c r="L328" s="49"/>
    </row>
    <row r="329" spans="10:12" ht="15" customHeight="1" x14ac:dyDescent="0.25">
      <c r="J329" s="16"/>
      <c r="K329" s="17"/>
      <c r="L329" s="49"/>
    </row>
    <row r="330" spans="10:12" ht="15" customHeight="1" x14ac:dyDescent="0.25">
      <c r="J330" s="16"/>
      <c r="K330" s="17"/>
      <c r="L330" s="49"/>
    </row>
    <row r="331" spans="10:12" ht="15" customHeight="1" x14ac:dyDescent="0.25">
      <c r="J331" s="16"/>
      <c r="K331" s="17"/>
      <c r="L331" s="49"/>
    </row>
    <row r="332" spans="10:12" ht="15" customHeight="1" x14ac:dyDescent="0.25">
      <c r="J332" s="16"/>
      <c r="K332" s="17"/>
      <c r="L332" s="49"/>
    </row>
    <row r="333" spans="10:12" ht="15" customHeight="1" x14ac:dyDescent="0.25">
      <c r="J333" s="16"/>
      <c r="K333" s="17"/>
      <c r="L333" s="49"/>
    </row>
    <row r="334" spans="10:12" ht="15" customHeight="1" x14ac:dyDescent="0.25">
      <c r="J334" s="16"/>
      <c r="K334" s="17"/>
      <c r="L334" s="49"/>
    </row>
    <row r="335" spans="10:12" ht="15" customHeight="1" x14ac:dyDescent="0.25">
      <c r="J335" s="16"/>
      <c r="K335" s="17"/>
      <c r="L335" s="49"/>
    </row>
    <row r="336" spans="10:12" ht="15" customHeight="1" x14ac:dyDescent="0.25">
      <c r="J336" s="16"/>
      <c r="K336" s="17"/>
      <c r="L336" s="49"/>
    </row>
    <row r="337" spans="10:12" ht="15" customHeight="1" x14ac:dyDescent="0.25">
      <c r="J337" s="16"/>
      <c r="K337" s="17"/>
      <c r="L337" s="49"/>
    </row>
    <row r="338" spans="10:12" ht="15" customHeight="1" x14ac:dyDescent="0.25">
      <c r="J338" s="16"/>
      <c r="K338" s="17"/>
      <c r="L338" s="49"/>
    </row>
    <row r="339" spans="10:12" ht="15" customHeight="1" x14ac:dyDescent="0.25">
      <c r="J339" s="16"/>
      <c r="K339" s="17"/>
      <c r="L339" s="49"/>
    </row>
    <row r="340" spans="10:12" ht="15" customHeight="1" x14ac:dyDescent="0.25">
      <c r="J340" s="16"/>
      <c r="K340" s="17"/>
      <c r="L340" s="49"/>
    </row>
    <row r="341" spans="10:12" ht="15" customHeight="1" x14ac:dyDescent="0.25">
      <c r="J341" s="16"/>
      <c r="K341" s="17"/>
      <c r="L341" s="49"/>
    </row>
    <row r="342" spans="10:12" ht="15" customHeight="1" x14ac:dyDescent="0.25">
      <c r="J342" s="16"/>
      <c r="K342" s="17"/>
      <c r="L342" s="49"/>
    </row>
    <row r="343" spans="10:12" ht="15" customHeight="1" x14ac:dyDescent="0.25">
      <c r="J343" s="16"/>
      <c r="K343" s="17"/>
      <c r="L343" s="49"/>
    </row>
    <row r="344" spans="10:12" ht="15" customHeight="1" x14ac:dyDescent="0.25">
      <c r="J344" s="16"/>
      <c r="K344" s="17"/>
      <c r="L344" s="49"/>
    </row>
    <row r="345" spans="10:12" ht="15" customHeight="1" x14ac:dyDescent="0.25">
      <c r="J345" s="16"/>
      <c r="K345" s="17"/>
      <c r="L345" s="49"/>
    </row>
    <row r="346" spans="10:12" ht="15" customHeight="1" x14ac:dyDescent="0.25">
      <c r="J346" s="16"/>
      <c r="K346" s="17"/>
      <c r="L346" s="49"/>
    </row>
    <row r="347" spans="10:12" ht="15" customHeight="1" x14ac:dyDescent="0.25">
      <c r="J347" s="16"/>
      <c r="K347" s="17"/>
      <c r="L347" s="49"/>
    </row>
    <row r="348" spans="10:12" ht="15" customHeight="1" x14ac:dyDescent="0.25">
      <c r="J348" s="16"/>
      <c r="K348" s="17"/>
      <c r="L348" s="49"/>
    </row>
    <row r="349" spans="10:12" ht="15" customHeight="1" x14ac:dyDescent="0.25">
      <c r="J349" s="16"/>
      <c r="K349" s="17"/>
      <c r="L349" s="49"/>
    </row>
    <row r="350" spans="10:12" ht="15" customHeight="1" x14ac:dyDescent="0.25">
      <c r="J350" s="16"/>
      <c r="K350" s="17"/>
      <c r="L350" s="49"/>
    </row>
    <row r="351" spans="10:12" ht="15" customHeight="1" x14ac:dyDescent="0.25">
      <c r="J351" s="16"/>
      <c r="K351" s="17"/>
      <c r="L351" s="49"/>
    </row>
    <row r="352" spans="10:12" ht="15" customHeight="1" x14ac:dyDescent="0.25">
      <c r="J352" s="16"/>
      <c r="K352" s="17"/>
      <c r="L352" s="49"/>
    </row>
    <row r="353" spans="10:12" ht="15" customHeight="1" x14ac:dyDescent="0.25">
      <c r="J353" s="16"/>
      <c r="K353" s="17"/>
      <c r="L353" s="49"/>
    </row>
    <row r="354" spans="10:12" ht="15" customHeight="1" x14ac:dyDescent="0.25">
      <c r="J354" s="16"/>
      <c r="K354" s="17"/>
      <c r="L354" s="49"/>
    </row>
  </sheetData>
  <autoFilter ref="A5:R152" xr:uid="{00000000-0009-0000-0000-000009000000}">
    <filterColumn colId="11" showButton="0"/>
  </autoFilter>
  <mergeCells count="21">
    <mergeCell ref="A2:F3"/>
    <mergeCell ref="G2:I3"/>
    <mergeCell ref="J2:L3"/>
    <mergeCell ref="M2:N3"/>
    <mergeCell ref="A1:N1"/>
    <mergeCell ref="O1:P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M5"/>
    <mergeCell ref="O2:P3"/>
    <mergeCell ref="O4:P5"/>
    <mergeCell ref="N4:N5"/>
  </mergeCells>
  <conditionalFormatting sqref="C40:C51 C7:E29 A7:A57 K7:M25 C58:C71 I58:I71 C52:E57 G7:I57 C151:C152 I151:I152">
    <cfRule type="expression" dxfId="16252" priority="1570">
      <formula>AND($A7&lt;&gt;"",MOD(ROW(),2))</formula>
    </cfRule>
  </conditionalFormatting>
  <conditionalFormatting sqref="D7:D29 K7:K25 D52:D57">
    <cfRule type="cellIs" dxfId="16251" priority="1567" operator="equal">
      <formula>$C7</formula>
    </cfRule>
    <cfRule type="cellIs" dxfId="16250" priority="1568" operator="greaterThan">
      <formula>$C7</formula>
    </cfRule>
    <cfRule type="cellIs" dxfId="16249" priority="1569" operator="lessThan">
      <formula>$C7</formula>
    </cfRule>
  </conditionalFormatting>
  <conditionalFormatting sqref="K26:M58">
    <cfRule type="expression" dxfId="16248" priority="1546">
      <formula>AND($A25&lt;&gt;"",MOD(ROW(),2))</formula>
    </cfRule>
  </conditionalFormatting>
  <conditionalFormatting sqref="K59:L84">
    <cfRule type="expression" dxfId="16247" priority="1542">
      <formula>AND($A58&lt;&gt;"",MOD(ROW(),2))</formula>
    </cfRule>
  </conditionalFormatting>
  <conditionalFormatting sqref="K26:K84">
    <cfRule type="cellIs" dxfId="16246" priority="1539" operator="equal">
      <formula>$C25</formula>
    </cfRule>
    <cfRule type="cellIs" dxfId="16245" priority="1540" operator="greaterThan">
      <formula>$C25</formula>
    </cfRule>
    <cfRule type="cellIs" dxfId="16244" priority="1541" operator="lessThan">
      <formula>$C25</formula>
    </cfRule>
  </conditionalFormatting>
  <conditionalFormatting sqref="K85:L110">
    <cfRule type="expression" dxfId="16243" priority="1538">
      <formula>AND($A84&lt;&gt;"",MOD(ROW(),2))</formula>
    </cfRule>
  </conditionalFormatting>
  <conditionalFormatting sqref="K85:K110">
    <cfRule type="cellIs" dxfId="16242" priority="1535" operator="equal">
      <formula>$C84</formula>
    </cfRule>
    <cfRule type="cellIs" dxfId="16241" priority="1536" operator="greaterThan">
      <formula>$C84</formula>
    </cfRule>
    <cfRule type="cellIs" dxfId="16240" priority="1537" operator="lessThan">
      <formula>$C84</formula>
    </cfRule>
  </conditionalFormatting>
  <conditionalFormatting sqref="K111:L136">
    <cfRule type="expression" dxfId="16239" priority="1534">
      <formula>AND($A110&lt;&gt;"",MOD(ROW(),2))</formula>
    </cfRule>
  </conditionalFormatting>
  <conditionalFormatting sqref="K111:K136">
    <cfRule type="cellIs" dxfId="16238" priority="1531" operator="equal">
      <formula>$C110</formula>
    </cfRule>
    <cfRule type="cellIs" dxfId="16237" priority="1532" operator="greaterThan">
      <formula>$C110</formula>
    </cfRule>
    <cfRule type="cellIs" dxfId="16236" priority="1533" operator="lessThan">
      <formula>$C110</formula>
    </cfRule>
  </conditionalFormatting>
  <conditionalFormatting sqref="K137:L162">
    <cfRule type="expression" dxfId="16235" priority="1530">
      <formula>AND($A136&lt;&gt;"",MOD(ROW(),2))</formula>
    </cfRule>
  </conditionalFormatting>
  <conditionalFormatting sqref="K137:K162">
    <cfRule type="cellIs" dxfId="16234" priority="1527" operator="equal">
      <formula>$C136</formula>
    </cfRule>
    <cfRule type="cellIs" dxfId="16233" priority="1528" operator="greaterThan">
      <formula>$C136</formula>
    </cfRule>
    <cfRule type="cellIs" dxfId="16232" priority="1529" operator="lessThan">
      <formula>$C136</formula>
    </cfRule>
  </conditionalFormatting>
  <conditionalFormatting sqref="K163:L188">
    <cfRule type="expression" dxfId="16231" priority="1526">
      <formula>AND($A162&lt;&gt;"",MOD(ROW(),2))</formula>
    </cfRule>
  </conditionalFormatting>
  <conditionalFormatting sqref="K163:K188">
    <cfRule type="cellIs" dxfId="16230" priority="1523" operator="equal">
      <formula>$C162</formula>
    </cfRule>
    <cfRule type="cellIs" dxfId="16229" priority="1524" operator="greaterThan">
      <formula>$C162</formula>
    </cfRule>
    <cfRule type="cellIs" dxfId="16228" priority="1525" operator="lessThan">
      <formula>$C162</formula>
    </cfRule>
  </conditionalFormatting>
  <conditionalFormatting sqref="K189:L214">
    <cfRule type="expression" dxfId="16227" priority="1522">
      <formula>AND($A188&lt;&gt;"",MOD(ROW(),2))</formula>
    </cfRule>
  </conditionalFormatting>
  <conditionalFormatting sqref="K189:K214">
    <cfRule type="cellIs" dxfId="16226" priority="1519" operator="equal">
      <formula>$C188</formula>
    </cfRule>
    <cfRule type="cellIs" dxfId="16225" priority="1520" operator="greaterThan">
      <formula>$C188</formula>
    </cfRule>
    <cfRule type="cellIs" dxfId="16224" priority="1521" operator="lessThan">
      <formula>$C188</formula>
    </cfRule>
  </conditionalFormatting>
  <conditionalFormatting sqref="K215:L240">
    <cfRule type="expression" dxfId="16223" priority="1518">
      <formula>AND($A214&lt;&gt;"",MOD(ROW(),2))</formula>
    </cfRule>
  </conditionalFormatting>
  <conditionalFormatting sqref="K215:K240">
    <cfRule type="cellIs" dxfId="16222" priority="1515" operator="equal">
      <formula>$C214</formula>
    </cfRule>
    <cfRule type="cellIs" dxfId="16221" priority="1516" operator="greaterThan">
      <formula>$C214</formula>
    </cfRule>
    <cfRule type="cellIs" dxfId="16220" priority="1517" operator="lessThan">
      <formula>$C214</formula>
    </cfRule>
  </conditionalFormatting>
  <conditionalFormatting sqref="K241:L266">
    <cfRule type="expression" dxfId="16219" priority="1514">
      <formula>AND($A240&lt;&gt;"",MOD(ROW(),2))</formula>
    </cfRule>
  </conditionalFormatting>
  <conditionalFormatting sqref="K241:K266">
    <cfRule type="cellIs" dxfId="16218" priority="1511" operator="equal">
      <formula>$C240</formula>
    </cfRule>
    <cfRule type="cellIs" dxfId="16217" priority="1512" operator="greaterThan">
      <formula>$C240</formula>
    </cfRule>
    <cfRule type="cellIs" dxfId="16216" priority="1513" operator="lessThan">
      <formula>$C240</formula>
    </cfRule>
  </conditionalFormatting>
  <conditionalFormatting sqref="K267:L292">
    <cfRule type="expression" dxfId="16215" priority="1510">
      <formula>AND($A266&lt;&gt;"",MOD(ROW(),2))</formula>
    </cfRule>
  </conditionalFormatting>
  <conditionalFormatting sqref="K267:K292">
    <cfRule type="cellIs" dxfId="16214" priority="1507" operator="equal">
      <formula>$C266</formula>
    </cfRule>
    <cfRule type="cellIs" dxfId="16213" priority="1508" operator="greaterThan">
      <formula>$C266</formula>
    </cfRule>
    <cfRule type="cellIs" dxfId="16212" priority="1509" operator="lessThan">
      <formula>$C266</formula>
    </cfRule>
  </conditionalFormatting>
  <conditionalFormatting sqref="K293:L318">
    <cfRule type="expression" dxfId="16211" priority="1506">
      <formula>AND($A292&lt;&gt;"",MOD(ROW(),2))</formula>
    </cfRule>
  </conditionalFormatting>
  <conditionalFormatting sqref="K293:K318">
    <cfRule type="cellIs" dxfId="16210" priority="1503" operator="equal">
      <formula>$C292</formula>
    </cfRule>
    <cfRule type="cellIs" dxfId="16209" priority="1504" operator="greaterThan">
      <formula>$C292</formula>
    </cfRule>
    <cfRule type="cellIs" dxfId="16208" priority="1505" operator="lessThan">
      <formula>$C292</formula>
    </cfRule>
  </conditionalFormatting>
  <conditionalFormatting sqref="F52:F68 F7:F29 F74:F2988">
    <cfRule type="containsText" dxfId="16207" priority="1502" operator="containsText" text="Unpaid Rent">
      <formula>NOT(ISERROR(SEARCH("Unpaid Rent",F7)))</formula>
    </cfRule>
    <cfRule type="containsText" dxfId="16206" priority="1547" stopIfTrue="1" operator="containsText" text="Closed Account">
      <formula>NOT(ISERROR(SEARCH("Closed Account",F7)))</formula>
    </cfRule>
  </conditionalFormatting>
  <conditionalFormatting sqref="M33:M58 L33:L318 L7:M33">
    <cfRule type="expression" dxfId="16205" priority="1565">
      <formula>AND(#REF!&lt;&gt;"",MOD(ROW(),2))</formula>
    </cfRule>
  </conditionalFormatting>
  <conditionalFormatting sqref="M33:M58 L33:L318 L7:M33">
    <cfRule type="expression" dxfId="16204" priority="1564">
      <formula>AND(#REF!&lt;&gt;"",MOD(ROW(),2))</formula>
    </cfRule>
  </conditionalFormatting>
  <conditionalFormatting sqref="M7:M58">
    <cfRule type="cellIs" dxfId="16203" priority="1560" operator="equal">
      <formula>#REF!</formula>
    </cfRule>
    <cfRule type="cellIs" dxfId="16202" priority="1561" operator="greaterThan">
      <formula>#REF!</formula>
    </cfRule>
    <cfRule type="cellIs" dxfId="16201" priority="1562" operator="lessThan">
      <formula>#REF!</formula>
    </cfRule>
  </conditionalFormatting>
  <conditionalFormatting sqref="K319:L321">
    <cfRule type="expression" dxfId="16200" priority="1496">
      <formula>AND($A318&lt;&gt;"",MOD(ROW(),2))</formula>
    </cfRule>
  </conditionalFormatting>
  <conditionalFormatting sqref="K319:K321">
    <cfRule type="cellIs" dxfId="16199" priority="1493" operator="equal">
      <formula>$C318</formula>
    </cfRule>
    <cfRule type="cellIs" dxfId="16198" priority="1494" operator="greaterThan">
      <formula>$C318</formula>
    </cfRule>
    <cfRule type="cellIs" dxfId="16197" priority="1495" operator="lessThan">
      <formula>$C318</formula>
    </cfRule>
  </conditionalFormatting>
  <conditionalFormatting sqref="L319:L321">
    <cfRule type="expression" dxfId="16196" priority="1498">
      <formula>AND(#REF!&lt;&gt;"",MOD(ROW(),2))</formula>
    </cfRule>
  </conditionalFormatting>
  <conditionalFormatting sqref="L319:L321">
    <cfRule type="expression" dxfId="16195" priority="1497">
      <formula>AND(#REF!&lt;&gt;"",MOD(ROW(),2))</formula>
    </cfRule>
  </conditionalFormatting>
  <conditionalFormatting sqref="K322:L324">
    <cfRule type="expression" dxfId="16194" priority="1490">
      <formula>AND($A321&lt;&gt;"",MOD(ROW(),2))</formula>
    </cfRule>
  </conditionalFormatting>
  <conditionalFormatting sqref="K322:K324">
    <cfRule type="cellIs" dxfId="16193" priority="1487" operator="equal">
      <formula>$C321</formula>
    </cfRule>
    <cfRule type="cellIs" dxfId="16192" priority="1488" operator="greaterThan">
      <formula>$C321</formula>
    </cfRule>
    <cfRule type="cellIs" dxfId="16191" priority="1489" operator="lessThan">
      <formula>$C321</formula>
    </cfRule>
  </conditionalFormatting>
  <conditionalFormatting sqref="L322:L324">
    <cfRule type="expression" dxfId="16190" priority="1492">
      <formula>AND(#REF!&lt;&gt;"",MOD(ROW(),2))</formula>
    </cfRule>
  </conditionalFormatting>
  <conditionalFormatting sqref="L322:L324">
    <cfRule type="expression" dxfId="16189" priority="1491">
      <formula>AND(#REF!&lt;&gt;"",MOD(ROW(),2))</formula>
    </cfRule>
  </conditionalFormatting>
  <conditionalFormatting sqref="K325:L327">
    <cfRule type="expression" dxfId="16188" priority="1484">
      <formula>AND($A324&lt;&gt;"",MOD(ROW(),2))</formula>
    </cfRule>
  </conditionalFormatting>
  <conditionalFormatting sqref="K325:K327">
    <cfRule type="cellIs" dxfId="16187" priority="1481" operator="equal">
      <formula>$C324</formula>
    </cfRule>
    <cfRule type="cellIs" dxfId="16186" priority="1482" operator="greaterThan">
      <formula>$C324</formula>
    </cfRule>
    <cfRule type="cellIs" dxfId="16185" priority="1483" operator="lessThan">
      <formula>$C324</formula>
    </cfRule>
  </conditionalFormatting>
  <conditionalFormatting sqref="L325:L327">
    <cfRule type="expression" dxfId="16184" priority="1486">
      <formula>AND(#REF!&lt;&gt;"",MOD(ROW(),2))</formula>
    </cfRule>
  </conditionalFormatting>
  <conditionalFormatting sqref="L325:L327">
    <cfRule type="expression" dxfId="16183" priority="1485">
      <formula>AND(#REF!&lt;&gt;"",MOD(ROW(),2))</formula>
    </cfRule>
  </conditionalFormatting>
  <conditionalFormatting sqref="K328:L330">
    <cfRule type="expression" dxfId="16182" priority="1478">
      <formula>AND($A327&lt;&gt;"",MOD(ROW(),2))</formula>
    </cfRule>
  </conditionalFormatting>
  <conditionalFormatting sqref="K328:K330">
    <cfRule type="cellIs" dxfId="16181" priority="1475" operator="equal">
      <formula>$C327</formula>
    </cfRule>
    <cfRule type="cellIs" dxfId="16180" priority="1476" operator="greaterThan">
      <formula>$C327</formula>
    </cfRule>
    <cfRule type="cellIs" dxfId="16179" priority="1477" operator="lessThan">
      <formula>$C327</formula>
    </cfRule>
  </conditionalFormatting>
  <conditionalFormatting sqref="L328:L330">
    <cfRule type="expression" dxfId="16178" priority="1480">
      <formula>AND(#REF!&lt;&gt;"",MOD(ROW(),2))</formula>
    </cfRule>
  </conditionalFormatting>
  <conditionalFormatting sqref="L328:L330">
    <cfRule type="expression" dxfId="16177" priority="1479">
      <formula>AND(#REF!&lt;&gt;"",MOD(ROW(),2))</formula>
    </cfRule>
  </conditionalFormatting>
  <conditionalFormatting sqref="K331:L333">
    <cfRule type="expression" dxfId="16176" priority="1472">
      <formula>AND($A330&lt;&gt;"",MOD(ROW(),2))</formula>
    </cfRule>
  </conditionalFormatting>
  <conditionalFormatting sqref="K331:K333">
    <cfRule type="cellIs" dxfId="16175" priority="1469" operator="equal">
      <formula>$C330</formula>
    </cfRule>
    <cfRule type="cellIs" dxfId="16174" priority="1470" operator="greaterThan">
      <formula>$C330</formula>
    </cfRule>
    <cfRule type="cellIs" dxfId="16173" priority="1471" operator="lessThan">
      <formula>$C330</formula>
    </cfRule>
  </conditionalFormatting>
  <conditionalFormatting sqref="L331:L333">
    <cfRule type="expression" dxfId="16172" priority="1474">
      <formula>AND(#REF!&lt;&gt;"",MOD(ROW(),2))</formula>
    </cfRule>
  </conditionalFormatting>
  <conditionalFormatting sqref="L331:L333">
    <cfRule type="expression" dxfId="16171" priority="1473">
      <formula>AND(#REF!&lt;&gt;"",MOD(ROW(),2))</formula>
    </cfRule>
  </conditionalFormatting>
  <conditionalFormatting sqref="K334:L336">
    <cfRule type="expression" dxfId="16170" priority="1466">
      <formula>AND($A333&lt;&gt;"",MOD(ROW(),2))</formula>
    </cfRule>
  </conditionalFormatting>
  <conditionalFormatting sqref="K334:K336">
    <cfRule type="cellIs" dxfId="16169" priority="1463" operator="equal">
      <formula>$C333</formula>
    </cfRule>
    <cfRule type="cellIs" dxfId="16168" priority="1464" operator="greaterThan">
      <formula>$C333</formula>
    </cfRule>
    <cfRule type="cellIs" dxfId="16167" priority="1465" operator="lessThan">
      <formula>$C333</formula>
    </cfRule>
  </conditionalFormatting>
  <conditionalFormatting sqref="L334:L336">
    <cfRule type="expression" dxfId="16166" priority="1468">
      <formula>AND(#REF!&lt;&gt;"",MOD(ROW(),2))</formula>
    </cfRule>
  </conditionalFormatting>
  <conditionalFormatting sqref="L334:L336">
    <cfRule type="expression" dxfId="16165" priority="1467">
      <formula>AND(#REF!&lt;&gt;"",MOD(ROW(),2))</formula>
    </cfRule>
  </conditionalFormatting>
  <conditionalFormatting sqref="K337:L339">
    <cfRule type="expression" dxfId="16164" priority="1460">
      <formula>AND($A336&lt;&gt;"",MOD(ROW(),2))</formula>
    </cfRule>
  </conditionalFormatting>
  <conditionalFormatting sqref="K337:K339">
    <cfRule type="cellIs" dxfId="16163" priority="1457" operator="equal">
      <formula>$C336</formula>
    </cfRule>
    <cfRule type="cellIs" dxfId="16162" priority="1458" operator="greaterThan">
      <formula>$C336</formula>
    </cfRule>
    <cfRule type="cellIs" dxfId="16161" priority="1459" operator="lessThan">
      <formula>$C336</formula>
    </cfRule>
  </conditionalFormatting>
  <conditionalFormatting sqref="L337:L339">
    <cfRule type="expression" dxfId="16160" priority="1462">
      <formula>AND(#REF!&lt;&gt;"",MOD(ROW(),2))</formula>
    </cfRule>
  </conditionalFormatting>
  <conditionalFormatting sqref="L337:L339">
    <cfRule type="expression" dxfId="16159" priority="1461">
      <formula>AND(#REF!&lt;&gt;"",MOD(ROW(),2))</formula>
    </cfRule>
  </conditionalFormatting>
  <conditionalFormatting sqref="K340:L342">
    <cfRule type="expression" dxfId="16158" priority="1454">
      <formula>AND($A339&lt;&gt;"",MOD(ROW(),2))</formula>
    </cfRule>
  </conditionalFormatting>
  <conditionalFormatting sqref="K340:K342">
    <cfRule type="cellIs" dxfId="16157" priority="1451" operator="equal">
      <formula>$C339</formula>
    </cfRule>
    <cfRule type="cellIs" dxfId="16156" priority="1452" operator="greaterThan">
      <formula>$C339</formula>
    </cfRule>
    <cfRule type="cellIs" dxfId="16155" priority="1453" operator="lessThan">
      <formula>$C339</formula>
    </cfRule>
  </conditionalFormatting>
  <conditionalFormatting sqref="L340:L342">
    <cfRule type="expression" dxfId="16154" priority="1456">
      <formula>AND(#REF!&lt;&gt;"",MOD(ROW(),2))</formula>
    </cfRule>
  </conditionalFormatting>
  <conditionalFormatting sqref="L340:L342">
    <cfRule type="expression" dxfId="16153" priority="1455">
      <formula>AND(#REF!&lt;&gt;"",MOD(ROW(),2))</formula>
    </cfRule>
  </conditionalFormatting>
  <conditionalFormatting sqref="K343:L345">
    <cfRule type="expression" dxfId="16152" priority="1448">
      <formula>AND($A342&lt;&gt;"",MOD(ROW(),2))</formula>
    </cfRule>
  </conditionalFormatting>
  <conditionalFormatting sqref="K343:K345">
    <cfRule type="cellIs" dxfId="16151" priority="1445" operator="equal">
      <formula>$C342</formula>
    </cfRule>
    <cfRule type="cellIs" dxfId="16150" priority="1446" operator="greaterThan">
      <formula>$C342</formula>
    </cfRule>
    <cfRule type="cellIs" dxfId="16149" priority="1447" operator="lessThan">
      <formula>$C342</formula>
    </cfRule>
  </conditionalFormatting>
  <conditionalFormatting sqref="L343:L345">
    <cfRule type="expression" dxfId="16148" priority="1450">
      <formula>AND(#REF!&lt;&gt;"",MOD(ROW(),2))</formula>
    </cfRule>
  </conditionalFormatting>
  <conditionalFormatting sqref="L343:L345">
    <cfRule type="expression" dxfId="16147" priority="1449">
      <formula>AND(#REF!&lt;&gt;"",MOD(ROW(),2))</formula>
    </cfRule>
  </conditionalFormatting>
  <conditionalFormatting sqref="K346:L348">
    <cfRule type="expression" dxfId="16146" priority="1442">
      <formula>AND($A345&lt;&gt;"",MOD(ROW(),2))</formula>
    </cfRule>
  </conditionalFormatting>
  <conditionalFormatting sqref="K346:K348">
    <cfRule type="cellIs" dxfId="16145" priority="1439" operator="equal">
      <formula>$C345</formula>
    </cfRule>
    <cfRule type="cellIs" dxfId="16144" priority="1440" operator="greaterThan">
      <formula>$C345</formula>
    </cfRule>
    <cfRule type="cellIs" dxfId="16143" priority="1441" operator="lessThan">
      <formula>$C345</formula>
    </cfRule>
  </conditionalFormatting>
  <conditionalFormatting sqref="L346:L348">
    <cfRule type="expression" dxfId="16142" priority="1444">
      <formula>AND(#REF!&lt;&gt;"",MOD(ROW(),2))</formula>
    </cfRule>
  </conditionalFormatting>
  <conditionalFormatting sqref="L346:L348">
    <cfRule type="expression" dxfId="16141" priority="1443">
      <formula>AND(#REF!&lt;&gt;"",MOD(ROW(),2))</formula>
    </cfRule>
  </conditionalFormatting>
  <conditionalFormatting sqref="K349:L351">
    <cfRule type="expression" dxfId="16140" priority="1436">
      <formula>AND($A348&lt;&gt;"",MOD(ROW(),2))</formula>
    </cfRule>
  </conditionalFormatting>
  <conditionalFormatting sqref="K349:K351">
    <cfRule type="cellIs" dxfId="16139" priority="1433" operator="equal">
      <formula>$C348</formula>
    </cfRule>
    <cfRule type="cellIs" dxfId="16138" priority="1434" operator="greaterThan">
      <formula>$C348</formula>
    </cfRule>
    <cfRule type="cellIs" dxfId="16137" priority="1435" operator="lessThan">
      <formula>$C348</formula>
    </cfRule>
  </conditionalFormatting>
  <conditionalFormatting sqref="L349:L351">
    <cfRule type="expression" dxfId="16136" priority="1438">
      <formula>AND(#REF!&lt;&gt;"",MOD(ROW(),2))</formula>
    </cfRule>
  </conditionalFormatting>
  <conditionalFormatting sqref="L349:L351">
    <cfRule type="expression" dxfId="16135" priority="1437">
      <formula>AND(#REF!&lt;&gt;"",MOD(ROW(),2))</formula>
    </cfRule>
  </conditionalFormatting>
  <conditionalFormatting sqref="K352:L354">
    <cfRule type="expression" dxfId="16134" priority="1430">
      <formula>AND($A351&lt;&gt;"",MOD(ROW(),2))</formula>
    </cfRule>
  </conditionalFormatting>
  <conditionalFormatting sqref="K352:K354">
    <cfRule type="cellIs" dxfId="16133" priority="1427" operator="equal">
      <formula>$C351</formula>
    </cfRule>
    <cfRule type="cellIs" dxfId="16132" priority="1428" operator="greaterThan">
      <formula>$C351</formula>
    </cfRule>
    <cfRule type="cellIs" dxfId="16131" priority="1429" operator="lessThan">
      <formula>$C351</formula>
    </cfRule>
  </conditionalFormatting>
  <conditionalFormatting sqref="L352:L354">
    <cfRule type="expression" dxfId="16130" priority="1432">
      <formula>AND(#REF!&lt;&gt;"",MOD(ROW(),2))</formula>
    </cfRule>
  </conditionalFormatting>
  <conditionalFormatting sqref="L352:L354">
    <cfRule type="expression" dxfId="16129" priority="1431">
      <formula>AND(#REF!&lt;&gt;"",MOD(ROW(),2))</formula>
    </cfRule>
  </conditionalFormatting>
  <conditionalFormatting sqref="C28">
    <cfRule type="expression" dxfId="16128" priority="1270">
      <formula>AND($A28&lt;&gt;"",MOD(ROW(),2))</formula>
    </cfRule>
  </conditionalFormatting>
  <conditionalFormatting sqref="C28">
    <cfRule type="cellIs" dxfId="16127" priority="1267" operator="equal">
      <formula>$C28</formula>
    </cfRule>
    <cfRule type="cellIs" dxfId="16126" priority="1268" operator="greaterThan">
      <formula>$C28</formula>
    </cfRule>
    <cfRule type="cellIs" dxfId="16125" priority="1269" operator="lessThan">
      <formula>$C28</formula>
    </cfRule>
  </conditionalFormatting>
  <conditionalFormatting sqref="C29">
    <cfRule type="expression" dxfId="16124" priority="1264">
      <formula>AND($A29&lt;&gt;"",MOD(ROW(),2))</formula>
    </cfRule>
  </conditionalFormatting>
  <conditionalFormatting sqref="C29">
    <cfRule type="cellIs" dxfId="16123" priority="1261" operator="equal">
      <formula>$C29</formula>
    </cfRule>
    <cfRule type="cellIs" dxfId="16122" priority="1262" operator="greaterThan">
      <formula>$C29</formula>
    </cfRule>
    <cfRule type="cellIs" dxfId="16121" priority="1263" operator="lessThan">
      <formula>$C29</formula>
    </cfRule>
  </conditionalFormatting>
  <conditionalFormatting sqref="C30">
    <cfRule type="expression" dxfId="16120" priority="1260">
      <formula>AND($A30&lt;&gt;"",MOD(ROW(),2))</formula>
    </cfRule>
  </conditionalFormatting>
  <conditionalFormatting sqref="C30">
    <cfRule type="cellIs" dxfId="16119" priority="1257" operator="equal">
      <formula>$C30</formula>
    </cfRule>
    <cfRule type="cellIs" dxfId="16118" priority="1258" operator="greaterThan">
      <formula>$C30</formula>
    </cfRule>
    <cfRule type="cellIs" dxfId="16117" priority="1259" operator="lessThan">
      <formula>$C30</formula>
    </cfRule>
  </conditionalFormatting>
  <conditionalFormatting sqref="C31">
    <cfRule type="expression" dxfId="16116" priority="1256">
      <formula>AND($A31&lt;&gt;"",MOD(ROW(),2))</formula>
    </cfRule>
  </conditionalFormatting>
  <conditionalFormatting sqref="C31">
    <cfRule type="cellIs" dxfId="16115" priority="1253" operator="equal">
      <formula>$C31</formula>
    </cfRule>
    <cfRule type="cellIs" dxfId="16114" priority="1254" operator="greaterThan">
      <formula>$C31</formula>
    </cfRule>
    <cfRule type="cellIs" dxfId="16113" priority="1255" operator="lessThan">
      <formula>$C31</formula>
    </cfRule>
  </conditionalFormatting>
  <conditionalFormatting sqref="C32">
    <cfRule type="expression" dxfId="16112" priority="1252">
      <formula>AND($A32&lt;&gt;"",MOD(ROW(),2))</formula>
    </cfRule>
  </conditionalFormatting>
  <conditionalFormatting sqref="C32">
    <cfRule type="cellIs" dxfId="16111" priority="1249" operator="equal">
      <formula>$C32</formula>
    </cfRule>
    <cfRule type="cellIs" dxfId="16110" priority="1250" operator="greaterThan">
      <formula>$C32</formula>
    </cfRule>
    <cfRule type="cellIs" dxfId="16109" priority="1251" operator="lessThan">
      <formula>$C32</formula>
    </cfRule>
  </conditionalFormatting>
  <conditionalFormatting sqref="C33">
    <cfRule type="expression" dxfId="16108" priority="1248">
      <formula>AND($A33&lt;&gt;"",MOD(ROW(),2))</formula>
    </cfRule>
  </conditionalFormatting>
  <conditionalFormatting sqref="C33">
    <cfRule type="cellIs" dxfId="16107" priority="1245" operator="equal">
      <formula>$C33</formula>
    </cfRule>
    <cfRule type="cellIs" dxfId="16106" priority="1246" operator="greaterThan">
      <formula>$C33</formula>
    </cfRule>
    <cfRule type="cellIs" dxfId="16105" priority="1247" operator="lessThan">
      <formula>$C33</formula>
    </cfRule>
  </conditionalFormatting>
  <conditionalFormatting sqref="C34">
    <cfRule type="expression" dxfId="16104" priority="1244">
      <formula>AND($A34&lt;&gt;"",MOD(ROW(),2))</formula>
    </cfRule>
  </conditionalFormatting>
  <conditionalFormatting sqref="C34">
    <cfRule type="cellIs" dxfId="16103" priority="1241" operator="equal">
      <formula>$C34</formula>
    </cfRule>
    <cfRule type="cellIs" dxfId="16102" priority="1242" operator="greaterThan">
      <formula>$C34</formula>
    </cfRule>
    <cfRule type="cellIs" dxfId="16101" priority="1243" operator="lessThan">
      <formula>$C34</formula>
    </cfRule>
  </conditionalFormatting>
  <conditionalFormatting sqref="C35">
    <cfRule type="expression" dxfId="16100" priority="1240">
      <formula>AND($A35&lt;&gt;"",MOD(ROW(),2))</formula>
    </cfRule>
  </conditionalFormatting>
  <conditionalFormatting sqref="C35">
    <cfRule type="cellIs" dxfId="16099" priority="1237" operator="equal">
      <formula>$C35</formula>
    </cfRule>
    <cfRule type="cellIs" dxfId="16098" priority="1238" operator="greaterThan">
      <formula>$C35</formula>
    </cfRule>
    <cfRule type="cellIs" dxfId="16097" priority="1239" operator="lessThan">
      <formula>$C35</formula>
    </cfRule>
  </conditionalFormatting>
  <conditionalFormatting sqref="C36">
    <cfRule type="expression" dxfId="16096" priority="1236">
      <formula>AND($A36&lt;&gt;"",MOD(ROW(),2))</formula>
    </cfRule>
  </conditionalFormatting>
  <conditionalFormatting sqref="C36">
    <cfRule type="cellIs" dxfId="16095" priority="1233" operator="equal">
      <formula>$C36</formula>
    </cfRule>
    <cfRule type="cellIs" dxfId="16094" priority="1234" operator="greaterThan">
      <formula>$C36</formula>
    </cfRule>
    <cfRule type="cellIs" dxfId="16093" priority="1235" operator="lessThan">
      <formula>$C36</formula>
    </cfRule>
  </conditionalFormatting>
  <conditionalFormatting sqref="C37">
    <cfRule type="expression" dxfId="16092" priority="1232">
      <formula>AND($A37&lt;&gt;"",MOD(ROW(),2))</formula>
    </cfRule>
  </conditionalFormatting>
  <conditionalFormatting sqref="C37">
    <cfRule type="cellIs" dxfId="16091" priority="1229" operator="equal">
      <formula>$C37</formula>
    </cfRule>
    <cfRule type="cellIs" dxfId="16090" priority="1230" operator="greaterThan">
      <formula>$C37</formula>
    </cfRule>
    <cfRule type="cellIs" dxfId="16089" priority="1231" operator="lessThan">
      <formula>$C37</formula>
    </cfRule>
  </conditionalFormatting>
  <conditionalFormatting sqref="C38">
    <cfRule type="expression" dxfId="16088" priority="1228">
      <formula>AND($A38&lt;&gt;"",MOD(ROW(),2))</formula>
    </cfRule>
  </conditionalFormatting>
  <conditionalFormatting sqref="C38">
    <cfRule type="cellIs" dxfId="16087" priority="1225" operator="equal">
      <formula>$C38</formula>
    </cfRule>
    <cfRule type="cellIs" dxfId="16086" priority="1226" operator="greaterThan">
      <formula>$C38</formula>
    </cfRule>
    <cfRule type="cellIs" dxfId="16085" priority="1227" operator="lessThan">
      <formula>$C38</formula>
    </cfRule>
  </conditionalFormatting>
  <conditionalFormatting sqref="C39">
    <cfRule type="expression" dxfId="16084" priority="1224">
      <formula>AND($A39&lt;&gt;"",MOD(ROW(),2))</formula>
    </cfRule>
  </conditionalFormatting>
  <conditionalFormatting sqref="C39">
    <cfRule type="cellIs" dxfId="16083" priority="1221" operator="equal">
      <formula>$C39</formula>
    </cfRule>
    <cfRule type="cellIs" dxfId="16082" priority="1222" operator="greaterThan">
      <formula>$C39</formula>
    </cfRule>
    <cfRule type="cellIs" dxfId="16081" priority="1223" operator="lessThan">
      <formula>$C39</formula>
    </cfRule>
  </conditionalFormatting>
  <conditionalFormatting sqref="D28:E28">
    <cfRule type="expression" dxfId="16080" priority="1198">
      <formula>AND($A28&lt;&gt;"",MOD(ROW(),2))</formula>
    </cfRule>
  </conditionalFormatting>
  <conditionalFormatting sqref="D28">
    <cfRule type="cellIs" dxfId="16079" priority="1195" operator="equal">
      <formula>$C28</formula>
    </cfRule>
    <cfRule type="cellIs" dxfId="16078" priority="1196" operator="greaterThan">
      <formula>$C28</formula>
    </cfRule>
    <cfRule type="cellIs" dxfId="16077" priority="1197" operator="lessThan">
      <formula>$C28</formula>
    </cfRule>
  </conditionalFormatting>
  <conditionalFormatting sqref="D29:E29">
    <cfRule type="expression" dxfId="16076" priority="1192">
      <formula>AND($A29&lt;&gt;"",MOD(ROW(),2))</formula>
    </cfRule>
  </conditionalFormatting>
  <conditionalFormatting sqref="D29">
    <cfRule type="cellIs" dxfId="16075" priority="1189" operator="equal">
      <formula>$C29</formula>
    </cfRule>
    <cfRule type="cellIs" dxfId="16074" priority="1190" operator="greaterThan">
      <formula>$C29</formula>
    </cfRule>
    <cfRule type="cellIs" dxfId="16073" priority="1191" operator="lessThan">
      <formula>$C29</formula>
    </cfRule>
  </conditionalFormatting>
  <conditionalFormatting sqref="D30:E30">
    <cfRule type="expression" dxfId="16072" priority="1188">
      <formula>AND($A30&lt;&gt;"",MOD(ROW(),2))</formula>
    </cfRule>
  </conditionalFormatting>
  <conditionalFormatting sqref="D30">
    <cfRule type="cellIs" dxfId="16071" priority="1185" operator="equal">
      <formula>$C30</formula>
    </cfRule>
    <cfRule type="cellIs" dxfId="16070" priority="1186" operator="greaterThan">
      <formula>$C30</formula>
    </cfRule>
    <cfRule type="cellIs" dxfId="16069" priority="1187" operator="lessThan">
      <formula>$C30</formula>
    </cfRule>
  </conditionalFormatting>
  <conditionalFormatting sqref="D31:E31">
    <cfRule type="expression" dxfId="16068" priority="1184">
      <formula>AND($A31&lt;&gt;"",MOD(ROW(),2))</formula>
    </cfRule>
  </conditionalFormatting>
  <conditionalFormatting sqref="D31">
    <cfRule type="cellIs" dxfId="16067" priority="1181" operator="equal">
      <formula>$C31</formula>
    </cfRule>
    <cfRule type="cellIs" dxfId="16066" priority="1182" operator="greaterThan">
      <formula>$C31</formula>
    </cfRule>
    <cfRule type="cellIs" dxfId="16065" priority="1183" operator="lessThan">
      <formula>$C31</formula>
    </cfRule>
  </conditionalFormatting>
  <conditionalFormatting sqref="D32:E32">
    <cfRule type="expression" dxfId="16064" priority="1180">
      <formula>AND($A32&lt;&gt;"",MOD(ROW(),2))</formula>
    </cfRule>
  </conditionalFormatting>
  <conditionalFormatting sqref="D32">
    <cfRule type="cellIs" dxfId="16063" priority="1177" operator="equal">
      <formula>$C32</formula>
    </cfRule>
    <cfRule type="cellIs" dxfId="16062" priority="1178" operator="greaterThan">
      <formula>$C32</formula>
    </cfRule>
    <cfRule type="cellIs" dxfId="16061" priority="1179" operator="lessThan">
      <formula>$C32</formula>
    </cfRule>
  </conditionalFormatting>
  <conditionalFormatting sqref="D33:E33">
    <cfRule type="expression" dxfId="16060" priority="1176">
      <formula>AND($A33&lt;&gt;"",MOD(ROW(),2))</formula>
    </cfRule>
  </conditionalFormatting>
  <conditionalFormatting sqref="D33">
    <cfRule type="cellIs" dxfId="16059" priority="1173" operator="equal">
      <formula>$C33</formula>
    </cfRule>
    <cfRule type="cellIs" dxfId="16058" priority="1174" operator="greaterThan">
      <formula>$C33</formula>
    </cfRule>
    <cfRule type="cellIs" dxfId="16057" priority="1175" operator="lessThan">
      <formula>$C33</formula>
    </cfRule>
  </conditionalFormatting>
  <conditionalFormatting sqref="D34:E34">
    <cfRule type="expression" dxfId="16056" priority="1172">
      <formula>AND($A34&lt;&gt;"",MOD(ROW(),2))</formula>
    </cfRule>
  </conditionalFormatting>
  <conditionalFormatting sqref="D34">
    <cfRule type="cellIs" dxfId="16055" priority="1169" operator="equal">
      <formula>$C34</formula>
    </cfRule>
    <cfRule type="cellIs" dxfId="16054" priority="1170" operator="greaterThan">
      <formula>$C34</formula>
    </cfRule>
    <cfRule type="cellIs" dxfId="16053" priority="1171" operator="lessThan">
      <formula>$C34</formula>
    </cfRule>
  </conditionalFormatting>
  <conditionalFormatting sqref="D35:E35">
    <cfRule type="expression" dxfId="16052" priority="1168">
      <formula>AND($A35&lt;&gt;"",MOD(ROW(),2))</formula>
    </cfRule>
  </conditionalFormatting>
  <conditionalFormatting sqref="D35">
    <cfRule type="cellIs" dxfId="16051" priority="1165" operator="equal">
      <formula>$C35</formula>
    </cfRule>
    <cfRule type="cellIs" dxfId="16050" priority="1166" operator="greaterThan">
      <formula>$C35</formula>
    </cfRule>
    <cfRule type="cellIs" dxfId="16049" priority="1167" operator="lessThan">
      <formula>$C35</formula>
    </cfRule>
  </conditionalFormatting>
  <conditionalFormatting sqref="D36:E36">
    <cfRule type="expression" dxfId="16048" priority="1164">
      <formula>AND($A36&lt;&gt;"",MOD(ROW(),2))</formula>
    </cfRule>
  </conditionalFormatting>
  <conditionalFormatting sqref="D36">
    <cfRule type="cellIs" dxfId="16047" priority="1161" operator="equal">
      <formula>$C36</formula>
    </cfRule>
    <cfRule type="cellIs" dxfId="16046" priority="1162" operator="greaterThan">
      <formula>$C36</formula>
    </cfRule>
    <cfRule type="cellIs" dxfId="16045" priority="1163" operator="lessThan">
      <formula>$C36</formula>
    </cfRule>
  </conditionalFormatting>
  <conditionalFormatting sqref="D37:E37">
    <cfRule type="expression" dxfId="16044" priority="1160">
      <formula>AND($A37&lt;&gt;"",MOD(ROW(),2))</formula>
    </cfRule>
  </conditionalFormatting>
  <conditionalFormatting sqref="D37">
    <cfRule type="cellIs" dxfId="16043" priority="1157" operator="equal">
      <formula>$C37</formula>
    </cfRule>
    <cfRule type="cellIs" dxfId="16042" priority="1158" operator="greaterThan">
      <formula>$C37</formula>
    </cfRule>
    <cfRule type="cellIs" dxfId="16041" priority="1159" operator="lessThan">
      <formula>$C37</formula>
    </cfRule>
  </conditionalFormatting>
  <conditionalFormatting sqref="D38:E38">
    <cfRule type="expression" dxfId="16040" priority="1156">
      <formula>AND($A38&lt;&gt;"",MOD(ROW(),2))</formula>
    </cfRule>
  </conditionalFormatting>
  <conditionalFormatting sqref="D38">
    <cfRule type="cellIs" dxfId="16039" priority="1153" operator="equal">
      <formula>$C38</formula>
    </cfRule>
    <cfRule type="cellIs" dxfId="16038" priority="1154" operator="greaterThan">
      <formula>$C38</formula>
    </cfRule>
    <cfRule type="cellIs" dxfId="16037" priority="1155" operator="lessThan">
      <formula>$C38</formula>
    </cfRule>
  </conditionalFormatting>
  <conditionalFormatting sqref="D39:E39">
    <cfRule type="expression" dxfId="16036" priority="1152">
      <formula>AND($A39&lt;&gt;"",MOD(ROW(),2))</formula>
    </cfRule>
  </conditionalFormatting>
  <conditionalFormatting sqref="D39">
    <cfRule type="cellIs" dxfId="16035" priority="1149" operator="equal">
      <formula>$C39</formula>
    </cfRule>
    <cfRule type="cellIs" dxfId="16034" priority="1150" operator="greaterThan">
      <formula>$C39</formula>
    </cfRule>
    <cfRule type="cellIs" dxfId="16033" priority="1151" operator="lessThan">
      <formula>$C39</formula>
    </cfRule>
  </conditionalFormatting>
  <conditionalFormatting sqref="F28:F42">
    <cfRule type="containsText" dxfId="16032" priority="1125" operator="containsText" text="Unpaid Rent">
      <formula>NOT(ISERROR(SEARCH("Unpaid Rent",F28)))</formula>
    </cfRule>
    <cfRule type="containsText" dxfId="16031" priority="1126" stopIfTrue="1" operator="containsText" text="Closed Account">
      <formula>NOT(ISERROR(SEARCH("Closed Account",F28)))</formula>
    </cfRule>
  </conditionalFormatting>
  <conditionalFormatting sqref="F40:F51">
    <cfRule type="containsText" dxfId="16030" priority="1123" operator="containsText" text="Unpaid Rent">
      <formula>NOT(ISERROR(SEARCH("Unpaid Rent",F40)))</formula>
    </cfRule>
    <cfRule type="containsText" dxfId="16029" priority="1124" stopIfTrue="1" operator="containsText" text="Closed Account">
      <formula>NOT(ISERROR(SEARCH("Closed Account",F40)))</formula>
    </cfRule>
  </conditionalFormatting>
  <conditionalFormatting sqref="D40:E40">
    <cfRule type="expression" dxfId="16028" priority="1122">
      <formula>AND($A40&lt;&gt;"",MOD(ROW(),2))</formula>
    </cfRule>
  </conditionalFormatting>
  <conditionalFormatting sqref="D40">
    <cfRule type="cellIs" dxfId="16027" priority="1119" operator="equal">
      <formula>$C40</formula>
    </cfRule>
    <cfRule type="cellIs" dxfId="16026" priority="1120" operator="greaterThan">
      <formula>$C40</formula>
    </cfRule>
    <cfRule type="cellIs" dxfId="16025" priority="1121" operator="lessThan">
      <formula>$C40</formula>
    </cfRule>
  </conditionalFormatting>
  <conditionalFormatting sqref="D41:E41">
    <cfRule type="expression" dxfId="16024" priority="1118">
      <formula>AND($A41&lt;&gt;"",MOD(ROW(),2))</formula>
    </cfRule>
  </conditionalFormatting>
  <conditionalFormatting sqref="D41">
    <cfRule type="cellIs" dxfId="16023" priority="1115" operator="equal">
      <formula>$C41</formula>
    </cfRule>
    <cfRule type="cellIs" dxfId="16022" priority="1116" operator="greaterThan">
      <formula>$C41</formula>
    </cfRule>
    <cfRule type="cellIs" dxfId="16021" priority="1117" operator="lessThan">
      <formula>$C41</formula>
    </cfRule>
  </conditionalFormatting>
  <conditionalFormatting sqref="D42:E42">
    <cfRule type="expression" dxfId="16020" priority="1114">
      <formula>AND($A42&lt;&gt;"",MOD(ROW(),2))</formula>
    </cfRule>
  </conditionalFormatting>
  <conditionalFormatting sqref="D42">
    <cfRule type="cellIs" dxfId="16019" priority="1111" operator="equal">
      <formula>$C42</formula>
    </cfRule>
    <cfRule type="cellIs" dxfId="16018" priority="1112" operator="greaterThan">
      <formula>$C42</formula>
    </cfRule>
    <cfRule type="cellIs" dxfId="16017" priority="1113" operator="lessThan">
      <formula>$C42</formula>
    </cfRule>
  </conditionalFormatting>
  <conditionalFormatting sqref="D43:E43">
    <cfRule type="expression" dxfId="16016" priority="1110">
      <formula>AND($A43&lt;&gt;"",MOD(ROW(),2))</formula>
    </cfRule>
  </conditionalFormatting>
  <conditionalFormatting sqref="D43">
    <cfRule type="cellIs" dxfId="16015" priority="1107" operator="equal">
      <formula>$C43</formula>
    </cfRule>
    <cfRule type="cellIs" dxfId="16014" priority="1108" operator="greaterThan">
      <formula>$C43</formula>
    </cfRule>
    <cfRule type="cellIs" dxfId="16013" priority="1109" operator="lessThan">
      <formula>$C43</formula>
    </cfRule>
  </conditionalFormatting>
  <conditionalFormatting sqref="D44:E44">
    <cfRule type="expression" dxfId="16012" priority="1106">
      <formula>AND($A44&lt;&gt;"",MOD(ROW(),2))</formula>
    </cfRule>
  </conditionalFormatting>
  <conditionalFormatting sqref="D44">
    <cfRule type="cellIs" dxfId="16011" priority="1103" operator="equal">
      <formula>$C44</formula>
    </cfRule>
    <cfRule type="cellIs" dxfId="16010" priority="1104" operator="greaterThan">
      <formula>$C44</formula>
    </cfRule>
    <cfRule type="cellIs" dxfId="16009" priority="1105" operator="lessThan">
      <formula>$C44</formula>
    </cfRule>
  </conditionalFormatting>
  <conditionalFormatting sqref="D45:E45">
    <cfRule type="expression" dxfId="16008" priority="1102">
      <formula>AND($A45&lt;&gt;"",MOD(ROW(),2))</formula>
    </cfRule>
  </conditionalFormatting>
  <conditionalFormatting sqref="D45">
    <cfRule type="cellIs" dxfId="16007" priority="1099" operator="equal">
      <formula>$C45</formula>
    </cfRule>
    <cfRule type="cellIs" dxfId="16006" priority="1100" operator="greaterThan">
      <formula>$C45</formula>
    </cfRule>
    <cfRule type="cellIs" dxfId="16005" priority="1101" operator="lessThan">
      <formula>$C45</formula>
    </cfRule>
  </conditionalFormatting>
  <conditionalFormatting sqref="D46:E46">
    <cfRule type="expression" dxfId="16004" priority="1098">
      <formula>AND($A46&lt;&gt;"",MOD(ROW(),2))</formula>
    </cfRule>
  </conditionalFormatting>
  <conditionalFormatting sqref="D46">
    <cfRule type="cellIs" dxfId="16003" priority="1095" operator="equal">
      <formula>$C46</formula>
    </cfRule>
    <cfRule type="cellIs" dxfId="16002" priority="1096" operator="greaterThan">
      <formula>$C46</formula>
    </cfRule>
    <cfRule type="cellIs" dxfId="16001" priority="1097" operator="lessThan">
      <formula>$C46</formula>
    </cfRule>
  </conditionalFormatting>
  <conditionalFormatting sqref="D47:E47">
    <cfRule type="expression" dxfId="16000" priority="1094">
      <formula>AND($A47&lt;&gt;"",MOD(ROW(),2))</formula>
    </cfRule>
  </conditionalFormatting>
  <conditionalFormatting sqref="D47">
    <cfRule type="cellIs" dxfId="15999" priority="1091" operator="equal">
      <formula>$C47</formula>
    </cfRule>
    <cfRule type="cellIs" dxfId="15998" priority="1092" operator="greaterThan">
      <formula>$C47</formula>
    </cfRule>
    <cfRule type="cellIs" dxfId="15997" priority="1093" operator="lessThan">
      <formula>$C47</formula>
    </cfRule>
  </conditionalFormatting>
  <conditionalFormatting sqref="D48:E48">
    <cfRule type="expression" dxfId="15996" priority="1090">
      <formula>AND($A48&lt;&gt;"",MOD(ROW(),2))</formula>
    </cfRule>
  </conditionalFormatting>
  <conditionalFormatting sqref="D48">
    <cfRule type="cellIs" dxfId="15995" priority="1087" operator="equal">
      <formula>$C48</formula>
    </cfRule>
    <cfRule type="cellIs" dxfId="15994" priority="1088" operator="greaterThan">
      <formula>$C48</formula>
    </cfRule>
    <cfRule type="cellIs" dxfId="15993" priority="1089" operator="lessThan">
      <formula>$C48</formula>
    </cfRule>
  </conditionalFormatting>
  <conditionalFormatting sqref="D49:E49">
    <cfRule type="expression" dxfId="15992" priority="1086">
      <formula>AND($A49&lt;&gt;"",MOD(ROW(),2))</formula>
    </cfRule>
  </conditionalFormatting>
  <conditionalFormatting sqref="D49">
    <cfRule type="cellIs" dxfId="15991" priority="1083" operator="equal">
      <formula>$C49</formula>
    </cfRule>
    <cfRule type="cellIs" dxfId="15990" priority="1084" operator="greaterThan">
      <formula>$C49</formula>
    </cfRule>
    <cfRule type="cellIs" dxfId="15989" priority="1085" operator="lessThan">
      <formula>$C49</formula>
    </cfRule>
  </conditionalFormatting>
  <conditionalFormatting sqref="D50:E50">
    <cfRule type="expression" dxfId="15988" priority="1082">
      <formula>AND($A50&lt;&gt;"",MOD(ROW(),2))</formula>
    </cfRule>
  </conditionalFormatting>
  <conditionalFormatting sqref="D50">
    <cfRule type="cellIs" dxfId="15987" priority="1079" operator="equal">
      <formula>$C50</formula>
    </cfRule>
    <cfRule type="cellIs" dxfId="15986" priority="1080" operator="greaterThan">
      <formula>$C50</formula>
    </cfRule>
    <cfRule type="cellIs" dxfId="15985" priority="1081" operator="lessThan">
      <formula>$C50</formula>
    </cfRule>
  </conditionalFormatting>
  <conditionalFormatting sqref="D51:E51">
    <cfRule type="expression" dxfId="15984" priority="1078">
      <formula>AND($A51&lt;&gt;"",MOD(ROW(),2))</formula>
    </cfRule>
  </conditionalFormatting>
  <conditionalFormatting sqref="D51">
    <cfRule type="cellIs" dxfId="15983" priority="1075" operator="equal">
      <formula>$C51</formula>
    </cfRule>
    <cfRule type="cellIs" dxfId="15982" priority="1076" operator="greaterThan">
      <formula>$C51</formula>
    </cfRule>
    <cfRule type="cellIs" dxfId="15981" priority="1077" operator="lessThan">
      <formula>$C51</formula>
    </cfRule>
  </conditionalFormatting>
  <conditionalFormatting sqref="C29">
    <cfRule type="expression" dxfId="15980" priority="1074">
      <formula>AND($A29&lt;&gt;"",MOD(ROW(),2))</formula>
    </cfRule>
  </conditionalFormatting>
  <conditionalFormatting sqref="C29">
    <cfRule type="cellIs" dxfId="15979" priority="1071" operator="equal">
      <formula>$C29</formula>
    </cfRule>
    <cfRule type="cellIs" dxfId="15978" priority="1072" operator="greaterThan">
      <formula>$C29</formula>
    </cfRule>
    <cfRule type="cellIs" dxfId="15977" priority="1073" operator="lessThan">
      <formula>$C29</formula>
    </cfRule>
  </conditionalFormatting>
  <conditionalFormatting sqref="C30">
    <cfRule type="expression" dxfId="15976" priority="1070">
      <formula>AND($A30&lt;&gt;"",MOD(ROW(),2))</formula>
    </cfRule>
  </conditionalFormatting>
  <conditionalFormatting sqref="C30">
    <cfRule type="cellIs" dxfId="15975" priority="1067" operator="equal">
      <formula>$C30</formula>
    </cfRule>
    <cfRule type="cellIs" dxfId="15974" priority="1068" operator="greaterThan">
      <formula>$C30</formula>
    </cfRule>
    <cfRule type="cellIs" dxfId="15973" priority="1069" operator="lessThan">
      <formula>$C30</formula>
    </cfRule>
  </conditionalFormatting>
  <conditionalFormatting sqref="C31">
    <cfRule type="expression" dxfId="15972" priority="1066">
      <formula>AND($A31&lt;&gt;"",MOD(ROW(),2))</formula>
    </cfRule>
  </conditionalFormatting>
  <conditionalFormatting sqref="C31">
    <cfRule type="cellIs" dxfId="15971" priority="1063" operator="equal">
      <formula>$C31</formula>
    </cfRule>
    <cfRule type="cellIs" dxfId="15970" priority="1064" operator="greaterThan">
      <formula>$C31</formula>
    </cfRule>
    <cfRule type="cellIs" dxfId="15969" priority="1065" operator="lessThan">
      <formula>$C31</formula>
    </cfRule>
  </conditionalFormatting>
  <conditionalFormatting sqref="C32">
    <cfRule type="expression" dxfId="15968" priority="1062">
      <formula>AND($A32&lt;&gt;"",MOD(ROW(),2))</formula>
    </cfRule>
  </conditionalFormatting>
  <conditionalFormatting sqref="C32">
    <cfRule type="cellIs" dxfId="15967" priority="1059" operator="equal">
      <formula>$C32</formula>
    </cfRule>
    <cfRule type="cellIs" dxfId="15966" priority="1060" operator="greaterThan">
      <formula>$C32</formula>
    </cfRule>
    <cfRule type="cellIs" dxfId="15965" priority="1061" operator="lessThan">
      <formula>$C32</formula>
    </cfRule>
  </conditionalFormatting>
  <conditionalFormatting sqref="C33">
    <cfRule type="expression" dxfId="15964" priority="1058">
      <formula>AND($A33&lt;&gt;"",MOD(ROW(),2))</formula>
    </cfRule>
  </conditionalFormatting>
  <conditionalFormatting sqref="C33">
    <cfRule type="cellIs" dxfId="15963" priority="1055" operator="equal">
      <formula>$C33</formula>
    </cfRule>
    <cfRule type="cellIs" dxfId="15962" priority="1056" operator="greaterThan">
      <formula>$C33</formula>
    </cfRule>
    <cfRule type="cellIs" dxfId="15961" priority="1057" operator="lessThan">
      <formula>$C33</formula>
    </cfRule>
  </conditionalFormatting>
  <conditionalFormatting sqref="C34">
    <cfRule type="expression" dxfId="15960" priority="1054">
      <formula>AND($A34&lt;&gt;"",MOD(ROW(),2))</formula>
    </cfRule>
  </conditionalFormatting>
  <conditionalFormatting sqref="C34">
    <cfRule type="cellIs" dxfId="15959" priority="1051" operator="equal">
      <formula>$C34</formula>
    </cfRule>
    <cfRule type="cellIs" dxfId="15958" priority="1052" operator="greaterThan">
      <formula>$C34</formula>
    </cfRule>
    <cfRule type="cellIs" dxfId="15957" priority="1053" operator="lessThan">
      <formula>$C34</formula>
    </cfRule>
  </conditionalFormatting>
  <conditionalFormatting sqref="C35">
    <cfRule type="expression" dxfId="15956" priority="1050">
      <formula>AND($A35&lt;&gt;"",MOD(ROW(),2))</formula>
    </cfRule>
  </conditionalFormatting>
  <conditionalFormatting sqref="C35">
    <cfRule type="cellIs" dxfId="15955" priority="1047" operator="equal">
      <formula>$C35</formula>
    </cfRule>
    <cfRule type="cellIs" dxfId="15954" priority="1048" operator="greaterThan">
      <formula>$C35</formula>
    </cfRule>
    <cfRule type="cellIs" dxfId="15953" priority="1049" operator="lessThan">
      <formula>$C35</formula>
    </cfRule>
  </conditionalFormatting>
  <conditionalFormatting sqref="C36">
    <cfRule type="expression" dxfId="15952" priority="1046">
      <formula>AND($A36&lt;&gt;"",MOD(ROW(),2))</formula>
    </cfRule>
  </conditionalFormatting>
  <conditionalFormatting sqref="C36">
    <cfRule type="cellIs" dxfId="15951" priority="1043" operator="equal">
      <formula>$C36</formula>
    </cfRule>
    <cfRule type="cellIs" dxfId="15950" priority="1044" operator="greaterThan">
      <formula>$C36</formula>
    </cfRule>
    <cfRule type="cellIs" dxfId="15949" priority="1045" operator="lessThan">
      <formula>$C36</formula>
    </cfRule>
  </conditionalFormatting>
  <conditionalFormatting sqref="C37">
    <cfRule type="expression" dxfId="15948" priority="1042">
      <formula>AND($A37&lt;&gt;"",MOD(ROW(),2))</formula>
    </cfRule>
  </conditionalFormatting>
  <conditionalFormatting sqref="C37">
    <cfRule type="cellIs" dxfId="15947" priority="1039" operator="equal">
      <formula>$C37</formula>
    </cfRule>
    <cfRule type="cellIs" dxfId="15946" priority="1040" operator="greaterThan">
      <formula>$C37</formula>
    </cfRule>
    <cfRule type="cellIs" dxfId="15945" priority="1041" operator="lessThan">
      <formula>$C37</formula>
    </cfRule>
  </conditionalFormatting>
  <conditionalFormatting sqref="C38">
    <cfRule type="expression" dxfId="15944" priority="1038">
      <formula>AND($A38&lt;&gt;"",MOD(ROW(),2))</formula>
    </cfRule>
  </conditionalFormatting>
  <conditionalFormatting sqref="C38">
    <cfRule type="cellIs" dxfId="15943" priority="1035" operator="equal">
      <formula>$C38</formula>
    </cfRule>
    <cfRule type="cellIs" dxfId="15942" priority="1036" operator="greaterThan">
      <formula>$C38</formula>
    </cfRule>
    <cfRule type="cellIs" dxfId="15941" priority="1037" operator="lessThan">
      <formula>$C38</formula>
    </cfRule>
  </conditionalFormatting>
  <conditionalFormatting sqref="C39">
    <cfRule type="expression" dxfId="15940" priority="1034">
      <formula>AND($A39&lt;&gt;"",MOD(ROW(),2))</formula>
    </cfRule>
  </conditionalFormatting>
  <conditionalFormatting sqref="C39">
    <cfRule type="cellIs" dxfId="15939" priority="1031" operator="equal">
      <formula>$C39</formula>
    </cfRule>
    <cfRule type="cellIs" dxfId="15938" priority="1032" operator="greaterThan">
      <formula>$C39</formula>
    </cfRule>
    <cfRule type="cellIs" dxfId="15937" priority="1033" operator="lessThan">
      <formula>$C39</formula>
    </cfRule>
  </conditionalFormatting>
  <conditionalFormatting sqref="C40">
    <cfRule type="expression" dxfId="15936" priority="1030">
      <formula>AND($A40&lt;&gt;"",MOD(ROW(),2))</formula>
    </cfRule>
  </conditionalFormatting>
  <conditionalFormatting sqref="C40">
    <cfRule type="cellIs" dxfId="15935" priority="1027" operator="equal">
      <formula>$C40</formula>
    </cfRule>
    <cfRule type="cellIs" dxfId="15934" priority="1028" operator="greaterThan">
      <formula>$C40</formula>
    </cfRule>
    <cfRule type="cellIs" dxfId="15933" priority="1029" operator="lessThan">
      <formula>$C40</formula>
    </cfRule>
  </conditionalFormatting>
  <conditionalFormatting sqref="D29:E29">
    <cfRule type="expression" dxfId="15932" priority="1026">
      <formula>AND($A29&lt;&gt;"",MOD(ROW(),2))</formula>
    </cfRule>
  </conditionalFormatting>
  <conditionalFormatting sqref="D29">
    <cfRule type="cellIs" dxfId="15931" priority="1023" operator="equal">
      <formula>$C29</formula>
    </cfRule>
    <cfRule type="cellIs" dxfId="15930" priority="1024" operator="greaterThan">
      <formula>$C29</formula>
    </cfRule>
    <cfRule type="cellIs" dxfId="15929" priority="1025" operator="lessThan">
      <formula>$C29</formula>
    </cfRule>
  </conditionalFormatting>
  <conditionalFormatting sqref="D30:E30">
    <cfRule type="expression" dxfId="15928" priority="1022">
      <formula>AND($A30&lt;&gt;"",MOD(ROW(),2))</formula>
    </cfRule>
  </conditionalFormatting>
  <conditionalFormatting sqref="D30">
    <cfRule type="cellIs" dxfId="15927" priority="1019" operator="equal">
      <formula>$C30</formula>
    </cfRule>
    <cfRule type="cellIs" dxfId="15926" priority="1020" operator="greaterThan">
      <formula>$C30</formula>
    </cfRule>
    <cfRule type="cellIs" dxfId="15925" priority="1021" operator="lessThan">
      <formula>$C30</formula>
    </cfRule>
  </conditionalFormatting>
  <conditionalFormatting sqref="D31:E31">
    <cfRule type="expression" dxfId="15924" priority="1018">
      <formula>AND($A31&lt;&gt;"",MOD(ROW(),2))</formula>
    </cfRule>
  </conditionalFormatting>
  <conditionalFormatting sqref="D31">
    <cfRule type="cellIs" dxfId="15923" priority="1015" operator="equal">
      <formula>$C31</formula>
    </cfRule>
    <cfRule type="cellIs" dxfId="15922" priority="1016" operator="greaterThan">
      <formula>$C31</formula>
    </cfRule>
    <cfRule type="cellIs" dxfId="15921" priority="1017" operator="lessThan">
      <formula>$C31</formula>
    </cfRule>
  </conditionalFormatting>
  <conditionalFormatting sqref="D32:E32">
    <cfRule type="expression" dxfId="15920" priority="1014">
      <formula>AND($A32&lt;&gt;"",MOD(ROW(),2))</formula>
    </cfRule>
  </conditionalFormatting>
  <conditionalFormatting sqref="D32">
    <cfRule type="cellIs" dxfId="15919" priority="1011" operator="equal">
      <formula>$C32</formula>
    </cfRule>
    <cfRule type="cellIs" dxfId="15918" priority="1012" operator="greaterThan">
      <formula>$C32</formula>
    </cfRule>
    <cfRule type="cellIs" dxfId="15917" priority="1013" operator="lessThan">
      <formula>$C32</formula>
    </cfRule>
  </conditionalFormatting>
  <conditionalFormatting sqref="D33:E33">
    <cfRule type="expression" dxfId="15916" priority="1010">
      <formula>AND($A33&lt;&gt;"",MOD(ROW(),2))</formula>
    </cfRule>
  </conditionalFormatting>
  <conditionalFormatting sqref="D33">
    <cfRule type="cellIs" dxfId="15915" priority="1007" operator="equal">
      <formula>$C33</formula>
    </cfRule>
    <cfRule type="cellIs" dxfId="15914" priority="1008" operator="greaterThan">
      <formula>$C33</formula>
    </cfRule>
    <cfRule type="cellIs" dxfId="15913" priority="1009" operator="lessThan">
      <formula>$C33</formula>
    </cfRule>
  </conditionalFormatting>
  <conditionalFormatting sqref="D34:E34">
    <cfRule type="expression" dxfId="15912" priority="1006">
      <formula>AND($A34&lt;&gt;"",MOD(ROW(),2))</formula>
    </cfRule>
  </conditionalFormatting>
  <conditionalFormatting sqref="D34">
    <cfRule type="cellIs" dxfId="15911" priority="1003" operator="equal">
      <formula>$C34</formula>
    </cfRule>
    <cfRule type="cellIs" dxfId="15910" priority="1004" operator="greaterThan">
      <formula>$C34</formula>
    </cfRule>
    <cfRule type="cellIs" dxfId="15909" priority="1005" operator="lessThan">
      <formula>$C34</formula>
    </cfRule>
  </conditionalFormatting>
  <conditionalFormatting sqref="D35:E35">
    <cfRule type="expression" dxfId="15908" priority="1002">
      <formula>AND($A35&lt;&gt;"",MOD(ROW(),2))</formula>
    </cfRule>
  </conditionalFormatting>
  <conditionalFormatting sqref="D35">
    <cfRule type="cellIs" dxfId="15907" priority="999" operator="equal">
      <formula>$C35</formula>
    </cfRule>
    <cfRule type="cellIs" dxfId="15906" priority="1000" operator="greaterThan">
      <formula>$C35</formula>
    </cfRule>
    <cfRule type="cellIs" dxfId="15905" priority="1001" operator="lessThan">
      <formula>$C35</formula>
    </cfRule>
  </conditionalFormatting>
  <conditionalFormatting sqref="D36:E36">
    <cfRule type="expression" dxfId="15904" priority="998">
      <formula>AND($A36&lt;&gt;"",MOD(ROW(),2))</formula>
    </cfRule>
  </conditionalFormatting>
  <conditionalFormatting sqref="D36">
    <cfRule type="cellIs" dxfId="15903" priority="995" operator="equal">
      <formula>$C36</formula>
    </cfRule>
    <cfRule type="cellIs" dxfId="15902" priority="996" operator="greaterThan">
      <formula>$C36</formula>
    </cfRule>
    <cfRule type="cellIs" dxfId="15901" priority="997" operator="lessThan">
      <formula>$C36</formula>
    </cfRule>
  </conditionalFormatting>
  <conditionalFormatting sqref="D37:E37">
    <cfRule type="expression" dxfId="15900" priority="994">
      <formula>AND($A37&lt;&gt;"",MOD(ROW(),2))</formula>
    </cfRule>
  </conditionalFormatting>
  <conditionalFormatting sqref="D37">
    <cfRule type="cellIs" dxfId="15899" priority="991" operator="equal">
      <formula>$C37</formula>
    </cfRule>
    <cfRule type="cellIs" dxfId="15898" priority="992" operator="greaterThan">
      <formula>$C37</formula>
    </cfRule>
    <cfRule type="cellIs" dxfId="15897" priority="993" operator="lessThan">
      <formula>$C37</formula>
    </cfRule>
  </conditionalFormatting>
  <conditionalFormatting sqref="D38:E38">
    <cfRule type="expression" dxfId="15896" priority="990">
      <formula>AND($A38&lt;&gt;"",MOD(ROW(),2))</formula>
    </cfRule>
  </conditionalFormatting>
  <conditionalFormatting sqref="D38">
    <cfRule type="cellIs" dxfId="15895" priority="987" operator="equal">
      <formula>$C38</formula>
    </cfRule>
    <cfRule type="cellIs" dxfId="15894" priority="988" operator="greaterThan">
      <formula>$C38</formula>
    </cfRule>
    <cfRule type="cellIs" dxfId="15893" priority="989" operator="lessThan">
      <formula>$C38</formula>
    </cfRule>
  </conditionalFormatting>
  <conditionalFormatting sqref="D39:E39">
    <cfRule type="expression" dxfId="15892" priority="986">
      <formula>AND($A39&lt;&gt;"",MOD(ROW(),2))</formula>
    </cfRule>
  </conditionalFormatting>
  <conditionalFormatting sqref="D39">
    <cfRule type="cellIs" dxfId="15891" priority="983" operator="equal">
      <formula>$C39</formula>
    </cfRule>
    <cfRule type="cellIs" dxfId="15890" priority="984" operator="greaterThan">
      <formula>$C39</formula>
    </cfRule>
    <cfRule type="cellIs" dxfId="15889" priority="985" operator="lessThan">
      <formula>$C39</formula>
    </cfRule>
  </conditionalFormatting>
  <conditionalFormatting sqref="D40:E40">
    <cfRule type="expression" dxfId="15888" priority="982">
      <formula>AND($A40&lt;&gt;"",MOD(ROW(),2))</formula>
    </cfRule>
  </conditionalFormatting>
  <conditionalFormatting sqref="D40">
    <cfRule type="cellIs" dxfId="15887" priority="979" operator="equal">
      <formula>$C40</formula>
    </cfRule>
    <cfRule type="cellIs" dxfId="15886" priority="980" operator="greaterThan">
      <formula>$C40</formula>
    </cfRule>
    <cfRule type="cellIs" dxfId="15885" priority="981" operator="lessThan">
      <formula>$C40</formula>
    </cfRule>
  </conditionalFormatting>
  <conditionalFormatting sqref="D41:E41">
    <cfRule type="expression" dxfId="15884" priority="978">
      <formula>AND($A41&lt;&gt;"",MOD(ROW(),2))</formula>
    </cfRule>
  </conditionalFormatting>
  <conditionalFormatting sqref="D41">
    <cfRule type="cellIs" dxfId="15883" priority="975" operator="equal">
      <formula>$C41</formula>
    </cfRule>
    <cfRule type="cellIs" dxfId="15882" priority="976" operator="greaterThan">
      <formula>$C41</formula>
    </cfRule>
    <cfRule type="cellIs" dxfId="15881" priority="977" operator="lessThan">
      <formula>$C41</formula>
    </cfRule>
  </conditionalFormatting>
  <conditionalFormatting sqref="D42:E42">
    <cfRule type="expression" dxfId="15880" priority="974">
      <formula>AND($A42&lt;&gt;"",MOD(ROW(),2))</formula>
    </cfRule>
  </conditionalFormatting>
  <conditionalFormatting sqref="D42">
    <cfRule type="cellIs" dxfId="15879" priority="971" operator="equal">
      <formula>$C42</formula>
    </cfRule>
    <cfRule type="cellIs" dxfId="15878" priority="972" operator="greaterThan">
      <formula>$C42</formula>
    </cfRule>
    <cfRule type="cellIs" dxfId="15877" priority="973" operator="lessThan">
      <formula>$C42</formula>
    </cfRule>
  </conditionalFormatting>
  <conditionalFormatting sqref="D43:E43">
    <cfRule type="expression" dxfId="15876" priority="970">
      <formula>AND($A43&lt;&gt;"",MOD(ROW(),2))</formula>
    </cfRule>
  </conditionalFormatting>
  <conditionalFormatting sqref="D43">
    <cfRule type="cellIs" dxfId="15875" priority="967" operator="equal">
      <formula>$C43</formula>
    </cfRule>
    <cfRule type="cellIs" dxfId="15874" priority="968" operator="greaterThan">
      <formula>$C43</formula>
    </cfRule>
    <cfRule type="cellIs" dxfId="15873" priority="969" operator="lessThan">
      <formula>$C43</formula>
    </cfRule>
  </conditionalFormatting>
  <conditionalFormatting sqref="D44:E44">
    <cfRule type="expression" dxfId="15872" priority="966">
      <formula>AND($A44&lt;&gt;"",MOD(ROW(),2))</formula>
    </cfRule>
  </conditionalFormatting>
  <conditionalFormatting sqref="D44">
    <cfRule type="cellIs" dxfId="15871" priority="963" operator="equal">
      <formula>$C44</formula>
    </cfRule>
    <cfRule type="cellIs" dxfId="15870" priority="964" operator="greaterThan">
      <formula>$C44</formula>
    </cfRule>
    <cfRule type="cellIs" dxfId="15869" priority="965" operator="lessThan">
      <formula>$C44</formula>
    </cfRule>
  </conditionalFormatting>
  <conditionalFormatting sqref="D45:E45">
    <cfRule type="expression" dxfId="15868" priority="962">
      <formula>AND($A45&lt;&gt;"",MOD(ROW(),2))</formula>
    </cfRule>
  </conditionalFormatting>
  <conditionalFormatting sqref="D45">
    <cfRule type="cellIs" dxfId="15867" priority="959" operator="equal">
      <formula>$C45</formula>
    </cfRule>
    <cfRule type="cellIs" dxfId="15866" priority="960" operator="greaterThan">
      <formula>$C45</formula>
    </cfRule>
    <cfRule type="cellIs" dxfId="15865" priority="961" operator="lessThan">
      <formula>$C45</formula>
    </cfRule>
  </conditionalFormatting>
  <conditionalFormatting sqref="D46:E46">
    <cfRule type="expression" dxfId="15864" priority="958">
      <formula>AND($A46&lt;&gt;"",MOD(ROW(),2))</formula>
    </cfRule>
  </conditionalFormatting>
  <conditionalFormatting sqref="D46">
    <cfRule type="cellIs" dxfId="15863" priority="955" operator="equal">
      <formula>$C46</formula>
    </cfRule>
    <cfRule type="cellIs" dxfId="15862" priority="956" operator="greaterThan">
      <formula>$C46</formula>
    </cfRule>
    <cfRule type="cellIs" dxfId="15861" priority="957" operator="lessThan">
      <formula>$C46</formula>
    </cfRule>
  </conditionalFormatting>
  <conditionalFormatting sqref="D47:E47">
    <cfRule type="expression" dxfId="15860" priority="954">
      <formula>AND($A47&lt;&gt;"",MOD(ROW(),2))</formula>
    </cfRule>
  </conditionalFormatting>
  <conditionalFormatting sqref="D47">
    <cfRule type="cellIs" dxfId="15859" priority="951" operator="equal">
      <formula>$C47</formula>
    </cfRule>
    <cfRule type="cellIs" dxfId="15858" priority="952" operator="greaterThan">
      <formula>$C47</formula>
    </cfRule>
    <cfRule type="cellIs" dxfId="15857" priority="953" operator="lessThan">
      <formula>$C47</formula>
    </cfRule>
  </conditionalFormatting>
  <conditionalFormatting sqref="D48:E48">
    <cfRule type="expression" dxfId="15856" priority="950">
      <formula>AND($A48&lt;&gt;"",MOD(ROW(),2))</formula>
    </cfRule>
  </conditionalFormatting>
  <conditionalFormatting sqref="D48">
    <cfRule type="cellIs" dxfId="15855" priority="947" operator="equal">
      <formula>$C48</formula>
    </cfRule>
    <cfRule type="cellIs" dxfId="15854" priority="948" operator="greaterThan">
      <formula>$C48</formula>
    </cfRule>
    <cfRule type="cellIs" dxfId="15853" priority="949" operator="lessThan">
      <formula>$C48</formula>
    </cfRule>
  </conditionalFormatting>
  <conditionalFormatting sqref="C29">
    <cfRule type="expression" dxfId="15852" priority="946">
      <formula>AND($A29&lt;&gt;"",MOD(ROW(),2))</formula>
    </cfRule>
  </conditionalFormatting>
  <conditionalFormatting sqref="C29">
    <cfRule type="cellIs" dxfId="15851" priority="943" operator="equal">
      <formula>$C29</formula>
    </cfRule>
    <cfRule type="cellIs" dxfId="15850" priority="944" operator="greaterThan">
      <formula>$C29</formula>
    </cfRule>
    <cfRule type="cellIs" dxfId="15849" priority="945" operator="lessThan">
      <formula>$C29</formula>
    </cfRule>
  </conditionalFormatting>
  <conditionalFormatting sqref="C30">
    <cfRule type="expression" dxfId="15848" priority="942">
      <formula>AND($A30&lt;&gt;"",MOD(ROW(),2))</formula>
    </cfRule>
  </conditionalFormatting>
  <conditionalFormatting sqref="C30">
    <cfRule type="cellIs" dxfId="15847" priority="939" operator="equal">
      <formula>$C30</formula>
    </cfRule>
    <cfRule type="cellIs" dxfId="15846" priority="940" operator="greaterThan">
      <formula>$C30</formula>
    </cfRule>
    <cfRule type="cellIs" dxfId="15845" priority="941" operator="lessThan">
      <formula>$C30</formula>
    </cfRule>
  </conditionalFormatting>
  <conditionalFormatting sqref="C31">
    <cfRule type="expression" dxfId="15844" priority="938">
      <formula>AND($A31&lt;&gt;"",MOD(ROW(),2))</formula>
    </cfRule>
  </conditionalFormatting>
  <conditionalFormatting sqref="C31">
    <cfRule type="cellIs" dxfId="15843" priority="935" operator="equal">
      <formula>$C31</formula>
    </cfRule>
    <cfRule type="cellIs" dxfId="15842" priority="936" operator="greaterThan">
      <formula>$C31</formula>
    </cfRule>
    <cfRule type="cellIs" dxfId="15841" priority="937" operator="lessThan">
      <formula>$C31</formula>
    </cfRule>
  </conditionalFormatting>
  <conditionalFormatting sqref="C32">
    <cfRule type="expression" dxfId="15840" priority="934">
      <formula>AND($A32&lt;&gt;"",MOD(ROW(),2))</formula>
    </cfRule>
  </conditionalFormatting>
  <conditionalFormatting sqref="C32">
    <cfRule type="cellIs" dxfId="15839" priority="931" operator="equal">
      <formula>$C32</formula>
    </cfRule>
    <cfRule type="cellIs" dxfId="15838" priority="932" operator="greaterThan">
      <formula>$C32</formula>
    </cfRule>
    <cfRule type="cellIs" dxfId="15837" priority="933" operator="lessThan">
      <formula>$C32</formula>
    </cfRule>
  </conditionalFormatting>
  <conditionalFormatting sqref="C33">
    <cfRule type="expression" dxfId="15836" priority="930">
      <formula>AND($A33&lt;&gt;"",MOD(ROW(),2))</formula>
    </cfRule>
  </conditionalFormatting>
  <conditionalFormatting sqref="C33">
    <cfRule type="cellIs" dxfId="15835" priority="927" operator="equal">
      <formula>$C33</formula>
    </cfRule>
    <cfRule type="cellIs" dxfId="15834" priority="928" operator="greaterThan">
      <formula>$C33</formula>
    </cfRule>
    <cfRule type="cellIs" dxfId="15833" priority="929" operator="lessThan">
      <formula>$C33</formula>
    </cfRule>
  </conditionalFormatting>
  <conditionalFormatting sqref="C34">
    <cfRule type="expression" dxfId="15832" priority="926">
      <formula>AND($A34&lt;&gt;"",MOD(ROW(),2))</formula>
    </cfRule>
  </conditionalFormatting>
  <conditionalFormatting sqref="C34">
    <cfRule type="cellIs" dxfId="15831" priority="923" operator="equal">
      <formula>$C34</formula>
    </cfRule>
    <cfRule type="cellIs" dxfId="15830" priority="924" operator="greaterThan">
      <formula>$C34</formula>
    </cfRule>
    <cfRule type="cellIs" dxfId="15829" priority="925" operator="lessThan">
      <formula>$C34</formula>
    </cfRule>
  </conditionalFormatting>
  <conditionalFormatting sqref="C35">
    <cfRule type="expression" dxfId="15828" priority="922">
      <formula>AND($A35&lt;&gt;"",MOD(ROW(),2))</formula>
    </cfRule>
  </conditionalFormatting>
  <conditionalFormatting sqref="C35">
    <cfRule type="cellIs" dxfId="15827" priority="919" operator="equal">
      <formula>$C35</formula>
    </cfRule>
    <cfRule type="cellIs" dxfId="15826" priority="920" operator="greaterThan">
      <formula>$C35</formula>
    </cfRule>
    <cfRule type="cellIs" dxfId="15825" priority="921" operator="lessThan">
      <formula>$C35</formula>
    </cfRule>
  </conditionalFormatting>
  <conditionalFormatting sqref="C36">
    <cfRule type="expression" dxfId="15824" priority="918">
      <formula>AND($A36&lt;&gt;"",MOD(ROW(),2))</formula>
    </cfRule>
  </conditionalFormatting>
  <conditionalFormatting sqref="C36">
    <cfRule type="cellIs" dxfId="15823" priority="915" operator="equal">
      <formula>$C36</formula>
    </cfRule>
    <cfRule type="cellIs" dxfId="15822" priority="916" operator="greaterThan">
      <formula>$C36</formula>
    </cfRule>
    <cfRule type="cellIs" dxfId="15821" priority="917" operator="lessThan">
      <formula>$C36</formula>
    </cfRule>
  </conditionalFormatting>
  <conditionalFormatting sqref="C37">
    <cfRule type="expression" dxfId="15820" priority="914">
      <formula>AND($A37&lt;&gt;"",MOD(ROW(),2))</formula>
    </cfRule>
  </conditionalFormatting>
  <conditionalFormatting sqref="C37">
    <cfRule type="cellIs" dxfId="15819" priority="911" operator="equal">
      <formula>$C37</formula>
    </cfRule>
    <cfRule type="cellIs" dxfId="15818" priority="912" operator="greaterThan">
      <formula>$C37</formula>
    </cfRule>
    <cfRule type="cellIs" dxfId="15817" priority="913" operator="lessThan">
      <formula>$C37</formula>
    </cfRule>
  </conditionalFormatting>
  <conditionalFormatting sqref="C38">
    <cfRule type="expression" dxfId="15816" priority="910">
      <formula>AND($A38&lt;&gt;"",MOD(ROW(),2))</formula>
    </cfRule>
  </conditionalFormatting>
  <conditionalFormatting sqref="C38">
    <cfRule type="cellIs" dxfId="15815" priority="907" operator="equal">
      <formula>$C38</formula>
    </cfRule>
    <cfRule type="cellIs" dxfId="15814" priority="908" operator="greaterThan">
      <formula>$C38</formula>
    </cfRule>
    <cfRule type="cellIs" dxfId="15813" priority="909" operator="lessThan">
      <formula>$C38</formula>
    </cfRule>
  </conditionalFormatting>
  <conditionalFormatting sqref="C39">
    <cfRule type="expression" dxfId="15812" priority="906">
      <formula>AND($A39&lt;&gt;"",MOD(ROW(),2))</formula>
    </cfRule>
  </conditionalFormatting>
  <conditionalFormatting sqref="C39">
    <cfRule type="cellIs" dxfId="15811" priority="903" operator="equal">
      <formula>$C39</formula>
    </cfRule>
    <cfRule type="cellIs" dxfId="15810" priority="904" operator="greaterThan">
      <formula>$C39</formula>
    </cfRule>
    <cfRule type="cellIs" dxfId="15809" priority="905" operator="lessThan">
      <formula>$C39</formula>
    </cfRule>
  </conditionalFormatting>
  <conditionalFormatting sqref="C40">
    <cfRule type="expression" dxfId="15808" priority="902">
      <formula>AND($A40&lt;&gt;"",MOD(ROW(),2))</formula>
    </cfRule>
  </conditionalFormatting>
  <conditionalFormatting sqref="C40">
    <cfRule type="cellIs" dxfId="15807" priority="899" operator="equal">
      <formula>$C40</formula>
    </cfRule>
    <cfRule type="cellIs" dxfId="15806" priority="900" operator="greaterThan">
      <formula>$C40</formula>
    </cfRule>
    <cfRule type="cellIs" dxfId="15805" priority="901" operator="lessThan">
      <formula>$C40</formula>
    </cfRule>
  </conditionalFormatting>
  <conditionalFormatting sqref="D29:E29">
    <cfRule type="expression" dxfId="15804" priority="898">
      <formula>AND($A29&lt;&gt;"",MOD(ROW(),2))</formula>
    </cfRule>
  </conditionalFormatting>
  <conditionalFormatting sqref="D29">
    <cfRule type="cellIs" dxfId="15803" priority="895" operator="equal">
      <formula>$C29</formula>
    </cfRule>
    <cfRule type="cellIs" dxfId="15802" priority="896" operator="greaterThan">
      <formula>$C29</formula>
    </cfRule>
    <cfRule type="cellIs" dxfId="15801" priority="897" operator="lessThan">
      <formula>$C29</formula>
    </cfRule>
  </conditionalFormatting>
  <conditionalFormatting sqref="D30:E30">
    <cfRule type="expression" dxfId="15800" priority="894">
      <formula>AND($A30&lt;&gt;"",MOD(ROW(),2))</formula>
    </cfRule>
  </conditionalFormatting>
  <conditionalFormatting sqref="D30">
    <cfRule type="cellIs" dxfId="15799" priority="891" operator="equal">
      <formula>$C30</formula>
    </cfRule>
    <cfRule type="cellIs" dxfId="15798" priority="892" operator="greaterThan">
      <formula>$C30</formula>
    </cfRule>
    <cfRule type="cellIs" dxfId="15797" priority="893" operator="lessThan">
      <formula>$C30</formula>
    </cfRule>
  </conditionalFormatting>
  <conditionalFormatting sqref="D31:E31">
    <cfRule type="expression" dxfId="15796" priority="890">
      <formula>AND($A31&lt;&gt;"",MOD(ROW(),2))</formula>
    </cfRule>
  </conditionalFormatting>
  <conditionalFormatting sqref="D31">
    <cfRule type="cellIs" dxfId="15795" priority="887" operator="equal">
      <formula>$C31</formula>
    </cfRule>
    <cfRule type="cellIs" dxfId="15794" priority="888" operator="greaterThan">
      <formula>$C31</formula>
    </cfRule>
    <cfRule type="cellIs" dxfId="15793" priority="889" operator="lessThan">
      <formula>$C31</formula>
    </cfRule>
  </conditionalFormatting>
  <conditionalFormatting sqref="D32:E32">
    <cfRule type="expression" dxfId="15792" priority="886">
      <formula>AND($A32&lt;&gt;"",MOD(ROW(),2))</formula>
    </cfRule>
  </conditionalFormatting>
  <conditionalFormatting sqref="D32">
    <cfRule type="cellIs" dxfId="15791" priority="883" operator="equal">
      <formula>$C32</formula>
    </cfRule>
    <cfRule type="cellIs" dxfId="15790" priority="884" operator="greaterThan">
      <formula>$C32</formula>
    </cfRule>
    <cfRule type="cellIs" dxfId="15789" priority="885" operator="lessThan">
      <formula>$C32</formula>
    </cfRule>
  </conditionalFormatting>
  <conditionalFormatting sqref="D33:E33">
    <cfRule type="expression" dxfId="15788" priority="882">
      <formula>AND($A33&lt;&gt;"",MOD(ROW(),2))</formula>
    </cfRule>
  </conditionalFormatting>
  <conditionalFormatting sqref="D33">
    <cfRule type="cellIs" dxfId="15787" priority="879" operator="equal">
      <formula>$C33</formula>
    </cfRule>
    <cfRule type="cellIs" dxfId="15786" priority="880" operator="greaterThan">
      <formula>$C33</formula>
    </cfRule>
    <cfRule type="cellIs" dxfId="15785" priority="881" operator="lessThan">
      <formula>$C33</formula>
    </cfRule>
  </conditionalFormatting>
  <conditionalFormatting sqref="D34:E34">
    <cfRule type="expression" dxfId="15784" priority="878">
      <formula>AND($A34&lt;&gt;"",MOD(ROW(),2))</formula>
    </cfRule>
  </conditionalFormatting>
  <conditionalFormatting sqref="D34">
    <cfRule type="cellIs" dxfId="15783" priority="875" operator="equal">
      <formula>$C34</formula>
    </cfRule>
    <cfRule type="cellIs" dxfId="15782" priority="876" operator="greaterThan">
      <formula>$C34</formula>
    </cfRule>
    <cfRule type="cellIs" dxfId="15781" priority="877" operator="lessThan">
      <formula>$C34</formula>
    </cfRule>
  </conditionalFormatting>
  <conditionalFormatting sqref="D35:E35">
    <cfRule type="expression" dxfId="15780" priority="874">
      <formula>AND($A35&lt;&gt;"",MOD(ROW(),2))</formula>
    </cfRule>
  </conditionalFormatting>
  <conditionalFormatting sqref="D35">
    <cfRule type="cellIs" dxfId="15779" priority="871" operator="equal">
      <formula>$C35</formula>
    </cfRule>
    <cfRule type="cellIs" dxfId="15778" priority="872" operator="greaterThan">
      <formula>$C35</formula>
    </cfRule>
    <cfRule type="cellIs" dxfId="15777" priority="873" operator="lessThan">
      <formula>$C35</formula>
    </cfRule>
  </conditionalFormatting>
  <conditionalFormatting sqref="D36:E36">
    <cfRule type="expression" dxfId="15776" priority="870">
      <formula>AND($A36&lt;&gt;"",MOD(ROW(),2))</formula>
    </cfRule>
  </conditionalFormatting>
  <conditionalFormatting sqref="D36">
    <cfRule type="cellIs" dxfId="15775" priority="867" operator="equal">
      <formula>$C36</formula>
    </cfRule>
    <cfRule type="cellIs" dxfId="15774" priority="868" operator="greaterThan">
      <formula>$C36</formula>
    </cfRule>
    <cfRule type="cellIs" dxfId="15773" priority="869" operator="lessThan">
      <formula>$C36</formula>
    </cfRule>
  </conditionalFormatting>
  <conditionalFormatting sqref="D37:E37">
    <cfRule type="expression" dxfId="15772" priority="866">
      <formula>AND($A37&lt;&gt;"",MOD(ROW(),2))</formula>
    </cfRule>
  </conditionalFormatting>
  <conditionalFormatting sqref="D37">
    <cfRule type="cellIs" dxfId="15771" priority="863" operator="equal">
      <formula>$C37</formula>
    </cfRule>
    <cfRule type="cellIs" dxfId="15770" priority="864" operator="greaterThan">
      <formula>$C37</formula>
    </cfRule>
    <cfRule type="cellIs" dxfId="15769" priority="865" operator="lessThan">
      <formula>$C37</formula>
    </cfRule>
  </conditionalFormatting>
  <conditionalFormatting sqref="D38:E38">
    <cfRule type="expression" dxfId="15768" priority="862">
      <formula>AND($A38&lt;&gt;"",MOD(ROW(),2))</formula>
    </cfRule>
  </conditionalFormatting>
  <conditionalFormatting sqref="D38">
    <cfRule type="cellIs" dxfId="15767" priority="859" operator="equal">
      <formula>$C38</formula>
    </cfRule>
    <cfRule type="cellIs" dxfId="15766" priority="860" operator="greaterThan">
      <formula>$C38</formula>
    </cfRule>
    <cfRule type="cellIs" dxfId="15765" priority="861" operator="lessThan">
      <formula>$C38</formula>
    </cfRule>
  </conditionalFormatting>
  <conditionalFormatting sqref="D39:E39">
    <cfRule type="expression" dxfId="15764" priority="858">
      <formula>AND($A39&lt;&gt;"",MOD(ROW(),2))</formula>
    </cfRule>
  </conditionalFormatting>
  <conditionalFormatting sqref="D39">
    <cfRule type="cellIs" dxfId="15763" priority="855" operator="equal">
      <formula>$C39</formula>
    </cfRule>
    <cfRule type="cellIs" dxfId="15762" priority="856" operator="greaterThan">
      <formula>$C39</formula>
    </cfRule>
    <cfRule type="cellIs" dxfId="15761" priority="857" operator="lessThan">
      <formula>$C39</formula>
    </cfRule>
  </conditionalFormatting>
  <conditionalFormatting sqref="D40:E40">
    <cfRule type="expression" dxfId="15760" priority="854">
      <formula>AND($A40&lt;&gt;"",MOD(ROW(),2))</formula>
    </cfRule>
  </conditionalFormatting>
  <conditionalFormatting sqref="D40">
    <cfRule type="cellIs" dxfId="15759" priority="851" operator="equal">
      <formula>$C40</formula>
    </cfRule>
    <cfRule type="cellIs" dxfId="15758" priority="852" operator="greaterThan">
      <formula>$C40</formula>
    </cfRule>
    <cfRule type="cellIs" dxfId="15757" priority="853" operator="lessThan">
      <formula>$C40</formula>
    </cfRule>
  </conditionalFormatting>
  <conditionalFormatting sqref="D41:E41">
    <cfRule type="expression" dxfId="15756" priority="850">
      <formula>AND($A41&lt;&gt;"",MOD(ROW(),2))</formula>
    </cfRule>
  </conditionalFormatting>
  <conditionalFormatting sqref="D41">
    <cfRule type="cellIs" dxfId="15755" priority="847" operator="equal">
      <formula>$C41</formula>
    </cfRule>
    <cfRule type="cellIs" dxfId="15754" priority="848" operator="greaterThan">
      <formula>$C41</formula>
    </cfRule>
    <cfRule type="cellIs" dxfId="15753" priority="849" operator="lessThan">
      <formula>$C41</formula>
    </cfRule>
  </conditionalFormatting>
  <conditionalFormatting sqref="D42:E42">
    <cfRule type="expression" dxfId="15752" priority="846">
      <formula>AND($A42&lt;&gt;"",MOD(ROW(),2))</formula>
    </cfRule>
  </conditionalFormatting>
  <conditionalFormatting sqref="D42">
    <cfRule type="cellIs" dxfId="15751" priority="843" operator="equal">
      <formula>$C42</formula>
    </cfRule>
    <cfRule type="cellIs" dxfId="15750" priority="844" operator="greaterThan">
      <formula>$C42</formula>
    </cfRule>
    <cfRule type="cellIs" dxfId="15749" priority="845" operator="lessThan">
      <formula>$C42</formula>
    </cfRule>
  </conditionalFormatting>
  <conditionalFormatting sqref="D43:E43">
    <cfRule type="expression" dxfId="15748" priority="842">
      <formula>AND($A43&lt;&gt;"",MOD(ROW(),2))</formula>
    </cfRule>
  </conditionalFormatting>
  <conditionalFormatting sqref="D43">
    <cfRule type="cellIs" dxfId="15747" priority="839" operator="equal">
      <formula>$C43</formula>
    </cfRule>
    <cfRule type="cellIs" dxfId="15746" priority="840" operator="greaterThan">
      <formula>$C43</formula>
    </cfRule>
    <cfRule type="cellIs" dxfId="15745" priority="841" operator="lessThan">
      <formula>$C43</formula>
    </cfRule>
  </conditionalFormatting>
  <conditionalFormatting sqref="D44:E44">
    <cfRule type="expression" dxfId="15744" priority="838">
      <formula>AND($A44&lt;&gt;"",MOD(ROW(),2))</formula>
    </cfRule>
  </conditionalFormatting>
  <conditionalFormatting sqref="D44">
    <cfRule type="cellIs" dxfId="15743" priority="835" operator="equal">
      <formula>$C44</formula>
    </cfRule>
    <cfRule type="cellIs" dxfId="15742" priority="836" operator="greaterThan">
      <formula>$C44</formula>
    </cfRule>
    <cfRule type="cellIs" dxfId="15741" priority="837" operator="lessThan">
      <formula>$C44</formula>
    </cfRule>
  </conditionalFormatting>
  <conditionalFormatting sqref="D45:E45">
    <cfRule type="expression" dxfId="15740" priority="834">
      <formula>AND($A45&lt;&gt;"",MOD(ROW(),2))</formula>
    </cfRule>
  </conditionalFormatting>
  <conditionalFormatting sqref="D45">
    <cfRule type="cellIs" dxfId="15739" priority="831" operator="equal">
      <formula>$C45</formula>
    </cfRule>
    <cfRule type="cellIs" dxfId="15738" priority="832" operator="greaterThan">
      <formula>$C45</formula>
    </cfRule>
    <cfRule type="cellIs" dxfId="15737" priority="833" operator="lessThan">
      <formula>$C45</formula>
    </cfRule>
  </conditionalFormatting>
  <conditionalFormatting sqref="D46:E46">
    <cfRule type="expression" dxfId="15736" priority="830">
      <formula>AND($A46&lt;&gt;"",MOD(ROW(),2))</formula>
    </cfRule>
  </conditionalFormatting>
  <conditionalFormatting sqref="D46">
    <cfRule type="cellIs" dxfId="15735" priority="827" operator="equal">
      <formula>$C46</formula>
    </cfRule>
    <cfRule type="cellIs" dxfId="15734" priority="828" operator="greaterThan">
      <formula>$C46</formula>
    </cfRule>
    <cfRule type="cellIs" dxfId="15733" priority="829" operator="lessThan">
      <formula>$C46</formula>
    </cfRule>
  </conditionalFormatting>
  <conditionalFormatting sqref="D47:E47">
    <cfRule type="expression" dxfId="15732" priority="826">
      <formula>AND($A47&lt;&gt;"",MOD(ROW(),2))</formula>
    </cfRule>
  </conditionalFormatting>
  <conditionalFormatting sqref="D47">
    <cfRule type="cellIs" dxfId="15731" priority="823" operator="equal">
      <formula>$C47</formula>
    </cfRule>
    <cfRule type="cellIs" dxfId="15730" priority="824" operator="greaterThan">
      <formula>$C47</formula>
    </cfRule>
    <cfRule type="cellIs" dxfId="15729" priority="825" operator="lessThan">
      <formula>$C47</formula>
    </cfRule>
  </conditionalFormatting>
  <conditionalFormatting sqref="D48:E48">
    <cfRule type="expression" dxfId="15728" priority="822">
      <formula>AND($A48&lt;&gt;"",MOD(ROW(),2))</formula>
    </cfRule>
  </conditionalFormatting>
  <conditionalFormatting sqref="D48">
    <cfRule type="cellIs" dxfId="15727" priority="819" operator="equal">
      <formula>$C48</formula>
    </cfRule>
    <cfRule type="cellIs" dxfId="15726" priority="820" operator="greaterThan">
      <formula>$C48</formula>
    </cfRule>
    <cfRule type="cellIs" dxfId="15725" priority="821" operator="lessThan">
      <formula>$C48</formula>
    </cfRule>
  </conditionalFormatting>
  <conditionalFormatting sqref="D49:E49">
    <cfRule type="expression" dxfId="15724" priority="818">
      <formula>AND($A49&lt;&gt;"",MOD(ROW(),2))</formula>
    </cfRule>
  </conditionalFormatting>
  <conditionalFormatting sqref="D49">
    <cfRule type="cellIs" dxfId="15723" priority="815" operator="equal">
      <formula>$C49</formula>
    </cfRule>
    <cfRule type="cellIs" dxfId="15722" priority="816" operator="greaterThan">
      <formula>$C49</formula>
    </cfRule>
    <cfRule type="cellIs" dxfId="15721" priority="817" operator="lessThan">
      <formula>$C49</formula>
    </cfRule>
  </conditionalFormatting>
  <conditionalFormatting sqref="D50:E50">
    <cfRule type="expression" dxfId="15720" priority="814">
      <formula>AND($A50&lt;&gt;"",MOD(ROW(),2))</formula>
    </cfRule>
  </conditionalFormatting>
  <conditionalFormatting sqref="D50">
    <cfRule type="cellIs" dxfId="15719" priority="811" operator="equal">
      <formula>$C50</formula>
    </cfRule>
    <cfRule type="cellIs" dxfId="15718" priority="812" operator="greaterThan">
      <formula>$C50</formula>
    </cfRule>
    <cfRule type="cellIs" dxfId="15717" priority="813" operator="lessThan">
      <formula>$C50</formula>
    </cfRule>
  </conditionalFormatting>
  <conditionalFormatting sqref="C30">
    <cfRule type="expression" dxfId="15716" priority="810">
      <formula>AND($A30&lt;&gt;"",MOD(ROW(),2))</formula>
    </cfRule>
  </conditionalFormatting>
  <conditionalFormatting sqref="C30">
    <cfRule type="cellIs" dxfId="15715" priority="807" operator="equal">
      <formula>$C30</formula>
    </cfRule>
    <cfRule type="cellIs" dxfId="15714" priority="808" operator="greaterThan">
      <formula>$C30</formula>
    </cfRule>
    <cfRule type="cellIs" dxfId="15713" priority="809" operator="lessThan">
      <formula>$C30</formula>
    </cfRule>
  </conditionalFormatting>
  <conditionalFormatting sqref="C31">
    <cfRule type="expression" dxfId="15712" priority="806">
      <formula>AND($A31&lt;&gt;"",MOD(ROW(),2))</formula>
    </cfRule>
  </conditionalFormatting>
  <conditionalFormatting sqref="C31">
    <cfRule type="cellIs" dxfId="15711" priority="803" operator="equal">
      <formula>$C31</formula>
    </cfRule>
    <cfRule type="cellIs" dxfId="15710" priority="804" operator="greaterThan">
      <formula>$C31</formula>
    </cfRule>
    <cfRule type="cellIs" dxfId="15709" priority="805" operator="lessThan">
      <formula>$C31</formula>
    </cfRule>
  </conditionalFormatting>
  <conditionalFormatting sqref="C32">
    <cfRule type="expression" dxfId="15708" priority="802">
      <formula>AND($A32&lt;&gt;"",MOD(ROW(),2))</formula>
    </cfRule>
  </conditionalFormatting>
  <conditionalFormatting sqref="C32">
    <cfRule type="cellIs" dxfId="15707" priority="799" operator="equal">
      <formula>$C32</formula>
    </cfRule>
    <cfRule type="cellIs" dxfId="15706" priority="800" operator="greaterThan">
      <formula>$C32</formula>
    </cfRule>
    <cfRule type="cellIs" dxfId="15705" priority="801" operator="lessThan">
      <formula>$C32</formula>
    </cfRule>
  </conditionalFormatting>
  <conditionalFormatting sqref="C33">
    <cfRule type="expression" dxfId="15704" priority="798">
      <formula>AND($A33&lt;&gt;"",MOD(ROW(),2))</formula>
    </cfRule>
  </conditionalFormatting>
  <conditionalFormatting sqref="C33">
    <cfRule type="cellIs" dxfId="15703" priority="795" operator="equal">
      <formula>$C33</formula>
    </cfRule>
    <cfRule type="cellIs" dxfId="15702" priority="796" operator="greaterThan">
      <formula>$C33</formula>
    </cfRule>
    <cfRule type="cellIs" dxfId="15701" priority="797" operator="lessThan">
      <formula>$C33</formula>
    </cfRule>
  </conditionalFormatting>
  <conditionalFormatting sqref="C34">
    <cfRule type="expression" dxfId="15700" priority="794">
      <formula>AND($A34&lt;&gt;"",MOD(ROW(),2))</formula>
    </cfRule>
  </conditionalFormatting>
  <conditionalFormatting sqref="C34">
    <cfRule type="cellIs" dxfId="15699" priority="791" operator="equal">
      <formula>$C34</formula>
    </cfRule>
    <cfRule type="cellIs" dxfId="15698" priority="792" operator="greaterThan">
      <formula>$C34</formula>
    </cfRule>
    <cfRule type="cellIs" dxfId="15697" priority="793" operator="lessThan">
      <formula>$C34</formula>
    </cfRule>
  </conditionalFormatting>
  <conditionalFormatting sqref="C35">
    <cfRule type="expression" dxfId="15696" priority="790">
      <formula>AND($A35&lt;&gt;"",MOD(ROW(),2))</formula>
    </cfRule>
  </conditionalFormatting>
  <conditionalFormatting sqref="C35">
    <cfRule type="cellIs" dxfId="15695" priority="787" operator="equal">
      <formula>$C35</formula>
    </cfRule>
    <cfRule type="cellIs" dxfId="15694" priority="788" operator="greaterThan">
      <formula>$C35</formula>
    </cfRule>
    <cfRule type="cellIs" dxfId="15693" priority="789" operator="lessThan">
      <formula>$C35</formula>
    </cfRule>
  </conditionalFormatting>
  <conditionalFormatting sqref="C36">
    <cfRule type="expression" dxfId="15692" priority="786">
      <formula>AND($A36&lt;&gt;"",MOD(ROW(),2))</formula>
    </cfRule>
  </conditionalFormatting>
  <conditionalFormatting sqref="C36">
    <cfRule type="cellIs" dxfId="15691" priority="783" operator="equal">
      <formula>$C36</formula>
    </cfRule>
    <cfRule type="cellIs" dxfId="15690" priority="784" operator="greaterThan">
      <formula>$C36</formula>
    </cfRule>
    <cfRule type="cellIs" dxfId="15689" priority="785" operator="lessThan">
      <formula>$C36</formula>
    </cfRule>
  </conditionalFormatting>
  <conditionalFormatting sqref="C37">
    <cfRule type="expression" dxfId="15688" priority="782">
      <formula>AND($A37&lt;&gt;"",MOD(ROW(),2))</formula>
    </cfRule>
  </conditionalFormatting>
  <conditionalFormatting sqref="C37">
    <cfRule type="cellIs" dxfId="15687" priority="779" operator="equal">
      <formula>$C37</formula>
    </cfRule>
    <cfRule type="cellIs" dxfId="15686" priority="780" operator="greaterThan">
      <formula>$C37</formula>
    </cfRule>
    <cfRule type="cellIs" dxfId="15685" priority="781" operator="lessThan">
      <formula>$C37</formula>
    </cfRule>
  </conditionalFormatting>
  <conditionalFormatting sqref="C38">
    <cfRule type="expression" dxfId="15684" priority="778">
      <formula>AND($A38&lt;&gt;"",MOD(ROW(),2))</formula>
    </cfRule>
  </conditionalFormatting>
  <conditionalFormatting sqref="C38">
    <cfRule type="cellIs" dxfId="15683" priority="775" operator="equal">
      <formula>$C38</formula>
    </cfRule>
    <cfRule type="cellIs" dxfId="15682" priority="776" operator="greaterThan">
      <formula>$C38</formula>
    </cfRule>
    <cfRule type="cellIs" dxfId="15681" priority="777" operator="lessThan">
      <formula>$C38</formula>
    </cfRule>
  </conditionalFormatting>
  <conditionalFormatting sqref="C39">
    <cfRule type="expression" dxfId="15680" priority="774">
      <formula>AND($A39&lt;&gt;"",MOD(ROW(),2))</formula>
    </cfRule>
  </conditionalFormatting>
  <conditionalFormatting sqref="C39">
    <cfRule type="cellIs" dxfId="15679" priority="771" operator="equal">
      <formula>$C39</formula>
    </cfRule>
    <cfRule type="cellIs" dxfId="15678" priority="772" operator="greaterThan">
      <formula>$C39</formula>
    </cfRule>
    <cfRule type="cellIs" dxfId="15677" priority="773" operator="lessThan">
      <formula>$C39</formula>
    </cfRule>
  </conditionalFormatting>
  <conditionalFormatting sqref="C40">
    <cfRule type="expression" dxfId="15676" priority="770">
      <formula>AND($A40&lt;&gt;"",MOD(ROW(),2))</formula>
    </cfRule>
  </conditionalFormatting>
  <conditionalFormatting sqref="C40">
    <cfRule type="cellIs" dxfId="15675" priority="767" operator="equal">
      <formula>$C40</formula>
    </cfRule>
    <cfRule type="cellIs" dxfId="15674" priority="768" operator="greaterThan">
      <formula>$C40</formula>
    </cfRule>
    <cfRule type="cellIs" dxfId="15673" priority="769" operator="lessThan">
      <formula>$C40</formula>
    </cfRule>
  </conditionalFormatting>
  <conditionalFormatting sqref="C41">
    <cfRule type="expression" dxfId="15672" priority="766">
      <formula>AND($A41&lt;&gt;"",MOD(ROW(),2))</formula>
    </cfRule>
  </conditionalFormatting>
  <conditionalFormatting sqref="C41">
    <cfRule type="cellIs" dxfId="15671" priority="763" operator="equal">
      <formula>$C41</formula>
    </cfRule>
    <cfRule type="cellIs" dxfId="15670" priority="764" operator="greaterThan">
      <formula>$C41</formula>
    </cfRule>
    <cfRule type="cellIs" dxfId="15669" priority="765" operator="lessThan">
      <formula>$C41</formula>
    </cfRule>
  </conditionalFormatting>
  <conditionalFormatting sqref="D30:E30">
    <cfRule type="expression" dxfId="15668" priority="762">
      <formula>AND($A30&lt;&gt;"",MOD(ROW(),2))</formula>
    </cfRule>
  </conditionalFormatting>
  <conditionalFormatting sqref="D30">
    <cfRule type="cellIs" dxfId="15667" priority="759" operator="equal">
      <formula>$C30</formula>
    </cfRule>
    <cfRule type="cellIs" dxfId="15666" priority="760" operator="greaterThan">
      <formula>$C30</formula>
    </cfRule>
    <cfRule type="cellIs" dxfId="15665" priority="761" operator="lessThan">
      <formula>$C30</formula>
    </cfRule>
  </conditionalFormatting>
  <conditionalFormatting sqref="D31:E31">
    <cfRule type="expression" dxfId="15664" priority="758">
      <formula>AND($A31&lt;&gt;"",MOD(ROW(),2))</formula>
    </cfRule>
  </conditionalFormatting>
  <conditionalFormatting sqref="D31">
    <cfRule type="cellIs" dxfId="15663" priority="755" operator="equal">
      <formula>$C31</formula>
    </cfRule>
    <cfRule type="cellIs" dxfId="15662" priority="756" operator="greaterThan">
      <formula>$C31</formula>
    </cfRule>
    <cfRule type="cellIs" dxfId="15661" priority="757" operator="lessThan">
      <formula>$C31</formula>
    </cfRule>
  </conditionalFormatting>
  <conditionalFormatting sqref="D32:E32">
    <cfRule type="expression" dxfId="15660" priority="754">
      <formula>AND($A32&lt;&gt;"",MOD(ROW(),2))</formula>
    </cfRule>
  </conditionalFormatting>
  <conditionalFormatting sqref="D32">
    <cfRule type="cellIs" dxfId="15659" priority="751" operator="equal">
      <formula>$C32</formula>
    </cfRule>
    <cfRule type="cellIs" dxfId="15658" priority="752" operator="greaterThan">
      <formula>$C32</formula>
    </cfRule>
    <cfRule type="cellIs" dxfId="15657" priority="753" operator="lessThan">
      <formula>$C32</formula>
    </cfRule>
  </conditionalFormatting>
  <conditionalFormatting sqref="D33:E33">
    <cfRule type="expression" dxfId="15656" priority="750">
      <formula>AND($A33&lt;&gt;"",MOD(ROW(),2))</formula>
    </cfRule>
  </conditionalFormatting>
  <conditionalFormatting sqref="D33">
    <cfRule type="cellIs" dxfId="15655" priority="747" operator="equal">
      <formula>$C33</formula>
    </cfRule>
    <cfRule type="cellIs" dxfId="15654" priority="748" operator="greaterThan">
      <formula>$C33</formula>
    </cfRule>
    <cfRule type="cellIs" dxfId="15653" priority="749" operator="lessThan">
      <formula>$C33</formula>
    </cfRule>
  </conditionalFormatting>
  <conditionalFormatting sqref="D34:E34">
    <cfRule type="expression" dxfId="15652" priority="746">
      <formula>AND($A34&lt;&gt;"",MOD(ROW(),2))</formula>
    </cfRule>
  </conditionalFormatting>
  <conditionalFormatting sqref="D34">
    <cfRule type="cellIs" dxfId="15651" priority="743" operator="equal">
      <formula>$C34</formula>
    </cfRule>
    <cfRule type="cellIs" dxfId="15650" priority="744" operator="greaterThan">
      <formula>$C34</formula>
    </cfRule>
    <cfRule type="cellIs" dxfId="15649" priority="745" operator="lessThan">
      <formula>$C34</formula>
    </cfRule>
  </conditionalFormatting>
  <conditionalFormatting sqref="D35:E35">
    <cfRule type="expression" dxfId="15648" priority="742">
      <formula>AND($A35&lt;&gt;"",MOD(ROW(),2))</formula>
    </cfRule>
  </conditionalFormatting>
  <conditionalFormatting sqref="D35">
    <cfRule type="cellIs" dxfId="15647" priority="739" operator="equal">
      <formula>$C35</formula>
    </cfRule>
    <cfRule type="cellIs" dxfId="15646" priority="740" operator="greaterThan">
      <formula>$C35</formula>
    </cfRule>
    <cfRule type="cellIs" dxfId="15645" priority="741" operator="lessThan">
      <formula>$C35</formula>
    </cfRule>
  </conditionalFormatting>
  <conditionalFormatting sqref="D36:E36">
    <cfRule type="expression" dxfId="15644" priority="738">
      <formula>AND($A36&lt;&gt;"",MOD(ROW(),2))</formula>
    </cfRule>
  </conditionalFormatting>
  <conditionalFormatting sqref="D36">
    <cfRule type="cellIs" dxfId="15643" priority="735" operator="equal">
      <formula>$C36</formula>
    </cfRule>
    <cfRule type="cellIs" dxfId="15642" priority="736" operator="greaterThan">
      <formula>$C36</formula>
    </cfRule>
    <cfRule type="cellIs" dxfId="15641" priority="737" operator="lessThan">
      <formula>$C36</formula>
    </cfRule>
  </conditionalFormatting>
  <conditionalFormatting sqref="D37:E37">
    <cfRule type="expression" dxfId="15640" priority="734">
      <formula>AND($A37&lt;&gt;"",MOD(ROW(),2))</formula>
    </cfRule>
  </conditionalFormatting>
  <conditionalFormatting sqref="D37">
    <cfRule type="cellIs" dxfId="15639" priority="731" operator="equal">
      <formula>$C37</formula>
    </cfRule>
    <cfRule type="cellIs" dxfId="15638" priority="732" operator="greaterThan">
      <formula>$C37</formula>
    </cfRule>
    <cfRule type="cellIs" dxfId="15637" priority="733" operator="lessThan">
      <formula>$C37</formula>
    </cfRule>
  </conditionalFormatting>
  <conditionalFormatting sqref="D38:E38">
    <cfRule type="expression" dxfId="15636" priority="730">
      <formula>AND($A38&lt;&gt;"",MOD(ROW(),2))</formula>
    </cfRule>
  </conditionalFormatting>
  <conditionalFormatting sqref="D38">
    <cfRule type="cellIs" dxfId="15635" priority="727" operator="equal">
      <formula>$C38</formula>
    </cfRule>
    <cfRule type="cellIs" dxfId="15634" priority="728" operator="greaterThan">
      <formula>$C38</formula>
    </cfRule>
    <cfRule type="cellIs" dxfId="15633" priority="729" operator="lessThan">
      <formula>$C38</formula>
    </cfRule>
  </conditionalFormatting>
  <conditionalFormatting sqref="D39:E39">
    <cfRule type="expression" dxfId="15632" priority="726">
      <formula>AND($A39&lt;&gt;"",MOD(ROW(),2))</formula>
    </cfRule>
  </conditionalFormatting>
  <conditionalFormatting sqref="D39">
    <cfRule type="cellIs" dxfId="15631" priority="723" operator="equal">
      <formula>$C39</formula>
    </cfRule>
    <cfRule type="cellIs" dxfId="15630" priority="724" operator="greaterThan">
      <formula>$C39</formula>
    </cfRule>
    <cfRule type="cellIs" dxfId="15629" priority="725" operator="lessThan">
      <formula>$C39</formula>
    </cfRule>
  </conditionalFormatting>
  <conditionalFormatting sqref="D40:E40">
    <cfRule type="expression" dxfId="15628" priority="722">
      <formula>AND($A40&lt;&gt;"",MOD(ROW(),2))</formula>
    </cfRule>
  </conditionalFormatting>
  <conditionalFormatting sqref="D40">
    <cfRule type="cellIs" dxfId="15627" priority="719" operator="equal">
      <formula>$C40</formula>
    </cfRule>
    <cfRule type="cellIs" dxfId="15626" priority="720" operator="greaterThan">
      <formula>$C40</formula>
    </cfRule>
    <cfRule type="cellIs" dxfId="15625" priority="721" operator="lessThan">
      <formula>$C40</formula>
    </cfRule>
  </conditionalFormatting>
  <conditionalFormatting sqref="D41:E41">
    <cfRule type="expression" dxfId="15624" priority="718">
      <formula>AND($A41&lt;&gt;"",MOD(ROW(),2))</formula>
    </cfRule>
  </conditionalFormatting>
  <conditionalFormatting sqref="D41">
    <cfRule type="cellIs" dxfId="15623" priority="715" operator="equal">
      <formula>$C41</formula>
    </cfRule>
    <cfRule type="cellIs" dxfId="15622" priority="716" operator="greaterThan">
      <formula>$C41</formula>
    </cfRule>
    <cfRule type="cellIs" dxfId="15621" priority="717" operator="lessThan">
      <formula>$C41</formula>
    </cfRule>
  </conditionalFormatting>
  <conditionalFormatting sqref="D42:E42">
    <cfRule type="expression" dxfId="15620" priority="714">
      <formula>AND($A42&lt;&gt;"",MOD(ROW(),2))</formula>
    </cfRule>
  </conditionalFormatting>
  <conditionalFormatting sqref="D42">
    <cfRule type="cellIs" dxfId="15619" priority="711" operator="equal">
      <formula>$C42</formula>
    </cfRule>
    <cfRule type="cellIs" dxfId="15618" priority="712" operator="greaterThan">
      <formula>$C42</formula>
    </cfRule>
    <cfRule type="cellIs" dxfId="15617" priority="713" operator="lessThan">
      <formula>$C42</formula>
    </cfRule>
  </conditionalFormatting>
  <conditionalFormatting sqref="D43:E43">
    <cfRule type="expression" dxfId="15616" priority="710">
      <formula>AND($A43&lt;&gt;"",MOD(ROW(),2))</formula>
    </cfRule>
  </conditionalFormatting>
  <conditionalFormatting sqref="D43">
    <cfRule type="cellIs" dxfId="15615" priority="707" operator="equal">
      <formula>$C43</formula>
    </cfRule>
    <cfRule type="cellIs" dxfId="15614" priority="708" operator="greaterThan">
      <formula>$C43</formula>
    </cfRule>
    <cfRule type="cellIs" dxfId="15613" priority="709" operator="lessThan">
      <formula>$C43</formula>
    </cfRule>
  </conditionalFormatting>
  <conditionalFormatting sqref="D44:E44">
    <cfRule type="expression" dxfId="15612" priority="706">
      <formula>AND($A44&lt;&gt;"",MOD(ROW(),2))</formula>
    </cfRule>
  </conditionalFormatting>
  <conditionalFormatting sqref="D44">
    <cfRule type="cellIs" dxfId="15611" priority="703" operator="equal">
      <formula>$C44</formula>
    </cfRule>
    <cfRule type="cellIs" dxfId="15610" priority="704" operator="greaterThan">
      <formula>$C44</formula>
    </cfRule>
    <cfRule type="cellIs" dxfId="15609" priority="705" operator="lessThan">
      <formula>$C44</formula>
    </cfRule>
  </conditionalFormatting>
  <conditionalFormatting sqref="D45:E45">
    <cfRule type="expression" dxfId="15608" priority="702">
      <formula>AND($A45&lt;&gt;"",MOD(ROW(),2))</formula>
    </cfRule>
  </conditionalFormatting>
  <conditionalFormatting sqref="D45">
    <cfRule type="cellIs" dxfId="15607" priority="699" operator="equal">
      <formula>$C45</formula>
    </cfRule>
    <cfRule type="cellIs" dxfId="15606" priority="700" operator="greaterThan">
      <formula>$C45</formula>
    </cfRule>
    <cfRule type="cellIs" dxfId="15605" priority="701" operator="lessThan">
      <formula>$C45</formula>
    </cfRule>
  </conditionalFormatting>
  <conditionalFormatting sqref="D46:E46">
    <cfRule type="expression" dxfId="15604" priority="698">
      <formula>AND($A46&lt;&gt;"",MOD(ROW(),2))</formula>
    </cfRule>
  </conditionalFormatting>
  <conditionalFormatting sqref="D46">
    <cfRule type="cellIs" dxfId="15603" priority="695" operator="equal">
      <formula>$C46</formula>
    </cfRule>
    <cfRule type="cellIs" dxfId="15602" priority="696" operator="greaterThan">
      <formula>$C46</formula>
    </cfRule>
    <cfRule type="cellIs" dxfId="15601" priority="697" operator="lessThan">
      <formula>$C46</formula>
    </cfRule>
  </conditionalFormatting>
  <conditionalFormatting sqref="D47:E47">
    <cfRule type="expression" dxfId="15600" priority="694">
      <formula>AND($A47&lt;&gt;"",MOD(ROW(),2))</formula>
    </cfRule>
  </conditionalFormatting>
  <conditionalFormatting sqref="D47">
    <cfRule type="cellIs" dxfId="15599" priority="691" operator="equal">
      <formula>$C47</formula>
    </cfRule>
    <cfRule type="cellIs" dxfId="15598" priority="692" operator="greaterThan">
      <formula>$C47</formula>
    </cfRule>
    <cfRule type="cellIs" dxfId="15597" priority="693" operator="lessThan">
      <formula>$C47</formula>
    </cfRule>
  </conditionalFormatting>
  <conditionalFormatting sqref="D48:E48">
    <cfRule type="expression" dxfId="15596" priority="690">
      <formula>AND($A48&lt;&gt;"",MOD(ROW(),2))</formula>
    </cfRule>
  </conditionalFormatting>
  <conditionalFormatting sqref="D48">
    <cfRule type="cellIs" dxfId="15595" priority="687" operator="equal">
      <formula>$C48</formula>
    </cfRule>
    <cfRule type="cellIs" dxfId="15594" priority="688" operator="greaterThan">
      <formula>$C48</formula>
    </cfRule>
    <cfRule type="cellIs" dxfId="15593" priority="689" operator="lessThan">
      <formula>$C48</formula>
    </cfRule>
  </conditionalFormatting>
  <conditionalFormatting sqref="D49:E49">
    <cfRule type="expression" dxfId="15592" priority="686">
      <formula>AND($A49&lt;&gt;"",MOD(ROW(),2))</formula>
    </cfRule>
  </conditionalFormatting>
  <conditionalFormatting sqref="D49">
    <cfRule type="cellIs" dxfId="15591" priority="683" operator="equal">
      <formula>$C49</formula>
    </cfRule>
    <cfRule type="cellIs" dxfId="15590" priority="684" operator="greaterThan">
      <formula>$C49</formula>
    </cfRule>
    <cfRule type="cellIs" dxfId="15589" priority="685" operator="lessThan">
      <formula>$C49</formula>
    </cfRule>
  </conditionalFormatting>
  <conditionalFormatting sqref="C29">
    <cfRule type="expression" dxfId="15588" priority="682">
      <formula>AND($A29&lt;&gt;"",MOD(ROW(),2))</formula>
    </cfRule>
  </conditionalFormatting>
  <conditionalFormatting sqref="C29">
    <cfRule type="cellIs" dxfId="15587" priority="679" operator="equal">
      <formula>$C29</formula>
    </cfRule>
    <cfRule type="cellIs" dxfId="15586" priority="680" operator="greaterThan">
      <formula>$C29</formula>
    </cfRule>
    <cfRule type="cellIs" dxfId="15585" priority="681" operator="lessThan">
      <formula>$C29</formula>
    </cfRule>
  </conditionalFormatting>
  <conditionalFormatting sqref="C30">
    <cfRule type="expression" dxfId="15584" priority="678">
      <formula>AND($A30&lt;&gt;"",MOD(ROW(),2))</formula>
    </cfRule>
  </conditionalFormatting>
  <conditionalFormatting sqref="C30">
    <cfRule type="cellIs" dxfId="15583" priority="675" operator="equal">
      <formula>$C30</formula>
    </cfRule>
    <cfRule type="cellIs" dxfId="15582" priority="676" operator="greaterThan">
      <formula>$C30</formula>
    </cfRule>
    <cfRule type="cellIs" dxfId="15581" priority="677" operator="lessThan">
      <formula>$C30</formula>
    </cfRule>
  </conditionalFormatting>
  <conditionalFormatting sqref="C31">
    <cfRule type="expression" dxfId="15580" priority="674">
      <formula>AND($A31&lt;&gt;"",MOD(ROW(),2))</formula>
    </cfRule>
  </conditionalFormatting>
  <conditionalFormatting sqref="C31">
    <cfRule type="cellIs" dxfId="15579" priority="671" operator="equal">
      <formula>$C31</formula>
    </cfRule>
    <cfRule type="cellIs" dxfId="15578" priority="672" operator="greaterThan">
      <formula>$C31</formula>
    </cfRule>
    <cfRule type="cellIs" dxfId="15577" priority="673" operator="lessThan">
      <formula>$C31</formula>
    </cfRule>
  </conditionalFormatting>
  <conditionalFormatting sqref="C32">
    <cfRule type="expression" dxfId="15576" priority="670">
      <formula>AND($A32&lt;&gt;"",MOD(ROW(),2))</formula>
    </cfRule>
  </conditionalFormatting>
  <conditionalFormatting sqref="C32">
    <cfRule type="cellIs" dxfId="15575" priority="667" operator="equal">
      <formula>$C32</formula>
    </cfRule>
    <cfRule type="cellIs" dxfId="15574" priority="668" operator="greaterThan">
      <formula>$C32</formula>
    </cfRule>
    <cfRule type="cellIs" dxfId="15573" priority="669" operator="lessThan">
      <formula>$C32</formula>
    </cfRule>
  </conditionalFormatting>
  <conditionalFormatting sqref="C33">
    <cfRule type="expression" dxfId="15572" priority="666">
      <formula>AND($A33&lt;&gt;"",MOD(ROW(),2))</formula>
    </cfRule>
  </conditionalFormatting>
  <conditionalFormatting sqref="C33">
    <cfRule type="cellIs" dxfId="15571" priority="663" operator="equal">
      <formula>$C33</formula>
    </cfRule>
    <cfRule type="cellIs" dxfId="15570" priority="664" operator="greaterThan">
      <formula>$C33</formula>
    </cfRule>
    <cfRule type="cellIs" dxfId="15569" priority="665" operator="lessThan">
      <formula>$C33</formula>
    </cfRule>
  </conditionalFormatting>
  <conditionalFormatting sqref="C34">
    <cfRule type="expression" dxfId="15568" priority="662">
      <formula>AND($A34&lt;&gt;"",MOD(ROW(),2))</formula>
    </cfRule>
  </conditionalFormatting>
  <conditionalFormatting sqref="C34">
    <cfRule type="cellIs" dxfId="15567" priority="659" operator="equal">
      <formula>$C34</formula>
    </cfRule>
    <cfRule type="cellIs" dxfId="15566" priority="660" operator="greaterThan">
      <formula>$C34</formula>
    </cfRule>
    <cfRule type="cellIs" dxfId="15565" priority="661" operator="lessThan">
      <formula>$C34</formula>
    </cfRule>
  </conditionalFormatting>
  <conditionalFormatting sqref="C35">
    <cfRule type="expression" dxfId="15564" priority="658">
      <formula>AND($A35&lt;&gt;"",MOD(ROW(),2))</formula>
    </cfRule>
  </conditionalFormatting>
  <conditionalFormatting sqref="C35">
    <cfRule type="cellIs" dxfId="15563" priority="655" operator="equal">
      <formula>$C35</formula>
    </cfRule>
    <cfRule type="cellIs" dxfId="15562" priority="656" operator="greaterThan">
      <formula>$C35</formula>
    </cfRule>
    <cfRule type="cellIs" dxfId="15561" priority="657" operator="lessThan">
      <formula>$C35</formula>
    </cfRule>
  </conditionalFormatting>
  <conditionalFormatting sqref="C36">
    <cfRule type="expression" dxfId="15560" priority="654">
      <formula>AND($A36&lt;&gt;"",MOD(ROW(),2))</formula>
    </cfRule>
  </conditionalFormatting>
  <conditionalFormatting sqref="C36">
    <cfRule type="cellIs" dxfId="15559" priority="651" operator="equal">
      <formula>$C36</formula>
    </cfRule>
    <cfRule type="cellIs" dxfId="15558" priority="652" operator="greaterThan">
      <formula>$C36</formula>
    </cfRule>
    <cfRule type="cellIs" dxfId="15557" priority="653" operator="lessThan">
      <formula>$C36</formula>
    </cfRule>
  </conditionalFormatting>
  <conditionalFormatting sqref="C37">
    <cfRule type="expression" dxfId="15556" priority="650">
      <formula>AND($A37&lt;&gt;"",MOD(ROW(),2))</formula>
    </cfRule>
  </conditionalFormatting>
  <conditionalFormatting sqref="C37">
    <cfRule type="cellIs" dxfId="15555" priority="647" operator="equal">
      <formula>$C37</formula>
    </cfRule>
    <cfRule type="cellIs" dxfId="15554" priority="648" operator="greaterThan">
      <formula>$C37</formula>
    </cfRule>
    <cfRule type="cellIs" dxfId="15553" priority="649" operator="lessThan">
      <formula>$C37</formula>
    </cfRule>
  </conditionalFormatting>
  <conditionalFormatting sqref="C38">
    <cfRule type="expression" dxfId="15552" priority="646">
      <formula>AND($A38&lt;&gt;"",MOD(ROW(),2))</formula>
    </cfRule>
  </conditionalFormatting>
  <conditionalFormatting sqref="C38">
    <cfRule type="cellIs" dxfId="15551" priority="643" operator="equal">
      <formula>$C38</formula>
    </cfRule>
    <cfRule type="cellIs" dxfId="15550" priority="644" operator="greaterThan">
      <formula>$C38</formula>
    </cfRule>
    <cfRule type="cellIs" dxfId="15549" priority="645" operator="lessThan">
      <formula>$C38</formula>
    </cfRule>
  </conditionalFormatting>
  <conditionalFormatting sqref="C39">
    <cfRule type="expression" dxfId="15548" priority="642">
      <formula>AND($A39&lt;&gt;"",MOD(ROW(),2))</formula>
    </cfRule>
  </conditionalFormatting>
  <conditionalFormatting sqref="C39">
    <cfRule type="cellIs" dxfId="15547" priority="639" operator="equal">
      <formula>$C39</formula>
    </cfRule>
    <cfRule type="cellIs" dxfId="15546" priority="640" operator="greaterThan">
      <formula>$C39</formula>
    </cfRule>
    <cfRule type="cellIs" dxfId="15545" priority="641" operator="lessThan">
      <formula>$C39</formula>
    </cfRule>
  </conditionalFormatting>
  <conditionalFormatting sqref="C40">
    <cfRule type="expression" dxfId="15544" priority="638">
      <formula>AND($A40&lt;&gt;"",MOD(ROW(),2))</formula>
    </cfRule>
  </conditionalFormatting>
  <conditionalFormatting sqref="C40">
    <cfRule type="cellIs" dxfId="15543" priority="635" operator="equal">
      <formula>$C40</formula>
    </cfRule>
    <cfRule type="cellIs" dxfId="15542" priority="636" operator="greaterThan">
      <formula>$C40</formula>
    </cfRule>
    <cfRule type="cellIs" dxfId="15541" priority="637" operator="lessThan">
      <formula>$C40</formula>
    </cfRule>
  </conditionalFormatting>
  <conditionalFormatting sqref="D29:E29">
    <cfRule type="expression" dxfId="15540" priority="634">
      <formula>AND($A29&lt;&gt;"",MOD(ROW(),2))</formula>
    </cfRule>
  </conditionalFormatting>
  <conditionalFormatting sqref="D29">
    <cfRule type="cellIs" dxfId="15539" priority="631" operator="equal">
      <formula>$C29</formula>
    </cfRule>
    <cfRule type="cellIs" dxfId="15538" priority="632" operator="greaterThan">
      <formula>$C29</formula>
    </cfRule>
    <cfRule type="cellIs" dxfId="15537" priority="633" operator="lessThan">
      <formula>$C29</formula>
    </cfRule>
  </conditionalFormatting>
  <conditionalFormatting sqref="D30:E30">
    <cfRule type="expression" dxfId="15536" priority="630">
      <formula>AND($A30&lt;&gt;"",MOD(ROW(),2))</formula>
    </cfRule>
  </conditionalFormatting>
  <conditionalFormatting sqref="D30">
    <cfRule type="cellIs" dxfId="15535" priority="627" operator="equal">
      <formula>$C30</formula>
    </cfRule>
    <cfRule type="cellIs" dxfId="15534" priority="628" operator="greaterThan">
      <formula>$C30</formula>
    </cfRule>
    <cfRule type="cellIs" dxfId="15533" priority="629" operator="lessThan">
      <formula>$C30</formula>
    </cfRule>
  </conditionalFormatting>
  <conditionalFormatting sqref="D31:E31">
    <cfRule type="expression" dxfId="15532" priority="626">
      <formula>AND($A31&lt;&gt;"",MOD(ROW(),2))</formula>
    </cfRule>
  </conditionalFormatting>
  <conditionalFormatting sqref="D31">
    <cfRule type="cellIs" dxfId="15531" priority="623" operator="equal">
      <formula>$C31</formula>
    </cfRule>
    <cfRule type="cellIs" dxfId="15530" priority="624" operator="greaterThan">
      <formula>$C31</formula>
    </cfRule>
    <cfRule type="cellIs" dxfId="15529" priority="625" operator="lessThan">
      <formula>$C31</formula>
    </cfRule>
  </conditionalFormatting>
  <conditionalFormatting sqref="D32:E32">
    <cfRule type="expression" dxfId="15528" priority="622">
      <formula>AND($A32&lt;&gt;"",MOD(ROW(),2))</formula>
    </cfRule>
  </conditionalFormatting>
  <conditionalFormatting sqref="D32">
    <cfRule type="cellIs" dxfId="15527" priority="619" operator="equal">
      <formula>$C32</formula>
    </cfRule>
    <cfRule type="cellIs" dxfId="15526" priority="620" operator="greaterThan">
      <formula>$C32</formula>
    </cfRule>
    <cfRule type="cellIs" dxfId="15525" priority="621" operator="lessThan">
      <formula>$C32</formula>
    </cfRule>
  </conditionalFormatting>
  <conditionalFormatting sqref="D33:E33">
    <cfRule type="expression" dxfId="15524" priority="618">
      <formula>AND($A33&lt;&gt;"",MOD(ROW(),2))</formula>
    </cfRule>
  </conditionalFormatting>
  <conditionalFormatting sqref="D33">
    <cfRule type="cellIs" dxfId="15523" priority="615" operator="equal">
      <formula>$C33</formula>
    </cfRule>
    <cfRule type="cellIs" dxfId="15522" priority="616" operator="greaterThan">
      <formula>$C33</formula>
    </cfRule>
    <cfRule type="cellIs" dxfId="15521" priority="617" operator="lessThan">
      <formula>$C33</formula>
    </cfRule>
  </conditionalFormatting>
  <conditionalFormatting sqref="D34:E34">
    <cfRule type="expression" dxfId="15520" priority="614">
      <formula>AND($A34&lt;&gt;"",MOD(ROW(),2))</formula>
    </cfRule>
  </conditionalFormatting>
  <conditionalFormatting sqref="D34">
    <cfRule type="cellIs" dxfId="15519" priority="611" operator="equal">
      <formula>$C34</formula>
    </cfRule>
    <cfRule type="cellIs" dxfId="15518" priority="612" operator="greaterThan">
      <formula>$C34</formula>
    </cfRule>
    <cfRule type="cellIs" dxfId="15517" priority="613" operator="lessThan">
      <formula>$C34</formula>
    </cfRule>
  </conditionalFormatting>
  <conditionalFormatting sqref="D35:E35">
    <cfRule type="expression" dxfId="15516" priority="610">
      <formula>AND($A35&lt;&gt;"",MOD(ROW(),2))</formula>
    </cfRule>
  </conditionalFormatting>
  <conditionalFormatting sqref="D35">
    <cfRule type="cellIs" dxfId="15515" priority="607" operator="equal">
      <formula>$C35</formula>
    </cfRule>
    <cfRule type="cellIs" dxfId="15514" priority="608" operator="greaterThan">
      <formula>$C35</formula>
    </cfRule>
    <cfRule type="cellIs" dxfId="15513" priority="609" operator="lessThan">
      <formula>$C35</formula>
    </cfRule>
  </conditionalFormatting>
  <conditionalFormatting sqref="D36:E36">
    <cfRule type="expression" dxfId="15512" priority="606">
      <formula>AND($A36&lt;&gt;"",MOD(ROW(),2))</formula>
    </cfRule>
  </conditionalFormatting>
  <conditionalFormatting sqref="D36">
    <cfRule type="cellIs" dxfId="15511" priority="603" operator="equal">
      <formula>$C36</formula>
    </cfRule>
    <cfRule type="cellIs" dxfId="15510" priority="604" operator="greaterThan">
      <formula>$C36</formula>
    </cfRule>
    <cfRule type="cellIs" dxfId="15509" priority="605" operator="lessThan">
      <formula>$C36</formula>
    </cfRule>
  </conditionalFormatting>
  <conditionalFormatting sqref="D37:E37">
    <cfRule type="expression" dxfId="15508" priority="602">
      <formula>AND($A37&lt;&gt;"",MOD(ROW(),2))</formula>
    </cfRule>
  </conditionalFormatting>
  <conditionalFormatting sqref="D37">
    <cfRule type="cellIs" dxfId="15507" priority="599" operator="equal">
      <formula>$C37</formula>
    </cfRule>
    <cfRule type="cellIs" dxfId="15506" priority="600" operator="greaterThan">
      <formula>$C37</formula>
    </cfRule>
    <cfRule type="cellIs" dxfId="15505" priority="601" operator="lessThan">
      <formula>$C37</formula>
    </cfRule>
  </conditionalFormatting>
  <conditionalFormatting sqref="D38:E38">
    <cfRule type="expression" dxfId="15504" priority="598">
      <formula>AND($A38&lt;&gt;"",MOD(ROW(),2))</formula>
    </cfRule>
  </conditionalFormatting>
  <conditionalFormatting sqref="D38">
    <cfRule type="cellIs" dxfId="15503" priority="595" operator="equal">
      <formula>$C38</formula>
    </cfRule>
    <cfRule type="cellIs" dxfId="15502" priority="596" operator="greaterThan">
      <formula>$C38</formula>
    </cfRule>
    <cfRule type="cellIs" dxfId="15501" priority="597" operator="lessThan">
      <formula>$C38</formula>
    </cfRule>
  </conditionalFormatting>
  <conditionalFormatting sqref="D39:E39">
    <cfRule type="expression" dxfId="15500" priority="594">
      <formula>AND($A39&lt;&gt;"",MOD(ROW(),2))</formula>
    </cfRule>
  </conditionalFormatting>
  <conditionalFormatting sqref="D39">
    <cfRule type="cellIs" dxfId="15499" priority="591" operator="equal">
      <formula>$C39</formula>
    </cfRule>
    <cfRule type="cellIs" dxfId="15498" priority="592" operator="greaterThan">
      <formula>$C39</formula>
    </cfRule>
    <cfRule type="cellIs" dxfId="15497" priority="593" operator="lessThan">
      <formula>$C39</formula>
    </cfRule>
  </conditionalFormatting>
  <conditionalFormatting sqref="D40:E40">
    <cfRule type="expression" dxfId="15496" priority="590">
      <formula>AND($A40&lt;&gt;"",MOD(ROW(),2))</formula>
    </cfRule>
  </conditionalFormatting>
  <conditionalFormatting sqref="D40">
    <cfRule type="cellIs" dxfId="15495" priority="587" operator="equal">
      <formula>$C40</formula>
    </cfRule>
    <cfRule type="cellIs" dxfId="15494" priority="588" operator="greaterThan">
      <formula>$C40</formula>
    </cfRule>
    <cfRule type="cellIs" dxfId="15493" priority="589" operator="lessThan">
      <formula>$C40</formula>
    </cfRule>
  </conditionalFormatting>
  <conditionalFormatting sqref="D41:E41">
    <cfRule type="expression" dxfId="15492" priority="586">
      <formula>AND($A41&lt;&gt;"",MOD(ROW(),2))</formula>
    </cfRule>
  </conditionalFormatting>
  <conditionalFormatting sqref="D41">
    <cfRule type="cellIs" dxfId="15491" priority="583" operator="equal">
      <formula>$C41</formula>
    </cfRule>
    <cfRule type="cellIs" dxfId="15490" priority="584" operator="greaterThan">
      <formula>$C41</formula>
    </cfRule>
    <cfRule type="cellIs" dxfId="15489" priority="585" operator="lessThan">
      <formula>$C41</formula>
    </cfRule>
  </conditionalFormatting>
  <conditionalFormatting sqref="D42:E42">
    <cfRule type="expression" dxfId="15488" priority="582">
      <formula>AND($A42&lt;&gt;"",MOD(ROW(),2))</formula>
    </cfRule>
  </conditionalFormatting>
  <conditionalFormatting sqref="D42">
    <cfRule type="cellIs" dxfId="15487" priority="579" operator="equal">
      <formula>$C42</formula>
    </cfRule>
    <cfRule type="cellIs" dxfId="15486" priority="580" operator="greaterThan">
      <formula>$C42</formula>
    </cfRule>
    <cfRule type="cellIs" dxfId="15485" priority="581" operator="lessThan">
      <formula>$C42</formula>
    </cfRule>
  </conditionalFormatting>
  <conditionalFormatting sqref="D43:E43">
    <cfRule type="expression" dxfId="15484" priority="578">
      <formula>AND($A43&lt;&gt;"",MOD(ROW(),2))</formula>
    </cfRule>
  </conditionalFormatting>
  <conditionalFormatting sqref="D43">
    <cfRule type="cellIs" dxfId="15483" priority="575" operator="equal">
      <formula>$C43</formula>
    </cfRule>
    <cfRule type="cellIs" dxfId="15482" priority="576" operator="greaterThan">
      <formula>$C43</formula>
    </cfRule>
    <cfRule type="cellIs" dxfId="15481" priority="577" operator="lessThan">
      <formula>$C43</formula>
    </cfRule>
  </conditionalFormatting>
  <conditionalFormatting sqref="D44:E44">
    <cfRule type="expression" dxfId="15480" priority="574">
      <formula>AND($A44&lt;&gt;"",MOD(ROW(),2))</formula>
    </cfRule>
  </conditionalFormatting>
  <conditionalFormatting sqref="D44">
    <cfRule type="cellIs" dxfId="15479" priority="571" operator="equal">
      <formula>$C44</formula>
    </cfRule>
    <cfRule type="cellIs" dxfId="15478" priority="572" operator="greaterThan">
      <formula>$C44</formula>
    </cfRule>
    <cfRule type="cellIs" dxfId="15477" priority="573" operator="lessThan">
      <formula>$C44</formula>
    </cfRule>
  </conditionalFormatting>
  <conditionalFormatting sqref="D45:E45">
    <cfRule type="expression" dxfId="15476" priority="570">
      <formula>AND($A45&lt;&gt;"",MOD(ROW(),2))</formula>
    </cfRule>
  </conditionalFormatting>
  <conditionalFormatting sqref="D45">
    <cfRule type="cellIs" dxfId="15475" priority="567" operator="equal">
      <formula>$C45</formula>
    </cfRule>
    <cfRule type="cellIs" dxfId="15474" priority="568" operator="greaterThan">
      <formula>$C45</formula>
    </cfRule>
    <cfRule type="cellIs" dxfId="15473" priority="569" operator="lessThan">
      <formula>$C45</formula>
    </cfRule>
  </conditionalFormatting>
  <conditionalFormatting sqref="D46:E46">
    <cfRule type="expression" dxfId="15472" priority="566">
      <formula>AND($A46&lt;&gt;"",MOD(ROW(),2))</formula>
    </cfRule>
  </conditionalFormatting>
  <conditionalFormatting sqref="D46">
    <cfRule type="cellIs" dxfId="15471" priority="563" operator="equal">
      <formula>$C46</formula>
    </cfRule>
    <cfRule type="cellIs" dxfId="15470" priority="564" operator="greaterThan">
      <formula>$C46</formula>
    </cfRule>
    <cfRule type="cellIs" dxfId="15469" priority="565" operator="lessThan">
      <formula>$C46</formula>
    </cfRule>
  </conditionalFormatting>
  <conditionalFormatting sqref="D47:E47">
    <cfRule type="expression" dxfId="15468" priority="562">
      <formula>AND($A47&lt;&gt;"",MOD(ROW(),2))</formula>
    </cfRule>
  </conditionalFormatting>
  <conditionalFormatting sqref="D47">
    <cfRule type="cellIs" dxfId="15467" priority="559" operator="equal">
      <formula>$C47</formula>
    </cfRule>
    <cfRule type="cellIs" dxfId="15466" priority="560" operator="greaterThan">
      <formula>$C47</formula>
    </cfRule>
    <cfRule type="cellIs" dxfId="15465" priority="561" operator="lessThan">
      <formula>$C47</formula>
    </cfRule>
  </conditionalFormatting>
  <conditionalFormatting sqref="D48:E48">
    <cfRule type="expression" dxfId="15464" priority="558">
      <formula>AND($A48&lt;&gt;"",MOD(ROW(),2))</formula>
    </cfRule>
  </conditionalFormatting>
  <conditionalFormatting sqref="D48">
    <cfRule type="cellIs" dxfId="15463" priority="555" operator="equal">
      <formula>$C48</formula>
    </cfRule>
    <cfRule type="cellIs" dxfId="15462" priority="556" operator="greaterThan">
      <formula>$C48</formula>
    </cfRule>
    <cfRule type="cellIs" dxfId="15461" priority="557" operator="lessThan">
      <formula>$C48</formula>
    </cfRule>
  </conditionalFormatting>
  <conditionalFormatting sqref="D49:E49">
    <cfRule type="expression" dxfId="15460" priority="554">
      <formula>AND($A49&lt;&gt;"",MOD(ROW(),2))</formula>
    </cfRule>
  </conditionalFormatting>
  <conditionalFormatting sqref="D49">
    <cfRule type="cellIs" dxfId="15459" priority="551" operator="equal">
      <formula>$C49</formula>
    </cfRule>
    <cfRule type="cellIs" dxfId="15458" priority="552" operator="greaterThan">
      <formula>$C49</formula>
    </cfRule>
    <cfRule type="cellIs" dxfId="15457" priority="553" operator="lessThan">
      <formula>$C49</formula>
    </cfRule>
  </conditionalFormatting>
  <conditionalFormatting sqref="D50:E50">
    <cfRule type="expression" dxfId="15456" priority="550">
      <formula>AND($A50&lt;&gt;"",MOD(ROW(),2))</formula>
    </cfRule>
  </conditionalFormatting>
  <conditionalFormatting sqref="D50">
    <cfRule type="cellIs" dxfId="15455" priority="547" operator="equal">
      <formula>$C50</formula>
    </cfRule>
    <cfRule type="cellIs" dxfId="15454" priority="548" operator="greaterThan">
      <formula>$C50</formula>
    </cfRule>
    <cfRule type="cellIs" dxfId="15453" priority="549" operator="lessThan">
      <formula>$C50</formula>
    </cfRule>
  </conditionalFormatting>
  <conditionalFormatting sqref="D51:E51">
    <cfRule type="expression" dxfId="15452" priority="546">
      <formula>AND($A51&lt;&gt;"",MOD(ROW(),2))</formula>
    </cfRule>
  </conditionalFormatting>
  <conditionalFormatting sqref="D51">
    <cfRule type="cellIs" dxfId="15451" priority="543" operator="equal">
      <formula>$C51</formula>
    </cfRule>
    <cfRule type="cellIs" dxfId="15450" priority="544" operator="greaterThan">
      <formula>$C51</formula>
    </cfRule>
    <cfRule type="cellIs" dxfId="15449" priority="545" operator="lessThan">
      <formula>$C51</formula>
    </cfRule>
  </conditionalFormatting>
  <conditionalFormatting sqref="C30">
    <cfRule type="expression" dxfId="15448" priority="542">
      <formula>AND($A30&lt;&gt;"",MOD(ROW(),2))</formula>
    </cfRule>
  </conditionalFormatting>
  <conditionalFormatting sqref="C30">
    <cfRule type="cellIs" dxfId="15447" priority="539" operator="equal">
      <formula>$C30</formula>
    </cfRule>
    <cfRule type="cellIs" dxfId="15446" priority="540" operator="greaterThan">
      <formula>$C30</formula>
    </cfRule>
    <cfRule type="cellIs" dxfId="15445" priority="541" operator="lessThan">
      <formula>$C30</formula>
    </cfRule>
  </conditionalFormatting>
  <conditionalFormatting sqref="C31">
    <cfRule type="expression" dxfId="15444" priority="538">
      <formula>AND($A31&lt;&gt;"",MOD(ROW(),2))</formula>
    </cfRule>
  </conditionalFormatting>
  <conditionalFormatting sqref="C31">
    <cfRule type="cellIs" dxfId="15443" priority="535" operator="equal">
      <formula>$C31</formula>
    </cfRule>
    <cfRule type="cellIs" dxfId="15442" priority="536" operator="greaterThan">
      <formula>$C31</formula>
    </cfRule>
    <cfRule type="cellIs" dxfId="15441" priority="537" operator="lessThan">
      <formula>$C31</formula>
    </cfRule>
  </conditionalFormatting>
  <conditionalFormatting sqref="C32">
    <cfRule type="expression" dxfId="15440" priority="534">
      <formula>AND($A32&lt;&gt;"",MOD(ROW(),2))</formula>
    </cfRule>
  </conditionalFormatting>
  <conditionalFormatting sqref="C32">
    <cfRule type="cellIs" dxfId="15439" priority="531" operator="equal">
      <formula>$C32</formula>
    </cfRule>
    <cfRule type="cellIs" dxfId="15438" priority="532" operator="greaterThan">
      <formula>$C32</formula>
    </cfRule>
    <cfRule type="cellIs" dxfId="15437" priority="533" operator="lessThan">
      <formula>$C32</formula>
    </cfRule>
  </conditionalFormatting>
  <conditionalFormatting sqref="C33">
    <cfRule type="expression" dxfId="15436" priority="530">
      <formula>AND($A33&lt;&gt;"",MOD(ROW(),2))</formula>
    </cfRule>
  </conditionalFormatting>
  <conditionalFormatting sqref="C33">
    <cfRule type="cellIs" dxfId="15435" priority="527" operator="equal">
      <formula>$C33</formula>
    </cfRule>
    <cfRule type="cellIs" dxfId="15434" priority="528" operator="greaterThan">
      <formula>$C33</formula>
    </cfRule>
    <cfRule type="cellIs" dxfId="15433" priority="529" operator="lessThan">
      <formula>$C33</formula>
    </cfRule>
  </conditionalFormatting>
  <conditionalFormatting sqref="C34">
    <cfRule type="expression" dxfId="15432" priority="526">
      <formula>AND($A34&lt;&gt;"",MOD(ROW(),2))</formula>
    </cfRule>
  </conditionalFormatting>
  <conditionalFormatting sqref="C34">
    <cfRule type="cellIs" dxfId="15431" priority="523" operator="equal">
      <formula>$C34</formula>
    </cfRule>
    <cfRule type="cellIs" dxfId="15430" priority="524" operator="greaterThan">
      <formula>$C34</formula>
    </cfRule>
    <cfRule type="cellIs" dxfId="15429" priority="525" operator="lessThan">
      <formula>$C34</formula>
    </cfRule>
  </conditionalFormatting>
  <conditionalFormatting sqref="C35">
    <cfRule type="expression" dxfId="15428" priority="522">
      <formula>AND($A35&lt;&gt;"",MOD(ROW(),2))</formula>
    </cfRule>
  </conditionalFormatting>
  <conditionalFormatting sqref="C35">
    <cfRule type="cellIs" dxfId="15427" priority="519" operator="equal">
      <formula>$C35</formula>
    </cfRule>
    <cfRule type="cellIs" dxfId="15426" priority="520" operator="greaterThan">
      <formula>$C35</formula>
    </cfRule>
    <cfRule type="cellIs" dxfId="15425" priority="521" operator="lessThan">
      <formula>$C35</formula>
    </cfRule>
  </conditionalFormatting>
  <conditionalFormatting sqref="C36">
    <cfRule type="expression" dxfId="15424" priority="518">
      <formula>AND($A36&lt;&gt;"",MOD(ROW(),2))</formula>
    </cfRule>
  </conditionalFormatting>
  <conditionalFormatting sqref="C36">
    <cfRule type="cellIs" dxfId="15423" priority="515" operator="equal">
      <formula>$C36</formula>
    </cfRule>
    <cfRule type="cellIs" dxfId="15422" priority="516" operator="greaterThan">
      <formula>$C36</formula>
    </cfRule>
    <cfRule type="cellIs" dxfId="15421" priority="517" operator="lessThan">
      <formula>$C36</formula>
    </cfRule>
  </conditionalFormatting>
  <conditionalFormatting sqref="C37">
    <cfRule type="expression" dxfId="15420" priority="514">
      <formula>AND($A37&lt;&gt;"",MOD(ROW(),2))</formula>
    </cfRule>
  </conditionalFormatting>
  <conditionalFormatting sqref="C37">
    <cfRule type="cellIs" dxfId="15419" priority="511" operator="equal">
      <formula>$C37</formula>
    </cfRule>
    <cfRule type="cellIs" dxfId="15418" priority="512" operator="greaterThan">
      <formula>$C37</formula>
    </cfRule>
    <cfRule type="cellIs" dxfId="15417" priority="513" operator="lessThan">
      <formula>$C37</formula>
    </cfRule>
  </conditionalFormatting>
  <conditionalFormatting sqref="C38">
    <cfRule type="expression" dxfId="15416" priority="510">
      <formula>AND($A38&lt;&gt;"",MOD(ROW(),2))</formula>
    </cfRule>
  </conditionalFormatting>
  <conditionalFormatting sqref="C38">
    <cfRule type="cellIs" dxfId="15415" priority="507" operator="equal">
      <formula>$C38</formula>
    </cfRule>
    <cfRule type="cellIs" dxfId="15414" priority="508" operator="greaterThan">
      <formula>$C38</formula>
    </cfRule>
    <cfRule type="cellIs" dxfId="15413" priority="509" operator="lessThan">
      <formula>$C38</formula>
    </cfRule>
  </conditionalFormatting>
  <conditionalFormatting sqref="C39">
    <cfRule type="expression" dxfId="15412" priority="506">
      <formula>AND($A39&lt;&gt;"",MOD(ROW(),2))</formula>
    </cfRule>
  </conditionalFormatting>
  <conditionalFormatting sqref="C39">
    <cfRule type="cellIs" dxfId="15411" priority="503" operator="equal">
      <formula>$C39</formula>
    </cfRule>
    <cfRule type="cellIs" dxfId="15410" priority="504" operator="greaterThan">
      <formula>$C39</formula>
    </cfRule>
    <cfRule type="cellIs" dxfId="15409" priority="505" operator="lessThan">
      <formula>$C39</formula>
    </cfRule>
  </conditionalFormatting>
  <conditionalFormatting sqref="C40">
    <cfRule type="expression" dxfId="15408" priority="502">
      <formula>AND($A40&lt;&gt;"",MOD(ROW(),2))</formula>
    </cfRule>
  </conditionalFormatting>
  <conditionalFormatting sqref="C40">
    <cfRule type="cellIs" dxfId="15407" priority="499" operator="equal">
      <formula>$C40</formula>
    </cfRule>
    <cfRule type="cellIs" dxfId="15406" priority="500" operator="greaterThan">
      <formula>$C40</formula>
    </cfRule>
    <cfRule type="cellIs" dxfId="15405" priority="501" operator="lessThan">
      <formula>$C40</formula>
    </cfRule>
  </conditionalFormatting>
  <conditionalFormatting sqref="C41">
    <cfRule type="expression" dxfId="15404" priority="498">
      <formula>AND($A41&lt;&gt;"",MOD(ROW(),2))</formula>
    </cfRule>
  </conditionalFormatting>
  <conditionalFormatting sqref="C41">
    <cfRule type="cellIs" dxfId="15403" priority="495" operator="equal">
      <formula>$C41</formula>
    </cfRule>
    <cfRule type="cellIs" dxfId="15402" priority="496" operator="greaterThan">
      <formula>$C41</formula>
    </cfRule>
    <cfRule type="cellIs" dxfId="15401" priority="497" operator="lessThan">
      <formula>$C41</formula>
    </cfRule>
  </conditionalFormatting>
  <conditionalFormatting sqref="D30:E30">
    <cfRule type="expression" dxfId="15400" priority="494">
      <formula>AND($A30&lt;&gt;"",MOD(ROW(),2))</formula>
    </cfRule>
  </conditionalFormatting>
  <conditionalFormatting sqref="D30">
    <cfRule type="cellIs" dxfId="15399" priority="491" operator="equal">
      <formula>$C30</formula>
    </cfRule>
    <cfRule type="cellIs" dxfId="15398" priority="492" operator="greaterThan">
      <formula>$C30</formula>
    </cfRule>
    <cfRule type="cellIs" dxfId="15397" priority="493" operator="lessThan">
      <formula>$C30</formula>
    </cfRule>
  </conditionalFormatting>
  <conditionalFormatting sqref="D31:E31">
    <cfRule type="expression" dxfId="15396" priority="490">
      <formula>AND($A31&lt;&gt;"",MOD(ROW(),2))</formula>
    </cfRule>
  </conditionalFormatting>
  <conditionalFormatting sqref="D31">
    <cfRule type="cellIs" dxfId="15395" priority="487" operator="equal">
      <formula>$C31</formula>
    </cfRule>
    <cfRule type="cellIs" dxfId="15394" priority="488" operator="greaterThan">
      <formula>$C31</formula>
    </cfRule>
    <cfRule type="cellIs" dxfId="15393" priority="489" operator="lessThan">
      <formula>$C31</formula>
    </cfRule>
  </conditionalFormatting>
  <conditionalFormatting sqref="D32:E32">
    <cfRule type="expression" dxfId="15392" priority="486">
      <formula>AND($A32&lt;&gt;"",MOD(ROW(),2))</formula>
    </cfRule>
  </conditionalFormatting>
  <conditionalFormatting sqref="D32">
    <cfRule type="cellIs" dxfId="15391" priority="483" operator="equal">
      <formula>$C32</formula>
    </cfRule>
    <cfRule type="cellIs" dxfId="15390" priority="484" operator="greaterThan">
      <formula>$C32</formula>
    </cfRule>
    <cfRule type="cellIs" dxfId="15389" priority="485" operator="lessThan">
      <formula>$C32</formula>
    </cfRule>
  </conditionalFormatting>
  <conditionalFormatting sqref="D33:E33">
    <cfRule type="expression" dxfId="15388" priority="482">
      <formula>AND($A33&lt;&gt;"",MOD(ROW(),2))</formula>
    </cfRule>
  </conditionalFormatting>
  <conditionalFormatting sqref="D33">
    <cfRule type="cellIs" dxfId="15387" priority="479" operator="equal">
      <formula>$C33</formula>
    </cfRule>
    <cfRule type="cellIs" dxfId="15386" priority="480" operator="greaterThan">
      <formula>$C33</formula>
    </cfRule>
    <cfRule type="cellIs" dxfId="15385" priority="481" operator="lessThan">
      <formula>$C33</formula>
    </cfRule>
  </conditionalFormatting>
  <conditionalFormatting sqref="D34:E34">
    <cfRule type="expression" dxfId="15384" priority="478">
      <formula>AND($A34&lt;&gt;"",MOD(ROW(),2))</formula>
    </cfRule>
  </conditionalFormatting>
  <conditionalFormatting sqref="D34">
    <cfRule type="cellIs" dxfId="15383" priority="475" operator="equal">
      <formula>$C34</formula>
    </cfRule>
    <cfRule type="cellIs" dxfId="15382" priority="476" operator="greaterThan">
      <formula>$C34</formula>
    </cfRule>
    <cfRule type="cellIs" dxfId="15381" priority="477" operator="lessThan">
      <formula>$C34</formula>
    </cfRule>
  </conditionalFormatting>
  <conditionalFormatting sqref="D35:E35">
    <cfRule type="expression" dxfId="15380" priority="474">
      <formula>AND($A35&lt;&gt;"",MOD(ROW(),2))</formula>
    </cfRule>
  </conditionalFormatting>
  <conditionalFormatting sqref="D35">
    <cfRule type="cellIs" dxfId="15379" priority="471" operator="equal">
      <formula>$C35</formula>
    </cfRule>
    <cfRule type="cellIs" dxfId="15378" priority="472" operator="greaterThan">
      <formula>$C35</formula>
    </cfRule>
    <cfRule type="cellIs" dxfId="15377" priority="473" operator="lessThan">
      <formula>$C35</formula>
    </cfRule>
  </conditionalFormatting>
  <conditionalFormatting sqref="D36:E36">
    <cfRule type="expression" dxfId="15376" priority="470">
      <formula>AND($A36&lt;&gt;"",MOD(ROW(),2))</formula>
    </cfRule>
  </conditionalFormatting>
  <conditionalFormatting sqref="D36">
    <cfRule type="cellIs" dxfId="15375" priority="467" operator="equal">
      <formula>$C36</formula>
    </cfRule>
    <cfRule type="cellIs" dxfId="15374" priority="468" operator="greaterThan">
      <formula>$C36</formula>
    </cfRule>
    <cfRule type="cellIs" dxfId="15373" priority="469" operator="lessThan">
      <formula>$C36</formula>
    </cfRule>
  </conditionalFormatting>
  <conditionalFormatting sqref="D37:E37">
    <cfRule type="expression" dxfId="15372" priority="466">
      <formula>AND($A37&lt;&gt;"",MOD(ROW(),2))</formula>
    </cfRule>
  </conditionalFormatting>
  <conditionalFormatting sqref="D37">
    <cfRule type="cellIs" dxfId="15371" priority="463" operator="equal">
      <formula>$C37</formula>
    </cfRule>
    <cfRule type="cellIs" dxfId="15370" priority="464" operator="greaterThan">
      <formula>$C37</formula>
    </cfRule>
    <cfRule type="cellIs" dxfId="15369" priority="465" operator="lessThan">
      <formula>$C37</formula>
    </cfRule>
  </conditionalFormatting>
  <conditionalFormatting sqref="D38:E38">
    <cfRule type="expression" dxfId="15368" priority="462">
      <formula>AND($A38&lt;&gt;"",MOD(ROW(),2))</formula>
    </cfRule>
  </conditionalFormatting>
  <conditionalFormatting sqref="D38">
    <cfRule type="cellIs" dxfId="15367" priority="459" operator="equal">
      <formula>$C38</formula>
    </cfRule>
    <cfRule type="cellIs" dxfId="15366" priority="460" operator="greaterThan">
      <formula>$C38</formula>
    </cfRule>
    <cfRule type="cellIs" dxfId="15365" priority="461" operator="lessThan">
      <formula>$C38</formula>
    </cfRule>
  </conditionalFormatting>
  <conditionalFormatting sqref="D39:E39">
    <cfRule type="expression" dxfId="15364" priority="458">
      <formula>AND($A39&lt;&gt;"",MOD(ROW(),2))</formula>
    </cfRule>
  </conditionalFormatting>
  <conditionalFormatting sqref="D39">
    <cfRule type="cellIs" dxfId="15363" priority="455" operator="equal">
      <formula>$C39</formula>
    </cfRule>
    <cfRule type="cellIs" dxfId="15362" priority="456" operator="greaterThan">
      <formula>$C39</formula>
    </cfRule>
    <cfRule type="cellIs" dxfId="15361" priority="457" operator="lessThan">
      <formula>$C39</formula>
    </cfRule>
  </conditionalFormatting>
  <conditionalFormatting sqref="D40:E40">
    <cfRule type="expression" dxfId="15360" priority="454">
      <formula>AND($A40&lt;&gt;"",MOD(ROW(),2))</formula>
    </cfRule>
  </conditionalFormatting>
  <conditionalFormatting sqref="D40">
    <cfRule type="cellIs" dxfId="15359" priority="451" operator="equal">
      <formula>$C40</formula>
    </cfRule>
    <cfRule type="cellIs" dxfId="15358" priority="452" operator="greaterThan">
      <formula>$C40</formula>
    </cfRule>
    <cfRule type="cellIs" dxfId="15357" priority="453" operator="lessThan">
      <formula>$C40</formula>
    </cfRule>
  </conditionalFormatting>
  <conditionalFormatting sqref="D41:E41">
    <cfRule type="expression" dxfId="15356" priority="450">
      <formula>AND($A41&lt;&gt;"",MOD(ROW(),2))</formula>
    </cfRule>
  </conditionalFormatting>
  <conditionalFormatting sqref="D41">
    <cfRule type="cellIs" dxfId="15355" priority="447" operator="equal">
      <formula>$C41</formula>
    </cfRule>
    <cfRule type="cellIs" dxfId="15354" priority="448" operator="greaterThan">
      <formula>$C41</formula>
    </cfRule>
    <cfRule type="cellIs" dxfId="15353" priority="449" operator="lessThan">
      <formula>$C41</formula>
    </cfRule>
  </conditionalFormatting>
  <conditionalFormatting sqref="D42:E42">
    <cfRule type="expression" dxfId="15352" priority="446">
      <formula>AND($A42&lt;&gt;"",MOD(ROW(),2))</formula>
    </cfRule>
  </conditionalFormatting>
  <conditionalFormatting sqref="D42">
    <cfRule type="cellIs" dxfId="15351" priority="443" operator="equal">
      <formula>$C42</formula>
    </cfRule>
    <cfRule type="cellIs" dxfId="15350" priority="444" operator="greaterThan">
      <formula>$C42</formula>
    </cfRule>
    <cfRule type="cellIs" dxfId="15349" priority="445" operator="lessThan">
      <formula>$C42</formula>
    </cfRule>
  </conditionalFormatting>
  <conditionalFormatting sqref="D43:E43">
    <cfRule type="expression" dxfId="15348" priority="442">
      <formula>AND($A43&lt;&gt;"",MOD(ROW(),2))</formula>
    </cfRule>
  </conditionalFormatting>
  <conditionalFormatting sqref="D43">
    <cfRule type="cellIs" dxfId="15347" priority="439" operator="equal">
      <formula>$C43</formula>
    </cfRule>
    <cfRule type="cellIs" dxfId="15346" priority="440" operator="greaterThan">
      <formula>$C43</formula>
    </cfRule>
    <cfRule type="cellIs" dxfId="15345" priority="441" operator="lessThan">
      <formula>$C43</formula>
    </cfRule>
  </conditionalFormatting>
  <conditionalFormatting sqref="D44:E44">
    <cfRule type="expression" dxfId="15344" priority="438">
      <formula>AND($A44&lt;&gt;"",MOD(ROW(),2))</formula>
    </cfRule>
  </conditionalFormatting>
  <conditionalFormatting sqref="D44">
    <cfRule type="cellIs" dxfId="15343" priority="435" operator="equal">
      <formula>$C44</formula>
    </cfRule>
    <cfRule type="cellIs" dxfId="15342" priority="436" operator="greaterThan">
      <formula>$C44</formula>
    </cfRule>
    <cfRule type="cellIs" dxfId="15341" priority="437" operator="lessThan">
      <formula>$C44</formula>
    </cfRule>
  </conditionalFormatting>
  <conditionalFormatting sqref="D45:E45">
    <cfRule type="expression" dxfId="15340" priority="434">
      <formula>AND($A45&lt;&gt;"",MOD(ROW(),2))</formula>
    </cfRule>
  </conditionalFormatting>
  <conditionalFormatting sqref="D45">
    <cfRule type="cellIs" dxfId="15339" priority="431" operator="equal">
      <formula>$C45</formula>
    </cfRule>
    <cfRule type="cellIs" dxfId="15338" priority="432" operator="greaterThan">
      <formula>$C45</formula>
    </cfRule>
    <cfRule type="cellIs" dxfId="15337" priority="433" operator="lessThan">
      <formula>$C45</formula>
    </cfRule>
  </conditionalFormatting>
  <conditionalFormatting sqref="D46:E46">
    <cfRule type="expression" dxfId="15336" priority="430">
      <formula>AND($A46&lt;&gt;"",MOD(ROW(),2))</formula>
    </cfRule>
  </conditionalFormatting>
  <conditionalFormatting sqref="D46">
    <cfRule type="cellIs" dxfId="15335" priority="427" operator="equal">
      <formula>$C46</formula>
    </cfRule>
    <cfRule type="cellIs" dxfId="15334" priority="428" operator="greaterThan">
      <formula>$C46</formula>
    </cfRule>
    <cfRule type="cellIs" dxfId="15333" priority="429" operator="lessThan">
      <formula>$C46</formula>
    </cfRule>
  </conditionalFormatting>
  <conditionalFormatting sqref="D47:E47">
    <cfRule type="expression" dxfId="15332" priority="426">
      <formula>AND($A47&lt;&gt;"",MOD(ROW(),2))</formula>
    </cfRule>
  </conditionalFormatting>
  <conditionalFormatting sqref="D47">
    <cfRule type="cellIs" dxfId="15331" priority="423" operator="equal">
      <formula>$C47</formula>
    </cfRule>
    <cfRule type="cellIs" dxfId="15330" priority="424" operator="greaterThan">
      <formula>$C47</formula>
    </cfRule>
    <cfRule type="cellIs" dxfId="15329" priority="425" operator="lessThan">
      <formula>$C47</formula>
    </cfRule>
  </conditionalFormatting>
  <conditionalFormatting sqref="D48:E48">
    <cfRule type="expression" dxfId="15328" priority="422">
      <formula>AND($A48&lt;&gt;"",MOD(ROW(),2))</formula>
    </cfRule>
  </conditionalFormatting>
  <conditionalFormatting sqref="D48">
    <cfRule type="cellIs" dxfId="15327" priority="419" operator="equal">
      <formula>$C48</formula>
    </cfRule>
    <cfRule type="cellIs" dxfId="15326" priority="420" operator="greaterThan">
      <formula>$C48</formula>
    </cfRule>
    <cfRule type="cellIs" dxfId="15325" priority="421" operator="lessThan">
      <formula>$C48</formula>
    </cfRule>
  </conditionalFormatting>
  <conditionalFormatting sqref="D49:E49">
    <cfRule type="expression" dxfId="15324" priority="418">
      <formula>AND($A49&lt;&gt;"",MOD(ROW(),2))</formula>
    </cfRule>
  </conditionalFormatting>
  <conditionalFormatting sqref="D49">
    <cfRule type="cellIs" dxfId="15323" priority="415" operator="equal">
      <formula>$C49</formula>
    </cfRule>
    <cfRule type="cellIs" dxfId="15322" priority="416" operator="greaterThan">
      <formula>$C49</formula>
    </cfRule>
    <cfRule type="cellIs" dxfId="15321" priority="417" operator="lessThan">
      <formula>$C49</formula>
    </cfRule>
  </conditionalFormatting>
  <conditionalFormatting sqref="C30">
    <cfRule type="expression" dxfId="15320" priority="414">
      <formula>AND($A30&lt;&gt;"",MOD(ROW(),2))</formula>
    </cfRule>
  </conditionalFormatting>
  <conditionalFormatting sqref="C30">
    <cfRule type="cellIs" dxfId="15319" priority="411" operator="equal">
      <formula>$C30</formula>
    </cfRule>
    <cfRule type="cellIs" dxfId="15318" priority="412" operator="greaterThan">
      <formula>$C30</formula>
    </cfRule>
    <cfRule type="cellIs" dxfId="15317" priority="413" operator="lessThan">
      <formula>$C30</formula>
    </cfRule>
  </conditionalFormatting>
  <conditionalFormatting sqref="C31">
    <cfRule type="expression" dxfId="15316" priority="410">
      <formula>AND($A31&lt;&gt;"",MOD(ROW(),2))</formula>
    </cfRule>
  </conditionalFormatting>
  <conditionalFormatting sqref="C31">
    <cfRule type="cellIs" dxfId="15315" priority="407" operator="equal">
      <formula>$C31</formula>
    </cfRule>
    <cfRule type="cellIs" dxfId="15314" priority="408" operator="greaterThan">
      <formula>$C31</formula>
    </cfRule>
    <cfRule type="cellIs" dxfId="15313" priority="409" operator="lessThan">
      <formula>$C31</formula>
    </cfRule>
  </conditionalFormatting>
  <conditionalFormatting sqref="C32">
    <cfRule type="expression" dxfId="15312" priority="406">
      <formula>AND($A32&lt;&gt;"",MOD(ROW(),2))</formula>
    </cfRule>
  </conditionalFormatting>
  <conditionalFormatting sqref="C32">
    <cfRule type="cellIs" dxfId="15311" priority="403" operator="equal">
      <formula>$C32</formula>
    </cfRule>
    <cfRule type="cellIs" dxfId="15310" priority="404" operator="greaterThan">
      <formula>$C32</formula>
    </cfRule>
    <cfRule type="cellIs" dxfId="15309" priority="405" operator="lessThan">
      <formula>$C32</formula>
    </cfRule>
  </conditionalFormatting>
  <conditionalFormatting sqref="C33">
    <cfRule type="expression" dxfId="15308" priority="402">
      <formula>AND($A33&lt;&gt;"",MOD(ROW(),2))</formula>
    </cfRule>
  </conditionalFormatting>
  <conditionalFormatting sqref="C33">
    <cfRule type="cellIs" dxfId="15307" priority="399" operator="equal">
      <formula>$C33</formula>
    </cfRule>
    <cfRule type="cellIs" dxfId="15306" priority="400" operator="greaterThan">
      <formula>$C33</formula>
    </cfRule>
    <cfRule type="cellIs" dxfId="15305" priority="401" operator="lessThan">
      <formula>$C33</formula>
    </cfRule>
  </conditionalFormatting>
  <conditionalFormatting sqref="C34">
    <cfRule type="expression" dxfId="15304" priority="398">
      <formula>AND($A34&lt;&gt;"",MOD(ROW(),2))</formula>
    </cfRule>
  </conditionalFormatting>
  <conditionalFormatting sqref="C34">
    <cfRule type="cellIs" dxfId="15303" priority="395" operator="equal">
      <formula>$C34</formula>
    </cfRule>
    <cfRule type="cellIs" dxfId="15302" priority="396" operator="greaterThan">
      <formula>$C34</formula>
    </cfRule>
    <cfRule type="cellIs" dxfId="15301" priority="397" operator="lessThan">
      <formula>$C34</formula>
    </cfRule>
  </conditionalFormatting>
  <conditionalFormatting sqref="C35">
    <cfRule type="expression" dxfId="15300" priority="394">
      <formula>AND($A35&lt;&gt;"",MOD(ROW(),2))</formula>
    </cfRule>
  </conditionalFormatting>
  <conditionalFormatting sqref="C35">
    <cfRule type="cellIs" dxfId="15299" priority="391" operator="equal">
      <formula>$C35</formula>
    </cfRule>
    <cfRule type="cellIs" dxfId="15298" priority="392" operator="greaterThan">
      <formula>$C35</formula>
    </cfRule>
    <cfRule type="cellIs" dxfId="15297" priority="393" operator="lessThan">
      <formula>$C35</formula>
    </cfRule>
  </conditionalFormatting>
  <conditionalFormatting sqref="C36">
    <cfRule type="expression" dxfId="15296" priority="390">
      <formula>AND($A36&lt;&gt;"",MOD(ROW(),2))</formula>
    </cfRule>
  </conditionalFormatting>
  <conditionalFormatting sqref="C36">
    <cfRule type="cellIs" dxfId="15295" priority="387" operator="equal">
      <formula>$C36</formula>
    </cfRule>
    <cfRule type="cellIs" dxfId="15294" priority="388" operator="greaterThan">
      <formula>$C36</formula>
    </cfRule>
    <cfRule type="cellIs" dxfId="15293" priority="389" operator="lessThan">
      <formula>$C36</formula>
    </cfRule>
  </conditionalFormatting>
  <conditionalFormatting sqref="C37">
    <cfRule type="expression" dxfId="15292" priority="386">
      <formula>AND($A37&lt;&gt;"",MOD(ROW(),2))</formula>
    </cfRule>
  </conditionalFormatting>
  <conditionalFormatting sqref="C37">
    <cfRule type="cellIs" dxfId="15291" priority="383" operator="equal">
      <formula>$C37</formula>
    </cfRule>
    <cfRule type="cellIs" dxfId="15290" priority="384" operator="greaterThan">
      <formula>$C37</formula>
    </cfRule>
    <cfRule type="cellIs" dxfId="15289" priority="385" operator="lessThan">
      <formula>$C37</formula>
    </cfRule>
  </conditionalFormatting>
  <conditionalFormatting sqref="C38">
    <cfRule type="expression" dxfId="15288" priority="382">
      <formula>AND($A38&lt;&gt;"",MOD(ROW(),2))</formula>
    </cfRule>
  </conditionalFormatting>
  <conditionalFormatting sqref="C38">
    <cfRule type="cellIs" dxfId="15287" priority="379" operator="equal">
      <formula>$C38</formula>
    </cfRule>
    <cfRule type="cellIs" dxfId="15286" priority="380" operator="greaterThan">
      <formula>$C38</formula>
    </cfRule>
    <cfRule type="cellIs" dxfId="15285" priority="381" operator="lessThan">
      <formula>$C38</formula>
    </cfRule>
  </conditionalFormatting>
  <conditionalFormatting sqref="C39">
    <cfRule type="expression" dxfId="15284" priority="378">
      <formula>AND($A39&lt;&gt;"",MOD(ROW(),2))</formula>
    </cfRule>
  </conditionalFormatting>
  <conditionalFormatting sqref="C39">
    <cfRule type="cellIs" dxfId="15283" priority="375" operator="equal">
      <formula>$C39</formula>
    </cfRule>
    <cfRule type="cellIs" dxfId="15282" priority="376" operator="greaterThan">
      <formula>$C39</formula>
    </cfRule>
    <cfRule type="cellIs" dxfId="15281" priority="377" operator="lessThan">
      <formula>$C39</formula>
    </cfRule>
  </conditionalFormatting>
  <conditionalFormatting sqref="C40">
    <cfRule type="expression" dxfId="15280" priority="374">
      <formula>AND($A40&lt;&gt;"",MOD(ROW(),2))</formula>
    </cfRule>
  </conditionalFormatting>
  <conditionalFormatting sqref="C40">
    <cfRule type="cellIs" dxfId="15279" priority="371" operator="equal">
      <formula>$C40</formula>
    </cfRule>
    <cfRule type="cellIs" dxfId="15278" priority="372" operator="greaterThan">
      <formula>$C40</formula>
    </cfRule>
    <cfRule type="cellIs" dxfId="15277" priority="373" operator="lessThan">
      <formula>$C40</formula>
    </cfRule>
  </conditionalFormatting>
  <conditionalFormatting sqref="C41">
    <cfRule type="expression" dxfId="15276" priority="370">
      <formula>AND($A41&lt;&gt;"",MOD(ROW(),2))</formula>
    </cfRule>
  </conditionalFormatting>
  <conditionalFormatting sqref="C41">
    <cfRule type="cellIs" dxfId="15275" priority="367" operator="equal">
      <formula>$C41</formula>
    </cfRule>
    <cfRule type="cellIs" dxfId="15274" priority="368" operator="greaterThan">
      <formula>$C41</formula>
    </cfRule>
    <cfRule type="cellIs" dxfId="15273" priority="369" operator="lessThan">
      <formula>$C41</formula>
    </cfRule>
  </conditionalFormatting>
  <conditionalFormatting sqref="D30:E30">
    <cfRule type="expression" dxfId="15272" priority="366">
      <formula>AND($A30&lt;&gt;"",MOD(ROW(),2))</formula>
    </cfRule>
  </conditionalFormatting>
  <conditionalFormatting sqref="D30">
    <cfRule type="cellIs" dxfId="15271" priority="363" operator="equal">
      <formula>$C30</formula>
    </cfRule>
    <cfRule type="cellIs" dxfId="15270" priority="364" operator="greaterThan">
      <formula>$C30</formula>
    </cfRule>
    <cfRule type="cellIs" dxfId="15269" priority="365" operator="lessThan">
      <formula>$C30</formula>
    </cfRule>
  </conditionalFormatting>
  <conditionalFormatting sqref="D31:E31">
    <cfRule type="expression" dxfId="15268" priority="362">
      <formula>AND($A31&lt;&gt;"",MOD(ROW(),2))</formula>
    </cfRule>
  </conditionalFormatting>
  <conditionalFormatting sqref="D31">
    <cfRule type="cellIs" dxfId="15267" priority="359" operator="equal">
      <formula>$C31</formula>
    </cfRule>
    <cfRule type="cellIs" dxfId="15266" priority="360" operator="greaterThan">
      <formula>$C31</formula>
    </cfRule>
    <cfRule type="cellIs" dxfId="15265" priority="361" operator="lessThan">
      <formula>$C31</formula>
    </cfRule>
  </conditionalFormatting>
  <conditionalFormatting sqref="D32:E32">
    <cfRule type="expression" dxfId="15264" priority="358">
      <formula>AND($A32&lt;&gt;"",MOD(ROW(),2))</formula>
    </cfRule>
  </conditionalFormatting>
  <conditionalFormatting sqref="D32">
    <cfRule type="cellIs" dxfId="15263" priority="355" operator="equal">
      <formula>$C32</formula>
    </cfRule>
    <cfRule type="cellIs" dxfId="15262" priority="356" operator="greaterThan">
      <formula>$C32</formula>
    </cfRule>
    <cfRule type="cellIs" dxfId="15261" priority="357" operator="lessThan">
      <formula>$C32</formula>
    </cfRule>
  </conditionalFormatting>
  <conditionalFormatting sqref="D33:E33">
    <cfRule type="expression" dxfId="15260" priority="354">
      <formula>AND($A33&lt;&gt;"",MOD(ROW(),2))</formula>
    </cfRule>
  </conditionalFormatting>
  <conditionalFormatting sqref="D33">
    <cfRule type="cellIs" dxfId="15259" priority="351" operator="equal">
      <formula>$C33</formula>
    </cfRule>
    <cfRule type="cellIs" dxfId="15258" priority="352" operator="greaterThan">
      <formula>$C33</formula>
    </cfRule>
    <cfRule type="cellIs" dxfId="15257" priority="353" operator="lessThan">
      <formula>$C33</formula>
    </cfRule>
  </conditionalFormatting>
  <conditionalFormatting sqref="D34:E34">
    <cfRule type="expression" dxfId="15256" priority="350">
      <formula>AND($A34&lt;&gt;"",MOD(ROW(),2))</formula>
    </cfRule>
  </conditionalFormatting>
  <conditionalFormatting sqref="D34">
    <cfRule type="cellIs" dxfId="15255" priority="347" operator="equal">
      <formula>$C34</formula>
    </cfRule>
    <cfRule type="cellIs" dxfId="15254" priority="348" operator="greaterThan">
      <formula>$C34</formula>
    </cfRule>
    <cfRule type="cellIs" dxfId="15253" priority="349" operator="lessThan">
      <formula>$C34</formula>
    </cfRule>
  </conditionalFormatting>
  <conditionalFormatting sqref="D35:E35">
    <cfRule type="expression" dxfId="15252" priority="346">
      <formula>AND($A35&lt;&gt;"",MOD(ROW(),2))</formula>
    </cfRule>
  </conditionalFormatting>
  <conditionalFormatting sqref="D35">
    <cfRule type="cellIs" dxfId="15251" priority="343" operator="equal">
      <formula>$C35</formula>
    </cfRule>
    <cfRule type="cellIs" dxfId="15250" priority="344" operator="greaterThan">
      <formula>$C35</formula>
    </cfRule>
    <cfRule type="cellIs" dxfId="15249" priority="345" operator="lessThan">
      <formula>$C35</formula>
    </cfRule>
  </conditionalFormatting>
  <conditionalFormatting sqref="D36:E36">
    <cfRule type="expression" dxfId="15248" priority="342">
      <formula>AND($A36&lt;&gt;"",MOD(ROW(),2))</formula>
    </cfRule>
  </conditionalFormatting>
  <conditionalFormatting sqref="D36">
    <cfRule type="cellIs" dxfId="15247" priority="339" operator="equal">
      <formula>$C36</formula>
    </cfRule>
    <cfRule type="cellIs" dxfId="15246" priority="340" operator="greaterThan">
      <formula>$C36</formula>
    </cfRule>
    <cfRule type="cellIs" dxfId="15245" priority="341" operator="lessThan">
      <formula>$C36</formula>
    </cfRule>
  </conditionalFormatting>
  <conditionalFormatting sqref="D37:E37">
    <cfRule type="expression" dxfId="15244" priority="338">
      <formula>AND($A37&lt;&gt;"",MOD(ROW(),2))</formula>
    </cfRule>
  </conditionalFormatting>
  <conditionalFormatting sqref="D37">
    <cfRule type="cellIs" dxfId="15243" priority="335" operator="equal">
      <formula>$C37</formula>
    </cfRule>
    <cfRule type="cellIs" dxfId="15242" priority="336" operator="greaterThan">
      <formula>$C37</formula>
    </cfRule>
    <cfRule type="cellIs" dxfId="15241" priority="337" operator="lessThan">
      <formula>$C37</formula>
    </cfRule>
  </conditionalFormatting>
  <conditionalFormatting sqref="D38:E38">
    <cfRule type="expression" dxfId="15240" priority="334">
      <formula>AND($A38&lt;&gt;"",MOD(ROW(),2))</formula>
    </cfRule>
  </conditionalFormatting>
  <conditionalFormatting sqref="D38">
    <cfRule type="cellIs" dxfId="15239" priority="331" operator="equal">
      <formula>$C38</formula>
    </cfRule>
    <cfRule type="cellIs" dxfId="15238" priority="332" operator="greaterThan">
      <formula>$C38</formula>
    </cfRule>
    <cfRule type="cellIs" dxfId="15237" priority="333" operator="lessThan">
      <formula>$C38</formula>
    </cfRule>
  </conditionalFormatting>
  <conditionalFormatting sqref="D39:E39">
    <cfRule type="expression" dxfId="15236" priority="330">
      <formula>AND($A39&lt;&gt;"",MOD(ROW(),2))</formula>
    </cfRule>
  </conditionalFormatting>
  <conditionalFormatting sqref="D39">
    <cfRule type="cellIs" dxfId="15235" priority="327" operator="equal">
      <formula>$C39</formula>
    </cfRule>
    <cfRule type="cellIs" dxfId="15234" priority="328" operator="greaterThan">
      <formula>$C39</formula>
    </cfRule>
    <cfRule type="cellIs" dxfId="15233" priority="329" operator="lessThan">
      <formula>$C39</formula>
    </cfRule>
  </conditionalFormatting>
  <conditionalFormatting sqref="D40:E40">
    <cfRule type="expression" dxfId="15232" priority="326">
      <formula>AND($A40&lt;&gt;"",MOD(ROW(),2))</formula>
    </cfRule>
  </conditionalFormatting>
  <conditionalFormatting sqref="D40">
    <cfRule type="cellIs" dxfId="15231" priority="323" operator="equal">
      <formula>$C40</formula>
    </cfRule>
    <cfRule type="cellIs" dxfId="15230" priority="324" operator="greaterThan">
      <formula>$C40</formula>
    </cfRule>
    <cfRule type="cellIs" dxfId="15229" priority="325" operator="lessThan">
      <formula>$C40</formula>
    </cfRule>
  </conditionalFormatting>
  <conditionalFormatting sqref="D41:E41">
    <cfRule type="expression" dxfId="15228" priority="322">
      <formula>AND($A41&lt;&gt;"",MOD(ROW(),2))</formula>
    </cfRule>
  </conditionalFormatting>
  <conditionalFormatting sqref="D41">
    <cfRule type="cellIs" dxfId="15227" priority="319" operator="equal">
      <formula>$C41</formula>
    </cfRule>
    <cfRule type="cellIs" dxfId="15226" priority="320" operator="greaterThan">
      <formula>$C41</formula>
    </cfRule>
    <cfRule type="cellIs" dxfId="15225" priority="321" operator="lessThan">
      <formula>$C41</formula>
    </cfRule>
  </conditionalFormatting>
  <conditionalFormatting sqref="D42:E42">
    <cfRule type="expression" dxfId="15224" priority="318">
      <formula>AND($A42&lt;&gt;"",MOD(ROW(),2))</formula>
    </cfRule>
  </conditionalFormatting>
  <conditionalFormatting sqref="D42">
    <cfRule type="cellIs" dxfId="15223" priority="315" operator="equal">
      <formula>$C42</formula>
    </cfRule>
    <cfRule type="cellIs" dxfId="15222" priority="316" operator="greaterThan">
      <formula>$C42</formula>
    </cfRule>
    <cfRule type="cellIs" dxfId="15221" priority="317" operator="lessThan">
      <formula>$C42</formula>
    </cfRule>
  </conditionalFormatting>
  <conditionalFormatting sqref="D43:E43">
    <cfRule type="expression" dxfId="15220" priority="314">
      <formula>AND($A43&lt;&gt;"",MOD(ROW(),2))</formula>
    </cfRule>
  </conditionalFormatting>
  <conditionalFormatting sqref="D43">
    <cfRule type="cellIs" dxfId="15219" priority="311" operator="equal">
      <formula>$C43</formula>
    </cfRule>
    <cfRule type="cellIs" dxfId="15218" priority="312" operator="greaterThan">
      <formula>$C43</formula>
    </cfRule>
    <cfRule type="cellIs" dxfId="15217" priority="313" operator="lessThan">
      <formula>$C43</formula>
    </cfRule>
  </conditionalFormatting>
  <conditionalFormatting sqref="D44:E44">
    <cfRule type="expression" dxfId="15216" priority="310">
      <formula>AND($A44&lt;&gt;"",MOD(ROW(),2))</formula>
    </cfRule>
  </conditionalFormatting>
  <conditionalFormatting sqref="D44">
    <cfRule type="cellIs" dxfId="15215" priority="307" operator="equal">
      <formula>$C44</formula>
    </cfRule>
    <cfRule type="cellIs" dxfId="15214" priority="308" operator="greaterThan">
      <formula>$C44</formula>
    </cfRule>
    <cfRule type="cellIs" dxfId="15213" priority="309" operator="lessThan">
      <formula>$C44</formula>
    </cfRule>
  </conditionalFormatting>
  <conditionalFormatting sqref="D45:E45">
    <cfRule type="expression" dxfId="15212" priority="306">
      <formula>AND($A45&lt;&gt;"",MOD(ROW(),2))</formula>
    </cfRule>
  </conditionalFormatting>
  <conditionalFormatting sqref="D45">
    <cfRule type="cellIs" dxfId="15211" priority="303" operator="equal">
      <formula>$C45</formula>
    </cfRule>
    <cfRule type="cellIs" dxfId="15210" priority="304" operator="greaterThan">
      <formula>$C45</formula>
    </cfRule>
    <cfRule type="cellIs" dxfId="15209" priority="305" operator="lessThan">
      <formula>$C45</formula>
    </cfRule>
  </conditionalFormatting>
  <conditionalFormatting sqref="D46:E46">
    <cfRule type="expression" dxfId="15208" priority="302">
      <formula>AND($A46&lt;&gt;"",MOD(ROW(),2))</formula>
    </cfRule>
  </conditionalFormatting>
  <conditionalFormatting sqref="D46">
    <cfRule type="cellIs" dxfId="15207" priority="299" operator="equal">
      <formula>$C46</formula>
    </cfRule>
    <cfRule type="cellIs" dxfId="15206" priority="300" operator="greaterThan">
      <formula>$C46</formula>
    </cfRule>
    <cfRule type="cellIs" dxfId="15205" priority="301" operator="lessThan">
      <formula>$C46</formula>
    </cfRule>
  </conditionalFormatting>
  <conditionalFormatting sqref="D47:E47">
    <cfRule type="expression" dxfId="15204" priority="298">
      <formula>AND($A47&lt;&gt;"",MOD(ROW(),2))</formula>
    </cfRule>
  </conditionalFormatting>
  <conditionalFormatting sqref="D47">
    <cfRule type="cellIs" dxfId="15203" priority="295" operator="equal">
      <formula>$C47</formula>
    </cfRule>
    <cfRule type="cellIs" dxfId="15202" priority="296" operator="greaterThan">
      <formula>$C47</formula>
    </cfRule>
    <cfRule type="cellIs" dxfId="15201" priority="297" operator="lessThan">
      <formula>$C47</formula>
    </cfRule>
  </conditionalFormatting>
  <conditionalFormatting sqref="D48:E48">
    <cfRule type="expression" dxfId="15200" priority="294">
      <formula>AND($A48&lt;&gt;"",MOD(ROW(),2))</formula>
    </cfRule>
  </conditionalFormatting>
  <conditionalFormatting sqref="D48">
    <cfRule type="cellIs" dxfId="15199" priority="291" operator="equal">
      <formula>$C48</formula>
    </cfRule>
    <cfRule type="cellIs" dxfId="15198" priority="292" operator="greaterThan">
      <formula>$C48</formula>
    </cfRule>
    <cfRule type="cellIs" dxfId="15197" priority="293" operator="lessThan">
      <formula>$C48</formula>
    </cfRule>
  </conditionalFormatting>
  <conditionalFormatting sqref="D49:E49">
    <cfRule type="expression" dxfId="15196" priority="290">
      <formula>AND($A49&lt;&gt;"",MOD(ROW(),2))</formula>
    </cfRule>
  </conditionalFormatting>
  <conditionalFormatting sqref="D49">
    <cfRule type="cellIs" dxfId="15195" priority="287" operator="equal">
      <formula>$C49</formula>
    </cfRule>
    <cfRule type="cellIs" dxfId="15194" priority="288" operator="greaterThan">
      <formula>$C49</formula>
    </cfRule>
    <cfRule type="cellIs" dxfId="15193" priority="289" operator="lessThan">
      <formula>$C49</formula>
    </cfRule>
  </conditionalFormatting>
  <conditionalFormatting sqref="D50:E50">
    <cfRule type="expression" dxfId="15192" priority="286">
      <formula>AND($A50&lt;&gt;"",MOD(ROW(),2))</formula>
    </cfRule>
  </conditionalFormatting>
  <conditionalFormatting sqref="D50">
    <cfRule type="cellIs" dxfId="15191" priority="283" operator="equal">
      <formula>$C50</formula>
    </cfRule>
    <cfRule type="cellIs" dxfId="15190" priority="284" operator="greaterThan">
      <formula>$C50</formula>
    </cfRule>
    <cfRule type="cellIs" dxfId="15189" priority="285" operator="lessThan">
      <formula>$C50</formula>
    </cfRule>
  </conditionalFormatting>
  <conditionalFormatting sqref="D51:E51">
    <cfRule type="expression" dxfId="15188" priority="282">
      <formula>AND($A51&lt;&gt;"",MOD(ROW(),2))</formula>
    </cfRule>
  </conditionalFormatting>
  <conditionalFormatting sqref="D51">
    <cfRule type="cellIs" dxfId="15187" priority="279" operator="equal">
      <formula>$C51</formula>
    </cfRule>
    <cfRule type="cellIs" dxfId="15186" priority="280" operator="greaterThan">
      <formula>$C51</formula>
    </cfRule>
    <cfRule type="cellIs" dxfId="15185" priority="281" operator="lessThan">
      <formula>$C51</formula>
    </cfRule>
  </conditionalFormatting>
  <conditionalFormatting sqref="C31">
    <cfRule type="expression" dxfId="15184" priority="278">
      <formula>AND($A31&lt;&gt;"",MOD(ROW(),2))</formula>
    </cfRule>
  </conditionalFormatting>
  <conditionalFormatting sqref="C31">
    <cfRule type="cellIs" dxfId="15183" priority="275" operator="equal">
      <formula>$C31</formula>
    </cfRule>
    <cfRule type="cellIs" dxfId="15182" priority="276" operator="greaterThan">
      <formula>$C31</formula>
    </cfRule>
    <cfRule type="cellIs" dxfId="15181" priority="277" operator="lessThan">
      <formula>$C31</formula>
    </cfRule>
  </conditionalFormatting>
  <conditionalFormatting sqref="C32">
    <cfRule type="expression" dxfId="15180" priority="274">
      <formula>AND($A32&lt;&gt;"",MOD(ROW(),2))</formula>
    </cfRule>
  </conditionalFormatting>
  <conditionalFormatting sqref="C32">
    <cfRule type="cellIs" dxfId="15179" priority="271" operator="equal">
      <formula>$C32</formula>
    </cfRule>
    <cfRule type="cellIs" dxfId="15178" priority="272" operator="greaterThan">
      <formula>$C32</formula>
    </cfRule>
    <cfRule type="cellIs" dxfId="15177" priority="273" operator="lessThan">
      <formula>$C32</formula>
    </cfRule>
  </conditionalFormatting>
  <conditionalFormatting sqref="C33">
    <cfRule type="expression" dxfId="15176" priority="270">
      <formula>AND($A33&lt;&gt;"",MOD(ROW(),2))</formula>
    </cfRule>
  </conditionalFormatting>
  <conditionalFormatting sqref="C33">
    <cfRule type="cellIs" dxfId="15175" priority="267" operator="equal">
      <formula>$C33</formula>
    </cfRule>
    <cfRule type="cellIs" dxfId="15174" priority="268" operator="greaterThan">
      <formula>$C33</formula>
    </cfRule>
    <cfRule type="cellIs" dxfId="15173" priority="269" operator="lessThan">
      <formula>$C33</formula>
    </cfRule>
  </conditionalFormatting>
  <conditionalFormatting sqref="C34">
    <cfRule type="expression" dxfId="15172" priority="266">
      <formula>AND($A34&lt;&gt;"",MOD(ROW(),2))</formula>
    </cfRule>
  </conditionalFormatting>
  <conditionalFormatting sqref="C34">
    <cfRule type="cellIs" dxfId="15171" priority="263" operator="equal">
      <formula>$C34</formula>
    </cfRule>
    <cfRule type="cellIs" dxfId="15170" priority="264" operator="greaterThan">
      <formula>$C34</formula>
    </cfRule>
    <cfRule type="cellIs" dxfId="15169" priority="265" operator="lessThan">
      <formula>$C34</formula>
    </cfRule>
  </conditionalFormatting>
  <conditionalFormatting sqref="C35">
    <cfRule type="expression" dxfId="15168" priority="262">
      <formula>AND($A35&lt;&gt;"",MOD(ROW(),2))</formula>
    </cfRule>
  </conditionalFormatting>
  <conditionalFormatting sqref="C35">
    <cfRule type="cellIs" dxfId="15167" priority="259" operator="equal">
      <formula>$C35</formula>
    </cfRule>
    <cfRule type="cellIs" dxfId="15166" priority="260" operator="greaterThan">
      <formula>$C35</formula>
    </cfRule>
    <cfRule type="cellIs" dxfId="15165" priority="261" operator="lessThan">
      <formula>$C35</formula>
    </cfRule>
  </conditionalFormatting>
  <conditionalFormatting sqref="C36">
    <cfRule type="expression" dxfId="15164" priority="258">
      <formula>AND($A36&lt;&gt;"",MOD(ROW(),2))</formula>
    </cfRule>
  </conditionalFormatting>
  <conditionalFormatting sqref="C36">
    <cfRule type="cellIs" dxfId="15163" priority="255" operator="equal">
      <formula>$C36</formula>
    </cfRule>
    <cfRule type="cellIs" dxfId="15162" priority="256" operator="greaterThan">
      <formula>$C36</formula>
    </cfRule>
    <cfRule type="cellIs" dxfId="15161" priority="257" operator="lessThan">
      <formula>$C36</formula>
    </cfRule>
  </conditionalFormatting>
  <conditionalFormatting sqref="C37">
    <cfRule type="expression" dxfId="15160" priority="254">
      <formula>AND($A37&lt;&gt;"",MOD(ROW(),2))</formula>
    </cfRule>
  </conditionalFormatting>
  <conditionalFormatting sqref="C37">
    <cfRule type="cellIs" dxfId="15159" priority="251" operator="equal">
      <formula>$C37</formula>
    </cfRule>
    <cfRule type="cellIs" dxfId="15158" priority="252" operator="greaterThan">
      <formula>$C37</formula>
    </cfRule>
    <cfRule type="cellIs" dxfId="15157" priority="253" operator="lessThan">
      <formula>$C37</formula>
    </cfRule>
  </conditionalFormatting>
  <conditionalFormatting sqref="C38">
    <cfRule type="expression" dxfId="15156" priority="250">
      <formula>AND($A38&lt;&gt;"",MOD(ROW(),2))</formula>
    </cfRule>
  </conditionalFormatting>
  <conditionalFormatting sqref="C38">
    <cfRule type="cellIs" dxfId="15155" priority="247" operator="equal">
      <formula>$C38</formula>
    </cfRule>
    <cfRule type="cellIs" dxfId="15154" priority="248" operator="greaterThan">
      <formula>$C38</formula>
    </cfRule>
    <cfRule type="cellIs" dxfId="15153" priority="249" operator="lessThan">
      <formula>$C38</formula>
    </cfRule>
  </conditionalFormatting>
  <conditionalFormatting sqref="C39">
    <cfRule type="expression" dxfId="15152" priority="246">
      <formula>AND($A39&lt;&gt;"",MOD(ROW(),2))</formula>
    </cfRule>
  </conditionalFormatting>
  <conditionalFormatting sqref="C39">
    <cfRule type="cellIs" dxfId="15151" priority="243" operator="equal">
      <formula>$C39</formula>
    </cfRule>
    <cfRule type="cellIs" dxfId="15150" priority="244" operator="greaterThan">
      <formula>$C39</formula>
    </cfRule>
    <cfRule type="cellIs" dxfId="15149" priority="245" operator="lessThan">
      <formula>$C39</formula>
    </cfRule>
  </conditionalFormatting>
  <conditionalFormatting sqref="C40">
    <cfRule type="expression" dxfId="15148" priority="242">
      <formula>AND($A40&lt;&gt;"",MOD(ROW(),2))</formula>
    </cfRule>
  </conditionalFormatting>
  <conditionalFormatting sqref="C40">
    <cfRule type="cellIs" dxfId="15147" priority="239" operator="equal">
      <formula>$C40</formula>
    </cfRule>
    <cfRule type="cellIs" dxfId="15146" priority="240" operator="greaterThan">
      <formula>$C40</formula>
    </cfRule>
    <cfRule type="cellIs" dxfId="15145" priority="241" operator="lessThan">
      <formula>$C40</formula>
    </cfRule>
  </conditionalFormatting>
  <conditionalFormatting sqref="C41">
    <cfRule type="expression" dxfId="15144" priority="238">
      <formula>AND($A41&lt;&gt;"",MOD(ROW(),2))</formula>
    </cfRule>
  </conditionalFormatting>
  <conditionalFormatting sqref="C41">
    <cfRule type="cellIs" dxfId="15143" priority="235" operator="equal">
      <formula>$C41</formula>
    </cfRule>
    <cfRule type="cellIs" dxfId="15142" priority="236" operator="greaterThan">
      <formula>$C41</formula>
    </cfRule>
    <cfRule type="cellIs" dxfId="15141" priority="237" operator="lessThan">
      <formula>$C41</formula>
    </cfRule>
  </conditionalFormatting>
  <conditionalFormatting sqref="C42">
    <cfRule type="expression" dxfId="15140" priority="234">
      <formula>AND($A42&lt;&gt;"",MOD(ROW(),2))</formula>
    </cfRule>
  </conditionalFormatting>
  <conditionalFormatting sqref="C42">
    <cfRule type="cellIs" dxfId="15139" priority="231" operator="equal">
      <formula>$C42</formula>
    </cfRule>
    <cfRule type="cellIs" dxfId="15138" priority="232" operator="greaterThan">
      <formula>$C42</formula>
    </cfRule>
    <cfRule type="cellIs" dxfId="15137" priority="233" operator="lessThan">
      <formula>$C42</formula>
    </cfRule>
  </conditionalFormatting>
  <conditionalFormatting sqref="D31:E31">
    <cfRule type="expression" dxfId="15136" priority="230">
      <formula>AND($A31&lt;&gt;"",MOD(ROW(),2))</formula>
    </cfRule>
  </conditionalFormatting>
  <conditionalFormatting sqref="D31">
    <cfRule type="cellIs" dxfId="15135" priority="227" operator="equal">
      <formula>$C31</formula>
    </cfRule>
    <cfRule type="cellIs" dxfId="15134" priority="228" operator="greaterThan">
      <formula>$C31</formula>
    </cfRule>
    <cfRule type="cellIs" dxfId="15133" priority="229" operator="lessThan">
      <formula>$C31</formula>
    </cfRule>
  </conditionalFormatting>
  <conditionalFormatting sqref="D32:E32">
    <cfRule type="expression" dxfId="15132" priority="226">
      <formula>AND($A32&lt;&gt;"",MOD(ROW(),2))</formula>
    </cfRule>
  </conditionalFormatting>
  <conditionalFormatting sqref="D32">
    <cfRule type="cellIs" dxfId="15131" priority="223" operator="equal">
      <formula>$C32</formula>
    </cfRule>
    <cfRule type="cellIs" dxfId="15130" priority="224" operator="greaterThan">
      <formula>$C32</formula>
    </cfRule>
    <cfRule type="cellIs" dxfId="15129" priority="225" operator="lessThan">
      <formula>$C32</formula>
    </cfRule>
  </conditionalFormatting>
  <conditionalFormatting sqref="D33:E33">
    <cfRule type="expression" dxfId="15128" priority="222">
      <formula>AND($A33&lt;&gt;"",MOD(ROW(),2))</formula>
    </cfRule>
  </conditionalFormatting>
  <conditionalFormatting sqref="D33">
    <cfRule type="cellIs" dxfId="15127" priority="219" operator="equal">
      <formula>$C33</formula>
    </cfRule>
    <cfRule type="cellIs" dxfId="15126" priority="220" operator="greaterThan">
      <formula>$C33</formula>
    </cfRule>
    <cfRule type="cellIs" dxfId="15125" priority="221" operator="lessThan">
      <formula>$C33</formula>
    </cfRule>
  </conditionalFormatting>
  <conditionalFormatting sqref="D34:E34">
    <cfRule type="expression" dxfId="15124" priority="218">
      <formula>AND($A34&lt;&gt;"",MOD(ROW(),2))</formula>
    </cfRule>
  </conditionalFormatting>
  <conditionalFormatting sqref="D34">
    <cfRule type="cellIs" dxfId="15123" priority="215" operator="equal">
      <formula>$C34</formula>
    </cfRule>
    <cfRule type="cellIs" dxfId="15122" priority="216" operator="greaterThan">
      <formula>$C34</formula>
    </cfRule>
    <cfRule type="cellIs" dxfId="15121" priority="217" operator="lessThan">
      <formula>$C34</formula>
    </cfRule>
  </conditionalFormatting>
  <conditionalFormatting sqref="D35:E35">
    <cfRule type="expression" dxfId="15120" priority="214">
      <formula>AND($A35&lt;&gt;"",MOD(ROW(),2))</formula>
    </cfRule>
  </conditionalFormatting>
  <conditionalFormatting sqref="D35">
    <cfRule type="cellIs" dxfId="15119" priority="211" operator="equal">
      <formula>$C35</formula>
    </cfRule>
    <cfRule type="cellIs" dxfId="15118" priority="212" operator="greaterThan">
      <formula>$C35</formula>
    </cfRule>
    <cfRule type="cellIs" dxfId="15117" priority="213" operator="lessThan">
      <formula>$C35</formula>
    </cfRule>
  </conditionalFormatting>
  <conditionalFormatting sqref="D36:E36">
    <cfRule type="expression" dxfId="15116" priority="210">
      <formula>AND($A36&lt;&gt;"",MOD(ROW(),2))</formula>
    </cfRule>
  </conditionalFormatting>
  <conditionalFormatting sqref="D36">
    <cfRule type="cellIs" dxfId="15115" priority="207" operator="equal">
      <formula>$C36</formula>
    </cfRule>
    <cfRule type="cellIs" dxfId="15114" priority="208" operator="greaterThan">
      <formula>$C36</formula>
    </cfRule>
    <cfRule type="cellIs" dxfId="15113" priority="209" operator="lessThan">
      <formula>$C36</formula>
    </cfRule>
  </conditionalFormatting>
  <conditionalFormatting sqref="D37:E37">
    <cfRule type="expression" dxfId="15112" priority="206">
      <formula>AND($A37&lt;&gt;"",MOD(ROW(),2))</formula>
    </cfRule>
  </conditionalFormatting>
  <conditionalFormatting sqref="D37">
    <cfRule type="cellIs" dxfId="15111" priority="203" operator="equal">
      <formula>$C37</formula>
    </cfRule>
    <cfRule type="cellIs" dxfId="15110" priority="204" operator="greaterThan">
      <formula>$C37</formula>
    </cfRule>
    <cfRule type="cellIs" dxfId="15109" priority="205" operator="lessThan">
      <formula>$C37</formula>
    </cfRule>
  </conditionalFormatting>
  <conditionalFormatting sqref="D38:E38">
    <cfRule type="expression" dxfId="15108" priority="202">
      <formula>AND($A38&lt;&gt;"",MOD(ROW(),2))</formula>
    </cfRule>
  </conditionalFormatting>
  <conditionalFormatting sqref="D38">
    <cfRule type="cellIs" dxfId="15107" priority="199" operator="equal">
      <formula>$C38</formula>
    </cfRule>
    <cfRule type="cellIs" dxfId="15106" priority="200" operator="greaterThan">
      <formula>$C38</formula>
    </cfRule>
    <cfRule type="cellIs" dxfId="15105" priority="201" operator="lessThan">
      <formula>$C38</formula>
    </cfRule>
  </conditionalFormatting>
  <conditionalFormatting sqref="D39:E39">
    <cfRule type="expression" dxfId="15104" priority="198">
      <formula>AND($A39&lt;&gt;"",MOD(ROW(),2))</formula>
    </cfRule>
  </conditionalFormatting>
  <conditionalFormatting sqref="D39">
    <cfRule type="cellIs" dxfId="15103" priority="195" operator="equal">
      <formula>$C39</formula>
    </cfRule>
    <cfRule type="cellIs" dxfId="15102" priority="196" operator="greaterThan">
      <formula>$C39</formula>
    </cfRule>
    <cfRule type="cellIs" dxfId="15101" priority="197" operator="lessThan">
      <formula>$C39</formula>
    </cfRule>
  </conditionalFormatting>
  <conditionalFormatting sqref="D40:E40">
    <cfRule type="expression" dxfId="15100" priority="194">
      <formula>AND($A40&lt;&gt;"",MOD(ROW(),2))</formula>
    </cfRule>
  </conditionalFormatting>
  <conditionalFormatting sqref="D40">
    <cfRule type="cellIs" dxfId="15099" priority="191" operator="equal">
      <formula>$C40</formula>
    </cfRule>
    <cfRule type="cellIs" dxfId="15098" priority="192" operator="greaterThan">
      <formula>$C40</formula>
    </cfRule>
    <cfRule type="cellIs" dxfId="15097" priority="193" operator="lessThan">
      <formula>$C40</formula>
    </cfRule>
  </conditionalFormatting>
  <conditionalFormatting sqref="D41:E41">
    <cfRule type="expression" dxfId="15096" priority="190">
      <formula>AND($A41&lt;&gt;"",MOD(ROW(),2))</formula>
    </cfRule>
  </conditionalFormatting>
  <conditionalFormatting sqref="D41">
    <cfRule type="cellIs" dxfId="15095" priority="187" operator="equal">
      <formula>$C41</formula>
    </cfRule>
    <cfRule type="cellIs" dxfId="15094" priority="188" operator="greaterThan">
      <formula>$C41</formula>
    </cfRule>
    <cfRule type="cellIs" dxfId="15093" priority="189" operator="lessThan">
      <formula>$C41</formula>
    </cfRule>
  </conditionalFormatting>
  <conditionalFormatting sqref="D42:E42">
    <cfRule type="expression" dxfId="15092" priority="186">
      <formula>AND($A42&lt;&gt;"",MOD(ROW(),2))</formula>
    </cfRule>
  </conditionalFormatting>
  <conditionalFormatting sqref="D42">
    <cfRule type="cellIs" dxfId="15091" priority="183" operator="equal">
      <formula>$C42</formula>
    </cfRule>
    <cfRule type="cellIs" dxfId="15090" priority="184" operator="greaterThan">
      <formula>$C42</formula>
    </cfRule>
    <cfRule type="cellIs" dxfId="15089" priority="185" operator="lessThan">
      <formula>$C42</formula>
    </cfRule>
  </conditionalFormatting>
  <conditionalFormatting sqref="D43:E43">
    <cfRule type="expression" dxfId="15088" priority="182">
      <formula>AND($A43&lt;&gt;"",MOD(ROW(),2))</formula>
    </cfRule>
  </conditionalFormatting>
  <conditionalFormatting sqref="D43">
    <cfRule type="cellIs" dxfId="15087" priority="179" operator="equal">
      <formula>$C43</formula>
    </cfRule>
    <cfRule type="cellIs" dxfId="15086" priority="180" operator="greaterThan">
      <formula>$C43</formula>
    </cfRule>
    <cfRule type="cellIs" dxfId="15085" priority="181" operator="lessThan">
      <formula>$C43</formula>
    </cfRule>
  </conditionalFormatting>
  <conditionalFormatting sqref="D44:E44">
    <cfRule type="expression" dxfId="15084" priority="178">
      <formula>AND($A44&lt;&gt;"",MOD(ROW(),2))</formula>
    </cfRule>
  </conditionalFormatting>
  <conditionalFormatting sqref="D44">
    <cfRule type="cellIs" dxfId="15083" priority="175" operator="equal">
      <formula>$C44</formula>
    </cfRule>
    <cfRule type="cellIs" dxfId="15082" priority="176" operator="greaterThan">
      <formula>$C44</formula>
    </cfRule>
    <cfRule type="cellIs" dxfId="15081" priority="177" operator="lessThan">
      <formula>$C44</formula>
    </cfRule>
  </conditionalFormatting>
  <conditionalFormatting sqref="D45:E45">
    <cfRule type="expression" dxfId="15080" priority="174">
      <formula>AND($A45&lt;&gt;"",MOD(ROW(),2))</formula>
    </cfRule>
  </conditionalFormatting>
  <conditionalFormatting sqref="D45">
    <cfRule type="cellIs" dxfId="15079" priority="171" operator="equal">
      <formula>$C45</formula>
    </cfRule>
    <cfRule type="cellIs" dxfId="15078" priority="172" operator="greaterThan">
      <formula>$C45</formula>
    </cfRule>
    <cfRule type="cellIs" dxfId="15077" priority="173" operator="lessThan">
      <formula>$C45</formula>
    </cfRule>
  </conditionalFormatting>
  <conditionalFormatting sqref="D46:E46">
    <cfRule type="expression" dxfId="15076" priority="170">
      <formula>AND($A46&lt;&gt;"",MOD(ROW(),2))</formula>
    </cfRule>
  </conditionalFormatting>
  <conditionalFormatting sqref="D46">
    <cfRule type="cellIs" dxfId="15075" priority="167" operator="equal">
      <formula>$C46</formula>
    </cfRule>
    <cfRule type="cellIs" dxfId="15074" priority="168" operator="greaterThan">
      <formula>$C46</formula>
    </cfRule>
    <cfRule type="cellIs" dxfId="15073" priority="169" operator="lessThan">
      <formula>$C46</formula>
    </cfRule>
  </conditionalFormatting>
  <conditionalFormatting sqref="D47:E47">
    <cfRule type="expression" dxfId="15072" priority="166">
      <formula>AND($A47&lt;&gt;"",MOD(ROW(),2))</formula>
    </cfRule>
  </conditionalFormatting>
  <conditionalFormatting sqref="D47">
    <cfRule type="cellIs" dxfId="15071" priority="163" operator="equal">
      <formula>$C47</formula>
    </cfRule>
    <cfRule type="cellIs" dxfId="15070" priority="164" operator="greaterThan">
      <formula>$C47</formula>
    </cfRule>
    <cfRule type="cellIs" dxfId="15069" priority="165" operator="lessThan">
      <formula>$C47</formula>
    </cfRule>
  </conditionalFormatting>
  <conditionalFormatting sqref="D48:E48">
    <cfRule type="expression" dxfId="15068" priority="162">
      <formula>AND($A48&lt;&gt;"",MOD(ROW(),2))</formula>
    </cfRule>
  </conditionalFormatting>
  <conditionalFormatting sqref="D48">
    <cfRule type="cellIs" dxfId="15067" priority="159" operator="equal">
      <formula>$C48</formula>
    </cfRule>
    <cfRule type="cellIs" dxfId="15066" priority="160" operator="greaterThan">
      <formula>$C48</formula>
    </cfRule>
    <cfRule type="cellIs" dxfId="15065" priority="161" operator="lessThan">
      <formula>$C48</formula>
    </cfRule>
  </conditionalFormatting>
  <conditionalFormatting sqref="D49:E49">
    <cfRule type="expression" dxfId="15064" priority="158">
      <formula>AND($A49&lt;&gt;"",MOD(ROW(),2))</formula>
    </cfRule>
  </conditionalFormatting>
  <conditionalFormatting sqref="D49">
    <cfRule type="cellIs" dxfId="15063" priority="155" operator="equal">
      <formula>$C49</formula>
    </cfRule>
    <cfRule type="cellIs" dxfId="15062" priority="156" operator="greaterThan">
      <formula>$C49</formula>
    </cfRule>
    <cfRule type="cellIs" dxfId="15061" priority="157" operator="lessThan">
      <formula>$C49</formula>
    </cfRule>
  </conditionalFormatting>
  <conditionalFormatting sqref="D50:E50">
    <cfRule type="expression" dxfId="15060" priority="154">
      <formula>AND($A50&lt;&gt;"",MOD(ROW(),2))</formula>
    </cfRule>
  </conditionalFormatting>
  <conditionalFormatting sqref="D50">
    <cfRule type="cellIs" dxfId="15059" priority="151" operator="equal">
      <formula>$C50</formula>
    </cfRule>
    <cfRule type="cellIs" dxfId="15058" priority="152" operator="greaterThan">
      <formula>$C50</formula>
    </cfRule>
    <cfRule type="cellIs" dxfId="15057" priority="153" operator="lessThan">
      <formula>$C50</formula>
    </cfRule>
  </conditionalFormatting>
  <conditionalFormatting sqref="K26:M26">
    <cfRule type="expression" dxfId="15056" priority="2018">
      <formula>AND(#REF!&lt;&gt;"",MOD(ROW(),2))</formula>
    </cfRule>
  </conditionalFormatting>
  <conditionalFormatting sqref="K26">
    <cfRule type="cellIs" dxfId="15055" priority="2038" operator="equal">
      <formula>#REF!</formula>
    </cfRule>
    <cfRule type="cellIs" dxfId="15054" priority="2039" operator="greaterThan">
      <formula>#REF!</formula>
    </cfRule>
    <cfRule type="cellIs" dxfId="15053" priority="2040" operator="lessThan">
      <formula>#REF!</formula>
    </cfRule>
  </conditionalFormatting>
  <conditionalFormatting sqref="K25:M25">
    <cfRule type="expression" dxfId="15052" priority="147">
      <formula>AND(#REF!&lt;&gt;"",MOD(ROW(),2))</formula>
    </cfRule>
  </conditionalFormatting>
  <conditionalFormatting sqref="K25">
    <cfRule type="cellIs" dxfId="15051" priority="148" operator="equal">
      <formula>#REF!</formula>
    </cfRule>
    <cfRule type="cellIs" dxfId="15050" priority="149" operator="greaterThan">
      <formula>#REF!</formula>
    </cfRule>
    <cfRule type="cellIs" dxfId="15049" priority="150" operator="lessThan">
      <formula>#REF!</formula>
    </cfRule>
  </conditionalFormatting>
  <conditionalFormatting sqref="H58">
    <cfRule type="expression" dxfId="15048" priority="146">
      <formula>AND($A58&lt;&gt;"",MOD(ROW(),2))</formula>
    </cfRule>
  </conditionalFormatting>
  <conditionalFormatting sqref="H59">
    <cfRule type="expression" dxfId="15047" priority="145">
      <formula>AND($A59&lt;&gt;"",MOD(ROW(),2))</formula>
    </cfRule>
  </conditionalFormatting>
  <conditionalFormatting sqref="H60">
    <cfRule type="expression" dxfId="15046" priority="144">
      <formula>AND($A60&lt;&gt;"",MOD(ROW(),2))</formula>
    </cfRule>
  </conditionalFormatting>
  <conditionalFormatting sqref="H61">
    <cfRule type="expression" dxfId="15045" priority="143">
      <formula>AND($A61&lt;&gt;"",MOD(ROW(),2))</formula>
    </cfRule>
  </conditionalFormatting>
  <conditionalFormatting sqref="H62">
    <cfRule type="expression" dxfId="15044" priority="142">
      <formula>AND($A62&lt;&gt;"",MOD(ROW(),2))</formula>
    </cfRule>
  </conditionalFormatting>
  <conditionalFormatting sqref="H63">
    <cfRule type="expression" dxfId="15043" priority="141">
      <formula>AND($A63&lt;&gt;"",MOD(ROW(),2))</formula>
    </cfRule>
  </conditionalFormatting>
  <conditionalFormatting sqref="H64">
    <cfRule type="expression" dxfId="15042" priority="140">
      <formula>AND($A64&lt;&gt;"",MOD(ROW(),2))</formula>
    </cfRule>
  </conditionalFormatting>
  <conditionalFormatting sqref="H65">
    <cfRule type="expression" dxfId="15041" priority="139">
      <formula>AND($A65&lt;&gt;"",MOD(ROW(),2))</formula>
    </cfRule>
  </conditionalFormatting>
  <conditionalFormatting sqref="H66">
    <cfRule type="expression" dxfId="15040" priority="138">
      <formula>AND($A66&lt;&gt;"",MOD(ROW(),2))</formula>
    </cfRule>
  </conditionalFormatting>
  <conditionalFormatting sqref="H67">
    <cfRule type="expression" dxfId="15039" priority="137">
      <formula>AND($A67&lt;&gt;"",MOD(ROW(),2))</formula>
    </cfRule>
  </conditionalFormatting>
  <conditionalFormatting sqref="H68">
    <cfRule type="expression" dxfId="15038" priority="136">
      <formula>AND($A68&lt;&gt;"",MOD(ROW(),2))</formula>
    </cfRule>
  </conditionalFormatting>
  <conditionalFormatting sqref="H69">
    <cfRule type="expression" dxfId="15037" priority="135">
      <formula>AND($A69&lt;&gt;"",MOD(ROW(),2))</formula>
    </cfRule>
  </conditionalFormatting>
  <conditionalFormatting sqref="H70">
    <cfRule type="expression" dxfId="15036" priority="134">
      <formula>AND($A70&lt;&gt;"",MOD(ROW(),2))</formula>
    </cfRule>
  </conditionalFormatting>
  <conditionalFormatting sqref="H71">
    <cfRule type="expression" dxfId="15035" priority="133">
      <formula>AND($A71&lt;&gt;"",MOD(ROW(),2))</formula>
    </cfRule>
  </conditionalFormatting>
  <conditionalFormatting sqref="D58">
    <cfRule type="expression" dxfId="15034" priority="131">
      <formula>AND($A58&lt;&gt;"",MOD(ROW(),2))</formula>
    </cfRule>
  </conditionalFormatting>
  <conditionalFormatting sqref="D58">
    <cfRule type="cellIs" dxfId="15033" priority="128" operator="equal">
      <formula>$C58</formula>
    </cfRule>
    <cfRule type="cellIs" dxfId="15032" priority="129" operator="greaterThan">
      <formula>$C58</formula>
    </cfRule>
    <cfRule type="cellIs" dxfId="15031" priority="130" operator="lessThan">
      <formula>$C58</formula>
    </cfRule>
  </conditionalFormatting>
  <conditionalFormatting sqref="D59">
    <cfRule type="expression" dxfId="15030" priority="127">
      <formula>AND($A59&lt;&gt;"",MOD(ROW(),2))</formula>
    </cfRule>
  </conditionalFormatting>
  <conditionalFormatting sqref="D59">
    <cfRule type="cellIs" dxfId="15029" priority="124" operator="equal">
      <formula>$C59</formula>
    </cfRule>
    <cfRule type="cellIs" dxfId="15028" priority="125" operator="greaterThan">
      <formula>$C59</formula>
    </cfRule>
    <cfRule type="cellIs" dxfId="15027" priority="126" operator="lessThan">
      <formula>$C59</formula>
    </cfRule>
  </conditionalFormatting>
  <conditionalFormatting sqref="D60">
    <cfRule type="expression" dxfId="15026" priority="123">
      <formula>AND($A60&lt;&gt;"",MOD(ROW(),2))</formula>
    </cfRule>
  </conditionalFormatting>
  <conditionalFormatting sqref="D60">
    <cfRule type="cellIs" dxfId="15025" priority="120" operator="equal">
      <formula>$C60</formula>
    </cfRule>
    <cfRule type="cellIs" dxfId="15024" priority="121" operator="greaterThan">
      <formula>$C60</formula>
    </cfRule>
    <cfRule type="cellIs" dxfId="15023" priority="122" operator="lessThan">
      <formula>$C60</formula>
    </cfRule>
  </conditionalFormatting>
  <conditionalFormatting sqref="D61">
    <cfRule type="expression" dxfId="15022" priority="119">
      <formula>AND($A61&lt;&gt;"",MOD(ROW(),2))</formula>
    </cfRule>
  </conditionalFormatting>
  <conditionalFormatting sqref="D61">
    <cfRule type="cellIs" dxfId="15021" priority="116" operator="equal">
      <formula>$C61</formula>
    </cfRule>
    <cfRule type="cellIs" dxfId="15020" priority="117" operator="greaterThan">
      <formula>$C61</formula>
    </cfRule>
    <cfRule type="cellIs" dxfId="15019" priority="118" operator="lessThan">
      <formula>$C61</formula>
    </cfRule>
  </conditionalFormatting>
  <conditionalFormatting sqref="D62">
    <cfRule type="expression" dxfId="15018" priority="115">
      <formula>AND($A62&lt;&gt;"",MOD(ROW(),2))</formula>
    </cfRule>
  </conditionalFormatting>
  <conditionalFormatting sqref="D62">
    <cfRule type="cellIs" dxfId="15017" priority="112" operator="equal">
      <formula>$C62</formula>
    </cfRule>
    <cfRule type="cellIs" dxfId="15016" priority="113" operator="greaterThan">
      <formula>$C62</formula>
    </cfRule>
    <cfRule type="cellIs" dxfId="15015" priority="114" operator="lessThan">
      <formula>$C62</formula>
    </cfRule>
  </conditionalFormatting>
  <conditionalFormatting sqref="D63">
    <cfRule type="expression" dxfId="15014" priority="111">
      <formula>AND($A63&lt;&gt;"",MOD(ROW(),2))</formula>
    </cfRule>
  </conditionalFormatting>
  <conditionalFormatting sqref="D63">
    <cfRule type="cellIs" dxfId="15013" priority="108" operator="equal">
      <formula>$C63</formula>
    </cfRule>
    <cfRule type="cellIs" dxfId="15012" priority="109" operator="greaterThan">
      <formula>$C63</formula>
    </cfRule>
    <cfRule type="cellIs" dxfId="15011" priority="110" operator="lessThan">
      <formula>$C63</formula>
    </cfRule>
  </conditionalFormatting>
  <conditionalFormatting sqref="D64">
    <cfRule type="expression" dxfId="15010" priority="107">
      <formula>AND($A64&lt;&gt;"",MOD(ROW(),2))</formula>
    </cfRule>
  </conditionalFormatting>
  <conditionalFormatting sqref="D64">
    <cfRule type="cellIs" dxfId="15009" priority="104" operator="equal">
      <formula>$C64</formula>
    </cfRule>
    <cfRule type="cellIs" dxfId="15008" priority="105" operator="greaterThan">
      <formula>$C64</formula>
    </cfRule>
    <cfRule type="cellIs" dxfId="15007" priority="106" operator="lessThan">
      <formula>$C64</formula>
    </cfRule>
  </conditionalFormatting>
  <conditionalFormatting sqref="D65">
    <cfRule type="expression" dxfId="15006" priority="103">
      <formula>AND($A65&lt;&gt;"",MOD(ROW(),2))</formula>
    </cfRule>
  </conditionalFormatting>
  <conditionalFormatting sqref="D65">
    <cfRule type="cellIs" dxfId="15005" priority="100" operator="equal">
      <formula>$C65</formula>
    </cfRule>
    <cfRule type="cellIs" dxfId="15004" priority="101" operator="greaterThan">
      <formula>$C65</formula>
    </cfRule>
    <cfRule type="cellIs" dxfId="15003" priority="102" operator="lessThan">
      <formula>$C65</formula>
    </cfRule>
  </conditionalFormatting>
  <conditionalFormatting sqref="D66">
    <cfRule type="expression" dxfId="15002" priority="99">
      <formula>AND($A66&lt;&gt;"",MOD(ROW(),2))</formula>
    </cfRule>
  </conditionalFormatting>
  <conditionalFormatting sqref="D66">
    <cfRule type="cellIs" dxfId="15001" priority="96" operator="equal">
      <formula>$C66</formula>
    </cfRule>
    <cfRule type="cellIs" dxfId="15000" priority="97" operator="greaterThan">
      <formula>$C66</formula>
    </cfRule>
    <cfRule type="cellIs" dxfId="14999" priority="98" operator="lessThan">
      <formula>$C66</formula>
    </cfRule>
  </conditionalFormatting>
  <conditionalFormatting sqref="D67">
    <cfRule type="expression" dxfId="14998" priority="95">
      <formula>AND($A67&lt;&gt;"",MOD(ROW(),2))</formula>
    </cfRule>
  </conditionalFormatting>
  <conditionalFormatting sqref="D67">
    <cfRule type="cellIs" dxfId="14997" priority="92" operator="equal">
      <formula>$C67</formula>
    </cfRule>
    <cfRule type="cellIs" dxfId="14996" priority="93" operator="greaterThan">
      <formula>$C67</formula>
    </cfRule>
    <cfRule type="cellIs" dxfId="14995" priority="94" operator="lessThan">
      <formula>$C67</formula>
    </cfRule>
  </conditionalFormatting>
  <conditionalFormatting sqref="D68">
    <cfRule type="expression" dxfId="14994" priority="91">
      <formula>AND($A68&lt;&gt;"",MOD(ROW(),2))</formula>
    </cfRule>
  </conditionalFormatting>
  <conditionalFormatting sqref="D68">
    <cfRule type="cellIs" dxfId="14993" priority="88" operator="equal">
      <formula>$C68</formula>
    </cfRule>
    <cfRule type="cellIs" dxfId="14992" priority="89" operator="greaterThan">
      <formula>$C68</formula>
    </cfRule>
    <cfRule type="cellIs" dxfId="14991" priority="90" operator="lessThan">
      <formula>$C68</formula>
    </cfRule>
  </conditionalFormatting>
  <conditionalFormatting sqref="G58">
    <cfRule type="expression" dxfId="14990" priority="75">
      <formula>AND($A58&lt;&gt;"",MOD(ROW(),2))</formula>
    </cfRule>
  </conditionalFormatting>
  <conditionalFormatting sqref="G59">
    <cfRule type="expression" dxfId="14989" priority="74">
      <formula>AND($A59&lt;&gt;"",MOD(ROW(),2))</formula>
    </cfRule>
  </conditionalFormatting>
  <conditionalFormatting sqref="G60">
    <cfRule type="expression" dxfId="14988" priority="73">
      <formula>AND($A60&lt;&gt;"",MOD(ROW(),2))</formula>
    </cfRule>
  </conditionalFormatting>
  <conditionalFormatting sqref="G61">
    <cfRule type="expression" dxfId="14987" priority="72">
      <formula>AND($A61&lt;&gt;"",MOD(ROW(),2))</formula>
    </cfRule>
  </conditionalFormatting>
  <conditionalFormatting sqref="G62">
    <cfRule type="expression" dxfId="14986" priority="71">
      <formula>AND($A62&lt;&gt;"",MOD(ROW(),2))</formula>
    </cfRule>
  </conditionalFormatting>
  <conditionalFormatting sqref="G63">
    <cfRule type="expression" dxfId="14985" priority="70">
      <formula>AND($A63&lt;&gt;"",MOD(ROW(),2))</formula>
    </cfRule>
  </conditionalFormatting>
  <conditionalFormatting sqref="G64">
    <cfRule type="expression" dxfId="14984" priority="69">
      <formula>AND($A64&lt;&gt;"",MOD(ROW(),2))</formula>
    </cfRule>
  </conditionalFormatting>
  <conditionalFormatting sqref="G65">
    <cfRule type="expression" dxfId="14983" priority="68">
      <formula>AND($A65&lt;&gt;"",MOD(ROW(),2))</formula>
    </cfRule>
  </conditionalFormatting>
  <conditionalFormatting sqref="G66">
    <cfRule type="expression" dxfId="14982" priority="67">
      <formula>AND($A66&lt;&gt;"",MOD(ROW(),2))</formula>
    </cfRule>
  </conditionalFormatting>
  <conditionalFormatting sqref="G67">
    <cfRule type="expression" dxfId="14981" priority="66">
      <formula>AND($A67&lt;&gt;"",MOD(ROW(),2))</formula>
    </cfRule>
  </conditionalFormatting>
  <conditionalFormatting sqref="G68">
    <cfRule type="expression" dxfId="14980" priority="65">
      <formula>AND($A68&lt;&gt;"",MOD(ROW(),2))</formula>
    </cfRule>
  </conditionalFormatting>
  <conditionalFormatting sqref="G69">
    <cfRule type="expression" dxfId="14979" priority="64">
      <formula>AND($A69&lt;&gt;"",MOD(ROW(),2))</formula>
    </cfRule>
  </conditionalFormatting>
  <conditionalFormatting sqref="G70">
    <cfRule type="expression" dxfId="14978" priority="63">
      <formula>AND($A70&lt;&gt;"",MOD(ROW(),2))</formula>
    </cfRule>
  </conditionalFormatting>
  <conditionalFormatting sqref="G71">
    <cfRule type="expression" dxfId="14977" priority="62">
      <formula>AND($A71&lt;&gt;"",MOD(ROW(),2))</formula>
    </cfRule>
  </conditionalFormatting>
  <conditionalFormatting sqref="F69">
    <cfRule type="containsText" dxfId="14976" priority="58" operator="containsText" text="Unpaid Rent">
      <formula>NOT(ISERROR(SEARCH("Unpaid Rent",F69)))</formula>
    </cfRule>
    <cfRule type="containsText" dxfId="14975" priority="59" stopIfTrue="1" operator="containsText" text="Closed Account">
      <formula>NOT(ISERROR(SEARCH("Closed Account",F69)))</formula>
    </cfRule>
  </conditionalFormatting>
  <conditionalFormatting sqref="D69">
    <cfRule type="expression" dxfId="14974" priority="57">
      <formula>AND($A69&lt;&gt;"",MOD(ROW(),2))</formula>
    </cfRule>
  </conditionalFormatting>
  <conditionalFormatting sqref="D69">
    <cfRule type="cellIs" dxfId="14973" priority="54" operator="equal">
      <formula>$C69</formula>
    </cfRule>
    <cfRule type="cellIs" dxfId="14972" priority="55" operator="greaterThan">
      <formula>$C69</formula>
    </cfRule>
    <cfRule type="cellIs" dxfId="14971" priority="56" operator="lessThan">
      <formula>$C69</formula>
    </cfRule>
  </conditionalFormatting>
  <conditionalFormatting sqref="F70">
    <cfRule type="containsText" dxfId="14970" priority="52" operator="containsText" text="Unpaid Rent">
      <formula>NOT(ISERROR(SEARCH("Unpaid Rent",F70)))</formula>
    </cfRule>
    <cfRule type="containsText" dxfId="14969" priority="53" stopIfTrue="1" operator="containsText" text="Closed Account">
      <formula>NOT(ISERROR(SEARCH("Closed Account",F70)))</formula>
    </cfRule>
  </conditionalFormatting>
  <conditionalFormatting sqref="D70">
    <cfRule type="expression" dxfId="14968" priority="51">
      <formula>AND($A70&lt;&gt;"",MOD(ROW(),2))</formula>
    </cfRule>
  </conditionalFormatting>
  <conditionalFormatting sqref="D70">
    <cfRule type="cellIs" dxfId="14967" priority="48" operator="equal">
      <formula>$C70</formula>
    </cfRule>
    <cfRule type="cellIs" dxfId="14966" priority="49" operator="greaterThan">
      <formula>$C70</formula>
    </cfRule>
    <cfRule type="cellIs" dxfId="14965" priority="50" operator="lessThan">
      <formula>$C70</formula>
    </cfRule>
  </conditionalFormatting>
  <conditionalFormatting sqref="F71">
    <cfRule type="containsText" dxfId="14964" priority="46" operator="containsText" text="Unpaid Rent">
      <formula>NOT(ISERROR(SEARCH("Unpaid Rent",F71)))</formula>
    </cfRule>
    <cfRule type="containsText" dxfId="14963" priority="47" stopIfTrue="1" operator="containsText" text="Closed Account">
      <formula>NOT(ISERROR(SEARCH("Closed Account",F71)))</formula>
    </cfRule>
  </conditionalFormatting>
  <conditionalFormatting sqref="D71">
    <cfRule type="expression" dxfId="14962" priority="45">
      <formula>AND($A71&lt;&gt;"",MOD(ROW(),2))</formula>
    </cfRule>
  </conditionalFormatting>
  <conditionalFormatting sqref="D71">
    <cfRule type="cellIs" dxfId="14961" priority="42" operator="equal">
      <formula>$C71</formula>
    </cfRule>
    <cfRule type="cellIs" dxfId="14960" priority="43" operator="greaterThan">
      <formula>$C71</formula>
    </cfRule>
    <cfRule type="cellIs" dxfId="14959" priority="44" operator="lessThan">
      <formula>$C71</formula>
    </cfRule>
  </conditionalFormatting>
  <conditionalFormatting sqref="H151">
    <cfRule type="expression" dxfId="14958" priority="41">
      <formula>AND($A151&lt;&gt;"",MOD(ROW(),2))</formula>
    </cfRule>
  </conditionalFormatting>
  <conditionalFormatting sqref="D151">
    <cfRule type="expression" dxfId="14957" priority="40">
      <formula>AND($A151&lt;&gt;"",MOD(ROW(),2))</formula>
    </cfRule>
  </conditionalFormatting>
  <conditionalFormatting sqref="D151">
    <cfRule type="cellIs" dxfId="14956" priority="37" operator="equal">
      <formula>$C151</formula>
    </cfRule>
    <cfRule type="cellIs" dxfId="14955" priority="38" operator="greaterThan">
      <formula>$C151</formula>
    </cfRule>
    <cfRule type="cellIs" dxfId="14954" priority="39" operator="lessThan">
      <formula>$C151</formula>
    </cfRule>
  </conditionalFormatting>
  <conditionalFormatting sqref="H152">
    <cfRule type="expression" dxfId="14953" priority="36">
      <formula>AND($A152&lt;&gt;"",MOD(ROW(),2))</formula>
    </cfRule>
  </conditionalFormatting>
  <conditionalFormatting sqref="C71:C73 I71:I73">
    <cfRule type="expression" dxfId="14952" priority="35">
      <formula>AND($A71&lt;&gt;"",MOD(ROW(),2))</formula>
    </cfRule>
  </conditionalFormatting>
  <conditionalFormatting sqref="F71:F73">
    <cfRule type="containsText" dxfId="14951" priority="33" operator="containsText" text="Unpaid Rent">
      <formula>NOT(ISERROR(SEARCH("Unpaid Rent",F71)))</formula>
    </cfRule>
    <cfRule type="containsText" dxfId="14950" priority="34" stopIfTrue="1" operator="containsText" text="Closed Account">
      <formula>NOT(ISERROR(SEARCH("Closed Account",F71)))</formula>
    </cfRule>
  </conditionalFormatting>
  <conditionalFormatting sqref="H72">
    <cfRule type="expression" dxfId="14949" priority="32">
      <formula>AND($A72&lt;&gt;"",MOD(ROW(),2))</formula>
    </cfRule>
  </conditionalFormatting>
  <conditionalFormatting sqref="D72">
    <cfRule type="expression" dxfId="14948" priority="31">
      <formula>AND($A72&lt;&gt;"",MOD(ROW(),2))</formula>
    </cfRule>
  </conditionalFormatting>
  <conditionalFormatting sqref="D72">
    <cfRule type="cellIs" dxfId="14947" priority="28" operator="equal">
      <formula>$C72</formula>
    </cfRule>
    <cfRule type="cellIs" dxfId="14946" priority="29" operator="greaterThan">
      <formula>$C72</formula>
    </cfRule>
    <cfRule type="cellIs" dxfId="14945" priority="30" operator="lessThan">
      <formula>$C72</formula>
    </cfRule>
  </conditionalFormatting>
  <conditionalFormatting sqref="H73:H150">
    <cfRule type="expression" dxfId="14944" priority="27">
      <formula>AND($A73&lt;&gt;"",MOD(ROW(),2))</formula>
    </cfRule>
  </conditionalFormatting>
  <conditionalFormatting sqref="F72">
    <cfRule type="containsText" dxfId="14943" priority="25" operator="containsText" text="Unpaid Rent">
      <formula>NOT(ISERROR(SEARCH("Unpaid Rent",F72)))</formula>
    </cfRule>
    <cfRule type="containsText" dxfId="14942" priority="26" stopIfTrue="1" operator="containsText" text="Closed Account">
      <formula>NOT(ISERROR(SEARCH("Closed Account",F72)))</formula>
    </cfRule>
  </conditionalFormatting>
  <conditionalFormatting sqref="D72">
    <cfRule type="expression" dxfId="14941" priority="24">
      <formula>AND($A72&lt;&gt;"",MOD(ROW(),2))</formula>
    </cfRule>
  </conditionalFormatting>
  <conditionalFormatting sqref="D72">
    <cfRule type="cellIs" dxfId="14940" priority="21" operator="equal">
      <formula>$C72</formula>
    </cfRule>
    <cfRule type="cellIs" dxfId="14939" priority="22" operator="greaterThan">
      <formula>$C72</formula>
    </cfRule>
    <cfRule type="cellIs" dxfId="14938" priority="23" operator="lessThan">
      <formula>$C72</formula>
    </cfRule>
  </conditionalFormatting>
  <conditionalFormatting sqref="D73">
    <cfRule type="expression" dxfId="14937" priority="20">
      <formula>AND($A73&lt;&gt;"",MOD(ROW(),2))</formula>
    </cfRule>
  </conditionalFormatting>
  <conditionalFormatting sqref="D73">
    <cfRule type="cellIs" dxfId="14936" priority="17" operator="equal">
      <formula>$C73</formula>
    </cfRule>
    <cfRule type="cellIs" dxfId="14935" priority="18" operator="greaterThan">
      <formula>$C73</formula>
    </cfRule>
    <cfRule type="cellIs" dxfId="14934" priority="19" operator="lessThan">
      <formula>$C73</formula>
    </cfRule>
  </conditionalFormatting>
  <conditionalFormatting sqref="H71">
    <cfRule type="expression" dxfId="14933" priority="16">
      <formula>AND($A71&lt;&gt;"",MOD(ROW(),2))</formula>
    </cfRule>
  </conditionalFormatting>
  <conditionalFormatting sqref="D71">
    <cfRule type="expression" dxfId="14932" priority="15">
      <formula>AND($A71&lt;&gt;"",MOD(ROW(),2))</formula>
    </cfRule>
  </conditionalFormatting>
  <conditionalFormatting sqref="D71">
    <cfRule type="cellIs" dxfId="14931" priority="12" operator="equal">
      <formula>$C71</formula>
    </cfRule>
    <cfRule type="cellIs" dxfId="14930" priority="13" operator="greaterThan">
      <formula>$C71</formula>
    </cfRule>
    <cfRule type="cellIs" dxfId="14929" priority="14" operator="lessThan">
      <formula>$C71</formula>
    </cfRule>
  </conditionalFormatting>
  <conditionalFormatting sqref="H72">
    <cfRule type="expression" dxfId="14928" priority="11">
      <formula>AND($A72&lt;&gt;"",MOD(ROW(),2))</formula>
    </cfRule>
  </conditionalFormatting>
  <conditionalFormatting sqref="F71">
    <cfRule type="containsText" dxfId="14927" priority="9" operator="containsText" text="Unpaid Rent">
      <formula>NOT(ISERROR(SEARCH("Unpaid Rent",F71)))</formula>
    </cfRule>
    <cfRule type="containsText" dxfId="14926" priority="10" stopIfTrue="1" operator="containsText" text="Closed Account">
      <formula>NOT(ISERROR(SEARCH("Closed Account",F71)))</formula>
    </cfRule>
  </conditionalFormatting>
  <conditionalFormatting sqref="D71">
    <cfRule type="expression" dxfId="14925" priority="8">
      <formula>AND($A71&lt;&gt;"",MOD(ROW(),2))</formula>
    </cfRule>
  </conditionalFormatting>
  <conditionalFormatting sqref="D71">
    <cfRule type="cellIs" dxfId="14924" priority="5" operator="equal">
      <formula>$C71</formula>
    </cfRule>
    <cfRule type="cellIs" dxfId="14923" priority="6" operator="greaterThan">
      <formula>$C71</formula>
    </cfRule>
    <cfRule type="cellIs" dxfId="14922" priority="7" operator="lessThan">
      <formula>$C71</formula>
    </cfRule>
  </conditionalFormatting>
  <conditionalFormatting sqref="D72">
    <cfRule type="expression" dxfId="14921" priority="4">
      <formula>AND($A72&lt;&gt;"",MOD(ROW(),2))</formula>
    </cfRule>
  </conditionalFormatting>
  <conditionalFormatting sqref="D72">
    <cfRule type="cellIs" dxfId="14920" priority="1" operator="equal">
      <formula>$C72</formula>
    </cfRule>
    <cfRule type="cellIs" dxfId="14919" priority="2" operator="greaterThan">
      <formula>$C72</formula>
    </cfRule>
    <cfRule type="cellIs" dxfId="14918" priority="3" operator="lessThan">
      <formula>$C72</formula>
    </cfRule>
  </conditionalFormatting>
  <pageMargins left="0.75" right="0.75" top="1" bottom="1" header="0.5" footer="0.5"/>
  <pageSetup paperSize="9" orientation="portrait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900-000000000000}">
          <x14:formula1>
            <xm:f>PullDownValues!$F$2:$F$14</xm:f>
          </x14:formula1>
          <xm:sqref>L7:L354</xm:sqref>
        </x14:dataValidation>
        <x14:dataValidation type="list" allowBlank="1" showInputMessage="1" showErrorMessage="1" prompt="Payment Method" xr:uid="{00000000-0002-0000-0900-000001000000}">
          <x14:formula1>
            <xm:f>PullDownValues!$B$2:$B$12</xm:f>
          </x14:formula1>
          <xm:sqref>F7:F288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354"/>
  <sheetViews>
    <sheetView topLeftCell="F1" zoomScaleNormal="100" workbookViewId="0">
      <pane ySplit="5" topLeftCell="A72" activePane="bottomLeft" state="frozen"/>
      <selection pane="bottomLeft" activeCell="K72" sqref="K72"/>
    </sheetView>
  </sheetViews>
  <sheetFormatPr defaultColWidth="8.85546875" defaultRowHeight="15" customHeight="1" x14ac:dyDescent="0.25"/>
  <cols>
    <col min="1" max="1" width="3.28515625" style="10" bestFit="1" customWidth="1"/>
    <col min="2" max="3" width="12.5703125" bestFit="1" customWidth="1"/>
    <col min="4" max="4" width="12.85546875" bestFit="1" customWidth="1"/>
    <col min="5" max="5" width="15.28515625" bestFit="1" customWidth="1"/>
    <col min="6" max="6" width="15.28515625" customWidth="1"/>
    <col min="7" max="7" width="9.42578125" style="31" bestFit="1" customWidth="1"/>
    <col min="8" max="8" width="11.5703125" bestFit="1" customWidth="1"/>
    <col min="9" max="9" width="12.7109375" bestFit="1" customWidth="1"/>
    <col min="10" max="10" width="15.140625" bestFit="1" customWidth="1"/>
    <col min="11" max="11" width="9.85546875" bestFit="1" customWidth="1"/>
    <col min="12" max="12" width="12.5703125" bestFit="1" customWidth="1"/>
    <col min="13" max="13" width="10.7109375" bestFit="1" customWidth="1"/>
    <col min="14" max="14" width="12.7109375" bestFit="1" customWidth="1"/>
    <col min="15" max="15" width="12.140625" bestFit="1" customWidth="1"/>
    <col min="16" max="16" width="14.140625" bestFit="1" customWidth="1"/>
    <col min="17" max="17" width="9.7109375" bestFit="1" customWidth="1"/>
    <col min="19" max="19" width="9.5703125" bestFit="1" customWidth="1"/>
  </cols>
  <sheetData>
    <row r="1" spans="1:19" ht="35.1" customHeight="1" x14ac:dyDescent="0.25">
      <c r="A1" s="333" t="s">
        <v>0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255">
        <f>SUM(P6:P90)-O4</f>
        <v>0</v>
      </c>
      <c r="P1" s="255"/>
      <c r="Q1" s="327"/>
      <c r="R1" s="327"/>
    </row>
    <row r="2" spans="1:19" s="9" customFormat="1" ht="15.95" customHeight="1" x14ac:dyDescent="0.25">
      <c r="A2" s="256" t="s">
        <v>4</v>
      </c>
      <c r="B2" s="256"/>
      <c r="C2" s="256"/>
      <c r="D2" s="256"/>
      <c r="E2" s="256"/>
      <c r="F2" s="256"/>
      <c r="G2" s="258">
        <f>SUM($D$6:$D$2990)-SUMIF($F$7:$F$290,"Bond Received",$D$7:$D$2990)-SUMIF($F$7:$F$290,"Unpaid Rent",$D$7:$D$2990)-(SUMIF($F$7:$F$290,"Discount Rent",$D$7:$D$2990)*2)</f>
        <v>27478</v>
      </c>
      <c r="H2" s="258"/>
      <c r="I2" s="258"/>
      <c r="J2" s="287" t="s">
        <v>5</v>
      </c>
      <c r="K2" s="287"/>
      <c r="L2" s="287"/>
      <c r="M2" s="262">
        <f>SUM($K$6:$K$2989)-SUMIF($L$6:$L$2989,"Bond Return",$K$6:$K$2989)</f>
        <v>8084.4800000000014</v>
      </c>
      <c r="N2" s="263"/>
      <c r="O2" s="265" t="s">
        <v>271</v>
      </c>
      <c r="P2" s="265"/>
      <c r="Q2" s="35"/>
    </row>
    <row r="3" spans="1:19" s="9" customFormat="1" ht="15.95" customHeight="1" x14ac:dyDescent="0.25">
      <c r="A3" s="257"/>
      <c r="B3" s="257"/>
      <c r="C3" s="257"/>
      <c r="D3" s="257"/>
      <c r="E3" s="257"/>
      <c r="F3" s="257"/>
      <c r="G3" s="259"/>
      <c r="H3" s="259"/>
      <c r="I3" s="259"/>
      <c r="J3" s="288"/>
      <c r="K3" s="288"/>
      <c r="L3" s="288"/>
      <c r="M3" s="264"/>
      <c r="N3" s="264"/>
      <c r="O3" s="266"/>
      <c r="P3" s="266"/>
    </row>
    <row r="4" spans="1:19" s="9" customFormat="1" ht="15.95" customHeight="1" x14ac:dyDescent="0.25">
      <c r="A4" s="252" t="s">
        <v>6</v>
      </c>
      <c r="B4" s="252" t="s">
        <v>7</v>
      </c>
      <c r="C4" s="291" t="s">
        <v>8</v>
      </c>
      <c r="D4" s="252" t="s">
        <v>9</v>
      </c>
      <c r="E4" s="252" t="s">
        <v>10</v>
      </c>
      <c r="F4" s="252" t="s">
        <v>112</v>
      </c>
      <c r="G4" s="329" t="s">
        <v>11</v>
      </c>
      <c r="H4" s="252" t="s">
        <v>12</v>
      </c>
      <c r="I4" s="331" t="s">
        <v>113</v>
      </c>
      <c r="J4" s="326" t="s">
        <v>13</v>
      </c>
      <c r="K4" s="326" t="s">
        <v>14</v>
      </c>
      <c r="L4" s="248" t="s">
        <v>15</v>
      </c>
      <c r="M4" s="249"/>
      <c r="N4" s="326" t="s">
        <v>113</v>
      </c>
      <c r="O4" s="273">
        <f>G2-M2</f>
        <v>19393.519999999997</v>
      </c>
      <c r="P4" s="274">
        <f>SUM(P2:P3)</f>
        <v>0</v>
      </c>
      <c r="Q4" s="63"/>
    </row>
    <row r="5" spans="1:19" s="10" customFormat="1" x14ac:dyDescent="0.25">
      <c r="A5" s="253"/>
      <c r="B5" s="253"/>
      <c r="C5" s="328"/>
      <c r="D5" s="253"/>
      <c r="E5" s="253"/>
      <c r="F5" s="253"/>
      <c r="G5" s="330"/>
      <c r="H5" s="253"/>
      <c r="I5" s="332"/>
      <c r="J5" s="293"/>
      <c r="K5" s="293"/>
      <c r="L5" s="250"/>
      <c r="M5" s="251"/>
      <c r="N5" s="293"/>
      <c r="O5" s="275"/>
      <c r="P5" s="275"/>
      <c r="Q5" s="18"/>
      <c r="R5" s="64"/>
      <c r="S5" s="18"/>
    </row>
    <row r="6" spans="1:19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1"/>
      <c r="K6" s="42"/>
      <c r="L6" s="43" t="s">
        <v>123</v>
      </c>
      <c r="M6" s="43"/>
      <c r="N6" s="43"/>
      <c r="O6"/>
    </row>
    <row r="7" spans="1:19" ht="15" customHeight="1" x14ac:dyDescent="0.25">
      <c r="A7" s="10">
        <v>1</v>
      </c>
      <c r="B7" s="48">
        <v>43755</v>
      </c>
      <c r="C7" s="17">
        <v>400</v>
      </c>
      <c r="D7" s="17">
        <v>400</v>
      </c>
      <c r="E7" s="16">
        <v>43786</v>
      </c>
      <c r="F7" s="16" t="s">
        <v>181</v>
      </c>
      <c r="G7" s="31">
        <v>24072</v>
      </c>
      <c r="H7" s="17">
        <f t="shared" ref="H7:H12" si="0">IFERROR(IF(F6="Closed account",(IF(F7="Unpaid Rent",(C7),(C7-D7))),(IF(F7="Unpaid Rent",(C7+H6),(C7-D7+H6)))),"")</f>
        <v>0</v>
      </c>
      <c r="I7" s="17" t="s">
        <v>149</v>
      </c>
      <c r="J7" s="48">
        <v>43753</v>
      </c>
      <c r="K7" s="17">
        <v>52.8</v>
      </c>
      <c r="L7" s="49" t="s">
        <v>98</v>
      </c>
      <c r="N7" t="s">
        <v>149</v>
      </c>
      <c r="O7" t="s">
        <v>149</v>
      </c>
      <c r="P7" s="111">
        <f>SUMIF($I$6:$I$2992,O7,$D$6:$D$2992)-SUMIFS($D$6:$D$2992,$I$6:$I$2992,O7,$F$6:$F$2992,"Unpaid Rent")-(SUMIFS($D$6:$D$2992,$I$6:$I$2992,O7,$F$6:$F$2992,"Discount Rent")*2)-(SUMIFS($D$6:$D$2992,$I$6:$I$2992,O7,$F$6:$F$2992,"Bond Received"))-SUMIF($N$6:$N$2989,O7,$K$6:$K$2989)+SUMIFS($K$6:$K$2989,$N$6:$N$2989,O7,$L$6:$L$2989,"Bond Return")</f>
        <v>564.64</v>
      </c>
    </row>
    <row r="8" spans="1:19" ht="15" customHeight="1" x14ac:dyDescent="0.25">
      <c r="A8" s="10">
        <v>1</v>
      </c>
      <c r="B8" s="48">
        <v>43755</v>
      </c>
      <c r="C8" s="17">
        <v>200</v>
      </c>
      <c r="D8" s="17"/>
      <c r="E8" s="16"/>
      <c r="F8" s="16" t="s">
        <v>114</v>
      </c>
      <c r="G8" s="31">
        <v>24386</v>
      </c>
      <c r="H8" s="17">
        <f t="shared" si="0"/>
        <v>200</v>
      </c>
      <c r="I8" s="17" t="s">
        <v>149</v>
      </c>
      <c r="J8" s="48">
        <v>43753</v>
      </c>
      <c r="K8" s="17">
        <v>55.1</v>
      </c>
      <c r="L8" s="49" t="s">
        <v>54</v>
      </c>
      <c r="N8" t="s">
        <v>149</v>
      </c>
      <c r="O8" s="9" t="s">
        <v>150</v>
      </c>
      <c r="P8" s="111">
        <f t="shared" ref="P8:P22" si="1">SUMIF($I$6:$I$2992,O8,$D$6:$D$2992)-SUMIFS($D$6:$D$2992,$I$6:$I$2992,O8,$F$6:$F$2992,"Unpaid Rent")-(SUMIFS($D$6:$D$2992,$I$6:$I$2992,O8,$F$6:$F$2992,"Discount Rent")*2)-(SUMIFS($D$6:$D$2992,$I$6:$I$2992,O8,$F$6:$F$2992,"Bond Received"))-SUMIF($N$6:$N$2989,O8,$K$6:$K$2989)+SUMIFS($K$6:$K$2989,$N$6:$N$2989,O8,$L$6:$L$2989,"Bond Return")</f>
        <v>2534.9700000000003</v>
      </c>
    </row>
    <row r="9" spans="1:19" ht="15" customHeight="1" x14ac:dyDescent="0.25">
      <c r="A9" s="10">
        <v>2</v>
      </c>
      <c r="B9" s="48">
        <v>43762</v>
      </c>
      <c r="C9" s="17">
        <v>200</v>
      </c>
      <c r="D9" s="17">
        <v>400</v>
      </c>
      <c r="E9" s="16">
        <v>43765</v>
      </c>
      <c r="F9" s="16" t="s">
        <v>58</v>
      </c>
      <c r="H9" s="17">
        <f t="shared" si="0"/>
        <v>0</v>
      </c>
      <c r="I9" s="17" t="s">
        <v>149</v>
      </c>
      <c r="J9" s="48">
        <v>43754</v>
      </c>
      <c r="K9" s="17">
        <v>10.19</v>
      </c>
      <c r="L9" s="49" t="s">
        <v>32</v>
      </c>
      <c r="N9" t="s">
        <v>149</v>
      </c>
      <c r="O9" s="13" t="s">
        <v>151</v>
      </c>
      <c r="P9" s="111">
        <f t="shared" si="1"/>
        <v>1157.31</v>
      </c>
    </row>
    <row r="10" spans="1:19" ht="15" customHeight="1" x14ac:dyDescent="0.25">
      <c r="A10" s="10">
        <v>3</v>
      </c>
      <c r="B10" s="48">
        <v>43769</v>
      </c>
      <c r="C10" s="17">
        <v>200</v>
      </c>
      <c r="D10" s="17">
        <v>200</v>
      </c>
      <c r="E10" s="16">
        <v>43774</v>
      </c>
      <c r="F10" s="16" t="s">
        <v>58</v>
      </c>
      <c r="H10" s="17">
        <f t="shared" si="0"/>
        <v>0</v>
      </c>
      <c r="I10" s="17" t="s">
        <v>149</v>
      </c>
      <c r="J10" s="48">
        <v>43781</v>
      </c>
      <c r="K10" s="17">
        <v>117.27</v>
      </c>
      <c r="L10" s="49" t="s">
        <v>16</v>
      </c>
      <c r="N10" t="s">
        <v>149</v>
      </c>
      <c r="O10" s="19" t="s">
        <v>153</v>
      </c>
      <c r="P10" s="111">
        <f t="shared" si="1"/>
        <v>727.69</v>
      </c>
    </row>
    <row r="11" spans="1:19" ht="15" customHeight="1" x14ac:dyDescent="0.25">
      <c r="A11" s="10">
        <v>4</v>
      </c>
      <c r="B11" s="48">
        <v>43776</v>
      </c>
      <c r="C11" s="17">
        <v>200</v>
      </c>
      <c r="D11" s="17">
        <v>200</v>
      </c>
      <c r="E11" s="16">
        <v>43777</v>
      </c>
      <c r="F11" s="16" t="s">
        <v>124</v>
      </c>
      <c r="H11" s="17">
        <f t="shared" si="0"/>
        <v>0</v>
      </c>
      <c r="I11" s="17" t="s">
        <v>149</v>
      </c>
      <c r="J11" s="48">
        <v>43787</v>
      </c>
      <c r="K11" s="17">
        <v>400</v>
      </c>
      <c r="L11" s="49" t="s">
        <v>45</v>
      </c>
      <c r="N11" t="s">
        <v>149</v>
      </c>
      <c r="O11" s="9" t="s">
        <v>186</v>
      </c>
      <c r="P11" s="111">
        <f t="shared" si="1"/>
        <v>1237.8800000000001</v>
      </c>
    </row>
    <row r="12" spans="1:19" ht="15" customHeight="1" x14ac:dyDescent="0.25">
      <c r="A12" s="10">
        <v>1</v>
      </c>
      <c r="B12" s="48">
        <v>43787</v>
      </c>
      <c r="C12" s="17">
        <v>480</v>
      </c>
      <c r="D12" s="17">
        <v>480</v>
      </c>
      <c r="E12" s="16">
        <v>43788</v>
      </c>
      <c r="F12" s="16" t="s">
        <v>181</v>
      </c>
      <c r="G12" s="31">
        <v>28305</v>
      </c>
      <c r="H12" s="17">
        <f t="shared" si="0"/>
        <v>0</v>
      </c>
      <c r="I12" s="17" t="s">
        <v>150</v>
      </c>
      <c r="J12" s="48">
        <v>43788</v>
      </c>
      <c r="K12" s="17">
        <v>198.52</v>
      </c>
      <c r="L12" s="49" t="s">
        <v>20</v>
      </c>
      <c r="N12" t="s">
        <v>150</v>
      </c>
      <c r="O12" t="s">
        <v>14</v>
      </c>
      <c r="P12" s="111">
        <f t="shared" si="1"/>
        <v>-1355.51</v>
      </c>
    </row>
    <row r="13" spans="1:19" ht="15" customHeight="1" x14ac:dyDescent="0.25">
      <c r="A13" s="10">
        <v>1</v>
      </c>
      <c r="B13" s="48">
        <v>43787</v>
      </c>
      <c r="C13" s="17">
        <v>240</v>
      </c>
      <c r="D13" s="17">
        <v>240</v>
      </c>
      <c r="E13" s="16">
        <v>43788</v>
      </c>
      <c r="F13" s="16" t="s">
        <v>114</v>
      </c>
      <c r="G13" s="31">
        <v>28305</v>
      </c>
      <c r="H13" s="17">
        <f t="shared" ref="H13:H28" si="2">IFERROR(IF(F12="Closed account",(IF(F13="Unpaid Rent",(C13),(C13-D13))),(IF(F13="Unpaid Rent",(C13+H12),(C13-D13+H12)))),"")</f>
        <v>0</v>
      </c>
      <c r="I13" s="17" t="s">
        <v>150</v>
      </c>
      <c r="J13" s="48">
        <v>43788</v>
      </c>
      <c r="K13" s="17">
        <v>116.11</v>
      </c>
      <c r="L13" s="49" t="s">
        <v>16</v>
      </c>
      <c r="N13" t="s">
        <v>150</v>
      </c>
      <c r="O13" t="s">
        <v>464</v>
      </c>
      <c r="P13" s="111">
        <f t="shared" si="1"/>
        <v>201.48000000000002</v>
      </c>
    </row>
    <row r="14" spans="1:19" ht="15" customHeight="1" x14ac:dyDescent="0.25">
      <c r="A14" s="10">
        <v>2</v>
      </c>
      <c r="B14" s="48">
        <v>43794</v>
      </c>
      <c r="C14" s="17">
        <v>240</v>
      </c>
      <c r="D14" s="17">
        <v>240</v>
      </c>
      <c r="E14" s="16">
        <v>43795</v>
      </c>
      <c r="F14" s="16" t="s">
        <v>58</v>
      </c>
      <c r="H14" s="17">
        <f t="shared" si="2"/>
        <v>0</v>
      </c>
      <c r="I14" s="17" t="s">
        <v>150</v>
      </c>
      <c r="J14" s="48">
        <v>43809</v>
      </c>
      <c r="K14" s="17">
        <v>207.27</v>
      </c>
      <c r="L14" s="49" t="s">
        <v>16</v>
      </c>
      <c r="N14" t="s">
        <v>150</v>
      </c>
      <c r="O14" t="s">
        <v>488</v>
      </c>
      <c r="P14" s="111">
        <f t="shared" si="1"/>
        <v>543</v>
      </c>
    </row>
    <row r="15" spans="1:19" ht="15" customHeight="1" x14ac:dyDescent="0.25">
      <c r="A15" s="10">
        <v>3</v>
      </c>
      <c r="B15" s="48">
        <v>43801</v>
      </c>
      <c r="C15" s="17">
        <v>240</v>
      </c>
      <c r="D15" s="17">
        <v>240</v>
      </c>
      <c r="E15" s="16">
        <v>43801</v>
      </c>
      <c r="F15" s="16" t="s">
        <v>58</v>
      </c>
      <c r="H15" s="17">
        <f t="shared" si="2"/>
        <v>0</v>
      </c>
      <c r="I15" s="17" t="s">
        <v>150</v>
      </c>
      <c r="J15" s="48">
        <v>43840</v>
      </c>
      <c r="K15" s="17">
        <v>207.27</v>
      </c>
      <c r="L15" s="49" t="s">
        <v>16</v>
      </c>
      <c r="N15" t="s">
        <v>150</v>
      </c>
      <c r="O15" t="s">
        <v>509</v>
      </c>
      <c r="P15" s="111">
        <f t="shared" si="1"/>
        <v>600</v>
      </c>
    </row>
    <row r="16" spans="1:19" ht="15" customHeight="1" x14ac:dyDescent="0.25">
      <c r="A16" s="10">
        <v>4</v>
      </c>
      <c r="B16" s="48">
        <v>43808</v>
      </c>
      <c r="C16" s="17">
        <v>240</v>
      </c>
      <c r="D16" s="17">
        <v>240</v>
      </c>
      <c r="E16" s="16">
        <v>43808</v>
      </c>
      <c r="F16" s="16" t="s">
        <v>58</v>
      </c>
      <c r="H16" s="17">
        <f t="shared" si="2"/>
        <v>0</v>
      </c>
      <c r="I16" s="17" t="s">
        <v>150</v>
      </c>
      <c r="J16" s="48">
        <v>43852</v>
      </c>
      <c r="K16" s="17">
        <v>80</v>
      </c>
      <c r="L16" s="49" t="s">
        <v>26</v>
      </c>
      <c r="N16" t="s">
        <v>150</v>
      </c>
      <c r="O16" t="s">
        <v>478</v>
      </c>
      <c r="P16" s="111">
        <f t="shared" si="1"/>
        <v>430</v>
      </c>
    </row>
    <row r="17" spans="1:16" ht="15" customHeight="1" x14ac:dyDescent="0.25">
      <c r="A17" s="10">
        <v>5</v>
      </c>
      <c r="B17" s="48">
        <v>43815</v>
      </c>
      <c r="C17" s="17">
        <v>240</v>
      </c>
      <c r="D17" s="17">
        <v>240</v>
      </c>
      <c r="E17" s="16">
        <v>43815</v>
      </c>
      <c r="F17" s="16" t="s">
        <v>58</v>
      </c>
      <c r="H17" s="17">
        <f t="shared" si="2"/>
        <v>0</v>
      </c>
      <c r="I17" s="17" t="s">
        <v>150</v>
      </c>
      <c r="J17" s="48">
        <v>43872</v>
      </c>
      <c r="K17" s="17">
        <v>207.27</v>
      </c>
      <c r="L17" s="49" t="s">
        <v>16</v>
      </c>
      <c r="N17" t="s">
        <v>150</v>
      </c>
      <c r="O17" t="s">
        <v>548</v>
      </c>
      <c r="P17" s="111">
        <f t="shared" si="1"/>
        <v>440</v>
      </c>
    </row>
    <row r="18" spans="1:16" ht="15" customHeight="1" x14ac:dyDescent="0.25">
      <c r="A18" s="10">
        <v>6</v>
      </c>
      <c r="B18" s="48">
        <v>43822</v>
      </c>
      <c r="C18" s="17">
        <v>240</v>
      </c>
      <c r="D18" s="17">
        <v>240</v>
      </c>
      <c r="E18" s="16">
        <v>43823</v>
      </c>
      <c r="F18" s="16" t="s">
        <v>58</v>
      </c>
      <c r="H18" s="17">
        <f t="shared" si="2"/>
        <v>0</v>
      </c>
      <c r="I18" s="17" t="s">
        <v>150</v>
      </c>
      <c r="J18" s="48">
        <v>43893</v>
      </c>
      <c r="K18" s="17">
        <v>480</v>
      </c>
      <c r="L18" s="49" t="s">
        <v>45</v>
      </c>
      <c r="N18" t="s">
        <v>150</v>
      </c>
      <c r="O18" t="s">
        <v>577</v>
      </c>
      <c r="P18" s="111">
        <f t="shared" si="1"/>
        <v>954.85</v>
      </c>
    </row>
    <row r="19" spans="1:16" ht="15" customHeight="1" x14ac:dyDescent="0.25">
      <c r="A19" s="10">
        <v>7</v>
      </c>
      <c r="B19" s="48">
        <v>43829</v>
      </c>
      <c r="C19" s="17">
        <v>240</v>
      </c>
      <c r="D19" s="17">
        <v>240</v>
      </c>
      <c r="E19" s="16">
        <v>43830</v>
      </c>
      <c r="F19" s="16" t="s">
        <v>58</v>
      </c>
      <c r="H19" s="17">
        <f t="shared" si="2"/>
        <v>0</v>
      </c>
      <c r="I19" s="17" t="s">
        <v>150</v>
      </c>
      <c r="J19" s="48">
        <v>43894</v>
      </c>
      <c r="K19" s="17">
        <v>48.59</v>
      </c>
      <c r="L19" s="49" t="s">
        <v>32</v>
      </c>
      <c r="N19" t="s">
        <v>150</v>
      </c>
      <c r="O19" t="s">
        <v>451</v>
      </c>
      <c r="P19" s="111">
        <f t="shared" si="1"/>
        <v>-461.15999999999997</v>
      </c>
    </row>
    <row r="20" spans="1:16" ht="15" customHeight="1" x14ac:dyDescent="0.25">
      <c r="A20" s="10">
        <v>8</v>
      </c>
      <c r="B20" s="48">
        <v>43836</v>
      </c>
      <c r="C20" s="17">
        <v>240</v>
      </c>
      <c r="D20" s="17">
        <v>240</v>
      </c>
      <c r="E20" s="16">
        <v>43836</v>
      </c>
      <c r="F20" s="16" t="s">
        <v>58</v>
      </c>
      <c r="H20" s="17">
        <f t="shared" si="2"/>
        <v>0</v>
      </c>
      <c r="I20" s="17" t="s">
        <v>150</v>
      </c>
      <c r="J20" s="48">
        <v>43898</v>
      </c>
      <c r="K20" s="17">
        <v>198.52</v>
      </c>
      <c r="L20" s="49" t="s">
        <v>20</v>
      </c>
      <c r="N20" t="s">
        <v>151</v>
      </c>
      <c r="O20" t="s">
        <v>608</v>
      </c>
      <c r="P20" s="111">
        <f t="shared" si="1"/>
        <v>1737.29</v>
      </c>
    </row>
    <row r="21" spans="1:16" ht="15" customHeight="1" x14ac:dyDescent="0.25">
      <c r="A21" s="10">
        <v>9</v>
      </c>
      <c r="B21" s="48">
        <v>43843</v>
      </c>
      <c r="C21" s="17">
        <v>240</v>
      </c>
      <c r="D21" s="17">
        <v>240</v>
      </c>
      <c r="E21" s="16">
        <v>43843</v>
      </c>
      <c r="F21" s="16" t="s">
        <v>58</v>
      </c>
      <c r="H21" s="17">
        <f t="shared" si="2"/>
        <v>0</v>
      </c>
      <c r="I21" s="17" t="s">
        <v>150</v>
      </c>
      <c r="J21" s="48">
        <v>43900</v>
      </c>
      <c r="K21" s="17">
        <v>160.05000000000001</v>
      </c>
      <c r="L21" s="49" t="s">
        <v>16</v>
      </c>
      <c r="N21" t="s">
        <v>151</v>
      </c>
      <c r="O21" t="s">
        <v>769</v>
      </c>
      <c r="P21" s="111">
        <f t="shared" si="1"/>
        <v>9081.08</v>
      </c>
    </row>
    <row r="22" spans="1:16" ht="15" customHeight="1" x14ac:dyDescent="0.25">
      <c r="A22" s="10">
        <v>10</v>
      </c>
      <c r="B22" s="48">
        <v>43850</v>
      </c>
      <c r="C22" s="17">
        <v>240</v>
      </c>
      <c r="D22" s="17">
        <v>240</v>
      </c>
      <c r="E22" s="16">
        <v>43851</v>
      </c>
      <c r="F22" s="16" t="s">
        <v>58</v>
      </c>
      <c r="G22" s="31">
        <v>34246</v>
      </c>
      <c r="H22" s="17">
        <f t="shared" si="2"/>
        <v>0</v>
      </c>
      <c r="I22" s="17" t="s">
        <v>150</v>
      </c>
      <c r="J22" s="48">
        <v>43913</v>
      </c>
      <c r="K22" s="17">
        <v>5.5</v>
      </c>
      <c r="L22" s="49" t="s">
        <v>22</v>
      </c>
      <c r="N22" t="s">
        <v>151</v>
      </c>
      <c r="O22" t="s">
        <v>985</v>
      </c>
      <c r="P22" s="111">
        <f t="shared" si="1"/>
        <v>1000</v>
      </c>
    </row>
    <row r="23" spans="1:16" ht="15" customHeight="1" x14ac:dyDescent="0.25">
      <c r="A23" s="10">
        <v>11</v>
      </c>
      <c r="B23" s="48">
        <v>43857</v>
      </c>
      <c r="C23" s="17">
        <v>240</v>
      </c>
      <c r="D23" s="17">
        <v>240</v>
      </c>
      <c r="E23" s="16">
        <v>43858</v>
      </c>
      <c r="F23" s="16" t="s">
        <v>58</v>
      </c>
      <c r="H23" s="17">
        <f t="shared" si="2"/>
        <v>0</v>
      </c>
      <c r="I23" s="17" t="s">
        <v>150</v>
      </c>
      <c r="J23" s="48">
        <v>43931</v>
      </c>
      <c r="K23" s="17">
        <v>160.05000000000001</v>
      </c>
      <c r="L23" s="49" t="s">
        <v>16</v>
      </c>
      <c r="N23" t="s">
        <v>151</v>
      </c>
    </row>
    <row r="24" spans="1:16" ht="15" customHeight="1" x14ac:dyDescent="0.25">
      <c r="A24" s="10">
        <v>12</v>
      </c>
      <c r="B24" s="48">
        <v>43864</v>
      </c>
      <c r="C24" s="17">
        <v>240</v>
      </c>
      <c r="D24" s="17">
        <v>240</v>
      </c>
      <c r="E24" s="16">
        <v>43865</v>
      </c>
      <c r="F24" s="16" t="s">
        <v>58</v>
      </c>
      <c r="H24" s="17">
        <f t="shared" si="2"/>
        <v>0</v>
      </c>
      <c r="I24" s="17" t="s">
        <v>150</v>
      </c>
      <c r="J24" s="48">
        <v>43942</v>
      </c>
      <c r="K24" s="17">
        <v>170</v>
      </c>
      <c r="L24" s="49" t="s">
        <v>26</v>
      </c>
      <c r="N24" t="s">
        <v>151</v>
      </c>
    </row>
    <row r="25" spans="1:16" ht="15" customHeight="1" x14ac:dyDescent="0.25">
      <c r="A25" s="10">
        <v>13</v>
      </c>
      <c r="B25" s="48">
        <v>43871</v>
      </c>
      <c r="C25" s="17">
        <v>240</v>
      </c>
      <c r="D25" s="17">
        <v>240</v>
      </c>
      <c r="E25" s="16">
        <v>43873</v>
      </c>
      <c r="F25" s="16" t="s">
        <v>58</v>
      </c>
      <c r="H25" s="17">
        <f t="shared" si="2"/>
        <v>0</v>
      </c>
      <c r="I25" s="17" t="s">
        <v>150</v>
      </c>
      <c r="J25" s="48">
        <v>43963</v>
      </c>
      <c r="K25" s="17">
        <v>160.05000000000001</v>
      </c>
      <c r="L25" s="49" t="s">
        <v>16</v>
      </c>
      <c r="N25" t="s">
        <v>151</v>
      </c>
    </row>
    <row r="26" spans="1:16" ht="15" customHeight="1" x14ac:dyDescent="0.25">
      <c r="A26" s="10">
        <v>14</v>
      </c>
      <c r="B26" s="48">
        <v>43878</v>
      </c>
      <c r="C26" s="17">
        <v>240</v>
      </c>
      <c r="D26" s="17"/>
      <c r="E26" s="16"/>
      <c r="F26" s="16" t="s">
        <v>58</v>
      </c>
      <c r="H26" s="17">
        <f t="shared" si="2"/>
        <v>240</v>
      </c>
      <c r="I26" s="17" t="s">
        <v>150</v>
      </c>
      <c r="J26" s="48">
        <v>43987</v>
      </c>
      <c r="K26" s="17">
        <v>198.52</v>
      </c>
      <c r="L26" s="49" t="s">
        <v>20</v>
      </c>
      <c r="N26" t="s">
        <v>151</v>
      </c>
    </row>
    <row r="27" spans="1:16" ht="15" customHeight="1" x14ac:dyDescent="0.25">
      <c r="A27" s="10">
        <v>15</v>
      </c>
      <c r="B27" s="48">
        <v>43885</v>
      </c>
      <c r="C27" s="17">
        <v>240</v>
      </c>
      <c r="D27" s="17">
        <v>480</v>
      </c>
      <c r="E27" s="16">
        <v>43887</v>
      </c>
      <c r="F27" s="16" t="s">
        <v>124</v>
      </c>
      <c r="H27" s="17">
        <f t="shared" si="2"/>
        <v>0</v>
      </c>
      <c r="I27" s="17" t="s">
        <v>150</v>
      </c>
      <c r="J27" s="48">
        <v>44000</v>
      </c>
      <c r="K27" s="17">
        <v>160</v>
      </c>
      <c r="L27" s="49" t="s">
        <v>17</v>
      </c>
      <c r="M27" t="s">
        <v>152</v>
      </c>
      <c r="N27" t="s">
        <v>14</v>
      </c>
    </row>
    <row r="28" spans="1:16" ht="15" customHeight="1" x14ac:dyDescent="0.25">
      <c r="A28" s="10">
        <v>1</v>
      </c>
      <c r="B28" s="48">
        <v>43899</v>
      </c>
      <c r="C28" s="17">
        <v>500</v>
      </c>
      <c r="D28" s="17">
        <v>500</v>
      </c>
      <c r="E28" s="16">
        <v>43899</v>
      </c>
      <c r="F28" s="16" t="s">
        <v>181</v>
      </c>
      <c r="G28" s="31">
        <v>36843</v>
      </c>
      <c r="H28" s="17">
        <f t="shared" si="2"/>
        <v>0</v>
      </c>
      <c r="I28" s="17" t="s">
        <v>151</v>
      </c>
      <c r="J28" s="48">
        <v>43996</v>
      </c>
      <c r="K28" s="17">
        <v>500</v>
      </c>
      <c r="L28" s="49" t="s">
        <v>45</v>
      </c>
      <c r="N28" t="s">
        <v>151</v>
      </c>
    </row>
    <row r="29" spans="1:16" ht="15" customHeight="1" x14ac:dyDescent="0.25">
      <c r="A29" s="10">
        <v>1</v>
      </c>
      <c r="B29" s="48">
        <v>43899</v>
      </c>
      <c r="C29" s="17">
        <v>250</v>
      </c>
      <c r="D29" s="17">
        <v>250</v>
      </c>
      <c r="E29" s="16">
        <v>43899</v>
      </c>
      <c r="F29" s="16" t="s">
        <v>114</v>
      </c>
      <c r="G29" s="31">
        <v>36843</v>
      </c>
      <c r="H29" s="17">
        <f t="shared" ref="H29:H43" si="3">IFERROR(IF(F28="Closed account",(IF(F29="Unpaid Rent",(C29),(C29-D29))),(IF(F29="Unpaid Rent",(C29+H28),(C29-D29+H28)))),"")</f>
        <v>0</v>
      </c>
      <c r="I29" s="17" t="s">
        <v>151</v>
      </c>
      <c r="J29" s="48">
        <v>44010</v>
      </c>
      <c r="K29" s="17">
        <v>29.23</v>
      </c>
      <c r="L29" s="49" t="s">
        <v>32</v>
      </c>
      <c r="N29" t="s">
        <v>153</v>
      </c>
    </row>
    <row r="30" spans="1:16" ht="15" customHeight="1" x14ac:dyDescent="0.25">
      <c r="A30" s="10">
        <v>2</v>
      </c>
      <c r="B30" s="48">
        <v>43906</v>
      </c>
      <c r="C30" s="17">
        <v>250</v>
      </c>
      <c r="D30" s="17">
        <v>250</v>
      </c>
      <c r="E30" s="16">
        <v>43907</v>
      </c>
      <c r="F30" s="16" t="s">
        <v>58</v>
      </c>
      <c r="H30" s="17">
        <f t="shared" si="3"/>
        <v>0</v>
      </c>
      <c r="I30" s="17" t="s">
        <v>151</v>
      </c>
      <c r="J30" s="48">
        <v>44036</v>
      </c>
      <c r="K30" s="17">
        <v>300</v>
      </c>
      <c r="L30" s="49" t="s">
        <v>45</v>
      </c>
      <c r="N30" t="s">
        <v>153</v>
      </c>
    </row>
    <row r="31" spans="1:16" ht="15" customHeight="1" x14ac:dyDescent="0.25">
      <c r="A31" s="10">
        <v>3</v>
      </c>
      <c r="B31" s="48">
        <v>43913</v>
      </c>
      <c r="C31" s="17">
        <v>180</v>
      </c>
      <c r="D31" s="17">
        <v>180</v>
      </c>
      <c r="E31" s="16">
        <v>43913</v>
      </c>
      <c r="F31" s="16" t="s">
        <v>58</v>
      </c>
      <c r="H31" s="17">
        <f t="shared" si="3"/>
        <v>0</v>
      </c>
      <c r="I31" s="17" t="s">
        <v>151</v>
      </c>
      <c r="J31" s="48">
        <v>44038</v>
      </c>
      <c r="K31" s="17">
        <v>18.079999999999998</v>
      </c>
      <c r="L31" s="49" t="s">
        <v>32</v>
      </c>
      <c r="N31" t="s">
        <v>153</v>
      </c>
    </row>
    <row r="32" spans="1:16" ht="15" customHeight="1" x14ac:dyDescent="0.25">
      <c r="A32" s="10">
        <v>4</v>
      </c>
      <c r="B32" s="48">
        <v>43920</v>
      </c>
      <c r="C32" s="17">
        <v>180</v>
      </c>
      <c r="D32" s="17">
        <v>180</v>
      </c>
      <c r="E32" s="16">
        <v>43920</v>
      </c>
      <c r="F32" s="16" t="s">
        <v>58</v>
      </c>
      <c r="H32" s="17">
        <f t="shared" si="3"/>
        <v>0</v>
      </c>
      <c r="I32" s="17" t="s">
        <v>151</v>
      </c>
      <c r="J32" s="48">
        <v>44074</v>
      </c>
      <c r="K32" s="17">
        <v>198.52</v>
      </c>
      <c r="L32" s="49" t="s">
        <v>20</v>
      </c>
      <c r="N32" t="s">
        <v>186</v>
      </c>
    </row>
    <row r="33" spans="1:14" ht="15" customHeight="1" x14ac:dyDescent="0.25">
      <c r="A33" s="10">
        <v>5</v>
      </c>
      <c r="B33" s="48">
        <v>43927</v>
      </c>
      <c r="C33" s="17">
        <v>180</v>
      </c>
      <c r="D33" s="17">
        <v>180</v>
      </c>
      <c r="E33" s="16">
        <v>43927</v>
      </c>
      <c r="F33" s="16" t="s">
        <v>58</v>
      </c>
      <c r="H33" s="17">
        <f t="shared" si="3"/>
        <v>0</v>
      </c>
      <c r="I33" s="17" t="s">
        <v>151</v>
      </c>
      <c r="J33" s="48">
        <v>44082</v>
      </c>
      <c r="K33" s="17">
        <v>20</v>
      </c>
      <c r="L33" s="49" t="s">
        <v>17</v>
      </c>
      <c r="M33" t="s">
        <v>414</v>
      </c>
      <c r="N33" t="s">
        <v>186</v>
      </c>
    </row>
    <row r="34" spans="1:14" ht="15" customHeight="1" x14ac:dyDescent="0.25">
      <c r="A34" s="10">
        <v>7</v>
      </c>
      <c r="B34" s="48">
        <v>43934</v>
      </c>
      <c r="C34" s="17">
        <v>130</v>
      </c>
      <c r="D34" s="17">
        <v>130</v>
      </c>
      <c r="E34" s="16">
        <v>43935</v>
      </c>
      <c r="F34" s="16" t="s">
        <v>58</v>
      </c>
      <c r="H34" s="17">
        <f t="shared" si="3"/>
        <v>0</v>
      </c>
      <c r="I34" s="17" t="s">
        <v>151</v>
      </c>
      <c r="J34" s="48">
        <v>44084</v>
      </c>
      <c r="K34" s="17">
        <v>148.15</v>
      </c>
      <c r="L34" s="49" t="s">
        <v>16</v>
      </c>
      <c r="N34" t="s">
        <v>186</v>
      </c>
    </row>
    <row r="35" spans="1:14" ht="15" customHeight="1" x14ac:dyDescent="0.25">
      <c r="A35" s="10">
        <v>8</v>
      </c>
      <c r="B35" s="48">
        <v>43941</v>
      </c>
      <c r="C35" s="17">
        <v>130</v>
      </c>
      <c r="D35" s="17">
        <v>130</v>
      </c>
      <c r="E35" s="16">
        <v>43941</v>
      </c>
      <c r="F35" s="16" t="s">
        <v>58</v>
      </c>
      <c r="H35" s="17">
        <f t="shared" si="3"/>
        <v>0</v>
      </c>
      <c r="I35" s="17" t="s">
        <v>151</v>
      </c>
      <c r="J35" s="48">
        <v>44109</v>
      </c>
      <c r="K35" s="17">
        <v>50</v>
      </c>
      <c r="L35" s="49" t="s">
        <v>26</v>
      </c>
      <c r="N35" t="s">
        <v>186</v>
      </c>
    </row>
    <row r="36" spans="1:14" ht="15" customHeight="1" x14ac:dyDescent="0.25">
      <c r="A36" s="10">
        <v>9</v>
      </c>
      <c r="B36" s="48">
        <v>43948</v>
      </c>
      <c r="C36" s="17">
        <v>130</v>
      </c>
      <c r="D36" s="17">
        <v>130</v>
      </c>
      <c r="E36" s="16">
        <v>43948</v>
      </c>
      <c r="F36" s="16" t="s">
        <v>58</v>
      </c>
      <c r="H36" s="17">
        <f t="shared" si="3"/>
        <v>0</v>
      </c>
      <c r="I36" s="17" t="s">
        <v>151</v>
      </c>
      <c r="J36" s="48">
        <v>44119</v>
      </c>
      <c r="K36" s="17">
        <v>148.15</v>
      </c>
      <c r="L36" s="49" t="s">
        <v>16</v>
      </c>
      <c r="N36" t="s">
        <v>186</v>
      </c>
    </row>
    <row r="37" spans="1:14" ht="15" customHeight="1" x14ac:dyDescent="0.25">
      <c r="A37" s="10">
        <v>10</v>
      </c>
      <c r="B37" s="48">
        <v>43955</v>
      </c>
      <c r="C37" s="17">
        <v>130</v>
      </c>
      <c r="D37" s="17">
        <v>130</v>
      </c>
      <c r="E37" s="16">
        <v>43955</v>
      </c>
      <c r="F37" s="16" t="s">
        <v>58</v>
      </c>
      <c r="H37" s="17">
        <f t="shared" si="3"/>
        <v>0</v>
      </c>
      <c r="I37" s="17" t="s">
        <v>151</v>
      </c>
      <c r="J37" s="48">
        <v>44135</v>
      </c>
      <c r="K37" s="17">
        <v>67.3</v>
      </c>
      <c r="L37" s="49" t="s">
        <v>26</v>
      </c>
      <c r="N37" t="s">
        <v>186</v>
      </c>
    </row>
    <row r="38" spans="1:14" ht="15" customHeight="1" x14ac:dyDescent="0.25">
      <c r="A38" s="10">
        <v>11</v>
      </c>
      <c r="B38" s="48">
        <v>43962</v>
      </c>
      <c r="C38" s="17">
        <v>130</v>
      </c>
      <c r="D38" s="17">
        <v>130</v>
      </c>
      <c r="E38" s="16">
        <v>43962</v>
      </c>
      <c r="F38" s="16" t="s">
        <v>58</v>
      </c>
      <c r="H38" s="17">
        <f t="shared" si="3"/>
        <v>0</v>
      </c>
      <c r="I38" s="17" t="s">
        <v>151</v>
      </c>
      <c r="J38" s="48">
        <v>44145</v>
      </c>
      <c r="K38" s="17">
        <v>66</v>
      </c>
      <c r="L38" s="49" t="s">
        <v>98</v>
      </c>
      <c r="N38" t="s">
        <v>14</v>
      </c>
    </row>
    <row r="39" spans="1:14" ht="15" customHeight="1" x14ac:dyDescent="0.25">
      <c r="A39" s="10">
        <v>12</v>
      </c>
      <c r="B39" s="48">
        <v>43969</v>
      </c>
      <c r="C39" s="17">
        <v>130</v>
      </c>
      <c r="D39" s="17">
        <v>130</v>
      </c>
      <c r="E39" s="16">
        <v>43969</v>
      </c>
      <c r="F39" s="16" t="s">
        <v>58</v>
      </c>
      <c r="H39" s="17">
        <f t="shared" si="3"/>
        <v>0</v>
      </c>
      <c r="I39" s="17" t="s">
        <v>151</v>
      </c>
      <c r="J39" s="48">
        <v>44146</v>
      </c>
      <c r="K39" s="17">
        <v>300</v>
      </c>
      <c r="L39" s="49" t="s">
        <v>45</v>
      </c>
      <c r="N39" t="s">
        <v>186</v>
      </c>
    </row>
    <row r="40" spans="1:14" ht="15" customHeight="1" x14ac:dyDescent="0.25">
      <c r="A40" s="10">
        <v>13</v>
      </c>
      <c r="B40" s="48">
        <v>43976</v>
      </c>
      <c r="C40" s="17">
        <v>130</v>
      </c>
      <c r="D40" s="17">
        <v>130</v>
      </c>
      <c r="E40" s="16">
        <v>43976</v>
      </c>
      <c r="F40" s="16" t="s">
        <v>58</v>
      </c>
      <c r="H40" s="17">
        <f t="shared" si="3"/>
        <v>0</v>
      </c>
      <c r="I40" s="17" t="s">
        <v>151</v>
      </c>
      <c r="J40" s="48">
        <v>44161</v>
      </c>
      <c r="K40" s="17">
        <v>150</v>
      </c>
      <c r="L40" s="49" t="s">
        <v>17</v>
      </c>
      <c r="M40" t="s">
        <v>436</v>
      </c>
      <c r="N40" t="s">
        <v>186</v>
      </c>
    </row>
    <row r="41" spans="1:14" ht="15" customHeight="1" x14ac:dyDescent="0.25">
      <c r="A41" s="10">
        <v>14</v>
      </c>
      <c r="B41" s="48">
        <v>43983</v>
      </c>
      <c r="C41" s="17">
        <v>130</v>
      </c>
      <c r="D41" s="17">
        <v>130</v>
      </c>
      <c r="E41" s="16">
        <v>43983</v>
      </c>
      <c r="F41" s="16" t="s">
        <v>58</v>
      </c>
      <c r="H41" s="17">
        <f t="shared" si="3"/>
        <v>0</v>
      </c>
      <c r="I41" s="17" t="s">
        <v>151</v>
      </c>
      <c r="J41" s="48">
        <v>44161</v>
      </c>
      <c r="K41" s="17">
        <v>80</v>
      </c>
      <c r="L41" s="49" t="s">
        <v>17</v>
      </c>
      <c r="M41" t="s">
        <v>436</v>
      </c>
      <c r="N41" t="s">
        <v>186</v>
      </c>
    </row>
    <row r="42" spans="1:14" ht="15" customHeight="1" x14ac:dyDescent="0.25">
      <c r="A42" s="10">
        <v>15</v>
      </c>
      <c r="B42" s="48">
        <v>43990</v>
      </c>
      <c r="C42" s="17">
        <v>130</v>
      </c>
      <c r="D42" s="17">
        <v>130</v>
      </c>
      <c r="E42" s="16">
        <v>43990</v>
      </c>
      <c r="F42" s="16" t="s">
        <v>124</v>
      </c>
      <c r="H42" s="17">
        <f t="shared" si="3"/>
        <v>0</v>
      </c>
      <c r="I42" s="17" t="s">
        <v>151</v>
      </c>
      <c r="J42" s="48">
        <v>44168</v>
      </c>
      <c r="K42" s="17">
        <v>20.99</v>
      </c>
      <c r="L42" s="49" t="s">
        <v>17</v>
      </c>
      <c r="M42" t="s">
        <v>203</v>
      </c>
      <c r="N42" t="s">
        <v>14</v>
      </c>
    </row>
    <row r="43" spans="1:14" ht="15" customHeight="1" x14ac:dyDescent="0.25">
      <c r="A43" s="10">
        <v>1</v>
      </c>
      <c r="B43" s="48">
        <v>44010</v>
      </c>
      <c r="C43" s="17">
        <v>300</v>
      </c>
      <c r="D43" s="17">
        <v>300</v>
      </c>
      <c r="E43" s="16">
        <v>44010</v>
      </c>
      <c r="F43" s="16" t="s">
        <v>181</v>
      </c>
      <c r="H43" s="17">
        <f t="shared" si="3"/>
        <v>0</v>
      </c>
      <c r="I43" s="17" t="s">
        <v>153</v>
      </c>
      <c r="J43" s="48">
        <v>44170</v>
      </c>
      <c r="K43" s="17">
        <v>198.52</v>
      </c>
      <c r="L43" s="49" t="s">
        <v>20</v>
      </c>
      <c r="N43" t="s">
        <v>464</v>
      </c>
    </row>
    <row r="44" spans="1:14" ht="15" customHeight="1" x14ac:dyDescent="0.25">
      <c r="A44" s="10">
        <v>1</v>
      </c>
      <c r="B44" s="48">
        <v>44010</v>
      </c>
      <c r="C44" s="17">
        <v>190</v>
      </c>
      <c r="D44" s="17">
        <v>190</v>
      </c>
      <c r="E44" s="16">
        <v>44010</v>
      </c>
      <c r="F44" s="16" t="s">
        <v>114</v>
      </c>
      <c r="H44" s="17">
        <f t="shared" ref="H44:H97" si="4">IFERROR(IF(F43="Closed account",(IF(F44="Unpaid Rent",(C44),(C44-D44))),(IF(F44="Unpaid Rent",(C44+H43),(C44-D44+H43)))),"")</f>
        <v>0</v>
      </c>
      <c r="I44" s="17" t="s">
        <v>153</v>
      </c>
      <c r="J44" s="48">
        <v>44184</v>
      </c>
      <c r="K44" s="17">
        <v>400</v>
      </c>
      <c r="L44" s="49" t="s">
        <v>45</v>
      </c>
      <c r="N44" t="s">
        <v>464</v>
      </c>
    </row>
    <row r="45" spans="1:14" ht="15" customHeight="1" x14ac:dyDescent="0.25">
      <c r="A45" s="10">
        <v>2</v>
      </c>
      <c r="B45" s="48">
        <v>44017</v>
      </c>
      <c r="C45" s="17">
        <v>190</v>
      </c>
      <c r="D45" s="17">
        <v>190</v>
      </c>
      <c r="E45" s="16">
        <v>44017</v>
      </c>
      <c r="F45" s="16" t="s">
        <v>114</v>
      </c>
      <c r="H45" s="17">
        <f t="shared" si="4"/>
        <v>0</v>
      </c>
      <c r="I45" s="17" t="s">
        <v>153</v>
      </c>
      <c r="J45" s="48">
        <v>44264</v>
      </c>
      <c r="K45" s="17">
        <v>198.52</v>
      </c>
      <c r="L45" s="49" t="s">
        <v>20</v>
      </c>
      <c r="N45" t="s">
        <v>14</v>
      </c>
    </row>
    <row r="46" spans="1:14" ht="15" customHeight="1" x14ac:dyDescent="0.25">
      <c r="A46" s="10">
        <v>3</v>
      </c>
      <c r="B46" s="48">
        <v>44024</v>
      </c>
      <c r="C46" s="17">
        <v>190</v>
      </c>
      <c r="D46" s="17">
        <v>190</v>
      </c>
      <c r="E46" s="16">
        <v>44024</v>
      </c>
      <c r="F46" s="16" t="s">
        <v>114</v>
      </c>
      <c r="H46" s="17">
        <f t="shared" si="4"/>
        <v>0</v>
      </c>
      <c r="I46" s="17" t="s">
        <v>153</v>
      </c>
      <c r="J46" s="48">
        <v>44309</v>
      </c>
      <c r="K46" s="17">
        <v>110</v>
      </c>
      <c r="L46" s="49" t="s">
        <v>17</v>
      </c>
      <c r="M46" t="s">
        <v>156</v>
      </c>
      <c r="N46" t="s">
        <v>14</v>
      </c>
    </row>
    <row r="47" spans="1:14" ht="15" customHeight="1" x14ac:dyDescent="0.25">
      <c r="A47" s="10">
        <v>4</v>
      </c>
      <c r="B47" s="48">
        <v>44031</v>
      </c>
      <c r="C47" s="17">
        <v>205</v>
      </c>
      <c r="D47" s="17">
        <f>190+15</f>
        <v>205</v>
      </c>
      <c r="E47" s="16">
        <v>44036</v>
      </c>
      <c r="F47" s="16" t="s">
        <v>124</v>
      </c>
      <c r="H47" s="17">
        <f t="shared" si="4"/>
        <v>0</v>
      </c>
      <c r="I47" s="17" t="s">
        <v>153</v>
      </c>
      <c r="J47" s="48">
        <v>44311</v>
      </c>
      <c r="K47" s="17">
        <v>25.15</v>
      </c>
      <c r="L47" s="49" t="s">
        <v>32</v>
      </c>
      <c r="N47" t="s">
        <v>577</v>
      </c>
    </row>
    <row r="48" spans="1:14" ht="15" customHeight="1" x14ac:dyDescent="0.25">
      <c r="A48" s="10">
        <v>1</v>
      </c>
      <c r="B48" s="48">
        <v>44047</v>
      </c>
      <c r="C48" s="17">
        <v>300</v>
      </c>
      <c r="D48" s="17">
        <v>300</v>
      </c>
      <c r="E48" s="16">
        <v>44047</v>
      </c>
      <c r="F48" s="16" t="s">
        <v>181</v>
      </c>
      <c r="H48" s="17">
        <f t="shared" si="4"/>
        <v>0</v>
      </c>
      <c r="I48" s="17" t="s">
        <v>186</v>
      </c>
      <c r="J48" s="48">
        <v>44325</v>
      </c>
      <c r="K48" s="17">
        <v>20</v>
      </c>
      <c r="L48" s="49" t="s">
        <v>17</v>
      </c>
      <c r="M48" t="s">
        <v>581</v>
      </c>
      <c r="N48" t="s">
        <v>478</v>
      </c>
    </row>
    <row r="49" spans="1:14" ht="15" customHeight="1" x14ac:dyDescent="0.25">
      <c r="A49" s="10">
        <v>1</v>
      </c>
      <c r="B49" s="48">
        <v>44047</v>
      </c>
      <c r="C49" s="17">
        <v>150</v>
      </c>
      <c r="D49" s="17">
        <v>150</v>
      </c>
      <c r="E49" s="16">
        <v>44047</v>
      </c>
      <c r="F49" s="16" t="s">
        <v>117</v>
      </c>
      <c r="H49" s="17">
        <f t="shared" si="4"/>
        <v>0</v>
      </c>
      <c r="I49" s="17" t="s">
        <v>186</v>
      </c>
      <c r="J49" s="48">
        <v>44326</v>
      </c>
      <c r="K49" s="17">
        <v>420</v>
      </c>
      <c r="L49" s="49" t="s">
        <v>45</v>
      </c>
      <c r="N49" t="s">
        <v>577</v>
      </c>
    </row>
    <row r="50" spans="1:14" ht="15" customHeight="1" x14ac:dyDescent="0.25">
      <c r="A50" s="10">
        <v>2</v>
      </c>
      <c r="B50" s="48">
        <v>44054</v>
      </c>
      <c r="C50" s="17">
        <v>150</v>
      </c>
      <c r="D50" s="17">
        <v>150</v>
      </c>
      <c r="E50" s="16">
        <v>44054</v>
      </c>
      <c r="F50" s="16" t="s">
        <v>117</v>
      </c>
      <c r="H50" s="17">
        <f t="shared" si="4"/>
        <v>0</v>
      </c>
      <c r="I50" s="17" t="s">
        <v>186</v>
      </c>
      <c r="J50" s="48">
        <v>44358</v>
      </c>
      <c r="K50" s="17">
        <v>198.52</v>
      </c>
      <c r="L50" s="49" t="s">
        <v>20</v>
      </c>
      <c r="N50" t="s">
        <v>451</v>
      </c>
    </row>
    <row r="51" spans="1:14" ht="15" customHeight="1" x14ac:dyDescent="0.25">
      <c r="A51" s="10">
        <v>3</v>
      </c>
      <c r="B51" s="48">
        <v>44061</v>
      </c>
      <c r="C51" s="17">
        <v>150</v>
      </c>
      <c r="D51" s="17">
        <v>150</v>
      </c>
      <c r="E51" s="16">
        <v>44061</v>
      </c>
      <c r="F51" s="16" t="s">
        <v>117</v>
      </c>
      <c r="H51" s="17">
        <f t="shared" si="4"/>
        <v>0</v>
      </c>
      <c r="I51" s="17" t="s">
        <v>186</v>
      </c>
      <c r="J51" s="48">
        <v>44391</v>
      </c>
      <c r="K51" s="17">
        <v>100</v>
      </c>
      <c r="L51" s="49" t="s">
        <v>53</v>
      </c>
      <c r="N51" t="s">
        <v>451</v>
      </c>
    </row>
    <row r="52" spans="1:14" ht="15" customHeight="1" x14ac:dyDescent="0.25">
      <c r="A52" s="10">
        <v>4</v>
      </c>
      <c r="B52" s="48">
        <v>44069</v>
      </c>
      <c r="C52" s="17">
        <v>150</v>
      </c>
      <c r="D52" s="17">
        <v>150</v>
      </c>
      <c r="E52" s="16">
        <v>44069</v>
      </c>
      <c r="F52" s="16" t="s">
        <v>117</v>
      </c>
      <c r="H52" s="17">
        <f t="shared" si="4"/>
        <v>0</v>
      </c>
      <c r="I52" s="17" t="s">
        <v>186</v>
      </c>
      <c r="J52" s="48">
        <v>44392</v>
      </c>
      <c r="K52" s="17">
        <v>162.63999999999999</v>
      </c>
      <c r="L52" s="49" t="s">
        <v>17</v>
      </c>
      <c r="M52" t="s">
        <v>597</v>
      </c>
      <c r="N52" t="s">
        <v>451</v>
      </c>
    </row>
    <row r="53" spans="1:14" ht="15" customHeight="1" x14ac:dyDescent="0.25">
      <c r="A53" s="10">
        <v>6</v>
      </c>
      <c r="B53" s="48">
        <f>B52+7</f>
        <v>44076</v>
      </c>
      <c r="C53" s="17">
        <v>150</v>
      </c>
      <c r="D53" s="17">
        <v>150</v>
      </c>
      <c r="E53" s="16">
        <v>44075</v>
      </c>
      <c r="F53" s="16" t="s">
        <v>117</v>
      </c>
      <c r="H53" s="17">
        <f t="shared" si="4"/>
        <v>0</v>
      </c>
      <c r="I53" s="17" t="s">
        <v>186</v>
      </c>
      <c r="J53" s="48">
        <v>44412</v>
      </c>
      <c r="K53" s="17">
        <v>122.48</v>
      </c>
      <c r="L53" s="49" t="s">
        <v>26</v>
      </c>
      <c r="N53" t="s">
        <v>14</v>
      </c>
    </row>
    <row r="54" spans="1:14" ht="15" customHeight="1" x14ac:dyDescent="0.25">
      <c r="A54" s="10">
        <v>7</v>
      </c>
      <c r="B54" s="48">
        <f>B53+7</f>
        <v>44083</v>
      </c>
      <c r="C54" s="17">
        <v>150</v>
      </c>
      <c r="D54" s="17">
        <v>150</v>
      </c>
      <c r="E54" s="16">
        <v>44082</v>
      </c>
      <c r="F54" s="16" t="s">
        <v>117</v>
      </c>
      <c r="H54" s="17">
        <f t="shared" si="4"/>
        <v>0</v>
      </c>
      <c r="I54" s="17" t="s">
        <v>186</v>
      </c>
      <c r="J54" s="48">
        <v>44448</v>
      </c>
      <c r="K54" s="17">
        <v>201.31</v>
      </c>
      <c r="L54" s="49" t="s">
        <v>20</v>
      </c>
      <c r="N54" t="s">
        <v>608</v>
      </c>
    </row>
    <row r="55" spans="1:14" ht="15" customHeight="1" x14ac:dyDescent="0.25">
      <c r="A55" s="10">
        <v>8</v>
      </c>
      <c r="B55" s="48">
        <f>IF(A55=0,"",B54+7)</f>
        <v>44090</v>
      </c>
      <c r="C55" s="17">
        <f>IF(A55=0,"",C54)</f>
        <v>150</v>
      </c>
      <c r="D55" s="17">
        <f>IF(A55=0,"",D54)</f>
        <v>150</v>
      </c>
      <c r="E55" s="16">
        <v>44089</v>
      </c>
      <c r="F55" t="str">
        <f>IF(A55=0,"",F54)</f>
        <v>Bank Transfer</v>
      </c>
      <c r="H55" s="17">
        <f t="shared" si="4"/>
        <v>0</v>
      </c>
      <c r="I55" s="17" t="str">
        <f>IF(A55=0,"",I54)</f>
        <v>Sami</v>
      </c>
      <c r="J55" s="48">
        <v>44459</v>
      </c>
      <c r="K55" s="17">
        <v>30</v>
      </c>
      <c r="L55" s="49" t="s">
        <v>17</v>
      </c>
      <c r="M55" t="s">
        <v>203</v>
      </c>
      <c r="N55" t="s">
        <v>608</v>
      </c>
    </row>
    <row r="56" spans="1:14" ht="15" customHeight="1" x14ac:dyDescent="0.25">
      <c r="A56" s="10">
        <v>9</v>
      </c>
      <c r="B56" s="48">
        <f>IF(A56=0,"",B55+7)</f>
        <v>44097</v>
      </c>
      <c r="C56" s="17">
        <v>150</v>
      </c>
      <c r="D56" s="17">
        <v>150</v>
      </c>
      <c r="E56" s="16">
        <v>44096</v>
      </c>
      <c r="F56" s="16" t="s">
        <v>117</v>
      </c>
      <c r="H56" s="17">
        <f t="shared" si="4"/>
        <v>0</v>
      </c>
      <c r="I56" s="17" t="s">
        <v>186</v>
      </c>
      <c r="J56" s="48">
        <v>44517</v>
      </c>
      <c r="K56" s="17">
        <v>160</v>
      </c>
      <c r="L56" s="49" t="s">
        <v>17</v>
      </c>
      <c r="M56" t="s">
        <v>470</v>
      </c>
      <c r="N56" t="s">
        <v>608</v>
      </c>
    </row>
    <row r="57" spans="1:14" ht="15" customHeight="1" x14ac:dyDescent="0.25">
      <c r="A57" s="10">
        <v>10</v>
      </c>
      <c r="B57" s="48">
        <f t="shared" ref="B57:B62" si="5">B56+7</f>
        <v>44104</v>
      </c>
      <c r="C57" s="17">
        <v>150</v>
      </c>
      <c r="D57" s="17">
        <v>150</v>
      </c>
      <c r="E57" s="16">
        <v>44104</v>
      </c>
      <c r="F57" s="16" t="s">
        <v>117</v>
      </c>
      <c r="H57" s="17">
        <f t="shared" si="4"/>
        <v>0</v>
      </c>
      <c r="I57" s="17" t="s">
        <v>186</v>
      </c>
      <c r="J57" s="48">
        <v>44524</v>
      </c>
      <c r="K57" s="17">
        <v>300</v>
      </c>
      <c r="L57" s="49" t="s">
        <v>45</v>
      </c>
      <c r="N57" t="s">
        <v>608</v>
      </c>
    </row>
    <row r="58" spans="1:14" ht="15" customHeight="1" x14ac:dyDescent="0.25">
      <c r="A58" s="10">
        <v>11</v>
      </c>
      <c r="B58" s="48">
        <f t="shared" si="5"/>
        <v>44111</v>
      </c>
      <c r="C58" s="17">
        <v>150</v>
      </c>
      <c r="D58" s="17">
        <v>150</v>
      </c>
      <c r="E58" s="16">
        <v>44111</v>
      </c>
      <c r="F58" t="s">
        <v>117</v>
      </c>
      <c r="H58" s="17">
        <f t="shared" si="4"/>
        <v>0</v>
      </c>
      <c r="I58" s="17" t="s">
        <v>186</v>
      </c>
      <c r="J58" s="48">
        <v>44530</v>
      </c>
      <c r="K58" s="17">
        <v>11.4</v>
      </c>
      <c r="L58" s="49" t="s">
        <v>17</v>
      </c>
      <c r="M58" t="s">
        <v>741</v>
      </c>
      <c r="N58" t="s">
        <v>608</v>
      </c>
    </row>
    <row r="59" spans="1:14" ht="15" customHeight="1" x14ac:dyDescent="0.25">
      <c r="A59" s="10">
        <v>12</v>
      </c>
      <c r="B59" s="48">
        <f t="shared" si="5"/>
        <v>44118</v>
      </c>
      <c r="C59" s="17">
        <v>150</v>
      </c>
      <c r="D59" s="17">
        <v>150</v>
      </c>
      <c r="E59" s="16">
        <v>44117</v>
      </c>
      <c r="F59" t="s">
        <v>117</v>
      </c>
      <c r="H59" s="17">
        <f t="shared" si="4"/>
        <v>0</v>
      </c>
      <c r="I59" s="17" t="s">
        <v>186</v>
      </c>
      <c r="J59" s="48">
        <v>44539</v>
      </c>
      <c r="K59" s="17">
        <v>201.31</v>
      </c>
      <c r="L59" s="49" t="s">
        <v>20</v>
      </c>
      <c r="N59" t="s">
        <v>14</v>
      </c>
    </row>
    <row r="60" spans="1:14" ht="15" customHeight="1" x14ac:dyDescent="0.25">
      <c r="A60" s="10">
        <v>13</v>
      </c>
      <c r="B60" s="48">
        <f t="shared" si="5"/>
        <v>44125</v>
      </c>
      <c r="C60" s="17">
        <v>150</v>
      </c>
      <c r="D60" s="17">
        <v>150</v>
      </c>
      <c r="E60" s="16">
        <v>44124</v>
      </c>
      <c r="F60" t="s">
        <v>117</v>
      </c>
      <c r="H60" s="17">
        <f t="shared" si="4"/>
        <v>0</v>
      </c>
      <c r="I60" s="17" t="s">
        <v>186</v>
      </c>
      <c r="J60" s="48">
        <v>44557</v>
      </c>
      <c r="K60" s="17">
        <v>20.53</v>
      </c>
      <c r="L60" s="49" t="s">
        <v>32</v>
      </c>
      <c r="N60" t="s">
        <v>14</v>
      </c>
    </row>
    <row r="61" spans="1:14" ht="15" customHeight="1" x14ac:dyDescent="0.25">
      <c r="A61" s="10">
        <v>14</v>
      </c>
      <c r="B61" s="48">
        <f t="shared" si="5"/>
        <v>44132</v>
      </c>
      <c r="C61" s="17">
        <v>150</v>
      </c>
      <c r="D61" s="17">
        <v>150</v>
      </c>
      <c r="E61" s="16">
        <v>44131</v>
      </c>
      <c r="F61" t="s">
        <v>117</v>
      </c>
      <c r="H61" s="17">
        <f t="shared" si="4"/>
        <v>0</v>
      </c>
      <c r="I61" s="17" t="s">
        <v>186</v>
      </c>
      <c r="J61" s="48">
        <v>44559</v>
      </c>
      <c r="K61" s="17">
        <v>250</v>
      </c>
      <c r="L61" s="49" t="s">
        <v>17</v>
      </c>
      <c r="M61" t="s">
        <v>584</v>
      </c>
      <c r="N61" t="s">
        <v>14</v>
      </c>
    </row>
    <row r="62" spans="1:14" ht="15" customHeight="1" x14ac:dyDescent="0.25">
      <c r="A62" s="10">
        <v>15</v>
      </c>
      <c r="B62" s="48">
        <f t="shared" si="5"/>
        <v>44139</v>
      </c>
      <c r="C62" s="17">
        <v>150</v>
      </c>
      <c r="D62" s="17">
        <v>150</v>
      </c>
      <c r="E62" s="16">
        <v>44138</v>
      </c>
      <c r="F62" t="s">
        <v>124</v>
      </c>
      <c r="H62" s="17">
        <f t="shared" si="4"/>
        <v>0</v>
      </c>
      <c r="I62" s="17" t="s">
        <v>186</v>
      </c>
      <c r="J62" s="48">
        <v>44559</v>
      </c>
      <c r="K62" s="17">
        <v>20</v>
      </c>
      <c r="L62" s="49" t="s">
        <v>53</v>
      </c>
      <c r="N62" t="s">
        <v>769</v>
      </c>
    </row>
    <row r="63" spans="1:14" ht="15" customHeight="1" x14ac:dyDescent="0.25">
      <c r="A63" s="10">
        <v>1</v>
      </c>
      <c r="B63" s="48">
        <v>44167</v>
      </c>
      <c r="C63" s="17">
        <v>400</v>
      </c>
      <c r="D63" s="17">
        <v>400</v>
      </c>
      <c r="E63" s="16">
        <v>44167</v>
      </c>
      <c r="F63" t="s">
        <v>181</v>
      </c>
      <c r="H63" s="17">
        <f t="shared" si="4"/>
        <v>0</v>
      </c>
      <c r="I63" s="17" t="s">
        <v>464</v>
      </c>
      <c r="J63" s="48">
        <v>44561</v>
      </c>
      <c r="K63" s="17">
        <v>66.38</v>
      </c>
      <c r="L63" s="49" t="s">
        <v>26</v>
      </c>
      <c r="N63" t="s">
        <v>769</v>
      </c>
    </row>
    <row r="64" spans="1:14" ht="15" customHeight="1" x14ac:dyDescent="0.25">
      <c r="A64" s="10">
        <v>1</v>
      </c>
      <c r="B64" s="48">
        <v>44167</v>
      </c>
      <c r="C64" s="17">
        <v>200</v>
      </c>
      <c r="D64" s="17">
        <v>200</v>
      </c>
      <c r="E64" s="16">
        <v>44167</v>
      </c>
      <c r="F64" t="s">
        <v>117</v>
      </c>
      <c r="H64" s="17">
        <f t="shared" si="4"/>
        <v>0</v>
      </c>
      <c r="I64" s="17" t="s">
        <v>464</v>
      </c>
      <c r="J64" s="48">
        <v>44561</v>
      </c>
      <c r="K64" s="17">
        <v>12.05</v>
      </c>
      <c r="L64" s="49" t="s">
        <v>32</v>
      </c>
      <c r="N64" t="s">
        <v>769</v>
      </c>
    </row>
    <row r="65" spans="1:14" ht="15" customHeight="1" x14ac:dyDescent="0.25">
      <c r="A65" s="10">
        <v>2</v>
      </c>
      <c r="B65" s="48">
        <f>B64+7</f>
        <v>44174</v>
      </c>
      <c r="C65" s="17">
        <v>200</v>
      </c>
      <c r="D65" s="17">
        <v>200</v>
      </c>
      <c r="E65" s="16">
        <v>44174</v>
      </c>
      <c r="F65" t="s">
        <v>124</v>
      </c>
      <c r="H65" s="17">
        <f t="shared" si="4"/>
        <v>0</v>
      </c>
      <c r="I65" s="17" t="s">
        <v>464</v>
      </c>
      <c r="J65" s="48">
        <v>44568</v>
      </c>
      <c r="K65" s="17">
        <v>5.5</v>
      </c>
      <c r="L65" s="49" t="s">
        <v>22</v>
      </c>
      <c r="N65" t="s">
        <v>769</v>
      </c>
    </row>
    <row r="66" spans="1:14" ht="15" customHeight="1" x14ac:dyDescent="0.25">
      <c r="A66" s="10">
        <v>1</v>
      </c>
      <c r="B66" s="48">
        <v>44202</v>
      </c>
      <c r="C66" s="17">
        <v>200</v>
      </c>
      <c r="D66" s="17"/>
      <c r="E66" s="16"/>
      <c r="H66" s="17">
        <f t="shared" si="4"/>
        <v>200</v>
      </c>
      <c r="I66" s="17" t="s">
        <v>488</v>
      </c>
      <c r="J66" s="48">
        <v>44670</v>
      </c>
      <c r="K66" s="17">
        <v>260</v>
      </c>
      <c r="L66" s="49" t="s">
        <v>26</v>
      </c>
      <c r="N66" t="s">
        <v>769</v>
      </c>
    </row>
    <row r="67" spans="1:14" ht="15" customHeight="1" x14ac:dyDescent="0.25">
      <c r="A67" s="10">
        <v>2</v>
      </c>
      <c r="B67" s="48">
        <f>B66+7</f>
        <v>44209</v>
      </c>
      <c r="C67" s="17">
        <v>200</v>
      </c>
      <c r="D67" s="17"/>
      <c r="E67" s="16"/>
      <c r="H67" s="17">
        <f t="shared" si="4"/>
        <v>400</v>
      </c>
      <c r="I67" s="17" t="s">
        <v>488</v>
      </c>
      <c r="J67" s="48">
        <v>44677</v>
      </c>
      <c r="K67" s="17">
        <v>525</v>
      </c>
      <c r="L67" s="49" t="s">
        <v>26</v>
      </c>
      <c r="M67" t="s">
        <v>823</v>
      </c>
      <c r="N67" t="s">
        <v>769</v>
      </c>
    </row>
    <row r="68" spans="1:14" ht="15" customHeight="1" x14ac:dyDescent="0.25">
      <c r="A68" s="10">
        <v>3</v>
      </c>
      <c r="B68" s="48">
        <f>B67+7</f>
        <v>44216</v>
      </c>
      <c r="C68" s="17">
        <v>143</v>
      </c>
      <c r="D68" s="17">
        <v>543</v>
      </c>
      <c r="E68" s="16">
        <v>44216</v>
      </c>
      <c r="F68" t="s">
        <v>124</v>
      </c>
      <c r="H68" s="17">
        <f t="shared" si="4"/>
        <v>0</v>
      </c>
      <c r="I68" s="17" t="s">
        <v>488</v>
      </c>
      <c r="J68" s="48">
        <v>44720</v>
      </c>
      <c r="K68" s="17">
        <v>201.31</v>
      </c>
      <c r="L68" s="49" t="s">
        <v>20</v>
      </c>
      <c r="N68" t="s">
        <v>769</v>
      </c>
    </row>
    <row r="69" spans="1:14" ht="15" customHeight="1" x14ac:dyDescent="0.25">
      <c r="A69" s="10">
        <v>1</v>
      </c>
      <c r="B69" s="48">
        <v>44231</v>
      </c>
      <c r="C69" s="17">
        <v>200</v>
      </c>
      <c r="D69" s="17"/>
      <c r="H69" s="17">
        <f t="shared" si="4"/>
        <v>200</v>
      </c>
      <c r="I69" s="17" t="s">
        <v>509</v>
      </c>
      <c r="J69" s="48">
        <v>44741</v>
      </c>
      <c r="K69" s="17">
        <v>126.25</v>
      </c>
      <c r="L69" s="49" t="s">
        <v>26</v>
      </c>
      <c r="N69" t="s">
        <v>769</v>
      </c>
    </row>
    <row r="70" spans="1:14" ht="15" customHeight="1" x14ac:dyDescent="0.25">
      <c r="A70" s="10">
        <v>2</v>
      </c>
      <c r="B70" s="48">
        <f>B69+7</f>
        <v>44238</v>
      </c>
      <c r="C70" s="17">
        <v>200</v>
      </c>
      <c r="D70" s="17"/>
      <c r="H70" s="17">
        <f t="shared" si="4"/>
        <v>400</v>
      </c>
      <c r="I70" s="17" t="s">
        <v>509</v>
      </c>
      <c r="J70" s="48">
        <v>44805</v>
      </c>
      <c r="K70" s="17">
        <v>133.44</v>
      </c>
      <c r="L70" s="49" t="s">
        <v>26</v>
      </c>
      <c r="N70" t="s">
        <v>769</v>
      </c>
    </row>
    <row r="71" spans="1:14" ht="15" customHeight="1" x14ac:dyDescent="0.25">
      <c r="A71" s="10">
        <v>3</v>
      </c>
      <c r="B71" s="48">
        <f>B70+7</f>
        <v>44245</v>
      </c>
      <c r="C71" s="17">
        <v>200</v>
      </c>
      <c r="D71" s="17">
        <v>600</v>
      </c>
      <c r="E71" s="16">
        <v>44259</v>
      </c>
      <c r="F71" t="s">
        <v>124</v>
      </c>
      <c r="H71" s="17">
        <f t="shared" si="4"/>
        <v>0</v>
      </c>
      <c r="I71" s="17" t="s">
        <v>509</v>
      </c>
      <c r="J71" s="48">
        <v>44810</v>
      </c>
      <c r="K71" s="17">
        <v>205.68</v>
      </c>
      <c r="L71" s="49" t="s">
        <v>20</v>
      </c>
      <c r="N71" t="s">
        <v>769</v>
      </c>
    </row>
    <row r="72" spans="1:14" ht="15" customHeight="1" x14ac:dyDescent="0.25">
      <c r="A72" s="10">
        <v>1</v>
      </c>
      <c r="B72" s="48">
        <v>44253</v>
      </c>
      <c r="C72" s="17">
        <v>150</v>
      </c>
      <c r="D72" s="17"/>
      <c r="H72" s="17">
        <f t="shared" si="4"/>
        <v>150</v>
      </c>
      <c r="I72" s="238" t="s">
        <v>478</v>
      </c>
      <c r="J72" s="48">
        <v>44845</v>
      </c>
      <c r="K72" s="17">
        <v>31.31</v>
      </c>
      <c r="L72" s="49" t="s">
        <v>133</v>
      </c>
      <c r="N72" t="s">
        <v>769</v>
      </c>
    </row>
    <row r="73" spans="1:14" x14ac:dyDescent="0.25">
      <c r="A73" s="10">
        <v>2</v>
      </c>
      <c r="B73" s="48">
        <v>44257</v>
      </c>
      <c r="C73" s="17">
        <v>150</v>
      </c>
      <c r="D73" s="17"/>
      <c r="H73" s="17">
        <f t="shared" si="4"/>
        <v>300</v>
      </c>
      <c r="I73" s="17" t="s">
        <v>478</v>
      </c>
      <c r="J73" s="48">
        <v>44901</v>
      </c>
      <c r="K73" s="17">
        <v>622</v>
      </c>
      <c r="L73" s="49" t="s">
        <v>17</v>
      </c>
      <c r="N73" t="s">
        <v>769</v>
      </c>
    </row>
    <row r="74" spans="1:14" x14ac:dyDescent="0.25">
      <c r="A74" s="10">
        <v>3</v>
      </c>
      <c r="B74" s="48">
        <f>B73+7</f>
        <v>44264</v>
      </c>
      <c r="C74" s="17">
        <v>150</v>
      </c>
      <c r="D74" s="17">
        <v>450</v>
      </c>
      <c r="E74" s="16">
        <v>44263</v>
      </c>
      <c r="F74" t="s">
        <v>124</v>
      </c>
      <c r="H74" s="17">
        <f t="shared" si="4"/>
        <v>0</v>
      </c>
      <c r="I74" s="17" t="s">
        <v>478</v>
      </c>
      <c r="J74" s="48">
        <v>44916</v>
      </c>
      <c r="K74" s="17">
        <v>150</v>
      </c>
      <c r="L74" s="49" t="s">
        <v>17</v>
      </c>
      <c r="M74" t="s">
        <v>951</v>
      </c>
      <c r="N74" t="s">
        <v>769</v>
      </c>
    </row>
    <row r="75" spans="1:14" x14ac:dyDescent="0.25">
      <c r="A75" s="10">
        <v>1</v>
      </c>
      <c r="B75" s="48">
        <v>44278</v>
      </c>
      <c r="C75" s="17">
        <v>220</v>
      </c>
      <c r="D75" s="17">
        <v>220</v>
      </c>
      <c r="E75" s="16">
        <v>44280</v>
      </c>
      <c r="F75" t="s">
        <v>117</v>
      </c>
      <c r="H75" s="17">
        <f t="shared" si="4"/>
        <v>0</v>
      </c>
      <c r="I75" s="17" t="s">
        <v>548</v>
      </c>
      <c r="J75" s="48">
        <v>44934</v>
      </c>
      <c r="K75" s="17">
        <v>300</v>
      </c>
      <c r="L75" s="49" t="s">
        <v>45</v>
      </c>
      <c r="N75" t="s">
        <v>769</v>
      </c>
    </row>
    <row r="76" spans="1:14" x14ac:dyDescent="0.25">
      <c r="A76" s="10">
        <v>2</v>
      </c>
      <c r="B76" s="48">
        <f>B75+7</f>
        <v>44285</v>
      </c>
      <c r="C76" s="17">
        <v>220</v>
      </c>
      <c r="D76" s="17">
        <v>220</v>
      </c>
      <c r="E76" s="16">
        <v>44288</v>
      </c>
      <c r="F76" t="s">
        <v>124</v>
      </c>
      <c r="H76" s="17">
        <f t="shared" si="4"/>
        <v>0</v>
      </c>
      <c r="I76" s="17" t="s">
        <v>548</v>
      </c>
      <c r="J76" s="48">
        <v>44936</v>
      </c>
      <c r="K76" s="17">
        <v>100</v>
      </c>
      <c r="L76" s="49" t="s">
        <v>45</v>
      </c>
      <c r="N76" t="s">
        <v>769</v>
      </c>
    </row>
    <row r="77" spans="1:14" x14ac:dyDescent="0.25">
      <c r="A77" s="10">
        <v>1</v>
      </c>
      <c r="B77" s="48">
        <v>44310</v>
      </c>
      <c r="C77" s="17">
        <v>420</v>
      </c>
      <c r="D77" s="17">
        <v>420</v>
      </c>
      <c r="E77" s="16">
        <v>44310</v>
      </c>
      <c r="F77" t="s">
        <v>114</v>
      </c>
      <c r="H77" s="17">
        <f t="shared" si="4"/>
        <v>0</v>
      </c>
      <c r="I77" s="17" t="s">
        <v>577</v>
      </c>
      <c r="J77" s="243">
        <v>45049</v>
      </c>
      <c r="K77" s="17">
        <v>205.68</v>
      </c>
      <c r="L77" s="49" t="s">
        <v>20</v>
      </c>
      <c r="N77" t="s">
        <v>14</v>
      </c>
    </row>
    <row r="78" spans="1:14" x14ac:dyDescent="0.25">
      <c r="A78" s="10">
        <v>1</v>
      </c>
      <c r="B78" s="48">
        <v>44310</v>
      </c>
      <c r="C78" s="17">
        <v>280</v>
      </c>
      <c r="D78" s="17">
        <v>280</v>
      </c>
      <c r="E78" s="16">
        <v>44310</v>
      </c>
      <c r="F78" t="s">
        <v>114</v>
      </c>
      <c r="H78" s="17">
        <f t="shared" si="4"/>
        <v>0</v>
      </c>
      <c r="I78" s="17" t="s">
        <v>577</v>
      </c>
      <c r="J78" s="48"/>
      <c r="K78" s="17"/>
      <c r="L78" s="49"/>
      <c r="N78">
        <f>SUBTOTAL(9,K7:K77)</f>
        <v>11584.480000000001</v>
      </c>
    </row>
    <row r="79" spans="1:14" x14ac:dyDescent="0.25">
      <c r="A79" s="10">
        <v>2</v>
      </c>
      <c r="B79" s="48">
        <f>B78+7</f>
        <v>44317</v>
      </c>
      <c r="C79" s="17">
        <v>280</v>
      </c>
      <c r="D79" s="17">
        <v>280</v>
      </c>
      <c r="E79" s="16">
        <v>44326</v>
      </c>
      <c r="F79" t="s">
        <v>124</v>
      </c>
      <c r="H79" s="17">
        <f t="shared" si="4"/>
        <v>0</v>
      </c>
      <c r="I79" s="17" t="s">
        <v>577</v>
      </c>
      <c r="J79" s="48"/>
      <c r="K79" s="17"/>
      <c r="L79" s="49"/>
    </row>
    <row r="80" spans="1:14" x14ac:dyDescent="0.25">
      <c r="A80" s="10">
        <v>1</v>
      </c>
      <c r="B80" s="48">
        <v>44360</v>
      </c>
      <c r="C80" s="17">
        <v>200</v>
      </c>
      <c r="D80" s="17"/>
      <c r="E80" s="16"/>
      <c r="H80" s="17">
        <f t="shared" si="4"/>
        <v>200</v>
      </c>
      <c r="I80" s="17" t="s">
        <v>451</v>
      </c>
      <c r="J80" s="48"/>
      <c r="K80" s="17"/>
      <c r="L80" s="49"/>
    </row>
    <row r="81" spans="1:12" x14ac:dyDescent="0.25">
      <c r="A81" s="10">
        <v>2</v>
      </c>
      <c r="B81" s="48">
        <f>B80+7</f>
        <v>44367</v>
      </c>
      <c r="C81" s="17">
        <v>200</v>
      </c>
      <c r="D81" s="17"/>
      <c r="H81" s="17">
        <f t="shared" si="4"/>
        <v>400</v>
      </c>
      <c r="I81" s="17" t="s">
        <v>451</v>
      </c>
      <c r="J81" s="48"/>
      <c r="K81" s="17"/>
      <c r="L81" s="49"/>
    </row>
    <row r="82" spans="1:12" x14ac:dyDescent="0.25">
      <c r="A82" s="10">
        <v>3</v>
      </c>
      <c r="B82" s="48">
        <f>B81+7</f>
        <v>44374</v>
      </c>
      <c r="C82" s="17">
        <v>200</v>
      </c>
      <c r="D82" s="17"/>
      <c r="F82" t="s">
        <v>124</v>
      </c>
      <c r="H82" s="17">
        <f t="shared" si="4"/>
        <v>600</v>
      </c>
      <c r="I82" s="17" t="s">
        <v>451</v>
      </c>
      <c r="J82" s="48"/>
      <c r="K82" s="17"/>
      <c r="L82" s="49"/>
    </row>
    <row r="83" spans="1:12" x14ac:dyDescent="0.25">
      <c r="A83" s="10">
        <v>1</v>
      </c>
      <c r="B83" s="48">
        <v>44434</v>
      </c>
      <c r="C83" s="17">
        <v>150</v>
      </c>
      <c r="D83" s="17">
        <v>150</v>
      </c>
      <c r="E83" s="16">
        <v>44434</v>
      </c>
      <c r="F83" t="s">
        <v>58</v>
      </c>
      <c r="H83" s="17">
        <f t="shared" si="4"/>
        <v>0</v>
      </c>
      <c r="I83" s="17" t="s">
        <v>608</v>
      </c>
      <c r="J83" s="48"/>
      <c r="K83" s="17"/>
      <c r="L83" s="49"/>
    </row>
    <row r="84" spans="1:12" x14ac:dyDescent="0.25">
      <c r="A84" s="10">
        <v>2</v>
      </c>
      <c r="B84" s="48">
        <f t="shared" ref="B84:B89" si="6">B83+7</f>
        <v>44441</v>
      </c>
      <c r="C84" s="17">
        <v>150</v>
      </c>
      <c r="D84" s="17">
        <v>150</v>
      </c>
      <c r="E84" s="16">
        <v>44440</v>
      </c>
      <c r="F84" t="s">
        <v>58</v>
      </c>
      <c r="H84" s="17">
        <f t="shared" si="4"/>
        <v>0</v>
      </c>
      <c r="I84" s="17" t="s">
        <v>608</v>
      </c>
      <c r="J84" s="48"/>
      <c r="K84" s="17"/>
      <c r="L84" s="49"/>
    </row>
    <row r="85" spans="1:12" x14ac:dyDescent="0.25">
      <c r="A85" s="10">
        <v>3</v>
      </c>
      <c r="B85" s="48">
        <f t="shared" si="6"/>
        <v>44448</v>
      </c>
      <c r="C85" s="17">
        <v>160</v>
      </c>
      <c r="D85" s="17">
        <v>160</v>
      </c>
      <c r="E85" s="16">
        <v>44447</v>
      </c>
      <c r="F85" t="s">
        <v>58</v>
      </c>
      <c r="H85" s="17">
        <f t="shared" si="4"/>
        <v>0</v>
      </c>
      <c r="I85" s="17" t="s">
        <v>608</v>
      </c>
      <c r="J85" s="48"/>
      <c r="K85" s="17"/>
      <c r="L85" s="49"/>
    </row>
    <row r="86" spans="1:12" x14ac:dyDescent="0.25">
      <c r="A86" s="10">
        <v>4</v>
      </c>
      <c r="B86" s="48">
        <f t="shared" si="6"/>
        <v>44455</v>
      </c>
      <c r="C86" s="17">
        <v>160</v>
      </c>
      <c r="D86" s="17">
        <v>160</v>
      </c>
      <c r="E86" s="16">
        <v>44454</v>
      </c>
      <c r="F86" t="s">
        <v>58</v>
      </c>
      <c r="H86" s="17">
        <f t="shared" si="4"/>
        <v>0</v>
      </c>
      <c r="I86" s="17" t="s">
        <v>608</v>
      </c>
      <c r="J86" s="48"/>
      <c r="K86" s="17"/>
      <c r="L86" s="49"/>
    </row>
    <row r="87" spans="1:12" x14ac:dyDescent="0.25">
      <c r="A87" s="10">
        <v>5</v>
      </c>
      <c r="B87" s="48">
        <f t="shared" si="6"/>
        <v>44462</v>
      </c>
      <c r="C87" s="17">
        <v>160</v>
      </c>
      <c r="D87" s="17">
        <v>160</v>
      </c>
      <c r="E87" s="16">
        <v>44461</v>
      </c>
      <c r="F87" t="s">
        <v>58</v>
      </c>
      <c r="H87" s="17">
        <f t="shared" si="4"/>
        <v>0</v>
      </c>
      <c r="I87" s="17" t="s">
        <v>608</v>
      </c>
      <c r="J87" s="48"/>
      <c r="K87" s="17"/>
      <c r="L87" s="49"/>
    </row>
    <row r="88" spans="1:12" x14ac:dyDescent="0.25">
      <c r="A88" s="10">
        <v>6</v>
      </c>
      <c r="B88" s="48">
        <f t="shared" si="6"/>
        <v>44469</v>
      </c>
      <c r="C88" s="17">
        <v>160</v>
      </c>
      <c r="D88" s="17">
        <v>160</v>
      </c>
      <c r="E88" s="16">
        <v>44468</v>
      </c>
      <c r="F88" t="s">
        <v>58</v>
      </c>
      <c r="H88" s="17">
        <f t="shared" si="4"/>
        <v>0</v>
      </c>
      <c r="I88" s="17" t="s">
        <v>608</v>
      </c>
      <c r="J88" s="48"/>
      <c r="K88" s="17"/>
      <c r="L88" s="49"/>
    </row>
    <row r="89" spans="1:12" x14ac:dyDescent="0.25">
      <c r="A89" s="10">
        <v>7</v>
      </c>
      <c r="B89" s="48">
        <f t="shared" si="6"/>
        <v>44476</v>
      </c>
      <c r="C89" s="17">
        <v>160</v>
      </c>
      <c r="D89" s="17">
        <v>160</v>
      </c>
      <c r="E89" s="16">
        <v>44475</v>
      </c>
      <c r="F89" t="s">
        <v>58</v>
      </c>
      <c r="H89" s="17">
        <f t="shared" si="4"/>
        <v>0</v>
      </c>
      <c r="I89" s="17" t="s">
        <v>608</v>
      </c>
      <c r="J89" s="48"/>
      <c r="K89" s="17"/>
      <c r="L89" s="49"/>
    </row>
    <row r="90" spans="1:12" x14ac:dyDescent="0.25">
      <c r="A90" s="10">
        <v>8</v>
      </c>
      <c r="B90" s="48">
        <f t="shared" ref="B90:B95" si="7">B89+7</f>
        <v>44483</v>
      </c>
      <c r="C90" s="17">
        <v>160</v>
      </c>
      <c r="D90" s="17">
        <v>160</v>
      </c>
      <c r="E90" s="16">
        <v>44482</v>
      </c>
      <c r="F90" t="s">
        <v>58</v>
      </c>
      <c r="H90" s="17">
        <f t="shared" si="4"/>
        <v>0</v>
      </c>
      <c r="I90" s="17" t="s">
        <v>608</v>
      </c>
      <c r="J90" s="48"/>
      <c r="K90" s="17"/>
      <c r="L90" s="49"/>
    </row>
    <row r="91" spans="1:12" x14ac:dyDescent="0.25">
      <c r="A91" s="10">
        <v>9</v>
      </c>
      <c r="B91" s="48">
        <f t="shared" si="7"/>
        <v>44490</v>
      </c>
      <c r="C91" s="17">
        <v>160</v>
      </c>
      <c r="D91" s="17">
        <v>160</v>
      </c>
      <c r="E91" s="16">
        <v>44489</v>
      </c>
      <c r="F91" t="s">
        <v>58</v>
      </c>
      <c r="H91" s="17">
        <f t="shared" si="4"/>
        <v>0</v>
      </c>
      <c r="I91" s="17" t="s">
        <v>608</v>
      </c>
      <c r="J91" s="48"/>
      <c r="K91" s="17"/>
      <c r="L91" s="49"/>
    </row>
    <row r="92" spans="1:12" x14ac:dyDescent="0.25">
      <c r="A92" s="10">
        <v>10</v>
      </c>
      <c r="B92" s="48">
        <f t="shared" si="7"/>
        <v>44497</v>
      </c>
      <c r="C92" s="17">
        <v>160</v>
      </c>
      <c r="D92" s="17">
        <v>160</v>
      </c>
      <c r="E92" s="16">
        <v>44496</v>
      </c>
      <c r="F92" t="s">
        <v>58</v>
      </c>
      <c r="H92" s="17">
        <f t="shared" si="4"/>
        <v>0</v>
      </c>
      <c r="I92" s="17" t="s">
        <v>608</v>
      </c>
      <c r="J92" s="48"/>
      <c r="K92" s="17"/>
      <c r="L92" s="49"/>
    </row>
    <row r="93" spans="1:12" x14ac:dyDescent="0.25">
      <c r="A93" s="10">
        <v>11</v>
      </c>
      <c r="B93" s="48">
        <f t="shared" si="7"/>
        <v>44504</v>
      </c>
      <c r="C93" s="17">
        <v>160</v>
      </c>
      <c r="D93" s="17">
        <v>160</v>
      </c>
      <c r="E93" s="16">
        <v>44503</v>
      </c>
      <c r="F93" t="s">
        <v>58</v>
      </c>
      <c r="H93" s="17">
        <f t="shared" si="4"/>
        <v>0</v>
      </c>
      <c r="I93" s="17" t="s">
        <v>608</v>
      </c>
      <c r="J93" s="48"/>
      <c r="K93" s="17"/>
      <c r="L93" s="49"/>
    </row>
    <row r="94" spans="1:12" x14ac:dyDescent="0.25">
      <c r="A94" s="10">
        <v>12</v>
      </c>
      <c r="B94" s="48">
        <f t="shared" si="7"/>
        <v>44511</v>
      </c>
      <c r="C94" s="17">
        <v>200</v>
      </c>
      <c r="D94" s="17">
        <v>200</v>
      </c>
      <c r="E94" s="16">
        <v>44510</v>
      </c>
      <c r="F94" t="s">
        <v>58</v>
      </c>
      <c r="H94" s="17">
        <f t="shared" si="4"/>
        <v>0</v>
      </c>
      <c r="I94" s="17" t="s">
        <v>608</v>
      </c>
      <c r="J94" s="48"/>
      <c r="K94" s="17"/>
      <c r="L94" s="49"/>
    </row>
    <row r="95" spans="1:12" x14ac:dyDescent="0.25">
      <c r="A95" s="10">
        <v>13</v>
      </c>
      <c r="B95" s="48">
        <f t="shared" si="7"/>
        <v>44518</v>
      </c>
      <c r="C95" s="17">
        <v>200</v>
      </c>
      <c r="D95" s="17">
        <v>200</v>
      </c>
      <c r="E95" s="16">
        <v>44517</v>
      </c>
      <c r="F95" t="s">
        <v>124</v>
      </c>
      <c r="H95" s="17">
        <f t="shared" si="4"/>
        <v>0</v>
      </c>
      <c r="I95" s="17" t="s">
        <v>608</v>
      </c>
      <c r="J95" s="48"/>
      <c r="K95" s="17"/>
      <c r="L95" s="49"/>
    </row>
    <row r="96" spans="1:12" x14ac:dyDescent="0.25">
      <c r="A96" s="10">
        <v>1</v>
      </c>
      <c r="B96" s="48">
        <v>44559</v>
      </c>
      <c r="C96" s="17">
        <v>400</v>
      </c>
      <c r="D96" s="17">
        <v>400</v>
      </c>
      <c r="E96" s="16">
        <v>44559</v>
      </c>
      <c r="F96" t="s">
        <v>181</v>
      </c>
      <c r="H96" s="17">
        <f t="shared" si="4"/>
        <v>0</v>
      </c>
      <c r="I96" s="17" t="s">
        <v>769</v>
      </c>
      <c r="J96" s="48"/>
      <c r="K96" s="17"/>
      <c r="L96" s="49"/>
    </row>
    <row r="97" spans="1:12" x14ac:dyDescent="0.25">
      <c r="A97" s="10">
        <v>1</v>
      </c>
      <c r="B97" s="48">
        <v>44559</v>
      </c>
      <c r="C97" s="17">
        <v>220</v>
      </c>
      <c r="D97" s="17">
        <v>220</v>
      </c>
      <c r="E97" s="16">
        <v>44559</v>
      </c>
      <c r="F97" t="s">
        <v>117</v>
      </c>
      <c r="H97" s="17">
        <f t="shared" si="4"/>
        <v>0</v>
      </c>
      <c r="I97" s="17" t="s">
        <v>769</v>
      </c>
      <c r="J97" s="48"/>
      <c r="K97" s="17"/>
      <c r="L97" s="49"/>
    </row>
    <row r="98" spans="1:12" x14ac:dyDescent="0.25">
      <c r="A98" s="10">
        <v>2</v>
      </c>
      <c r="B98" s="48">
        <f t="shared" ref="B98:B103" si="8">B97+7</f>
        <v>44566</v>
      </c>
      <c r="C98" s="17">
        <v>220</v>
      </c>
      <c r="D98" s="17">
        <v>220</v>
      </c>
      <c r="E98" s="16">
        <v>44568</v>
      </c>
      <c r="F98" t="s">
        <v>58</v>
      </c>
      <c r="H98" s="17">
        <f t="shared" ref="H98:H123" si="9">IFERROR(IF(F97="Closed account",(IF(F98="Unpaid Rent",(C98),(C98-D98))),(IF(F98="Unpaid Rent",(C98+H97),(C98-D98+H97)))),"")</f>
        <v>0</v>
      </c>
      <c r="I98" s="17" t="s">
        <v>769</v>
      </c>
      <c r="J98" s="48"/>
      <c r="K98" s="17"/>
      <c r="L98" s="49"/>
    </row>
    <row r="99" spans="1:12" x14ac:dyDescent="0.25">
      <c r="A99" s="10">
        <v>3</v>
      </c>
      <c r="B99" s="48">
        <f t="shared" si="8"/>
        <v>44573</v>
      </c>
      <c r="C99" s="17">
        <v>220</v>
      </c>
      <c r="D99" s="17">
        <v>220</v>
      </c>
      <c r="E99" s="16">
        <v>44573</v>
      </c>
      <c r="F99" t="s">
        <v>58</v>
      </c>
      <c r="H99" s="17">
        <f t="shared" si="9"/>
        <v>0</v>
      </c>
      <c r="I99" s="17" t="s">
        <v>769</v>
      </c>
      <c r="J99" s="48"/>
      <c r="K99" s="17"/>
      <c r="L99" s="49"/>
    </row>
    <row r="100" spans="1:12" x14ac:dyDescent="0.25">
      <c r="A100" s="10">
        <v>4</v>
      </c>
      <c r="B100" s="48">
        <f t="shared" si="8"/>
        <v>44580</v>
      </c>
      <c r="C100" s="17">
        <v>220</v>
      </c>
      <c r="D100" s="17">
        <v>220</v>
      </c>
      <c r="E100" s="16">
        <v>44580</v>
      </c>
      <c r="F100" t="s">
        <v>58</v>
      </c>
      <c r="H100" s="17">
        <f t="shared" si="9"/>
        <v>0</v>
      </c>
      <c r="I100" s="17" t="s">
        <v>769</v>
      </c>
      <c r="J100" s="48"/>
      <c r="K100" s="17"/>
      <c r="L100" s="49"/>
    </row>
    <row r="101" spans="1:12" x14ac:dyDescent="0.25">
      <c r="A101" s="10">
        <v>5</v>
      </c>
      <c r="B101" s="48">
        <f t="shared" si="8"/>
        <v>44587</v>
      </c>
      <c r="C101" s="17">
        <v>220</v>
      </c>
      <c r="D101" s="17">
        <v>220</v>
      </c>
      <c r="E101" s="16">
        <v>44588</v>
      </c>
      <c r="F101" t="s">
        <v>58</v>
      </c>
      <c r="H101" s="17">
        <f t="shared" si="9"/>
        <v>0</v>
      </c>
      <c r="I101" s="17" t="s">
        <v>769</v>
      </c>
      <c r="J101" s="48"/>
      <c r="K101" s="17"/>
      <c r="L101" s="49"/>
    </row>
    <row r="102" spans="1:12" x14ac:dyDescent="0.25">
      <c r="A102" s="10">
        <v>6</v>
      </c>
      <c r="B102" s="48">
        <f t="shared" si="8"/>
        <v>44594</v>
      </c>
      <c r="C102" s="17">
        <v>220</v>
      </c>
      <c r="D102" s="17">
        <v>220</v>
      </c>
      <c r="E102" s="16">
        <v>44594</v>
      </c>
      <c r="F102" t="s">
        <v>58</v>
      </c>
      <c r="H102" s="17">
        <f t="shared" si="9"/>
        <v>0</v>
      </c>
      <c r="I102" s="17" t="s">
        <v>769</v>
      </c>
      <c r="J102" s="48"/>
      <c r="K102" s="17"/>
      <c r="L102" s="49"/>
    </row>
    <row r="103" spans="1:12" x14ac:dyDescent="0.25">
      <c r="A103" s="10">
        <v>7</v>
      </c>
      <c r="B103" s="48">
        <f t="shared" si="8"/>
        <v>44601</v>
      </c>
      <c r="C103" s="17">
        <v>220</v>
      </c>
      <c r="D103" s="17">
        <v>220</v>
      </c>
      <c r="E103" s="16">
        <v>44601</v>
      </c>
      <c r="F103" t="s">
        <v>58</v>
      </c>
      <c r="H103" s="17">
        <f t="shared" si="9"/>
        <v>0</v>
      </c>
      <c r="I103" s="17" t="s">
        <v>769</v>
      </c>
      <c r="J103" s="48"/>
      <c r="K103" s="17"/>
      <c r="L103" s="49"/>
    </row>
    <row r="104" spans="1:12" x14ac:dyDescent="0.25">
      <c r="A104" s="10">
        <v>8</v>
      </c>
      <c r="B104" s="48">
        <f t="shared" ref="B104:B109" si="10">B103+7</f>
        <v>44608</v>
      </c>
      <c r="C104" s="17">
        <v>220</v>
      </c>
      <c r="D104" s="17">
        <v>220</v>
      </c>
      <c r="E104" s="16">
        <v>44608</v>
      </c>
      <c r="F104" t="s">
        <v>58</v>
      </c>
      <c r="H104" s="17">
        <f t="shared" si="9"/>
        <v>0</v>
      </c>
      <c r="I104" s="17" t="s">
        <v>769</v>
      </c>
      <c r="J104" s="48"/>
      <c r="K104" s="17"/>
      <c r="L104" s="49"/>
    </row>
    <row r="105" spans="1:12" x14ac:dyDescent="0.25">
      <c r="A105" s="10">
        <v>9</v>
      </c>
      <c r="B105" s="48">
        <f t="shared" si="10"/>
        <v>44615</v>
      </c>
      <c r="C105" s="17">
        <v>220</v>
      </c>
      <c r="D105" s="17">
        <v>220</v>
      </c>
      <c r="E105" s="16">
        <v>44615</v>
      </c>
      <c r="F105" t="s">
        <v>58</v>
      </c>
      <c r="H105" s="17">
        <f t="shared" si="9"/>
        <v>0</v>
      </c>
      <c r="I105" s="17" t="s">
        <v>769</v>
      </c>
      <c r="J105" s="48"/>
      <c r="K105" s="17"/>
      <c r="L105" s="49"/>
    </row>
    <row r="106" spans="1:12" x14ac:dyDescent="0.25">
      <c r="A106" s="10">
        <v>10</v>
      </c>
      <c r="B106" s="48">
        <f t="shared" si="10"/>
        <v>44622</v>
      </c>
      <c r="C106" s="17">
        <v>220</v>
      </c>
      <c r="D106" s="17">
        <v>220</v>
      </c>
      <c r="E106" s="16">
        <v>44622</v>
      </c>
      <c r="F106" t="s">
        <v>58</v>
      </c>
      <c r="H106" s="17">
        <f t="shared" si="9"/>
        <v>0</v>
      </c>
      <c r="I106" s="17" t="s">
        <v>769</v>
      </c>
      <c r="J106" s="48"/>
      <c r="K106" s="17"/>
      <c r="L106" s="49"/>
    </row>
    <row r="107" spans="1:12" x14ac:dyDescent="0.25">
      <c r="A107" s="10">
        <v>11</v>
      </c>
      <c r="B107" s="48">
        <f t="shared" si="10"/>
        <v>44629</v>
      </c>
      <c r="C107" s="17">
        <v>220</v>
      </c>
      <c r="D107" s="17">
        <v>220</v>
      </c>
      <c r="E107" s="16">
        <v>44629</v>
      </c>
      <c r="F107" t="s">
        <v>58</v>
      </c>
      <c r="H107" s="17">
        <f t="shared" si="9"/>
        <v>0</v>
      </c>
      <c r="I107" s="17" t="s">
        <v>769</v>
      </c>
      <c r="J107" s="48"/>
      <c r="K107" s="17"/>
      <c r="L107" s="49"/>
    </row>
    <row r="108" spans="1:12" x14ac:dyDescent="0.25">
      <c r="A108" s="10">
        <v>12</v>
      </c>
      <c r="B108" s="48">
        <f t="shared" si="10"/>
        <v>44636</v>
      </c>
      <c r="C108" s="17">
        <v>220</v>
      </c>
      <c r="D108" s="17">
        <v>220</v>
      </c>
      <c r="E108" s="16">
        <v>44636</v>
      </c>
      <c r="F108" t="s">
        <v>58</v>
      </c>
      <c r="H108" s="17">
        <f t="shared" si="9"/>
        <v>0</v>
      </c>
      <c r="I108" s="17" t="s">
        <v>769</v>
      </c>
      <c r="J108" s="48"/>
      <c r="K108" s="17"/>
      <c r="L108" s="49"/>
    </row>
    <row r="109" spans="1:12" x14ac:dyDescent="0.25">
      <c r="A109" s="10">
        <v>13</v>
      </c>
      <c r="B109" s="48">
        <f t="shared" si="10"/>
        <v>44643</v>
      </c>
      <c r="C109" s="17">
        <v>220</v>
      </c>
      <c r="D109" s="17">
        <v>220</v>
      </c>
      <c r="E109" s="16">
        <v>44643</v>
      </c>
      <c r="F109" t="s">
        <v>58</v>
      </c>
      <c r="H109" s="17">
        <f t="shared" si="9"/>
        <v>0</v>
      </c>
      <c r="I109" s="17" t="s">
        <v>769</v>
      </c>
      <c r="J109" s="48"/>
      <c r="K109" s="17"/>
      <c r="L109" s="49"/>
    </row>
    <row r="110" spans="1:12" x14ac:dyDescent="0.25">
      <c r="A110" s="10">
        <v>14</v>
      </c>
      <c r="B110" s="48">
        <f t="shared" ref="B110:B117" si="11">B109+7</f>
        <v>44650</v>
      </c>
      <c r="C110" s="17">
        <v>220</v>
      </c>
      <c r="D110" s="17">
        <v>220</v>
      </c>
      <c r="E110" s="16">
        <v>44650</v>
      </c>
      <c r="F110" t="s">
        <v>58</v>
      </c>
      <c r="H110" s="17">
        <f t="shared" si="9"/>
        <v>0</v>
      </c>
      <c r="I110" s="17" t="s">
        <v>769</v>
      </c>
      <c r="J110" s="48"/>
      <c r="K110" s="17"/>
      <c r="L110" s="49"/>
    </row>
    <row r="111" spans="1:12" x14ac:dyDescent="0.25">
      <c r="A111" s="10">
        <v>15</v>
      </c>
      <c r="B111" s="48">
        <f t="shared" si="11"/>
        <v>44657</v>
      </c>
      <c r="C111" s="17">
        <v>220</v>
      </c>
      <c r="D111" s="17">
        <v>220</v>
      </c>
      <c r="E111" s="16">
        <v>44657</v>
      </c>
      <c r="F111" t="s">
        <v>58</v>
      </c>
      <c r="H111" s="17">
        <f t="shared" si="9"/>
        <v>0</v>
      </c>
      <c r="I111" s="17" t="s">
        <v>769</v>
      </c>
      <c r="J111" s="48"/>
      <c r="K111" s="17"/>
      <c r="L111" s="49"/>
    </row>
    <row r="112" spans="1:12" x14ac:dyDescent="0.25">
      <c r="A112" s="10">
        <v>16</v>
      </c>
      <c r="B112" s="48">
        <f t="shared" si="11"/>
        <v>44664</v>
      </c>
      <c r="C112" s="17">
        <v>220</v>
      </c>
      <c r="D112" s="17">
        <v>220</v>
      </c>
      <c r="E112" s="16">
        <v>44664</v>
      </c>
      <c r="F112" t="s">
        <v>58</v>
      </c>
      <c r="H112" s="17">
        <f t="shared" si="9"/>
        <v>0</v>
      </c>
      <c r="I112" s="17" t="s">
        <v>769</v>
      </c>
      <c r="J112" s="48"/>
      <c r="K112" s="17"/>
      <c r="L112" s="49"/>
    </row>
    <row r="113" spans="1:12" x14ac:dyDescent="0.25">
      <c r="A113" s="10">
        <v>17</v>
      </c>
      <c r="B113" s="48">
        <f t="shared" si="11"/>
        <v>44671</v>
      </c>
      <c r="C113" s="17">
        <v>220</v>
      </c>
      <c r="D113" s="17">
        <v>220</v>
      </c>
      <c r="E113" s="16">
        <v>44671</v>
      </c>
      <c r="F113" t="s">
        <v>58</v>
      </c>
      <c r="H113" s="17">
        <f t="shared" si="9"/>
        <v>0</v>
      </c>
      <c r="I113" s="17" t="s">
        <v>769</v>
      </c>
      <c r="J113" s="48"/>
      <c r="K113" s="17"/>
      <c r="L113" s="49"/>
    </row>
    <row r="114" spans="1:12" x14ac:dyDescent="0.25">
      <c r="A114" s="10">
        <v>18</v>
      </c>
      <c r="B114" s="48">
        <f t="shared" si="11"/>
        <v>44678</v>
      </c>
      <c r="C114" s="17">
        <v>220</v>
      </c>
      <c r="D114" s="17">
        <v>220</v>
      </c>
      <c r="E114" s="16">
        <v>44678</v>
      </c>
      <c r="F114" t="s">
        <v>58</v>
      </c>
      <c r="H114" s="17">
        <f t="shared" si="9"/>
        <v>0</v>
      </c>
      <c r="I114" s="17" t="s">
        <v>769</v>
      </c>
      <c r="J114" s="48"/>
      <c r="K114" s="17"/>
      <c r="L114" s="49"/>
    </row>
    <row r="115" spans="1:12" x14ac:dyDescent="0.25">
      <c r="A115" s="10">
        <v>19</v>
      </c>
      <c r="B115" s="48">
        <f t="shared" si="11"/>
        <v>44685</v>
      </c>
      <c r="C115" s="17">
        <v>220</v>
      </c>
      <c r="D115" s="17">
        <v>220</v>
      </c>
      <c r="E115" s="16">
        <v>44685</v>
      </c>
      <c r="F115" t="s">
        <v>58</v>
      </c>
      <c r="H115" s="17">
        <f t="shared" si="9"/>
        <v>0</v>
      </c>
      <c r="I115" s="17" t="s">
        <v>769</v>
      </c>
      <c r="J115" s="48"/>
      <c r="K115" s="17"/>
      <c r="L115" s="49"/>
    </row>
    <row r="116" spans="1:12" x14ac:dyDescent="0.25">
      <c r="A116" s="10">
        <v>20</v>
      </c>
      <c r="B116" s="48">
        <f t="shared" si="11"/>
        <v>44692</v>
      </c>
      <c r="C116" s="17">
        <v>220</v>
      </c>
      <c r="D116" s="17">
        <v>220</v>
      </c>
      <c r="E116" s="16">
        <v>44692</v>
      </c>
      <c r="F116" t="s">
        <v>58</v>
      </c>
      <c r="H116" s="17">
        <f t="shared" si="9"/>
        <v>0</v>
      </c>
      <c r="I116" s="17" t="s">
        <v>769</v>
      </c>
      <c r="J116" s="48"/>
      <c r="K116" s="17"/>
      <c r="L116" s="49"/>
    </row>
    <row r="117" spans="1:12" x14ac:dyDescent="0.25">
      <c r="A117" s="10">
        <v>21</v>
      </c>
      <c r="B117" s="48">
        <f t="shared" si="11"/>
        <v>44699</v>
      </c>
      <c r="C117" s="17">
        <v>220</v>
      </c>
      <c r="D117" s="17">
        <v>220</v>
      </c>
      <c r="E117" s="16">
        <v>44699</v>
      </c>
      <c r="F117" t="s">
        <v>58</v>
      </c>
      <c r="H117" s="17">
        <f t="shared" si="9"/>
        <v>0</v>
      </c>
      <c r="I117" s="17" t="s">
        <v>769</v>
      </c>
      <c r="J117" s="48"/>
      <c r="K117" s="17"/>
      <c r="L117" s="49"/>
    </row>
    <row r="118" spans="1:12" x14ac:dyDescent="0.25">
      <c r="A118" s="10">
        <v>22</v>
      </c>
      <c r="B118" s="48">
        <f t="shared" ref="B118:B123" si="12">B117+7</f>
        <v>44706</v>
      </c>
      <c r="C118" s="17">
        <v>220</v>
      </c>
      <c r="D118" s="17">
        <v>220</v>
      </c>
      <c r="E118" s="16">
        <v>44706</v>
      </c>
      <c r="F118" t="s">
        <v>58</v>
      </c>
      <c r="H118" s="17">
        <f t="shared" si="9"/>
        <v>0</v>
      </c>
      <c r="I118" s="17" t="s">
        <v>769</v>
      </c>
      <c r="J118" s="48"/>
      <c r="K118" s="17"/>
      <c r="L118" s="49"/>
    </row>
    <row r="119" spans="1:12" x14ac:dyDescent="0.25">
      <c r="A119" s="10">
        <v>23</v>
      </c>
      <c r="B119" s="48">
        <f t="shared" si="12"/>
        <v>44713</v>
      </c>
      <c r="C119" s="17">
        <v>220</v>
      </c>
      <c r="D119" s="17">
        <v>220</v>
      </c>
      <c r="E119" s="16">
        <v>44713</v>
      </c>
      <c r="F119" t="s">
        <v>58</v>
      </c>
      <c r="H119" s="17">
        <f t="shared" si="9"/>
        <v>0</v>
      </c>
      <c r="I119" s="17" t="s">
        <v>769</v>
      </c>
      <c r="J119" s="48"/>
      <c r="K119" s="17"/>
      <c r="L119" s="49"/>
    </row>
    <row r="120" spans="1:12" x14ac:dyDescent="0.25">
      <c r="A120" s="10">
        <v>24</v>
      </c>
      <c r="B120" s="48">
        <f t="shared" si="12"/>
        <v>44720</v>
      </c>
      <c r="C120" s="17">
        <v>220</v>
      </c>
      <c r="D120" s="17">
        <v>220</v>
      </c>
      <c r="E120" s="16">
        <v>44720</v>
      </c>
      <c r="F120" t="s">
        <v>58</v>
      </c>
      <c r="H120" s="17">
        <f t="shared" si="9"/>
        <v>0</v>
      </c>
      <c r="I120" s="17" t="s">
        <v>769</v>
      </c>
      <c r="J120" s="48"/>
      <c r="K120" s="17"/>
      <c r="L120" s="49"/>
    </row>
    <row r="121" spans="1:12" x14ac:dyDescent="0.25">
      <c r="A121" s="10">
        <v>25</v>
      </c>
      <c r="B121" s="48">
        <f t="shared" si="12"/>
        <v>44727</v>
      </c>
      <c r="C121" s="17">
        <v>220</v>
      </c>
      <c r="D121" s="17">
        <v>220</v>
      </c>
      <c r="E121" s="16">
        <v>44727</v>
      </c>
      <c r="F121" t="s">
        <v>58</v>
      </c>
      <c r="H121" s="17">
        <f t="shared" si="9"/>
        <v>0</v>
      </c>
      <c r="I121" s="17" t="s">
        <v>769</v>
      </c>
      <c r="J121" s="48"/>
      <c r="K121" s="17"/>
      <c r="L121" s="49"/>
    </row>
    <row r="122" spans="1:12" x14ac:dyDescent="0.25">
      <c r="A122" s="10">
        <v>26</v>
      </c>
      <c r="B122" s="48">
        <f t="shared" si="12"/>
        <v>44734</v>
      </c>
      <c r="C122" s="17">
        <v>220</v>
      </c>
      <c r="D122" s="17">
        <v>220</v>
      </c>
      <c r="E122" s="16">
        <v>44734</v>
      </c>
      <c r="F122" t="s">
        <v>58</v>
      </c>
      <c r="H122" s="17">
        <f t="shared" si="9"/>
        <v>0</v>
      </c>
      <c r="I122" s="17" t="s">
        <v>769</v>
      </c>
      <c r="J122" s="48"/>
      <c r="K122" s="17"/>
      <c r="L122" s="49"/>
    </row>
    <row r="123" spans="1:12" x14ac:dyDescent="0.25">
      <c r="A123" s="10">
        <v>27</v>
      </c>
      <c r="B123" s="48">
        <f t="shared" si="12"/>
        <v>44741</v>
      </c>
      <c r="C123" s="17">
        <v>220</v>
      </c>
      <c r="D123" s="17">
        <v>220</v>
      </c>
      <c r="E123" s="16">
        <v>44741</v>
      </c>
      <c r="F123" t="s">
        <v>58</v>
      </c>
      <c r="H123" s="17">
        <f t="shared" si="9"/>
        <v>0</v>
      </c>
      <c r="I123" s="17" t="s">
        <v>769</v>
      </c>
      <c r="J123" s="48"/>
      <c r="K123" s="17"/>
      <c r="L123" s="49"/>
    </row>
    <row r="124" spans="1:12" x14ac:dyDescent="0.25">
      <c r="A124" s="10">
        <v>28</v>
      </c>
      <c r="B124" s="48">
        <f t="shared" ref="B124:B129" si="13">B123+7</f>
        <v>44748</v>
      </c>
      <c r="C124" s="17">
        <v>220</v>
      </c>
      <c r="D124" s="17">
        <v>220</v>
      </c>
      <c r="E124" s="16">
        <v>44748</v>
      </c>
      <c r="F124" t="s">
        <v>58</v>
      </c>
      <c r="H124" s="17">
        <f t="shared" ref="H124:H129" si="14">IFERROR(IF(F123="Closed account",(IF(F124="Unpaid Rent",(C124),(C124-D124))),(IF(F124="Unpaid Rent",(C124+H123),(C124-D124+H123)))),"")</f>
        <v>0</v>
      </c>
      <c r="I124" s="17" t="s">
        <v>769</v>
      </c>
      <c r="J124" s="48"/>
      <c r="K124" s="17"/>
      <c r="L124" s="49"/>
    </row>
    <row r="125" spans="1:12" x14ac:dyDescent="0.25">
      <c r="A125" s="10">
        <v>29</v>
      </c>
      <c r="B125" s="48">
        <f t="shared" si="13"/>
        <v>44755</v>
      </c>
      <c r="C125" s="17">
        <v>220</v>
      </c>
      <c r="D125" s="17">
        <v>220</v>
      </c>
      <c r="E125" s="16">
        <v>44755</v>
      </c>
      <c r="F125" t="s">
        <v>58</v>
      </c>
      <c r="H125" s="17">
        <f t="shared" si="14"/>
        <v>0</v>
      </c>
      <c r="I125" s="17" t="s">
        <v>769</v>
      </c>
      <c r="J125" s="48"/>
      <c r="K125" s="17"/>
      <c r="L125" s="49"/>
    </row>
    <row r="126" spans="1:12" x14ac:dyDescent="0.25">
      <c r="A126" s="10">
        <v>30</v>
      </c>
      <c r="B126" s="48">
        <f t="shared" si="13"/>
        <v>44762</v>
      </c>
      <c r="C126" s="17">
        <v>220</v>
      </c>
      <c r="D126" s="17">
        <v>220</v>
      </c>
      <c r="E126" s="16">
        <v>44762</v>
      </c>
      <c r="F126" t="s">
        <v>58</v>
      </c>
      <c r="H126" s="17">
        <f t="shared" si="14"/>
        <v>0</v>
      </c>
      <c r="I126" s="17" t="s">
        <v>769</v>
      </c>
      <c r="J126" s="48"/>
      <c r="K126" s="17"/>
      <c r="L126" s="49"/>
    </row>
    <row r="127" spans="1:12" x14ac:dyDescent="0.25">
      <c r="A127" s="10">
        <v>31</v>
      </c>
      <c r="B127" s="48">
        <f t="shared" si="13"/>
        <v>44769</v>
      </c>
      <c r="C127" s="17">
        <v>220</v>
      </c>
      <c r="D127" s="17">
        <v>220</v>
      </c>
      <c r="E127" s="16">
        <v>44769</v>
      </c>
      <c r="F127" t="s">
        <v>58</v>
      </c>
      <c r="H127" s="17">
        <f t="shared" si="14"/>
        <v>0</v>
      </c>
      <c r="I127" s="17" t="s">
        <v>769</v>
      </c>
      <c r="J127" s="48"/>
      <c r="K127" s="17"/>
      <c r="L127" s="49"/>
    </row>
    <row r="128" spans="1:12" x14ac:dyDescent="0.25">
      <c r="A128" s="10">
        <v>32</v>
      </c>
      <c r="B128" s="48">
        <f t="shared" si="13"/>
        <v>44776</v>
      </c>
      <c r="C128" s="17">
        <v>220</v>
      </c>
      <c r="D128" s="17">
        <v>220</v>
      </c>
      <c r="E128" s="16">
        <v>44776</v>
      </c>
      <c r="F128" t="s">
        <v>58</v>
      </c>
      <c r="H128" s="17">
        <f t="shared" si="14"/>
        <v>0</v>
      </c>
      <c r="I128" s="17" t="s">
        <v>769</v>
      </c>
      <c r="J128" s="48"/>
      <c r="K128" s="17"/>
      <c r="L128" s="49"/>
    </row>
    <row r="129" spans="1:12" x14ac:dyDescent="0.25">
      <c r="A129" s="10">
        <v>33</v>
      </c>
      <c r="B129" s="48">
        <f t="shared" si="13"/>
        <v>44783</v>
      </c>
      <c r="C129" s="17">
        <v>220</v>
      </c>
      <c r="D129" s="17">
        <v>220</v>
      </c>
      <c r="E129" s="16">
        <v>44783</v>
      </c>
      <c r="F129" t="s">
        <v>58</v>
      </c>
      <c r="H129" s="17">
        <f t="shared" si="14"/>
        <v>0</v>
      </c>
      <c r="I129" s="17" t="s">
        <v>769</v>
      </c>
      <c r="J129" s="48"/>
      <c r="K129" s="17"/>
      <c r="L129" s="49"/>
    </row>
    <row r="130" spans="1:12" x14ac:dyDescent="0.25">
      <c r="A130" s="10">
        <v>34</v>
      </c>
      <c r="B130" s="48">
        <f>B129+7</f>
        <v>44790</v>
      </c>
      <c r="C130" s="17">
        <v>220</v>
      </c>
      <c r="D130" s="17">
        <v>220</v>
      </c>
      <c r="E130" s="16">
        <v>44790</v>
      </c>
      <c r="F130" t="s">
        <v>58</v>
      </c>
      <c r="H130" s="17">
        <f t="shared" ref="H130:H155" si="15">IFERROR(IF(F129="Closed account",(IF(F130="Unpaid Rent",(C130),(C130-D130))),(IF(F130="Unpaid Rent",(C130+H129),(C130-D130+H129)))),"")</f>
        <v>0</v>
      </c>
      <c r="I130" s="17" t="s">
        <v>769</v>
      </c>
      <c r="J130" s="48"/>
      <c r="K130" s="17"/>
      <c r="L130" s="49"/>
    </row>
    <row r="131" spans="1:12" x14ac:dyDescent="0.25">
      <c r="A131" s="10">
        <v>35</v>
      </c>
      <c r="B131" s="48">
        <f>B130+7</f>
        <v>44797</v>
      </c>
      <c r="C131" s="17">
        <v>220</v>
      </c>
      <c r="D131" s="17">
        <v>220</v>
      </c>
      <c r="E131" s="16">
        <v>44797</v>
      </c>
      <c r="F131" t="s">
        <v>58</v>
      </c>
      <c r="H131" s="17">
        <f t="shared" si="15"/>
        <v>0</v>
      </c>
      <c r="I131" s="17" t="s">
        <v>769</v>
      </c>
      <c r="J131" s="48"/>
      <c r="K131" s="17"/>
      <c r="L131" s="49"/>
    </row>
    <row r="132" spans="1:12" x14ac:dyDescent="0.25">
      <c r="A132" s="10">
        <v>36</v>
      </c>
      <c r="B132" s="48">
        <f>B131+7</f>
        <v>44804</v>
      </c>
      <c r="C132" s="17">
        <v>220</v>
      </c>
      <c r="D132" s="17">
        <v>220</v>
      </c>
      <c r="E132" s="16">
        <v>44804</v>
      </c>
      <c r="F132" t="s">
        <v>58</v>
      </c>
      <c r="H132" s="17">
        <f t="shared" si="15"/>
        <v>0</v>
      </c>
      <c r="I132" s="17" t="s">
        <v>769</v>
      </c>
      <c r="J132" s="48"/>
      <c r="K132" s="17"/>
      <c r="L132" s="49"/>
    </row>
    <row r="133" spans="1:12" x14ac:dyDescent="0.25">
      <c r="A133" s="10">
        <v>37</v>
      </c>
      <c r="B133" s="48">
        <f>B132+7</f>
        <v>44811</v>
      </c>
      <c r="C133" s="17">
        <v>220</v>
      </c>
      <c r="D133" s="17">
        <v>220</v>
      </c>
      <c r="E133" s="16">
        <v>44811</v>
      </c>
      <c r="F133" t="s">
        <v>58</v>
      </c>
      <c r="H133" s="17">
        <f t="shared" si="15"/>
        <v>0</v>
      </c>
      <c r="I133" s="17" t="s">
        <v>769</v>
      </c>
      <c r="J133" s="48"/>
      <c r="K133" s="17"/>
      <c r="L133" s="49"/>
    </row>
    <row r="134" spans="1:12" x14ac:dyDescent="0.25">
      <c r="A134" s="10">
        <v>38</v>
      </c>
      <c r="B134" s="48">
        <f t="shared" ref="B134:B143" si="16">B133+7</f>
        <v>44818</v>
      </c>
      <c r="C134" s="17">
        <v>220</v>
      </c>
      <c r="D134" s="17">
        <v>220</v>
      </c>
      <c r="E134" s="16">
        <v>44818</v>
      </c>
      <c r="F134" t="s">
        <v>58</v>
      </c>
      <c r="H134" s="17">
        <f t="shared" si="15"/>
        <v>0</v>
      </c>
      <c r="I134" s="17" t="s">
        <v>769</v>
      </c>
      <c r="J134" s="48"/>
      <c r="K134" s="17"/>
      <c r="L134" s="49"/>
    </row>
    <row r="135" spans="1:12" x14ac:dyDescent="0.25">
      <c r="A135" s="10">
        <v>39</v>
      </c>
      <c r="B135" s="48">
        <f t="shared" si="16"/>
        <v>44825</v>
      </c>
      <c r="C135" s="17">
        <v>220</v>
      </c>
      <c r="D135" s="17">
        <v>220</v>
      </c>
      <c r="E135" s="16">
        <v>44825</v>
      </c>
      <c r="F135" t="s">
        <v>58</v>
      </c>
      <c r="H135" s="17">
        <f t="shared" si="15"/>
        <v>0</v>
      </c>
      <c r="I135" s="17" t="s">
        <v>769</v>
      </c>
      <c r="J135" s="48"/>
      <c r="K135" s="17"/>
      <c r="L135" s="49"/>
    </row>
    <row r="136" spans="1:12" x14ac:dyDescent="0.25">
      <c r="A136" s="10">
        <v>40</v>
      </c>
      <c r="B136" s="48">
        <f t="shared" si="16"/>
        <v>44832</v>
      </c>
      <c r="C136" s="17">
        <v>220</v>
      </c>
      <c r="D136" s="17">
        <v>220</v>
      </c>
      <c r="E136" s="16">
        <v>44832</v>
      </c>
      <c r="F136" t="s">
        <v>58</v>
      </c>
      <c r="H136" s="17">
        <f t="shared" si="15"/>
        <v>0</v>
      </c>
      <c r="I136" s="17" t="s">
        <v>769</v>
      </c>
      <c r="J136" s="48"/>
      <c r="K136" s="17"/>
      <c r="L136" s="49"/>
    </row>
    <row r="137" spans="1:12" x14ac:dyDescent="0.25">
      <c r="A137" s="10">
        <v>41</v>
      </c>
      <c r="B137" s="48">
        <f t="shared" si="16"/>
        <v>44839</v>
      </c>
      <c r="C137" s="17">
        <v>220</v>
      </c>
      <c r="D137" s="17">
        <v>220</v>
      </c>
      <c r="E137" s="16">
        <v>44839</v>
      </c>
      <c r="F137" t="s">
        <v>58</v>
      </c>
      <c r="H137" s="17">
        <f t="shared" si="15"/>
        <v>0</v>
      </c>
      <c r="I137" s="17" t="s">
        <v>769</v>
      </c>
      <c r="J137" s="48"/>
      <c r="K137" s="17"/>
      <c r="L137" s="49"/>
    </row>
    <row r="138" spans="1:12" x14ac:dyDescent="0.25">
      <c r="A138" s="10">
        <v>42</v>
      </c>
      <c r="B138" s="48">
        <f t="shared" si="16"/>
        <v>44846</v>
      </c>
      <c r="C138" s="17">
        <v>220</v>
      </c>
      <c r="D138" s="17">
        <v>220</v>
      </c>
      <c r="E138" s="16">
        <v>44846</v>
      </c>
      <c r="F138" t="s">
        <v>58</v>
      </c>
      <c r="H138" s="17">
        <f t="shared" si="15"/>
        <v>0</v>
      </c>
      <c r="I138" s="17" t="s">
        <v>769</v>
      </c>
      <c r="J138" s="48"/>
      <c r="K138" s="17"/>
      <c r="L138" s="49"/>
    </row>
    <row r="139" spans="1:12" x14ac:dyDescent="0.25">
      <c r="A139" s="10">
        <v>43</v>
      </c>
      <c r="B139" s="48">
        <f t="shared" si="16"/>
        <v>44853</v>
      </c>
      <c r="C139" s="17">
        <v>220</v>
      </c>
      <c r="D139" s="17">
        <v>220</v>
      </c>
      <c r="E139" s="16">
        <v>44853</v>
      </c>
      <c r="F139" t="s">
        <v>58</v>
      </c>
      <c r="H139" s="17">
        <f t="shared" si="15"/>
        <v>0</v>
      </c>
      <c r="I139" s="17" t="s">
        <v>769</v>
      </c>
      <c r="J139" s="48"/>
      <c r="K139" s="17"/>
      <c r="L139" s="49"/>
    </row>
    <row r="140" spans="1:12" ht="15" customHeight="1" x14ac:dyDescent="0.25">
      <c r="A140" s="10">
        <v>44</v>
      </c>
      <c r="B140" s="48">
        <f t="shared" si="16"/>
        <v>44860</v>
      </c>
      <c r="C140" s="17">
        <v>220</v>
      </c>
      <c r="D140" s="17">
        <v>220</v>
      </c>
      <c r="E140" s="16">
        <v>44860</v>
      </c>
      <c r="F140" t="s">
        <v>58</v>
      </c>
      <c r="H140" s="17">
        <f t="shared" si="15"/>
        <v>0</v>
      </c>
      <c r="I140" s="17" t="s">
        <v>769</v>
      </c>
      <c r="J140" s="48"/>
      <c r="K140" s="17"/>
      <c r="L140" s="49"/>
    </row>
    <row r="141" spans="1:12" ht="15" customHeight="1" x14ac:dyDescent="0.25">
      <c r="A141" s="10">
        <v>45</v>
      </c>
      <c r="B141" s="48">
        <f t="shared" si="16"/>
        <v>44867</v>
      </c>
      <c r="C141" s="17">
        <v>220</v>
      </c>
      <c r="D141" s="17">
        <v>220</v>
      </c>
      <c r="E141" s="16">
        <v>44867</v>
      </c>
      <c r="F141" t="s">
        <v>58</v>
      </c>
      <c r="H141" s="17">
        <f t="shared" si="15"/>
        <v>0</v>
      </c>
      <c r="I141" s="17" t="s">
        <v>769</v>
      </c>
      <c r="J141" s="48"/>
      <c r="K141" s="17"/>
      <c r="L141" s="49"/>
    </row>
    <row r="142" spans="1:12" ht="15" customHeight="1" x14ac:dyDescent="0.25">
      <c r="A142" s="10">
        <v>46</v>
      </c>
      <c r="B142" s="48">
        <f t="shared" si="16"/>
        <v>44874</v>
      </c>
      <c r="C142" s="17">
        <v>220</v>
      </c>
      <c r="D142" s="17">
        <v>220</v>
      </c>
      <c r="E142" s="16">
        <v>44874</v>
      </c>
      <c r="F142" t="s">
        <v>58</v>
      </c>
      <c r="H142" s="17">
        <f t="shared" si="15"/>
        <v>0</v>
      </c>
      <c r="I142" s="17" t="s">
        <v>769</v>
      </c>
      <c r="J142" s="48"/>
      <c r="K142" s="17"/>
      <c r="L142" s="49"/>
    </row>
    <row r="143" spans="1:12" ht="15" customHeight="1" x14ac:dyDescent="0.25">
      <c r="A143" s="10">
        <v>47</v>
      </c>
      <c r="B143" s="48">
        <f t="shared" si="16"/>
        <v>44881</v>
      </c>
      <c r="C143" s="17">
        <v>220</v>
      </c>
      <c r="D143" s="17">
        <v>220</v>
      </c>
      <c r="E143" s="16">
        <v>44881</v>
      </c>
      <c r="F143" t="s">
        <v>58</v>
      </c>
      <c r="H143" s="17">
        <f t="shared" si="15"/>
        <v>0</v>
      </c>
      <c r="I143" s="17" t="s">
        <v>769</v>
      </c>
      <c r="J143" s="48"/>
      <c r="K143" s="17"/>
      <c r="L143" s="49"/>
    </row>
    <row r="144" spans="1:12" ht="15" customHeight="1" x14ac:dyDescent="0.25">
      <c r="A144" s="10">
        <v>48</v>
      </c>
      <c r="B144" s="16">
        <f t="shared" ref="B144:B149" si="17">B143+7</f>
        <v>44888</v>
      </c>
      <c r="C144" s="17">
        <v>220</v>
      </c>
      <c r="D144" s="17">
        <v>220</v>
      </c>
      <c r="E144" s="16">
        <v>44886</v>
      </c>
      <c r="F144" t="s">
        <v>58</v>
      </c>
      <c r="H144" s="17">
        <f t="shared" si="15"/>
        <v>0</v>
      </c>
      <c r="I144" s="17" t="s">
        <v>769</v>
      </c>
      <c r="J144" s="48"/>
      <c r="K144" s="17"/>
      <c r="L144" s="49"/>
    </row>
    <row r="145" spans="1:12" ht="15" customHeight="1" x14ac:dyDescent="0.25">
      <c r="A145" s="10">
        <v>49</v>
      </c>
      <c r="B145" s="16">
        <f t="shared" si="17"/>
        <v>44895</v>
      </c>
      <c r="C145" s="17">
        <v>220</v>
      </c>
      <c r="D145" s="17">
        <v>220</v>
      </c>
      <c r="E145" s="16">
        <v>44895</v>
      </c>
      <c r="F145" t="s">
        <v>58</v>
      </c>
      <c r="H145" s="17">
        <f t="shared" si="15"/>
        <v>0</v>
      </c>
      <c r="I145" s="17" t="s">
        <v>769</v>
      </c>
      <c r="J145" s="48"/>
      <c r="K145" s="17"/>
      <c r="L145" s="49"/>
    </row>
    <row r="146" spans="1:12" ht="15" customHeight="1" x14ac:dyDescent="0.25">
      <c r="A146" s="10">
        <v>50</v>
      </c>
      <c r="B146" s="16">
        <f t="shared" si="17"/>
        <v>44902</v>
      </c>
      <c r="C146" s="17">
        <v>220</v>
      </c>
      <c r="D146" s="17">
        <v>220</v>
      </c>
      <c r="E146" s="16">
        <v>44902</v>
      </c>
      <c r="F146" t="s">
        <v>58</v>
      </c>
      <c r="H146" s="17">
        <f t="shared" si="15"/>
        <v>0</v>
      </c>
      <c r="I146" s="17" t="s">
        <v>769</v>
      </c>
      <c r="J146" s="48"/>
      <c r="K146" s="17"/>
      <c r="L146" s="49"/>
    </row>
    <row r="147" spans="1:12" ht="15" customHeight="1" x14ac:dyDescent="0.25">
      <c r="A147" s="10">
        <v>51</v>
      </c>
      <c r="B147" s="16">
        <f t="shared" si="17"/>
        <v>44909</v>
      </c>
      <c r="C147" s="17">
        <v>220</v>
      </c>
      <c r="D147" s="17">
        <v>220</v>
      </c>
      <c r="E147" s="16">
        <v>44909</v>
      </c>
      <c r="F147" t="s">
        <v>58</v>
      </c>
      <c r="H147" s="17">
        <f t="shared" si="15"/>
        <v>0</v>
      </c>
      <c r="I147" s="17" t="s">
        <v>769</v>
      </c>
      <c r="J147" s="48"/>
      <c r="K147" s="17"/>
      <c r="L147" s="49"/>
    </row>
    <row r="148" spans="1:12" ht="15" customHeight="1" x14ac:dyDescent="0.25">
      <c r="A148" s="10">
        <v>52</v>
      </c>
      <c r="B148" s="16">
        <f t="shared" si="17"/>
        <v>44916</v>
      </c>
      <c r="C148" s="17">
        <v>220</v>
      </c>
      <c r="D148" s="17">
        <v>220</v>
      </c>
      <c r="E148" s="16">
        <v>44916</v>
      </c>
      <c r="F148" t="s">
        <v>58</v>
      </c>
      <c r="H148" s="17">
        <f t="shared" si="15"/>
        <v>0</v>
      </c>
      <c r="I148" s="17" t="s">
        <v>769</v>
      </c>
      <c r="J148" s="48"/>
      <c r="K148" s="17"/>
      <c r="L148" s="49"/>
    </row>
    <row r="149" spans="1:12" ht="15" customHeight="1" x14ac:dyDescent="0.25">
      <c r="A149" s="10">
        <v>53</v>
      </c>
      <c r="B149" s="16">
        <f t="shared" si="17"/>
        <v>44923</v>
      </c>
      <c r="F149" t="s">
        <v>124</v>
      </c>
      <c r="H149" s="17">
        <f t="shared" si="15"/>
        <v>0</v>
      </c>
      <c r="I149" s="17" t="s">
        <v>769</v>
      </c>
      <c r="J149" s="48"/>
      <c r="K149" s="17"/>
      <c r="L149" s="49"/>
    </row>
    <row r="150" spans="1:12" ht="15" customHeight="1" x14ac:dyDescent="0.25">
      <c r="A150" s="10">
        <v>1</v>
      </c>
      <c r="B150" s="16">
        <v>44957</v>
      </c>
      <c r="C150" s="17">
        <v>300</v>
      </c>
      <c r="D150" s="17">
        <v>300</v>
      </c>
      <c r="E150" s="16">
        <v>44957</v>
      </c>
      <c r="F150" t="s">
        <v>181</v>
      </c>
      <c r="H150" s="17">
        <f t="shared" si="15"/>
        <v>0</v>
      </c>
      <c r="I150" s="17" t="s">
        <v>985</v>
      </c>
      <c r="J150" s="48"/>
      <c r="K150" s="17"/>
      <c r="L150" s="49"/>
    </row>
    <row r="151" spans="1:12" ht="15" customHeight="1" x14ac:dyDescent="0.25">
      <c r="A151" s="10">
        <v>1</v>
      </c>
      <c r="B151" s="16">
        <v>44957</v>
      </c>
      <c r="C151" s="17">
        <v>200</v>
      </c>
      <c r="D151" s="17">
        <v>200</v>
      </c>
      <c r="E151" s="16">
        <v>44957</v>
      </c>
      <c r="F151" t="s">
        <v>117</v>
      </c>
      <c r="H151" s="17">
        <f t="shared" si="15"/>
        <v>0</v>
      </c>
      <c r="I151" s="17" t="s">
        <v>985</v>
      </c>
      <c r="J151" s="48"/>
      <c r="K151" s="17"/>
      <c r="L151" s="49"/>
    </row>
    <row r="152" spans="1:12" ht="15" customHeight="1" x14ac:dyDescent="0.25">
      <c r="A152" s="10">
        <v>2</v>
      </c>
      <c r="B152" s="16">
        <f>B151+7</f>
        <v>44964</v>
      </c>
      <c r="C152" s="17">
        <v>200</v>
      </c>
      <c r="D152" s="17">
        <v>200</v>
      </c>
      <c r="E152" s="16">
        <v>44965</v>
      </c>
      <c r="F152" t="s">
        <v>117</v>
      </c>
      <c r="H152" s="17">
        <f t="shared" si="15"/>
        <v>0</v>
      </c>
      <c r="I152" s="17" t="s">
        <v>985</v>
      </c>
      <c r="J152" s="48"/>
      <c r="K152" s="17"/>
      <c r="L152" s="49"/>
    </row>
    <row r="153" spans="1:12" ht="15" customHeight="1" x14ac:dyDescent="0.25">
      <c r="A153" s="10">
        <v>3</v>
      </c>
      <c r="B153" s="16">
        <f>B152+7</f>
        <v>44971</v>
      </c>
      <c r="C153" s="17">
        <v>200</v>
      </c>
      <c r="D153" s="17">
        <v>200</v>
      </c>
      <c r="E153" s="16">
        <v>44971</v>
      </c>
      <c r="F153" t="s">
        <v>117</v>
      </c>
      <c r="H153" s="17">
        <f t="shared" si="15"/>
        <v>0</v>
      </c>
      <c r="I153" s="17" t="s">
        <v>985</v>
      </c>
      <c r="J153" s="48"/>
      <c r="K153" s="17"/>
      <c r="L153" s="49"/>
    </row>
    <row r="154" spans="1:12" ht="15" customHeight="1" x14ac:dyDescent="0.25">
      <c r="A154" s="10">
        <v>4</v>
      </c>
      <c r="B154" s="16">
        <f>B153+7</f>
        <v>44978</v>
      </c>
      <c r="C154" s="17">
        <v>200</v>
      </c>
      <c r="D154" s="17">
        <v>200</v>
      </c>
      <c r="E154" s="16">
        <v>44977</v>
      </c>
      <c r="F154" t="s">
        <v>117</v>
      </c>
      <c r="H154" s="17">
        <f t="shared" si="15"/>
        <v>0</v>
      </c>
      <c r="I154" s="17" t="s">
        <v>985</v>
      </c>
      <c r="J154" s="48"/>
      <c r="K154" s="17"/>
      <c r="L154" s="49"/>
    </row>
    <row r="155" spans="1:12" ht="15" customHeight="1" x14ac:dyDescent="0.25">
      <c r="A155" s="10">
        <v>5</v>
      </c>
      <c r="B155" s="16">
        <f>B154+7</f>
        <v>44985</v>
      </c>
      <c r="C155" s="17">
        <v>200</v>
      </c>
      <c r="D155" s="17">
        <v>200</v>
      </c>
      <c r="E155" s="16">
        <v>44986</v>
      </c>
      <c r="F155" t="s">
        <v>117</v>
      </c>
      <c r="H155" s="17">
        <f t="shared" si="15"/>
        <v>0</v>
      </c>
      <c r="I155" s="17" t="s">
        <v>985</v>
      </c>
      <c r="J155" s="48"/>
      <c r="K155" s="17"/>
      <c r="L155" s="49"/>
    </row>
    <row r="156" spans="1:12" ht="15" customHeight="1" x14ac:dyDescent="0.25">
      <c r="J156" s="48"/>
      <c r="K156" s="17"/>
      <c r="L156" s="49"/>
    </row>
    <row r="157" spans="1:12" ht="15" customHeight="1" x14ac:dyDescent="0.25">
      <c r="J157" s="48"/>
      <c r="K157" s="17"/>
      <c r="L157" s="49"/>
    </row>
    <row r="158" spans="1:12" ht="15" customHeight="1" x14ac:dyDescent="0.25">
      <c r="J158" s="48"/>
      <c r="K158" s="17"/>
      <c r="L158" s="49"/>
    </row>
    <row r="159" spans="1:12" ht="15" customHeight="1" x14ac:dyDescent="0.25">
      <c r="J159" s="48"/>
      <c r="K159" s="17"/>
      <c r="L159" s="49"/>
    </row>
    <row r="160" spans="1:12" ht="15" customHeight="1" x14ac:dyDescent="0.25">
      <c r="J160" s="48"/>
      <c r="K160" s="17"/>
      <c r="L160" s="49"/>
    </row>
    <row r="161" spans="10:12" ht="15" customHeight="1" x14ac:dyDescent="0.25">
      <c r="J161" s="48"/>
      <c r="K161" s="17"/>
      <c r="L161" s="49"/>
    </row>
    <row r="162" spans="10:12" ht="15" customHeight="1" x14ac:dyDescent="0.25">
      <c r="J162" s="48"/>
      <c r="K162" s="17"/>
      <c r="L162" s="49"/>
    </row>
    <row r="163" spans="10:12" ht="15" customHeight="1" x14ac:dyDescent="0.25">
      <c r="J163" s="48"/>
      <c r="K163" s="17"/>
      <c r="L163" s="49"/>
    </row>
    <row r="164" spans="10:12" ht="15" customHeight="1" x14ac:dyDescent="0.25">
      <c r="J164" s="48"/>
      <c r="K164" s="17"/>
      <c r="L164" s="49"/>
    </row>
    <row r="165" spans="10:12" ht="15" customHeight="1" x14ac:dyDescent="0.25">
      <c r="J165" s="48"/>
      <c r="K165" s="17"/>
      <c r="L165" s="49"/>
    </row>
    <row r="166" spans="10:12" ht="15" customHeight="1" x14ac:dyDescent="0.25">
      <c r="J166" s="48"/>
      <c r="K166" s="17"/>
      <c r="L166" s="49"/>
    </row>
    <row r="167" spans="10:12" ht="15" customHeight="1" x14ac:dyDescent="0.25">
      <c r="J167" s="48"/>
      <c r="K167" s="17"/>
      <c r="L167" s="49"/>
    </row>
    <row r="168" spans="10:12" ht="15" customHeight="1" x14ac:dyDescent="0.25">
      <c r="J168" s="48"/>
      <c r="K168" s="17"/>
      <c r="L168" s="49"/>
    </row>
    <row r="169" spans="10:12" ht="15" customHeight="1" x14ac:dyDescent="0.25">
      <c r="J169" s="48"/>
      <c r="K169" s="17"/>
      <c r="L169" s="49"/>
    </row>
    <row r="170" spans="10:12" ht="15" customHeight="1" x14ac:dyDescent="0.25">
      <c r="J170" s="48"/>
      <c r="K170" s="17"/>
      <c r="L170" s="49"/>
    </row>
    <row r="171" spans="10:12" ht="15" customHeight="1" x14ac:dyDescent="0.25">
      <c r="J171" s="48"/>
      <c r="K171" s="17"/>
      <c r="L171" s="49"/>
    </row>
    <row r="172" spans="10:12" ht="15" customHeight="1" x14ac:dyDescent="0.25">
      <c r="J172" s="48"/>
      <c r="K172" s="17"/>
      <c r="L172" s="49"/>
    </row>
    <row r="173" spans="10:12" ht="15" customHeight="1" x14ac:dyDescent="0.25">
      <c r="J173" s="48"/>
      <c r="K173" s="17"/>
      <c r="L173" s="49"/>
    </row>
    <row r="174" spans="10:12" ht="15" customHeight="1" x14ac:dyDescent="0.25">
      <c r="J174" s="48"/>
      <c r="K174" s="17"/>
      <c r="L174" s="49"/>
    </row>
    <row r="175" spans="10:12" ht="15" customHeight="1" x14ac:dyDescent="0.25">
      <c r="J175" s="48"/>
      <c r="K175" s="17"/>
      <c r="L175" s="49"/>
    </row>
    <row r="176" spans="10:12" ht="15" customHeight="1" x14ac:dyDescent="0.25">
      <c r="J176" s="48"/>
      <c r="K176" s="17"/>
      <c r="L176" s="49"/>
    </row>
    <row r="177" spans="10:12" ht="15" customHeight="1" x14ac:dyDescent="0.25">
      <c r="J177" s="48"/>
      <c r="K177" s="17"/>
      <c r="L177" s="49"/>
    </row>
    <row r="178" spans="10:12" ht="15" customHeight="1" x14ac:dyDescent="0.25">
      <c r="J178" s="48"/>
      <c r="K178" s="17"/>
      <c r="L178" s="49"/>
    </row>
    <row r="179" spans="10:12" ht="15" customHeight="1" x14ac:dyDescent="0.25">
      <c r="J179" s="48"/>
      <c r="K179" s="17"/>
      <c r="L179" s="49"/>
    </row>
    <row r="180" spans="10:12" ht="15" customHeight="1" x14ac:dyDescent="0.25">
      <c r="J180" s="48"/>
      <c r="K180" s="17"/>
      <c r="L180" s="49"/>
    </row>
    <row r="181" spans="10:12" ht="15" customHeight="1" x14ac:dyDescent="0.25">
      <c r="J181" s="48"/>
      <c r="K181" s="17"/>
      <c r="L181" s="49"/>
    </row>
    <row r="182" spans="10:12" ht="15" customHeight="1" x14ac:dyDescent="0.25">
      <c r="J182" s="48"/>
      <c r="K182" s="17"/>
      <c r="L182" s="49"/>
    </row>
    <row r="183" spans="10:12" ht="15" customHeight="1" x14ac:dyDescent="0.25">
      <c r="J183" s="48"/>
      <c r="K183" s="17"/>
      <c r="L183" s="49"/>
    </row>
    <row r="184" spans="10:12" ht="15" customHeight="1" x14ac:dyDescent="0.25">
      <c r="J184" s="48"/>
      <c r="K184" s="17"/>
      <c r="L184" s="49"/>
    </row>
    <row r="185" spans="10:12" ht="15" customHeight="1" x14ac:dyDescent="0.25">
      <c r="J185" s="48"/>
      <c r="K185" s="17"/>
      <c r="L185" s="49"/>
    </row>
    <row r="186" spans="10:12" ht="15" customHeight="1" x14ac:dyDescent="0.25">
      <c r="J186" s="48"/>
      <c r="K186" s="17"/>
      <c r="L186" s="49"/>
    </row>
    <row r="187" spans="10:12" ht="15" customHeight="1" x14ac:dyDescent="0.25">
      <c r="J187" s="48"/>
      <c r="K187" s="17"/>
      <c r="L187" s="49"/>
    </row>
    <row r="188" spans="10:12" ht="15" customHeight="1" x14ac:dyDescent="0.25">
      <c r="J188" s="48"/>
      <c r="K188" s="17"/>
      <c r="L188" s="49"/>
    </row>
    <row r="189" spans="10:12" ht="15" customHeight="1" x14ac:dyDescent="0.25">
      <c r="J189" s="48"/>
      <c r="K189" s="17"/>
      <c r="L189" s="49"/>
    </row>
    <row r="190" spans="10:12" ht="15" customHeight="1" x14ac:dyDescent="0.25">
      <c r="J190" s="48"/>
      <c r="K190" s="17"/>
      <c r="L190" s="49"/>
    </row>
    <row r="191" spans="10:12" ht="15" customHeight="1" x14ac:dyDescent="0.25">
      <c r="J191" s="48"/>
      <c r="K191" s="17"/>
      <c r="L191" s="49"/>
    </row>
    <row r="192" spans="10:12" ht="15" customHeight="1" x14ac:dyDescent="0.25">
      <c r="J192" s="48"/>
      <c r="K192" s="17"/>
      <c r="L192" s="49"/>
    </row>
    <row r="193" spans="10:12" ht="15" customHeight="1" x14ac:dyDescent="0.25">
      <c r="J193" s="48"/>
      <c r="K193" s="17"/>
      <c r="L193" s="49"/>
    </row>
    <row r="194" spans="10:12" ht="15" customHeight="1" x14ac:dyDescent="0.25">
      <c r="J194" s="48"/>
      <c r="K194" s="17"/>
      <c r="L194" s="49"/>
    </row>
    <row r="195" spans="10:12" ht="15" customHeight="1" x14ac:dyDescent="0.25">
      <c r="J195" s="48"/>
      <c r="K195" s="17"/>
      <c r="L195" s="49"/>
    </row>
    <row r="196" spans="10:12" ht="15" customHeight="1" x14ac:dyDescent="0.25">
      <c r="J196" s="48"/>
      <c r="K196" s="17"/>
      <c r="L196" s="49"/>
    </row>
    <row r="197" spans="10:12" ht="15" customHeight="1" x14ac:dyDescent="0.25">
      <c r="J197" s="48"/>
      <c r="K197" s="17"/>
      <c r="L197" s="49"/>
    </row>
    <row r="198" spans="10:12" ht="15" customHeight="1" x14ac:dyDescent="0.25">
      <c r="J198" s="48"/>
      <c r="K198" s="17"/>
      <c r="L198" s="49"/>
    </row>
    <row r="199" spans="10:12" ht="15" customHeight="1" x14ac:dyDescent="0.25">
      <c r="J199" s="48"/>
      <c r="K199" s="17"/>
      <c r="L199" s="49"/>
    </row>
    <row r="200" spans="10:12" ht="15" customHeight="1" x14ac:dyDescent="0.25">
      <c r="J200" s="48"/>
      <c r="K200" s="17"/>
      <c r="L200" s="49"/>
    </row>
    <row r="201" spans="10:12" ht="15" customHeight="1" x14ac:dyDescent="0.25">
      <c r="J201" s="48"/>
      <c r="K201" s="17"/>
      <c r="L201" s="49"/>
    </row>
    <row r="202" spans="10:12" ht="15" customHeight="1" x14ac:dyDescent="0.25">
      <c r="J202" s="48"/>
      <c r="K202" s="17"/>
      <c r="L202" s="49"/>
    </row>
    <row r="203" spans="10:12" ht="15" customHeight="1" x14ac:dyDescent="0.25">
      <c r="J203" s="48"/>
      <c r="K203" s="17"/>
      <c r="L203" s="49"/>
    </row>
    <row r="204" spans="10:12" ht="15" customHeight="1" x14ac:dyDescent="0.25">
      <c r="J204" s="48"/>
      <c r="K204" s="17"/>
      <c r="L204" s="49"/>
    </row>
    <row r="205" spans="10:12" ht="15" customHeight="1" x14ac:dyDescent="0.25">
      <c r="J205" s="48"/>
      <c r="K205" s="17"/>
      <c r="L205" s="49"/>
    </row>
    <row r="206" spans="10:12" ht="15" customHeight="1" x14ac:dyDescent="0.25">
      <c r="J206" s="48"/>
      <c r="K206" s="17"/>
      <c r="L206" s="49"/>
    </row>
    <row r="207" spans="10:12" ht="15" customHeight="1" x14ac:dyDescent="0.25">
      <c r="J207" s="48"/>
      <c r="K207" s="17"/>
      <c r="L207" s="49"/>
    </row>
    <row r="208" spans="10:12" ht="15" customHeight="1" x14ac:dyDescent="0.25">
      <c r="J208" s="48"/>
      <c r="K208" s="17"/>
      <c r="L208" s="49"/>
    </row>
    <row r="209" spans="10:12" ht="15" customHeight="1" x14ac:dyDescent="0.25">
      <c r="J209" s="48"/>
      <c r="K209" s="17"/>
      <c r="L209" s="49"/>
    </row>
    <row r="210" spans="10:12" ht="15" customHeight="1" x14ac:dyDescent="0.25">
      <c r="J210" s="48"/>
      <c r="K210" s="17"/>
      <c r="L210" s="49"/>
    </row>
    <row r="211" spans="10:12" ht="15" customHeight="1" x14ac:dyDescent="0.25">
      <c r="J211" s="48"/>
      <c r="K211" s="17"/>
      <c r="L211" s="49"/>
    </row>
    <row r="212" spans="10:12" ht="15" customHeight="1" x14ac:dyDescent="0.25">
      <c r="J212" s="48"/>
      <c r="K212" s="17"/>
      <c r="L212" s="49"/>
    </row>
    <row r="213" spans="10:12" ht="15" customHeight="1" x14ac:dyDescent="0.25">
      <c r="J213" s="48"/>
      <c r="K213" s="17"/>
      <c r="L213" s="49"/>
    </row>
    <row r="214" spans="10:12" ht="15" customHeight="1" x14ac:dyDescent="0.25">
      <c r="J214" s="48"/>
      <c r="K214" s="17"/>
      <c r="L214" s="49"/>
    </row>
    <row r="215" spans="10:12" ht="15" customHeight="1" x14ac:dyDescent="0.25">
      <c r="J215" s="48"/>
      <c r="K215" s="17"/>
      <c r="L215" s="49"/>
    </row>
    <row r="216" spans="10:12" ht="15" customHeight="1" x14ac:dyDescent="0.25">
      <c r="J216" s="48"/>
      <c r="K216" s="17"/>
      <c r="L216" s="49"/>
    </row>
    <row r="217" spans="10:12" ht="15" customHeight="1" x14ac:dyDescent="0.25">
      <c r="J217" s="48"/>
      <c r="K217" s="17"/>
      <c r="L217" s="49"/>
    </row>
    <row r="218" spans="10:12" ht="15" customHeight="1" x14ac:dyDescent="0.25">
      <c r="J218" s="48"/>
      <c r="K218" s="17"/>
      <c r="L218" s="49"/>
    </row>
    <row r="219" spans="10:12" ht="15" customHeight="1" x14ac:dyDescent="0.25">
      <c r="J219" s="48"/>
      <c r="K219" s="17"/>
      <c r="L219" s="49"/>
    </row>
    <row r="220" spans="10:12" ht="15" customHeight="1" x14ac:dyDescent="0.25">
      <c r="J220" s="48"/>
      <c r="K220" s="17"/>
      <c r="L220" s="49"/>
    </row>
    <row r="221" spans="10:12" ht="15" customHeight="1" x14ac:dyDescent="0.25">
      <c r="J221" s="48"/>
      <c r="K221" s="17"/>
      <c r="L221" s="49"/>
    </row>
    <row r="222" spans="10:12" ht="15" customHeight="1" x14ac:dyDescent="0.25">
      <c r="J222" s="48"/>
      <c r="K222" s="17"/>
      <c r="L222" s="49"/>
    </row>
    <row r="223" spans="10:12" ht="15" customHeight="1" x14ac:dyDescent="0.25">
      <c r="J223" s="48"/>
      <c r="K223" s="17"/>
      <c r="L223" s="49"/>
    </row>
    <row r="224" spans="10:12" ht="15" customHeight="1" x14ac:dyDescent="0.25">
      <c r="J224" s="48"/>
      <c r="K224" s="17"/>
      <c r="L224" s="49"/>
    </row>
    <row r="225" spans="10:12" ht="15" customHeight="1" x14ac:dyDescent="0.25">
      <c r="J225" s="48"/>
      <c r="K225" s="17"/>
      <c r="L225" s="49"/>
    </row>
    <row r="226" spans="10:12" ht="15" customHeight="1" x14ac:dyDescent="0.25">
      <c r="J226" s="48"/>
      <c r="K226" s="17"/>
      <c r="L226" s="49"/>
    </row>
    <row r="227" spans="10:12" ht="15" customHeight="1" x14ac:dyDescent="0.25">
      <c r="J227" s="48"/>
      <c r="K227" s="17"/>
      <c r="L227" s="49"/>
    </row>
    <row r="228" spans="10:12" ht="15" customHeight="1" x14ac:dyDescent="0.25">
      <c r="J228" s="48"/>
      <c r="K228" s="17"/>
      <c r="L228" s="49"/>
    </row>
    <row r="229" spans="10:12" ht="15" customHeight="1" x14ac:dyDescent="0.25">
      <c r="J229" s="48"/>
      <c r="K229" s="17"/>
      <c r="L229" s="49"/>
    </row>
    <row r="230" spans="10:12" ht="15" customHeight="1" x14ac:dyDescent="0.25">
      <c r="J230" s="48"/>
      <c r="K230" s="17"/>
      <c r="L230" s="49"/>
    </row>
    <row r="231" spans="10:12" ht="15" customHeight="1" x14ac:dyDescent="0.25">
      <c r="J231" s="48"/>
      <c r="K231" s="17"/>
      <c r="L231" s="49"/>
    </row>
    <row r="232" spans="10:12" ht="15" customHeight="1" x14ac:dyDescent="0.25">
      <c r="J232" s="48"/>
      <c r="K232" s="17"/>
      <c r="L232" s="49"/>
    </row>
    <row r="233" spans="10:12" ht="15" customHeight="1" x14ac:dyDescent="0.25">
      <c r="J233" s="48"/>
      <c r="K233" s="17"/>
      <c r="L233" s="49"/>
    </row>
    <row r="234" spans="10:12" ht="15" customHeight="1" x14ac:dyDescent="0.25">
      <c r="J234" s="48"/>
      <c r="K234" s="17"/>
      <c r="L234" s="49"/>
    </row>
    <row r="235" spans="10:12" ht="15" customHeight="1" x14ac:dyDescent="0.25">
      <c r="J235" s="48"/>
      <c r="K235" s="17"/>
      <c r="L235" s="49"/>
    </row>
    <row r="236" spans="10:12" ht="15" customHeight="1" x14ac:dyDescent="0.25">
      <c r="J236" s="48"/>
      <c r="K236" s="17"/>
      <c r="L236" s="49"/>
    </row>
    <row r="237" spans="10:12" ht="15" customHeight="1" x14ac:dyDescent="0.25">
      <c r="J237" s="48"/>
      <c r="K237" s="17"/>
      <c r="L237" s="49"/>
    </row>
    <row r="238" spans="10:12" ht="15" customHeight="1" x14ac:dyDescent="0.25">
      <c r="J238" s="48"/>
      <c r="K238" s="17"/>
      <c r="L238" s="49"/>
    </row>
    <row r="239" spans="10:12" ht="15" customHeight="1" x14ac:dyDescent="0.25">
      <c r="J239" s="48"/>
      <c r="K239" s="17"/>
      <c r="L239" s="49"/>
    </row>
    <row r="240" spans="10:12" ht="15" customHeight="1" x14ac:dyDescent="0.25">
      <c r="J240" s="48"/>
      <c r="K240" s="17"/>
      <c r="L240" s="49"/>
    </row>
    <row r="241" spans="10:12" ht="15" customHeight="1" x14ac:dyDescent="0.25">
      <c r="J241" s="48"/>
      <c r="K241" s="17"/>
      <c r="L241" s="49"/>
    </row>
    <row r="242" spans="10:12" ht="15" customHeight="1" x14ac:dyDescent="0.25">
      <c r="J242" s="48"/>
      <c r="K242" s="17"/>
      <c r="L242" s="49"/>
    </row>
    <row r="243" spans="10:12" ht="15" customHeight="1" x14ac:dyDescent="0.25">
      <c r="J243" s="48"/>
      <c r="K243" s="17"/>
      <c r="L243" s="49"/>
    </row>
    <row r="244" spans="10:12" ht="15" customHeight="1" x14ac:dyDescent="0.25">
      <c r="J244" s="48"/>
      <c r="K244" s="17"/>
      <c r="L244" s="49"/>
    </row>
    <row r="245" spans="10:12" ht="15" customHeight="1" x14ac:dyDescent="0.25">
      <c r="J245" s="48"/>
      <c r="K245" s="17"/>
      <c r="L245" s="49"/>
    </row>
    <row r="246" spans="10:12" ht="15" customHeight="1" x14ac:dyDescent="0.25">
      <c r="J246" s="48"/>
      <c r="K246" s="17"/>
      <c r="L246" s="49"/>
    </row>
    <row r="247" spans="10:12" ht="15" customHeight="1" x14ac:dyDescent="0.25">
      <c r="J247" s="48"/>
      <c r="K247" s="17"/>
      <c r="L247" s="49"/>
    </row>
    <row r="248" spans="10:12" ht="15" customHeight="1" x14ac:dyDescent="0.25">
      <c r="J248" s="48"/>
      <c r="K248" s="17"/>
      <c r="L248" s="49"/>
    </row>
    <row r="249" spans="10:12" ht="15" customHeight="1" x14ac:dyDescent="0.25">
      <c r="J249" s="48"/>
      <c r="K249" s="17"/>
      <c r="L249" s="49"/>
    </row>
    <row r="250" spans="10:12" ht="15" customHeight="1" x14ac:dyDescent="0.25">
      <c r="J250" s="48"/>
      <c r="K250" s="17"/>
      <c r="L250" s="49"/>
    </row>
    <row r="251" spans="10:12" ht="15" customHeight="1" x14ac:dyDescent="0.25">
      <c r="J251" s="48"/>
      <c r="K251" s="17"/>
      <c r="L251" s="49"/>
    </row>
    <row r="252" spans="10:12" ht="15" customHeight="1" x14ac:dyDescent="0.25">
      <c r="J252" s="48"/>
      <c r="K252" s="17"/>
      <c r="L252" s="49"/>
    </row>
    <row r="253" spans="10:12" ht="15" customHeight="1" x14ac:dyDescent="0.25">
      <c r="J253" s="48"/>
      <c r="K253" s="17"/>
      <c r="L253" s="49"/>
    </row>
    <row r="254" spans="10:12" ht="15" customHeight="1" x14ac:dyDescent="0.25">
      <c r="J254" s="48"/>
      <c r="K254" s="17"/>
      <c r="L254" s="49"/>
    </row>
    <row r="255" spans="10:12" ht="15" customHeight="1" x14ac:dyDescent="0.25">
      <c r="J255" s="48"/>
      <c r="K255" s="17"/>
      <c r="L255" s="49"/>
    </row>
    <row r="256" spans="10:12" ht="15" customHeight="1" x14ac:dyDescent="0.25">
      <c r="J256" s="48"/>
      <c r="K256" s="17"/>
      <c r="L256" s="49"/>
    </row>
    <row r="257" spans="10:12" ht="15" customHeight="1" x14ac:dyDescent="0.25">
      <c r="J257" s="48"/>
      <c r="K257" s="17"/>
      <c r="L257" s="49"/>
    </row>
    <row r="258" spans="10:12" ht="15" customHeight="1" x14ac:dyDescent="0.25">
      <c r="J258" s="48"/>
      <c r="K258" s="17"/>
      <c r="L258" s="49"/>
    </row>
    <row r="259" spans="10:12" ht="15" customHeight="1" x14ac:dyDescent="0.25">
      <c r="J259" s="48"/>
      <c r="K259" s="17"/>
      <c r="L259" s="49"/>
    </row>
    <row r="260" spans="10:12" ht="15" customHeight="1" x14ac:dyDescent="0.25">
      <c r="J260" s="48"/>
      <c r="K260" s="17"/>
      <c r="L260" s="49"/>
    </row>
    <row r="261" spans="10:12" ht="15" customHeight="1" x14ac:dyDescent="0.25">
      <c r="J261" s="48"/>
      <c r="K261" s="17"/>
      <c r="L261" s="49"/>
    </row>
    <row r="262" spans="10:12" ht="15" customHeight="1" x14ac:dyDescent="0.25">
      <c r="J262" s="48"/>
      <c r="K262" s="17"/>
      <c r="L262" s="49"/>
    </row>
    <row r="263" spans="10:12" ht="15" customHeight="1" x14ac:dyDescent="0.25">
      <c r="J263" s="48"/>
      <c r="K263" s="17"/>
      <c r="L263" s="49"/>
    </row>
    <row r="264" spans="10:12" ht="15" customHeight="1" x14ac:dyDescent="0.25">
      <c r="J264" s="48"/>
      <c r="K264" s="17"/>
      <c r="L264" s="49"/>
    </row>
    <row r="265" spans="10:12" ht="15" customHeight="1" x14ac:dyDescent="0.25">
      <c r="J265" s="48"/>
      <c r="K265" s="17"/>
      <c r="L265" s="49"/>
    </row>
    <row r="266" spans="10:12" ht="15" customHeight="1" x14ac:dyDescent="0.25">
      <c r="J266" s="48"/>
      <c r="K266" s="17"/>
      <c r="L266" s="49"/>
    </row>
    <row r="267" spans="10:12" ht="15" customHeight="1" x14ac:dyDescent="0.25">
      <c r="J267" s="48"/>
      <c r="K267" s="17"/>
      <c r="L267" s="49"/>
    </row>
    <row r="268" spans="10:12" ht="15" customHeight="1" x14ac:dyDescent="0.25">
      <c r="J268" s="48"/>
      <c r="K268" s="17"/>
      <c r="L268" s="49"/>
    </row>
    <row r="269" spans="10:12" ht="15" customHeight="1" x14ac:dyDescent="0.25">
      <c r="J269" s="48"/>
      <c r="K269" s="17"/>
      <c r="L269" s="49"/>
    </row>
    <row r="270" spans="10:12" ht="15" customHeight="1" x14ac:dyDescent="0.25">
      <c r="J270" s="48"/>
      <c r="K270" s="17"/>
      <c r="L270" s="49"/>
    </row>
    <row r="271" spans="10:12" ht="15" customHeight="1" x14ac:dyDescent="0.25">
      <c r="J271" s="48"/>
      <c r="K271" s="17"/>
      <c r="L271" s="49"/>
    </row>
    <row r="272" spans="10:12" ht="15" customHeight="1" x14ac:dyDescent="0.25">
      <c r="J272" s="48"/>
      <c r="K272" s="17"/>
      <c r="L272" s="49"/>
    </row>
    <row r="273" spans="10:12" ht="15" customHeight="1" x14ac:dyDescent="0.25">
      <c r="J273" s="48"/>
      <c r="K273" s="17"/>
      <c r="L273" s="49"/>
    </row>
    <row r="274" spans="10:12" ht="15" customHeight="1" x14ac:dyDescent="0.25">
      <c r="J274" s="48"/>
      <c r="K274" s="17"/>
      <c r="L274" s="49"/>
    </row>
    <row r="275" spans="10:12" ht="15" customHeight="1" x14ac:dyDescent="0.25">
      <c r="J275" s="48"/>
      <c r="K275" s="17"/>
      <c r="L275" s="49"/>
    </row>
    <row r="276" spans="10:12" ht="15" customHeight="1" x14ac:dyDescent="0.25">
      <c r="J276" s="48"/>
      <c r="K276" s="17"/>
      <c r="L276" s="49"/>
    </row>
    <row r="277" spans="10:12" ht="15" customHeight="1" x14ac:dyDescent="0.25">
      <c r="J277" s="48"/>
      <c r="K277" s="17"/>
      <c r="L277" s="49"/>
    </row>
    <row r="278" spans="10:12" ht="15" customHeight="1" x14ac:dyDescent="0.25">
      <c r="J278" s="48"/>
      <c r="K278" s="17"/>
      <c r="L278" s="49"/>
    </row>
    <row r="279" spans="10:12" ht="15" customHeight="1" x14ac:dyDescent="0.25">
      <c r="J279" s="48"/>
      <c r="K279" s="17"/>
      <c r="L279" s="49"/>
    </row>
    <row r="280" spans="10:12" ht="15" customHeight="1" x14ac:dyDescent="0.25">
      <c r="J280" s="48"/>
      <c r="K280" s="17"/>
      <c r="L280" s="49"/>
    </row>
    <row r="281" spans="10:12" ht="15" customHeight="1" x14ac:dyDescent="0.25">
      <c r="J281" s="48"/>
      <c r="K281" s="17"/>
      <c r="L281" s="49"/>
    </row>
    <row r="282" spans="10:12" ht="15" customHeight="1" x14ac:dyDescent="0.25">
      <c r="J282" s="48"/>
      <c r="K282" s="17"/>
      <c r="L282" s="49"/>
    </row>
    <row r="283" spans="10:12" ht="15" customHeight="1" x14ac:dyDescent="0.25">
      <c r="J283" s="48"/>
      <c r="K283" s="17"/>
      <c r="L283" s="49"/>
    </row>
    <row r="284" spans="10:12" ht="15" customHeight="1" x14ac:dyDescent="0.25">
      <c r="J284" s="48"/>
      <c r="K284" s="17"/>
      <c r="L284" s="49"/>
    </row>
    <row r="285" spans="10:12" ht="15" customHeight="1" x14ac:dyDescent="0.25">
      <c r="J285" s="48"/>
      <c r="K285" s="17"/>
      <c r="L285" s="49"/>
    </row>
    <row r="286" spans="10:12" ht="15" customHeight="1" x14ac:dyDescent="0.25">
      <c r="J286" s="48"/>
      <c r="K286" s="17"/>
      <c r="L286" s="49"/>
    </row>
    <row r="287" spans="10:12" ht="15" customHeight="1" x14ac:dyDescent="0.25">
      <c r="J287" s="48"/>
      <c r="K287" s="17"/>
      <c r="L287" s="49"/>
    </row>
    <row r="288" spans="10:12" ht="15" customHeight="1" x14ac:dyDescent="0.25">
      <c r="J288" s="48"/>
      <c r="K288" s="17"/>
      <c r="L288" s="49"/>
    </row>
    <row r="289" spans="10:12" ht="15" customHeight="1" x14ac:dyDescent="0.25">
      <c r="J289" s="48"/>
      <c r="K289" s="17"/>
      <c r="L289" s="49"/>
    </row>
    <row r="290" spans="10:12" ht="15" customHeight="1" x14ac:dyDescent="0.25">
      <c r="J290" s="48"/>
      <c r="K290" s="17"/>
      <c r="L290" s="49"/>
    </row>
    <row r="291" spans="10:12" ht="15" customHeight="1" x14ac:dyDescent="0.25">
      <c r="J291" s="48"/>
      <c r="K291" s="17"/>
      <c r="L291" s="49"/>
    </row>
    <row r="292" spans="10:12" ht="15" customHeight="1" x14ac:dyDescent="0.25">
      <c r="J292" s="48"/>
      <c r="K292" s="17"/>
      <c r="L292" s="49"/>
    </row>
    <row r="293" spans="10:12" ht="15" customHeight="1" x14ac:dyDescent="0.25">
      <c r="J293" s="48"/>
      <c r="K293" s="17"/>
      <c r="L293" s="49"/>
    </row>
    <row r="294" spans="10:12" ht="15" customHeight="1" x14ac:dyDescent="0.25">
      <c r="J294" s="48"/>
      <c r="K294" s="17"/>
      <c r="L294" s="49"/>
    </row>
    <row r="295" spans="10:12" ht="15" customHeight="1" x14ac:dyDescent="0.25">
      <c r="J295" s="48"/>
      <c r="K295" s="17"/>
      <c r="L295" s="49"/>
    </row>
    <row r="296" spans="10:12" ht="15" customHeight="1" x14ac:dyDescent="0.25">
      <c r="J296" s="48"/>
      <c r="K296" s="17"/>
      <c r="L296" s="49"/>
    </row>
    <row r="297" spans="10:12" ht="15" customHeight="1" x14ac:dyDescent="0.25">
      <c r="J297" s="48"/>
      <c r="K297" s="17"/>
      <c r="L297" s="49"/>
    </row>
    <row r="298" spans="10:12" ht="15" customHeight="1" x14ac:dyDescent="0.25">
      <c r="J298" s="48"/>
      <c r="K298" s="17"/>
      <c r="L298" s="49"/>
    </row>
    <row r="299" spans="10:12" ht="15" customHeight="1" x14ac:dyDescent="0.25">
      <c r="J299" s="48"/>
      <c r="K299" s="17"/>
      <c r="L299" s="49"/>
    </row>
    <row r="300" spans="10:12" ht="15" customHeight="1" x14ac:dyDescent="0.25">
      <c r="J300" s="48"/>
      <c r="K300" s="17"/>
      <c r="L300" s="49"/>
    </row>
    <row r="301" spans="10:12" ht="15" customHeight="1" x14ac:dyDescent="0.25">
      <c r="J301" s="48"/>
      <c r="K301" s="17"/>
      <c r="L301" s="49"/>
    </row>
    <row r="302" spans="10:12" ht="15" customHeight="1" x14ac:dyDescent="0.25">
      <c r="J302" s="48"/>
      <c r="K302" s="17"/>
      <c r="L302" s="49"/>
    </row>
    <row r="303" spans="10:12" ht="15" customHeight="1" x14ac:dyDescent="0.25">
      <c r="J303" s="48"/>
      <c r="K303" s="17"/>
      <c r="L303" s="49"/>
    </row>
    <row r="304" spans="10:12" ht="15" customHeight="1" x14ac:dyDescent="0.25">
      <c r="J304" s="48"/>
      <c r="K304" s="17"/>
      <c r="L304" s="49"/>
    </row>
    <row r="305" spans="10:12" ht="15" customHeight="1" x14ac:dyDescent="0.25">
      <c r="J305" s="48"/>
      <c r="K305" s="17"/>
      <c r="L305" s="49"/>
    </row>
    <row r="306" spans="10:12" ht="15" customHeight="1" x14ac:dyDescent="0.25">
      <c r="J306" s="48"/>
      <c r="K306" s="17"/>
      <c r="L306" s="49"/>
    </row>
    <row r="307" spans="10:12" ht="15" customHeight="1" x14ac:dyDescent="0.25">
      <c r="J307" s="48"/>
      <c r="K307" s="17"/>
      <c r="L307" s="49"/>
    </row>
    <row r="308" spans="10:12" ht="15" customHeight="1" x14ac:dyDescent="0.25">
      <c r="J308" s="48"/>
      <c r="K308" s="17"/>
      <c r="L308" s="49"/>
    </row>
    <row r="309" spans="10:12" ht="15" customHeight="1" x14ac:dyDescent="0.25">
      <c r="J309" s="48"/>
      <c r="K309" s="17"/>
      <c r="L309" s="49"/>
    </row>
    <row r="310" spans="10:12" ht="15" customHeight="1" x14ac:dyDescent="0.25">
      <c r="J310" s="48"/>
      <c r="K310" s="17"/>
      <c r="L310" s="49"/>
    </row>
    <row r="311" spans="10:12" ht="15" customHeight="1" x14ac:dyDescent="0.25">
      <c r="J311" s="48"/>
      <c r="K311" s="17"/>
      <c r="L311" s="49"/>
    </row>
    <row r="312" spans="10:12" ht="15" customHeight="1" x14ac:dyDescent="0.25">
      <c r="J312" s="48"/>
      <c r="K312" s="17"/>
      <c r="L312" s="49"/>
    </row>
    <row r="313" spans="10:12" ht="15" customHeight="1" x14ac:dyDescent="0.25">
      <c r="J313" s="48"/>
      <c r="K313" s="17"/>
      <c r="L313" s="49"/>
    </row>
    <row r="314" spans="10:12" ht="15" customHeight="1" x14ac:dyDescent="0.25">
      <c r="J314" s="48"/>
      <c r="K314" s="17"/>
      <c r="L314" s="49"/>
    </row>
    <row r="315" spans="10:12" ht="15" customHeight="1" x14ac:dyDescent="0.25">
      <c r="J315" s="48"/>
      <c r="K315" s="17"/>
      <c r="L315" s="49"/>
    </row>
    <row r="316" spans="10:12" ht="15" customHeight="1" x14ac:dyDescent="0.25">
      <c r="J316" s="48"/>
      <c r="K316" s="17"/>
      <c r="L316" s="49"/>
    </row>
    <row r="317" spans="10:12" ht="15" customHeight="1" x14ac:dyDescent="0.25">
      <c r="J317" s="48"/>
      <c r="K317" s="17"/>
      <c r="L317" s="49"/>
    </row>
    <row r="318" spans="10:12" ht="15" customHeight="1" x14ac:dyDescent="0.25">
      <c r="J318" s="48"/>
      <c r="K318" s="17"/>
      <c r="L318" s="49"/>
    </row>
    <row r="319" spans="10:12" ht="15" customHeight="1" x14ac:dyDescent="0.25">
      <c r="J319" s="16"/>
      <c r="K319" s="17"/>
      <c r="L319" s="49"/>
    </row>
    <row r="320" spans="10:12" ht="15" customHeight="1" x14ac:dyDescent="0.25">
      <c r="J320" s="16"/>
      <c r="K320" s="17"/>
      <c r="L320" s="49"/>
    </row>
    <row r="321" spans="10:12" ht="15" customHeight="1" x14ac:dyDescent="0.25">
      <c r="J321" s="16"/>
      <c r="K321" s="17"/>
      <c r="L321" s="49"/>
    </row>
    <row r="322" spans="10:12" ht="15" customHeight="1" x14ac:dyDescent="0.25">
      <c r="J322" s="16"/>
      <c r="K322" s="17"/>
      <c r="L322" s="49"/>
    </row>
    <row r="323" spans="10:12" ht="15" customHeight="1" x14ac:dyDescent="0.25">
      <c r="J323" s="16"/>
      <c r="K323" s="17"/>
      <c r="L323" s="49"/>
    </row>
    <row r="324" spans="10:12" ht="15" customHeight="1" x14ac:dyDescent="0.25">
      <c r="J324" s="16"/>
      <c r="K324" s="17"/>
      <c r="L324" s="49"/>
    </row>
    <row r="325" spans="10:12" ht="15" customHeight="1" x14ac:dyDescent="0.25">
      <c r="J325" s="16"/>
      <c r="K325" s="17"/>
      <c r="L325" s="49"/>
    </row>
    <row r="326" spans="10:12" ht="15" customHeight="1" x14ac:dyDescent="0.25">
      <c r="J326" s="16"/>
      <c r="K326" s="17"/>
      <c r="L326" s="49"/>
    </row>
    <row r="327" spans="10:12" ht="15" customHeight="1" x14ac:dyDescent="0.25">
      <c r="J327" s="16"/>
      <c r="K327" s="17"/>
      <c r="L327" s="49"/>
    </row>
    <row r="328" spans="10:12" ht="15" customHeight="1" x14ac:dyDescent="0.25">
      <c r="J328" s="16"/>
      <c r="K328" s="17"/>
      <c r="L328" s="49"/>
    </row>
    <row r="329" spans="10:12" ht="15" customHeight="1" x14ac:dyDescent="0.25">
      <c r="J329" s="16"/>
      <c r="K329" s="17"/>
      <c r="L329" s="49"/>
    </row>
    <row r="330" spans="10:12" ht="15" customHeight="1" x14ac:dyDescent="0.25">
      <c r="J330" s="16"/>
      <c r="K330" s="17"/>
      <c r="L330" s="49"/>
    </row>
    <row r="331" spans="10:12" ht="15" customHeight="1" x14ac:dyDescent="0.25">
      <c r="J331" s="16"/>
      <c r="K331" s="17"/>
      <c r="L331" s="49"/>
    </row>
    <row r="332" spans="10:12" ht="15" customHeight="1" x14ac:dyDescent="0.25">
      <c r="J332" s="16"/>
      <c r="K332" s="17"/>
      <c r="L332" s="49"/>
    </row>
    <row r="333" spans="10:12" ht="15" customHeight="1" x14ac:dyDescent="0.25">
      <c r="J333" s="16"/>
      <c r="K333" s="17"/>
      <c r="L333" s="49"/>
    </row>
    <row r="334" spans="10:12" ht="15" customHeight="1" x14ac:dyDescent="0.25">
      <c r="J334" s="16"/>
      <c r="K334" s="17"/>
      <c r="L334" s="49"/>
    </row>
    <row r="335" spans="10:12" ht="15" customHeight="1" x14ac:dyDescent="0.25">
      <c r="J335" s="16"/>
      <c r="K335" s="17"/>
      <c r="L335" s="49"/>
    </row>
    <row r="336" spans="10:12" ht="15" customHeight="1" x14ac:dyDescent="0.25">
      <c r="J336" s="16"/>
      <c r="K336" s="17"/>
      <c r="L336" s="49"/>
    </row>
    <row r="337" spans="10:12" ht="15" customHeight="1" x14ac:dyDescent="0.25">
      <c r="J337" s="16"/>
      <c r="K337" s="17"/>
      <c r="L337" s="49"/>
    </row>
    <row r="338" spans="10:12" ht="15" customHeight="1" x14ac:dyDescent="0.25">
      <c r="J338" s="16"/>
      <c r="K338" s="17"/>
      <c r="L338" s="49"/>
    </row>
    <row r="339" spans="10:12" ht="15" customHeight="1" x14ac:dyDescent="0.25">
      <c r="J339" s="16"/>
      <c r="K339" s="17"/>
      <c r="L339" s="49"/>
    </row>
    <row r="340" spans="10:12" ht="15" customHeight="1" x14ac:dyDescent="0.25">
      <c r="J340" s="16"/>
      <c r="K340" s="17"/>
      <c r="L340" s="49"/>
    </row>
    <row r="341" spans="10:12" ht="15" customHeight="1" x14ac:dyDescent="0.25">
      <c r="J341" s="16"/>
      <c r="K341" s="17"/>
      <c r="L341" s="49"/>
    </row>
    <row r="342" spans="10:12" ht="15" customHeight="1" x14ac:dyDescent="0.25">
      <c r="J342" s="16"/>
      <c r="K342" s="17"/>
      <c r="L342" s="49"/>
    </row>
    <row r="343" spans="10:12" ht="15" customHeight="1" x14ac:dyDescent="0.25">
      <c r="J343" s="16"/>
      <c r="K343" s="17"/>
      <c r="L343" s="49"/>
    </row>
    <row r="344" spans="10:12" ht="15" customHeight="1" x14ac:dyDescent="0.25">
      <c r="J344" s="16"/>
      <c r="K344" s="17"/>
      <c r="L344" s="49"/>
    </row>
    <row r="345" spans="10:12" ht="15" customHeight="1" x14ac:dyDescent="0.25">
      <c r="J345" s="16"/>
      <c r="K345" s="17"/>
      <c r="L345" s="49"/>
    </row>
    <row r="346" spans="10:12" ht="15" customHeight="1" x14ac:dyDescent="0.25">
      <c r="J346" s="16"/>
      <c r="K346" s="17"/>
      <c r="L346" s="49"/>
    </row>
    <row r="347" spans="10:12" ht="15" customHeight="1" x14ac:dyDescent="0.25">
      <c r="J347" s="16"/>
      <c r="K347" s="17"/>
      <c r="L347" s="49"/>
    </row>
    <row r="348" spans="10:12" ht="15" customHeight="1" x14ac:dyDescent="0.25">
      <c r="J348" s="16"/>
      <c r="K348" s="17"/>
      <c r="L348" s="49"/>
    </row>
    <row r="349" spans="10:12" ht="15" customHeight="1" x14ac:dyDescent="0.25">
      <c r="J349" s="16"/>
      <c r="K349" s="17"/>
      <c r="L349" s="49"/>
    </row>
    <row r="350" spans="10:12" ht="15" customHeight="1" x14ac:dyDescent="0.25">
      <c r="J350" s="16"/>
      <c r="K350" s="17"/>
      <c r="L350" s="49"/>
    </row>
    <row r="351" spans="10:12" ht="15" customHeight="1" x14ac:dyDescent="0.25">
      <c r="J351" s="16"/>
      <c r="K351" s="17"/>
      <c r="L351" s="49"/>
    </row>
    <row r="352" spans="10:12" ht="15" customHeight="1" x14ac:dyDescent="0.25">
      <c r="J352" s="16"/>
      <c r="K352" s="17"/>
      <c r="L352" s="49"/>
    </row>
    <row r="353" spans="10:12" ht="15" customHeight="1" x14ac:dyDescent="0.25">
      <c r="J353" s="16"/>
      <c r="K353" s="17"/>
      <c r="L353" s="49"/>
    </row>
    <row r="354" spans="10:12" ht="15" customHeight="1" x14ac:dyDescent="0.25">
      <c r="J354" s="16"/>
      <c r="K354" s="17"/>
      <c r="L354" s="49"/>
    </row>
  </sheetData>
  <autoFilter ref="A5:S155" xr:uid="{00000000-0009-0000-0000-00000A000000}">
    <filterColumn colId="11" showButton="0"/>
  </autoFilter>
  <mergeCells count="22">
    <mergeCell ref="A1:N1"/>
    <mergeCell ref="N4:N5"/>
    <mergeCell ref="A2:F3"/>
    <mergeCell ref="G2:I3"/>
    <mergeCell ref="J2:L3"/>
    <mergeCell ref="M2:N3"/>
    <mergeCell ref="O1:P1"/>
    <mergeCell ref="Q1:R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M5"/>
    <mergeCell ref="O2:P3"/>
    <mergeCell ref="O4:P5"/>
  </mergeCells>
  <conditionalFormatting sqref="A7:A58 C7:E47 C44:C54 G7:I51 K7:L32 G52:G58 C56:C86 I52:I99">
    <cfRule type="expression" dxfId="14917" priority="960">
      <formula>AND($A7&lt;&gt;"",MOD(ROW(),2))</formula>
    </cfRule>
  </conditionalFormatting>
  <conditionalFormatting sqref="D7:D47">
    <cfRule type="cellIs" dxfId="14916" priority="957" operator="equal">
      <formula>$C7</formula>
    </cfRule>
    <cfRule type="cellIs" dxfId="14915" priority="958" operator="greaterThan">
      <formula>$C7</formula>
    </cfRule>
    <cfRule type="cellIs" dxfId="14914" priority="959" operator="lessThan">
      <formula>$C7</formula>
    </cfRule>
  </conditionalFormatting>
  <conditionalFormatting sqref="M7:M58">
    <cfRule type="expression" dxfId="14913" priority="953">
      <formula>AND($A7&lt;&gt;"",MOD(ROW(),2))</formula>
    </cfRule>
  </conditionalFormatting>
  <conditionalFormatting sqref="K33:L58">
    <cfRule type="expression" dxfId="14912" priority="936">
      <formula>AND($A33&lt;&gt;"",MOD(ROW(),2))</formula>
    </cfRule>
  </conditionalFormatting>
  <conditionalFormatting sqref="K7:K58">
    <cfRule type="cellIs" dxfId="14911" priority="933" operator="equal">
      <formula>$C7</formula>
    </cfRule>
    <cfRule type="cellIs" dxfId="14910" priority="934" operator="greaterThan">
      <formula>$C7</formula>
    </cfRule>
    <cfRule type="cellIs" dxfId="14909" priority="935" operator="lessThan">
      <formula>$C7</formula>
    </cfRule>
  </conditionalFormatting>
  <conditionalFormatting sqref="K59:L84">
    <cfRule type="expression" dxfId="14908" priority="932">
      <formula>AND($A59&lt;&gt;"",MOD(ROW(),2))</formula>
    </cfRule>
  </conditionalFormatting>
  <conditionalFormatting sqref="K59:K84">
    <cfRule type="cellIs" dxfId="14907" priority="929" operator="equal">
      <formula>$C59</formula>
    </cfRule>
    <cfRule type="cellIs" dxfId="14906" priority="930" operator="greaterThan">
      <formula>$C59</formula>
    </cfRule>
    <cfRule type="cellIs" dxfId="14905" priority="931" operator="lessThan">
      <formula>$C59</formula>
    </cfRule>
  </conditionalFormatting>
  <conditionalFormatting sqref="K85:L110">
    <cfRule type="expression" dxfId="14904" priority="928">
      <formula>AND($A85&lt;&gt;"",MOD(ROW(),2))</formula>
    </cfRule>
  </conditionalFormatting>
  <conditionalFormatting sqref="K85:K110">
    <cfRule type="cellIs" dxfId="14903" priority="925" operator="equal">
      <formula>$C85</formula>
    </cfRule>
    <cfRule type="cellIs" dxfId="14902" priority="926" operator="greaterThan">
      <formula>$C85</formula>
    </cfRule>
    <cfRule type="cellIs" dxfId="14901" priority="927" operator="lessThan">
      <formula>$C85</formula>
    </cfRule>
  </conditionalFormatting>
  <conditionalFormatting sqref="K111:L136">
    <cfRule type="expression" dxfId="14900" priority="924">
      <formula>AND($A111&lt;&gt;"",MOD(ROW(),2))</formula>
    </cfRule>
  </conditionalFormatting>
  <conditionalFormatting sqref="K111:K136">
    <cfRule type="cellIs" dxfId="14899" priority="921" operator="equal">
      <formula>$C111</formula>
    </cfRule>
    <cfRule type="cellIs" dxfId="14898" priority="922" operator="greaterThan">
      <formula>$C111</formula>
    </cfRule>
    <cfRule type="cellIs" dxfId="14897" priority="923" operator="lessThan">
      <formula>$C111</formula>
    </cfRule>
  </conditionalFormatting>
  <conditionalFormatting sqref="K137:L162">
    <cfRule type="expression" dxfId="14896" priority="920">
      <formula>AND($A137&lt;&gt;"",MOD(ROW(),2))</formula>
    </cfRule>
  </conditionalFormatting>
  <conditionalFormatting sqref="K137:K162">
    <cfRule type="cellIs" dxfId="14895" priority="917" operator="equal">
      <formula>$C137</formula>
    </cfRule>
    <cfRule type="cellIs" dxfId="14894" priority="918" operator="greaterThan">
      <formula>$C137</formula>
    </cfRule>
    <cfRule type="cellIs" dxfId="14893" priority="919" operator="lessThan">
      <formula>$C137</formula>
    </cfRule>
  </conditionalFormatting>
  <conditionalFormatting sqref="K163:L188">
    <cfRule type="expression" dxfId="14892" priority="916">
      <formula>AND($A163&lt;&gt;"",MOD(ROW(),2))</formula>
    </cfRule>
  </conditionalFormatting>
  <conditionalFormatting sqref="K163:K188">
    <cfRule type="cellIs" dxfId="14891" priority="913" operator="equal">
      <formula>$C163</formula>
    </cfRule>
    <cfRule type="cellIs" dxfId="14890" priority="914" operator="greaterThan">
      <formula>$C163</formula>
    </cfRule>
    <cfRule type="cellIs" dxfId="14889" priority="915" operator="lessThan">
      <formula>$C163</formula>
    </cfRule>
  </conditionalFormatting>
  <conditionalFormatting sqref="K189:L214">
    <cfRule type="expression" dxfId="14888" priority="912">
      <formula>AND($A189&lt;&gt;"",MOD(ROW(),2))</formula>
    </cfRule>
  </conditionalFormatting>
  <conditionalFormatting sqref="K189:K214">
    <cfRule type="cellIs" dxfId="14887" priority="909" operator="equal">
      <formula>$C189</formula>
    </cfRule>
    <cfRule type="cellIs" dxfId="14886" priority="910" operator="greaterThan">
      <formula>$C189</formula>
    </cfRule>
    <cfRule type="cellIs" dxfId="14885" priority="911" operator="lessThan">
      <formula>$C189</formula>
    </cfRule>
  </conditionalFormatting>
  <conditionalFormatting sqref="K215:L240">
    <cfRule type="expression" dxfId="14884" priority="908">
      <formula>AND($A215&lt;&gt;"",MOD(ROW(),2))</formula>
    </cfRule>
  </conditionalFormatting>
  <conditionalFormatting sqref="K215:K240">
    <cfRule type="cellIs" dxfId="14883" priority="905" operator="equal">
      <formula>$C215</formula>
    </cfRule>
    <cfRule type="cellIs" dxfId="14882" priority="906" operator="greaterThan">
      <formula>$C215</formula>
    </cfRule>
    <cfRule type="cellIs" dxfId="14881" priority="907" operator="lessThan">
      <formula>$C215</formula>
    </cfRule>
  </conditionalFormatting>
  <conditionalFormatting sqref="K241:L266">
    <cfRule type="expression" dxfId="14880" priority="904">
      <formula>AND($A241&lt;&gt;"",MOD(ROW(),2))</formula>
    </cfRule>
  </conditionalFormatting>
  <conditionalFormatting sqref="K241:K266">
    <cfRule type="cellIs" dxfId="14879" priority="901" operator="equal">
      <formula>$C241</formula>
    </cfRule>
    <cfRule type="cellIs" dxfId="14878" priority="902" operator="greaterThan">
      <formula>$C241</formula>
    </cfRule>
    <cfRule type="cellIs" dxfId="14877" priority="903" operator="lessThan">
      <formula>$C241</formula>
    </cfRule>
  </conditionalFormatting>
  <conditionalFormatting sqref="K267:L292">
    <cfRule type="expression" dxfId="14876" priority="900">
      <formula>AND($A267&lt;&gt;"",MOD(ROW(),2))</formula>
    </cfRule>
  </conditionalFormatting>
  <conditionalFormatting sqref="K267:K292">
    <cfRule type="cellIs" dxfId="14875" priority="897" operator="equal">
      <formula>$C267</formula>
    </cfRule>
    <cfRule type="cellIs" dxfId="14874" priority="898" operator="greaterThan">
      <formula>$C267</formula>
    </cfRule>
    <cfRule type="cellIs" dxfId="14873" priority="899" operator="lessThan">
      <formula>$C267</formula>
    </cfRule>
  </conditionalFormatting>
  <conditionalFormatting sqref="K293:L318">
    <cfRule type="expression" dxfId="14872" priority="896">
      <formula>AND($A293&lt;&gt;"",MOD(ROW(),2))</formula>
    </cfRule>
  </conditionalFormatting>
  <conditionalFormatting sqref="K293:K318">
    <cfRule type="cellIs" dxfId="14871" priority="893" operator="equal">
      <formula>$C293</formula>
    </cfRule>
    <cfRule type="cellIs" dxfId="14870" priority="894" operator="greaterThan">
      <formula>$C293</formula>
    </cfRule>
    <cfRule type="cellIs" dxfId="14869" priority="895" operator="lessThan">
      <formula>$C293</formula>
    </cfRule>
  </conditionalFormatting>
  <conditionalFormatting sqref="F68:F2989 F7:F47">
    <cfRule type="containsText" dxfId="14868" priority="892" operator="containsText" text="Unpaid Rent">
      <formula>NOT(ISERROR(SEARCH("Unpaid Rent",F7)))</formula>
    </cfRule>
    <cfRule type="containsText" dxfId="14867" priority="937" stopIfTrue="1" operator="containsText" text="Closed Account">
      <formula>NOT(ISERROR(SEARCH("Closed Account",F7)))</formula>
    </cfRule>
  </conditionalFormatting>
  <conditionalFormatting sqref="M33:M58 L33:L318 L7:M32">
    <cfRule type="expression" dxfId="14866" priority="955">
      <formula>AND(#REF!&lt;&gt;"",MOD(ROW(),2))</formula>
    </cfRule>
  </conditionalFormatting>
  <conditionalFormatting sqref="M33:M58 L33:L318 L7:M32">
    <cfRule type="expression" dxfId="14865" priority="954">
      <formula>AND(#REF!&lt;&gt;"",MOD(ROW(),2))</formula>
    </cfRule>
  </conditionalFormatting>
  <conditionalFormatting sqref="M7:M58">
    <cfRule type="cellIs" dxfId="14864" priority="950" operator="equal">
      <formula>#REF!</formula>
    </cfRule>
    <cfRule type="cellIs" dxfId="14863" priority="951" operator="greaterThan">
      <formula>#REF!</formula>
    </cfRule>
    <cfRule type="cellIs" dxfId="14862" priority="952" operator="lessThan">
      <formula>#REF!</formula>
    </cfRule>
  </conditionalFormatting>
  <conditionalFormatting sqref="K319:L321">
    <cfRule type="expression" dxfId="14861" priority="886">
      <formula>AND($A319&lt;&gt;"",MOD(ROW(),2))</formula>
    </cfRule>
  </conditionalFormatting>
  <conditionalFormatting sqref="K319:K321">
    <cfRule type="cellIs" dxfId="14860" priority="883" operator="equal">
      <formula>$C319</formula>
    </cfRule>
    <cfRule type="cellIs" dxfId="14859" priority="884" operator="greaterThan">
      <formula>$C319</formula>
    </cfRule>
    <cfRule type="cellIs" dxfId="14858" priority="885" operator="lessThan">
      <formula>$C319</formula>
    </cfRule>
  </conditionalFormatting>
  <conditionalFormatting sqref="L319:L321">
    <cfRule type="expression" dxfId="14857" priority="888">
      <formula>AND(#REF!&lt;&gt;"",MOD(ROW(),2))</formula>
    </cfRule>
  </conditionalFormatting>
  <conditionalFormatting sqref="L319:L321">
    <cfRule type="expression" dxfId="14856" priority="887">
      <formula>AND(#REF!&lt;&gt;"",MOD(ROW(),2))</formula>
    </cfRule>
  </conditionalFormatting>
  <conditionalFormatting sqref="K322:L324">
    <cfRule type="expression" dxfId="14855" priority="880">
      <formula>AND($A322&lt;&gt;"",MOD(ROW(),2))</formula>
    </cfRule>
  </conditionalFormatting>
  <conditionalFormatting sqref="K322:K324">
    <cfRule type="cellIs" dxfId="14854" priority="877" operator="equal">
      <formula>$C322</formula>
    </cfRule>
    <cfRule type="cellIs" dxfId="14853" priority="878" operator="greaterThan">
      <formula>$C322</formula>
    </cfRule>
    <cfRule type="cellIs" dxfId="14852" priority="879" operator="lessThan">
      <formula>$C322</formula>
    </cfRule>
  </conditionalFormatting>
  <conditionalFormatting sqref="L322:L324">
    <cfRule type="expression" dxfId="14851" priority="882">
      <formula>AND(#REF!&lt;&gt;"",MOD(ROW(),2))</formula>
    </cfRule>
  </conditionalFormatting>
  <conditionalFormatting sqref="L322:L324">
    <cfRule type="expression" dxfId="14850" priority="881">
      <formula>AND(#REF!&lt;&gt;"",MOD(ROW(),2))</formula>
    </cfRule>
  </conditionalFormatting>
  <conditionalFormatting sqref="K325:L327">
    <cfRule type="expression" dxfId="14849" priority="874">
      <formula>AND($A325&lt;&gt;"",MOD(ROW(),2))</formula>
    </cfRule>
  </conditionalFormatting>
  <conditionalFormatting sqref="K325:K327">
    <cfRule type="cellIs" dxfId="14848" priority="871" operator="equal">
      <formula>$C325</formula>
    </cfRule>
    <cfRule type="cellIs" dxfId="14847" priority="872" operator="greaterThan">
      <formula>$C325</formula>
    </cfRule>
    <cfRule type="cellIs" dxfId="14846" priority="873" operator="lessThan">
      <formula>$C325</formula>
    </cfRule>
  </conditionalFormatting>
  <conditionalFormatting sqref="L325:L327">
    <cfRule type="expression" dxfId="14845" priority="876">
      <formula>AND(#REF!&lt;&gt;"",MOD(ROW(),2))</formula>
    </cfRule>
  </conditionalFormatting>
  <conditionalFormatting sqref="L325:L327">
    <cfRule type="expression" dxfId="14844" priority="875">
      <formula>AND(#REF!&lt;&gt;"",MOD(ROW(),2))</formula>
    </cfRule>
  </conditionalFormatting>
  <conditionalFormatting sqref="K328:L330">
    <cfRule type="expression" dxfId="14843" priority="868">
      <formula>AND($A328&lt;&gt;"",MOD(ROW(),2))</formula>
    </cfRule>
  </conditionalFormatting>
  <conditionalFormatting sqref="K328:K330">
    <cfRule type="cellIs" dxfId="14842" priority="865" operator="equal">
      <formula>$C328</formula>
    </cfRule>
    <cfRule type="cellIs" dxfId="14841" priority="866" operator="greaterThan">
      <formula>$C328</formula>
    </cfRule>
    <cfRule type="cellIs" dxfId="14840" priority="867" operator="lessThan">
      <formula>$C328</formula>
    </cfRule>
  </conditionalFormatting>
  <conditionalFormatting sqref="L328:L330">
    <cfRule type="expression" dxfId="14839" priority="870">
      <formula>AND(#REF!&lt;&gt;"",MOD(ROW(),2))</formula>
    </cfRule>
  </conditionalFormatting>
  <conditionalFormatting sqref="L328:L330">
    <cfRule type="expression" dxfId="14838" priority="869">
      <formula>AND(#REF!&lt;&gt;"",MOD(ROW(),2))</formula>
    </cfRule>
  </conditionalFormatting>
  <conditionalFormatting sqref="K331:L333">
    <cfRule type="expression" dxfId="14837" priority="862">
      <formula>AND($A331&lt;&gt;"",MOD(ROW(),2))</formula>
    </cfRule>
  </conditionalFormatting>
  <conditionalFormatting sqref="K331:K333">
    <cfRule type="cellIs" dxfId="14836" priority="859" operator="equal">
      <formula>$C331</formula>
    </cfRule>
    <cfRule type="cellIs" dxfId="14835" priority="860" operator="greaterThan">
      <formula>$C331</formula>
    </cfRule>
    <cfRule type="cellIs" dxfId="14834" priority="861" operator="lessThan">
      <formula>$C331</formula>
    </cfRule>
  </conditionalFormatting>
  <conditionalFormatting sqref="L331:L333">
    <cfRule type="expression" dxfId="14833" priority="864">
      <formula>AND(#REF!&lt;&gt;"",MOD(ROW(),2))</formula>
    </cfRule>
  </conditionalFormatting>
  <conditionalFormatting sqref="L331:L333">
    <cfRule type="expression" dxfId="14832" priority="863">
      <formula>AND(#REF!&lt;&gt;"",MOD(ROW(),2))</formula>
    </cfRule>
  </conditionalFormatting>
  <conditionalFormatting sqref="K334:L336">
    <cfRule type="expression" dxfId="14831" priority="856">
      <formula>AND($A334&lt;&gt;"",MOD(ROW(),2))</formula>
    </cfRule>
  </conditionalFormatting>
  <conditionalFormatting sqref="K334:K336">
    <cfRule type="cellIs" dxfId="14830" priority="853" operator="equal">
      <formula>$C334</formula>
    </cfRule>
    <cfRule type="cellIs" dxfId="14829" priority="854" operator="greaterThan">
      <formula>$C334</formula>
    </cfRule>
    <cfRule type="cellIs" dxfId="14828" priority="855" operator="lessThan">
      <formula>$C334</formula>
    </cfRule>
  </conditionalFormatting>
  <conditionalFormatting sqref="L334:L336">
    <cfRule type="expression" dxfId="14827" priority="858">
      <formula>AND(#REF!&lt;&gt;"",MOD(ROW(),2))</formula>
    </cfRule>
  </conditionalFormatting>
  <conditionalFormatting sqref="L334:L336">
    <cfRule type="expression" dxfId="14826" priority="857">
      <formula>AND(#REF!&lt;&gt;"",MOD(ROW(),2))</formula>
    </cfRule>
  </conditionalFormatting>
  <conditionalFormatting sqref="K337:L339">
    <cfRule type="expression" dxfId="14825" priority="850">
      <formula>AND($A337&lt;&gt;"",MOD(ROW(),2))</formula>
    </cfRule>
  </conditionalFormatting>
  <conditionalFormatting sqref="K337:K339">
    <cfRule type="cellIs" dxfId="14824" priority="847" operator="equal">
      <formula>$C337</formula>
    </cfRule>
    <cfRule type="cellIs" dxfId="14823" priority="848" operator="greaterThan">
      <formula>$C337</formula>
    </cfRule>
    <cfRule type="cellIs" dxfId="14822" priority="849" operator="lessThan">
      <formula>$C337</formula>
    </cfRule>
  </conditionalFormatting>
  <conditionalFormatting sqref="L337:L339">
    <cfRule type="expression" dxfId="14821" priority="852">
      <formula>AND(#REF!&lt;&gt;"",MOD(ROW(),2))</formula>
    </cfRule>
  </conditionalFormatting>
  <conditionalFormatting sqref="L337:L339">
    <cfRule type="expression" dxfId="14820" priority="851">
      <formula>AND(#REF!&lt;&gt;"",MOD(ROW(),2))</formula>
    </cfRule>
  </conditionalFormatting>
  <conditionalFormatting sqref="K340:L342">
    <cfRule type="expression" dxfId="14819" priority="844">
      <formula>AND($A340&lt;&gt;"",MOD(ROW(),2))</formula>
    </cfRule>
  </conditionalFormatting>
  <conditionalFormatting sqref="K340:K342">
    <cfRule type="cellIs" dxfId="14818" priority="841" operator="equal">
      <formula>$C340</formula>
    </cfRule>
    <cfRule type="cellIs" dxfId="14817" priority="842" operator="greaterThan">
      <formula>$C340</formula>
    </cfRule>
    <cfRule type="cellIs" dxfId="14816" priority="843" operator="lessThan">
      <formula>$C340</formula>
    </cfRule>
  </conditionalFormatting>
  <conditionalFormatting sqref="L340:L342">
    <cfRule type="expression" dxfId="14815" priority="846">
      <formula>AND(#REF!&lt;&gt;"",MOD(ROW(),2))</formula>
    </cfRule>
  </conditionalFormatting>
  <conditionalFormatting sqref="L340:L342">
    <cfRule type="expression" dxfId="14814" priority="845">
      <formula>AND(#REF!&lt;&gt;"",MOD(ROW(),2))</formula>
    </cfRule>
  </conditionalFormatting>
  <conditionalFormatting sqref="K343:L345">
    <cfRule type="expression" dxfId="14813" priority="838">
      <formula>AND($A343&lt;&gt;"",MOD(ROW(),2))</formula>
    </cfRule>
  </conditionalFormatting>
  <conditionalFormatting sqref="K343:K345">
    <cfRule type="cellIs" dxfId="14812" priority="835" operator="equal">
      <formula>$C343</formula>
    </cfRule>
    <cfRule type="cellIs" dxfId="14811" priority="836" operator="greaterThan">
      <formula>$C343</formula>
    </cfRule>
    <cfRule type="cellIs" dxfId="14810" priority="837" operator="lessThan">
      <formula>$C343</formula>
    </cfRule>
  </conditionalFormatting>
  <conditionalFormatting sqref="L343:L345">
    <cfRule type="expression" dxfId="14809" priority="840">
      <formula>AND(#REF!&lt;&gt;"",MOD(ROW(),2))</formula>
    </cfRule>
  </conditionalFormatting>
  <conditionalFormatting sqref="L343:L345">
    <cfRule type="expression" dxfId="14808" priority="839">
      <formula>AND(#REF!&lt;&gt;"",MOD(ROW(),2))</formula>
    </cfRule>
  </conditionalFormatting>
  <conditionalFormatting sqref="K346:L348">
    <cfRule type="expression" dxfId="14807" priority="832">
      <formula>AND($A346&lt;&gt;"",MOD(ROW(),2))</formula>
    </cfRule>
  </conditionalFormatting>
  <conditionalFormatting sqref="K346:K348">
    <cfRule type="cellIs" dxfId="14806" priority="829" operator="equal">
      <formula>$C346</formula>
    </cfRule>
    <cfRule type="cellIs" dxfId="14805" priority="830" operator="greaterThan">
      <formula>$C346</formula>
    </cfRule>
    <cfRule type="cellIs" dxfId="14804" priority="831" operator="lessThan">
      <formula>$C346</formula>
    </cfRule>
  </conditionalFormatting>
  <conditionalFormatting sqref="L346:L348">
    <cfRule type="expression" dxfId="14803" priority="834">
      <formula>AND(#REF!&lt;&gt;"",MOD(ROW(),2))</formula>
    </cfRule>
  </conditionalFormatting>
  <conditionalFormatting sqref="L346:L348">
    <cfRule type="expression" dxfId="14802" priority="833">
      <formula>AND(#REF!&lt;&gt;"",MOD(ROW(),2))</formula>
    </cfRule>
  </conditionalFormatting>
  <conditionalFormatting sqref="K349:L351">
    <cfRule type="expression" dxfId="14801" priority="826">
      <formula>AND($A349&lt;&gt;"",MOD(ROW(),2))</formula>
    </cfRule>
  </conditionalFormatting>
  <conditionalFormatting sqref="K349:K351">
    <cfRule type="cellIs" dxfId="14800" priority="823" operator="equal">
      <formula>$C349</formula>
    </cfRule>
    <cfRule type="cellIs" dxfId="14799" priority="824" operator="greaterThan">
      <formula>$C349</formula>
    </cfRule>
    <cfRule type="cellIs" dxfId="14798" priority="825" operator="lessThan">
      <formula>$C349</formula>
    </cfRule>
  </conditionalFormatting>
  <conditionalFormatting sqref="L349:L351">
    <cfRule type="expression" dxfId="14797" priority="828">
      <formula>AND(#REF!&lt;&gt;"",MOD(ROW(),2))</formula>
    </cfRule>
  </conditionalFormatting>
  <conditionalFormatting sqref="L349:L351">
    <cfRule type="expression" dxfId="14796" priority="827">
      <formula>AND(#REF!&lt;&gt;"",MOD(ROW(),2))</formula>
    </cfRule>
  </conditionalFormatting>
  <conditionalFormatting sqref="K352:L354">
    <cfRule type="expression" dxfId="14795" priority="820">
      <formula>AND($A352&lt;&gt;"",MOD(ROW(),2))</formula>
    </cfRule>
  </conditionalFormatting>
  <conditionalFormatting sqref="K352:K354">
    <cfRule type="cellIs" dxfId="14794" priority="817" operator="equal">
      <formula>$C352</formula>
    </cfRule>
    <cfRule type="cellIs" dxfId="14793" priority="818" operator="greaterThan">
      <formula>$C352</formula>
    </cfRule>
    <cfRule type="cellIs" dxfId="14792" priority="819" operator="lessThan">
      <formula>$C352</formula>
    </cfRule>
  </conditionalFormatting>
  <conditionalFormatting sqref="L352:L354">
    <cfRule type="expression" dxfId="14791" priority="822">
      <formula>AND(#REF!&lt;&gt;"",MOD(ROW(),2))</formula>
    </cfRule>
  </conditionalFormatting>
  <conditionalFormatting sqref="L352:L354">
    <cfRule type="expression" dxfId="14790" priority="821">
      <formula>AND(#REF!&lt;&gt;"",MOD(ROW(),2))</formula>
    </cfRule>
  </conditionalFormatting>
  <conditionalFormatting sqref="D44:E44">
    <cfRule type="expression" dxfId="14789" priority="672">
      <formula>AND($A44&lt;&gt;"",MOD(ROW(),2))</formula>
    </cfRule>
  </conditionalFormatting>
  <conditionalFormatting sqref="D44">
    <cfRule type="cellIs" dxfId="14788" priority="669" operator="equal">
      <formula>$C44</formula>
    </cfRule>
    <cfRule type="cellIs" dxfId="14787" priority="670" operator="greaterThan">
      <formula>$C44</formula>
    </cfRule>
    <cfRule type="cellIs" dxfId="14786" priority="671" operator="lessThan">
      <formula>$C44</formula>
    </cfRule>
  </conditionalFormatting>
  <conditionalFormatting sqref="D45:E45">
    <cfRule type="expression" dxfId="14785" priority="666">
      <formula>AND($A45&lt;&gt;"",MOD(ROW(),2))</formula>
    </cfRule>
  </conditionalFormatting>
  <conditionalFormatting sqref="D45">
    <cfRule type="cellIs" dxfId="14784" priority="663" operator="equal">
      <formula>$C45</formula>
    </cfRule>
    <cfRule type="cellIs" dxfId="14783" priority="664" operator="greaterThan">
      <formula>$C45</formula>
    </cfRule>
    <cfRule type="cellIs" dxfId="14782" priority="665" operator="lessThan">
      <formula>$C45</formula>
    </cfRule>
  </conditionalFormatting>
  <conditionalFormatting sqref="D46:E46">
    <cfRule type="expression" dxfId="14781" priority="662">
      <formula>AND($A46&lt;&gt;"",MOD(ROW(),2))</formula>
    </cfRule>
  </conditionalFormatting>
  <conditionalFormatting sqref="D46">
    <cfRule type="cellIs" dxfId="14780" priority="659" operator="equal">
      <formula>$C46</formula>
    </cfRule>
    <cfRule type="cellIs" dxfId="14779" priority="660" operator="greaterThan">
      <formula>$C46</formula>
    </cfRule>
    <cfRule type="cellIs" dxfId="14778" priority="661" operator="lessThan">
      <formula>$C46</formula>
    </cfRule>
  </conditionalFormatting>
  <conditionalFormatting sqref="D47:E47">
    <cfRule type="expression" dxfId="14777" priority="658">
      <formula>AND($A47&lt;&gt;"",MOD(ROW(),2))</formula>
    </cfRule>
  </conditionalFormatting>
  <conditionalFormatting sqref="D47">
    <cfRule type="cellIs" dxfId="14776" priority="655" operator="equal">
      <formula>$C47</formula>
    </cfRule>
    <cfRule type="cellIs" dxfId="14775" priority="656" operator="greaterThan">
      <formula>$C47</formula>
    </cfRule>
    <cfRule type="cellIs" dxfId="14774" priority="657" operator="lessThan">
      <formula>$C47</formula>
    </cfRule>
  </conditionalFormatting>
  <conditionalFormatting sqref="D48:E48">
    <cfRule type="expression" dxfId="14773" priority="654">
      <formula>AND($A48&lt;&gt;"",MOD(ROW(),2))</formula>
    </cfRule>
  </conditionalFormatting>
  <conditionalFormatting sqref="D48">
    <cfRule type="cellIs" dxfId="14772" priority="651" operator="equal">
      <formula>$C48</formula>
    </cfRule>
    <cfRule type="cellIs" dxfId="14771" priority="652" operator="greaterThan">
      <formula>$C48</formula>
    </cfRule>
    <cfRule type="cellIs" dxfId="14770" priority="653" operator="lessThan">
      <formula>$C48</formula>
    </cfRule>
  </conditionalFormatting>
  <conditionalFormatting sqref="D49:E49">
    <cfRule type="expression" dxfId="14769" priority="650">
      <formula>AND($A49&lt;&gt;"",MOD(ROW(),2))</formula>
    </cfRule>
  </conditionalFormatting>
  <conditionalFormatting sqref="D49">
    <cfRule type="cellIs" dxfId="14768" priority="647" operator="equal">
      <formula>$C49</formula>
    </cfRule>
    <cfRule type="cellIs" dxfId="14767" priority="648" operator="greaterThan">
      <formula>$C49</formula>
    </cfRule>
    <cfRule type="cellIs" dxfId="14766" priority="649" operator="lessThan">
      <formula>$C49</formula>
    </cfRule>
  </conditionalFormatting>
  <conditionalFormatting sqref="D50:E50">
    <cfRule type="expression" dxfId="14765" priority="646">
      <formula>AND($A50&lt;&gt;"",MOD(ROW(),2))</formula>
    </cfRule>
  </conditionalFormatting>
  <conditionalFormatting sqref="D50">
    <cfRule type="cellIs" dxfId="14764" priority="643" operator="equal">
      <formula>$C50</formula>
    </cfRule>
    <cfRule type="cellIs" dxfId="14763" priority="644" operator="greaterThan">
      <formula>$C50</formula>
    </cfRule>
    <cfRule type="cellIs" dxfId="14762" priority="645" operator="lessThan">
      <formula>$C50</formula>
    </cfRule>
  </conditionalFormatting>
  <conditionalFormatting sqref="D51:E51">
    <cfRule type="expression" dxfId="14761" priority="642">
      <formula>AND($A51&lt;&gt;"",MOD(ROW(),2))</formula>
    </cfRule>
  </conditionalFormatting>
  <conditionalFormatting sqref="D51">
    <cfRule type="cellIs" dxfId="14760" priority="639" operator="equal">
      <formula>$C51</formula>
    </cfRule>
    <cfRule type="cellIs" dxfId="14759" priority="640" operator="greaterThan">
      <formula>$C51</formula>
    </cfRule>
    <cfRule type="cellIs" dxfId="14758" priority="641" operator="lessThan">
      <formula>$C51</formula>
    </cfRule>
  </conditionalFormatting>
  <conditionalFormatting sqref="D52:E52">
    <cfRule type="expression" dxfId="14757" priority="638">
      <formula>AND($A52&lt;&gt;"",MOD(ROW(),2))</formula>
    </cfRule>
  </conditionalFormatting>
  <conditionalFormatting sqref="D52">
    <cfRule type="cellIs" dxfId="14756" priority="635" operator="equal">
      <formula>$C52</formula>
    </cfRule>
    <cfRule type="cellIs" dxfId="14755" priority="636" operator="greaterThan">
      <formula>$C52</formula>
    </cfRule>
    <cfRule type="cellIs" dxfId="14754" priority="637" operator="lessThan">
      <formula>$C52</formula>
    </cfRule>
  </conditionalFormatting>
  <conditionalFormatting sqref="D53:E53">
    <cfRule type="expression" dxfId="14753" priority="634">
      <formula>AND($A53&lt;&gt;"",MOD(ROW(),2))</formula>
    </cfRule>
  </conditionalFormatting>
  <conditionalFormatting sqref="D53">
    <cfRule type="cellIs" dxfId="14752" priority="631" operator="equal">
      <formula>$C53</formula>
    </cfRule>
    <cfRule type="cellIs" dxfId="14751" priority="632" operator="greaterThan">
      <formula>$C53</formula>
    </cfRule>
    <cfRule type="cellIs" dxfId="14750" priority="633" operator="lessThan">
      <formula>$C53</formula>
    </cfRule>
  </conditionalFormatting>
  <conditionalFormatting sqref="D54:E54">
    <cfRule type="expression" dxfId="14749" priority="630">
      <formula>AND($A54&lt;&gt;"",MOD(ROW(),2))</formula>
    </cfRule>
  </conditionalFormatting>
  <conditionalFormatting sqref="D54">
    <cfRule type="cellIs" dxfId="14748" priority="627" operator="equal">
      <formula>$C54</formula>
    </cfRule>
    <cfRule type="cellIs" dxfId="14747" priority="628" operator="greaterThan">
      <formula>$C54</formula>
    </cfRule>
    <cfRule type="cellIs" dxfId="14746" priority="629" operator="lessThan">
      <formula>$C54</formula>
    </cfRule>
  </conditionalFormatting>
  <conditionalFormatting sqref="D55:E55">
    <cfRule type="expression" dxfId="14745" priority="626">
      <formula>AND($A55&lt;&gt;"",MOD(ROW(),2))</formula>
    </cfRule>
  </conditionalFormatting>
  <conditionalFormatting sqref="D55">
    <cfRule type="cellIs" dxfId="14744" priority="623" operator="equal">
      <formula>$C55</formula>
    </cfRule>
    <cfRule type="cellIs" dxfId="14743" priority="624" operator="greaterThan">
      <formula>$C55</formula>
    </cfRule>
    <cfRule type="cellIs" dxfId="14742" priority="625" operator="lessThan">
      <formula>$C55</formula>
    </cfRule>
  </conditionalFormatting>
  <conditionalFormatting sqref="F44:F55">
    <cfRule type="containsText" dxfId="14741" priority="597" operator="containsText" text="Unpaid Rent">
      <formula>NOT(ISERROR(SEARCH("Unpaid Rent",F44)))</formula>
    </cfRule>
    <cfRule type="containsText" dxfId="14740" priority="598" stopIfTrue="1" operator="containsText" text="Closed Account">
      <formula>NOT(ISERROR(SEARCH("Closed Account",F44)))</formula>
    </cfRule>
  </conditionalFormatting>
  <conditionalFormatting sqref="F56:F67">
    <cfRule type="containsText" dxfId="14739" priority="595" operator="containsText" text="Unpaid Rent">
      <formula>NOT(ISERROR(SEARCH("Unpaid Rent",F56)))</formula>
    </cfRule>
    <cfRule type="containsText" dxfId="14738" priority="596" stopIfTrue="1" operator="containsText" text="Closed Account">
      <formula>NOT(ISERROR(SEARCH("Closed Account",F56)))</formula>
    </cfRule>
  </conditionalFormatting>
  <conditionalFormatting sqref="D56:E56">
    <cfRule type="expression" dxfId="14737" priority="594">
      <formula>AND($A56&lt;&gt;"",MOD(ROW(),2))</formula>
    </cfRule>
  </conditionalFormatting>
  <conditionalFormatting sqref="D56">
    <cfRule type="cellIs" dxfId="14736" priority="591" operator="equal">
      <formula>$C56</formula>
    </cfRule>
    <cfRule type="cellIs" dxfId="14735" priority="592" operator="greaterThan">
      <formula>$C56</formula>
    </cfRule>
    <cfRule type="cellIs" dxfId="14734" priority="593" operator="lessThan">
      <formula>$C56</formula>
    </cfRule>
  </conditionalFormatting>
  <conditionalFormatting sqref="D57:E57">
    <cfRule type="expression" dxfId="14733" priority="590">
      <formula>AND($A57&lt;&gt;"",MOD(ROW(),2))</formula>
    </cfRule>
  </conditionalFormatting>
  <conditionalFormatting sqref="D57">
    <cfRule type="cellIs" dxfId="14732" priority="587" operator="equal">
      <formula>$C57</formula>
    </cfRule>
    <cfRule type="cellIs" dxfId="14731" priority="588" operator="greaterThan">
      <formula>$C57</formula>
    </cfRule>
    <cfRule type="cellIs" dxfId="14730" priority="589" operator="lessThan">
      <formula>$C57</formula>
    </cfRule>
  </conditionalFormatting>
  <conditionalFormatting sqref="D58:E58">
    <cfRule type="expression" dxfId="14729" priority="586">
      <formula>AND($A58&lt;&gt;"",MOD(ROW(),2))</formula>
    </cfRule>
  </conditionalFormatting>
  <conditionalFormatting sqref="D58">
    <cfRule type="cellIs" dxfId="14728" priority="583" operator="equal">
      <formula>$C58</formula>
    </cfRule>
    <cfRule type="cellIs" dxfId="14727" priority="584" operator="greaterThan">
      <formula>$C58</formula>
    </cfRule>
    <cfRule type="cellIs" dxfId="14726" priority="585" operator="lessThan">
      <formula>$C58</formula>
    </cfRule>
  </conditionalFormatting>
  <conditionalFormatting sqref="D59:E59">
    <cfRule type="expression" dxfId="14725" priority="582">
      <formula>AND($A59&lt;&gt;"",MOD(ROW(),2))</formula>
    </cfRule>
  </conditionalFormatting>
  <conditionalFormatting sqref="D59">
    <cfRule type="cellIs" dxfId="14724" priority="579" operator="equal">
      <formula>$C59</formula>
    </cfRule>
    <cfRule type="cellIs" dxfId="14723" priority="580" operator="greaterThan">
      <formula>$C59</formula>
    </cfRule>
    <cfRule type="cellIs" dxfId="14722" priority="581" operator="lessThan">
      <formula>$C59</formula>
    </cfRule>
  </conditionalFormatting>
  <conditionalFormatting sqref="D60:E60">
    <cfRule type="expression" dxfId="14721" priority="578">
      <formula>AND($A60&lt;&gt;"",MOD(ROW(),2))</formula>
    </cfRule>
  </conditionalFormatting>
  <conditionalFormatting sqref="D60">
    <cfRule type="cellIs" dxfId="14720" priority="575" operator="equal">
      <formula>$C60</formula>
    </cfRule>
    <cfRule type="cellIs" dxfId="14719" priority="576" operator="greaterThan">
      <formula>$C60</formula>
    </cfRule>
    <cfRule type="cellIs" dxfId="14718" priority="577" operator="lessThan">
      <formula>$C60</formula>
    </cfRule>
  </conditionalFormatting>
  <conditionalFormatting sqref="D61:E61">
    <cfRule type="expression" dxfId="14717" priority="574">
      <formula>AND($A61&lt;&gt;"",MOD(ROW(),2))</formula>
    </cfRule>
  </conditionalFormatting>
  <conditionalFormatting sqref="D61">
    <cfRule type="cellIs" dxfId="14716" priority="571" operator="equal">
      <formula>$C61</formula>
    </cfRule>
    <cfRule type="cellIs" dxfId="14715" priority="572" operator="greaterThan">
      <formula>$C61</formula>
    </cfRule>
    <cfRule type="cellIs" dxfId="14714" priority="573" operator="lessThan">
      <formula>$C61</formula>
    </cfRule>
  </conditionalFormatting>
  <conditionalFormatting sqref="D62:E62">
    <cfRule type="expression" dxfId="14713" priority="570">
      <formula>AND($A62&lt;&gt;"",MOD(ROW(),2))</formula>
    </cfRule>
  </conditionalFormatting>
  <conditionalFormatting sqref="D62">
    <cfRule type="cellIs" dxfId="14712" priority="567" operator="equal">
      <formula>$C62</formula>
    </cfRule>
    <cfRule type="cellIs" dxfId="14711" priority="568" operator="greaterThan">
      <formula>$C62</formula>
    </cfRule>
    <cfRule type="cellIs" dxfId="14710" priority="569" operator="lessThan">
      <formula>$C62</formula>
    </cfRule>
  </conditionalFormatting>
  <conditionalFormatting sqref="D63:E63">
    <cfRule type="expression" dxfId="14709" priority="566">
      <formula>AND($A63&lt;&gt;"",MOD(ROW(),2))</formula>
    </cfRule>
  </conditionalFormatting>
  <conditionalFormatting sqref="D63">
    <cfRule type="cellIs" dxfId="14708" priority="563" operator="equal">
      <formula>$C63</formula>
    </cfRule>
    <cfRule type="cellIs" dxfId="14707" priority="564" operator="greaterThan">
      <formula>$C63</formula>
    </cfRule>
    <cfRule type="cellIs" dxfId="14706" priority="565" operator="lessThan">
      <formula>$C63</formula>
    </cfRule>
  </conditionalFormatting>
  <conditionalFormatting sqref="D64:E64">
    <cfRule type="expression" dxfId="14705" priority="562">
      <formula>AND($A64&lt;&gt;"",MOD(ROW(),2))</formula>
    </cfRule>
  </conditionalFormatting>
  <conditionalFormatting sqref="D64">
    <cfRule type="cellIs" dxfId="14704" priority="559" operator="equal">
      <formula>$C64</formula>
    </cfRule>
    <cfRule type="cellIs" dxfId="14703" priority="560" operator="greaterThan">
      <formula>$C64</formula>
    </cfRule>
    <cfRule type="cellIs" dxfId="14702" priority="561" operator="lessThan">
      <formula>$C64</formula>
    </cfRule>
  </conditionalFormatting>
  <conditionalFormatting sqref="D65:E65">
    <cfRule type="expression" dxfId="14701" priority="558">
      <formula>AND($A65&lt;&gt;"",MOD(ROW(),2))</formula>
    </cfRule>
  </conditionalFormatting>
  <conditionalFormatting sqref="D65">
    <cfRule type="cellIs" dxfId="14700" priority="555" operator="equal">
      <formula>$C65</formula>
    </cfRule>
    <cfRule type="cellIs" dxfId="14699" priority="556" operator="greaterThan">
      <formula>$C65</formula>
    </cfRule>
    <cfRule type="cellIs" dxfId="14698" priority="557" operator="lessThan">
      <formula>$C65</formula>
    </cfRule>
  </conditionalFormatting>
  <conditionalFormatting sqref="E66">
    <cfRule type="expression" dxfId="14697" priority="554">
      <formula>AND($A66&lt;&gt;"",MOD(ROW(),2))</formula>
    </cfRule>
  </conditionalFormatting>
  <conditionalFormatting sqref="E67">
    <cfRule type="expression" dxfId="14696" priority="550">
      <formula>AND($A67&lt;&gt;"",MOD(ROW(),2))</formula>
    </cfRule>
  </conditionalFormatting>
  <conditionalFormatting sqref="K22:L22">
    <cfRule type="expression" dxfId="14695" priority="546">
      <formula>AND($A22&lt;&gt;"",MOD(ROW(),2))</formula>
    </cfRule>
  </conditionalFormatting>
  <conditionalFormatting sqref="M22">
    <cfRule type="expression" dxfId="14694" priority="543">
      <formula>AND($A22&lt;&gt;"",MOD(ROW(),2))</formula>
    </cfRule>
  </conditionalFormatting>
  <conditionalFormatting sqref="K22">
    <cfRule type="cellIs" dxfId="14693" priority="537" operator="equal">
      <formula>$C22</formula>
    </cfRule>
    <cfRule type="cellIs" dxfId="14692" priority="538" operator="greaterThan">
      <formula>$C22</formula>
    </cfRule>
    <cfRule type="cellIs" dxfId="14691" priority="539" operator="lessThan">
      <formula>$C22</formula>
    </cfRule>
  </conditionalFormatting>
  <conditionalFormatting sqref="L22:M22">
    <cfRule type="expression" dxfId="14690" priority="545">
      <formula>AND(#REF!&lt;&gt;"",MOD(ROW(),2))</formula>
    </cfRule>
  </conditionalFormatting>
  <conditionalFormatting sqref="L22:M22">
    <cfRule type="expression" dxfId="14689" priority="544">
      <formula>AND(#REF!&lt;&gt;"",MOD(ROW(),2))</formula>
    </cfRule>
  </conditionalFormatting>
  <conditionalFormatting sqref="M22">
    <cfRule type="cellIs" dxfId="14688" priority="540" operator="equal">
      <formula>#REF!</formula>
    </cfRule>
    <cfRule type="cellIs" dxfId="14687" priority="541" operator="greaterThan">
      <formula>#REF!</formula>
    </cfRule>
    <cfRule type="cellIs" dxfId="14686" priority="542" operator="lessThan">
      <formula>#REF!</formula>
    </cfRule>
  </conditionalFormatting>
  <conditionalFormatting sqref="D45:E45">
    <cfRule type="expression" dxfId="14685" priority="536">
      <formula>AND($A45&lt;&gt;"",MOD(ROW(),2))</formula>
    </cfRule>
  </conditionalFormatting>
  <conditionalFormatting sqref="D45">
    <cfRule type="cellIs" dxfId="14684" priority="533" operator="equal">
      <formula>$C45</formula>
    </cfRule>
    <cfRule type="cellIs" dxfId="14683" priority="534" operator="greaterThan">
      <formula>$C45</formula>
    </cfRule>
    <cfRule type="cellIs" dxfId="14682" priority="535" operator="lessThan">
      <formula>$C45</formula>
    </cfRule>
  </conditionalFormatting>
  <conditionalFormatting sqref="D46:E46">
    <cfRule type="expression" dxfId="14681" priority="532">
      <formula>AND($A46&lt;&gt;"",MOD(ROW(),2))</formula>
    </cfRule>
  </conditionalFormatting>
  <conditionalFormatting sqref="D46">
    <cfRule type="cellIs" dxfId="14680" priority="529" operator="equal">
      <formula>$C46</formula>
    </cfRule>
    <cfRule type="cellIs" dxfId="14679" priority="530" operator="greaterThan">
      <formula>$C46</formula>
    </cfRule>
    <cfRule type="cellIs" dxfId="14678" priority="531" operator="lessThan">
      <formula>$C46</formula>
    </cfRule>
  </conditionalFormatting>
  <conditionalFormatting sqref="D47:E47">
    <cfRule type="expression" dxfId="14677" priority="528">
      <formula>AND($A47&lt;&gt;"",MOD(ROW(),2))</formula>
    </cfRule>
  </conditionalFormatting>
  <conditionalFormatting sqref="D47">
    <cfRule type="cellIs" dxfId="14676" priority="525" operator="equal">
      <formula>$C47</formula>
    </cfRule>
    <cfRule type="cellIs" dxfId="14675" priority="526" operator="greaterThan">
      <formula>$C47</formula>
    </cfRule>
    <cfRule type="cellIs" dxfId="14674" priority="527" operator="lessThan">
      <formula>$C47</formula>
    </cfRule>
  </conditionalFormatting>
  <conditionalFormatting sqref="D48:E48">
    <cfRule type="expression" dxfId="14673" priority="524">
      <formula>AND($A48&lt;&gt;"",MOD(ROW(),2))</formula>
    </cfRule>
  </conditionalFormatting>
  <conditionalFormatting sqref="D48">
    <cfRule type="cellIs" dxfId="14672" priority="521" operator="equal">
      <formula>$C48</formula>
    </cfRule>
    <cfRule type="cellIs" dxfId="14671" priority="522" operator="greaterThan">
      <formula>$C48</formula>
    </cfRule>
    <cfRule type="cellIs" dxfId="14670" priority="523" operator="lessThan">
      <formula>$C48</formula>
    </cfRule>
  </conditionalFormatting>
  <conditionalFormatting sqref="D45:E45">
    <cfRule type="expression" dxfId="14669" priority="520">
      <formula>AND($A45&lt;&gt;"",MOD(ROW(),2))</formula>
    </cfRule>
  </conditionalFormatting>
  <conditionalFormatting sqref="D45">
    <cfRule type="cellIs" dxfId="14668" priority="517" operator="equal">
      <formula>$C45</formula>
    </cfRule>
    <cfRule type="cellIs" dxfId="14667" priority="518" operator="greaterThan">
      <formula>$C45</formula>
    </cfRule>
    <cfRule type="cellIs" dxfId="14666" priority="519" operator="lessThan">
      <formula>$C45</formula>
    </cfRule>
  </conditionalFormatting>
  <conditionalFormatting sqref="D46:E46">
    <cfRule type="expression" dxfId="14665" priority="516">
      <formula>AND($A46&lt;&gt;"",MOD(ROW(),2))</formula>
    </cfRule>
  </conditionalFormatting>
  <conditionalFormatting sqref="D46">
    <cfRule type="cellIs" dxfId="14664" priority="513" operator="equal">
      <formula>$C46</formula>
    </cfRule>
    <cfRule type="cellIs" dxfId="14663" priority="514" operator="greaterThan">
      <formula>$C46</formula>
    </cfRule>
    <cfRule type="cellIs" dxfId="14662" priority="515" operator="lessThan">
      <formula>$C46</formula>
    </cfRule>
  </conditionalFormatting>
  <conditionalFormatting sqref="D47:E47">
    <cfRule type="expression" dxfId="14661" priority="512">
      <formula>AND($A47&lt;&gt;"",MOD(ROW(),2))</formula>
    </cfRule>
  </conditionalFormatting>
  <conditionalFormatting sqref="D47">
    <cfRule type="cellIs" dxfId="14660" priority="509" operator="equal">
      <formula>$C47</formula>
    </cfRule>
    <cfRule type="cellIs" dxfId="14659" priority="510" operator="greaterThan">
      <formula>$C47</formula>
    </cfRule>
    <cfRule type="cellIs" dxfId="14658" priority="511" operator="lessThan">
      <formula>$C47</formula>
    </cfRule>
  </conditionalFormatting>
  <conditionalFormatting sqref="D48:E48">
    <cfRule type="expression" dxfId="14657" priority="508">
      <formula>AND($A48&lt;&gt;"",MOD(ROW(),2))</formula>
    </cfRule>
  </conditionalFormatting>
  <conditionalFormatting sqref="D48">
    <cfRule type="cellIs" dxfId="14656" priority="505" operator="equal">
      <formula>$C48</formula>
    </cfRule>
    <cfRule type="cellIs" dxfId="14655" priority="506" operator="greaterThan">
      <formula>$C48</formula>
    </cfRule>
    <cfRule type="cellIs" dxfId="14654" priority="507" operator="lessThan">
      <formula>$C48</formula>
    </cfRule>
  </conditionalFormatting>
  <conditionalFormatting sqref="D49:E49">
    <cfRule type="expression" dxfId="14653" priority="504">
      <formula>AND($A49&lt;&gt;"",MOD(ROW(),2))</formula>
    </cfRule>
  </conditionalFormatting>
  <conditionalFormatting sqref="D49">
    <cfRule type="cellIs" dxfId="14652" priority="501" operator="equal">
      <formula>$C49</formula>
    </cfRule>
    <cfRule type="cellIs" dxfId="14651" priority="502" operator="greaterThan">
      <formula>$C49</formula>
    </cfRule>
    <cfRule type="cellIs" dxfId="14650" priority="503" operator="lessThan">
      <formula>$C49</formula>
    </cfRule>
  </conditionalFormatting>
  <conditionalFormatting sqref="D46:E46">
    <cfRule type="expression" dxfId="14649" priority="500">
      <formula>AND($A46&lt;&gt;"",MOD(ROW(),2))</formula>
    </cfRule>
  </conditionalFormatting>
  <conditionalFormatting sqref="D46">
    <cfRule type="cellIs" dxfId="14648" priority="497" operator="equal">
      <formula>$C46</formula>
    </cfRule>
    <cfRule type="cellIs" dxfId="14647" priority="498" operator="greaterThan">
      <formula>$C46</formula>
    </cfRule>
    <cfRule type="cellIs" dxfId="14646" priority="499" operator="lessThan">
      <formula>$C46</formula>
    </cfRule>
  </conditionalFormatting>
  <conditionalFormatting sqref="D47:E47">
    <cfRule type="expression" dxfId="14645" priority="496">
      <formula>AND($A47&lt;&gt;"",MOD(ROW(),2))</formula>
    </cfRule>
  </conditionalFormatting>
  <conditionalFormatting sqref="D47">
    <cfRule type="cellIs" dxfId="14644" priority="493" operator="equal">
      <formula>$C47</formula>
    </cfRule>
    <cfRule type="cellIs" dxfId="14643" priority="494" operator="greaterThan">
      <formula>$C47</formula>
    </cfRule>
    <cfRule type="cellIs" dxfId="14642" priority="495" operator="lessThan">
      <formula>$C47</formula>
    </cfRule>
  </conditionalFormatting>
  <conditionalFormatting sqref="D48:E48">
    <cfRule type="expression" dxfId="14641" priority="492">
      <formula>AND($A48&lt;&gt;"",MOD(ROW(),2))</formula>
    </cfRule>
  </conditionalFormatting>
  <conditionalFormatting sqref="D48">
    <cfRule type="cellIs" dxfId="14640" priority="489" operator="equal">
      <formula>$C48</formula>
    </cfRule>
    <cfRule type="cellIs" dxfId="14639" priority="490" operator="greaterThan">
      <formula>$C48</formula>
    </cfRule>
    <cfRule type="cellIs" dxfId="14638" priority="491" operator="lessThan">
      <formula>$C48</formula>
    </cfRule>
  </conditionalFormatting>
  <conditionalFormatting sqref="D49:E49">
    <cfRule type="expression" dxfId="14637" priority="488">
      <formula>AND($A49&lt;&gt;"",MOD(ROW(),2))</formula>
    </cfRule>
  </conditionalFormatting>
  <conditionalFormatting sqref="D49">
    <cfRule type="cellIs" dxfId="14636" priority="485" operator="equal">
      <formula>$C49</formula>
    </cfRule>
    <cfRule type="cellIs" dxfId="14635" priority="486" operator="greaterThan">
      <formula>$C49</formula>
    </cfRule>
    <cfRule type="cellIs" dxfId="14634" priority="487" operator="lessThan">
      <formula>$C49</formula>
    </cfRule>
  </conditionalFormatting>
  <conditionalFormatting sqref="D45:E45">
    <cfRule type="expression" dxfId="14633" priority="484">
      <formula>AND($A45&lt;&gt;"",MOD(ROW(),2))</formula>
    </cfRule>
  </conditionalFormatting>
  <conditionalFormatting sqref="D45">
    <cfRule type="cellIs" dxfId="14632" priority="481" operator="equal">
      <formula>$C45</formula>
    </cfRule>
    <cfRule type="cellIs" dxfId="14631" priority="482" operator="greaterThan">
      <formula>$C45</formula>
    </cfRule>
    <cfRule type="cellIs" dxfId="14630" priority="483" operator="lessThan">
      <formula>$C45</formula>
    </cfRule>
  </conditionalFormatting>
  <conditionalFormatting sqref="D46:E46">
    <cfRule type="expression" dxfId="14629" priority="480">
      <formula>AND($A46&lt;&gt;"",MOD(ROW(),2))</formula>
    </cfRule>
  </conditionalFormatting>
  <conditionalFormatting sqref="D46">
    <cfRule type="cellIs" dxfId="14628" priority="477" operator="equal">
      <formula>$C46</formula>
    </cfRule>
    <cfRule type="cellIs" dxfId="14627" priority="478" operator="greaterThan">
      <formula>$C46</formula>
    </cfRule>
    <cfRule type="cellIs" dxfId="14626" priority="479" operator="lessThan">
      <formula>$C46</formula>
    </cfRule>
  </conditionalFormatting>
  <conditionalFormatting sqref="D47:E47">
    <cfRule type="expression" dxfId="14625" priority="476">
      <formula>AND($A47&lt;&gt;"",MOD(ROW(),2))</formula>
    </cfRule>
  </conditionalFormatting>
  <conditionalFormatting sqref="D47">
    <cfRule type="cellIs" dxfId="14624" priority="473" operator="equal">
      <formula>$C47</formula>
    </cfRule>
    <cfRule type="cellIs" dxfId="14623" priority="474" operator="greaterThan">
      <formula>$C47</formula>
    </cfRule>
    <cfRule type="cellIs" dxfId="14622" priority="475" operator="lessThan">
      <formula>$C47</formula>
    </cfRule>
  </conditionalFormatting>
  <conditionalFormatting sqref="D48:E48">
    <cfRule type="expression" dxfId="14621" priority="472">
      <formula>AND($A48&lt;&gt;"",MOD(ROW(),2))</formula>
    </cfRule>
  </conditionalFormatting>
  <conditionalFormatting sqref="D48">
    <cfRule type="cellIs" dxfId="14620" priority="469" operator="equal">
      <formula>$C48</formula>
    </cfRule>
    <cfRule type="cellIs" dxfId="14619" priority="470" operator="greaterThan">
      <formula>$C48</formula>
    </cfRule>
    <cfRule type="cellIs" dxfId="14618" priority="471" operator="lessThan">
      <formula>$C48</formula>
    </cfRule>
  </conditionalFormatting>
  <conditionalFormatting sqref="D49:E49">
    <cfRule type="expression" dxfId="14617" priority="468">
      <formula>AND($A49&lt;&gt;"",MOD(ROW(),2))</formula>
    </cfRule>
  </conditionalFormatting>
  <conditionalFormatting sqref="D49">
    <cfRule type="cellIs" dxfId="14616" priority="465" operator="equal">
      <formula>$C49</formula>
    </cfRule>
    <cfRule type="cellIs" dxfId="14615" priority="466" operator="greaterThan">
      <formula>$C49</formula>
    </cfRule>
    <cfRule type="cellIs" dxfId="14614" priority="467" operator="lessThan">
      <formula>$C49</formula>
    </cfRule>
  </conditionalFormatting>
  <conditionalFormatting sqref="D50:E50">
    <cfRule type="expression" dxfId="14613" priority="464">
      <formula>AND($A50&lt;&gt;"",MOD(ROW(),2))</formula>
    </cfRule>
  </conditionalFormatting>
  <conditionalFormatting sqref="D50">
    <cfRule type="cellIs" dxfId="14612" priority="461" operator="equal">
      <formula>$C50</formula>
    </cfRule>
    <cfRule type="cellIs" dxfId="14611" priority="462" operator="greaterThan">
      <formula>$C50</formula>
    </cfRule>
    <cfRule type="cellIs" dxfId="14610" priority="463" operator="lessThan">
      <formula>$C50</formula>
    </cfRule>
  </conditionalFormatting>
  <conditionalFormatting sqref="D46:E46">
    <cfRule type="expression" dxfId="14609" priority="460">
      <formula>AND($A46&lt;&gt;"",MOD(ROW(),2))</formula>
    </cfRule>
  </conditionalFormatting>
  <conditionalFormatting sqref="D46">
    <cfRule type="cellIs" dxfId="14608" priority="457" operator="equal">
      <formula>$C46</formula>
    </cfRule>
    <cfRule type="cellIs" dxfId="14607" priority="458" operator="greaterThan">
      <formula>$C46</formula>
    </cfRule>
    <cfRule type="cellIs" dxfId="14606" priority="459" operator="lessThan">
      <formula>$C46</formula>
    </cfRule>
  </conditionalFormatting>
  <conditionalFormatting sqref="D47:E47">
    <cfRule type="expression" dxfId="14605" priority="456">
      <formula>AND($A47&lt;&gt;"",MOD(ROW(),2))</formula>
    </cfRule>
  </conditionalFormatting>
  <conditionalFormatting sqref="D47">
    <cfRule type="cellIs" dxfId="14604" priority="453" operator="equal">
      <formula>$C47</formula>
    </cfRule>
    <cfRule type="cellIs" dxfId="14603" priority="454" operator="greaterThan">
      <formula>$C47</formula>
    </cfRule>
    <cfRule type="cellIs" dxfId="14602" priority="455" operator="lessThan">
      <formula>$C47</formula>
    </cfRule>
  </conditionalFormatting>
  <conditionalFormatting sqref="D48:E48">
    <cfRule type="expression" dxfId="14601" priority="452">
      <formula>AND($A48&lt;&gt;"",MOD(ROW(),2))</formula>
    </cfRule>
  </conditionalFormatting>
  <conditionalFormatting sqref="D48">
    <cfRule type="cellIs" dxfId="14600" priority="449" operator="equal">
      <formula>$C48</formula>
    </cfRule>
    <cfRule type="cellIs" dxfId="14599" priority="450" operator="greaterThan">
      <formula>$C48</formula>
    </cfRule>
    <cfRule type="cellIs" dxfId="14598" priority="451" operator="lessThan">
      <formula>$C48</formula>
    </cfRule>
  </conditionalFormatting>
  <conditionalFormatting sqref="D49:E49">
    <cfRule type="expression" dxfId="14597" priority="448">
      <formula>AND($A49&lt;&gt;"",MOD(ROW(),2))</formula>
    </cfRule>
  </conditionalFormatting>
  <conditionalFormatting sqref="D49">
    <cfRule type="cellIs" dxfId="14596" priority="445" operator="equal">
      <formula>$C49</formula>
    </cfRule>
    <cfRule type="cellIs" dxfId="14595" priority="446" operator="greaterThan">
      <formula>$C49</formula>
    </cfRule>
    <cfRule type="cellIs" dxfId="14594" priority="447" operator="lessThan">
      <formula>$C49</formula>
    </cfRule>
  </conditionalFormatting>
  <conditionalFormatting sqref="D46:E46">
    <cfRule type="expression" dxfId="14593" priority="444">
      <formula>AND($A46&lt;&gt;"",MOD(ROW(),2))</formula>
    </cfRule>
  </conditionalFormatting>
  <conditionalFormatting sqref="D46">
    <cfRule type="cellIs" dxfId="14592" priority="441" operator="equal">
      <formula>$C46</formula>
    </cfRule>
    <cfRule type="cellIs" dxfId="14591" priority="442" operator="greaterThan">
      <formula>$C46</formula>
    </cfRule>
    <cfRule type="cellIs" dxfId="14590" priority="443" operator="lessThan">
      <formula>$C46</formula>
    </cfRule>
  </conditionalFormatting>
  <conditionalFormatting sqref="D47:E47">
    <cfRule type="expression" dxfId="14589" priority="440">
      <formula>AND($A47&lt;&gt;"",MOD(ROW(),2))</formula>
    </cfRule>
  </conditionalFormatting>
  <conditionalFormatting sqref="D47">
    <cfRule type="cellIs" dxfId="14588" priority="437" operator="equal">
      <formula>$C47</formula>
    </cfRule>
    <cfRule type="cellIs" dxfId="14587" priority="438" operator="greaterThan">
      <formula>$C47</formula>
    </cfRule>
    <cfRule type="cellIs" dxfId="14586" priority="439" operator="lessThan">
      <formula>$C47</formula>
    </cfRule>
  </conditionalFormatting>
  <conditionalFormatting sqref="D48:E48">
    <cfRule type="expression" dxfId="14585" priority="436">
      <formula>AND($A48&lt;&gt;"",MOD(ROW(),2))</formula>
    </cfRule>
  </conditionalFormatting>
  <conditionalFormatting sqref="D48">
    <cfRule type="cellIs" dxfId="14584" priority="433" operator="equal">
      <formula>$C48</formula>
    </cfRule>
    <cfRule type="cellIs" dxfId="14583" priority="434" operator="greaterThan">
      <formula>$C48</formula>
    </cfRule>
    <cfRule type="cellIs" dxfId="14582" priority="435" operator="lessThan">
      <formula>$C48</formula>
    </cfRule>
  </conditionalFormatting>
  <conditionalFormatting sqref="D49:E49">
    <cfRule type="expression" dxfId="14581" priority="432">
      <formula>AND($A49&lt;&gt;"",MOD(ROW(),2))</formula>
    </cfRule>
  </conditionalFormatting>
  <conditionalFormatting sqref="D49">
    <cfRule type="cellIs" dxfId="14580" priority="429" operator="equal">
      <formula>$C49</formula>
    </cfRule>
    <cfRule type="cellIs" dxfId="14579" priority="430" operator="greaterThan">
      <formula>$C49</formula>
    </cfRule>
    <cfRule type="cellIs" dxfId="14578" priority="431" operator="lessThan">
      <formula>$C49</formula>
    </cfRule>
  </conditionalFormatting>
  <conditionalFormatting sqref="D50:E50">
    <cfRule type="expression" dxfId="14577" priority="428">
      <formula>AND($A50&lt;&gt;"",MOD(ROW(),2))</formula>
    </cfRule>
  </conditionalFormatting>
  <conditionalFormatting sqref="D50">
    <cfRule type="cellIs" dxfId="14576" priority="425" operator="equal">
      <formula>$C50</formula>
    </cfRule>
    <cfRule type="cellIs" dxfId="14575" priority="426" operator="greaterThan">
      <formula>$C50</formula>
    </cfRule>
    <cfRule type="cellIs" dxfId="14574" priority="427" operator="lessThan">
      <formula>$C50</formula>
    </cfRule>
  </conditionalFormatting>
  <conditionalFormatting sqref="D47:E47">
    <cfRule type="expression" dxfId="14573" priority="424">
      <formula>AND($A47&lt;&gt;"",MOD(ROW(),2))</formula>
    </cfRule>
  </conditionalFormatting>
  <conditionalFormatting sqref="D47">
    <cfRule type="cellIs" dxfId="14572" priority="421" operator="equal">
      <formula>$C47</formula>
    </cfRule>
    <cfRule type="cellIs" dxfId="14571" priority="422" operator="greaterThan">
      <formula>$C47</formula>
    </cfRule>
    <cfRule type="cellIs" dxfId="14570" priority="423" operator="lessThan">
      <formula>$C47</formula>
    </cfRule>
  </conditionalFormatting>
  <conditionalFormatting sqref="D48:E48">
    <cfRule type="expression" dxfId="14569" priority="420">
      <formula>AND($A48&lt;&gt;"",MOD(ROW(),2))</formula>
    </cfRule>
  </conditionalFormatting>
  <conditionalFormatting sqref="D48">
    <cfRule type="cellIs" dxfId="14568" priority="417" operator="equal">
      <formula>$C48</formula>
    </cfRule>
    <cfRule type="cellIs" dxfId="14567" priority="418" operator="greaterThan">
      <formula>$C48</formula>
    </cfRule>
    <cfRule type="cellIs" dxfId="14566" priority="419" operator="lessThan">
      <formula>$C48</formula>
    </cfRule>
  </conditionalFormatting>
  <conditionalFormatting sqref="D49:E49">
    <cfRule type="expression" dxfId="14565" priority="416">
      <formula>AND($A49&lt;&gt;"",MOD(ROW(),2))</formula>
    </cfRule>
  </conditionalFormatting>
  <conditionalFormatting sqref="D49">
    <cfRule type="cellIs" dxfId="14564" priority="413" operator="equal">
      <formula>$C49</formula>
    </cfRule>
    <cfRule type="cellIs" dxfId="14563" priority="414" operator="greaterThan">
      <formula>$C49</formula>
    </cfRule>
    <cfRule type="cellIs" dxfId="14562" priority="415" operator="lessThan">
      <formula>$C49</formula>
    </cfRule>
  </conditionalFormatting>
  <conditionalFormatting sqref="D50:E50">
    <cfRule type="expression" dxfId="14561" priority="412">
      <formula>AND($A50&lt;&gt;"",MOD(ROW(),2))</formula>
    </cfRule>
  </conditionalFormatting>
  <conditionalFormatting sqref="D50">
    <cfRule type="cellIs" dxfId="14560" priority="409" operator="equal">
      <formula>$C50</formula>
    </cfRule>
    <cfRule type="cellIs" dxfId="14559" priority="410" operator="greaterThan">
      <formula>$C50</formula>
    </cfRule>
    <cfRule type="cellIs" dxfId="14558" priority="411" operator="lessThan">
      <formula>$C50</formula>
    </cfRule>
  </conditionalFormatting>
  <conditionalFormatting sqref="D45:E45">
    <cfRule type="expression" dxfId="14557" priority="408">
      <formula>AND($A45&lt;&gt;"",MOD(ROW(),2))</formula>
    </cfRule>
  </conditionalFormatting>
  <conditionalFormatting sqref="D45">
    <cfRule type="cellIs" dxfId="14556" priority="405" operator="equal">
      <formula>$C45</formula>
    </cfRule>
    <cfRule type="cellIs" dxfId="14555" priority="406" operator="greaterThan">
      <formula>$C45</formula>
    </cfRule>
    <cfRule type="cellIs" dxfId="14554" priority="407" operator="lessThan">
      <formula>$C45</formula>
    </cfRule>
  </conditionalFormatting>
  <conditionalFormatting sqref="D46:E46">
    <cfRule type="expression" dxfId="14553" priority="404">
      <formula>AND($A46&lt;&gt;"",MOD(ROW(),2))</formula>
    </cfRule>
  </conditionalFormatting>
  <conditionalFormatting sqref="D46">
    <cfRule type="cellIs" dxfId="14552" priority="401" operator="equal">
      <formula>$C46</formula>
    </cfRule>
    <cfRule type="cellIs" dxfId="14551" priority="402" operator="greaterThan">
      <formula>$C46</formula>
    </cfRule>
    <cfRule type="cellIs" dxfId="14550" priority="403" operator="lessThan">
      <formula>$C46</formula>
    </cfRule>
  </conditionalFormatting>
  <conditionalFormatting sqref="D47:E47">
    <cfRule type="expression" dxfId="14549" priority="400">
      <formula>AND($A47&lt;&gt;"",MOD(ROW(),2))</formula>
    </cfRule>
  </conditionalFormatting>
  <conditionalFormatting sqref="D47">
    <cfRule type="cellIs" dxfId="14548" priority="397" operator="equal">
      <formula>$C47</formula>
    </cfRule>
    <cfRule type="cellIs" dxfId="14547" priority="398" operator="greaterThan">
      <formula>$C47</formula>
    </cfRule>
    <cfRule type="cellIs" dxfId="14546" priority="399" operator="lessThan">
      <formula>$C47</formula>
    </cfRule>
  </conditionalFormatting>
  <conditionalFormatting sqref="D48:E48">
    <cfRule type="expression" dxfId="14545" priority="396">
      <formula>AND($A48&lt;&gt;"",MOD(ROW(),2))</formula>
    </cfRule>
  </conditionalFormatting>
  <conditionalFormatting sqref="D48">
    <cfRule type="cellIs" dxfId="14544" priority="393" operator="equal">
      <formula>$C48</formula>
    </cfRule>
    <cfRule type="cellIs" dxfId="14543" priority="394" operator="greaterThan">
      <formula>$C48</formula>
    </cfRule>
    <cfRule type="cellIs" dxfId="14542" priority="395" operator="lessThan">
      <formula>$C48</formula>
    </cfRule>
  </conditionalFormatting>
  <conditionalFormatting sqref="D49:E49">
    <cfRule type="expression" dxfId="14541" priority="392">
      <formula>AND($A49&lt;&gt;"",MOD(ROW(),2))</formula>
    </cfRule>
  </conditionalFormatting>
  <conditionalFormatting sqref="D49">
    <cfRule type="cellIs" dxfId="14540" priority="389" operator="equal">
      <formula>$C49</formula>
    </cfRule>
    <cfRule type="cellIs" dxfId="14539" priority="390" operator="greaterThan">
      <formula>$C49</formula>
    </cfRule>
    <cfRule type="cellIs" dxfId="14538" priority="391" operator="lessThan">
      <formula>$C49</formula>
    </cfRule>
  </conditionalFormatting>
  <conditionalFormatting sqref="D50:E50">
    <cfRule type="expression" dxfId="14537" priority="388">
      <formula>AND($A50&lt;&gt;"",MOD(ROW(),2))</formula>
    </cfRule>
  </conditionalFormatting>
  <conditionalFormatting sqref="D50">
    <cfRule type="cellIs" dxfId="14536" priority="385" operator="equal">
      <formula>$C50</formula>
    </cfRule>
    <cfRule type="cellIs" dxfId="14535" priority="386" operator="greaterThan">
      <formula>$C50</formula>
    </cfRule>
    <cfRule type="cellIs" dxfId="14534" priority="387" operator="lessThan">
      <formula>$C50</formula>
    </cfRule>
  </conditionalFormatting>
  <conditionalFormatting sqref="D51:E51">
    <cfRule type="expression" dxfId="14533" priority="384">
      <formula>AND($A51&lt;&gt;"",MOD(ROW(),2))</formula>
    </cfRule>
  </conditionalFormatting>
  <conditionalFormatting sqref="D51">
    <cfRule type="cellIs" dxfId="14532" priority="381" operator="equal">
      <formula>$C51</formula>
    </cfRule>
    <cfRule type="cellIs" dxfId="14531" priority="382" operator="greaterThan">
      <formula>$C51</formula>
    </cfRule>
    <cfRule type="cellIs" dxfId="14530" priority="383" operator="lessThan">
      <formula>$C51</formula>
    </cfRule>
  </conditionalFormatting>
  <conditionalFormatting sqref="D46:E46">
    <cfRule type="expression" dxfId="14529" priority="380">
      <formula>AND($A46&lt;&gt;"",MOD(ROW(),2))</formula>
    </cfRule>
  </conditionalFormatting>
  <conditionalFormatting sqref="D46">
    <cfRule type="cellIs" dxfId="14528" priority="377" operator="equal">
      <formula>$C46</formula>
    </cfRule>
    <cfRule type="cellIs" dxfId="14527" priority="378" operator="greaterThan">
      <formula>$C46</formula>
    </cfRule>
    <cfRule type="cellIs" dxfId="14526" priority="379" operator="lessThan">
      <formula>$C46</formula>
    </cfRule>
  </conditionalFormatting>
  <conditionalFormatting sqref="D47:E47">
    <cfRule type="expression" dxfId="14525" priority="376">
      <formula>AND($A47&lt;&gt;"",MOD(ROW(),2))</formula>
    </cfRule>
  </conditionalFormatting>
  <conditionalFormatting sqref="D47">
    <cfRule type="cellIs" dxfId="14524" priority="373" operator="equal">
      <formula>$C47</formula>
    </cfRule>
    <cfRule type="cellIs" dxfId="14523" priority="374" operator="greaterThan">
      <formula>$C47</formula>
    </cfRule>
    <cfRule type="cellIs" dxfId="14522" priority="375" operator="lessThan">
      <formula>$C47</formula>
    </cfRule>
  </conditionalFormatting>
  <conditionalFormatting sqref="D48:E48">
    <cfRule type="expression" dxfId="14521" priority="372">
      <formula>AND($A48&lt;&gt;"",MOD(ROW(),2))</formula>
    </cfRule>
  </conditionalFormatting>
  <conditionalFormatting sqref="D48">
    <cfRule type="cellIs" dxfId="14520" priority="369" operator="equal">
      <formula>$C48</formula>
    </cfRule>
    <cfRule type="cellIs" dxfId="14519" priority="370" operator="greaterThan">
      <formula>$C48</formula>
    </cfRule>
    <cfRule type="cellIs" dxfId="14518" priority="371" operator="lessThan">
      <formula>$C48</formula>
    </cfRule>
  </conditionalFormatting>
  <conditionalFormatting sqref="D49:E49">
    <cfRule type="expression" dxfId="14517" priority="368">
      <formula>AND($A49&lt;&gt;"",MOD(ROW(),2))</formula>
    </cfRule>
  </conditionalFormatting>
  <conditionalFormatting sqref="D49">
    <cfRule type="cellIs" dxfId="14516" priority="365" operator="equal">
      <formula>$C49</formula>
    </cfRule>
    <cfRule type="cellIs" dxfId="14515" priority="366" operator="greaterThan">
      <formula>$C49</formula>
    </cfRule>
    <cfRule type="cellIs" dxfId="14514" priority="367" operator="lessThan">
      <formula>$C49</formula>
    </cfRule>
  </conditionalFormatting>
  <conditionalFormatting sqref="D46:E46">
    <cfRule type="expression" dxfId="14513" priority="364">
      <formula>AND($A46&lt;&gt;"",MOD(ROW(),2))</formula>
    </cfRule>
  </conditionalFormatting>
  <conditionalFormatting sqref="D46">
    <cfRule type="cellIs" dxfId="14512" priority="361" operator="equal">
      <formula>$C46</formula>
    </cfRule>
    <cfRule type="cellIs" dxfId="14511" priority="362" operator="greaterThan">
      <formula>$C46</formula>
    </cfRule>
    <cfRule type="cellIs" dxfId="14510" priority="363" operator="lessThan">
      <formula>$C46</formula>
    </cfRule>
  </conditionalFormatting>
  <conditionalFormatting sqref="D47:E47">
    <cfRule type="expression" dxfId="14509" priority="360">
      <formula>AND($A47&lt;&gt;"",MOD(ROW(),2))</formula>
    </cfRule>
  </conditionalFormatting>
  <conditionalFormatting sqref="D47">
    <cfRule type="cellIs" dxfId="14508" priority="357" operator="equal">
      <formula>$C47</formula>
    </cfRule>
    <cfRule type="cellIs" dxfId="14507" priority="358" operator="greaterThan">
      <formula>$C47</formula>
    </cfRule>
    <cfRule type="cellIs" dxfId="14506" priority="359" operator="lessThan">
      <formula>$C47</formula>
    </cfRule>
  </conditionalFormatting>
  <conditionalFormatting sqref="D48:E48">
    <cfRule type="expression" dxfId="14505" priority="356">
      <formula>AND($A48&lt;&gt;"",MOD(ROW(),2))</formula>
    </cfRule>
  </conditionalFormatting>
  <conditionalFormatting sqref="D48">
    <cfRule type="cellIs" dxfId="14504" priority="353" operator="equal">
      <formula>$C48</formula>
    </cfRule>
    <cfRule type="cellIs" dxfId="14503" priority="354" operator="greaterThan">
      <formula>$C48</formula>
    </cfRule>
    <cfRule type="cellIs" dxfId="14502" priority="355" operator="lessThan">
      <formula>$C48</formula>
    </cfRule>
  </conditionalFormatting>
  <conditionalFormatting sqref="D49:E49">
    <cfRule type="expression" dxfId="14501" priority="352">
      <formula>AND($A49&lt;&gt;"",MOD(ROW(),2))</formula>
    </cfRule>
  </conditionalFormatting>
  <conditionalFormatting sqref="D49">
    <cfRule type="cellIs" dxfId="14500" priority="349" operator="equal">
      <formula>$C49</formula>
    </cfRule>
    <cfRule type="cellIs" dxfId="14499" priority="350" operator="greaterThan">
      <formula>$C49</formula>
    </cfRule>
    <cfRule type="cellIs" dxfId="14498" priority="351" operator="lessThan">
      <formula>$C49</formula>
    </cfRule>
  </conditionalFormatting>
  <conditionalFormatting sqref="D50:E50">
    <cfRule type="expression" dxfId="14497" priority="348">
      <formula>AND($A50&lt;&gt;"",MOD(ROW(),2))</formula>
    </cfRule>
  </conditionalFormatting>
  <conditionalFormatting sqref="D50">
    <cfRule type="cellIs" dxfId="14496" priority="345" operator="equal">
      <formula>$C50</formula>
    </cfRule>
    <cfRule type="cellIs" dxfId="14495" priority="346" operator="greaterThan">
      <formula>$C50</formula>
    </cfRule>
    <cfRule type="cellIs" dxfId="14494" priority="347" operator="lessThan">
      <formula>$C50</formula>
    </cfRule>
  </conditionalFormatting>
  <conditionalFormatting sqref="D47:E47">
    <cfRule type="expression" dxfId="14493" priority="344">
      <formula>AND($A47&lt;&gt;"",MOD(ROW(),2))</formula>
    </cfRule>
  </conditionalFormatting>
  <conditionalFormatting sqref="D47">
    <cfRule type="cellIs" dxfId="14492" priority="341" operator="equal">
      <formula>$C47</formula>
    </cfRule>
    <cfRule type="cellIs" dxfId="14491" priority="342" operator="greaterThan">
      <formula>$C47</formula>
    </cfRule>
    <cfRule type="cellIs" dxfId="14490" priority="343" operator="lessThan">
      <formula>$C47</formula>
    </cfRule>
  </conditionalFormatting>
  <conditionalFormatting sqref="D48:E48">
    <cfRule type="expression" dxfId="14489" priority="340">
      <formula>AND($A48&lt;&gt;"",MOD(ROW(),2))</formula>
    </cfRule>
  </conditionalFormatting>
  <conditionalFormatting sqref="D48">
    <cfRule type="cellIs" dxfId="14488" priority="337" operator="equal">
      <formula>$C48</formula>
    </cfRule>
    <cfRule type="cellIs" dxfId="14487" priority="338" operator="greaterThan">
      <formula>$C48</formula>
    </cfRule>
    <cfRule type="cellIs" dxfId="14486" priority="339" operator="lessThan">
      <formula>$C48</formula>
    </cfRule>
  </conditionalFormatting>
  <conditionalFormatting sqref="D49:E49">
    <cfRule type="expression" dxfId="14485" priority="336">
      <formula>AND($A49&lt;&gt;"",MOD(ROW(),2))</formula>
    </cfRule>
  </conditionalFormatting>
  <conditionalFormatting sqref="D49">
    <cfRule type="cellIs" dxfId="14484" priority="333" operator="equal">
      <formula>$C49</formula>
    </cfRule>
    <cfRule type="cellIs" dxfId="14483" priority="334" operator="greaterThan">
      <formula>$C49</formula>
    </cfRule>
    <cfRule type="cellIs" dxfId="14482" priority="335" operator="lessThan">
      <formula>$C49</formula>
    </cfRule>
  </conditionalFormatting>
  <conditionalFormatting sqref="D50:E50">
    <cfRule type="expression" dxfId="14481" priority="332">
      <formula>AND($A50&lt;&gt;"",MOD(ROW(),2))</formula>
    </cfRule>
  </conditionalFormatting>
  <conditionalFormatting sqref="D50">
    <cfRule type="cellIs" dxfId="14480" priority="329" operator="equal">
      <formula>$C50</formula>
    </cfRule>
    <cfRule type="cellIs" dxfId="14479" priority="330" operator="greaterThan">
      <formula>$C50</formula>
    </cfRule>
    <cfRule type="cellIs" dxfId="14478" priority="331" operator="lessThan">
      <formula>$C50</formula>
    </cfRule>
  </conditionalFormatting>
  <conditionalFormatting sqref="D46:E46">
    <cfRule type="expression" dxfId="14477" priority="328">
      <formula>AND($A46&lt;&gt;"",MOD(ROW(),2))</formula>
    </cfRule>
  </conditionalFormatting>
  <conditionalFormatting sqref="D46">
    <cfRule type="cellIs" dxfId="14476" priority="325" operator="equal">
      <formula>$C46</formula>
    </cfRule>
    <cfRule type="cellIs" dxfId="14475" priority="326" operator="greaterThan">
      <formula>$C46</formula>
    </cfRule>
    <cfRule type="cellIs" dxfId="14474" priority="327" operator="lessThan">
      <formula>$C46</formula>
    </cfRule>
  </conditionalFormatting>
  <conditionalFormatting sqref="D47:E47">
    <cfRule type="expression" dxfId="14473" priority="324">
      <formula>AND($A47&lt;&gt;"",MOD(ROW(),2))</formula>
    </cfRule>
  </conditionalFormatting>
  <conditionalFormatting sqref="D47">
    <cfRule type="cellIs" dxfId="14472" priority="321" operator="equal">
      <formula>$C47</formula>
    </cfRule>
    <cfRule type="cellIs" dxfId="14471" priority="322" operator="greaterThan">
      <formula>$C47</formula>
    </cfRule>
    <cfRule type="cellIs" dxfId="14470" priority="323" operator="lessThan">
      <formula>$C47</formula>
    </cfRule>
  </conditionalFormatting>
  <conditionalFormatting sqref="D48:E48">
    <cfRule type="expression" dxfId="14469" priority="320">
      <formula>AND($A48&lt;&gt;"",MOD(ROW(),2))</formula>
    </cfRule>
  </conditionalFormatting>
  <conditionalFormatting sqref="D48">
    <cfRule type="cellIs" dxfId="14468" priority="317" operator="equal">
      <formula>$C48</formula>
    </cfRule>
    <cfRule type="cellIs" dxfId="14467" priority="318" operator="greaterThan">
      <formula>$C48</formula>
    </cfRule>
    <cfRule type="cellIs" dxfId="14466" priority="319" operator="lessThan">
      <formula>$C48</formula>
    </cfRule>
  </conditionalFormatting>
  <conditionalFormatting sqref="D49:E49">
    <cfRule type="expression" dxfId="14465" priority="316">
      <formula>AND($A49&lt;&gt;"",MOD(ROW(),2))</formula>
    </cfRule>
  </conditionalFormatting>
  <conditionalFormatting sqref="D49">
    <cfRule type="cellIs" dxfId="14464" priority="313" operator="equal">
      <formula>$C49</formula>
    </cfRule>
    <cfRule type="cellIs" dxfId="14463" priority="314" operator="greaterThan">
      <formula>$C49</formula>
    </cfRule>
    <cfRule type="cellIs" dxfId="14462" priority="315" operator="lessThan">
      <formula>$C49</formula>
    </cfRule>
  </conditionalFormatting>
  <conditionalFormatting sqref="D50:E50">
    <cfRule type="expression" dxfId="14461" priority="312">
      <formula>AND($A50&lt;&gt;"",MOD(ROW(),2))</formula>
    </cfRule>
  </conditionalFormatting>
  <conditionalFormatting sqref="D50">
    <cfRule type="cellIs" dxfId="14460" priority="309" operator="equal">
      <formula>$C50</formula>
    </cfRule>
    <cfRule type="cellIs" dxfId="14459" priority="310" operator="greaterThan">
      <formula>$C50</formula>
    </cfRule>
    <cfRule type="cellIs" dxfId="14458" priority="311" operator="lessThan">
      <formula>$C50</formula>
    </cfRule>
  </conditionalFormatting>
  <conditionalFormatting sqref="D51:E51">
    <cfRule type="expression" dxfId="14457" priority="308">
      <formula>AND($A51&lt;&gt;"",MOD(ROW(),2))</formula>
    </cfRule>
  </conditionalFormatting>
  <conditionalFormatting sqref="D51">
    <cfRule type="cellIs" dxfId="14456" priority="305" operator="equal">
      <formula>$C51</formula>
    </cfRule>
    <cfRule type="cellIs" dxfId="14455" priority="306" operator="greaterThan">
      <formula>$C51</formula>
    </cfRule>
    <cfRule type="cellIs" dxfId="14454" priority="307" operator="lessThan">
      <formula>$C51</formula>
    </cfRule>
  </conditionalFormatting>
  <conditionalFormatting sqref="D47:E47">
    <cfRule type="expression" dxfId="14453" priority="304">
      <formula>AND($A47&lt;&gt;"",MOD(ROW(),2))</formula>
    </cfRule>
  </conditionalFormatting>
  <conditionalFormatting sqref="D47">
    <cfRule type="cellIs" dxfId="14452" priority="301" operator="equal">
      <formula>$C47</formula>
    </cfRule>
    <cfRule type="cellIs" dxfId="14451" priority="302" operator="greaterThan">
      <formula>$C47</formula>
    </cfRule>
    <cfRule type="cellIs" dxfId="14450" priority="303" operator="lessThan">
      <formula>$C47</formula>
    </cfRule>
  </conditionalFormatting>
  <conditionalFormatting sqref="D48:E48">
    <cfRule type="expression" dxfId="14449" priority="300">
      <formula>AND($A48&lt;&gt;"",MOD(ROW(),2))</formula>
    </cfRule>
  </conditionalFormatting>
  <conditionalFormatting sqref="D48">
    <cfRule type="cellIs" dxfId="14448" priority="297" operator="equal">
      <formula>$C48</formula>
    </cfRule>
    <cfRule type="cellIs" dxfId="14447" priority="298" operator="greaterThan">
      <formula>$C48</formula>
    </cfRule>
    <cfRule type="cellIs" dxfId="14446" priority="299" operator="lessThan">
      <formula>$C48</formula>
    </cfRule>
  </conditionalFormatting>
  <conditionalFormatting sqref="D49:E49">
    <cfRule type="expression" dxfId="14445" priority="296">
      <formula>AND($A49&lt;&gt;"",MOD(ROW(),2))</formula>
    </cfRule>
  </conditionalFormatting>
  <conditionalFormatting sqref="D49">
    <cfRule type="cellIs" dxfId="14444" priority="293" operator="equal">
      <formula>$C49</formula>
    </cfRule>
    <cfRule type="cellIs" dxfId="14443" priority="294" operator="greaterThan">
      <formula>$C49</formula>
    </cfRule>
    <cfRule type="cellIs" dxfId="14442" priority="295" operator="lessThan">
      <formula>$C49</formula>
    </cfRule>
  </conditionalFormatting>
  <conditionalFormatting sqref="D50:E50">
    <cfRule type="expression" dxfId="14441" priority="292">
      <formula>AND($A50&lt;&gt;"",MOD(ROW(),2))</formula>
    </cfRule>
  </conditionalFormatting>
  <conditionalFormatting sqref="D50">
    <cfRule type="cellIs" dxfId="14440" priority="289" operator="equal">
      <formula>$C50</formula>
    </cfRule>
    <cfRule type="cellIs" dxfId="14439" priority="290" operator="greaterThan">
      <formula>$C50</formula>
    </cfRule>
    <cfRule type="cellIs" dxfId="14438" priority="291" operator="lessThan">
      <formula>$C50</formula>
    </cfRule>
  </conditionalFormatting>
  <conditionalFormatting sqref="D47:E47">
    <cfRule type="expression" dxfId="14437" priority="288">
      <formula>AND($A47&lt;&gt;"",MOD(ROW(),2))</formula>
    </cfRule>
  </conditionalFormatting>
  <conditionalFormatting sqref="D47">
    <cfRule type="cellIs" dxfId="14436" priority="285" operator="equal">
      <formula>$C47</formula>
    </cfRule>
    <cfRule type="cellIs" dxfId="14435" priority="286" operator="greaterThan">
      <formula>$C47</formula>
    </cfRule>
    <cfRule type="cellIs" dxfId="14434" priority="287" operator="lessThan">
      <formula>$C47</formula>
    </cfRule>
  </conditionalFormatting>
  <conditionalFormatting sqref="D48:E48">
    <cfRule type="expression" dxfId="14433" priority="284">
      <formula>AND($A48&lt;&gt;"",MOD(ROW(),2))</formula>
    </cfRule>
  </conditionalFormatting>
  <conditionalFormatting sqref="D48">
    <cfRule type="cellIs" dxfId="14432" priority="281" operator="equal">
      <formula>$C48</formula>
    </cfRule>
    <cfRule type="cellIs" dxfId="14431" priority="282" operator="greaterThan">
      <formula>$C48</formula>
    </cfRule>
    <cfRule type="cellIs" dxfId="14430" priority="283" operator="lessThan">
      <formula>$C48</formula>
    </cfRule>
  </conditionalFormatting>
  <conditionalFormatting sqref="D49:E49">
    <cfRule type="expression" dxfId="14429" priority="280">
      <formula>AND($A49&lt;&gt;"",MOD(ROW(),2))</formula>
    </cfRule>
  </conditionalFormatting>
  <conditionalFormatting sqref="D49">
    <cfRule type="cellIs" dxfId="14428" priority="277" operator="equal">
      <formula>$C49</formula>
    </cfRule>
    <cfRule type="cellIs" dxfId="14427" priority="278" operator="greaterThan">
      <formula>$C49</formula>
    </cfRule>
    <cfRule type="cellIs" dxfId="14426" priority="279" operator="lessThan">
      <formula>$C49</formula>
    </cfRule>
  </conditionalFormatting>
  <conditionalFormatting sqref="D50:E50">
    <cfRule type="expression" dxfId="14425" priority="276">
      <formula>AND($A50&lt;&gt;"",MOD(ROW(),2))</formula>
    </cfRule>
  </conditionalFormatting>
  <conditionalFormatting sqref="D50">
    <cfRule type="cellIs" dxfId="14424" priority="273" operator="equal">
      <formula>$C50</formula>
    </cfRule>
    <cfRule type="cellIs" dxfId="14423" priority="274" operator="greaterThan">
      <formula>$C50</formula>
    </cfRule>
    <cfRule type="cellIs" dxfId="14422" priority="275" operator="lessThan">
      <formula>$C50</formula>
    </cfRule>
  </conditionalFormatting>
  <conditionalFormatting sqref="D51:E51">
    <cfRule type="expression" dxfId="14421" priority="272">
      <formula>AND($A51&lt;&gt;"",MOD(ROW(),2))</formula>
    </cfRule>
  </conditionalFormatting>
  <conditionalFormatting sqref="D51">
    <cfRule type="cellIs" dxfId="14420" priority="269" operator="equal">
      <formula>$C51</formula>
    </cfRule>
    <cfRule type="cellIs" dxfId="14419" priority="270" operator="greaterThan">
      <formula>$C51</formula>
    </cfRule>
    <cfRule type="cellIs" dxfId="14418" priority="271" operator="lessThan">
      <formula>$C51</formula>
    </cfRule>
  </conditionalFormatting>
  <conditionalFormatting sqref="D48:E48">
    <cfRule type="expression" dxfId="14417" priority="268">
      <formula>AND($A48&lt;&gt;"",MOD(ROW(),2))</formula>
    </cfRule>
  </conditionalFormatting>
  <conditionalFormatting sqref="D48">
    <cfRule type="cellIs" dxfId="14416" priority="265" operator="equal">
      <formula>$C48</formula>
    </cfRule>
    <cfRule type="cellIs" dxfId="14415" priority="266" operator="greaterThan">
      <formula>$C48</formula>
    </cfRule>
    <cfRule type="cellIs" dxfId="14414" priority="267" operator="lessThan">
      <formula>$C48</formula>
    </cfRule>
  </conditionalFormatting>
  <conditionalFormatting sqref="D49:E49">
    <cfRule type="expression" dxfId="14413" priority="264">
      <formula>AND($A49&lt;&gt;"",MOD(ROW(),2))</formula>
    </cfRule>
  </conditionalFormatting>
  <conditionalFormatting sqref="D49">
    <cfRule type="cellIs" dxfId="14412" priority="261" operator="equal">
      <formula>$C49</formula>
    </cfRule>
    <cfRule type="cellIs" dxfId="14411" priority="262" operator="greaterThan">
      <formula>$C49</formula>
    </cfRule>
    <cfRule type="cellIs" dxfId="14410" priority="263" operator="lessThan">
      <formula>$C49</formula>
    </cfRule>
  </conditionalFormatting>
  <conditionalFormatting sqref="D50:E50">
    <cfRule type="expression" dxfId="14409" priority="260">
      <formula>AND($A50&lt;&gt;"",MOD(ROW(),2))</formula>
    </cfRule>
  </conditionalFormatting>
  <conditionalFormatting sqref="D50">
    <cfRule type="cellIs" dxfId="14408" priority="257" operator="equal">
      <formula>$C50</formula>
    </cfRule>
    <cfRule type="cellIs" dxfId="14407" priority="258" operator="greaterThan">
      <formula>$C50</formula>
    </cfRule>
    <cfRule type="cellIs" dxfId="14406" priority="259" operator="lessThan">
      <formula>$C50</formula>
    </cfRule>
  </conditionalFormatting>
  <conditionalFormatting sqref="D51:E51">
    <cfRule type="expression" dxfId="14405" priority="256">
      <formula>AND($A51&lt;&gt;"",MOD(ROW(),2))</formula>
    </cfRule>
  </conditionalFormatting>
  <conditionalFormatting sqref="D51">
    <cfRule type="cellIs" dxfId="14404" priority="253" operator="equal">
      <formula>$C51</formula>
    </cfRule>
    <cfRule type="cellIs" dxfId="14403" priority="254" operator="greaterThan">
      <formula>$C51</formula>
    </cfRule>
    <cfRule type="cellIs" dxfId="14402" priority="255" operator="lessThan">
      <formula>$C51</formula>
    </cfRule>
  </conditionalFormatting>
  <conditionalFormatting sqref="K21:L21">
    <cfRule type="expression" dxfId="14401" priority="252">
      <formula>AND($A21&lt;&gt;"",MOD(ROW(),2))</formula>
    </cfRule>
  </conditionalFormatting>
  <conditionalFormatting sqref="M21">
    <cfRule type="expression" dxfId="14400" priority="249">
      <formula>AND($A21&lt;&gt;"",MOD(ROW(),2))</formula>
    </cfRule>
  </conditionalFormatting>
  <conditionalFormatting sqref="K21">
    <cfRule type="cellIs" dxfId="14399" priority="243" operator="equal">
      <formula>$C21</formula>
    </cfRule>
    <cfRule type="cellIs" dxfId="14398" priority="244" operator="greaterThan">
      <formula>$C21</formula>
    </cfRule>
    <cfRule type="cellIs" dxfId="14397" priority="245" operator="lessThan">
      <formula>$C21</formula>
    </cfRule>
  </conditionalFormatting>
  <conditionalFormatting sqref="L21:M21">
    <cfRule type="expression" dxfId="14396" priority="251">
      <formula>AND(#REF!&lt;&gt;"",MOD(ROW(),2))</formula>
    </cfRule>
  </conditionalFormatting>
  <conditionalFormatting sqref="L21:M21">
    <cfRule type="expression" dxfId="14395" priority="250">
      <formula>AND(#REF!&lt;&gt;"",MOD(ROW(),2))</formula>
    </cfRule>
  </conditionalFormatting>
  <conditionalFormatting sqref="M21">
    <cfRule type="cellIs" dxfId="14394" priority="246" operator="equal">
      <formula>#REF!</formula>
    </cfRule>
    <cfRule type="cellIs" dxfId="14393" priority="247" operator="greaterThan">
      <formula>#REF!</formula>
    </cfRule>
    <cfRule type="cellIs" dxfId="14392" priority="248" operator="lessThan">
      <formula>#REF!</formula>
    </cfRule>
  </conditionalFormatting>
  <conditionalFormatting sqref="C55">
    <cfRule type="expression" dxfId="14391" priority="242">
      <formula>AND($A55&lt;&gt;"",MOD(ROW(),2))</formula>
    </cfRule>
  </conditionalFormatting>
  <conditionalFormatting sqref="H52:H59">
    <cfRule type="expression" dxfId="14390" priority="241">
      <formula>AND($A52&lt;&gt;"",MOD(ROW(),2))</formula>
    </cfRule>
  </conditionalFormatting>
  <conditionalFormatting sqref="H60">
    <cfRule type="expression" dxfId="14389" priority="240">
      <formula>AND($A60&lt;&gt;"",MOD(ROW(),2))</formula>
    </cfRule>
  </conditionalFormatting>
  <conditionalFormatting sqref="H61">
    <cfRule type="expression" dxfId="14388" priority="239">
      <formula>AND($A61&lt;&gt;"",MOD(ROW(),2))</formula>
    </cfRule>
  </conditionalFormatting>
  <conditionalFormatting sqref="H62">
    <cfRule type="expression" dxfId="14387" priority="238">
      <formula>AND($A62&lt;&gt;"",MOD(ROW(),2))</formula>
    </cfRule>
  </conditionalFormatting>
  <conditionalFormatting sqref="H63">
    <cfRule type="expression" dxfId="14386" priority="237">
      <formula>AND($A63&lt;&gt;"",MOD(ROW(),2))</formula>
    </cfRule>
  </conditionalFormatting>
  <conditionalFormatting sqref="H64">
    <cfRule type="expression" dxfId="14385" priority="236">
      <formula>AND($A64&lt;&gt;"",MOD(ROW(),2))</formula>
    </cfRule>
  </conditionalFormatting>
  <conditionalFormatting sqref="H65">
    <cfRule type="expression" dxfId="14384" priority="235">
      <formula>AND($A65&lt;&gt;"",MOD(ROW(),2))</formula>
    </cfRule>
  </conditionalFormatting>
  <conditionalFormatting sqref="H66">
    <cfRule type="expression" dxfId="14383" priority="234">
      <formula>AND($A66&lt;&gt;"",MOD(ROW(),2))</formula>
    </cfRule>
  </conditionalFormatting>
  <conditionalFormatting sqref="H67:H68">
    <cfRule type="expression" dxfId="14382" priority="233">
      <formula>AND($A67&lt;&gt;"",MOD(ROW(),2))</formula>
    </cfRule>
  </conditionalFormatting>
  <conditionalFormatting sqref="D66">
    <cfRule type="expression" dxfId="14381" priority="232">
      <formula>AND($A66&lt;&gt;"",MOD(ROW(),2))</formula>
    </cfRule>
  </conditionalFormatting>
  <conditionalFormatting sqref="D66">
    <cfRule type="cellIs" dxfId="14380" priority="229" operator="equal">
      <formula>$C66</formula>
    </cfRule>
    <cfRule type="cellIs" dxfId="14379" priority="230" operator="greaterThan">
      <formula>$C66</formula>
    </cfRule>
    <cfRule type="cellIs" dxfId="14378" priority="231" operator="lessThan">
      <formula>$C66</formula>
    </cfRule>
  </conditionalFormatting>
  <conditionalFormatting sqref="D67">
    <cfRule type="expression" dxfId="14377" priority="228">
      <formula>AND($A67&lt;&gt;"",MOD(ROW(),2))</formula>
    </cfRule>
  </conditionalFormatting>
  <conditionalFormatting sqref="D67">
    <cfRule type="cellIs" dxfId="14376" priority="225" operator="equal">
      <formula>$C67</formula>
    </cfRule>
    <cfRule type="cellIs" dxfId="14375" priority="226" operator="greaterThan">
      <formula>$C67</formula>
    </cfRule>
    <cfRule type="cellIs" dxfId="14374" priority="227" operator="lessThan">
      <formula>$C67</formula>
    </cfRule>
  </conditionalFormatting>
  <conditionalFormatting sqref="D68">
    <cfRule type="expression" dxfId="14373" priority="224">
      <formula>AND($A68&lt;&gt;"",MOD(ROW(),2))</formula>
    </cfRule>
  </conditionalFormatting>
  <conditionalFormatting sqref="D68">
    <cfRule type="cellIs" dxfId="14372" priority="221" operator="equal">
      <formula>$C68</formula>
    </cfRule>
    <cfRule type="cellIs" dxfId="14371" priority="222" operator="greaterThan">
      <formula>$C68</formula>
    </cfRule>
    <cfRule type="cellIs" dxfId="14370" priority="223" operator="lessThan">
      <formula>$C68</formula>
    </cfRule>
  </conditionalFormatting>
  <conditionalFormatting sqref="H69">
    <cfRule type="expression" dxfId="14369" priority="220">
      <formula>AND($A69&lt;&gt;"",MOD(ROW(),2))</formula>
    </cfRule>
  </conditionalFormatting>
  <conditionalFormatting sqref="H70:H71">
    <cfRule type="expression" dxfId="14368" priority="219">
      <formula>AND($A70&lt;&gt;"",MOD(ROW(),2))</formula>
    </cfRule>
  </conditionalFormatting>
  <conditionalFormatting sqref="D69">
    <cfRule type="expression" dxfId="14367" priority="218">
      <formula>AND($A69&lt;&gt;"",MOD(ROW(),2))</formula>
    </cfRule>
  </conditionalFormatting>
  <conditionalFormatting sqref="D69">
    <cfRule type="cellIs" dxfId="14366" priority="215" operator="equal">
      <formula>$C69</formula>
    </cfRule>
    <cfRule type="cellIs" dxfId="14365" priority="216" operator="greaterThan">
      <formula>$C69</formula>
    </cfRule>
    <cfRule type="cellIs" dxfId="14364" priority="217" operator="lessThan">
      <formula>$C69</formula>
    </cfRule>
  </conditionalFormatting>
  <conditionalFormatting sqref="D70">
    <cfRule type="expression" dxfId="14363" priority="214">
      <formula>AND($A70&lt;&gt;"",MOD(ROW(),2))</formula>
    </cfRule>
  </conditionalFormatting>
  <conditionalFormatting sqref="D70">
    <cfRule type="cellIs" dxfId="14362" priority="211" operator="equal">
      <formula>$C70</formula>
    </cfRule>
    <cfRule type="cellIs" dxfId="14361" priority="212" operator="greaterThan">
      <formula>$C70</formula>
    </cfRule>
    <cfRule type="cellIs" dxfId="14360" priority="213" operator="lessThan">
      <formula>$C70</formula>
    </cfRule>
  </conditionalFormatting>
  <conditionalFormatting sqref="D71">
    <cfRule type="expression" dxfId="14359" priority="210">
      <formula>AND($A71&lt;&gt;"",MOD(ROW(),2))</formula>
    </cfRule>
  </conditionalFormatting>
  <conditionalFormatting sqref="D71">
    <cfRule type="cellIs" dxfId="14358" priority="207" operator="equal">
      <formula>$C71</formula>
    </cfRule>
    <cfRule type="cellIs" dxfId="14357" priority="208" operator="greaterThan">
      <formula>$C71</formula>
    </cfRule>
    <cfRule type="cellIs" dxfId="14356" priority="209" operator="lessThan">
      <formula>$C71</formula>
    </cfRule>
  </conditionalFormatting>
  <conditionalFormatting sqref="D72">
    <cfRule type="expression" dxfId="14355" priority="206">
      <formula>AND($A72&lt;&gt;"",MOD(ROW(),2))</formula>
    </cfRule>
  </conditionalFormatting>
  <conditionalFormatting sqref="D72">
    <cfRule type="cellIs" dxfId="14354" priority="203" operator="equal">
      <formula>$C72</formula>
    </cfRule>
    <cfRule type="cellIs" dxfId="14353" priority="204" operator="greaterThan">
      <formula>$C72</formula>
    </cfRule>
    <cfRule type="cellIs" dxfId="14352" priority="205" operator="lessThan">
      <formula>$C72</formula>
    </cfRule>
  </conditionalFormatting>
  <conditionalFormatting sqref="D73">
    <cfRule type="expression" dxfId="14351" priority="202">
      <formula>AND($A73&lt;&gt;"",MOD(ROW(),2))</formula>
    </cfRule>
  </conditionalFormatting>
  <conditionalFormatting sqref="D73">
    <cfRule type="cellIs" dxfId="14350" priority="199" operator="equal">
      <formula>$C73</formula>
    </cfRule>
    <cfRule type="cellIs" dxfId="14349" priority="200" operator="greaterThan">
      <formula>$C73</formula>
    </cfRule>
    <cfRule type="cellIs" dxfId="14348" priority="201" operator="lessThan">
      <formula>$C73</formula>
    </cfRule>
  </conditionalFormatting>
  <conditionalFormatting sqref="D74">
    <cfRule type="expression" dxfId="14347" priority="198">
      <formula>AND($A74&lt;&gt;"",MOD(ROW(),2))</formula>
    </cfRule>
  </conditionalFormatting>
  <conditionalFormatting sqref="D74">
    <cfRule type="cellIs" dxfId="14346" priority="195" operator="equal">
      <formula>$C74</formula>
    </cfRule>
    <cfRule type="cellIs" dxfId="14345" priority="196" operator="greaterThan">
      <formula>$C74</formula>
    </cfRule>
    <cfRule type="cellIs" dxfId="14344" priority="197" operator="lessThan">
      <formula>$C74</formula>
    </cfRule>
  </conditionalFormatting>
  <conditionalFormatting sqref="H72">
    <cfRule type="expression" dxfId="14343" priority="194">
      <formula>AND($A72&lt;&gt;"",MOD(ROW(),2))</formula>
    </cfRule>
  </conditionalFormatting>
  <conditionalFormatting sqref="H73">
    <cfRule type="expression" dxfId="14342" priority="193">
      <formula>AND($A73&lt;&gt;"",MOD(ROW(),2))</formula>
    </cfRule>
  </conditionalFormatting>
  <conditionalFormatting sqref="H74">
    <cfRule type="expression" dxfId="14341" priority="192">
      <formula>AND($A74&lt;&gt;"",MOD(ROW(),2))</formula>
    </cfRule>
  </conditionalFormatting>
  <conditionalFormatting sqref="D75">
    <cfRule type="expression" dxfId="14340" priority="191">
      <formula>AND($A75&lt;&gt;"",MOD(ROW(),2))</formula>
    </cfRule>
  </conditionalFormatting>
  <conditionalFormatting sqref="D75">
    <cfRule type="cellIs" dxfId="14339" priority="188" operator="equal">
      <formula>$C75</formula>
    </cfRule>
    <cfRule type="cellIs" dxfId="14338" priority="189" operator="greaterThan">
      <formula>$C75</formula>
    </cfRule>
    <cfRule type="cellIs" dxfId="14337" priority="190" operator="lessThan">
      <formula>$C75</formula>
    </cfRule>
  </conditionalFormatting>
  <conditionalFormatting sqref="H75">
    <cfRule type="expression" dxfId="14336" priority="187">
      <formula>AND($A75&lt;&gt;"",MOD(ROW(),2))</formula>
    </cfRule>
  </conditionalFormatting>
  <conditionalFormatting sqref="D76">
    <cfRule type="expression" dxfId="14335" priority="186">
      <formula>AND($A76&lt;&gt;"",MOD(ROW(),2))</formula>
    </cfRule>
  </conditionalFormatting>
  <conditionalFormatting sqref="D76">
    <cfRule type="cellIs" dxfId="14334" priority="183" operator="equal">
      <formula>$C76</formula>
    </cfRule>
    <cfRule type="cellIs" dxfId="14333" priority="184" operator="greaterThan">
      <formula>$C76</formula>
    </cfRule>
    <cfRule type="cellIs" dxfId="14332" priority="185" operator="lessThan">
      <formula>$C76</formula>
    </cfRule>
  </conditionalFormatting>
  <conditionalFormatting sqref="H76:H79">
    <cfRule type="expression" dxfId="14331" priority="182">
      <formula>AND($A76&lt;&gt;"",MOD(ROW(),2))</formula>
    </cfRule>
  </conditionalFormatting>
  <conditionalFormatting sqref="D77">
    <cfRule type="expression" dxfId="14330" priority="181">
      <formula>AND($A77&lt;&gt;"",MOD(ROW(),2))</formula>
    </cfRule>
  </conditionalFormatting>
  <conditionalFormatting sqref="D77">
    <cfRule type="cellIs" dxfId="14329" priority="178" operator="equal">
      <formula>$C77</formula>
    </cfRule>
    <cfRule type="cellIs" dxfId="14328" priority="179" operator="greaterThan">
      <formula>$C77</formula>
    </cfRule>
    <cfRule type="cellIs" dxfId="14327" priority="180" operator="lessThan">
      <formula>$C77</formula>
    </cfRule>
  </conditionalFormatting>
  <conditionalFormatting sqref="D78">
    <cfRule type="expression" dxfId="14326" priority="177">
      <formula>AND($A78&lt;&gt;"",MOD(ROW(),2))</formula>
    </cfRule>
  </conditionalFormatting>
  <conditionalFormatting sqref="D78">
    <cfRule type="cellIs" dxfId="14325" priority="174" operator="equal">
      <formula>$C78</formula>
    </cfRule>
    <cfRule type="cellIs" dxfId="14324" priority="175" operator="greaterThan">
      <formula>$C78</formula>
    </cfRule>
    <cfRule type="cellIs" dxfId="14323" priority="176" operator="lessThan">
      <formula>$C78</formula>
    </cfRule>
  </conditionalFormatting>
  <conditionalFormatting sqref="D79">
    <cfRule type="expression" dxfId="14322" priority="173">
      <formula>AND($A79&lt;&gt;"",MOD(ROW(),2))</formula>
    </cfRule>
  </conditionalFormatting>
  <conditionalFormatting sqref="D79">
    <cfRule type="cellIs" dxfId="14321" priority="170" operator="equal">
      <formula>$C79</formula>
    </cfRule>
    <cfRule type="cellIs" dxfId="14320" priority="171" operator="greaterThan">
      <formula>$C79</formula>
    </cfRule>
    <cfRule type="cellIs" dxfId="14319" priority="172" operator="lessThan">
      <formula>$C79</formula>
    </cfRule>
  </conditionalFormatting>
  <conditionalFormatting sqref="H80">
    <cfRule type="expression" dxfId="14318" priority="169">
      <formula>AND($A80&lt;&gt;"",MOD(ROW(),2))</formula>
    </cfRule>
  </conditionalFormatting>
  <conditionalFormatting sqref="H81">
    <cfRule type="expression" dxfId="14317" priority="168">
      <formula>AND($A81&lt;&gt;"",MOD(ROW(),2))</formula>
    </cfRule>
  </conditionalFormatting>
  <conditionalFormatting sqref="H82">
    <cfRule type="expression" dxfId="14316" priority="167">
      <formula>AND($A82&lt;&gt;"",MOD(ROW(),2))</formula>
    </cfRule>
  </conditionalFormatting>
  <conditionalFormatting sqref="D80">
    <cfRule type="expression" dxfId="14315" priority="166">
      <formula>AND($A80&lt;&gt;"",MOD(ROW(),2))</formula>
    </cfRule>
  </conditionalFormatting>
  <conditionalFormatting sqref="D80">
    <cfRule type="cellIs" dxfId="14314" priority="163" operator="equal">
      <formula>$C80</formula>
    </cfRule>
    <cfRule type="cellIs" dxfId="14313" priority="164" operator="greaterThan">
      <formula>$C80</formula>
    </cfRule>
    <cfRule type="cellIs" dxfId="14312" priority="165" operator="lessThan">
      <formula>$C80</formula>
    </cfRule>
  </conditionalFormatting>
  <conditionalFormatting sqref="D81">
    <cfRule type="expression" dxfId="14311" priority="162">
      <formula>AND($A81&lt;&gt;"",MOD(ROW(),2))</formula>
    </cfRule>
  </conditionalFormatting>
  <conditionalFormatting sqref="D81">
    <cfRule type="cellIs" dxfId="14310" priority="159" operator="equal">
      <formula>$C81</formula>
    </cfRule>
    <cfRule type="cellIs" dxfId="14309" priority="160" operator="greaterThan">
      <formula>$C81</formula>
    </cfRule>
    <cfRule type="cellIs" dxfId="14308" priority="161" operator="lessThan">
      <formula>$C81</formula>
    </cfRule>
  </conditionalFormatting>
  <conditionalFormatting sqref="D82">
    <cfRule type="expression" dxfId="14307" priority="158">
      <formula>AND($A82&lt;&gt;"",MOD(ROW(),2))</formula>
    </cfRule>
  </conditionalFormatting>
  <conditionalFormatting sqref="D82">
    <cfRule type="cellIs" dxfId="14306" priority="155" operator="equal">
      <formula>$C82</formula>
    </cfRule>
    <cfRule type="cellIs" dxfId="14305" priority="156" operator="greaterThan">
      <formula>$C82</formula>
    </cfRule>
    <cfRule type="cellIs" dxfId="14304" priority="157" operator="lessThan">
      <formula>$C82</formula>
    </cfRule>
  </conditionalFormatting>
  <conditionalFormatting sqref="D83">
    <cfRule type="expression" dxfId="14303" priority="154">
      <formula>AND($A83&lt;&gt;"",MOD(ROW(),2))</formula>
    </cfRule>
  </conditionalFormatting>
  <conditionalFormatting sqref="D83">
    <cfRule type="cellIs" dxfId="14302" priority="151" operator="equal">
      <formula>$C83</formula>
    </cfRule>
    <cfRule type="cellIs" dxfId="14301" priority="152" operator="greaterThan">
      <formula>$C83</formula>
    </cfRule>
    <cfRule type="cellIs" dxfId="14300" priority="153" operator="lessThan">
      <formula>$C83</formula>
    </cfRule>
  </conditionalFormatting>
  <conditionalFormatting sqref="D84">
    <cfRule type="expression" dxfId="14299" priority="150">
      <formula>AND($A84&lt;&gt;"",MOD(ROW(),2))</formula>
    </cfRule>
  </conditionalFormatting>
  <conditionalFormatting sqref="D84">
    <cfRule type="cellIs" dxfId="14298" priority="147" operator="equal">
      <formula>$C84</formula>
    </cfRule>
    <cfRule type="cellIs" dxfId="14297" priority="148" operator="greaterThan">
      <formula>$C84</formula>
    </cfRule>
    <cfRule type="cellIs" dxfId="14296" priority="149" operator="lessThan">
      <formula>$C84</formula>
    </cfRule>
  </conditionalFormatting>
  <conditionalFormatting sqref="D85">
    <cfRule type="expression" dxfId="14295" priority="146">
      <formula>AND($A85&lt;&gt;"",MOD(ROW(),2))</formula>
    </cfRule>
  </conditionalFormatting>
  <conditionalFormatting sqref="D85">
    <cfRule type="cellIs" dxfId="14294" priority="143" operator="equal">
      <formula>$C85</formula>
    </cfRule>
    <cfRule type="cellIs" dxfId="14293" priority="144" operator="greaterThan">
      <formula>$C85</formula>
    </cfRule>
    <cfRule type="cellIs" dxfId="14292" priority="145" operator="lessThan">
      <formula>$C85</formula>
    </cfRule>
  </conditionalFormatting>
  <conditionalFormatting sqref="H83">
    <cfRule type="expression" dxfId="14291" priority="142">
      <formula>AND($A83&lt;&gt;"",MOD(ROW(),2))</formula>
    </cfRule>
  </conditionalFormatting>
  <conditionalFormatting sqref="H84">
    <cfRule type="expression" dxfId="14290" priority="141">
      <formula>AND($A84&lt;&gt;"",MOD(ROW(),2))</formula>
    </cfRule>
  </conditionalFormatting>
  <conditionalFormatting sqref="H85">
    <cfRule type="expression" dxfId="14289" priority="140">
      <formula>AND($A85&lt;&gt;"",MOD(ROW(),2))</formula>
    </cfRule>
  </conditionalFormatting>
  <conditionalFormatting sqref="H86">
    <cfRule type="expression" dxfId="14288" priority="139">
      <formula>AND($A86&lt;&gt;"",MOD(ROW(),2))</formula>
    </cfRule>
  </conditionalFormatting>
  <conditionalFormatting sqref="D86">
    <cfRule type="expression" dxfId="14287" priority="138">
      <formula>AND($A86&lt;&gt;"",MOD(ROW(),2))</formula>
    </cfRule>
  </conditionalFormatting>
  <conditionalFormatting sqref="D86">
    <cfRule type="cellIs" dxfId="14286" priority="135" operator="equal">
      <formula>$C86</formula>
    </cfRule>
    <cfRule type="cellIs" dxfId="14285" priority="136" operator="greaterThan">
      <formula>$C86</formula>
    </cfRule>
    <cfRule type="cellIs" dxfId="14284" priority="137" operator="lessThan">
      <formula>$C86</formula>
    </cfRule>
  </conditionalFormatting>
  <conditionalFormatting sqref="H87">
    <cfRule type="expression" dxfId="14283" priority="134">
      <formula>AND($A87&lt;&gt;"",MOD(ROW(),2))</formula>
    </cfRule>
  </conditionalFormatting>
  <conditionalFormatting sqref="C87">
    <cfRule type="expression" dxfId="14282" priority="133">
      <formula>AND($A87&lt;&gt;"",MOD(ROW(),2))</formula>
    </cfRule>
  </conditionalFormatting>
  <conditionalFormatting sqref="D87">
    <cfRule type="expression" dxfId="14281" priority="132">
      <formula>AND($A87&lt;&gt;"",MOD(ROW(),2))</formula>
    </cfRule>
  </conditionalFormatting>
  <conditionalFormatting sqref="D87">
    <cfRule type="cellIs" dxfId="14280" priority="129" operator="equal">
      <formula>$C87</formula>
    </cfRule>
    <cfRule type="cellIs" dxfId="14279" priority="130" operator="greaterThan">
      <formula>$C87</formula>
    </cfRule>
    <cfRule type="cellIs" dxfId="14278" priority="131" operator="lessThan">
      <formula>$C87</formula>
    </cfRule>
  </conditionalFormatting>
  <conditionalFormatting sqref="H88">
    <cfRule type="expression" dxfId="14277" priority="128">
      <formula>AND($A88&lt;&gt;"",MOD(ROW(),2))</formula>
    </cfRule>
  </conditionalFormatting>
  <conditionalFormatting sqref="C88">
    <cfRule type="expression" dxfId="14276" priority="127">
      <formula>AND($A88&lt;&gt;"",MOD(ROW(),2))</formula>
    </cfRule>
  </conditionalFormatting>
  <conditionalFormatting sqref="D88">
    <cfRule type="expression" dxfId="14275" priority="126">
      <formula>AND($A88&lt;&gt;"",MOD(ROW(),2))</formula>
    </cfRule>
  </conditionalFormatting>
  <conditionalFormatting sqref="D88">
    <cfRule type="cellIs" dxfId="14274" priority="123" operator="equal">
      <formula>$C88</formula>
    </cfRule>
    <cfRule type="cellIs" dxfId="14273" priority="124" operator="greaterThan">
      <formula>$C88</formula>
    </cfRule>
    <cfRule type="cellIs" dxfId="14272" priority="125" operator="lessThan">
      <formula>$C88</formula>
    </cfRule>
  </conditionalFormatting>
  <conditionalFormatting sqref="H89">
    <cfRule type="expression" dxfId="14271" priority="122">
      <formula>AND($A89&lt;&gt;"",MOD(ROW(),2))</formula>
    </cfRule>
  </conditionalFormatting>
  <conditionalFormatting sqref="C89">
    <cfRule type="expression" dxfId="14270" priority="121">
      <formula>AND($A89&lt;&gt;"",MOD(ROW(),2))</formula>
    </cfRule>
  </conditionalFormatting>
  <conditionalFormatting sqref="D89">
    <cfRule type="expression" dxfId="14269" priority="120">
      <formula>AND($A89&lt;&gt;"",MOD(ROW(),2))</formula>
    </cfRule>
  </conditionalFormatting>
  <conditionalFormatting sqref="D89">
    <cfRule type="cellIs" dxfId="14268" priority="117" operator="equal">
      <formula>$C89</formula>
    </cfRule>
    <cfRule type="cellIs" dxfId="14267" priority="118" operator="greaterThan">
      <formula>$C89</formula>
    </cfRule>
    <cfRule type="cellIs" dxfId="14266" priority="119" operator="lessThan">
      <formula>$C89</formula>
    </cfRule>
  </conditionalFormatting>
  <conditionalFormatting sqref="H90">
    <cfRule type="expression" dxfId="14265" priority="116">
      <formula>AND($A90&lt;&gt;"",MOD(ROW(),2))</formula>
    </cfRule>
  </conditionalFormatting>
  <conditionalFormatting sqref="C90">
    <cfRule type="expression" dxfId="14264" priority="115">
      <formula>AND($A90&lt;&gt;"",MOD(ROW(),2))</formula>
    </cfRule>
  </conditionalFormatting>
  <conditionalFormatting sqref="D90">
    <cfRule type="expression" dxfId="14263" priority="114">
      <formula>AND($A90&lt;&gt;"",MOD(ROW(),2))</formula>
    </cfRule>
  </conditionalFormatting>
  <conditionalFormatting sqref="D90">
    <cfRule type="cellIs" dxfId="14262" priority="111" operator="equal">
      <formula>$C90</formula>
    </cfRule>
    <cfRule type="cellIs" dxfId="14261" priority="112" operator="greaterThan">
      <formula>$C90</formula>
    </cfRule>
    <cfRule type="cellIs" dxfId="14260" priority="113" operator="lessThan">
      <formula>$C90</formula>
    </cfRule>
  </conditionalFormatting>
  <conditionalFormatting sqref="H91">
    <cfRule type="expression" dxfId="14259" priority="110">
      <formula>AND($A91&lt;&gt;"",MOD(ROW(),2))</formula>
    </cfRule>
  </conditionalFormatting>
  <conditionalFormatting sqref="C91">
    <cfRule type="expression" dxfId="14258" priority="109">
      <formula>AND($A91&lt;&gt;"",MOD(ROW(),2))</formula>
    </cfRule>
  </conditionalFormatting>
  <conditionalFormatting sqref="D91">
    <cfRule type="expression" dxfId="14257" priority="108">
      <formula>AND($A91&lt;&gt;"",MOD(ROW(),2))</formula>
    </cfRule>
  </conditionalFormatting>
  <conditionalFormatting sqref="D91">
    <cfRule type="cellIs" dxfId="14256" priority="105" operator="equal">
      <formula>$C91</formula>
    </cfRule>
    <cfRule type="cellIs" dxfId="14255" priority="106" operator="greaterThan">
      <formula>$C91</formula>
    </cfRule>
    <cfRule type="cellIs" dxfId="14254" priority="107" operator="lessThan">
      <formula>$C91</formula>
    </cfRule>
  </conditionalFormatting>
  <conditionalFormatting sqref="H92">
    <cfRule type="expression" dxfId="14253" priority="104">
      <formula>AND($A92&lt;&gt;"",MOD(ROW(),2))</formula>
    </cfRule>
  </conditionalFormatting>
  <conditionalFormatting sqref="C92">
    <cfRule type="expression" dxfId="14252" priority="103">
      <formula>AND($A92&lt;&gt;"",MOD(ROW(),2))</formula>
    </cfRule>
  </conditionalFormatting>
  <conditionalFormatting sqref="D92">
    <cfRule type="expression" dxfId="14251" priority="102">
      <formula>AND($A92&lt;&gt;"",MOD(ROW(),2))</formula>
    </cfRule>
  </conditionalFormatting>
  <conditionalFormatting sqref="D92">
    <cfRule type="cellIs" dxfId="14250" priority="99" operator="equal">
      <formula>$C92</formula>
    </cfRule>
    <cfRule type="cellIs" dxfId="14249" priority="100" operator="greaterThan">
      <formula>$C92</formula>
    </cfRule>
    <cfRule type="cellIs" dxfId="14248" priority="101" operator="lessThan">
      <formula>$C92</formula>
    </cfRule>
  </conditionalFormatting>
  <conditionalFormatting sqref="H93">
    <cfRule type="expression" dxfId="14247" priority="98">
      <formula>AND($A93&lt;&gt;"",MOD(ROW(),2))</formula>
    </cfRule>
  </conditionalFormatting>
  <conditionalFormatting sqref="C93">
    <cfRule type="expression" dxfId="14246" priority="97">
      <formula>AND($A93&lt;&gt;"",MOD(ROW(),2))</formula>
    </cfRule>
  </conditionalFormatting>
  <conditionalFormatting sqref="D93">
    <cfRule type="expression" dxfId="14245" priority="96">
      <formula>AND($A93&lt;&gt;"",MOD(ROW(),2))</formula>
    </cfRule>
  </conditionalFormatting>
  <conditionalFormatting sqref="D93">
    <cfRule type="cellIs" dxfId="14244" priority="93" operator="equal">
      <formula>$C93</formula>
    </cfRule>
    <cfRule type="cellIs" dxfId="14243" priority="94" operator="greaterThan">
      <formula>$C93</formula>
    </cfRule>
    <cfRule type="cellIs" dxfId="14242" priority="95" operator="lessThan">
      <formula>$C93</formula>
    </cfRule>
  </conditionalFormatting>
  <conditionalFormatting sqref="H94">
    <cfRule type="expression" dxfId="14241" priority="92">
      <formula>AND($A94&lt;&gt;"",MOD(ROW(),2))</formula>
    </cfRule>
  </conditionalFormatting>
  <conditionalFormatting sqref="C94">
    <cfRule type="expression" dxfId="14240" priority="91">
      <formula>AND($A94&lt;&gt;"",MOD(ROW(),2))</formula>
    </cfRule>
  </conditionalFormatting>
  <conditionalFormatting sqref="D94">
    <cfRule type="expression" dxfId="14239" priority="90">
      <formula>AND($A94&lt;&gt;"",MOD(ROW(),2))</formula>
    </cfRule>
  </conditionalFormatting>
  <conditionalFormatting sqref="D94">
    <cfRule type="cellIs" dxfId="14238" priority="87" operator="equal">
      <formula>$C94</formula>
    </cfRule>
    <cfRule type="cellIs" dxfId="14237" priority="88" operator="greaterThan">
      <formula>$C94</formula>
    </cfRule>
    <cfRule type="cellIs" dxfId="14236" priority="89" operator="lessThan">
      <formula>$C94</formula>
    </cfRule>
  </conditionalFormatting>
  <conditionalFormatting sqref="H95">
    <cfRule type="expression" dxfId="14235" priority="86">
      <formula>AND($A95&lt;&gt;"",MOD(ROW(),2))</formula>
    </cfRule>
  </conditionalFormatting>
  <conditionalFormatting sqref="C95">
    <cfRule type="expression" dxfId="14234" priority="85">
      <formula>AND($A95&lt;&gt;"",MOD(ROW(),2))</formula>
    </cfRule>
  </conditionalFormatting>
  <conditionalFormatting sqref="D95">
    <cfRule type="expression" dxfId="14233" priority="84">
      <formula>AND($A95&lt;&gt;"",MOD(ROW(),2))</formula>
    </cfRule>
  </conditionalFormatting>
  <conditionalFormatting sqref="D95">
    <cfRule type="cellIs" dxfId="14232" priority="81" operator="equal">
      <formula>$C95</formula>
    </cfRule>
    <cfRule type="cellIs" dxfId="14231" priority="82" operator="greaterThan">
      <formula>$C95</formula>
    </cfRule>
    <cfRule type="cellIs" dxfId="14230" priority="83" operator="lessThan">
      <formula>$C95</formula>
    </cfRule>
  </conditionalFormatting>
  <conditionalFormatting sqref="H96">
    <cfRule type="expression" dxfId="14229" priority="80">
      <formula>AND($A96&lt;&gt;"",MOD(ROW(),2))</formula>
    </cfRule>
  </conditionalFormatting>
  <conditionalFormatting sqref="H97:H99">
    <cfRule type="expression" dxfId="14228" priority="79">
      <formula>AND($A97&lt;&gt;"",MOD(ROW(),2))</formula>
    </cfRule>
  </conditionalFormatting>
  <conditionalFormatting sqref="C96">
    <cfRule type="expression" dxfId="14227" priority="78">
      <formula>AND($A96&lt;&gt;"",MOD(ROW(),2))</formula>
    </cfRule>
  </conditionalFormatting>
  <conditionalFormatting sqref="D96">
    <cfRule type="expression" dxfId="14226" priority="77">
      <formula>AND($A96&lt;&gt;"",MOD(ROW(),2))</formula>
    </cfRule>
  </conditionalFormatting>
  <conditionalFormatting sqref="D96">
    <cfRule type="cellIs" dxfId="14225" priority="74" operator="equal">
      <formula>$C96</formula>
    </cfRule>
    <cfRule type="cellIs" dxfId="14224" priority="75" operator="greaterThan">
      <formula>$C96</formula>
    </cfRule>
    <cfRule type="cellIs" dxfId="14223" priority="76" operator="lessThan">
      <formula>$C96</formula>
    </cfRule>
  </conditionalFormatting>
  <conditionalFormatting sqref="C97">
    <cfRule type="expression" dxfId="14222" priority="73">
      <formula>AND($A97&lt;&gt;"",MOD(ROW(),2))</formula>
    </cfRule>
  </conditionalFormatting>
  <conditionalFormatting sqref="D97">
    <cfRule type="expression" dxfId="14221" priority="72">
      <formula>AND($A97&lt;&gt;"",MOD(ROW(),2))</formula>
    </cfRule>
  </conditionalFormatting>
  <conditionalFormatting sqref="D97">
    <cfRule type="cellIs" dxfId="14220" priority="69" operator="equal">
      <formula>$C97</formula>
    </cfRule>
    <cfRule type="cellIs" dxfId="14219" priority="70" operator="greaterThan">
      <formula>$C97</formula>
    </cfRule>
    <cfRule type="cellIs" dxfId="14218" priority="71" operator="lessThan">
      <formula>$C97</formula>
    </cfRule>
  </conditionalFormatting>
  <conditionalFormatting sqref="C98">
    <cfRule type="expression" dxfId="14217" priority="68">
      <formula>AND($A98&lt;&gt;"",MOD(ROW(),2))</formula>
    </cfRule>
  </conditionalFormatting>
  <conditionalFormatting sqref="D98">
    <cfRule type="expression" dxfId="14216" priority="67">
      <formula>AND($A98&lt;&gt;"",MOD(ROW(),2))</formula>
    </cfRule>
  </conditionalFormatting>
  <conditionalFormatting sqref="D98">
    <cfRule type="cellIs" dxfId="14215" priority="64" operator="equal">
      <formula>$C98</formula>
    </cfRule>
    <cfRule type="cellIs" dxfId="14214" priority="65" operator="greaterThan">
      <formula>$C98</formula>
    </cfRule>
    <cfRule type="cellIs" dxfId="14213" priority="66" operator="lessThan">
      <formula>$C98</formula>
    </cfRule>
  </conditionalFormatting>
  <conditionalFormatting sqref="C99">
    <cfRule type="expression" dxfId="14212" priority="63">
      <formula>AND($A99&lt;&gt;"",MOD(ROW(),2))</formula>
    </cfRule>
  </conditionalFormatting>
  <conditionalFormatting sqref="D99">
    <cfRule type="expression" dxfId="14211" priority="62">
      <formula>AND($A99&lt;&gt;"",MOD(ROW(),2))</formula>
    </cfRule>
  </conditionalFormatting>
  <conditionalFormatting sqref="D99">
    <cfRule type="cellIs" dxfId="14210" priority="59" operator="equal">
      <formula>$C99</formula>
    </cfRule>
    <cfRule type="cellIs" dxfId="14209" priority="60" operator="greaterThan">
      <formula>$C99</formula>
    </cfRule>
    <cfRule type="cellIs" dxfId="14208" priority="61" operator="lessThan">
      <formula>$C99</formula>
    </cfRule>
  </conditionalFormatting>
  <conditionalFormatting sqref="I100">
    <cfRule type="expression" dxfId="14207" priority="58">
      <formula>AND($A100&lt;&gt;"",MOD(ROW(),2))</formula>
    </cfRule>
  </conditionalFormatting>
  <conditionalFormatting sqref="H100">
    <cfRule type="expression" dxfId="14206" priority="57">
      <formula>AND($A100&lt;&gt;"",MOD(ROW(),2))</formula>
    </cfRule>
  </conditionalFormatting>
  <conditionalFormatting sqref="C100">
    <cfRule type="expression" dxfId="14205" priority="56">
      <formula>AND($A100&lt;&gt;"",MOD(ROW(),2))</formula>
    </cfRule>
  </conditionalFormatting>
  <conditionalFormatting sqref="D100">
    <cfRule type="expression" dxfId="14204" priority="55">
      <formula>AND($A100&lt;&gt;"",MOD(ROW(),2))</formula>
    </cfRule>
  </conditionalFormatting>
  <conditionalFormatting sqref="D100">
    <cfRule type="cellIs" dxfId="14203" priority="52" operator="equal">
      <formula>$C100</formula>
    </cfRule>
    <cfRule type="cellIs" dxfId="14202" priority="53" operator="greaterThan">
      <formula>$C100</formula>
    </cfRule>
    <cfRule type="cellIs" dxfId="14201" priority="54" operator="lessThan">
      <formula>$C100</formula>
    </cfRule>
  </conditionalFormatting>
  <conditionalFormatting sqref="I101">
    <cfRule type="expression" dxfId="14200" priority="51">
      <formula>AND($A101&lt;&gt;"",MOD(ROW(),2))</formula>
    </cfRule>
  </conditionalFormatting>
  <conditionalFormatting sqref="H101">
    <cfRule type="expression" dxfId="14199" priority="50">
      <formula>AND($A101&lt;&gt;"",MOD(ROW(),2))</formula>
    </cfRule>
  </conditionalFormatting>
  <conditionalFormatting sqref="C101">
    <cfRule type="expression" dxfId="14198" priority="49">
      <formula>AND($A101&lt;&gt;"",MOD(ROW(),2))</formula>
    </cfRule>
  </conditionalFormatting>
  <conditionalFormatting sqref="D101">
    <cfRule type="expression" dxfId="14197" priority="48">
      <formula>AND($A101&lt;&gt;"",MOD(ROW(),2))</formula>
    </cfRule>
  </conditionalFormatting>
  <conditionalFormatting sqref="D101">
    <cfRule type="cellIs" dxfId="14196" priority="45" operator="equal">
      <formula>$C101</formula>
    </cfRule>
    <cfRule type="cellIs" dxfId="14195" priority="46" operator="greaterThan">
      <formula>$C101</formula>
    </cfRule>
    <cfRule type="cellIs" dxfId="14194" priority="47" operator="lessThan">
      <formula>$C101</formula>
    </cfRule>
  </conditionalFormatting>
  <conditionalFormatting sqref="I102">
    <cfRule type="expression" dxfId="14193" priority="44">
      <formula>AND($A102&lt;&gt;"",MOD(ROW(),2))</formula>
    </cfRule>
  </conditionalFormatting>
  <conditionalFormatting sqref="H102">
    <cfRule type="expression" dxfId="14192" priority="43">
      <formula>AND($A102&lt;&gt;"",MOD(ROW(),2))</formula>
    </cfRule>
  </conditionalFormatting>
  <conditionalFormatting sqref="C102">
    <cfRule type="expression" dxfId="14191" priority="42">
      <formula>AND($A102&lt;&gt;"",MOD(ROW(),2))</formula>
    </cfRule>
  </conditionalFormatting>
  <conditionalFormatting sqref="D102">
    <cfRule type="expression" dxfId="14190" priority="41">
      <formula>AND($A102&lt;&gt;"",MOD(ROW(),2))</formula>
    </cfRule>
  </conditionalFormatting>
  <conditionalFormatting sqref="D102">
    <cfRule type="cellIs" dxfId="14189" priority="38" operator="equal">
      <formula>$C102</formula>
    </cfRule>
    <cfRule type="cellIs" dxfId="14188" priority="39" operator="greaterThan">
      <formula>$C102</formula>
    </cfRule>
    <cfRule type="cellIs" dxfId="14187" priority="40" operator="lessThan">
      <formula>$C102</formula>
    </cfRule>
  </conditionalFormatting>
  <conditionalFormatting sqref="I103:I155">
    <cfRule type="expression" dxfId="14186" priority="37">
      <formula>AND($A103&lt;&gt;"",MOD(ROW(),2))</formula>
    </cfRule>
  </conditionalFormatting>
  <conditionalFormatting sqref="H103:H155">
    <cfRule type="expression" dxfId="14185" priority="36">
      <formula>AND($A103&lt;&gt;"",MOD(ROW(),2))</formula>
    </cfRule>
  </conditionalFormatting>
  <conditionalFormatting sqref="C103">
    <cfRule type="expression" dxfId="14184" priority="35">
      <formula>AND($A103&lt;&gt;"",MOD(ROW(),2))</formula>
    </cfRule>
  </conditionalFormatting>
  <conditionalFormatting sqref="D103">
    <cfRule type="expression" dxfId="14183" priority="34">
      <formula>AND($A103&lt;&gt;"",MOD(ROW(),2))</formula>
    </cfRule>
  </conditionalFormatting>
  <conditionalFormatting sqref="D103">
    <cfRule type="cellIs" dxfId="14182" priority="31" operator="equal">
      <formula>$C103</formula>
    </cfRule>
    <cfRule type="cellIs" dxfId="14181" priority="32" operator="greaterThan">
      <formula>$C103</formula>
    </cfRule>
    <cfRule type="cellIs" dxfId="14180" priority="33" operator="lessThan">
      <formula>$C103</formula>
    </cfRule>
  </conditionalFormatting>
  <conditionalFormatting sqref="C104">
    <cfRule type="expression" dxfId="14179" priority="30">
      <formula>AND($A104&lt;&gt;"",MOD(ROW(),2))</formula>
    </cfRule>
  </conditionalFormatting>
  <conditionalFormatting sqref="D104">
    <cfRule type="expression" dxfId="14178" priority="29">
      <formula>AND($A104&lt;&gt;"",MOD(ROW(),2))</formula>
    </cfRule>
  </conditionalFormatting>
  <conditionalFormatting sqref="D104">
    <cfRule type="cellIs" dxfId="14177" priority="26" operator="equal">
      <formula>$C104</formula>
    </cfRule>
    <cfRule type="cellIs" dxfId="14176" priority="27" operator="greaterThan">
      <formula>$C104</formula>
    </cfRule>
    <cfRule type="cellIs" dxfId="14175" priority="28" operator="lessThan">
      <formula>$C104</formula>
    </cfRule>
  </conditionalFormatting>
  <conditionalFormatting sqref="C105">
    <cfRule type="expression" dxfId="14174" priority="25">
      <formula>AND($A105&lt;&gt;"",MOD(ROW(),2))</formula>
    </cfRule>
  </conditionalFormatting>
  <conditionalFormatting sqref="D105">
    <cfRule type="expression" dxfId="14173" priority="24">
      <formula>AND($A105&lt;&gt;"",MOD(ROW(),2))</formula>
    </cfRule>
  </conditionalFormatting>
  <conditionalFormatting sqref="D105">
    <cfRule type="cellIs" dxfId="14172" priority="21" operator="equal">
      <formula>$C105</formula>
    </cfRule>
    <cfRule type="cellIs" dxfId="14171" priority="22" operator="greaterThan">
      <formula>$C105</formula>
    </cfRule>
    <cfRule type="cellIs" dxfId="14170" priority="23" operator="lessThan">
      <formula>$C105</formula>
    </cfRule>
  </conditionalFormatting>
  <conditionalFormatting sqref="C106">
    <cfRule type="expression" dxfId="14169" priority="20">
      <formula>AND($A106&lt;&gt;"",MOD(ROW(),2))</formula>
    </cfRule>
  </conditionalFormatting>
  <conditionalFormatting sqref="D106">
    <cfRule type="expression" dxfId="14168" priority="19">
      <formula>AND($A106&lt;&gt;"",MOD(ROW(),2))</formula>
    </cfRule>
  </conditionalFormatting>
  <conditionalFormatting sqref="D106">
    <cfRule type="cellIs" dxfId="14167" priority="16" operator="equal">
      <formula>$C106</formula>
    </cfRule>
    <cfRule type="cellIs" dxfId="14166" priority="17" operator="greaterThan">
      <formula>$C106</formula>
    </cfRule>
    <cfRule type="cellIs" dxfId="14165" priority="18" operator="lessThan">
      <formula>$C106</formula>
    </cfRule>
  </conditionalFormatting>
  <conditionalFormatting sqref="C107">
    <cfRule type="expression" dxfId="14164" priority="15">
      <formula>AND($A107&lt;&gt;"",MOD(ROW(),2))</formula>
    </cfRule>
  </conditionalFormatting>
  <conditionalFormatting sqref="D107">
    <cfRule type="expression" dxfId="14163" priority="14">
      <formula>AND($A107&lt;&gt;"",MOD(ROW(),2))</formula>
    </cfRule>
  </conditionalFormatting>
  <conditionalFormatting sqref="D107">
    <cfRule type="cellIs" dxfId="14162" priority="11" operator="equal">
      <formula>$C107</formula>
    </cfRule>
    <cfRule type="cellIs" dxfId="14161" priority="12" operator="greaterThan">
      <formula>$C107</formula>
    </cfRule>
    <cfRule type="cellIs" dxfId="14160" priority="13" operator="lessThan">
      <formula>$C107</formula>
    </cfRule>
  </conditionalFormatting>
  <conditionalFormatting sqref="C108">
    <cfRule type="expression" dxfId="14159" priority="10">
      <formula>AND($A108&lt;&gt;"",MOD(ROW(),2))</formula>
    </cfRule>
  </conditionalFormatting>
  <conditionalFormatting sqref="D108">
    <cfRule type="expression" dxfId="14158" priority="9">
      <formula>AND($A108&lt;&gt;"",MOD(ROW(),2))</formula>
    </cfRule>
  </conditionalFormatting>
  <conditionalFormatting sqref="D108">
    <cfRule type="cellIs" dxfId="14157" priority="6" operator="equal">
      <formula>$C108</formula>
    </cfRule>
    <cfRule type="cellIs" dxfId="14156" priority="7" operator="greaterThan">
      <formula>$C108</formula>
    </cfRule>
    <cfRule type="cellIs" dxfId="14155" priority="8" operator="lessThan">
      <formula>$C108</formula>
    </cfRule>
  </conditionalFormatting>
  <conditionalFormatting sqref="C109:C148 C150:C155">
    <cfRule type="expression" dxfId="14154" priority="5">
      <formula>AND($A109&lt;&gt;"",MOD(ROW(),2))</formula>
    </cfRule>
  </conditionalFormatting>
  <conditionalFormatting sqref="D109:D148 D150:D155">
    <cfRule type="expression" dxfId="14153" priority="4">
      <formula>AND($A109&lt;&gt;"",MOD(ROW(),2))</formula>
    </cfRule>
  </conditionalFormatting>
  <conditionalFormatting sqref="D109:D148 D150:D155">
    <cfRule type="cellIs" dxfId="14152" priority="1" operator="equal">
      <formula>$C109</formula>
    </cfRule>
    <cfRule type="cellIs" dxfId="14151" priority="2" operator="greaterThan">
      <formula>$C109</formula>
    </cfRule>
    <cfRule type="cellIs" dxfId="14150" priority="3" operator="lessThan">
      <formula>$C109</formula>
    </cfRule>
  </conditionalFormatting>
  <pageMargins left="0.75" right="0.75" top="1" bottom="1" header="0.5" footer="0.5"/>
  <pageSetup paperSize="9" orientation="portrait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A00-000000000000}">
          <x14:formula1>
            <xm:f>PullDownValues!$F$2:$F$14</xm:f>
          </x14:formula1>
          <xm:sqref>L7:L354</xm:sqref>
        </x14:dataValidation>
        <x14:dataValidation type="list" allowBlank="1" showInputMessage="1" showErrorMessage="1" prompt="Payment Method" xr:uid="{00000000-0002-0000-0A00-000001000000}">
          <x14:formula1>
            <xm:f>PullDownValues!$B$2:$B$12</xm:f>
          </x14:formula1>
          <xm:sqref>F7:F289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354"/>
  <sheetViews>
    <sheetView topLeftCell="G1" zoomScaleNormal="100" workbookViewId="0">
      <pane ySplit="5" topLeftCell="A71" activePane="bottomLeft" state="frozen"/>
      <selection pane="bottomLeft" activeCell="M90" sqref="M90"/>
    </sheetView>
  </sheetViews>
  <sheetFormatPr defaultColWidth="8.85546875" defaultRowHeight="15" customHeight="1" x14ac:dyDescent="0.25"/>
  <cols>
    <col min="1" max="1" width="3.28515625" style="10" bestFit="1" customWidth="1"/>
    <col min="2" max="3" width="12.5703125" bestFit="1" customWidth="1"/>
    <col min="4" max="4" width="12.85546875" bestFit="1" customWidth="1"/>
    <col min="5" max="5" width="15.28515625" bestFit="1" customWidth="1"/>
    <col min="6" max="6" width="15.28515625" customWidth="1"/>
    <col min="7" max="7" width="9.42578125" style="31" bestFit="1" customWidth="1"/>
    <col min="8" max="8" width="11.5703125" bestFit="1" customWidth="1"/>
    <col min="9" max="9" width="12.7109375" bestFit="1" customWidth="1"/>
    <col min="10" max="10" width="15.140625" bestFit="1" customWidth="1"/>
    <col min="11" max="11" width="10.5703125" bestFit="1" customWidth="1"/>
    <col min="12" max="12" width="12.5703125" bestFit="1" customWidth="1"/>
    <col min="13" max="13" width="10.7109375" bestFit="1" customWidth="1"/>
    <col min="14" max="14" width="12.7109375" bestFit="1" customWidth="1"/>
    <col min="15" max="16" width="10.5703125" bestFit="1" customWidth="1"/>
  </cols>
  <sheetData>
    <row r="1" spans="1:18" ht="35.1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5">
        <f>SUM(P6:P90)-O4</f>
        <v>0</v>
      </c>
      <c r="P1" s="255"/>
      <c r="Q1" s="114"/>
      <c r="R1" s="114"/>
    </row>
    <row r="2" spans="1:18" s="9" customFormat="1" ht="15.95" customHeight="1" x14ac:dyDescent="0.25">
      <c r="A2" s="287" t="s">
        <v>4</v>
      </c>
      <c r="B2" s="287"/>
      <c r="C2" s="287"/>
      <c r="D2" s="287"/>
      <c r="E2" s="287"/>
      <c r="F2" s="287"/>
      <c r="G2" s="336">
        <f>SUM($D$6:$D$2990)-SUMIF($F$7:$F$290,"Bond Received",$D$7:$D$2990)-SUMIF($F$7:$F$290,"Unpaid Rent",$D$7:$D$2990)-(SUMIF($F$7:$F$290,"Discount Rent",$D$7:$D$2990)*2)</f>
        <v>19607.010000000002</v>
      </c>
      <c r="H2" s="336"/>
      <c r="I2" s="336"/>
      <c r="J2" s="287" t="s">
        <v>5</v>
      </c>
      <c r="K2" s="287"/>
      <c r="L2" s="287"/>
      <c r="M2" s="262">
        <f>SUM($K$6:$K$2989)-SUMIF($L$6:$L$2989,"Bond Return",$K$6:$K$2989)</f>
        <v>9736.8500000000022</v>
      </c>
      <c r="N2" s="263"/>
      <c r="O2" s="265"/>
      <c r="P2" s="265"/>
      <c r="Q2" s="35"/>
    </row>
    <row r="3" spans="1:18" s="9" customFormat="1" ht="15.95" customHeight="1" x14ac:dyDescent="0.25">
      <c r="A3" s="288"/>
      <c r="B3" s="288"/>
      <c r="C3" s="288"/>
      <c r="D3" s="288"/>
      <c r="E3" s="288"/>
      <c r="F3" s="288"/>
      <c r="G3" s="337"/>
      <c r="H3" s="337"/>
      <c r="I3" s="337"/>
      <c r="J3" s="288"/>
      <c r="K3" s="288"/>
      <c r="L3" s="288"/>
      <c r="M3" s="264"/>
      <c r="N3" s="264"/>
      <c r="O3" s="266"/>
      <c r="P3" s="266"/>
    </row>
    <row r="4" spans="1:18" s="9" customFormat="1" ht="15.95" customHeight="1" x14ac:dyDescent="0.25">
      <c r="A4" s="244" t="s">
        <v>6</v>
      </c>
      <c r="B4" s="244" t="s">
        <v>7</v>
      </c>
      <c r="C4" s="267" t="s">
        <v>8</v>
      </c>
      <c r="D4" s="269" t="s">
        <v>9</v>
      </c>
      <c r="E4" s="269" t="s">
        <v>10</v>
      </c>
      <c r="F4" s="252" t="s">
        <v>112</v>
      </c>
      <c r="G4" s="276" t="s">
        <v>11</v>
      </c>
      <c r="H4" s="244" t="s">
        <v>12</v>
      </c>
      <c r="I4" s="334" t="s">
        <v>113</v>
      </c>
      <c r="J4" s="246" t="s">
        <v>13</v>
      </c>
      <c r="K4" s="246" t="s">
        <v>14</v>
      </c>
      <c r="L4" s="248" t="s">
        <v>15</v>
      </c>
      <c r="M4" s="249"/>
      <c r="N4" s="271" t="s">
        <v>113</v>
      </c>
      <c r="O4" s="273">
        <f>G2-M2</f>
        <v>9870.16</v>
      </c>
      <c r="P4" s="274">
        <f>SUM(P2:P3)</f>
        <v>0</v>
      </c>
      <c r="Q4" s="63">
        <f>SUM(Q2:Q3)</f>
        <v>0</v>
      </c>
    </row>
    <row r="5" spans="1:18" s="10" customFormat="1" x14ac:dyDescent="0.25">
      <c r="A5" s="245"/>
      <c r="B5" s="245"/>
      <c r="C5" s="268"/>
      <c r="D5" s="270"/>
      <c r="E5" s="270"/>
      <c r="F5" s="253"/>
      <c r="G5" s="277"/>
      <c r="H5" s="245"/>
      <c r="I5" s="335"/>
      <c r="J5" s="247"/>
      <c r="K5" s="247"/>
      <c r="L5" s="250"/>
      <c r="M5" s="251"/>
      <c r="N5" s="272"/>
      <c r="O5" s="275"/>
      <c r="P5" s="275"/>
      <c r="Q5" s="18"/>
      <c r="R5" s="64"/>
    </row>
    <row r="6" spans="1:18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1"/>
      <c r="K6" s="42"/>
      <c r="L6" s="43" t="s">
        <v>123</v>
      </c>
      <c r="M6" s="43"/>
      <c r="N6" s="43"/>
      <c r="O6"/>
    </row>
    <row r="7" spans="1:18" ht="15" customHeight="1" x14ac:dyDescent="0.25">
      <c r="A7" s="10">
        <v>1</v>
      </c>
      <c r="B7" s="48">
        <v>43783</v>
      </c>
      <c r="C7" s="17">
        <v>400</v>
      </c>
      <c r="D7" s="17">
        <v>400</v>
      </c>
      <c r="E7" s="16">
        <v>43783</v>
      </c>
      <c r="F7" s="16" t="s">
        <v>181</v>
      </c>
      <c r="G7" s="31">
        <v>86790</v>
      </c>
      <c r="H7" s="17">
        <f t="shared" ref="H7:H12" si="0">IFERROR(IF(F6="Closed account",(IF(F7="Unpaid Rent",(C7),(C7-D7))),(IF(F7="Unpaid Rent",(C7+H6),(C7-D7+H6)))),"")</f>
        <v>0</v>
      </c>
      <c r="I7" s="17" t="s">
        <v>149</v>
      </c>
      <c r="J7" s="48">
        <v>43808</v>
      </c>
      <c r="K7" s="17">
        <v>60</v>
      </c>
      <c r="L7" s="49" t="s">
        <v>34</v>
      </c>
      <c r="N7" t="s">
        <v>149</v>
      </c>
      <c r="O7" t="s">
        <v>149</v>
      </c>
      <c r="P7" s="111">
        <f>SUMIF($I$6:$I$2992,O7,$D$6:$D$2992)-SUMIFS($D$6:$D$2992,$I$6:$I$2992,O7,$F$6:$F$2992,"Unpaid Rent")-(SUMIFS($D$6:$D$2992,$I$6:$I$2992,O7,$F$6:$F$2992,"Discount Rent")*2)-(SUMIFS($D$6:$D$2992,$I$6:$I$2992,O7,$F$6:$F$2992,"Bond Received"))-SUMIF($N$6:$N$2989,O7,$K$6:$K$2989)+SUMIFS($K$6:$K$2989,$N$6:$N$2989,O7,$L$6:$L$2989,"Bond Return")</f>
        <v>740</v>
      </c>
    </row>
    <row r="8" spans="1:18" ht="15" customHeight="1" x14ac:dyDescent="0.25">
      <c r="A8" s="10">
        <v>1</v>
      </c>
      <c r="B8" s="48">
        <v>43783</v>
      </c>
      <c r="C8" s="17">
        <v>200</v>
      </c>
      <c r="D8" s="17"/>
      <c r="E8" s="16"/>
      <c r="F8" s="16"/>
      <c r="H8" s="17">
        <f t="shared" si="0"/>
        <v>200</v>
      </c>
      <c r="I8" s="17" t="s">
        <v>149</v>
      </c>
      <c r="J8" s="48">
        <v>43809</v>
      </c>
      <c r="K8" s="17">
        <v>400</v>
      </c>
      <c r="L8" s="49" t="s">
        <v>45</v>
      </c>
      <c r="N8" t="s">
        <v>149</v>
      </c>
      <c r="O8" s="9" t="s">
        <v>137</v>
      </c>
      <c r="P8" s="111">
        <f t="shared" ref="P8:P19" si="1">SUMIF($I$6:$I$2992,O8,$D$6:$D$2992)-SUMIFS($D$6:$D$2992,$I$6:$I$2992,O8,$F$6:$F$2992,"Unpaid Rent")-(SUMIFS($D$6:$D$2992,$I$6:$I$2992,O8,$F$6:$F$2992,"Discount Rent")*2)-(SUMIFS($D$6:$D$2992,$I$6:$I$2992,O8,$F$6:$F$2992,"Bond Received"))-SUMIF($N$6:$N$2989,O8,$K$6:$K$2989)+SUMIFS($K$6:$K$2989,$N$6:$N$2989,O8,$L$6:$L$2989,"Bond Return")</f>
        <v>562.1400000000001</v>
      </c>
    </row>
    <row r="9" spans="1:18" ht="15" customHeight="1" x14ac:dyDescent="0.25">
      <c r="A9" s="10">
        <v>2</v>
      </c>
      <c r="B9" s="48">
        <v>43790</v>
      </c>
      <c r="C9" s="17">
        <v>200</v>
      </c>
      <c r="D9" s="17">
        <v>400</v>
      </c>
      <c r="E9" s="16">
        <v>43794</v>
      </c>
      <c r="F9" s="16" t="s">
        <v>58</v>
      </c>
      <c r="H9" s="17">
        <f t="shared" si="0"/>
        <v>0</v>
      </c>
      <c r="I9" s="17" t="s">
        <v>149</v>
      </c>
      <c r="J9" s="48">
        <v>43815</v>
      </c>
      <c r="K9" s="17">
        <v>55.1</v>
      </c>
      <c r="L9" s="49" t="s">
        <v>54</v>
      </c>
      <c r="N9" t="s">
        <v>137</v>
      </c>
      <c r="O9" s="13" t="s">
        <v>94</v>
      </c>
      <c r="P9" s="111">
        <f t="shared" si="1"/>
        <v>3802.36</v>
      </c>
    </row>
    <row r="10" spans="1:18" ht="15" customHeight="1" x14ac:dyDescent="0.25">
      <c r="A10" s="10">
        <v>3</v>
      </c>
      <c r="B10" s="48">
        <v>43797</v>
      </c>
      <c r="C10" s="17">
        <v>200</v>
      </c>
      <c r="D10" s="17">
        <v>200</v>
      </c>
      <c r="E10" s="16">
        <v>43802</v>
      </c>
      <c r="F10" s="16" t="s">
        <v>58</v>
      </c>
      <c r="H10" s="17">
        <f t="shared" si="0"/>
        <v>0</v>
      </c>
      <c r="I10" s="17" t="s">
        <v>149</v>
      </c>
      <c r="J10" s="48">
        <v>43819</v>
      </c>
      <c r="K10" s="17">
        <v>75</v>
      </c>
      <c r="L10" s="49" t="s">
        <v>32</v>
      </c>
      <c r="N10" t="s">
        <v>137</v>
      </c>
      <c r="O10" t="s">
        <v>419</v>
      </c>
      <c r="P10" s="111">
        <f t="shared" si="1"/>
        <v>2227.6400000000003</v>
      </c>
    </row>
    <row r="11" spans="1:18" ht="15" customHeight="1" x14ac:dyDescent="0.25">
      <c r="A11" s="10">
        <v>4</v>
      </c>
      <c r="B11" s="48">
        <v>43804</v>
      </c>
      <c r="C11" s="17">
        <v>200</v>
      </c>
      <c r="D11" s="17">
        <v>200</v>
      </c>
      <c r="E11" s="16">
        <v>43808</v>
      </c>
      <c r="F11" s="16" t="s">
        <v>124</v>
      </c>
      <c r="H11" s="17">
        <f t="shared" si="0"/>
        <v>0</v>
      </c>
      <c r="I11" s="17" t="s">
        <v>149</v>
      </c>
      <c r="J11" s="48">
        <v>43819</v>
      </c>
      <c r="K11" s="17">
        <v>38</v>
      </c>
      <c r="L11" s="49" t="s">
        <v>53</v>
      </c>
      <c r="N11" t="s">
        <v>137</v>
      </c>
      <c r="O11" t="s">
        <v>498</v>
      </c>
      <c r="P11" s="111">
        <f t="shared" si="1"/>
        <v>1762.1599999999999</v>
      </c>
    </row>
    <row r="12" spans="1:18" ht="15" customHeight="1" x14ac:dyDescent="0.25">
      <c r="A12" s="10">
        <v>1</v>
      </c>
      <c r="B12" s="48">
        <v>43816</v>
      </c>
      <c r="C12" s="17">
        <v>460</v>
      </c>
      <c r="D12" s="17">
        <v>460</v>
      </c>
      <c r="E12" s="16">
        <v>43819</v>
      </c>
      <c r="F12" s="16" t="s">
        <v>181</v>
      </c>
      <c r="H12" s="17">
        <f t="shared" si="0"/>
        <v>0</v>
      </c>
      <c r="I12" s="17" t="s">
        <v>137</v>
      </c>
      <c r="J12" s="48">
        <v>43829</v>
      </c>
      <c r="K12" s="17">
        <v>5.5</v>
      </c>
      <c r="L12" s="49" t="s">
        <v>22</v>
      </c>
      <c r="N12" t="s">
        <v>137</v>
      </c>
      <c r="O12" t="s">
        <v>14</v>
      </c>
      <c r="P12" s="111">
        <f t="shared" si="1"/>
        <v>-4595.1000000000004</v>
      </c>
    </row>
    <row r="13" spans="1:18" ht="15" customHeight="1" x14ac:dyDescent="0.25">
      <c r="A13" s="10">
        <v>1</v>
      </c>
      <c r="B13" s="48">
        <v>43816</v>
      </c>
      <c r="C13" s="17">
        <v>230</v>
      </c>
      <c r="D13" s="17">
        <v>230</v>
      </c>
      <c r="E13" s="16">
        <v>43819</v>
      </c>
      <c r="F13" s="16" t="s">
        <v>58</v>
      </c>
      <c r="H13" s="17">
        <f t="shared" ref="H13:H18" si="2">IFERROR(IF(F12="Closed account",(IF(F13="Unpaid Rent",(C13),(C13-D13))),(IF(F13="Unpaid Rent",(C13+H12),(C13-D13+H12)))),"")</f>
        <v>0</v>
      </c>
      <c r="I13" s="17" t="s">
        <v>137</v>
      </c>
      <c r="J13" s="48">
        <v>43836</v>
      </c>
      <c r="K13" s="17">
        <v>211.2</v>
      </c>
      <c r="L13" s="49" t="s">
        <v>20</v>
      </c>
      <c r="N13" t="s">
        <v>137</v>
      </c>
      <c r="O13" t="s">
        <v>573</v>
      </c>
      <c r="P13" s="111">
        <f t="shared" si="1"/>
        <v>236.22000000000003</v>
      </c>
    </row>
    <row r="14" spans="1:18" ht="15" customHeight="1" x14ac:dyDescent="0.25">
      <c r="A14" s="10">
        <v>2</v>
      </c>
      <c r="B14" s="48">
        <v>43823</v>
      </c>
      <c r="C14" s="17">
        <v>230</v>
      </c>
      <c r="D14" s="17">
        <v>230</v>
      </c>
      <c r="E14" s="16">
        <v>43823</v>
      </c>
      <c r="F14" s="16" t="s">
        <v>58</v>
      </c>
      <c r="H14" s="17">
        <f t="shared" si="2"/>
        <v>0</v>
      </c>
      <c r="I14" s="17" t="s">
        <v>137</v>
      </c>
      <c r="J14" s="48">
        <v>43833</v>
      </c>
      <c r="K14" s="17">
        <v>191.53</v>
      </c>
      <c r="L14" s="49" t="s">
        <v>16</v>
      </c>
      <c r="N14" t="s">
        <v>137</v>
      </c>
      <c r="O14" t="s">
        <v>594</v>
      </c>
      <c r="P14" s="111">
        <f t="shared" si="1"/>
        <v>300</v>
      </c>
    </row>
    <row r="15" spans="1:18" ht="15" customHeight="1" x14ac:dyDescent="0.25">
      <c r="A15" s="10">
        <v>3</v>
      </c>
      <c r="B15" s="48">
        <v>43830</v>
      </c>
      <c r="C15" s="17">
        <v>230</v>
      </c>
      <c r="D15" s="17">
        <v>230</v>
      </c>
      <c r="E15" s="16">
        <v>43830</v>
      </c>
      <c r="F15" s="16" t="s">
        <v>58</v>
      </c>
      <c r="H15" s="17">
        <f t="shared" si="2"/>
        <v>0</v>
      </c>
      <c r="I15" s="17" t="s">
        <v>137</v>
      </c>
      <c r="J15" s="48">
        <v>43851</v>
      </c>
      <c r="K15" s="17">
        <v>191.53</v>
      </c>
      <c r="L15" s="49" t="s">
        <v>16</v>
      </c>
      <c r="N15" t="s">
        <v>137</v>
      </c>
      <c r="O15" t="s">
        <v>602</v>
      </c>
      <c r="P15" s="111">
        <f t="shared" si="1"/>
        <v>-390.16999999999996</v>
      </c>
    </row>
    <row r="16" spans="1:18" ht="15" customHeight="1" x14ac:dyDescent="0.25">
      <c r="A16" s="10">
        <v>4</v>
      </c>
      <c r="B16" s="48">
        <v>43837</v>
      </c>
      <c r="C16" s="17">
        <v>230</v>
      </c>
      <c r="D16" s="17">
        <v>230</v>
      </c>
      <c r="E16" s="16">
        <v>43837</v>
      </c>
      <c r="F16" s="16" t="s">
        <v>58</v>
      </c>
      <c r="H16" s="17">
        <f t="shared" si="2"/>
        <v>0</v>
      </c>
      <c r="I16" s="17" t="s">
        <v>137</v>
      </c>
      <c r="J16" s="48">
        <v>43852</v>
      </c>
      <c r="K16" s="17">
        <v>80</v>
      </c>
      <c r="L16" s="49" t="s">
        <v>26</v>
      </c>
      <c r="N16" t="s">
        <v>137</v>
      </c>
      <c r="O16" t="s">
        <v>615</v>
      </c>
      <c r="P16" s="111">
        <f t="shared" si="1"/>
        <v>397.7</v>
      </c>
    </row>
    <row r="17" spans="1:16" ht="15" customHeight="1" x14ac:dyDescent="0.25">
      <c r="A17" s="10">
        <v>5</v>
      </c>
      <c r="B17" s="48">
        <v>43844</v>
      </c>
      <c r="C17" s="17">
        <v>230</v>
      </c>
      <c r="D17" s="17">
        <v>230</v>
      </c>
      <c r="E17" s="16">
        <v>43844</v>
      </c>
      <c r="F17" s="16" t="s">
        <v>58</v>
      </c>
      <c r="H17" s="17">
        <f t="shared" si="2"/>
        <v>0</v>
      </c>
      <c r="I17" s="17" t="s">
        <v>137</v>
      </c>
      <c r="J17" s="48">
        <v>43852</v>
      </c>
      <c r="K17" s="17">
        <v>460</v>
      </c>
      <c r="L17" s="49" t="s">
        <v>45</v>
      </c>
      <c r="N17" t="s">
        <v>137</v>
      </c>
      <c r="O17" t="s">
        <v>676</v>
      </c>
      <c r="P17" s="111">
        <f t="shared" si="1"/>
        <v>2686.1</v>
      </c>
    </row>
    <row r="18" spans="1:16" ht="15" customHeight="1" x14ac:dyDescent="0.25">
      <c r="A18" s="10">
        <v>6</v>
      </c>
      <c r="B18" s="48">
        <v>43851</v>
      </c>
      <c r="C18" s="17">
        <v>260</v>
      </c>
      <c r="D18" s="17">
        <v>260</v>
      </c>
      <c r="E18" s="16">
        <v>43851</v>
      </c>
      <c r="F18" s="16" t="s">
        <v>124</v>
      </c>
      <c r="H18" s="17">
        <f t="shared" si="2"/>
        <v>0</v>
      </c>
      <c r="I18" s="17" t="s">
        <v>137</v>
      </c>
      <c r="J18" s="48">
        <v>43880</v>
      </c>
      <c r="K18" s="17">
        <v>171.81</v>
      </c>
      <c r="L18" s="49" t="s">
        <v>16</v>
      </c>
      <c r="N18" t="s">
        <v>94</v>
      </c>
      <c r="O18" t="s">
        <v>768</v>
      </c>
      <c r="P18" s="111">
        <f t="shared" si="1"/>
        <v>1641.1100000000001</v>
      </c>
    </row>
    <row r="19" spans="1:16" ht="15" customHeight="1" x14ac:dyDescent="0.25">
      <c r="A19" s="10">
        <v>1</v>
      </c>
      <c r="B19" s="48">
        <v>43858</v>
      </c>
      <c r="C19" s="17">
        <v>480</v>
      </c>
      <c r="D19" s="17">
        <v>480</v>
      </c>
      <c r="E19" s="16">
        <v>43858</v>
      </c>
      <c r="F19" s="16" t="s">
        <v>181</v>
      </c>
      <c r="H19" s="17">
        <f>IFERROR(IF(F18="Closed account",(IF(F19="Unpaid Rent",(C19),(C19-D19))),(IF(F19="Unpaid Rent",(C19+H18),(C19-D19+H18)))),"")</f>
        <v>0</v>
      </c>
      <c r="I19" s="17" t="s">
        <v>94</v>
      </c>
      <c r="J19" s="48">
        <v>43909</v>
      </c>
      <c r="K19" s="17">
        <v>171.81</v>
      </c>
      <c r="L19" s="49" t="s">
        <v>16</v>
      </c>
      <c r="N19" t="s">
        <v>94</v>
      </c>
      <c r="O19" t="s">
        <v>766</v>
      </c>
      <c r="P19" s="111">
        <f t="shared" si="1"/>
        <v>500</v>
      </c>
    </row>
    <row r="20" spans="1:16" ht="15" customHeight="1" x14ac:dyDescent="0.25">
      <c r="A20" s="10">
        <v>1</v>
      </c>
      <c r="B20" s="48">
        <v>43858</v>
      </c>
      <c r="C20" s="17">
        <v>225</v>
      </c>
      <c r="D20" s="17">
        <v>225</v>
      </c>
      <c r="E20" s="16">
        <v>43858</v>
      </c>
      <c r="F20" s="16" t="s">
        <v>58</v>
      </c>
      <c r="H20" s="17">
        <f>IFERROR(IF(F19="Closed account",(IF(F20="Unpaid Rent",(C20),(C20-D20))),(IF(F20="Unpaid Rent",(C20+H19),(C20-D20+H19)))),"")</f>
        <v>0</v>
      </c>
      <c r="I20" s="17" t="s">
        <v>94</v>
      </c>
      <c r="J20" s="48">
        <v>43927</v>
      </c>
      <c r="K20" s="17">
        <v>2.75</v>
      </c>
      <c r="L20" s="49" t="s">
        <v>22</v>
      </c>
      <c r="N20" t="s">
        <v>94</v>
      </c>
    </row>
    <row r="21" spans="1:16" ht="15" customHeight="1" x14ac:dyDescent="0.25">
      <c r="A21" s="10">
        <v>2</v>
      </c>
      <c r="B21" s="48">
        <v>43865</v>
      </c>
      <c r="C21" s="17">
        <v>225</v>
      </c>
      <c r="D21" s="17">
        <v>225</v>
      </c>
      <c r="E21" s="16">
        <v>43865</v>
      </c>
      <c r="F21" s="16" t="s">
        <v>58</v>
      </c>
      <c r="H21" s="17">
        <f t="shared" ref="H21:H77" si="3">IFERROR(IF(F20="Closed account",(IF(F21="Unpaid Rent",(C21),(C21-D21))),(IF(F21="Unpaid Rent",(C21+H20),(C21-D21+H20)))),"")</f>
        <v>0</v>
      </c>
      <c r="I21" s="17" t="s">
        <v>94</v>
      </c>
      <c r="J21" s="48">
        <v>43935</v>
      </c>
      <c r="K21" s="17">
        <v>3.74</v>
      </c>
      <c r="L21" s="49" t="s">
        <v>22</v>
      </c>
      <c r="N21" t="s">
        <v>94</v>
      </c>
    </row>
    <row r="22" spans="1:16" ht="15" customHeight="1" x14ac:dyDescent="0.25">
      <c r="A22" s="10">
        <v>3</v>
      </c>
      <c r="B22" s="48">
        <v>43872</v>
      </c>
      <c r="C22" s="17">
        <v>225</v>
      </c>
      <c r="D22" s="17">
        <v>225</v>
      </c>
      <c r="E22" s="16">
        <v>43872</v>
      </c>
      <c r="F22" s="16" t="s">
        <v>58</v>
      </c>
      <c r="H22" s="17">
        <f t="shared" si="3"/>
        <v>0</v>
      </c>
      <c r="I22" s="17" t="s">
        <v>94</v>
      </c>
      <c r="J22" s="48">
        <v>43942</v>
      </c>
      <c r="K22" s="17">
        <v>171.81</v>
      </c>
      <c r="L22" s="49" t="s">
        <v>16</v>
      </c>
      <c r="N22" t="s">
        <v>94</v>
      </c>
    </row>
    <row r="23" spans="1:16" ht="15" customHeight="1" x14ac:dyDescent="0.25">
      <c r="A23" s="10">
        <v>4</v>
      </c>
      <c r="B23" s="48">
        <v>43879</v>
      </c>
      <c r="C23" s="17">
        <v>225</v>
      </c>
      <c r="D23" s="17">
        <v>225</v>
      </c>
      <c r="E23" s="16">
        <v>43879</v>
      </c>
      <c r="F23" s="16" t="s">
        <v>58</v>
      </c>
      <c r="H23" s="17">
        <f t="shared" si="3"/>
        <v>0</v>
      </c>
      <c r="I23" s="17" t="s">
        <v>94</v>
      </c>
      <c r="J23" s="48">
        <v>43967</v>
      </c>
      <c r="K23" s="17">
        <v>480</v>
      </c>
      <c r="L23" s="49" t="s">
        <v>45</v>
      </c>
      <c r="N23" t="s">
        <v>94</v>
      </c>
    </row>
    <row r="24" spans="1:16" ht="15" customHeight="1" x14ac:dyDescent="0.25">
      <c r="A24" s="10">
        <v>5</v>
      </c>
      <c r="B24" s="48">
        <v>43886</v>
      </c>
      <c r="C24" s="17">
        <v>225</v>
      </c>
      <c r="D24" s="17">
        <v>225</v>
      </c>
      <c r="E24" s="16">
        <v>43886</v>
      </c>
      <c r="F24" s="16" t="s">
        <v>58</v>
      </c>
      <c r="H24" s="17">
        <f t="shared" si="3"/>
        <v>0</v>
      </c>
      <c r="I24" s="17" t="s">
        <v>94</v>
      </c>
      <c r="J24" s="48">
        <v>44000</v>
      </c>
      <c r="K24" s="17">
        <v>150</v>
      </c>
      <c r="L24" s="49" t="s">
        <v>26</v>
      </c>
      <c r="M24" t="s">
        <v>190</v>
      </c>
      <c r="N24" t="s">
        <v>94</v>
      </c>
    </row>
    <row r="25" spans="1:16" ht="15" customHeight="1" x14ac:dyDescent="0.25">
      <c r="A25" s="10">
        <v>6</v>
      </c>
      <c r="B25" s="48">
        <v>43893</v>
      </c>
      <c r="C25" s="17">
        <v>225</v>
      </c>
      <c r="D25" s="17">
        <v>225</v>
      </c>
      <c r="E25" s="16">
        <v>43893</v>
      </c>
      <c r="F25" s="16" t="s">
        <v>58</v>
      </c>
      <c r="H25" s="17">
        <f t="shared" si="3"/>
        <v>0</v>
      </c>
      <c r="I25" s="17" t="s">
        <v>94</v>
      </c>
      <c r="J25" s="48">
        <v>44015</v>
      </c>
      <c r="K25" s="17">
        <v>212.34</v>
      </c>
      <c r="L25" s="49" t="s">
        <v>20</v>
      </c>
      <c r="N25" t="s">
        <v>94</v>
      </c>
    </row>
    <row r="26" spans="1:16" ht="15" customHeight="1" x14ac:dyDescent="0.25">
      <c r="A26" s="10">
        <v>7</v>
      </c>
      <c r="B26" s="48">
        <v>43900</v>
      </c>
      <c r="C26" s="17">
        <v>225</v>
      </c>
      <c r="D26" s="17">
        <v>225</v>
      </c>
      <c r="E26" s="16">
        <v>43900</v>
      </c>
      <c r="F26" t="s">
        <v>58</v>
      </c>
      <c r="H26" s="17">
        <f t="shared" si="3"/>
        <v>0</v>
      </c>
      <c r="I26" s="17" t="s">
        <v>94</v>
      </c>
      <c r="J26" s="48">
        <v>44062</v>
      </c>
      <c r="K26" s="17">
        <v>162.04</v>
      </c>
      <c r="L26" s="49" t="s">
        <v>16</v>
      </c>
      <c r="N26" t="s">
        <v>94</v>
      </c>
    </row>
    <row r="27" spans="1:16" ht="15" customHeight="1" x14ac:dyDescent="0.25">
      <c r="A27" s="10">
        <v>8</v>
      </c>
      <c r="B27" s="48">
        <v>43907</v>
      </c>
      <c r="C27" s="17">
        <v>225</v>
      </c>
      <c r="D27" s="17">
        <v>225</v>
      </c>
      <c r="E27" s="16">
        <v>43907</v>
      </c>
      <c r="F27" s="16" t="s">
        <v>58</v>
      </c>
      <c r="H27" s="17">
        <f t="shared" si="3"/>
        <v>0</v>
      </c>
      <c r="I27" s="17" t="s">
        <v>94</v>
      </c>
      <c r="J27" s="48">
        <v>43922</v>
      </c>
      <c r="K27" s="17">
        <v>212.34</v>
      </c>
      <c r="L27" s="49" t="s">
        <v>20</v>
      </c>
      <c r="N27" t="s">
        <v>94</v>
      </c>
    </row>
    <row r="28" spans="1:16" ht="15" customHeight="1" x14ac:dyDescent="0.25">
      <c r="A28" s="10">
        <v>9</v>
      </c>
      <c r="B28" s="48">
        <v>43914</v>
      </c>
      <c r="C28" s="17">
        <v>180</v>
      </c>
      <c r="D28" s="17">
        <v>180</v>
      </c>
      <c r="E28" s="16">
        <v>43923</v>
      </c>
      <c r="F28" s="16" t="s">
        <v>117</v>
      </c>
      <c r="H28" s="17">
        <f t="shared" si="3"/>
        <v>0</v>
      </c>
      <c r="I28" s="17" t="s">
        <v>94</v>
      </c>
      <c r="J28" s="48">
        <v>44078</v>
      </c>
      <c r="K28" s="17">
        <v>5.5</v>
      </c>
      <c r="L28" s="49" t="s">
        <v>22</v>
      </c>
      <c r="N28" t="s">
        <v>419</v>
      </c>
    </row>
    <row r="29" spans="1:16" ht="15" customHeight="1" x14ac:dyDescent="0.25">
      <c r="A29" s="10">
        <v>10</v>
      </c>
      <c r="B29" s="48">
        <v>43921</v>
      </c>
      <c r="C29" s="17">
        <v>150</v>
      </c>
      <c r="D29" s="17">
        <v>150</v>
      </c>
      <c r="E29" s="16">
        <v>43923</v>
      </c>
      <c r="F29" t="s">
        <v>117</v>
      </c>
      <c r="H29" s="17">
        <f t="shared" si="3"/>
        <v>0</v>
      </c>
      <c r="I29" s="17" t="s">
        <v>94</v>
      </c>
      <c r="J29" s="48">
        <v>44098</v>
      </c>
      <c r="K29" s="17">
        <v>137.87</v>
      </c>
      <c r="L29" s="49" t="s">
        <v>16</v>
      </c>
      <c r="N29" t="s">
        <v>419</v>
      </c>
    </row>
    <row r="30" spans="1:16" ht="15" customHeight="1" x14ac:dyDescent="0.25">
      <c r="A30" s="10">
        <v>11</v>
      </c>
      <c r="B30" s="48">
        <v>43928</v>
      </c>
      <c r="C30" s="17">
        <v>150</v>
      </c>
      <c r="D30" s="17">
        <v>150</v>
      </c>
      <c r="E30" s="16">
        <v>43936</v>
      </c>
      <c r="F30" t="s">
        <v>117</v>
      </c>
      <c r="H30" s="17">
        <f t="shared" si="3"/>
        <v>0</v>
      </c>
      <c r="I30" s="17" t="s">
        <v>94</v>
      </c>
      <c r="J30" s="48">
        <v>44088</v>
      </c>
      <c r="K30" s="17">
        <v>0.99</v>
      </c>
      <c r="L30" s="49" t="s">
        <v>22</v>
      </c>
      <c r="N30" t="s">
        <v>419</v>
      </c>
    </row>
    <row r="31" spans="1:16" ht="15" customHeight="1" x14ac:dyDescent="0.25">
      <c r="A31" s="10">
        <v>12</v>
      </c>
      <c r="B31" s="48">
        <v>43935</v>
      </c>
      <c r="C31" s="17">
        <v>150</v>
      </c>
      <c r="D31" s="17"/>
      <c r="E31" s="16"/>
      <c r="F31" t="s">
        <v>117</v>
      </c>
      <c r="H31" s="17">
        <f t="shared" si="3"/>
        <v>150</v>
      </c>
      <c r="I31" s="17" t="s">
        <v>94</v>
      </c>
      <c r="J31" s="48">
        <v>44114</v>
      </c>
      <c r="K31" s="17">
        <v>212.34</v>
      </c>
      <c r="L31" s="49" t="s">
        <v>20</v>
      </c>
      <c r="N31" t="s">
        <v>419</v>
      </c>
    </row>
    <row r="32" spans="1:16" ht="15" customHeight="1" x14ac:dyDescent="0.25">
      <c r="A32" s="10">
        <v>13</v>
      </c>
      <c r="B32" s="48">
        <v>43942</v>
      </c>
      <c r="C32" s="17">
        <v>150</v>
      </c>
      <c r="D32" s="17"/>
      <c r="E32" s="16"/>
      <c r="F32" t="s">
        <v>117</v>
      </c>
      <c r="H32" s="17">
        <f t="shared" si="3"/>
        <v>300</v>
      </c>
      <c r="I32" s="17" t="s">
        <v>94</v>
      </c>
      <c r="J32" s="48">
        <v>44109</v>
      </c>
      <c r="K32" s="17">
        <v>0.99</v>
      </c>
      <c r="L32" s="49" t="s">
        <v>22</v>
      </c>
      <c r="N32" t="s">
        <v>419</v>
      </c>
    </row>
    <row r="33" spans="1:14" ht="15" customHeight="1" x14ac:dyDescent="0.25">
      <c r="A33" s="10">
        <v>14</v>
      </c>
      <c r="B33" s="48">
        <v>43949</v>
      </c>
      <c r="C33" s="17">
        <v>150</v>
      </c>
      <c r="D33" s="17"/>
      <c r="E33" s="16"/>
      <c r="F33" t="s">
        <v>117</v>
      </c>
      <c r="H33" s="17">
        <f t="shared" si="3"/>
        <v>450</v>
      </c>
      <c r="I33" s="17" t="s">
        <v>94</v>
      </c>
      <c r="J33" s="48">
        <v>44119</v>
      </c>
      <c r="K33" s="17">
        <v>462</v>
      </c>
      <c r="L33" s="49" t="s">
        <v>26</v>
      </c>
      <c r="N33" t="s">
        <v>419</v>
      </c>
    </row>
    <row r="34" spans="1:14" ht="15" customHeight="1" x14ac:dyDescent="0.25">
      <c r="A34" s="10">
        <v>15</v>
      </c>
      <c r="B34" s="48">
        <v>43956</v>
      </c>
      <c r="C34" s="17">
        <v>150</v>
      </c>
      <c r="D34" s="17"/>
      <c r="E34" s="16"/>
      <c r="F34" t="s">
        <v>117</v>
      </c>
      <c r="H34" s="17">
        <f t="shared" si="3"/>
        <v>600</v>
      </c>
      <c r="I34" s="17" t="s">
        <v>94</v>
      </c>
      <c r="J34" s="48">
        <v>44127</v>
      </c>
      <c r="K34" s="17">
        <v>137.87</v>
      </c>
      <c r="L34" s="49" t="s">
        <v>16</v>
      </c>
      <c r="N34" t="s">
        <v>419</v>
      </c>
    </row>
    <row r="35" spans="1:14" ht="15" customHeight="1" x14ac:dyDescent="0.25">
      <c r="A35" s="10">
        <v>16</v>
      </c>
      <c r="B35" s="48">
        <v>43963</v>
      </c>
      <c r="C35" s="17">
        <v>150</v>
      </c>
      <c r="D35" s="17">
        <v>600</v>
      </c>
      <c r="E35" s="16">
        <v>43967</v>
      </c>
      <c r="F35" t="s">
        <v>117</v>
      </c>
      <c r="H35" s="17">
        <f t="shared" si="3"/>
        <v>150</v>
      </c>
      <c r="I35" s="17" t="s">
        <v>94</v>
      </c>
      <c r="J35" s="48">
        <v>44145</v>
      </c>
      <c r="K35" s="17"/>
      <c r="L35" s="49" t="s">
        <v>45</v>
      </c>
      <c r="N35" t="s">
        <v>419</v>
      </c>
    </row>
    <row r="36" spans="1:14" ht="15" customHeight="1" x14ac:dyDescent="0.25">
      <c r="A36" s="10">
        <v>17</v>
      </c>
      <c r="B36" s="48">
        <v>43970</v>
      </c>
      <c r="C36" s="17">
        <v>150</v>
      </c>
      <c r="D36" s="17">
        <v>150</v>
      </c>
      <c r="E36" s="16">
        <v>43971</v>
      </c>
      <c r="F36" t="s">
        <v>117</v>
      </c>
      <c r="H36" s="17">
        <f t="shared" si="3"/>
        <v>150</v>
      </c>
      <c r="I36" s="17" t="s">
        <v>94</v>
      </c>
      <c r="J36" s="48">
        <v>44158</v>
      </c>
      <c r="K36" s="17">
        <v>0.99</v>
      </c>
      <c r="L36" s="49" t="s">
        <v>22</v>
      </c>
      <c r="N36" t="s">
        <v>419</v>
      </c>
    </row>
    <row r="37" spans="1:14" ht="15" customHeight="1" x14ac:dyDescent="0.25">
      <c r="A37" s="10">
        <v>18</v>
      </c>
      <c r="B37" s="48">
        <v>43977</v>
      </c>
      <c r="C37" s="17">
        <v>150</v>
      </c>
      <c r="D37" s="17">
        <v>150</v>
      </c>
      <c r="E37" s="16">
        <v>43978</v>
      </c>
      <c r="F37" t="s">
        <v>117</v>
      </c>
      <c r="H37" s="17">
        <f t="shared" si="3"/>
        <v>150</v>
      </c>
      <c r="I37" s="17" t="s">
        <v>94</v>
      </c>
      <c r="J37" s="48">
        <v>44173</v>
      </c>
      <c r="K37" s="17">
        <v>66</v>
      </c>
      <c r="L37" s="49" t="s">
        <v>34</v>
      </c>
      <c r="N37" t="s">
        <v>419</v>
      </c>
    </row>
    <row r="38" spans="1:14" ht="15" customHeight="1" x14ac:dyDescent="0.25">
      <c r="A38" s="10">
        <v>19</v>
      </c>
      <c r="B38" s="48">
        <v>43984</v>
      </c>
      <c r="C38" s="17">
        <v>150</v>
      </c>
      <c r="D38" s="17"/>
      <c r="E38" s="16"/>
      <c r="F38" t="s">
        <v>117</v>
      </c>
      <c r="H38" s="17">
        <f t="shared" si="3"/>
        <v>300</v>
      </c>
      <c r="I38" s="17" t="s">
        <v>94</v>
      </c>
      <c r="J38" s="48">
        <v>44181</v>
      </c>
      <c r="K38" s="17">
        <v>88.75</v>
      </c>
      <c r="L38" s="49" t="s">
        <v>45</v>
      </c>
      <c r="M38" t="s">
        <v>206</v>
      </c>
      <c r="N38" t="s">
        <v>419</v>
      </c>
    </row>
    <row r="39" spans="1:14" ht="15" customHeight="1" x14ac:dyDescent="0.25">
      <c r="A39" s="10">
        <v>20</v>
      </c>
      <c r="B39" s="48">
        <v>43991</v>
      </c>
      <c r="C39" s="17">
        <v>150</v>
      </c>
      <c r="D39" s="17">
        <v>300</v>
      </c>
      <c r="E39" s="16">
        <v>43993</v>
      </c>
      <c r="F39" t="s">
        <v>117</v>
      </c>
      <c r="H39" s="17">
        <f t="shared" si="3"/>
        <v>150</v>
      </c>
      <c r="I39" s="17" t="s">
        <v>94</v>
      </c>
      <c r="J39" s="48">
        <v>44186</v>
      </c>
      <c r="K39" s="17">
        <v>0.99</v>
      </c>
      <c r="L39" s="49" t="s">
        <v>22</v>
      </c>
      <c r="N39" t="s">
        <v>419</v>
      </c>
    </row>
    <row r="40" spans="1:14" ht="15" customHeight="1" x14ac:dyDescent="0.25">
      <c r="A40" s="10">
        <v>21</v>
      </c>
      <c r="B40" s="48">
        <v>43998</v>
      </c>
      <c r="C40" s="17">
        <v>150</v>
      </c>
      <c r="D40" s="17">
        <v>150</v>
      </c>
      <c r="E40" s="16">
        <v>43999</v>
      </c>
      <c r="F40" t="s">
        <v>117</v>
      </c>
      <c r="H40" s="17">
        <f t="shared" si="3"/>
        <v>150</v>
      </c>
      <c r="I40" s="17" t="s">
        <v>94</v>
      </c>
      <c r="J40" s="48">
        <v>44205</v>
      </c>
      <c r="K40" s="17">
        <v>212.34</v>
      </c>
      <c r="L40" s="49" t="s">
        <v>20</v>
      </c>
      <c r="N40" t="s">
        <v>419</v>
      </c>
    </row>
    <row r="41" spans="1:14" ht="15" customHeight="1" x14ac:dyDescent="0.25">
      <c r="A41" s="10">
        <v>22</v>
      </c>
      <c r="B41" s="48">
        <v>44005</v>
      </c>
      <c r="C41" s="17">
        <v>150</v>
      </c>
      <c r="D41" s="17">
        <v>131</v>
      </c>
      <c r="E41" s="16">
        <v>44008</v>
      </c>
      <c r="F41" t="s">
        <v>117</v>
      </c>
      <c r="H41" s="17">
        <f t="shared" si="3"/>
        <v>169</v>
      </c>
      <c r="I41" s="17" t="s">
        <v>94</v>
      </c>
      <c r="J41" s="48">
        <v>44200</v>
      </c>
      <c r="K41" s="17">
        <v>0.99</v>
      </c>
      <c r="L41" s="49" t="s">
        <v>22</v>
      </c>
      <c r="N41" t="s">
        <v>419</v>
      </c>
    </row>
    <row r="42" spans="1:14" ht="15" customHeight="1" x14ac:dyDescent="0.25">
      <c r="A42" s="10">
        <v>23</v>
      </c>
      <c r="B42" s="48">
        <v>44012</v>
      </c>
      <c r="C42" s="17">
        <v>150</v>
      </c>
      <c r="D42" s="17">
        <v>150</v>
      </c>
      <c r="E42" s="16">
        <v>44014</v>
      </c>
      <c r="F42" t="s">
        <v>117</v>
      </c>
      <c r="H42" s="17">
        <f t="shared" si="3"/>
        <v>169</v>
      </c>
      <c r="I42" s="17" t="s">
        <v>94</v>
      </c>
      <c r="J42" s="48">
        <v>44208</v>
      </c>
      <c r="K42" s="17">
        <v>46.69</v>
      </c>
      <c r="L42" s="49" t="s">
        <v>45</v>
      </c>
      <c r="M42" t="s">
        <v>206</v>
      </c>
      <c r="N42" t="s">
        <v>419</v>
      </c>
    </row>
    <row r="43" spans="1:14" ht="15" customHeight="1" x14ac:dyDescent="0.25">
      <c r="A43" s="10">
        <v>24</v>
      </c>
      <c r="B43" s="48">
        <v>44019</v>
      </c>
      <c r="C43" s="17">
        <v>150</v>
      </c>
      <c r="D43" s="17">
        <v>150</v>
      </c>
      <c r="E43" s="16">
        <v>44023</v>
      </c>
      <c r="F43" t="s">
        <v>117</v>
      </c>
      <c r="H43" s="17">
        <f t="shared" si="3"/>
        <v>169</v>
      </c>
      <c r="I43" s="17" t="s">
        <v>94</v>
      </c>
      <c r="J43" s="48">
        <v>44214</v>
      </c>
      <c r="K43" s="17">
        <v>159.5</v>
      </c>
      <c r="L43" s="49" t="s">
        <v>26</v>
      </c>
      <c r="N43" t="s">
        <v>419</v>
      </c>
    </row>
    <row r="44" spans="1:14" ht="15" customHeight="1" x14ac:dyDescent="0.25">
      <c r="A44" s="10">
        <v>25</v>
      </c>
      <c r="B44" s="48">
        <v>44026</v>
      </c>
      <c r="C44" s="17">
        <v>150</v>
      </c>
      <c r="D44" s="17">
        <v>150</v>
      </c>
      <c r="E44" s="16">
        <v>44029</v>
      </c>
      <c r="F44" t="s">
        <v>117</v>
      </c>
      <c r="H44" s="17">
        <f t="shared" si="3"/>
        <v>169</v>
      </c>
      <c r="I44" s="17" t="s">
        <v>94</v>
      </c>
      <c r="J44" s="48">
        <v>44236</v>
      </c>
      <c r="K44" s="17">
        <v>17.53</v>
      </c>
      <c r="L44" s="49" t="s">
        <v>45</v>
      </c>
      <c r="M44" t="s">
        <v>206</v>
      </c>
      <c r="N44" t="s">
        <v>419</v>
      </c>
    </row>
    <row r="45" spans="1:14" ht="15" customHeight="1" x14ac:dyDescent="0.25">
      <c r="A45" s="10">
        <v>26</v>
      </c>
      <c r="B45" s="48">
        <v>44033</v>
      </c>
      <c r="C45" s="17">
        <v>150</v>
      </c>
      <c r="D45" s="17">
        <v>150</v>
      </c>
      <c r="E45" s="16">
        <v>44032</v>
      </c>
      <c r="F45" t="s">
        <v>117</v>
      </c>
      <c r="H45" s="17">
        <f t="shared" si="3"/>
        <v>169</v>
      </c>
      <c r="I45" s="17" t="s">
        <v>94</v>
      </c>
      <c r="J45" s="48">
        <v>44236</v>
      </c>
      <c r="K45" s="17">
        <v>216.02</v>
      </c>
      <c r="L45" s="49" t="s">
        <v>45</v>
      </c>
      <c r="M45" t="s">
        <v>206</v>
      </c>
      <c r="N45" t="s">
        <v>419</v>
      </c>
    </row>
    <row r="46" spans="1:14" ht="15" customHeight="1" x14ac:dyDescent="0.25">
      <c r="A46" s="10">
        <v>27</v>
      </c>
      <c r="B46" s="48">
        <v>44040</v>
      </c>
      <c r="C46" s="17">
        <v>150</v>
      </c>
      <c r="D46" s="17">
        <v>150</v>
      </c>
      <c r="E46" s="16">
        <v>44040</v>
      </c>
      <c r="F46" t="s">
        <v>117</v>
      </c>
      <c r="H46" s="17">
        <f t="shared" si="3"/>
        <v>169</v>
      </c>
      <c r="I46" s="17" t="s">
        <v>94</v>
      </c>
      <c r="J46" s="48">
        <v>44238</v>
      </c>
      <c r="K46" s="17">
        <v>5.5</v>
      </c>
      <c r="L46" s="49" t="s">
        <v>22</v>
      </c>
      <c r="N46" t="s">
        <v>498</v>
      </c>
    </row>
    <row r="47" spans="1:14" ht="15" customHeight="1" x14ac:dyDescent="0.25">
      <c r="A47" s="10">
        <v>28</v>
      </c>
      <c r="B47" s="48">
        <v>44047</v>
      </c>
      <c r="C47" s="17">
        <v>150</v>
      </c>
      <c r="D47" s="17">
        <v>150</v>
      </c>
      <c r="E47" s="16">
        <v>44044</v>
      </c>
      <c r="F47" t="s">
        <v>117</v>
      </c>
      <c r="H47" s="17">
        <f t="shared" si="3"/>
        <v>169</v>
      </c>
      <c r="I47" s="17" t="s">
        <v>94</v>
      </c>
      <c r="J47" s="48">
        <v>44246</v>
      </c>
      <c r="K47" s="17">
        <v>88</v>
      </c>
      <c r="L47" s="49" t="s">
        <v>17</v>
      </c>
      <c r="M47" t="s">
        <v>436</v>
      </c>
      <c r="N47" t="s">
        <v>14</v>
      </c>
    </row>
    <row r="48" spans="1:14" ht="15" customHeight="1" x14ac:dyDescent="0.25">
      <c r="A48" s="10">
        <v>29</v>
      </c>
      <c r="B48" s="48">
        <v>44054</v>
      </c>
      <c r="C48" s="17">
        <v>150</v>
      </c>
      <c r="D48" s="17">
        <v>150</v>
      </c>
      <c r="E48" s="16">
        <v>44050</v>
      </c>
      <c r="F48" t="s">
        <v>117</v>
      </c>
      <c r="H48" s="17">
        <f t="shared" si="3"/>
        <v>169</v>
      </c>
      <c r="I48" s="17" t="s">
        <v>94</v>
      </c>
      <c r="J48" s="48">
        <v>44281</v>
      </c>
      <c r="K48" s="17">
        <v>212.34</v>
      </c>
      <c r="L48" s="49" t="s">
        <v>20</v>
      </c>
      <c r="N48" t="s">
        <v>498</v>
      </c>
    </row>
    <row r="49" spans="1:14" ht="15" customHeight="1" x14ac:dyDescent="0.25">
      <c r="A49" s="10">
        <v>30</v>
      </c>
      <c r="B49" s="48">
        <v>44061</v>
      </c>
      <c r="C49" s="17">
        <f>169-88</f>
        <v>81</v>
      </c>
      <c r="D49" s="17">
        <v>250</v>
      </c>
      <c r="E49" s="16">
        <v>44055</v>
      </c>
      <c r="F49" t="s">
        <v>124</v>
      </c>
      <c r="H49" s="17">
        <f t="shared" si="3"/>
        <v>0</v>
      </c>
      <c r="I49" s="17" t="s">
        <v>94</v>
      </c>
      <c r="J49" s="48">
        <v>44310</v>
      </c>
      <c r="K49" s="17">
        <v>-168.71</v>
      </c>
      <c r="L49" s="49" t="s">
        <v>16</v>
      </c>
      <c r="M49" t="s">
        <v>576</v>
      </c>
      <c r="N49" t="s">
        <v>573</v>
      </c>
    </row>
    <row r="50" spans="1:14" ht="15" customHeight="1" x14ac:dyDescent="0.25">
      <c r="A50" s="10">
        <v>1</v>
      </c>
      <c r="B50" s="48">
        <v>44079</v>
      </c>
      <c r="C50" s="17">
        <v>100</v>
      </c>
      <c r="D50" s="17">
        <v>100</v>
      </c>
      <c r="E50" s="16">
        <v>44078</v>
      </c>
      <c r="F50" t="s">
        <v>181</v>
      </c>
      <c r="H50" s="17">
        <f t="shared" si="3"/>
        <v>0</v>
      </c>
      <c r="I50" s="17" t="s">
        <v>419</v>
      </c>
      <c r="J50" s="48">
        <v>44314</v>
      </c>
      <c r="K50" s="17">
        <v>5.5</v>
      </c>
      <c r="L50" s="49" t="s">
        <v>22</v>
      </c>
      <c r="N50" t="s">
        <v>573</v>
      </c>
    </row>
    <row r="51" spans="1:14" ht="15" customHeight="1" x14ac:dyDescent="0.25">
      <c r="A51" s="10">
        <v>1</v>
      </c>
      <c r="B51" s="48">
        <v>44079</v>
      </c>
      <c r="C51" s="17">
        <v>45</v>
      </c>
      <c r="D51" s="17">
        <v>45</v>
      </c>
      <c r="E51" s="16">
        <v>44081</v>
      </c>
      <c r="F51" t="s">
        <v>117</v>
      </c>
      <c r="H51" s="17">
        <f t="shared" si="3"/>
        <v>0</v>
      </c>
      <c r="I51" s="17" t="s">
        <v>419</v>
      </c>
      <c r="J51" s="48">
        <v>44321</v>
      </c>
      <c r="K51" s="17">
        <v>484</v>
      </c>
      <c r="L51" s="49" t="s">
        <v>17</v>
      </c>
      <c r="N51" t="s">
        <v>573</v>
      </c>
    </row>
    <row r="52" spans="1:14" ht="15" customHeight="1" x14ac:dyDescent="0.25">
      <c r="A52" s="10">
        <v>2</v>
      </c>
      <c r="B52" s="48">
        <v>44081</v>
      </c>
      <c r="C52" s="17">
        <v>160</v>
      </c>
      <c r="D52" s="17">
        <v>160</v>
      </c>
      <c r="E52" s="16">
        <v>44081</v>
      </c>
      <c r="F52" t="s">
        <v>117</v>
      </c>
      <c r="H52" s="17">
        <f t="shared" si="3"/>
        <v>0</v>
      </c>
      <c r="I52" s="17" t="s">
        <v>419</v>
      </c>
      <c r="J52" s="48">
        <v>44333</v>
      </c>
      <c r="K52" s="17">
        <v>400</v>
      </c>
      <c r="L52" s="49" t="s">
        <v>45</v>
      </c>
      <c r="N52" t="s">
        <v>573</v>
      </c>
    </row>
    <row r="53" spans="1:14" ht="15" customHeight="1" x14ac:dyDescent="0.25">
      <c r="A53" s="10">
        <v>3</v>
      </c>
      <c r="B53" s="48">
        <v>44079</v>
      </c>
      <c r="C53" s="17">
        <v>220</v>
      </c>
      <c r="D53" s="17">
        <v>220</v>
      </c>
      <c r="E53" s="16">
        <v>44078</v>
      </c>
      <c r="F53" t="s">
        <v>181</v>
      </c>
      <c r="H53" s="17">
        <f t="shared" si="3"/>
        <v>0</v>
      </c>
      <c r="I53" s="17" t="s">
        <v>419</v>
      </c>
      <c r="J53" s="48">
        <v>44333</v>
      </c>
      <c r="K53" s="17">
        <v>200</v>
      </c>
      <c r="L53" s="49" t="s">
        <v>22</v>
      </c>
      <c r="M53" t="s">
        <v>587</v>
      </c>
      <c r="N53" t="s">
        <v>573</v>
      </c>
    </row>
    <row r="54" spans="1:14" ht="15" customHeight="1" x14ac:dyDescent="0.25">
      <c r="A54" s="10">
        <v>4</v>
      </c>
      <c r="B54" s="48">
        <f t="shared" ref="B54:B59" si="4">B53+7</f>
        <v>44086</v>
      </c>
      <c r="C54" s="17">
        <v>160</v>
      </c>
      <c r="D54" s="17"/>
      <c r="H54" s="17">
        <f t="shared" si="3"/>
        <v>160</v>
      </c>
      <c r="I54" s="17" t="s">
        <v>419</v>
      </c>
      <c r="J54" s="48">
        <v>44334</v>
      </c>
      <c r="K54" s="17">
        <v>42.99</v>
      </c>
      <c r="L54" s="49" t="s">
        <v>53</v>
      </c>
      <c r="M54" t="s">
        <v>588</v>
      </c>
      <c r="N54" t="s">
        <v>573</v>
      </c>
    </row>
    <row r="55" spans="1:14" ht="15" customHeight="1" x14ac:dyDescent="0.25">
      <c r="A55" s="10">
        <v>5</v>
      </c>
      <c r="B55" s="48">
        <f t="shared" si="4"/>
        <v>44093</v>
      </c>
      <c r="C55" s="17">
        <v>160</v>
      </c>
      <c r="D55" s="17">
        <f>160*2</f>
        <v>320</v>
      </c>
      <c r="E55" s="16">
        <v>44095</v>
      </c>
      <c r="F55" t="s">
        <v>58</v>
      </c>
      <c r="H55" s="17">
        <f t="shared" si="3"/>
        <v>0</v>
      </c>
      <c r="I55" s="17" t="s">
        <v>419</v>
      </c>
      <c r="J55" s="48">
        <v>44343</v>
      </c>
      <c r="K55" s="17">
        <v>400</v>
      </c>
      <c r="L55" s="49" t="s">
        <v>45</v>
      </c>
      <c r="N55" t="s">
        <v>594</v>
      </c>
    </row>
    <row r="56" spans="1:14" ht="15" customHeight="1" x14ac:dyDescent="0.25">
      <c r="A56" s="10">
        <v>6</v>
      </c>
      <c r="B56" s="48">
        <f t="shared" si="4"/>
        <v>44100</v>
      </c>
      <c r="C56" s="17">
        <v>160</v>
      </c>
      <c r="D56" s="17">
        <v>160</v>
      </c>
      <c r="E56" s="16">
        <v>44102</v>
      </c>
      <c r="F56" t="s">
        <v>58</v>
      </c>
      <c r="H56" s="17">
        <f t="shared" si="3"/>
        <v>0</v>
      </c>
      <c r="I56" s="17" t="s">
        <v>419</v>
      </c>
      <c r="J56" s="48">
        <v>44370</v>
      </c>
      <c r="K56" s="17">
        <v>151.66999999999999</v>
      </c>
      <c r="L56" s="49" t="s">
        <v>133</v>
      </c>
      <c r="N56" t="s">
        <v>602</v>
      </c>
    </row>
    <row r="57" spans="1:14" ht="15" customHeight="1" x14ac:dyDescent="0.25">
      <c r="A57" s="10">
        <v>7</v>
      </c>
      <c r="B57" s="48">
        <f t="shared" si="4"/>
        <v>44107</v>
      </c>
      <c r="C57" s="17">
        <v>160</v>
      </c>
      <c r="D57" s="17"/>
      <c r="H57" s="17">
        <f t="shared" si="3"/>
        <v>160</v>
      </c>
      <c r="I57" s="17" t="s">
        <v>419</v>
      </c>
      <c r="J57" s="48">
        <v>44370</v>
      </c>
      <c r="K57" s="17">
        <v>70.56</v>
      </c>
      <c r="L57" s="49" t="s">
        <v>133</v>
      </c>
      <c r="N57" t="s">
        <v>602</v>
      </c>
    </row>
    <row r="58" spans="1:14" ht="15" customHeight="1" x14ac:dyDescent="0.25">
      <c r="A58" s="10">
        <v>8</v>
      </c>
      <c r="B58" s="48">
        <f t="shared" si="4"/>
        <v>44114</v>
      </c>
      <c r="C58" s="17">
        <v>160</v>
      </c>
      <c r="D58" s="17">
        <v>320</v>
      </c>
      <c r="E58" s="16">
        <v>44116</v>
      </c>
      <c r="F58" t="s">
        <v>58</v>
      </c>
      <c r="H58" s="17">
        <f t="shared" si="3"/>
        <v>0</v>
      </c>
      <c r="I58" s="17" t="s">
        <v>419</v>
      </c>
      <c r="J58" s="48">
        <v>44376</v>
      </c>
      <c r="K58" s="17">
        <v>47.1</v>
      </c>
      <c r="L58" s="49" t="s">
        <v>32</v>
      </c>
      <c r="N58" t="s">
        <v>602</v>
      </c>
    </row>
    <row r="59" spans="1:14" ht="15" customHeight="1" x14ac:dyDescent="0.25">
      <c r="A59" s="10">
        <v>9</v>
      </c>
      <c r="B59" s="48">
        <f t="shared" si="4"/>
        <v>44121</v>
      </c>
      <c r="C59" s="17">
        <v>160</v>
      </c>
      <c r="D59" s="17">
        <v>160</v>
      </c>
      <c r="E59" s="16">
        <v>44123</v>
      </c>
      <c r="F59" t="s">
        <v>58</v>
      </c>
      <c r="H59" s="17">
        <f t="shared" si="3"/>
        <v>0</v>
      </c>
      <c r="I59" s="17" t="s">
        <v>419</v>
      </c>
      <c r="J59" s="48">
        <v>44375</v>
      </c>
      <c r="K59" s="17">
        <v>0.99</v>
      </c>
      <c r="L59" s="49" t="s">
        <v>22</v>
      </c>
      <c r="N59" t="s">
        <v>615</v>
      </c>
    </row>
    <row r="60" spans="1:14" ht="15" customHeight="1" x14ac:dyDescent="0.25">
      <c r="A60" s="10">
        <v>10</v>
      </c>
      <c r="B60" s="48">
        <f t="shared" ref="B60:B65" si="5">B59+7</f>
        <v>44128</v>
      </c>
      <c r="C60" s="17">
        <v>160</v>
      </c>
      <c r="D60" s="17">
        <v>160</v>
      </c>
      <c r="E60" s="16">
        <v>44130</v>
      </c>
      <c r="F60" t="s">
        <v>58</v>
      </c>
      <c r="H60" s="17">
        <f t="shared" si="3"/>
        <v>0</v>
      </c>
      <c r="I60" s="17" t="s">
        <v>419</v>
      </c>
      <c r="J60" s="48">
        <v>44393</v>
      </c>
      <c r="K60" s="17">
        <v>201.31</v>
      </c>
      <c r="L60" s="49" t="s">
        <v>20</v>
      </c>
      <c r="N60" t="s">
        <v>615</v>
      </c>
    </row>
    <row r="61" spans="1:14" ht="15" customHeight="1" x14ac:dyDescent="0.25">
      <c r="A61" s="10">
        <v>11</v>
      </c>
      <c r="B61" s="48">
        <f t="shared" si="5"/>
        <v>44135</v>
      </c>
      <c r="C61" s="17">
        <v>160</v>
      </c>
      <c r="D61" s="17">
        <v>160</v>
      </c>
      <c r="E61" s="16">
        <v>44137</v>
      </c>
      <c r="F61" t="s">
        <v>58</v>
      </c>
      <c r="H61" s="17">
        <f t="shared" si="3"/>
        <v>0</v>
      </c>
      <c r="I61" s="17" t="s">
        <v>419</v>
      </c>
      <c r="J61" s="48">
        <v>44406</v>
      </c>
      <c r="K61" s="17">
        <v>19.899999999999999</v>
      </c>
      <c r="L61" s="49" t="s">
        <v>32</v>
      </c>
      <c r="N61" t="s">
        <v>676</v>
      </c>
    </row>
    <row r="62" spans="1:14" ht="15" customHeight="1" x14ac:dyDescent="0.25">
      <c r="A62" s="10">
        <v>12</v>
      </c>
      <c r="B62" s="48">
        <f t="shared" si="5"/>
        <v>44142</v>
      </c>
      <c r="C62" s="17"/>
      <c r="D62" s="17"/>
      <c r="E62" s="16">
        <v>44144</v>
      </c>
      <c r="F62" t="s">
        <v>58</v>
      </c>
      <c r="H62" s="17">
        <f t="shared" si="3"/>
        <v>0</v>
      </c>
      <c r="I62" s="17" t="s">
        <v>419</v>
      </c>
      <c r="J62" s="48">
        <v>44413</v>
      </c>
      <c r="K62" s="17">
        <v>5.5</v>
      </c>
      <c r="L62" s="49" t="s">
        <v>22</v>
      </c>
      <c r="N62" t="s">
        <v>676</v>
      </c>
    </row>
    <row r="63" spans="1:14" ht="15" customHeight="1" x14ac:dyDescent="0.25">
      <c r="A63" s="10">
        <v>13</v>
      </c>
      <c r="B63" s="48">
        <f t="shared" si="5"/>
        <v>44149</v>
      </c>
      <c r="C63" s="17"/>
      <c r="D63" s="17"/>
      <c r="H63" s="17">
        <f t="shared" si="3"/>
        <v>0</v>
      </c>
      <c r="I63" s="17" t="s">
        <v>419</v>
      </c>
      <c r="J63" s="48">
        <v>44454</v>
      </c>
      <c r="K63" s="17">
        <v>148.5</v>
      </c>
      <c r="L63" s="49" t="s">
        <v>17</v>
      </c>
      <c r="M63" t="s">
        <v>675</v>
      </c>
      <c r="N63" t="s">
        <v>676</v>
      </c>
    </row>
    <row r="64" spans="1:14" ht="15" customHeight="1" x14ac:dyDescent="0.25">
      <c r="A64" s="10">
        <v>14</v>
      </c>
      <c r="B64" s="48">
        <f t="shared" si="5"/>
        <v>44156</v>
      </c>
      <c r="C64" s="17"/>
      <c r="D64" s="17"/>
      <c r="H64" s="17">
        <f t="shared" si="3"/>
        <v>0</v>
      </c>
      <c r="I64" s="17" t="s">
        <v>419</v>
      </c>
      <c r="J64" s="48">
        <v>44456</v>
      </c>
      <c r="K64" s="17">
        <v>120.84</v>
      </c>
      <c r="L64" s="49" t="s">
        <v>133</v>
      </c>
      <c r="N64" t="s">
        <v>602</v>
      </c>
    </row>
    <row r="65" spans="1:14" ht="15" customHeight="1" x14ac:dyDescent="0.25">
      <c r="A65" s="10">
        <v>15</v>
      </c>
      <c r="B65" s="48">
        <f t="shared" si="5"/>
        <v>44163</v>
      </c>
      <c r="C65" s="17">
        <v>180</v>
      </c>
      <c r="D65" s="17">
        <v>180</v>
      </c>
      <c r="E65" s="16">
        <v>44165</v>
      </c>
      <c r="F65" t="s">
        <v>58</v>
      </c>
      <c r="H65" s="17">
        <f t="shared" si="3"/>
        <v>0</v>
      </c>
      <c r="I65" s="17" t="s">
        <v>419</v>
      </c>
      <c r="J65" s="48">
        <v>44491</v>
      </c>
      <c r="K65" s="17">
        <v>320</v>
      </c>
      <c r="L65" s="49" t="s">
        <v>45</v>
      </c>
      <c r="N65" t="s">
        <v>498</v>
      </c>
    </row>
    <row r="66" spans="1:14" ht="15" customHeight="1" x14ac:dyDescent="0.25">
      <c r="A66" s="10">
        <v>16</v>
      </c>
      <c r="B66" s="48">
        <f t="shared" ref="B66:B71" si="6">B65+7</f>
        <v>44170</v>
      </c>
      <c r="C66" s="17">
        <v>180</v>
      </c>
      <c r="D66" s="17">
        <v>180</v>
      </c>
      <c r="E66" s="16">
        <v>44172</v>
      </c>
      <c r="F66" t="s">
        <v>58</v>
      </c>
      <c r="H66" s="17">
        <f t="shared" si="3"/>
        <v>0</v>
      </c>
      <c r="I66" s="17" t="s">
        <v>419</v>
      </c>
      <c r="J66" s="48">
        <v>44497</v>
      </c>
      <c r="K66" s="17">
        <v>220</v>
      </c>
      <c r="L66" s="49" t="s">
        <v>17</v>
      </c>
      <c r="M66" t="s">
        <v>715</v>
      </c>
      <c r="N66" t="s">
        <v>14</v>
      </c>
    </row>
    <row r="67" spans="1:14" ht="15" customHeight="1" x14ac:dyDescent="0.25">
      <c r="A67" s="10">
        <v>17</v>
      </c>
      <c r="B67" s="48">
        <f t="shared" si="6"/>
        <v>44177</v>
      </c>
      <c r="C67" s="17">
        <v>180</v>
      </c>
      <c r="D67" s="17">
        <v>180</v>
      </c>
      <c r="E67" s="16">
        <v>44179</v>
      </c>
      <c r="F67" t="s">
        <v>58</v>
      </c>
      <c r="H67" s="17">
        <f t="shared" si="3"/>
        <v>0</v>
      </c>
      <c r="I67" s="17" t="s">
        <v>419</v>
      </c>
      <c r="J67" s="48">
        <v>44569</v>
      </c>
      <c r="K67" s="17">
        <v>286</v>
      </c>
      <c r="L67" s="49" t="s">
        <v>17</v>
      </c>
      <c r="M67" t="s">
        <v>675</v>
      </c>
      <c r="N67" t="s">
        <v>14</v>
      </c>
    </row>
    <row r="68" spans="1:14" ht="15" customHeight="1" x14ac:dyDescent="0.25">
      <c r="A68" s="10">
        <v>18</v>
      </c>
      <c r="B68" s="48">
        <f t="shared" si="6"/>
        <v>44184</v>
      </c>
      <c r="C68" s="17">
        <v>180</v>
      </c>
      <c r="D68" s="17">
        <v>180</v>
      </c>
      <c r="E68" s="16">
        <v>44194</v>
      </c>
      <c r="F68" t="s">
        <v>58</v>
      </c>
      <c r="H68" s="17">
        <f t="shared" si="3"/>
        <v>0</v>
      </c>
      <c r="I68" s="17" t="s">
        <v>419</v>
      </c>
      <c r="J68" s="48">
        <v>44585</v>
      </c>
      <c r="K68" s="17">
        <v>1000</v>
      </c>
      <c r="L68" s="49" t="s">
        <v>17</v>
      </c>
      <c r="M68" t="s">
        <v>788</v>
      </c>
      <c r="N68" t="s">
        <v>14</v>
      </c>
    </row>
    <row r="69" spans="1:14" ht="15" customHeight="1" x14ac:dyDescent="0.25">
      <c r="A69" s="10">
        <v>19</v>
      </c>
      <c r="B69" s="48">
        <f t="shared" si="6"/>
        <v>44191</v>
      </c>
      <c r="C69" s="17">
        <v>180</v>
      </c>
      <c r="D69" s="17">
        <v>180</v>
      </c>
      <c r="E69" s="16">
        <v>44195</v>
      </c>
      <c r="F69" t="s">
        <v>58</v>
      </c>
      <c r="H69" s="17">
        <f t="shared" si="3"/>
        <v>0</v>
      </c>
      <c r="I69" s="17" t="s">
        <v>419</v>
      </c>
      <c r="J69" s="48">
        <v>44597</v>
      </c>
      <c r="K69" s="17">
        <v>350</v>
      </c>
      <c r="L69" s="49" t="s">
        <v>17</v>
      </c>
      <c r="M69" t="s">
        <v>788</v>
      </c>
      <c r="N69" t="s">
        <v>14</v>
      </c>
    </row>
    <row r="70" spans="1:14" ht="15" customHeight="1" x14ac:dyDescent="0.25">
      <c r="A70" s="10">
        <v>20</v>
      </c>
      <c r="B70" s="48">
        <f t="shared" si="6"/>
        <v>44198</v>
      </c>
      <c r="C70" s="17">
        <v>180</v>
      </c>
      <c r="D70" s="17">
        <v>180</v>
      </c>
      <c r="E70" s="16">
        <v>44207</v>
      </c>
      <c r="F70" t="s">
        <v>58</v>
      </c>
      <c r="H70" s="17">
        <f t="shared" si="3"/>
        <v>0</v>
      </c>
      <c r="I70" s="17" t="s">
        <v>419</v>
      </c>
      <c r="J70" s="48">
        <v>44644</v>
      </c>
      <c r="K70" s="17">
        <f>400-28.89</f>
        <v>371.11</v>
      </c>
      <c r="L70" s="49" t="s">
        <v>45</v>
      </c>
      <c r="N70" t="s">
        <v>768</v>
      </c>
    </row>
    <row r="71" spans="1:14" ht="15" customHeight="1" x14ac:dyDescent="0.25">
      <c r="A71" s="10">
        <v>21</v>
      </c>
      <c r="B71" s="48">
        <f t="shared" si="6"/>
        <v>44205</v>
      </c>
      <c r="C71" s="17">
        <v>180</v>
      </c>
      <c r="D71" s="17">
        <v>180</v>
      </c>
      <c r="E71" s="16">
        <v>44207</v>
      </c>
      <c r="F71" t="s">
        <v>58</v>
      </c>
      <c r="H71" s="17">
        <f t="shared" si="3"/>
        <v>0</v>
      </c>
      <c r="I71" s="17" t="s">
        <v>419</v>
      </c>
      <c r="J71" s="48">
        <v>44644</v>
      </c>
      <c r="K71" s="17">
        <v>28.89</v>
      </c>
      <c r="L71" s="49" t="s">
        <v>133</v>
      </c>
      <c r="N71" t="s">
        <v>768</v>
      </c>
    </row>
    <row r="72" spans="1:14" ht="15" customHeight="1" x14ac:dyDescent="0.25">
      <c r="A72" s="10">
        <v>22</v>
      </c>
      <c r="B72" s="48">
        <f>B71+7</f>
        <v>44212</v>
      </c>
      <c r="C72" s="17">
        <v>180</v>
      </c>
      <c r="D72" s="17">
        <v>180</v>
      </c>
      <c r="E72" s="16">
        <v>44214</v>
      </c>
      <c r="F72" t="s">
        <v>58</v>
      </c>
      <c r="H72" s="17">
        <f t="shared" si="3"/>
        <v>0</v>
      </c>
      <c r="I72" s="17" t="s">
        <v>419</v>
      </c>
      <c r="J72" s="48">
        <v>44650</v>
      </c>
      <c r="K72" s="17">
        <v>80</v>
      </c>
      <c r="L72" s="49" t="s">
        <v>98</v>
      </c>
      <c r="N72" t="s">
        <v>14</v>
      </c>
    </row>
    <row r="73" spans="1:14" x14ac:dyDescent="0.25">
      <c r="A73" s="10">
        <v>23</v>
      </c>
      <c r="B73" s="48">
        <f>B72+7</f>
        <v>44219</v>
      </c>
      <c r="C73" s="17">
        <v>200</v>
      </c>
      <c r="D73" s="17">
        <v>200</v>
      </c>
      <c r="E73" s="16">
        <v>44221</v>
      </c>
      <c r="F73" t="s">
        <v>58</v>
      </c>
      <c r="H73" s="17">
        <f t="shared" si="3"/>
        <v>0</v>
      </c>
      <c r="I73" s="17" t="s">
        <v>419</v>
      </c>
      <c r="J73" s="48">
        <v>44663</v>
      </c>
      <c r="K73" s="17">
        <v>215.14</v>
      </c>
      <c r="L73" s="49" t="s">
        <v>20</v>
      </c>
      <c r="N73" t="s">
        <v>14</v>
      </c>
    </row>
    <row r="74" spans="1:14" x14ac:dyDescent="0.25">
      <c r="A74" s="10">
        <v>24</v>
      </c>
      <c r="B74" s="48">
        <f>B73+7</f>
        <v>44226</v>
      </c>
      <c r="C74" s="17">
        <v>200</v>
      </c>
      <c r="D74" s="17">
        <v>200</v>
      </c>
      <c r="E74" s="16">
        <v>44228</v>
      </c>
      <c r="F74" t="s">
        <v>58</v>
      </c>
      <c r="H74" s="17">
        <f t="shared" si="3"/>
        <v>0</v>
      </c>
      <c r="I74" s="17" t="s">
        <v>419</v>
      </c>
      <c r="J74" s="48">
        <v>44664</v>
      </c>
      <c r="K74" s="17">
        <v>450</v>
      </c>
      <c r="L74" s="49" t="s">
        <v>17</v>
      </c>
      <c r="M74" t="s">
        <v>470</v>
      </c>
      <c r="N74" t="s">
        <v>14</v>
      </c>
    </row>
    <row r="75" spans="1:14" x14ac:dyDescent="0.25">
      <c r="A75" s="10">
        <v>25</v>
      </c>
      <c r="B75" s="48">
        <f>B74+7</f>
        <v>44233</v>
      </c>
      <c r="C75" s="17">
        <v>48.99</v>
      </c>
      <c r="D75" s="17">
        <v>48.99</v>
      </c>
      <c r="E75" s="16">
        <v>44238</v>
      </c>
      <c r="F75" t="s">
        <v>181</v>
      </c>
      <c r="H75" s="17">
        <f t="shared" si="3"/>
        <v>0</v>
      </c>
      <c r="I75" s="17" t="s">
        <v>419</v>
      </c>
      <c r="J75" s="48">
        <v>44671</v>
      </c>
      <c r="K75" s="17">
        <v>110</v>
      </c>
      <c r="L75" s="49" t="s">
        <v>17</v>
      </c>
      <c r="M75" t="s">
        <v>820</v>
      </c>
      <c r="N75" t="s">
        <v>14</v>
      </c>
    </row>
    <row r="76" spans="1:14" x14ac:dyDescent="0.25">
      <c r="A76" s="10">
        <v>26</v>
      </c>
      <c r="B76" s="48">
        <f>B75+2</f>
        <v>44235</v>
      </c>
      <c r="C76" s="17">
        <v>241</v>
      </c>
      <c r="D76" s="17">
        <v>150</v>
      </c>
      <c r="E76" s="16">
        <v>44238</v>
      </c>
      <c r="F76" t="s">
        <v>114</v>
      </c>
      <c r="H76" s="17">
        <f t="shared" si="3"/>
        <v>91</v>
      </c>
      <c r="I76" s="17" t="s">
        <v>419</v>
      </c>
      <c r="J76" s="48">
        <v>44695</v>
      </c>
      <c r="K76" s="17">
        <v>171.28</v>
      </c>
      <c r="L76" s="49" t="s">
        <v>133</v>
      </c>
      <c r="M76" t="s">
        <v>830</v>
      </c>
      <c r="N76" t="s">
        <v>14</v>
      </c>
    </row>
    <row r="77" spans="1:14" x14ac:dyDescent="0.25">
      <c r="A77" s="10">
        <v>27</v>
      </c>
      <c r="B77" s="48">
        <v>44235</v>
      </c>
      <c r="C77" s="17">
        <v>60.01</v>
      </c>
      <c r="D77" s="17">
        <f>200-48.99</f>
        <v>151.01</v>
      </c>
      <c r="E77" s="16">
        <v>44235</v>
      </c>
      <c r="F77" t="s">
        <v>124</v>
      </c>
      <c r="H77" s="17">
        <f t="shared" si="3"/>
        <v>0</v>
      </c>
      <c r="I77" s="17" t="s">
        <v>419</v>
      </c>
      <c r="J77" s="48">
        <v>44698</v>
      </c>
      <c r="K77" s="17">
        <v>77.87</v>
      </c>
      <c r="L77" s="49" t="s">
        <v>133</v>
      </c>
      <c r="M77" t="s">
        <v>453</v>
      </c>
      <c r="N77" t="s">
        <v>14</v>
      </c>
    </row>
    <row r="78" spans="1:14" x14ac:dyDescent="0.25">
      <c r="A78" s="10">
        <v>1</v>
      </c>
      <c r="B78" s="48">
        <v>44237</v>
      </c>
      <c r="C78" s="17">
        <v>320</v>
      </c>
      <c r="D78" s="17">
        <v>320</v>
      </c>
      <c r="E78" s="16">
        <v>44237</v>
      </c>
      <c r="F78" t="s">
        <v>181</v>
      </c>
      <c r="H78" s="17">
        <f t="shared" ref="H78:H116" si="7">IFERROR(IF(F77="Closed account",(IF(F78="Unpaid Rent",(C78),(C78-D78))),(IF(F78="Unpaid Rent",(C78+H77),(C78-D78+H77)))),"")</f>
        <v>0</v>
      </c>
      <c r="I78" s="17" t="s">
        <v>498</v>
      </c>
      <c r="J78" s="48">
        <v>44699</v>
      </c>
      <c r="K78" s="17">
        <v>117.2</v>
      </c>
      <c r="L78" s="49" t="s">
        <v>133</v>
      </c>
      <c r="M78" t="s">
        <v>758</v>
      </c>
      <c r="N78" t="s">
        <v>14</v>
      </c>
    </row>
    <row r="79" spans="1:14" x14ac:dyDescent="0.25">
      <c r="A79" s="10">
        <v>1</v>
      </c>
      <c r="B79" s="48">
        <v>44238</v>
      </c>
      <c r="C79" s="17">
        <v>220</v>
      </c>
      <c r="D79" s="17">
        <v>220</v>
      </c>
      <c r="E79" s="16">
        <v>44238</v>
      </c>
      <c r="F79" t="s">
        <v>58</v>
      </c>
      <c r="H79" s="17">
        <f t="shared" si="7"/>
        <v>0</v>
      </c>
      <c r="I79" s="17" t="s">
        <v>498</v>
      </c>
      <c r="J79" s="48">
        <v>44721</v>
      </c>
      <c r="K79" s="17">
        <v>80</v>
      </c>
      <c r="L79" s="49" t="s">
        <v>34</v>
      </c>
      <c r="N79" t="s">
        <v>14</v>
      </c>
    </row>
    <row r="80" spans="1:14" x14ac:dyDescent="0.25">
      <c r="A80" s="10">
        <v>2</v>
      </c>
      <c r="B80" s="48">
        <f t="shared" ref="B80:B85" si="8">B79+7</f>
        <v>44245</v>
      </c>
      <c r="C80" s="17">
        <v>220</v>
      </c>
      <c r="D80" s="17">
        <v>220</v>
      </c>
      <c r="E80" s="16">
        <v>44245</v>
      </c>
      <c r="F80" t="s">
        <v>58</v>
      </c>
      <c r="H80" s="17">
        <f t="shared" si="7"/>
        <v>0</v>
      </c>
      <c r="I80" s="17" t="s">
        <v>498</v>
      </c>
      <c r="J80" s="48">
        <v>44728</v>
      </c>
      <c r="K80" s="17">
        <v>49.09</v>
      </c>
      <c r="L80" s="49" t="s">
        <v>32</v>
      </c>
      <c r="N80" t="s">
        <v>14</v>
      </c>
    </row>
    <row r="81" spans="1:14" x14ac:dyDescent="0.25">
      <c r="A81" s="10">
        <v>3</v>
      </c>
      <c r="B81" s="48">
        <f t="shared" si="8"/>
        <v>44252</v>
      </c>
      <c r="C81" s="17">
        <v>220</v>
      </c>
      <c r="D81" s="17">
        <v>220</v>
      </c>
      <c r="E81" s="16">
        <v>44252</v>
      </c>
      <c r="F81" t="s">
        <v>58</v>
      </c>
      <c r="H81" s="17">
        <f t="shared" si="7"/>
        <v>0</v>
      </c>
      <c r="I81" s="17" t="s">
        <v>498</v>
      </c>
      <c r="J81" s="48">
        <v>44755</v>
      </c>
      <c r="K81" s="17">
        <v>219.78</v>
      </c>
      <c r="L81" s="49" t="s">
        <v>20</v>
      </c>
      <c r="N81" t="s">
        <v>14</v>
      </c>
    </row>
    <row r="82" spans="1:14" x14ac:dyDescent="0.25">
      <c r="A82" s="10">
        <v>4</v>
      </c>
      <c r="B82" s="48">
        <f t="shared" si="8"/>
        <v>44259</v>
      </c>
      <c r="C82" s="17">
        <v>220</v>
      </c>
      <c r="D82" s="17">
        <v>220</v>
      </c>
      <c r="E82" s="16">
        <v>44259</v>
      </c>
      <c r="F82" t="s">
        <v>58</v>
      </c>
      <c r="H82" s="17">
        <f t="shared" si="7"/>
        <v>0</v>
      </c>
      <c r="I82" s="17" t="s">
        <v>498</v>
      </c>
      <c r="J82" s="48">
        <v>44845</v>
      </c>
      <c r="K82" s="17">
        <v>219.78</v>
      </c>
      <c r="L82" s="49" t="s">
        <v>20</v>
      </c>
      <c r="N82" t="s">
        <v>14</v>
      </c>
    </row>
    <row r="83" spans="1:14" x14ac:dyDescent="0.25">
      <c r="A83" s="10">
        <v>5</v>
      </c>
      <c r="B83" s="48">
        <f t="shared" si="8"/>
        <v>44266</v>
      </c>
      <c r="C83" s="17">
        <v>220</v>
      </c>
      <c r="D83" s="17">
        <v>220</v>
      </c>
      <c r="E83" s="16">
        <v>44266</v>
      </c>
      <c r="F83" t="s">
        <v>58</v>
      </c>
      <c r="H83" s="17">
        <f t="shared" si="7"/>
        <v>0</v>
      </c>
      <c r="I83" s="17" t="s">
        <v>498</v>
      </c>
      <c r="J83" s="48">
        <v>44854</v>
      </c>
      <c r="K83" s="17">
        <v>100</v>
      </c>
      <c r="L83" s="49" t="s">
        <v>17</v>
      </c>
      <c r="M83" t="s">
        <v>470</v>
      </c>
      <c r="N83" t="s">
        <v>14</v>
      </c>
    </row>
    <row r="84" spans="1:14" x14ac:dyDescent="0.25">
      <c r="A84" s="10">
        <v>6</v>
      </c>
      <c r="B84" s="48">
        <f t="shared" si="8"/>
        <v>44273</v>
      </c>
      <c r="C84" s="17">
        <v>220</v>
      </c>
      <c r="D84" s="17">
        <v>220</v>
      </c>
      <c r="E84" s="16">
        <v>44273</v>
      </c>
      <c r="F84" t="s">
        <v>58</v>
      </c>
      <c r="H84" s="17">
        <f t="shared" si="7"/>
        <v>0</v>
      </c>
      <c r="I84" s="17" t="s">
        <v>498</v>
      </c>
      <c r="J84" s="48">
        <v>44859</v>
      </c>
      <c r="K84" s="17">
        <v>205.68</v>
      </c>
      <c r="L84" s="49" t="s">
        <v>20</v>
      </c>
      <c r="N84" t="s">
        <v>14</v>
      </c>
    </row>
    <row r="85" spans="1:14" x14ac:dyDescent="0.25">
      <c r="A85" s="10">
        <v>7</v>
      </c>
      <c r="B85" s="48">
        <f t="shared" si="8"/>
        <v>44280</v>
      </c>
      <c r="C85" s="17">
        <v>220</v>
      </c>
      <c r="D85" s="17">
        <v>220</v>
      </c>
      <c r="E85" s="16">
        <v>44280</v>
      </c>
      <c r="F85" t="s">
        <v>58</v>
      </c>
      <c r="H85" s="17">
        <f t="shared" si="7"/>
        <v>0</v>
      </c>
      <c r="I85" s="17" t="s">
        <v>498</v>
      </c>
      <c r="J85" s="48">
        <v>44937</v>
      </c>
      <c r="K85" s="17">
        <v>219.78</v>
      </c>
      <c r="L85" s="49" t="s">
        <v>20</v>
      </c>
      <c r="N85" t="s">
        <v>14</v>
      </c>
    </row>
    <row r="86" spans="1:14" x14ac:dyDescent="0.25">
      <c r="A86" s="10">
        <v>8</v>
      </c>
      <c r="B86" s="48">
        <f>B85+7</f>
        <v>44287</v>
      </c>
      <c r="C86" s="17">
        <v>220</v>
      </c>
      <c r="D86" s="17">
        <v>220</v>
      </c>
      <c r="E86" s="16">
        <v>44287</v>
      </c>
      <c r="F86" t="s">
        <v>124</v>
      </c>
      <c r="H86" s="17">
        <f t="shared" si="7"/>
        <v>0</v>
      </c>
      <c r="I86" s="17" t="s">
        <v>498</v>
      </c>
      <c r="J86" s="48">
        <v>44977</v>
      </c>
      <c r="K86" s="17">
        <v>335.5</v>
      </c>
      <c r="L86" s="49" t="s">
        <v>17</v>
      </c>
      <c r="M86" t="s">
        <v>675</v>
      </c>
      <c r="N86" t="s">
        <v>14</v>
      </c>
    </row>
    <row r="87" spans="1:14" x14ac:dyDescent="0.25">
      <c r="A87" s="10">
        <v>1</v>
      </c>
      <c r="B87" s="48">
        <f>B86+7</f>
        <v>44294</v>
      </c>
      <c r="C87" s="17">
        <v>220</v>
      </c>
      <c r="D87" s="17">
        <v>220</v>
      </c>
      <c r="E87" s="16">
        <v>44294</v>
      </c>
      <c r="F87" t="s">
        <v>117</v>
      </c>
      <c r="H87" s="17">
        <f t="shared" si="7"/>
        <v>0</v>
      </c>
      <c r="I87" s="17" t="s">
        <v>498</v>
      </c>
      <c r="J87" s="48"/>
      <c r="K87" s="17"/>
      <c r="L87" s="49"/>
    </row>
    <row r="88" spans="1:14" x14ac:dyDescent="0.25">
      <c r="A88" s="10">
        <v>1</v>
      </c>
      <c r="B88" s="48">
        <v>44307</v>
      </c>
      <c r="C88" s="17">
        <v>200</v>
      </c>
      <c r="D88" s="17">
        <v>200</v>
      </c>
      <c r="E88" s="16">
        <v>44307</v>
      </c>
      <c r="F88" t="s">
        <v>114</v>
      </c>
      <c r="H88" s="17">
        <f t="shared" si="7"/>
        <v>0</v>
      </c>
      <c r="I88" s="17" t="s">
        <v>573</v>
      </c>
      <c r="J88" s="48"/>
      <c r="K88" s="17"/>
      <c r="L88" s="49"/>
      <c r="N88">
        <f>SUBTOTAL(9,K7:K85)</f>
        <v>12601.450000000003</v>
      </c>
    </row>
    <row r="89" spans="1:14" x14ac:dyDescent="0.25">
      <c r="A89" s="10">
        <v>1</v>
      </c>
      <c r="B89" s="48">
        <v>44309</v>
      </c>
      <c r="C89" s="17">
        <v>400</v>
      </c>
      <c r="D89" s="17">
        <v>400</v>
      </c>
      <c r="E89" s="16">
        <v>44309</v>
      </c>
      <c r="F89" t="s">
        <v>181</v>
      </c>
      <c r="H89" s="17">
        <f t="shared" si="7"/>
        <v>0</v>
      </c>
      <c r="I89" s="17" t="s">
        <v>573</v>
      </c>
      <c r="J89" s="48"/>
      <c r="K89" s="17"/>
      <c r="L89" s="49"/>
    </row>
    <row r="90" spans="1:14" x14ac:dyDescent="0.25">
      <c r="A90" s="10">
        <v>2</v>
      </c>
      <c r="B90" s="48">
        <f>B89+7</f>
        <v>44316</v>
      </c>
      <c r="C90" s="17">
        <v>200</v>
      </c>
      <c r="D90" s="17">
        <v>200</v>
      </c>
      <c r="E90" s="16">
        <v>44314</v>
      </c>
      <c r="F90" t="s">
        <v>58</v>
      </c>
      <c r="H90" s="17">
        <f t="shared" si="7"/>
        <v>0</v>
      </c>
      <c r="I90" s="17" t="s">
        <v>573</v>
      </c>
      <c r="J90" s="48"/>
      <c r="K90" s="17"/>
      <c r="L90" s="49"/>
    </row>
    <row r="91" spans="1:14" x14ac:dyDescent="0.25">
      <c r="A91" s="10">
        <v>3</v>
      </c>
      <c r="B91" s="48">
        <f>B90+7</f>
        <v>44323</v>
      </c>
      <c r="C91" s="17">
        <v>200</v>
      </c>
      <c r="D91" s="17">
        <v>200</v>
      </c>
      <c r="E91" s="16">
        <v>44328</v>
      </c>
      <c r="F91" t="s">
        <v>124</v>
      </c>
      <c r="H91" s="17">
        <f t="shared" si="7"/>
        <v>0</v>
      </c>
      <c r="I91" s="17" t="s">
        <v>573</v>
      </c>
      <c r="J91" s="48"/>
      <c r="K91" s="17"/>
      <c r="L91" s="49"/>
    </row>
    <row r="92" spans="1:14" x14ac:dyDescent="0.25">
      <c r="A92" s="10">
        <v>4</v>
      </c>
      <c r="B92" s="48">
        <f>B91+7</f>
        <v>44330</v>
      </c>
      <c r="C92" s="17">
        <v>200</v>
      </c>
      <c r="D92" s="17">
        <v>200</v>
      </c>
      <c r="E92" s="16">
        <v>44328</v>
      </c>
      <c r="G92" s="31" t="s">
        <v>589</v>
      </c>
      <c r="H92" s="17">
        <f t="shared" si="7"/>
        <v>0</v>
      </c>
      <c r="I92" s="17" t="s">
        <v>573</v>
      </c>
      <c r="J92" s="48"/>
      <c r="K92" s="17"/>
      <c r="L92" s="49"/>
    </row>
    <row r="93" spans="1:14" x14ac:dyDescent="0.25">
      <c r="A93" s="10">
        <v>1</v>
      </c>
      <c r="B93" s="48">
        <v>44336</v>
      </c>
      <c r="C93" s="17">
        <v>400</v>
      </c>
      <c r="D93" s="17">
        <v>400</v>
      </c>
      <c r="E93" s="16">
        <v>44336</v>
      </c>
      <c r="F93" t="s">
        <v>181</v>
      </c>
      <c r="H93" s="17">
        <f t="shared" si="7"/>
        <v>0</v>
      </c>
      <c r="I93" s="17" t="s">
        <v>594</v>
      </c>
      <c r="J93" s="48"/>
      <c r="K93" s="17"/>
      <c r="L93" s="49"/>
    </row>
    <row r="94" spans="1:14" x14ac:dyDescent="0.25">
      <c r="A94" s="10">
        <v>1</v>
      </c>
      <c r="B94" s="48">
        <v>44336</v>
      </c>
      <c r="C94" s="17">
        <v>200</v>
      </c>
      <c r="D94" s="17">
        <v>200</v>
      </c>
      <c r="E94" s="16">
        <v>44336</v>
      </c>
      <c r="F94" t="s">
        <v>117</v>
      </c>
      <c r="H94" s="17">
        <f t="shared" si="7"/>
        <v>0</v>
      </c>
      <c r="I94" s="17" t="s">
        <v>594</v>
      </c>
      <c r="J94" s="48"/>
      <c r="K94" s="17"/>
      <c r="L94" s="49"/>
    </row>
    <row r="95" spans="1:14" x14ac:dyDescent="0.25">
      <c r="A95" s="10">
        <v>2</v>
      </c>
      <c r="B95" s="48">
        <f>B94+7</f>
        <v>44343</v>
      </c>
      <c r="C95" s="17">
        <v>100</v>
      </c>
      <c r="D95" s="17">
        <v>100</v>
      </c>
      <c r="E95" s="16">
        <v>44343</v>
      </c>
      <c r="F95" t="s">
        <v>124</v>
      </c>
      <c r="H95" s="17">
        <f t="shared" si="7"/>
        <v>0</v>
      </c>
      <c r="I95" s="17" t="s">
        <v>594</v>
      </c>
      <c r="J95" s="48"/>
      <c r="K95" s="17"/>
      <c r="L95" s="49"/>
    </row>
    <row r="96" spans="1:14" x14ac:dyDescent="0.25">
      <c r="A96" s="10">
        <v>1</v>
      </c>
      <c r="B96" s="48">
        <v>44344</v>
      </c>
      <c r="C96" s="17"/>
      <c r="D96" s="17"/>
      <c r="E96" s="16">
        <v>44344</v>
      </c>
      <c r="F96" t="s">
        <v>181</v>
      </c>
      <c r="H96" s="17">
        <f t="shared" si="7"/>
        <v>0</v>
      </c>
      <c r="I96" s="17" t="s">
        <v>602</v>
      </c>
      <c r="J96" s="48"/>
      <c r="K96" s="17"/>
      <c r="L96" s="49"/>
    </row>
    <row r="97" spans="1:12" x14ac:dyDescent="0.25">
      <c r="A97" s="10">
        <v>1</v>
      </c>
      <c r="B97" s="48">
        <v>44344</v>
      </c>
      <c r="C97" s="17"/>
      <c r="D97" s="17"/>
      <c r="E97" s="16">
        <v>44344</v>
      </c>
      <c r="F97" t="s">
        <v>114</v>
      </c>
      <c r="H97" s="17">
        <f t="shared" si="7"/>
        <v>0</v>
      </c>
      <c r="I97" s="17" t="s">
        <v>602</v>
      </c>
      <c r="J97" s="48"/>
      <c r="K97" s="17"/>
      <c r="L97" s="49"/>
    </row>
    <row r="98" spans="1:12" x14ac:dyDescent="0.25">
      <c r="A98" s="10">
        <v>2</v>
      </c>
      <c r="B98" s="48">
        <f>B97+7</f>
        <v>44351</v>
      </c>
      <c r="C98" s="17"/>
      <c r="D98" s="17"/>
      <c r="E98" s="16">
        <v>44356</v>
      </c>
      <c r="F98" t="s">
        <v>117</v>
      </c>
      <c r="H98" s="17">
        <f t="shared" si="7"/>
        <v>0</v>
      </c>
      <c r="I98" s="17" t="s">
        <v>602</v>
      </c>
      <c r="J98" s="48"/>
      <c r="K98" s="17"/>
      <c r="L98" s="49"/>
    </row>
    <row r="99" spans="1:12" x14ac:dyDescent="0.25">
      <c r="A99" s="10">
        <v>3</v>
      </c>
      <c r="B99" s="48">
        <f>B98+7</f>
        <v>44358</v>
      </c>
      <c r="C99" s="17"/>
      <c r="D99" s="17"/>
      <c r="E99" s="16">
        <v>44360</v>
      </c>
      <c r="F99" t="s">
        <v>124</v>
      </c>
      <c r="H99" s="17">
        <f t="shared" si="7"/>
        <v>0</v>
      </c>
      <c r="I99" s="17" t="s">
        <v>602</v>
      </c>
      <c r="J99" s="48"/>
      <c r="K99" s="17"/>
      <c r="L99" s="49"/>
    </row>
    <row r="100" spans="1:12" x14ac:dyDescent="0.25">
      <c r="A100" s="10">
        <v>1</v>
      </c>
      <c r="B100" s="48">
        <v>44375</v>
      </c>
      <c r="C100" s="17">
        <v>200</v>
      </c>
      <c r="D100" s="17">
        <v>200</v>
      </c>
      <c r="E100" s="16">
        <v>44379</v>
      </c>
      <c r="F100" t="s">
        <v>58</v>
      </c>
      <c r="H100" s="17">
        <f t="shared" si="7"/>
        <v>0</v>
      </c>
      <c r="I100" s="17" t="s">
        <v>615</v>
      </c>
      <c r="J100" s="48"/>
      <c r="K100" s="17"/>
      <c r="L100" s="49"/>
    </row>
    <row r="101" spans="1:12" x14ac:dyDescent="0.25">
      <c r="A101" s="10">
        <v>2</v>
      </c>
      <c r="B101" s="48">
        <f>B100+7</f>
        <v>44382</v>
      </c>
      <c r="C101" s="17">
        <v>200</v>
      </c>
      <c r="D101" s="17">
        <v>200</v>
      </c>
      <c r="E101" s="16">
        <v>44382</v>
      </c>
      <c r="F101" t="s">
        <v>58</v>
      </c>
      <c r="H101" s="17">
        <f t="shared" si="7"/>
        <v>0</v>
      </c>
      <c r="I101" s="17" t="s">
        <v>615</v>
      </c>
      <c r="J101" s="48"/>
      <c r="K101" s="17"/>
      <c r="L101" s="49"/>
    </row>
    <row r="102" spans="1:12" x14ac:dyDescent="0.25">
      <c r="A102" s="10">
        <v>3</v>
      </c>
      <c r="B102" s="48">
        <f>B101+7</f>
        <v>44389</v>
      </c>
      <c r="C102" s="17">
        <v>200</v>
      </c>
      <c r="D102" s="17">
        <v>200</v>
      </c>
      <c r="E102" s="16">
        <v>44389</v>
      </c>
      <c r="F102" t="s">
        <v>124</v>
      </c>
      <c r="H102" s="17">
        <f t="shared" si="7"/>
        <v>0</v>
      </c>
      <c r="I102" s="17" t="s">
        <v>615</v>
      </c>
      <c r="J102" s="48"/>
      <c r="K102" s="17"/>
      <c r="L102" s="49"/>
    </row>
    <row r="103" spans="1:12" x14ac:dyDescent="0.25">
      <c r="A103" s="10">
        <v>1</v>
      </c>
      <c r="B103" s="48">
        <v>44406</v>
      </c>
      <c r="C103" s="17">
        <v>400</v>
      </c>
      <c r="D103" s="17">
        <v>400</v>
      </c>
      <c r="E103" s="16">
        <v>44406</v>
      </c>
      <c r="F103" t="s">
        <v>181</v>
      </c>
      <c r="H103" s="17">
        <f t="shared" si="7"/>
        <v>0</v>
      </c>
      <c r="I103" s="17" t="s">
        <v>676</v>
      </c>
      <c r="J103" s="48"/>
      <c r="K103" s="17"/>
      <c r="L103" s="49"/>
    </row>
    <row r="104" spans="1:12" x14ac:dyDescent="0.25">
      <c r="A104" s="10">
        <v>1</v>
      </c>
      <c r="B104" s="48">
        <v>44406</v>
      </c>
      <c r="C104" s="17">
        <v>220</v>
      </c>
      <c r="D104" s="17">
        <v>220</v>
      </c>
      <c r="E104" s="16">
        <v>44406</v>
      </c>
      <c r="F104" t="s">
        <v>117</v>
      </c>
      <c r="H104" s="17">
        <f t="shared" si="7"/>
        <v>0</v>
      </c>
      <c r="I104" s="17" t="s">
        <v>676</v>
      </c>
      <c r="J104" s="48"/>
      <c r="K104" s="17"/>
      <c r="L104" s="49"/>
    </row>
    <row r="105" spans="1:12" x14ac:dyDescent="0.25">
      <c r="A105" s="10">
        <v>2</v>
      </c>
      <c r="B105" s="48">
        <f t="shared" ref="B105:B112" si="9">B104+7</f>
        <v>44413</v>
      </c>
      <c r="C105" s="17">
        <v>220</v>
      </c>
      <c r="D105" s="17">
        <v>220</v>
      </c>
      <c r="E105" s="16">
        <v>44413</v>
      </c>
      <c r="F105" t="s">
        <v>117</v>
      </c>
      <c r="H105" s="17">
        <f t="shared" si="7"/>
        <v>0</v>
      </c>
      <c r="I105" s="17" t="s">
        <v>676</v>
      </c>
      <c r="J105" s="48"/>
      <c r="K105" s="17"/>
      <c r="L105" s="49"/>
    </row>
    <row r="106" spans="1:12" x14ac:dyDescent="0.25">
      <c r="A106" s="10">
        <v>3</v>
      </c>
      <c r="B106" s="48">
        <f t="shared" si="9"/>
        <v>44420</v>
      </c>
      <c r="C106" s="17">
        <v>220</v>
      </c>
      <c r="D106" s="17">
        <v>220</v>
      </c>
      <c r="E106" s="16">
        <v>44420</v>
      </c>
      <c r="F106" t="s">
        <v>58</v>
      </c>
      <c r="H106" s="17">
        <f t="shared" si="7"/>
        <v>0</v>
      </c>
      <c r="I106" s="17" t="s">
        <v>676</v>
      </c>
      <c r="J106" s="48"/>
      <c r="K106" s="17"/>
      <c r="L106" s="49"/>
    </row>
    <row r="107" spans="1:12" x14ac:dyDescent="0.25">
      <c r="A107" s="10">
        <v>4</v>
      </c>
      <c r="B107" s="48">
        <f t="shared" si="9"/>
        <v>44427</v>
      </c>
      <c r="C107" s="17">
        <v>220</v>
      </c>
      <c r="D107" s="17">
        <v>220</v>
      </c>
      <c r="E107" s="16">
        <v>44427</v>
      </c>
      <c r="F107" t="s">
        <v>58</v>
      </c>
      <c r="H107" s="17">
        <f t="shared" si="7"/>
        <v>0</v>
      </c>
      <c r="I107" s="17" t="s">
        <v>676</v>
      </c>
      <c r="J107" s="48"/>
      <c r="K107" s="17"/>
      <c r="L107" s="49"/>
    </row>
    <row r="108" spans="1:12" x14ac:dyDescent="0.25">
      <c r="A108" s="10">
        <v>5</v>
      </c>
      <c r="B108" s="48">
        <f t="shared" si="9"/>
        <v>44434</v>
      </c>
      <c r="C108" s="17">
        <v>220</v>
      </c>
      <c r="D108" s="17">
        <v>220</v>
      </c>
      <c r="E108" s="16">
        <v>44434</v>
      </c>
      <c r="F108" t="s">
        <v>58</v>
      </c>
      <c r="H108" s="17">
        <f t="shared" si="7"/>
        <v>0</v>
      </c>
      <c r="I108" s="17" t="s">
        <v>676</v>
      </c>
      <c r="J108" s="48"/>
      <c r="K108" s="17"/>
      <c r="L108" s="49"/>
    </row>
    <row r="109" spans="1:12" x14ac:dyDescent="0.25">
      <c r="A109" s="10">
        <v>6</v>
      </c>
      <c r="B109" s="48">
        <f t="shared" si="9"/>
        <v>44441</v>
      </c>
      <c r="C109" s="17">
        <v>220</v>
      </c>
      <c r="D109" s="17">
        <v>220</v>
      </c>
      <c r="E109" s="16">
        <v>44441</v>
      </c>
      <c r="F109" t="s">
        <v>58</v>
      </c>
      <c r="H109" s="17">
        <f t="shared" si="7"/>
        <v>0</v>
      </c>
      <c r="I109" s="17" t="s">
        <v>676</v>
      </c>
      <c r="J109" s="48"/>
      <c r="K109" s="17"/>
      <c r="L109" s="49"/>
    </row>
    <row r="110" spans="1:12" x14ac:dyDescent="0.25">
      <c r="A110" s="10">
        <v>7</v>
      </c>
      <c r="B110" s="48">
        <f t="shared" si="9"/>
        <v>44448</v>
      </c>
      <c r="C110" s="17">
        <v>220</v>
      </c>
      <c r="D110" s="17">
        <v>220</v>
      </c>
      <c r="E110" s="16">
        <v>44448</v>
      </c>
      <c r="F110" t="s">
        <v>58</v>
      </c>
      <c r="H110" s="17">
        <f t="shared" si="7"/>
        <v>0</v>
      </c>
      <c r="I110" s="17" t="s">
        <v>676</v>
      </c>
      <c r="J110" s="48"/>
      <c r="K110" s="17"/>
      <c r="L110" s="49"/>
    </row>
    <row r="111" spans="1:12" x14ac:dyDescent="0.25">
      <c r="A111" s="10">
        <v>8</v>
      </c>
      <c r="B111" s="48">
        <f t="shared" si="9"/>
        <v>44455</v>
      </c>
      <c r="C111" s="17">
        <v>220</v>
      </c>
      <c r="D111" s="17">
        <v>220</v>
      </c>
      <c r="E111" s="16">
        <v>44455</v>
      </c>
      <c r="F111" t="s">
        <v>58</v>
      </c>
      <c r="H111" s="17">
        <f t="shared" si="7"/>
        <v>0</v>
      </c>
      <c r="I111" s="17" t="s">
        <v>676</v>
      </c>
      <c r="J111" s="48"/>
      <c r="K111" s="17"/>
      <c r="L111" s="49"/>
    </row>
    <row r="112" spans="1:12" x14ac:dyDescent="0.25">
      <c r="A112" s="10">
        <v>9</v>
      </c>
      <c r="B112" s="48">
        <f t="shared" si="9"/>
        <v>44462</v>
      </c>
      <c r="C112" s="17">
        <v>220</v>
      </c>
      <c r="D112" s="17">
        <v>220</v>
      </c>
      <c r="E112" s="16">
        <v>44462</v>
      </c>
      <c r="F112" t="s">
        <v>58</v>
      </c>
      <c r="H112" s="17">
        <f t="shared" si="7"/>
        <v>0</v>
      </c>
      <c r="I112" s="17" t="s">
        <v>676</v>
      </c>
      <c r="J112" s="48"/>
      <c r="K112" s="17"/>
      <c r="L112" s="49"/>
    </row>
    <row r="113" spans="1:12" x14ac:dyDescent="0.25">
      <c r="A113" s="10">
        <v>10</v>
      </c>
      <c r="B113" s="48">
        <f>B112+7</f>
        <v>44469</v>
      </c>
      <c r="C113" s="17">
        <v>220</v>
      </c>
      <c r="D113" s="17">
        <v>220</v>
      </c>
      <c r="E113" s="16">
        <v>44469</v>
      </c>
      <c r="F113" t="s">
        <v>58</v>
      </c>
      <c r="H113" s="17">
        <f t="shared" si="7"/>
        <v>0</v>
      </c>
      <c r="I113" s="17" t="s">
        <v>676</v>
      </c>
      <c r="J113" s="48"/>
      <c r="K113" s="17"/>
      <c r="L113" s="49"/>
    </row>
    <row r="114" spans="1:12" x14ac:dyDescent="0.25">
      <c r="A114" s="10">
        <v>11</v>
      </c>
      <c r="B114" s="48">
        <f>B113+7</f>
        <v>44476</v>
      </c>
      <c r="C114" s="17">
        <v>220</v>
      </c>
      <c r="D114" s="17">
        <v>220</v>
      </c>
      <c r="E114" s="16">
        <v>44476</v>
      </c>
      <c r="F114" t="s">
        <v>58</v>
      </c>
      <c r="H114" s="17">
        <f t="shared" si="7"/>
        <v>0</v>
      </c>
      <c r="I114" s="17" t="s">
        <v>676</v>
      </c>
      <c r="J114" s="48"/>
      <c r="K114" s="17"/>
      <c r="L114" s="49"/>
    </row>
    <row r="115" spans="1:12" x14ac:dyDescent="0.25">
      <c r="A115" s="10">
        <v>12</v>
      </c>
      <c r="B115" s="48">
        <f>B114+7</f>
        <v>44483</v>
      </c>
      <c r="C115" s="17">
        <v>220</v>
      </c>
      <c r="D115" s="17">
        <v>220</v>
      </c>
      <c r="E115" s="16">
        <v>44483</v>
      </c>
      <c r="F115" t="s">
        <v>58</v>
      </c>
      <c r="H115" s="17">
        <f t="shared" si="7"/>
        <v>0</v>
      </c>
      <c r="I115" s="17" t="s">
        <v>676</v>
      </c>
      <c r="J115" s="48"/>
      <c r="K115" s="17"/>
      <c r="L115" s="49"/>
    </row>
    <row r="116" spans="1:12" x14ac:dyDescent="0.25">
      <c r="A116" s="10">
        <v>13</v>
      </c>
      <c r="B116" s="48">
        <f>B115+7</f>
        <v>44490</v>
      </c>
      <c r="C116" s="17">
        <v>220</v>
      </c>
      <c r="D116" s="17">
        <v>220</v>
      </c>
      <c r="E116" s="16">
        <v>44490</v>
      </c>
      <c r="F116" t="s">
        <v>124</v>
      </c>
      <c r="H116" s="17">
        <f t="shared" si="7"/>
        <v>0</v>
      </c>
      <c r="I116" s="17" t="s">
        <v>676</v>
      </c>
      <c r="J116" s="48"/>
      <c r="K116" s="17"/>
      <c r="L116" s="49"/>
    </row>
    <row r="117" spans="1:12" x14ac:dyDescent="0.25">
      <c r="A117" s="10">
        <v>1</v>
      </c>
      <c r="B117" s="48">
        <v>44587</v>
      </c>
      <c r="C117" s="17">
        <v>400</v>
      </c>
      <c r="D117" s="17">
        <v>400</v>
      </c>
      <c r="E117" s="16">
        <v>44589</v>
      </c>
      <c r="F117" t="s">
        <v>181</v>
      </c>
      <c r="H117" s="17">
        <f t="shared" ref="H117:H127" si="10">IFERROR(IF(F116="Closed account",(IF(F117="Unpaid Rent",(C117),(C117-D117))),(IF(F117="Unpaid Rent",(C117+H116),(C117-D117+H116)))),"")</f>
        <v>0</v>
      </c>
      <c r="I117" s="17" t="s">
        <v>768</v>
      </c>
      <c r="J117" s="48"/>
      <c r="K117" s="17"/>
      <c r="L117" s="49"/>
    </row>
    <row r="118" spans="1:12" x14ac:dyDescent="0.25">
      <c r="A118" s="10">
        <v>1</v>
      </c>
      <c r="B118" s="48">
        <v>44587</v>
      </c>
      <c r="C118" s="17">
        <v>200</v>
      </c>
      <c r="D118" s="17">
        <v>200</v>
      </c>
      <c r="E118" s="16">
        <v>44589</v>
      </c>
      <c r="F118" t="s">
        <v>117</v>
      </c>
      <c r="H118" s="17">
        <f t="shared" si="10"/>
        <v>0</v>
      </c>
      <c r="I118" s="17" t="s">
        <v>768</v>
      </c>
      <c r="J118" s="48"/>
      <c r="K118" s="17"/>
      <c r="L118" s="49"/>
    </row>
    <row r="119" spans="1:12" x14ac:dyDescent="0.25">
      <c r="A119" s="10">
        <v>2</v>
      </c>
      <c r="B119" s="48">
        <f t="shared" ref="B119:B124" si="11">B118+7</f>
        <v>44594</v>
      </c>
      <c r="C119" s="17">
        <v>210</v>
      </c>
      <c r="D119" s="17">
        <v>210</v>
      </c>
      <c r="E119" s="16">
        <v>44594</v>
      </c>
      <c r="F119" t="s">
        <v>58</v>
      </c>
      <c r="H119" s="17">
        <f t="shared" si="10"/>
        <v>0</v>
      </c>
      <c r="I119" s="17" t="s">
        <v>768</v>
      </c>
      <c r="J119" s="48"/>
      <c r="K119" s="17"/>
      <c r="L119" s="49"/>
    </row>
    <row r="120" spans="1:12" x14ac:dyDescent="0.25">
      <c r="A120" s="10">
        <v>2</v>
      </c>
      <c r="B120" s="48">
        <f t="shared" si="11"/>
        <v>44601</v>
      </c>
      <c r="C120" s="17">
        <v>210</v>
      </c>
      <c r="D120" s="17">
        <v>210</v>
      </c>
      <c r="E120" s="16">
        <v>44600</v>
      </c>
      <c r="F120" t="s">
        <v>58</v>
      </c>
      <c r="H120" s="17">
        <f t="shared" si="10"/>
        <v>0</v>
      </c>
      <c r="I120" s="17" t="s">
        <v>768</v>
      </c>
      <c r="J120" s="48"/>
      <c r="K120" s="17"/>
      <c r="L120" s="49"/>
    </row>
    <row r="121" spans="1:12" x14ac:dyDescent="0.25">
      <c r="A121" s="10">
        <v>3</v>
      </c>
      <c r="B121" s="48">
        <f t="shared" si="11"/>
        <v>44608</v>
      </c>
      <c r="C121" s="17">
        <v>210</v>
      </c>
      <c r="D121" s="17">
        <v>210</v>
      </c>
      <c r="E121" s="16">
        <v>44608</v>
      </c>
      <c r="F121" t="s">
        <v>117</v>
      </c>
      <c r="H121" s="17">
        <f t="shared" si="10"/>
        <v>0</v>
      </c>
      <c r="I121" s="17" t="s">
        <v>768</v>
      </c>
      <c r="J121" s="48"/>
      <c r="K121" s="17"/>
      <c r="L121" s="49"/>
    </row>
    <row r="122" spans="1:12" x14ac:dyDescent="0.25">
      <c r="A122" s="10">
        <v>4</v>
      </c>
      <c r="B122" s="48">
        <f t="shared" si="11"/>
        <v>44615</v>
      </c>
      <c r="C122" s="17">
        <v>210</v>
      </c>
      <c r="D122" s="17"/>
      <c r="H122" s="17">
        <f t="shared" si="10"/>
        <v>210</v>
      </c>
      <c r="I122" s="17" t="s">
        <v>768</v>
      </c>
      <c r="J122" s="48"/>
      <c r="K122" s="17"/>
      <c r="L122" s="49"/>
    </row>
    <row r="123" spans="1:12" x14ac:dyDescent="0.25">
      <c r="A123" s="10">
        <v>5</v>
      </c>
      <c r="B123" s="48">
        <f t="shared" si="11"/>
        <v>44622</v>
      </c>
      <c r="C123" s="17">
        <v>210</v>
      </c>
      <c r="D123" s="17">
        <v>420</v>
      </c>
      <c r="E123" s="16">
        <v>44622</v>
      </c>
      <c r="F123" t="s">
        <v>117</v>
      </c>
      <c r="H123" s="17">
        <f t="shared" si="10"/>
        <v>0</v>
      </c>
      <c r="I123" s="17" t="s">
        <v>768</v>
      </c>
      <c r="J123" s="48"/>
      <c r="K123" s="17"/>
      <c r="L123" s="49"/>
    </row>
    <row r="124" spans="1:12" x14ac:dyDescent="0.25">
      <c r="A124" s="10">
        <v>6</v>
      </c>
      <c r="B124" s="48">
        <f t="shared" si="11"/>
        <v>44629</v>
      </c>
      <c r="C124" s="17">
        <v>210</v>
      </c>
      <c r="D124" s="17">
        <v>210</v>
      </c>
      <c r="E124" s="16">
        <v>44631</v>
      </c>
      <c r="F124" t="s">
        <v>117</v>
      </c>
      <c r="H124" s="17">
        <f t="shared" si="10"/>
        <v>0</v>
      </c>
      <c r="I124" s="17" t="s">
        <v>768</v>
      </c>
      <c r="J124" s="48"/>
      <c r="K124" s="17"/>
      <c r="L124" s="49"/>
    </row>
    <row r="125" spans="1:12" x14ac:dyDescent="0.25">
      <c r="A125" s="10">
        <v>7</v>
      </c>
      <c r="B125" s="48">
        <f>B124+7</f>
        <v>44636</v>
      </c>
      <c r="C125" s="17">
        <v>210</v>
      </c>
      <c r="D125" s="17">
        <v>210</v>
      </c>
      <c r="E125" s="16">
        <v>44639</v>
      </c>
      <c r="F125" t="s">
        <v>124</v>
      </c>
      <c r="H125" s="17">
        <f t="shared" si="10"/>
        <v>0</v>
      </c>
      <c r="I125" s="17" t="s">
        <v>768</v>
      </c>
      <c r="J125" s="48"/>
      <c r="K125" s="17"/>
      <c r="L125" s="49"/>
    </row>
    <row r="126" spans="1:12" x14ac:dyDescent="0.25">
      <c r="A126" s="10">
        <v>1</v>
      </c>
      <c r="B126" s="48">
        <v>44775</v>
      </c>
      <c r="C126" s="17">
        <v>250</v>
      </c>
      <c r="D126" s="17">
        <v>250</v>
      </c>
      <c r="E126" s="16">
        <v>44776</v>
      </c>
      <c r="F126" t="s">
        <v>117</v>
      </c>
      <c r="H126" s="17">
        <f t="shared" si="10"/>
        <v>0</v>
      </c>
      <c r="I126" s="17" t="s">
        <v>766</v>
      </c>
      <c r="J126" s="48"/>
      <c r="K126" s="17"/>
      <c r="L126" s="49"/>
    </row>
    <row r="127" spans="1:12" x14ac:dyDescent="0.25">
      <c r="A127" s="10">
        <v>2</v>
      </c>
      <c r="B127" s="48">
        <f>B126+7</f>
        <v>44782</v>
      </c>
      <c r="C127" s="17">
        <v>250</v>
      </c>
      <c r="D127" s="17">
        <v>250</v>
      </c>
      <c r="E127" s="16">
        <v>44782</v>
      </c>
      <c r="F127" t="s">
        <v>117</v>
      </c>
      <c r="H127" s="17">
        <f t="shared" si="10"/>
        <v>0</v>
      </c>
      <c r="I127" s="17" t="s">
        <v>766</v>
      </c>
      <c r="J127" s="48"/>
      <c r="K127" s="17"/>
      <c r="L127" s="49"/>
    </row>
    <row r="128" spans="1:12" x14ac:dyDescent="0.25">
      <c r="B128" s="50"/>
      <c r="J128" s="48"/>
      <c r="K128" s="17"/>
      <c r="L128" s="49"/>
    </row>
    <row r="129" spans="1:12" x14ac:dyDescent="0.25">
      <c r="B129" s="50"/>
      <c r="J129" s="48"/>
      <c r="K129" s="17"/>
      <c r="L129" s="49"/>
    </row>
    <row r="130" spans="1:12" x14ac:dyDescent="0.25">
      <c r="B130" s="50"/>
      <c r="J130" s="48"/>
      <c r="K130" s="17"/>
      <c r="L130" s="49"/>
    </row>
    <row r="131" spans="1:12" x14ac:dyDescent="0.25">
      <c r="B131" s="50"/>
      <c r="J131" s="48"/>
      <c r="K131" s="17"/>
      <c r="L131" s="49"/>
    </row>
    <row r="132" spans="1:12" x14ac:dyDescent="0.25">
      <c r="B132" s="50"/>
      <c r="J132" s="48"/>
      <c r="K132" s="17"/>
      <c r="L132" s="49"/>
    </row>
    <row r="133" spans="1:12" x14ac:dyDescent="0.25">
      <c r="B133" s="50"/>
      <c r="J133" s="48"/>
      <c r="K133" s="17"/>
      <c r="L133" s="49"/>
    </row>
    <row r="134" spans="1:12" x14ac:dyDescent="0.25">
      <c r="B134" s="50"/>
      <c r="J134" s="48"/>
      <c r="K134" s="17"/>
      <c r="L134" s="49"/>
    </row>
    <row r="135" spans="1:12" x14ac:dyDescent="0.25">
      <c r="B135" s="50"/>
      <c r="J135" s="48"/>
      <c r="K135" s="17"/>
      <c r="L135" s="49"/>
    </row>
    <row r="136" spans="1:12" x14ac:dyDescent="0.25">
      <c r="A136" s="10" t="s">
        <v>18</v>
      </c>
      <c r="B136" s="50" t="str">
        <f>IF($A136&lt;&gt;"",IF(_term=26,IF(A136=1,first_payment,B135+14),IF(_term=52,IF(A136=1,first_payment,B135+7),DATE(YEAR(first_payment),MONTH(first_payment)+(A136-1)*per_year,IF(_term=24,IF(1-MOD(A136,2)=1,DAY(first_payment)+14,DAY(first_payment)),DAY(first_payment))))),"")</f>
        <v/>
      </c>
      <c r="H136" t="str">
        <f>IF($A136&lt;&gt;"",$H135-$D136,"")</f>
        <v/>
      </c>
      <c r="J136" s="48"/>
      <c r="K136" s="17"/>
      <c r="L136" s="49"/>
    </row>
    <row r="137" spans="1:12" x14ac:dyDescent="0.25">
      <c r="A137" s="10" t="s">
        <v>18</v>
      </c>
      <c r="B137" s="50" t="str">
        <f>IF($A137&lt;&gt;"",IF(_term=26,IF(A137=1,first_payment,B136+14),IF(_term=52,IF(A137=1,first_payment,B136+7),DATE(YEAR(first_payment),MONTH(first_payment)+(A137-1)*per_year,IF(_term=24,IF(1-MOD(A137,2)=1,DAY(first_payment)+14,DAY(first_payment)),DAY(first_payment))))),"")</f>
        <v/>
      </c>
      <c r="H137" t="str">
        <f>IF($A137&lt;&gt;"",$H136-$D137,"")</f>
        <v/>
      </c>
      <c r="J137" s="48"/>
      <c r="K137" s="17"/>
      <c r="L137" s="49"/>
    </row>
    <row r="138" spans="1:12" x14ac:dyDescent="0.25">
      <c r="A138" s="10" t="s">
        <v>18</v>
      </c>
      <c r="B138" s="50" t="str">
        <f>IF($A138&lt;&gt;"",IF(_term=26,IF(A138=1,first_payment,B137+14),IF(_term=52,IF(A138=1,first_payment,B137+7),DATE(YEAR(first_payment),MONTH(first_payment)+(A138-1)*per_year,IF(_term=24,IF(1-MOD(A138,2)=1,DAY(first_payment)+14,DAY(first_payment)),DAY(first_payment))))),"")</f>
        <v/>
      </c>
      <c r="H138" t="str">
        <f>IF($A138&lt;&gt;"",$H137-$D138,"")</f>
        <v/>
      </c>
      <c r="J138" s="48"/>
      <c r="K138" s="17"/>
      <c r="L138" s="49"/>
    </row>
    <row r="139" spans="1:12" x14ac:dyDescent="0.25">
      <c r="A139" s="10" t="s">
        <v>18</v>
      </c>
      <c r="B139" s="50" t="str">
        <f>IF($A139&lt;&gt;"",IF(_term=26,IF(A139=1,first_payment,B138+14),IF(_term=52,IF(A139=1,first_payment,B138+7),DATE(YEAR(first_payment),MONTH(first_payment)+(A139-1)*per_year,IF(_term=24,IF(1-MOD(A139,2)=1,DAY(first_payment)+14,DAY(first_payment)),DAY(first_payment))))),"")</f>
        <v/>
      </c>
      <c r="H139" t="str">
        <f>IF($A139&lt;&gt;"",$H138-$D139,"")</f>
        <v/>
      </c>
      <c r="J139" s="48"/>
      <c r="K139" s="17"/>
      <c r="L139" s="49"/>
    </row>
    <row r="140" spans="1:12" ht="15" customHeight="1" x14ac:dyDescent="0.25">
      <c r="J140" s="48"/>
      <c r="K140" s="17"/>
      <c r="L140" s="49"/>
    </row>
    <row r="141" spans="1:12" ht="15" customHeight="1" x14ac:dyDescent="0.25">
      <c r="J141" s="48"/>
      <c r="K141" s="17"/>
      <c r="L141" s="49"/>
    </row>
    <row r="142" spans="1:12" ht="15" customHeight="1" x14ac:dyDescent="0.25">
      <c r="J142" s="48"/>
      <c r="K142" s="17"/>
      <c r="L142" s="49"/>
    </row>
    <row r="143" spans="1:12" ht="15" customHeight="1" x14ac:dyDescent="0.25">
      <c r="J143" s="48"/>
      <c r="K143" s="17"/>
      <c r="L143" s="49"/>
    </row>
    <row r="144" spans="1:12" ht="15" customHeight="1" x14ac:dyDescent="0.25">
      <c r="J144" s="48"/>
      <c r="K144" s="17"/>
      <c r="L144" s="49"/>
    </row>
    <row r="145" spans="10:12" ht="15" customHeight="1" x14ac:dyDescent="0.25">
      <c r="J145" s="48"/>
      <c r="K145" s="17"/>
      <c r="L145" s="49"/>
    </row>
    <row r="146" spans="10:12" ht="15" customHeight="1" x14ac:dyDescent="0.25">
      <c r="J146" s="48"/>
      <c r="K146" s="17"/>
      <c r="L146" s="49"/>
    </row>
    <row r="147" spans="10:12" ht="15" customHeight="1" x14ac:dyDescent="0.25">
      <c r="J147" s="48"/>
      <c r="K147" s="17"/>
      <c r="L147" s="49"/>
    </row>
    <row r="148" spans="10:12" ht="15" customHeight="1" x14ac:dyDescent="0.25">
      <c r="J148" s="48"/>
      <c r="K148" s="17"/>
      <c r="L148" s="49"/>
    </row>
    <row r="149" spans="10:12" ht="15" customHeight="1" x14ac:dyDescent="0.25">
      <c r="J149" s="48"/>
      <c r="K149" s="17"/>
      <c r="L149" s="49"/>
    </row>
    <row r="150" spans="10:12" ht="15" customHeight="1" x14ac:dyDescent="0.25">
      <c r="J150" s="48"/>
      <c r="K150" s="17"/>
      <c r="L150" s="49"/>
    </row>
    <row r="151" spans="10:12" ht="15" customHeight="1" x14ac:dyDescent="0.25">
      <c r="J151" s="48"/>
      <c r="K151" s="17"/>
      <c r="L151" s="49"/>
    </row>
    <row r="152" spans="10:12" ht="15" customHeight="1" x14ac:dyDescent="0.25">
      <c r="J152" s="48"/>
      <c r="K152" s="17"/>
      <c r="L152" s="49"/>
    </row>
    <row r="153" spans="10:12" ht="15" customHeight="1" x14ac:dyDescent="0.25">
      <c r="J153" s="48"/>
      <c r="K153" s="17"/>
      <c r="L153" s="49"/>
    </row>
    <row r="154" spans="10:12" ht="15" customHeight="1" x14ac:dyDescent="0.25">
      <c r="J154" s="48"/>
      <c r="K154" s="17"/>
      <c r="L154" s="49"/>
    </row>
    <row r="155" spans="10:12" ht="15" customHeight="1" x14ac:dyDescent="0.25">
      <c r="J155" s="48"/>
      <c r="K155" s="17"/>
      <c r="L155" s="49"/>
    </row>
    <row r="156" spans="10:12" ht="15" customHeight="1" x14ac:dyDescent="0.25">
      <c r="J156" s="48"/>
      <c r="K156" s="17"/>
      <c r="L156" s="49"/>
    </row>
    <row r="157" spans="10:12" ht="15" customHeight="1" x14ac:dyDescent="0.25">
      <c r="J157" s="48"/>
      <c r="K157" s="17"/>
      <c r="L157" s="49"/>
    </row>
    <row r="158" spans="10:12" ht="15" customHeight="1" x14ac:dyDescent="0.25">
      <c r="J158" s="48"/>
      <c r="K158" s="17"/>
      <c r="L158" s="49"/>
    </row>
    <row r="159" spans="10:12" ht="15" customHeight="1" x14ac:dyDescent="0.25">
      <c r="J159" s="48"/>
      <c r="K159" s="17"/>
      <c r="L159" s="49"/>
    </row>
    <row r="160" spans="10:12" ht="15" customHeight="1" x14ac:dyDescent="0.25">
      <c r="J160" s="48"/>
      <c r="K160" s="17"/>
      <c r="L160" s="49"/>
    </row>
    <row r="161" spans="10:12" ht="15" customHeight="1" x14ac:dyDescent="0.25">
      <c r="J161" s="48"/>
      <c r="K161" s="17"/>
      <c r="L161" s="49"/>
    </row>
    <row r="162" spans="10:12" ht="15" customHeight="1" x14ac:dyDescent="0.25">
      <c r="J162" s="48"/>
      <c r="K162" s="17"/>
      <c r="L162" s="49"/>
    </row>
    <row r="163" spans="10:12" ht="15" customHeight="1" x14ac:dyDescent="0.25">
      <c r="J163" s="48"/>
      <c r="K163" s="17"/>
      <c r="L163" s="49"/>
    </row>
    <row r="164" spans="10:12" ht="15" customHeight="1" x14ac:dyDescent="0.25">
      <c r="J164" s="48"/>
      <c r="K164" s="17"/>
      <c r="L164" s="49"/>
    </row>
    <row r="165" spans="10:12" ht="15" customHeight="1" x14ac:dyDescent="0.25">
      <c r="J165" s="48"/>
      <c r="K165" s="17"/>
      <c r="L165" s="49"/>
    </row>
    <row r="166" spans="10:12" ht="15" customHeight="1" x14ac:dyDescent="0.25">
      <c r="J166" s="48"/>
      <c r="K166" s="17"/>
      <c r="L166" s="49"/>
    </row>
    <row r="167" spans="10:12" ht="15" customHeight="1" x14ac:dyDescent="0.25">
      <c r="J167" s="48"/>
      <c r="K167" s="17"/>
      <c r="L167" s="49"/>
    </row>
    <row r="168" spans="10:12" ht="15" customHeight="1" x14ac:dyDescent="0.25">
      <c r="J168" s="48"/>
      <c r="K168" s="17"/>
      <c r="L168" s="49"/>
    </row>
    <row r="169" spans="10:12" ht="15" customHeight="1" x14ac:dyDescent="0.25">
      <c r="J169" s="48"/>
      <c r="K169" s="17"/>
      <c r="L169" s="49"/>
    </row>
    <row r="170" spans="10:12" ht="15" customHeight="1" x14ac:dyDescent="0.25">
      <c r="J170" s="48"/>
      <c r="K170" s="17"/>
      <c r="L170" s="49"/>
    </row>
    <row r="171" spans="10:12" ht="15" customHeight="1" x14ac:dyDescent="0.25">
      <c r="J171" s="48"/>
      <c r="K171" s="17"/>
      <c r="L171" s="49"/>
    </row>
    <row r="172" spans="10:12" ht="15" customHeight="1" x14ac:dyDescent="0.25">
      <c r="J172" s="48"/>
      <c r="K172" s="17"/>
      <c r="L172" s="49"/>
    </row>
    <row r="173" spans="10:12" ht="15" customHeight="1" x14ac:dyDescent="0.25">
      <c r="J173" s="48"/>
      <c r="K173" s="17"/>
      <c r="L173" s="49"/>
    </row>
    <row r="174" spans="10:12" ht="15" customHeight="1" x14ac:dyDescent="0.25">
      <c r="J174" s="48"/>
      <c r="K174" s="17"/>
      <c r="L174" s="49"/>
    </row>
    <row r="175" spans="10:12" ht="15" customHeight="1" x14ac:dyDescent="0.25">
      <c r="J175" s="48"/>
      <c r="K175" s="17"/>
      <c r="L175" s="49"/>
    </row>
    <row r="176" spans="10:12" ht="15" customHeight="1" x14ac:dyDescent="0.25">
      <c r="J176" s="48"/>
      <c r="K176" s="17"/>
      <c r="L176" s="49"/>
    </row>
    <row r="177" spans="10:12" ht="15" customHeight="1" x14ac:dyDescent="0.25">
      <c r="J177" s="48"/>
      <c r="K177" s="17"/>
      <c r="L177" s="49"/>
    </row>
    <row r="178" spans="10:12" ht="15" customHeight="1" x14ac:dyDescent="0.25">
      <c r="J178" s="48"/>
      <c r="K178" s="17"/>
      <c r="L178" s="49"/>
    </row>
    <row r="179" spans="10:12" ht="15" customHeight="1" x14ac:dyDescent="0.25">
      <c r="J179" s="48"/>
      <c r="K179" s="17"/>
      <c r="L179" s="49"/>
    </row>
    <row r="180" spans="10:12" ht="15" customHeight="1" x14ac:dyDescent="0.25">
      <c r="J180" s="48"/>
      <c r="K180" s="17"/>
      <c r="L180" s="49"/>
    </row>
    <row r="181" spans="10:12" ht="15" customHeight="1" x14ac:dyDescent="0.25">
      <c r="J181" s="48"/>
      <c r="K181" s="17"/>
      <c r="L181" s="49"/>
    </row>
    <row r="182" spans="10:12" ht="15" customHeight="1" x14ac:dyDescent="0.25">
      <c r="J182" s="48"/>
      <c r="K182" s="17"/>
      <c r="L182" s="49"/>
    </row>
    <row r="183" spans="10:12" ht="15" customHeight="1" x14ac:dyDescent="0.25">
      <c r="J183" s="48"/>
      <c r="K183" s="17"/>
      <c r="L183" s="49"/>
    </row>
    <row r="184" spans="10:12" ht="15" customHeight="1" x14ac:dyDescent="0.25">
      <c r="J184" s="48"/>
      <c r="K184" s="17"/>
      <c r="L184" s="49"/>
    </row>
    <row r="185" spans="10:12" ht="15" customHeight="1" x14ac:dyDescent="0.25">
      <c r="J185" s="48"/>
      <c r="K185" s="17"/>
      <c r="L185" s="49"/>
    </row>
    <row r="186" spans="10:12" ht="15" customHeight="1" x14ac:dyDescent="0.25">
      <c r="J186" s="48"/>
      <c r="K186" s="17"/>
      <c r="L186" s="49"/>
    </row>
    <row r="187" spans="10:12" ht="15" customHeight="1" x14ac:dyDescent="0.25">
      <c r="J187" s="48"/>
      <c r="K187" s="17"/>
      <c r="L187" s="49"/>
    </row>
    <row r="188" spans="10:12" ht="15" customHeight="1" x14ac:dyDescent="0.25">
      <c r="J188" s="48"/>
      <c r="K188" s="17"/>
      <c r="L188" s="49"/>
    </row>
    <row r="189" spans="10:12" ht="15" customHeight="1" x14ac:dyDescent="0.25">
      <c r="J189" s="48"/>
      <c r="K189" s="17"/>
      <c r="L189" s="49"/>
    </row>
    <row r="190" spans="10:12" ht="15" customHeight="1" x14ac:dyDescent="0.25">
      <c r="J190" s="48"/>
      <c r="K190" s="17"/>
      <c r="L190" s="49"/>
    </row>
    <row r="191" spans="10:12" ht="15" customHeight="1" x14ac:dyDescent="0.25">
      <c r="J191" s="48"/>
      <c r="K191" s="17"/>
      <c r="L191" s="49"/>
    </row>
    <row r="192" spans="10:12" ht="15" customHeight="1" x14ac:dyDescent="0.25">
      <c r="J192" s="48"/>
      <c r="K192" s="17"/>
      <c r="L192" s="49"/>
    </row>
    <row r="193" spans="10:12" ht="15" customHeight="1" x14ac:dyDescent="0.25">
      <c r="J193" s="48"/>
      <c r="K193" s="17"/>
      <c r="L193" s="49"/>
    </row>
    <row r="194" spans="10:12" ht="15" customHeight="1" x14ac:dyDescent="0.25">
      <c r="J194" s="48"/>
      <c r="K194" s="17"/>
      <c r="L194" s="49"/>
    </row>
    <row r="195" spans="10:12" ht="15" customHeight="1" x14ac:dyDescent="0.25">
      <c r="J195" s="48"/>
      <c r="K195" s="17"/>
      <c r="L195" s="49"/>
    </row>
    <row r="196" spans="10:12" ht="15" customHeight="1" x14ac:dyDescent="0.25">
      <c r="J196" s="48"/>
      <c r="K196" s="17"/>
      <c r="L196" s="49"/>
    </row>
    <row r="197" spans="10:12" ht="15" customHeight="1" x14ac:dyDescent="0.25">
      <c r="J197" s="48"/>
      <c r="K197" s="17"/>
      <c r="L197" s="49"/>
    </row>
    <row r="198" spans="10:12" ht="15" customHeight="1" x14ac:dyDescent="0.25">
      <c r="J198" s="48"/>
      <c r="K198" s="17"/>
      <c r="L198" s="49"/>
    </row>
    <row r="199" spans="10:12" ht="15" customHeight="1" x14ac:dyDescent="0.25">
      <c r="J199" s="48"/>
      <c r="K199" s="17"/>
      <c r="L199" s="49"/>
    </row>
    <row r="200" spans="10:12" ht="15" customHeight="1" x14ac:dyDescent="0.25">
      <c r="J200" s="48"/>
      <c r="K200" s="17"/>
      <c r="L200" s="49"/>
    </row>
    <row r="201" spans="10:12" ht="15" customHeight="1" x14ac:dyDescent="0.25">
      <c r="J201" s="48"/>
      <c r="K201" s="17"/>
      <c r="L201" s="49"/>
    </row>
    <row r="202" spans="10:12" ht="15" customHeight="1" x14ac:dyDescent="0.25">
      <c r="J202" s="48"/>
      <c r="K202" s="17"/>
      <c r="L202" s="49"/>
    </row>
    <row r="203" spans="10:12" ht="15" customHeight="1" x14ac:dyDescent="0.25">
      <c r="J203" s="48"/>
      <c r="K203" s="17"/>
      <c r="L203" s="49"/>
    </row>
    <row r="204" spans="10:12" ht="15" customHeight="1" x14ac:dyDescent="0.25">
      <c r="J204" s="48"/>
      <c r="K204" s="17"/>
      <c r="L204" s="49"/>
    </row>
    <row r="205" spans="10:12" ht="15" customHeight="1" x14ac:dyDescent="0.25">
      <c r="J205" s="48"/>
      <c r="K205" s="17"/>
      <c r="L205" s="49"/>
    </row>
    <row r="206" spans="10:12" ht="15" customHeight="1" x14ac:dyDescent="0.25">
      <c r="J206" s="48"/>
      <c r="K206" s="17"/>
      <c r="L206" s="49"/>
    </row>
    <row r="207" spans="10:12" ht="15" customHeight="1" x14ac:dyDescent="0.25">
      <c r="J207" s="48"/>
      <c r="K207" s="17"/>
      <c r="L207" s="49"/>
    </row>
    <row r="208" spans="10:12" ht="15" customHeight="1" x14ac:dyDescent="0.25">
      <c r="J208" s="48"/>
      <c r="K208" s="17"/>
      <c r="L208" s="49"/>
    </row>
    <row r="209" spans="10:12" ht="15" customHeight="1" x14ac:dyDescent="0.25">
      <c r="J209" s="48"/>
      <c r="K209" s="17"/>
      <c r="L209" s="49"/>
    </row>
    <row r="210" spans="10:12" ht="15" customHeight="1" x14ac:dyDescent="0.25">
      <c r="J210" s="48"/>
      <c r="K210" s="17"/>
      <c r="L210" s="49"/>
    </row>
    <row r="211" spans="10:12" ht="15" customHeight="1" x14ac:dyDescent="0.25">
      <c r="J211" s="48"/>
      <c r="K211" s="17"/>
      <c r="L211" s="49"/>
    </row>
    <row r="212" spans="10:12" ht="15" customHeight="1" x14ac:dyDescent="0.25">
      <c r="J212" s="48"/>
      <c r="K212" s="17"/>
      <c r="L212" s="49"/>
    </row>
    <row r="213" spans="10:12" ht="15" customHeight="1" x14ac:dyDescent="0.25">
      <c r="J213" s="48"/>
      <c r="K213" s="17"/>
      <c r="L213" s="49"/>
    </row>
    <row r="214" spans="10:12" ht="15" customHeight="1" x14ac:dyDescent="0.25">
      <c r="J214" s="48"/>
      <c r="K214" s="17"/>
      <c r="L214" s="49"/>
    </row>
    <row r="215" spans="10:12" ht="15" customHeight="1" x14ac:dyDescent="0.25">
      <c r="J215" s="48"/>
      <c r="K215" s="17"/>
      <c r="L215" s="49"/>
    </row>
    <row r="216" spans="10:12" ht="15" customHeight="1" x14ac:dyDescent="0.25">
      <c r="J216" s="48"/>
      <c r="K216" s="17"/>
      <c r="L216" s="49"/>
    </row>
    <row r="217" spans="10:12" ht="15" customHeight="1" x14ac:dyDescent="0.25">
      <c r="J217" s="48"/>
      <c r="K217" s="17"/>
      <c r="L217" s="49"/>
    </row>
    <row r="218" spans="10:12" ht="15" customHeight="1" x14ac:dyDescent="0.25">
      <c r="J218" s="48"/>
      <c r="K218" s="17"/>
      <c r="L218" s="49"/>
    </row>
    <row r="219" spans="10:12" ht="15" customHeight="1" x14ac:dyDescent="0.25">
      <c r="J219" s="48"/>
      <c r="K219" s="17"/>
      <c r="L219" s="49"/>
    </row>
    <row r="220" spans="10:12" ht="15" customHeight="1" x14ac:dyDescent="0.25">
      <c r="J220" s="48"/>
      <c r="K220" s="17"/>
      <c r="L220" s="49"/>
    </row>
    <row r="221" spans="10:12" ht="15" customHeight="1" x14ac:dyDescent="0.25">
      <c r="J221" s="48"/>
      <c r="K221" s="17"/>
      <c r="L221" s="49"/>
    </row>
    <row r="222" spans="10:12" ht="15" customHeight="1" x14ac:dyDescent="0.25">
      <c r="J222" s="48"/>
      <c r="K222" s="17"/>
      <c r="L222" s="49"/>
    </row>
    <row r="223" spans="10:12" ht="15" customHeight="1" x14ac:dyDescent="0.25">
      <c r="J223" s="48"/>
      <c r="K223" s="17"/>
      <c r="L223" s="49"/>
    </row>
    <row r="224" spans="10:12" ht="15" customHeight="1" x14ac:dyDescent="0.25">
      <c r="J224" s="48"/>
      <c r="K224" s="17"/>
      <c r="L224" s="49"/>
    </row>
    <row r="225" spans="10:12" ht="15" customHeight="1" x14ac:dyDescent="0.25">
      <c r="J225" s="48"/>
      <c r="K225" s="17"/>
      <c r="L225" s="49"/>
    </row>
    <row r="226" spans="10:12" ht="15" customHeight="1" x14ac:dyDescent="0.25">
      <c r="J226" s="48"/>
      <c r="K226" s="17"/>
      <c r="L226" s="49"/>
    </row>
    <row r="227" spans="10:12" ht="15" customHeight="1" x14ac:dyDescent="0.25">
      <c r="J227" s="48"/>
      <c r="K227" s="17"/>
      <c r="L227" s="49"/>
    </row>
    <row r="228" spans="10:12" ht="15" customHeight="1" x14ac:dyDescent="0.25">
      <c r="J228" s="48"/>
      <c r="K228" s="17"/>
      <c r="L228" s="49"/>
    </row>
    <row r="229" spans="10:12" ht="15" customHeight="1" x14ac:dyDescent="0.25">
      <c r="J229" s="48"/>
      <c r="K229" s="17"/>
      <c r="L229" s="49"/>
    </row>
    <row r="230" spans="10:12" ht="15" customHeight="1" x14ac:dyDescent="0.25">
      <c r="J230" s="48"/>
      <c r="K230" s="17"/>
      <c r="L230" s="49"/>
    </row>
    <row r="231" spans="10:12" ht="15" customHeight="1" x14ac:dyDescent="0.25">
      <c r="J231" s="48"/>
      <c r="K231" s="17"/>
      <c r="L231" s="49"/>
    </row>
    <row r="232" spans="10:12" ht="15" customHeight="1" x14ac:dyDescent="0.25">
      <c r="J232" s="48"/>
      <c r="K232" s="17"/>
      <c r="L232" s="49"/>
    </row>
    <row r="233" spans="10:12" ht="15" customHeight="1" x14ac:dyDescent="0.25">
      <c r="J233" s="48"/>
      <c r="K233" s="17"/>
      <c r="L233" s="49"/>
    </row>
    <row r="234" spans="10:12" ht="15" customHeight="1" x14ac:dyDescent="0.25">
      <c r="J234" s="48"/>
      <c r="K234" s="17"/>
      <c r="L234" s="49"/>
    </row>
    <row r="235" spans="10:12" ht="15" customHeight="1" x14ac:dyDescent="0.25">
      <c r="J235" s="48"/>
      <c r="K235" s="17"/>
      <c r="L235" s="49"/>
    </row>
    <row r="236" spans="10:12" ht="15" customHeight="1" x14ac:dyDescent="0.25">
      <c r="J236" s="48"/>
      <c r="K236" s="17"/>
      <c r="L236" s="49"/>
    </row>
    <row r="237" spans="10:12" ht="15" customHeight="1" x14ac:dyDescent="0.25">
      <c r="J237" s="48"/>
      <c r="K237" s="17"/>
      <c r="L237" s="49"/>
    </row>
    <row r="238" spans="10:12" ht="15" customHeight="1" x14ac:dyDescent="0.25">
      <c r="J238" s="48"/>
      <c r="K238" s="17"/>
      <c r="L238" s="49"/>
    </row>
    <row r="239" spans="10:12" ht="15" customHeight="1" x14ac:dyDescent="0.25">
      <c r="J239" s="48"/>
      <c r="K239" s="17"/>
      <c r="L239" s="49"/>
    </row>
    <row r="240" spans="10:12" ht="15" customHeight="1" x14ac:dyDescent="0.25">
      <c r="J240" s="48"/>
      <c r="K240" s="17"/>
      <c r="L240" s="49"/>
    </row>
    <row r="241" spans="10:12" ht="15" customHeight="1" x14ac:dyDescent="0.25">
      <c r="J241" s="48"/>
      <c r="K241" s="17"/>
      <c r="L241" s="49"/>
    </row>
    <row r="242" spans="10:12" ht="15" customHeight="1" x14ac:dyDescent="0.25">
      <c r="J242" s="48"/>
      <c r="K242" s="17"/>
      <c r="L242" s="49"/>
    </row>
    <row r="243" spans="10:12" ht="15" customHeight="1" x14ac:dyDescent="0.25">
      <c r="J243" s="48"/>
      <c r="K243" s="17"/>
      <c r="L243" s="49"/>
    </row>
    <row r="244" spans="10:12" ht="15" customHeight="1" x14ac:dyDescent="0.25">
      <c r="J244" s="48"/>
      <c r="K244" s="17"/>
      <c r="L244" s="49"/>
    </row>
    <row r="245" spans="10:12" ht="15" customHeight="1" x14ac:dyDescent="0.25">
      <c r="J245" s="48"/>
      <c r="K245" s="17"/>
      <c r="L245" s="49"/>
    </row>
    <row r="246" spans="10:12" ht="15" customHeight="1" x14ac:dyDescent="0.25">
      <c r="J246" s="48"/>
      <c r="K246" s="17"/>
      <c r="L246" s="49"/>
    </row>
    <row r="247" spans="10:12" ht="15" customHeight="1" x14ac:dyDescent="0.25">
      <c r="J247" s="48"/>
      <c r="K247" s="17"/>
      <c r="L247" s="49"/>
    </row>
    <row r="248" spans="10:12" ht="15" customHeight="1" x14ac:dyDescent="0.25">
      <c r="J248" s="48"/>
      <c r="K248" s="17"/>
      <c r="L248" s="49"/>
    </row>
    <row r="249" spans="10:12" ht="15" customHeight="1" x14ac:dyDescent="0.25">
      <c r="J249" s="48"/>
      <c r="K249" s="17"/>
      <c r="L249" s="49"/>
    </row>
    <row r="250" spans="10:12" ht="15" customHeight="1" x14ac:dyDescent="0.25">
      <c r="J250" s="48"/>
      <c r="K250" s="17"/>
      <c r="L250" s="49"/>
    </row>
    <row r="251" spans="10:12" ht="15" customHeight="1" x14ac:dyDescent="0.25">
      <c r="J251" s="48"/>
      <c r="K251" s="17"/>
      <c r="L251" s="49"/>
    </row>
    <row r="252" spans="10:12" ht="15" customHeight="1" x14ac:dyDescent="0.25">
      <c r="J252" s="48"/>
      <c r="K252" s="17"/>
      <c r="L252" s="49"/>
    </row>
    <row r="253" spans="10:12" ht="15" customHeight="1" x14ac:dyDescent="0.25">
      <c r="J253" s="48"/>
      <c r="K253" s="17"/>
      <c r="L253" s="49"/>
    </row>
    <row r="254" spans="10:12" ht="15" customHeight="1" x14ac:dyDescent="0.25">
      <c r="J254" s="48"/>
      <c r="K254" s="17"/>
      <c r="L254" s="49"/>
    </row>
    <row r="255" spans="10:12" ht="15" customHeight="1" x14ac:dyDescent="0.25">
      <c r="J255" s="48"/>
      <c r="K255" s="17"/>
      <c r="L255" s="49"/>
    </row>
    <row r="256" spans="10:12" ht="15" customHeight="1" x14ac:dyDescent="0.25">
      <c r="J256" s="48"/>
      <c r="K256" s="17"/>
      <c r="L256" s="49"/>
    </row>
    <row r="257" spans="10:12" ht="15" customHeight="1" x14ac:dyDescent="0.25">
      <c r="J257" s="48"/>
      <c r="K257" s="17"/>
      <c r="L257" s="49"/>
    </row>
    <row r="258" spans="10:12" ht="15" customHeight="1" x14ac:dyDescent="0.25">
      <c r="J258" s="48"/>
      <c r="K258" s="17"/>
      <c r="L258" s="49"/>
    </row>
    <row r="259" spans="10:12" ht="15" customHeight="1" x14ac:dyDescent="0.25">
      <c r="J259" s="48"/>
      <c r="K259" s="17"/>
      <c r="L259" s="49"/>
    </row>
    <row r="260" spans="10:12" ht="15" customHeight="1" x14ac:dyDescent="0.25">
      <c r="J260" s="48"/>
      <c r="K260" s="17"/>
      <c r="L260" s="49"/>
    </row>
    <row r="261" spans="10:12" ht="15" customHeight="1" x14ac:dyDescent="0.25">
      <c r="J261" s="48"/>
      <c r="K261" s="17"/>
      <c r="L261" s="49"/>
    </row>
    <row r="262" spans="10:12" ht="15" customHeight="1" x14ac:dyDescent="0.25">
      <c r="J262" s="48"/>
      <c r="K262" s="17"/>
      <c r="L262" s="49"/>
    </row>
    <row r="263" spans="10:12" ht="15" customHeight="1" x14ac:dyDescent="0.25">
      <c r="J263" s="48"/>
      <c r="K263" s="17"/>
      <c r="L263" s="49"/>
    </row>
    <row r="264" spans="10:12" ht="15" customHeight="1" x14ac:dyDescent="0.25">
      <c r="J264" s="48"/>
      <c r="K264" s="17"/>
      <c r="L264" s="49"/>
    </row>
    <row r="265" spans="10:12" ht="15" customHeight="1" x14ac:dyDescent="0.25">
      <c r="J265" s="48"/>
      <c r="K265" s="17"/>
      <c r="L265" s="49"/>
    </row>
    <row r="266" spans="10:12" ht="15" customHeight="1" x14ac:dyDescent="0.25">
      <c r="J266" s="48"/>
      <c r="K266" s="17"/>
      <c r="L266" s="49"/>
    </row>
    <row r="267" spans="10:12" ht="15" customHeight="1" x14ac:dyDescent="0.25">
      <c r="J267" s="48"/>
      <c r="K267" s="17"/>
      <c r="L267" s="49"/>
    </row>
    <row r="268" spans="10:12" ht="15" customHeight="1" x14ac:dyDescent="0.25">
      <c r="J268" s="48"/>
      <c r="K268" s="17"/>
      <c r="L268" s="49"/>
    </row>
    <row r="269" spans="10:12" ht="15" customHeight="1" x14ac:dyDescent="0.25">
      <c r="J269" s="48"/>
      <c r="K269" s="17"/>
      <c r="L269" s="49"/>
    </row>
    <row r="270" spans="10:12" ht="15" customHeight="1" x14ac:dyDescent="0.25">
      <c r="J270" s="48"/>
      <c r="K270" s="17"/>
      <c r="L270" s="49"/>
    </row>
    <row r="271" spans="10:12" ht="15" customHeight="1" x14ac:dyDescent="0.25">
      <c r="J271" s="48"/>
      <c r="K271" s="17"/>
      <c r="L271" s="49"/>
    </row>
    <row r="272" spans="10:12" ht="15" customHeight="1" x14ac:dyDescent="0.25">
      <c r="J272" s="48"/>
      <c r="K272" s="17"/>
      <c r="L272" s="49"/>
    </row>
    <row r="273" spans="10:12" ht="15" customHeight="1" x14ac:dyDescent="0.25">
      <c r="J273" s="48"/>
      <c r="K273" s="17"/>
      <c r="L273" s="49"/>
    </row>
    <row r="274" spans="10:12" ht="15" customHeight="1" x14ac:dyDescent="0.25">
      <c r="J274" s="48"/>
      <c r="K274" s="17"/>
      <c r="L274" s="49"/>
    </row>
    <row r="275" spans="10:12" ht="15" customHeight="1" x14ac:dyDescent="0.25">
      <c r="J275" s="48"/>
      <c r="K275" s="17"/>
      <c r="L275" s="49"/>
    </row>
    <row r="276" spans="10:12" ht="15" customHeight="1" x14ac:dyDescent="0.25">
      <c r="J276" s="48"/>
      <c r="K276" s="17"/>
      <c r="L276" s="49"/>
    </row>
    <row r="277" spans="10:12" ht="15" customHeight="1" x14ac:dyDescent="0.25">
      <c r="J277" s="48"/>
      <c r="K277" s="17"/>
      <c r="L277" s="49"/>
    </row>
    <row r="278" spans="10:12" ht="15" customHeight="1" x14ac:dyDescent="0.25">
      <c r="J278" s="48"/>
      <c r="K278" s="17"/>
      <c r="L278" s="49"/>
    </row>
    <row r="279" spans="10:12" ht="15" customHeight="1" x14ac:dyDescent="0.25">
      <c r="J279" s="48"/>
      <c r="K279" s="17"/>
      <c r="L279" s="49"/>
    </row>
    <row r="280" spans="10:12" ht="15" customHeight="1" x14ac:dyDescent="0.25">
      <c r="J280" s="48"/>
      <c r="K280" s="17"/>
      <c r="L280" s="49"/>
    </row>
    <row r="281" spans="10:12" ht="15" customHeight="1" x14ac:dyDescent="0.25">
      <c r="J281" s="48"/>
      <c r="K281" s="17"/>
      <c r="L281" s="49"/>
    </row>
    <row r="282" spans="10:12" ht="15" customHeight="1" x14ac:dyDescent="0.25">
      <c r="J282" s="48"/>
      <c r="K282" s="17"/>
      <c r="L282" s="49"/>
    </row>
    <row r="283" spans="10:12" ht="15" customHeight="1" x14ac:dyDescent="0.25">
      <c r="J283" s="48"/>
      <c r="K283" s="17"/>
      <c r="L283" s="49"/>
    </row>
    <row r="284" spans="10:12" ht="15" customHeight="1" x14ac:dyDescent="0.25">
      <c r="J284" s="48"/>
      <c r="K284" s="17"/>
      <c r="L284" s="49"/>
    </row>
    <row r="285" spans="10:12" ht="15" customHeight="1" x14ac:dyDescent="0.25">
      <c r="J285" s="48"/>
      <c r="K285" s="17"/>
      <c r="L285" s="49"/>
    </row>
    <row r="286" spans="10:12" ht="15" customHeight="1" x14ac:dyDescent="0.25">
      <c r="J286" s="48"/>
      <c r="K286" s="17"/>
      <c r="L286" s="49"/>
    </row>
    <row r="287" spans="10:12" ht="15" customHeight="1" x14ac:dyDescent="0.25">
      <c r="J287" s="48"/>
      <c r="K287" s="17"/>
      <c r="L287" s="49"/>
    </row>
    <row r="288" spans="10:12" ht="15" customHeight="1" x14ac:dyDescent="0.25">
      <c r="J288" s="48"/>
      <c r="K288" s="17"/>
      <c r="L288" s="49"/>
    </row>
    <row r="289" spans="10:12" ht="15" customHeight="1" x14ac:dyDescent="0.25">
      <c r="J289" s="48"/>
      <c r="K289" s="17"/>
      <c r="L289" s="49"/>
    </row>
    <row r="290" spans="10:12" ht="15" customHeight="1" x14ac:dyDescent="0.25">
      <c r="J290" s="48"/>
      <c r="K290" s="17"/>
      <c r="L290" s="49"/>
    </row>
    <row r="291" spans="10:12" ht="15" customHeight="1" x14ac:dyDescent="0.25">
      <c r="J291" s="48"/>
      <c r="K291" s="17"/>
      <c r="L291" s="49"/>
    </row>
    <row r="292" spans="10:12" ht="15" customHeight="1" x14ac:dyDescent="0.25">
      <c r="J292" s="48"/>
      <c r="K292" s="17"/>
      <c r="L292" s="49"/>
    </row>
    <row r="293" spans="10:12" ht="15" customHeight="1" x14ac:dyDescent="0.25">
      <c r="J293" s="48"/>
      <c r="K293" s="17"/>
      <c r="L293" s="49"/>
    </row>
    <row r="294" spans="10:12" ht="15" customHeight="1" x14ac:dyDescent="0.25">
      <c r="J294" s="48"/>
      <c r="K294" s="17"/>
      <c r="L294" s="49"/>
    </row>
    <row r="295" spans="10:12" ht="15" customHeight="1" x14ac:dyDescent="0.25">
      <c r="J295" s="48"/>
      <c r="K295" s="17"/>
      <c r="L295" s="49"/>
    </row>
    <row r="296" spans="10:12" ht="15" customHeight="1" x14ac:dyDescent="0.25">
      <c r="J296" s="48"/>
      <c r="K296" s="17"/>
      <c r="L296" s="49"/>
    </row>
    <row r="297" spans="10:12" ht="15" customHeight="1" x14ac:dyDescent="0.25">
      <c r="J297" s="48"/>
      <c r="K297" s="17"/>
      <c r="L297" s="49"/>
    </row>
    <row r="298" spans="10:12" ht="15" customHeight="1" x14ac:dyDescent="0.25">
      <c r="J298" s="48"/>
      <c r="K298" s="17"/>
      <c r="L298" s="49"/>
    </row>
    <row r="299" spans="10:12" ht="15" customHeight="1" x14ac:dyDescent="0.25">
      <c r="J299" s="48"/>
      <c r="K299" s="17"/>
      <c r="L299" s="49"/>
    </row>
    <row r="300" spans="10:12" ht="15" customHeight="1" x14ac:dyDescent="0.25">
      <c r="J300" s="48"/>
      <c r="K300" s="17"/>
      <c r="L300" s="49"/>
    </row>
    <row r="301" spans="10:12" ht="15" customHeight="1" x14ac:dyDescent="0.25">
      <c r="J301" s="48"/>
      <c r="K301" s="17"/>
      <c r="L301" s="49"/>
    </row>
    <row r="302" spans="10:12" ht="15" customHeight="1" x14ac:dyDescent="0.25">
      <c r="J302" s="48"/>
      <c r="K302" s="17"/>
      <c r="L302" s="49"/>
    </row>
    <row r="303" spans="10:12" ht="15" customHeight="1" x14ac:dyDescent="0.25">
      <c r="J303" s="48"/>
      <c r="K303" s="17"/>
      <c r="L303" s="49"/>
    </row>
    <row r="304" spans="10:12" ht="15" customHeight="1" x14ac:dyDescent="0.25">
      <c r="J304" s="48"/>
      <c r="K304" s="17"/>
      <c r="L304" s="49"/>
    </row>
    <row r="305" spans="10:12" ht="15" customHeight="1" x14ac:dyDescent="0.25">
      <c r="J305" s="48"/>
      <c r="K305" s="17"/>
      <c r="L305" s="49"/>
    </row>
    <row r="306" spans="10:12" ht="15" customHeight="1" x14ac:dyDescent="0.25">
      <c r="J306" s="48"/>
      <c r="K306" s="17"/>
      <c r="L306" s="49"/>
    </row>
    <row r="307" spans="10:12" ht="15" customHeight="1" x14ac:dyDescent="0.25">
      <c r="J307" s="48"/>
      <c r="K307" s="17"/>
      <c r="L307" s="49"/>
    </row>
    <row r="308" spans="10:12" ht="15" customHeight="1" x14ac:dyDescent="0.25">
      <c r="J308" s="48"/>
      <c r="K308" s="17"/>
      <c r="L308" s="49"/>
    </row>
    <row r="309" spans="10:12" ht="15" customHeight="1" x14ac:dyDescent="0.25">
      <c r="J309" s="48"/>
      <c r="K309" s="17"/>
      <c r="L309" s="49"/>
    </row>
    <row r="310" spans="10:12" ht="15" customHeight="1" x14ac:dyDescent="0.25">
      <c r="J310" s="48"/>
      <c r="K310" s="17"/>
      <c r="L310" s="49"/>
    </row>
    <row r="311" spans="10:12" ht="15" customHeight="1" x14ac:dyDescent="0.25">
      <c r="J311" s="48"/>
      <c r="K311" s="17"/>
      <c r="L311" s="49"/>
    </row>
    <row r="312" spans="10:12" ht="15" customHeight="1" x14ac:dyDescent="0.25">
      <c r="J312" s="48"/>
      <c r="K312" s="17"/>
      <c r="L312" s="49"/>
    </row>
    <row r="313" spans="10:12" ht="15" customHeight="1" x14ac:dyDescent="0.25">
      <c r="J313" s="48"/>
      <c r="K313" s="17"/>
      <c r="L313" s="49"/>
    </row>
    <row r="314" spans="10:12" ht="15" customHeight="1" x14ac:dyDescent="0.25">
      <c r="J314" s="48"/>
      <c r="K314" s="17"/>
      <c r="L314" s="49"/>
    </row>
    <row r="315" spans="10:12" ht="15" customHeight="1" x14ac:dyDescent="0.25">
      <c r="J315" s="48"/>
      <c r="K315" s="17"/>
      <c r="L315" s="49"/>
    </row>
    <row r="316" spans="10:12" ht="15" customHeight="1" x14ac:dyDescent="0.25">
      <c r="J316" s="48"/>
      <c r="K316" s="17"/>
      <c r="L316" s="49"/>
    </row>
    <row r="317" spans="10:12" ht="15" customHeight="1" x14ac:dyDescent="0.25">
      <c r="J317" s="48"/>
      <c r="K317" s="17"/>
      <c r="L317" s="49"/>
    </row>
    <row r="318" spans="10:12" ht="15" customHeight="1" x14ac:dyDescent="0.25">
      <c r="J318" s="48"/>
      <c r="K318" s="17"/>
      <c r="L318" s="49"/>
    </row>
    <row r="319" spans="10:12" ht="15" customHeight="1" x14ac:dyDescent="0.25">
      <c r="J319" s="16"/>
      <c r="K319" s="17"/>
      <c r="L319" s="49"/>
    </row>
    <row r="320" spans="10:12" ht="15" customHeight="1" x14ac:dyDescent="0.25">
      <c r="J320" s="16"/>
      <c r="K320" s="17"/>
      <c r="L320" s="49"/>
    </row>
    <row r="321" spans="10:12" ht="15" customHeight="1" x14ac:dyDescent="0.25">
      <c r="J321" s="16"/>
      <c r="K321" s="17"/>
      <c r="L321" s="49"/>
    </row>
    <row r="322" spans="10:12" ht="15" customHeight="1" x14ac:dyDescent="0.25">
      <c r="J322" s="16"/>
      <c r="K322" s="17"/>
      <c r="L322" s="49"/>
    </row>
    <row r="323" spans="10:12" ht="15" customHeight="1" x14ac:dyDescent="0.25">
      <c r="J323" s="16"/>
      <c r="K323" s="17"/>
      <c r="L323" s="49"/>
    </row>
    <row r="324" spans="10:12" ht="15" customHeight="1" x14ac:dyDescent="0.25">
      <c r="J324" s="16"/>
      <c r="K324" s="17"/>
      <c r="L324" s="49"/>
    </row>
    <row r="325" spans="10:12" ht="15" customHeight="1" x14ac:dyDescent="0.25">
      <c r="J325" s="16"/>
      <c r="K325" s="17"/>
      <c r="L325" s="49"/>
    </row>
    <row r="326" spans="10:12" ht="15" customHeight="1" x14ac:dyDescent="0.25">
      <c r="J326" s="16"/>
      <c r="K326" s="17"/>
      <c r="L326" s="49"/>
    </row>
    <row r="327" spans="10:12" ht="15" customHeight="1" x14ac:dyDescent="0.25">
      <c r="J327" s="16"/>
      <c r="K327" s="17"/>
      <c r="L327" s="49"/>
    </row>
    <row r="328" spans="10:12" ht="15" customHeight="1" x14ac:dyDescent="0.25">
      <c r="J328" s="16"/>
      <c r="K328" s="17"/>
      <c r="L328" s="49"/>
    </row>
    <row r="329" spans="10:12" ht="15" customHeight="1" x14ac:dyDescent="0.25">
      <c r="J329" s="16"/>
      <c r="K329" s="17"/>
      <c r="L329" s="49"/>
    </row>
    <row r="330" spans="10:12" ht="15" customHeight="1" x14ac:dyDescent="0.25">
      <c r="J330" s="16"/>
      <c r="K330" s="17"/>
      <c r="L330" s="49"/>
    </row>
    <row r="331" spans="10:12" ht="15" customHeight="1" x14ac:dyDescent="0.25">
      <c r="J331" s="16"/>
      <c r="K331" s="17"/>
      <c r="L331" s="49"/>
    </row>
    <row r="332" spans="10:12" ht="15" customHeight="1" x14ac:dyDescent="0.25">
      <c r="J332" s="16"/>
      <c r="K332" s="17"/>
      <c r="L332" s="49"/>
    </row>
    <row r="333" spans="10:12" ht="15" customHeight="1" x14ac:dyDescent="0.25">
      <c r="J333" s="16"/>
      <c r="K333" s="17"/>
      <c r="L333" s="49"/>
    </row>
    <row r="334" spans="10:12" ht="15" customHeight="1" x14ac:dyDescent="0.25">
      <c r="J334" s="16"/>
      <c r="K334" s="17"/>
      <c r="L334" s="49"/>
    </row>
    <row r="335" spans="10:12" ht="15" customHeight="1" x14ac:dyDescent="0.25">
      <c r="J335" s="16"/>
      <c r="K335" s="17"/>
      <c r="L335" s="49"/>
    </row>
    <row r="336" spans="10:12" ht="15" customHeight="1" x14ac:dyDescent="0.25">
      <c r="J336" s="16"/>
      <c r="K336" s="17"/>
      <c r="L336" s="49"/>
    </row>
    <row r="337" spans="10:12" ht="15" customHeight="1" x14ac:dyDescent="0.25">
      <c r="J337" s="16"/>
      <c r="K337" s="17"/>
      <c r="L337" s="49"/>
    </row>
    <row r="338" spans="10:12" ht="15" customHeight="1" x14ac:dyDescent="0.25">
      <c r="J338" s="16"/>
      <c r="K338" s="17"/>
      <c r="L338" s="49"/>
    </row>
    <row r="339" spans="10:12" ht="15" customHeight="1" x14ac:dyDescent="0.25">
      <c r="J339" s="16"/>
      <c r="K339" s="17"/>
      <c r="L339" s="49"/>
    </row>
    <row r="340" spans="10:12" ht="15" customHeight="1" x14ac:dyDescent="0.25">
      <c r="J340" s="16"/>
      <c r="K340" s="17"/>
      <c r="L340" s="49"/>
    </row>
    <row r="341" spans="10:12" ht="15" customHeight="1" x14ac:dyDescent="0.25">
      <c r="J341" s="16"/>
      <c r="K341" s="17"/>
      <c r="L341" s="49"/>
    </row>
    <row r="342" spans="10:12" ht="15" customHeight="1" x14ac:dyDescent="0.25">
      <c r="J342" s="16"/>
      <c r="K342" s="17"/>
      <c r="L342" s="49"/>
    </row>
    <row r="343" spans="10:12" ht="15" customHeight="1" x14ac:dyDescent="0.25">
      <c r="J343" s="16"/>
      <c r="K343" s="17"/>
      <c r="L343" s="49"/>
    </row>
    <row r="344" spans="10:12" ht="15" customHeight="1" x14ac:dyDescent="0.25">
      <c r="J344" s="16"/>
      <c r="K344" s="17"/>
      <c r="L344" s="49"/>
    </row>
    <row r="345" spans="10:12" ht="15" customHeight="1" x14ac:dyDescent="0.25">
      <c r="J345" s="16"/>
      <c r="K345" s="17"/>
      <c r="L345" s="49"/>
    </row>
    <row r="346" spans="10:12" ht="15" customHeight="1" x14ac:dyDescent="0.25">
      <c r="J346" s="16"/>
      <c r="K346" s="17"/>
      <c r="L346" s="49"/>
    </row>
    <row r="347" spans="10:12" ht="15" customHeight="1" x14ac:dyDescent="0.25">
      <c r="J347" s="16"/>
      <c r="K347" s="17"/>
      <c r="L347" s="49"/>
    </row>
    <row r="348" spans="10:12" ht="15" customHeight="1" x14ac:dyDescent="0.25">
      <c r="J348" s="16"/>
      <c r="K348" s="17"/>
      <c r="L348" s="49"/>
    </row>
    <row r="349" spans="10:12" ht="15" customHeight="1" x14ac:dyDescent="0.25">
      <c r="J349" s="16"/>
      <c r="K349" s="17"/>
      <c r="L349" s="49"/>
    </row>
    <row r="350" spans="10:12" ht="15" customHeight="1" x14ac:dyDescent="0.25">
      <c r="J350" s="16"/>
      <c r="K350" s="17"/>
      <c r="L350" s="49"/>
    </row>
    <row r="351" spans="10:12" ht="15" customHeight="1" x14ac:dyDescent="0.25">
      <c r="J351" s="16"/>
      <c r="K351" s="17"/>
      <c r="L351" s="49"/>
    </row>
    <row r="352" spans="10:12" ht="15" customHeight="1" x14ac:dyDescent="0.25">
      <c r="J352" s="16"/>
      <c r="K352" s="17"/>
      <c r="L352" s="49"/>
    </row>
    <row r="353" spans="10:12" ht="15" customHeight="1" x14ac:dyDescent="0.25">
      <c r="J353" s="16"/>
      <c r="K353" s="17"/>
      <c r="L353" s="49"/>
    </row>
    <row r="354" spans="10:12" ht="15" customHeight="1" x14ac:dyDescent="0.25">
      <c r="J354" s="16"/>
      <c r="K354" s="17"/>
      <c r="L354" s="49"/>
    </row>
  </sheetData>
  <autoFilter ref="A5:R127" xr:uid="{00000000-0009-0000-0000-00000C000000}">
    <filterColumn colId="11" showButton="0"/>
  </autoFilter>
  <mergeCells count="21">
    <mergeCell ref="A2:F3"/>
    <mergeCell ref="G2:I3"/>
    <mergeCell ref="J2:L3"/>
    <mergeCell ref="M2:N3"/>
    <mergeCell ref="A1:N1"/>
    <mergeCell ref="O1:P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M5"/>
    <mergeCell ref="O2:P3"/>
    <mergeCell ref="O4:P5"/>
    <mergeCell ref="N4:N5"/>
  </mergeCells>
  <conditionalFormatting sqref="C7:E29 C25:C52 K7:M16 A7:A58 C48:E58 G7:I58 D60:D61 C59:C65 C68:C74 C76:C95 I59:I116">
    <cfRule type="expression" dxfId="14149" priority="6550">
      <formula>AND($A7&lt;&gt;"",MOD(ROW(),2))</formula>
    </cfRule>
  </conditionalFormatting>
  <conditionalFormatting sqref="D7:D29 K7:K16 D48:D58 D60:D61">
    <cfRule type="cellIs" dxfId="14148" priority="6547" operator="equal">
      <formula>$C7</formula>
    </cfRule>
    <cfRule type="cellIs" dxfId="14147" priority="6548" operator="greaterThan">
      <formula>$C7</formula>
    </cfRule>
    <cfRule type="cellIs" dxfId="14146" priority="6549" operator="lessThan">
      <formula>$C7</formula>
    </cfRule>
  </conditionalFormatting>
  <conditionalFormatting sqref="K30:M58 K15:M28">
    <cfRule type="expression" dxfId="14145" priority="6526">
      <formula>AND($A15&lt;&gt;"",MOD(ROW(),2))</formula>
    </cfRule>
  </conditionalFormatting>
  <conditionalFormatting sqref="K59:L84">
    <cfRule type="expression" dxfId="14144" priority="6522">
      <formula>AND($A59&lt;&gt;"",MOD(ROW(),2))</formula>
    </cfRule>
  </conditionalFormatting>
  <conditionalFormatting sqref="K30:K84 K15:K28">
    <cfRule type="cellIs" dxfId="14143" priority="6519" operator="equal">
      <formula>$C15</formula>
    </cfRule>
    <cfRule type="cellIs" dxfId="14142" priority="6520" operator="greaterThan">
      <formula>$C15</formula>
    </cfRule>
    <cfRule type="cellIs" dxfId="14141" priority="6521" operator="lessThan">
      <formula>$C15</formula>
    </cfRule>
  </conditionalFormatting>
  <conditionalFormatting sqref="K85:L110">
    <cfRule type="expression" dxfId="14140" priority="6518">
      <formula>AND($A85&lt;&gt;"",MOD(ROW(),2))</formula>
    </cfRule>
  </conditionalFormatting>
  <conditionalFormatting sqref="K85:K110">
    <cfRule type="cellIs" dxfId="14139" priority="6515" operator="equal">
      <formula>$C85</formula>
    </cfRule>
    <cfRule type="cellIs" dxfId="14138" priority="6516" operator="greaterThan">
      <formula>$C85</formula>
    </cfRule>
    <cfRule type="cellIs" dxfId="14137" priority="6517" operator="lessThan">
      <formula>$C85</formula>
    </cfRule>
  </conditionalFormatting>
  <conditionalFormatting sqref="K111:L136">
    <cfRule type="expression" dxfId="14136" priority="6514">
      <formula>AND($A111&lt;&gt;"",MOD(ROW(),2))</formula>
    </cfRule>
  </conditionalFormatting>
  <conditionalFormatting sqref="K111:K136">
    <cfRule type="cellIs" dxfId="14135" priority="6511" operator="equal">
      <formula>$C111</formula>
    </cfRule>
    <cfRule type="cellIs" dxfId="14134" priority="6512" operator="greaterThan">
      <formula>$C111</formula>
    </cfRule>
    <cfRule type="cellIs" dxfId="14133" priority="6513" operator="lessThan">
      <formula>$C111</formula>
    </cfRule>
  </conditionalFormatting>
  <conditionalFormatting sqref="K137:L162">
    <cfRule type="expression" dxfId="14132" priority="6510">
      <formula>AND($A137&lt;&gt;"",MOD(ROW(),2))</formula>
    </cfRule>
  </conditionalFormatting>
  <conditionalFormatting sqref="K137:K162">
    <cfRule type="cellIs" dxfId="14131" priority="6507" operator="equal">
      <formula>$C137</formula>
    </cfRule>
    <cfRule type="cellIs" dxfId="14130" priority="6508" operator="greaterThan">
      <formula>$C137</formula>
    </cfRule>
    <cfRule type="cellIs" dxfId="14129" priority="6509" operator="lessThan">
      <formula>$C137</formula>
    </cfRule>
  </conditionalFormatting>
  <conditionalFormatting sqref="K163:L188">
    <cfRule type="expression" dxfId="14128" priority="6506">
      <formula>AND($A163&lt;&gt;"",MOD(ROW(),2))</formula>
    </cfRule>
  </conditionalFormatting>
  <conditionalFormatting sqref="K163:K188">
    <cfRule type="cellIs" dxfId="14127" priority="6503" operator="equal">
      <formula>$C163</formula>
    </cfRule>
    <cfRule type="cellIs" dxfId="14126" priority="6504" operator="greaterThan">
      <formula>$C163</formula>
    </cfRule>
    <cfRule type="cellIs" dxfId="14125" priority="6505" operator="lessThan">
      <formula>$C163</formula>
    </cfRule>
  </conditionalFormatting>
  <conditionalFormatting sqref="K189:L214">
    <cfRule type="expression" dxfId="14124" priority="6502">
      <formula>AND($A189&lt;&gt;"",MOD(ROW(),2))</formula>
    </cfRule>
  </conditionalFormatting>
  <conditionalFormatting sqref="K189:K214">
    <cfRule type="cellIs" dxfId="14123" priority="6499" operator="equal">
      <formula>$C189</formula>
    </cfRule>
    <cfRule type="cellIs" dxfId="14122" priority="6500" operator="greaterThan">
      <formula>$C189</formula>
    </cfRule>
    <cfRule type="cellIs" dxfId="14121" priority="6501" operator="lessThan">
      <formula>$C189</formula>
    </cfRule>
  </conditionalFormatting>
  <conditionalFormatting sqref="K215:L240">
    <cfRule type="expression" dxfId="14120" priority="6498">
      <formula>AND($A215&lt;&gt;"",MOD(ROW(),2))</formula>
    </cfRule>
  </conditionalFormatting>
  <conditionalFormatting sqref="K215:K240">
    <cfRule type="cellIs" dxfId="14119" priority="6495" operator="equal">
      <formula>$C215</formula>
    </cfRule>
    <cfRule type="cellIs" dxfId="14118" priority="6496" operator="greaterThan">
      <formula>$C215</formula>
    </cfRule>
    <cfRule type="cellIs" dxfId="14117" priority="6497" operator="lessThan">
      <formula>$C215</formula>
    </cfRule>
  </conditionalFormatting>
  <conditionalFormatting sqref="K241:L266">
    <cfRule type="expression" dxfId="14116" priority="6494">
      <formula>AND($A241&lt;&gt;"",MOD(ROW(),2))</formula>
    </cfRule>
  </conditionalFormatting>
  <conditionalFormatting sqref="K241:K266">
    <cfRule type="cellIs" dxfId="14115" priority="6491" operator="equal">
      <formula>$C241</formula>
    </cfRule>
    <cfRule type="cellIs" dxfId="14114" priority="6492" operator="greaterThan">
      <formula>$C241</formula>
    </cfRule>
    <cfRule type="cellIs" dxfId="14113" priority="6493" operator="lessThan">
      <formula>$C241</formula>
    </cfRule>
  </conditionalFormatting>
  <conditionalFormatting sqref="K267:L292">
    <cfRule type="expression" dxfId="14112" priority="6490">
      <formula>AND($A267&lt;&gt;"",MOD(ROW(),2))</formula>
    </cfRule>
  </conditionalFormatting>
  <conditionalFormatting sqref="K267:K292">
    <cfRule type="cellIs" dxfId="14111" priority="6487" operator="equal">
      <formula>$C267</formula>
    </cfRule>
    <cfRule type="cellIs" dxfId="14110" priority="6488" operator="greaterThan">
      <formula>$C267</formula>
    </cfRule>
    <cfRule type="cellIs" dxfId="14109" priority="6489" operator="lessThan">
      <formula>$C267</formula>
    </cfRule>
  </conditionalFormatting>
  <conditionalFormatting sqref="K293:L318">
    <cfRule type="expression" dxfId="14108" priority="6486">
      <formula>AND($A293&lt;&gt;"",MOD(ROW(),2))</formula>
    </cfRule>
  </conditionalFormatting>
  <conditionalFormatting sqref="K293:K318">
    <cfRule type="cellIs" dxfId="14107" priority="6483" operator="equal">
      <formula>$C293</formula>
    </cfRule>
    <cfRule type="cellIs" dxfId="14106" priority="6484" operator="greaterThan">
      <formula>$C293</formula>
    </cfRule>
    <cfRule type="cellIs" dxfId="14105" priority="6485" operator="lessThan">
      <formula>$C293</formula>
    </cfRule>
  </conditionalFormatting>
  <conditionalFormatting sqref="F7:F29 F48:F2989">
    <cfRule type="containsText" dxfId="14104" priority="6482" operator="containsText" text="Unpaid Rent">
      <formula>NOT(ISERROR(SEARCH("Unpaid Rent",F7)))</formula>
    </cfRule>
    <cfRule type="containsText" dxfId="14103" priority="6527" stopIfTrue="1" operator="containsText" text="Closed Account">
      <formula>NOT(ISERROR(SEARCH("Closed Account",F7)))</formula>
    </cfRule>
  </conditionalFormatting>
  <conditionalFormatting sqref="M33:M58 L33:L318 L30:M32 L7:M28">
    <cfRule type="expression" dxfId="14102" priority="6545">
      <formula>AND(#REF!&lt;&gt;"",MOD(ROW(),2))</formula>
    </cfRule>
  </conditionalFormatting>
  <conditionalFormatting sqref="M33:M58 L33:L318 L30:M32 L7:M28">
    <cfRule type="expression" dxfId="14101" priority="6544">
      <formula>AND(#REF!&lt;&gt;"",MOD(ROW(),2))</formula>
    </cfRule>
  </conditionalFormatting>
  <conditionalFormatting sqref="M30:M58 M7:M28">
    <cfRule type="cellIs" dxfId="14100" priority="6540" operator="equal">
      <formula>#REF!</formula>
    </cfRule>
    <cfRule type="cellIs" dxfId="14099" priority="6541" operator="greaterThan">
      <formula>#REF!</formula>
    </cfRule>
    <cfRule type="cellIs" dxfId="14098" priority="6542" operator="lessThan">
      <formula>#REF!</formula>
    </cfRule>
  </conditionalFormatting>
  <conditionalFormatting sqref="K319:L321">
    <cfRule type="expression" dxfId="14097" priority="6476">
      <formula>AND($A319&lt;&gt;"",MOD(ROW(),2))</formula>
    </cfRule>
  </conditionalFormatting>
  <conditionalFormatting sqref="K319:K321">
    <cfRule type="cellIs" dxfId="14096" priority="6473" operator="equal">
      <formula>$C319</formula>
    </cfRule>
    <cfRule type="cellIs" dxfId="14095" priority="6474" operator="greaterThan">
      <formula>$C319</formula>
    </cfRule>
    <cfRule type="cellIs" dxfId="14094" priority="6475" operator="lessThan">
      <formula>$C319</formula>
    </cfRule>
  </conditionalFormatting>
  <conditionalFormatting sqref="L319:L321">
    <cfRule type="expression" dxfId="14093" priority="6478">
      <formula>AND(#REF!&lt;&gt;"",MOD(ROW(),2))</formula>
    </cfRule>
  </conditionalFormatting>
  <conditionalFormatting sqref="L319:L321">
    <cfRule type="expression" dxfId="14092" priority="6477">
      <formula>AND(#REF!&lt;&gt;"",MOD(ROW(),2))</formula>
    </cfRule>
  </conditionalFormatting>
  <conditionalFormatting sqref="K322:L324">
    <cfRule type="expression" dxfId="14091" priority="6470">
      <formula>AND($A322&lt;&gt;"",MOD(ROW(),2))</formula>
    </cfRule>
  </conditionalFormatting>
  <conditionalFormatting sqref="K322:K324">
    <cfRule type="cellIs" dxfId="14090" priority="6467" operator="equal">
      <formula>$C322</formula>
    </cfRule>
    <cfRule type="cellIs" dxfId="14089" priority="6468" operator="greaterThan">
      <formula>$C322</formula>
    </cfRule>
    <cfRule type="cellIs" dxfId="14088" priority="6469" operator="lessThan">
      <formula>$C322</formula>
    </cfRule>
  </conditionalFormatting>
  <conditionalFormatting sqref="L322:L324">
    <cfRule type="expression" dxfId="14087" priority="6472">
      <formula>AND(#REF!&lt;&gt;"",MOD(ROW(),2))</formula>
    </cfRule>
  </conditionalFormatting>
  <conditionalFormatting sqref="L322:L324">
    <cfRule type="expression" dxfId="14086" priority="6471">
      <formula>AND(#REF!&lt;&gt;"",MOD(ROW(),2))</formula>
    </cfRule>
  </conditionalFormatting>
  <conditionalFormatting sqref="K325:L327">
    <cfRule type="expression" dxfId="14085" priority="6464">
      <formula>AND($A325&lt;&gt;"",MOD(ROW(),2))</formula>
    </cfRule>
  </conditionalFormatting>
  <conditionalFormatting sqref="K325:K327">
    <cfRule type="cellIs" dxfId="14084" priority="6461" operator="equal">
      <formula>$C325</formula>
    </cfRule>
    <cfRule type="cellIs" dxfId="14083" priority="6462" operator="greaterThan">
      <formula>$C325</formula>
    </cfRule>
    <cfRule type="cellIs" dxfId="14082" priority="6463" operator="lessThan">
      <formula>$C325</formula>
    </cfRule>
  </conditionalFormatting>
  <conditionalFormatting sqref="L325:L327">
    <cfRule type="expression" dxfId="14081" priority="6466">
      <formula>AND(#REF!&lt;&gt;"",MOD(ROW(),2))</formula>
    </cfRule>
  </conditionalFormatting>
  <conditionalFormatting sqref="L325:L327">
    <cfRule type="expression" dxfId="14080" priority="6465">
      <formula>AND(#REF!&lt;&gt;"",MOD(ROW(),2))</formula>
    </cfRule>
  </conditionalFormatting>
  <conditionalFormatting sqref="K328:L330">
    <cfRule type="expression" dxfId="14079" priority="6458">
      <formula>AND($A328&lt;&gt;"",MOD(ROW(),2))</formula>
    </cfRule>
  </conditionalFormatting>
  <conditionalFormatting sqref="K328:K330">
    <cfRule type="cellIs" dxfId="14078" priority="6455" operator="equal">
      <formula>$C328</formula>
    </cfRule>
    <cfRule type="cellIs" dxfId="14077" priority="6456" operator="greaterThan">
      <formula>$C328</formula>
    </cfRule>
    <cfRule type="cellIs" dxfId="14076" priority="6457" operator="lessThan">
      <formula>$C328</formula>
    </cfRule>
  </conditionalFormatting>
  <conditionalFormatting sqref="L328:L330">
    <cfRule type="expression" dxfId="14075" priority="6460">
      <formula>AND(#REF!&lt;&gt;"",MOD(ROW(),2))</formula>
    </cfRule>
  </conditionalFormatting>
  <conditionalFormatting sqref="L328:L330">
    <cfRule type="expression" dxfId="14074" priority="6459">
      <formula>AND(#REF!&lt;&gt;"",MOD(ROW(),2))</formula>
    </cfRule>
  </conditionalFormatting>
  <conditionalFormatting sqref="K331:L333">
    <cfRule type="expression" dxfId="14073" priority="6452">
      <formula>AND($A331&lt;&gt;"",MOD(ROW(),2))</formula>
    </cfRule>
  </conditionalFormatting>
  <conditionalFormatting sqref="K331:K333">
    <cfRule type="cellIs" dxfId="14072" priority="6449" operator="equal">
      <formula>$C331</formula>
    </cfRule>
    <cfRule type="cellIs" dxfId="14071" priority="6450" operator="greaterThan">
      <formula>$C331</formula>
    </cfRule>
    <cfRule type="cellIs" dxfId="14070" priority="6451" operator="lessThan">
      <formula>$C331</formula>
    </cfRule>
  </conditionalFormatting>
  <conditionalFormatting sqref="L331:L333">
    <cfRule type="expression" dxfId="14069" priority="6454">
      <formula>AND(#REF!&lt;&gt;"",MOD(ROW(),2))</formula>
    </cfRule>
  </conditionalFormatting>
  <conditionalFormatting sqref="L331:L333">
    <cfRule type="expression" dxfId="14068" priority="6453">
      <formula>AND(#REF!&lt;&gt;"",MOD(ROW(),2))</formula>
    </cfRule>
  </conditionalFormatting>
  <conditionalFormatting sqref="K334:L336">
    <cfRule type="expression" dxfId="14067" priority="6446">
      <formula>AND($A334&lt;&gt;"",MOD(ROW(),2))</formula>
    </cfRule>
  </conditionalFormatting>
  <conditionalFormatting sqref="K334:K336">
    <cfRule type="cellIs" dxfId="14066" priority="6443" operator="equal">
      <formula>$C334</formula>
    </cfRule>
    <cfRule type="cellIs" dxfId="14065" priority="6444" operator="greaterThan">
      <formula>$C334</formula>
    </cfRule>
    <cfRule type="cellIs" dxfId="14064" priority="6445" operator="lessThan">
      <formula>$C334</formula>
    </cfRule>
  </conditionalFormatting>
  <conditionalFormatting sqref="L334:L336">
    <cfRule type="expression" dxfId="14063" priority="6448">
      <formula>AND(#REF!&lt;&gt;"",MOD(ROW(),2))</formula>
    </cfRule>
  </conditionalFormatting>
  <conditionalFormatting sqref="L334:L336">
    <cfRule type="expression" dxfId="14062" priority="6447">
      <formula>AND(#REF!&lt;&gt;"",MOD(ROW(),2))</formula>
    </cfRule>
  </conditionalFormatting>
  <conditionalFormatting sqref="K337:L339">
    <cfRule type="expression" dxfId="14061" priority="6440">
      <formula>AND($A337&lt;&gt;"",MOD(ROW(),2))</formula>
    </cfRule>
  </conditionalFormatting>
  <conditionalFormatting sqref="K337:K339">
    <cfRule type="cellIs" dxfId="14060" priority="6437" operator="equal">
      <formula>$C337</formula>
    </cfRule>
    <cfRule type="cellIs" dxfId="14059" priority="6438" operator="greaterThan">
      <formula>$C337</formula>
    </cfRule>
    <cfRule type="cellIs" dxfId="14058" priority="6439" operator="lessThan">
      <formula>$C337</formula>
    </cfRule>
  </conditionalFormatting>
  <conditionalFormatting sqref="L337:L339">
    <cfRule type="expression" dxfId="14057" priority="6442">
      <formula>AND(#REF!&lt;&gt;"",MOD(ROW(),2))</formula>
    </cfRule>
  </conditionalFormatting>
  <conditionalFormatting sqref="L337:L339">
    <cfRule type="expression" dxfId="14056" priority="6441">
      <formula>AND(#REF!&lt;&gt;"",MOD(ROW(),2))</formula>
    </cfRule>
  </conditionalFormatting>
  <conditionalFormatting sqref="K340:L342">
    <cfRule type="expression" dxfId="14055" priority="6434">
      <formula>AND($A340&lt;&gt;"",MOD(ROW(),2))</formula>
    </cfRule>
  </conditionalFormatting>
  <conditionalFormatting sqref="K340:K342">
    <cfRule type="cellIs" dxfId="14054" priority="6431" operator="equal">
      <formula>$C340</formula>
    </cfRule>
    <cfRule type="cellIs" dxfId="14053" priority="6432" operator="greaterThan">
      <formula>$C340</formula>
    </cfRule>
    <cfRule type="cellIs" dxfId="14052" priority="6433" operator="lessThan">
      <formula>$C340</formula>
    </cfRule>
  </conditionalFormatting>
  <conditionalFormatting sqref="L340:L342">
    <cfRule type="expression" dxfId="14051" priority="6436">
      <formula>AND(#REF!&lt;&gt;"",MOD(ROW(),2))</formula>
    </cfRule>
  </conditionalFormatting>
  <conditionalFormatting sqref="L340:L342">
    <cfRule type="expression" dxfId="14050" priority="6435">
      <formula>AND(#REF!&lt;&gt;"",MOD(ROW(),2))</formula>
    </cfRule>
  </conditionalFormatting>
  <conditionalFormatting sqref="K343:L345">
    <cfRule type="expression" dxfId="14049" priority="6428">
      <formula>AND($A343&lt;&gt;"",MOD(ROW(),2))</formula>
    </cfRule>
  </conditionalFormatting>
  <conditionalFormatting sqref="K343:K345">
    <cfRule type="cellIs" dxfId="14048" priority="6425" operator="equal">
      <formula>$C343</formula>
    </cfRule>
    <cfRule type="cellIs" dxfId="14047" priority="6426" operator="greaterThan">
      <formula>$C343</formula>
    </cfRule>
    <cfRule type="cellIs" dxfId="14046" priority="6427" operator="lessThan">
      <formula>$C343</formula>
    </cfRule>
  </conditionalFormatting>
  <conditionalFormatting sqref="L343:L345">
    <cfRule type="expression" dxfId="14045" priority="6430">
      <formula>AND(#REF!&lt;&gt;"",MOD(ROW(),2))</formula>
    </cfRule>
  </conditionalFormatting>
  <conditionalFormatting sqref="L343:L345">
    <cfRule type="expression" dxfId="14044" priority="6429">
      <formula>AND(#REF!&lt;&gt;"",MOD(ROW(),2))</formula>
    </cfRule>
  </conditionalFormatting>
  <conditionalFormatting sqref="K346:L348">
    <cfRule type="expression" dxfId="14043" priority="6422">
      <formula>AND($A346&lt;&gt;"",MOD(ROW(),2))</formula>
    </cfRule>
  </conditionalFormatting>
  <conditionalFormatting sqref="K346:K348">
    <cfRule type="cellIs" dxfId="14042" priority="6419" operator="equal">
      <formula>$C346</formula>
    </cfRule>
    <cfRule type="cellIs" dxfId="14041" priority="6420" operator="greaterThan">
      <formula>$C346</formula>
    </cfRule>
    <cfRule type="cellIs" dxfId="14040" priority="6421" operator="lessThan">
      <formula>$C346</formula>
    </cfRule>
  </conditionalFormatting>
  <conditionalFormatting sqref="L346:L348">
    <cfRule type="expression" dxfId="14039" priority="6424">
      <formula>AND(#REF!&lt;&gt;"",MOD(ROW(),2))</formula>
    </cfRule>
  </conditionalFormatting>
  <conditionalFormatting sqref="L346:L348">
    <cfRule type="expression" dxfId="14038" priority="6423">
      <formula>AND(#REF!&lt;&gt;"",MOD(ROW(),2))</formula>
    </cfRule>
  </conditionalFormatting>
  <conditionalFormatting sqref="K349:L351">
    <cfRule type="expression" dxfId="14037" priority="6416">
      <formula>AND($A349&lt;&gt;"",MOD(ROW(),2))</formula>
    </cfRule>
  </conditionalFormatting>
  <conditionalFormatting sqref="K349:K351">
    <cfRule type="cellIs" dxfId="14036" priority="6413" operator="equal">
      <formula>$C349</formula>
    </cfRule>
    <cfRule type="cellIs" dxfId="14035" priority="6414" operator="greaterThan">
      <formula>$C349</formula>
    </cfRule>
    <cfRule type="cellIs" dxfId="14034" priority="6415" operator="lessThan">
      <formula>$C349</formula>
    </cfRule>
  </conditionalFormatting>
  <conditionalFormatting sqref="L349:L351">
    <cfRule type="expression" dxfId="14033" priority="6418">
      <formula>AND(#REF!&lt;&gt;"",MOD(ROW(),2))</formula>
    </cfRule>
  </conditionalFormatting>
  <conditionalFormatting sqref="L349:L351">
    <cfRule type="expression" dxfId="14032" priority="6417">
      <formula>AND(#REF!&lt;&gt;"",MOD(ROW(),2))</formula>
    </cfRule>
  </conditionalFormatting>
  <conditionalFormatting sqref="K352:L354">
    <cfRule type="expression" dxfId="14031" priority="6410">
      <formula>AND($A352&lt;&gt;"",MOD(ROW(),2))</formula>
    </cfRule>
  </conditionalFormatting>
  <conditionalFormatting sqref="K352:K354">
    <cfRule type="cellIs" dxfId="14030" priority="6407" operator="equal">
      <formula>$C352</formula>
    </cfRule>
    <cfRule type="cellIs" dxfId="14029" priority="6408" operator="greaterThan">
      <formula>$C352</formula>
    </cfRule>
    <cfRule type="cellIs" dxfId="14028" priority="6409" operator="lessThan">
      <formula>$C352</formula>
    </cfRule>
  </conditionalFormatting>
  <conditionalFormatting sqref="L352:L354">
    <cfRule type="expression" dxfId="14027" priority="6412">
      <formula>AND(#REF!&lt;&gt;"",MOD(ROW(),2))</formula>
    </cfRule>
  </conditionalFormatting>
  <conditionalFormatting sqref="L352:L354">
    <cfRule type="expression" dxfId="14026" priority="6411">
      <formula>AND(#REF!&lt;&gt;"",MOD(ROW(),2))</formula>
    </cfRule>
  </conditionalFormatting>
  <conditionalFormatting sqref="D26:E26">
    <cfRule type="expression" dxfId="14025" priority="6240">
      <formula>AND($A26&lt;&gt;"",MOD(ROW(),2))</formula>
    </cfRule>
  </conditionalFormatting>
  <conditionalFormatting sqref="D26">
    <cfRule type="cellIs" dxfId="14024" priority="6237" operator="equal">
      <formula>$C26</formula>
    </cfRule>
    <cfRule type="cellIs" dxfId="14023" priority="6238" operator="greaterThan">
      <formula>$C26</formula>
    </cfRule>
    <cfRule type="cellIs" dxfId="14022" priority="6239" operator="lessThan">
      <formula>$C26</formula>
    </cfRule>
  </conditionalFormatting>
  <conditionalFormatting sqref="D27:E27">
    <cfRule type="expression" dxfId="14021" priority="6234">
      <formula>AND($A27&lt;&gt;"",MOD(ROW(),2))</formula>
    </cfRule>
  </conditionalFormatting>
  <conditionalFormatting sqref="D27">
    <cfRule type="cellIs" dxfId="14020" priority="6231" operator="equal">
      <formula>$C27</formula>
    </cfRule>
    <cfRule type="cellIs" dxfId="14019" priority="6232" operator="greaterThan">
      <formula>$C27</formula>
    </cfRule>
    <cfRule type="cellIs" dxfId="14018" priority="6233" operator="lessThan">
      <formula>$C27</formula>
    </cfRule>
  </conditionalFormatting>
  <conditionalFormatting sqref="D28:E28">
    <cfRule type="expression" dxfId="14017" priority="6230">
      <formula>AND($A28&lt;&gt;"",MOD(ROW(),2))</formula>
    </cfRule>
  </conditionalFormatting>
  <conditionalFormatting sqref="D28">
    <cfRule type="cellIs" dxfId="14016" priority="6227" operator="equal">
      <formula>$C28</formula>
    </cfRule>
    <cfRule type="cellIs" dxfId="14015" priority="6228" operator="greaterThan">
      <formula>$C28</formula>
    </cfRule>
    <cfRule type="cellIs" dxfId="14014" priority="6229" operator="lessThan">
      <formula>$C28</formula>
    </cfRule>
  </conditionalFormatting>
  <conditionalFormatting sqref="D29:E29">
    <cfRule type="expression" dxfId="14013" priority="6226">
      <formula>AND($A29&lt;&gt;"",MOD(ROW(),2))</formula>
    </cfRule>
  </conditionalFormatting>
  <conditionalFormatting sqref="D29">
    <cfRule type="cellIs" dxfId="14012" priority="6223" operator="equal">
      <formula>$C29</formula>
    </cfRule>
    <cfRule type="cellIs" dxfId="14011" priority="6224" operator="greaterThan">
      <formula>$C29</formula>
    </cfRule>
    <cfRule type="cellIs" dxfId="14010" priority="6225" operator="lessThan">
      <formula>$C29</formula>
    </cfRule>
  </conditionalFormatting>
  <conditionalFormatting sqref="D30:E30">
    <cfRule type="expression" dxfId="14009" priority="6222">
      <formula>AND($A30&lt;&gt;"",MOD(ROW(),2))</formula>
    </cfRule>
  </conditionalFormatting>
  <conditionalFormatting sqref="D30">
    <cfRule type="cellIs" dxfId="14008" priority="6219" operator="equal">
      <formula>$C30</formula>
    </cfRule>
    <cfRule type="cellIs" dxfId="14007" priority="6220" operator="greaterThan">
      <formula>$C30</formula>
    </cfRule>
    <cfRule type="cellIs" dxfId="14006" priority="6221" operator="lessThan">
      <formula>$C30</formula>
    </cfRule>
  </conditionalFormatting>
  <conditionalFormatting sqref="D31:E31">
    <cfRule type="expression" dxfId="14005" priority="6218">
      <formula>AND($A31&lt;&gt;"",MOD(ROW(),2))</formula>
    </cfRule>
  </conditionalFormatting>
  <conditionalFormatting sqref="D31">
    <cfRule type="cellIs" dxfId="14004" priority="6215" operator="equal">
      <formula>$C31</formula>
    </cfRule>
    <cfRule type="cellIs" dxfId="14003" priority="6216" operator="greaterThan">
      <formula>$C31</formula>
    </cfRule>
    <cfRule type="cellIs" dxfId="14002" priority="6217" operator="lessThan">
      <formula>$C31</formula>
    </cfRule>
  </conditionalFormatting>
  <conditionalFormatting sqref="D32:E32">
    <cfRule type="expression" dxfId="14001" priority="6214">
      <formula>AND($A32&lt;&gt;"",MOD(ROW(),2))</formula>
    </cfRule>
  </conditionalFormatting>
  <conditionalFormatting sqref="D32">
    <cfRule type="cellIs" dxfId="14000" priority="6211" operator="equal">
      <formula>$C32</formula>
    </cfRule>
    <cfRule type="cellIs" dxfId="13999" priority="6212" operator="greaterThan">
      <formula>$C32</formula>
    </cfRule>
    <cfRule type="cellIs" dxfId="13998" priority="6213" operator="lessThan">
      <formula>$C32</formula>
    </cfRule>
  </conditionalFormatting>
  <conditionalFormatting sqref="D33:E33">
    <cfRule type="expression" dxfId="13997" priority="6210">
      <formula>AND($A33&lt;&gt;"",MOD(ROW(),2))</formula>
    </cfRule>
  </conditionalFormatting>
  <conditionalFormatting sqref="D33">
    <cfRule type="cellIs" dxfId="13996" priority="6207" operator="equal">
      <formula>$C33</formula>
    </cfRule>
    <cfRule type="cellIs" dxfId="13995" priority="6208" operator="greaterThan">
      <formula>$C33</formula>
    </cfRule>
    <cfRule type="cellIs" dxfId="13994" priority="6209" operator="lessThan">
      <formula>$C33</formula>
    </cfRule>
  </conditionalFormatting>
  <conditionalFormatting sqref="D34:E34">
    <cfRule type="expression" dxfId="13993" priority="6206">
      <formula>AND($A34&lt;&gt;"",MOD(ROW(),2))</formula>
    </cfRule>
  </conditionalFormatting>
  <conditionalFormatting sqref="D34">
    <cfRule type="cellIs" dxfId="13992" priority="6203" operator="equal">
      <formula>$C34</formula>
    </cfRule>
    <cfRule type="cellIs" dxfId="13991" priority="6204" operator="greaterThan">
      <formula>$C34</formula>
    </cfRule>
    <cfRule type="cellIs" dxfId="13990" priority="6205" operator="lessThan">
      <formula>$C34</formula>
    </cfRule>
  </conditionalFormatting>
  <conditionalFormatting sqref="D35:E35">
    <cfRule type="expression" dxfId="13989" priority="6202">
      <formula>AND($A35&lt;&gt;"",MOD(ROW(),2))</formula>
    </cfRule>
  </conditionalFormatting>
  <conditionalFormatting sqref="D35">
    <cfRule type="cellIs" dxfId="13988" priority="6199" operator="equal">
      <formula>$C35</formula>
    </cfRule>
    <cfRule type="cellIs" dxfId="13987" priority="6200" operator="greaterThan">
      <formula>$C35</formula>
    </cfRule>
    <cfRule type="cellIs" dxfId="13986" priority="6201" operator="lessThan">
      <formula>$C35</formula>
    </cfRule>
  </conditionalFormatting>
  <conditionalFormatting sqref="D36:E36">
    <cfRule type="expression" dxfId="13985" priority="6198">
      <formula>AND($A36&lt;&gt;"",MOD(ROW(),2))</formula>
    </cfRule>
  </conditionalFormatting>
  <conditionalFormatting sqref="D36">
    <cfRule type="cellIs" dxfId="13984" priority="6195" operator="equal">
      <formula>$C36</formula>
    </cfRule>
    <cfRule type="cellIs" dxfId="13983" priority="6196" operator="greaterThan">
      <formula>$C36</formula>
    </cfRule>
    <cfRule type="cellIs" dxfId="13982" priority="6197" operator="lessThan">
      <formula>$C36</formula>
    </cfRule>
  </conditionalFormatting>
  <conditionalFormatting sqref="D37:E37">
    <cfRule type="expression" dxfId="13981" priority="6194">
      <formula>AND($A37&lt;&gt;"",MOD(ROW(),2))</formula>
    </cfRule>
  </conditionalFormatting>
  <conditionalFormatting sqref="D37">
    <cfRule type="cellIs" dxfId="13980" priority="6191" operator="equal">
      <formula>$C37</formula>
    </cfRule>
    <cfRule type="cellIs" dxfId="13979" priority="6192" operator="greaterThan">
      <formula>$C37</formula>
    </cfRule>
    <cfRule type="cellIs" dxfId="13978" priority="6193" operator="lessThan">
      <formula>$C37</formula>
    </cfRule>
  </conditionalFormatting>
  <conditionalFormatting sqref="F25:F41">
    <cfRule type="containsText" dxfId="13977" priority="6167" operator="containsText" text="Unpaid Rent">
      <formula>NOT(ISERROR(SEARCH("Unpaid Rent",F25)))</formula>
    </cfRule>
    <cfRule type="containsText" dxfId="13976" priority="6168" stopIfTrue="1" operator="containsText" text="Closed Account">
      <formula>NOT(ISERROR(SEARCH("Closed Account",F25)))</formula>
    </cfRule>
  </conditionalFormatting>
  <conditionalFormatting sqref="F36:F53">
    <cfRule type="containsText" dxfId="13975" priority="6165" operator="containsText" text="Unpaid Rent">
      <formula>NOT(ISERROR(SEARCH("Unpaid Rent",F36)))</formula>
    </cfRule>
    <cfRule type="containsText" dxfId="13974" priority="6166" stopIfTrue="1" operator="containsText" text="Closed Account">
      <formula>NOT(ISERROR(SEARCH("Closed Account",F36)))</formula>
    </cfRule>
  </conditionalFormatting>
  <conditionalFormatting sqref="D38:E38">
    <cfRule type="expression" dxfId="13973" priority="6164">
      <formula>AND($A38&lt;&gt;"",MOD(ROW(),2))</formula>
    </cfRule>
  </conditionalFormatting>
  <conditionalFormatting sqref="D38">
    <cfRule type="cellIs" dxfId="13972" priority="6161" operator="equal">
      <formula>$C38</formula>
    </cfRule>
    <cfRule type="cellIs" dxfId="13971" priority="6162" operator="greaterThan">
      <formula>$C38</formula>
    </cfRule>
    <cfRule type="cellIs" dxfId="13970" priority="6163" operator="lessThan">
      <formula>$C38</formula>
    </cfRule>
  </conditionalFormatting>
  <conditionalFormatting sqref="D39:E39">
    <cfRule type="expression" dxfId="13969" priority="6160">
      <formula>AND($A39&lt;&gt;"",MOD(ROW(),2))</formula>
    </cfRule>
  </conditionalFormatting>
  <conditionalFormatting sqref="D39">
    <cfRule type="cellIs" dxfId="13968" priority="6157" operator="equal">
      <formula>$C39</formula>
    </cfRule>
    <cfRule type="cellIs" dxfId="13967" priority="6158" operator="greaterThan">
      <formula>$C39</formula>
    </cfRule>
    <cfRule type="cellIs" dxfId="13966" priority="6159" operator="lessThan">
      <formula>$C39</formula>
    </cfRule>
  </conditionalFormatting>
  <conditionalFormatting sqref="D40:E40">
    <cfRule type="expression" dxfId="13965" priority="6156">
      <formula>AND($A40&lt;&gt;"",MOD(ROW(),2))</formula>
    </cfRule>
  </conditionalFormatting>
  <conditionalFormatting sqref="D40">
    <cfRule type="cellIs" dxfId="13964" priority="6153" operator="equal">
      <formula>$C40</formula>
    </cfRule>
    <cfRule type="cellIs" dxfId="13963" priority="6154" operator="greaterThan">
      <formula>$C40</formula>
    </cfRule>
    <cfRule type="cellIs" dxfId="13962" priority="6155" operator="lessThan">
      <formula>$C40</formula>
    </cfRule>
  </conditionalFormatting>
  <conditionalFormatting sqref="D41:E41">
    <cfRule type="expression" dxfId="13961" priority="6152">
      <formula>AND($A41&lt;&gt;"",MOD(ROW(),2))</formula>
    </cfRule>
  </conditionalFormatting>
  <conditionalFormatting sqref="D41">
    <cfRule type="cellIs" dxfId="13960" priority="6149" operator="equal">
      <formula>$C41</formula>
    </cfRule>
    <cfRule type="cellIs" dxfId="13959" priority="6150" operator="greaterThan">
      <formula>$C41</formula>
    </cfRule>
    <cfRule type="cellIs" dxfId="13958" priority="6151" operator="lessThan">
      <formula>$C41</formula>
    </cfRule>
  </conditionalFormatting>
  <conditionalFormatting sqref="D42:E42">
    <cfRule type="expression" dxfId="13957" priority="6148">
      <formula>AND($A42&lt;&gt;"",MOD(ROW(),2))</formula>
    </cfRule>
  </conditionalFormatting>
  <conditionalFormatting sqref="D42">
    <cfRule type="cellIs" dxfId="13956" priority="6145" operator="equal">
      <formula>$C42</formula>
    </cfRule>
    <cfRule type="cellIs" dxfId="13955" priority="6146" operator="greaterThan">
      <formula>$C42</formula>
    </cfRule>
    <cfRule type="cellIs" dxfId="13954" priority="6147" operator="lessThan">
      <formula>$C42</formula>
    </cfRule>
  </conditionalFormatting>
  <conditionalFormatting sqref="D43:E43">
    <cfRule type="expression" dxfId="13953" priority="6144">
      <formula>AND($A43&lt;&gt;"",MOD(ROW(),2))</formula>
    </cfRule>
  </conditionalFormatting>
  <conditionalFormatting sqref="D43">
    <cfRule type="cellIs" dxfId="13952" priority="6141" operator="equal">
      <formula>$C43</formula>
    </cfRule>
    <cfRule type="cellIs" dxfId="13951" priority="6142" operator="greaterThan">
      <formula>$C43</formula>
    </cfRule>
    <cfRule type="cellIs" dxfId="13950" priority="6143" operator="lessThan">
      <formula>$C43</formula>
    </cfRule>
  </conditionalFormatting>
  <conditionalFormatting sqref="D44:E44">
    <cfRule type="expression" dxfId="13949" priority="6140">
      <formula>AND($A44&lt;&gt;"",MOD(ROW(),2))</formula>
    </cfRule>
  </conditionalFormatting>
  <conditionalFormatting sqref="D44">
    <cfRule type="cellIs" dxfId="13948" priority="6137" operator="equal">
      <formula>$C44</formula>
    </cfRule>
    <cfRule type="cellIs" dxfId="13947" priority="6138" operator="greaterThan">
      <formula>$C44</formula>
    </cfRule>
    <cfRule type="cellIs" dxfId="13946" priority="6139" operator="lessThan">
      <formula>$C44</formula>
    </cfRule>
  </conditionalFormatting>
  <conditionalFormatting sqref="D45:E45">
    <cfRule type="expression" dxfId="13945" priority="6136">
      <formula>AND($A45&lt;&gt;"",MOD(ROW(),2))</formula>
    </cfRule>
  </conditionalFormatting>
  <conditionalFormatting sqref="D45">
    <cfRule type="cellIs" dxfId="13944" priority="6133" operator="equal">
      <formula>$C45</formula>
    </cfRule>
    <cfRule type="cellIs" dxfId="13943" priority="6134" operator="greaterThan">
      <formula>$C45</formula>
    </cfRule>
    <cfRule type="cellIs" dxfId="13942" priority="6135" operator="lessThan">
      <formula>$C45</formula>
    </cfRule>
  </conditionalFormatting>
  <conditionalFormatting sqref="D46:E46">
    <cfRule type="expression" dxfId="13941" priority="6132">
      <formula>AND($A46&lt;&gt;"",MOD(ROW(),2))</formula>
    </cfRule>
  </conditionalFormatting>
  <conditionalFormatting sqref="D46">
    <cfRule type="cellIs" dxfId="13940" priority="6129" operator="equal">
      <formula>$C46</formula>
    </cfRule>
    <cfRule type="cellIs" dxfId="13939" priority="6130" operator="greaterThan">
      <formula>$C46</formula>
    </cfRule>
    <cfRule type="cellIs" dxfId="13938" priority="6131" operator="lessThan">
      <formula>$C46</formula>
    </cfRule>
  </conditionalFormatting>
  <conditionalFormatting sqref="D47:E47">
    <cfRule type="expression" dxfId="13937" priority="6128">
      <formula>AND($A47&lt;&gt;"",MOD(ROW(),2))</formula>
    </cfRule>
  </conditionalFormatting>
  <conditionalFormatting sqref="D47">
    <cfRule type="cellIs" dxfId="13936" priority="6125" operator="equal">
      <formula>$C47</formula>
    </cfRule>
    <cfRule type="cellIs" dxfId="13935" priority="6126" operator="greaterThan">
      <formula>$C47</formula>
    </cfRule>
    <cfRule type="cellIs" dxfId="13934" priority="6127" operator="lessThan">
      <formula>$C47</formula>
    </cfRule>
  </conditionalFormatting>
  <conditionalFormatting sqref="D48:E48">
    <cfRule type="expression" dxfId="13933" priority="6124">
      <formula>AND($A48&lt;&gt;"",MOD(ROW(),2))</formula>
    </cfRule>
  </conditionalFormatting>
  <conditionalFormatting sqref="D48">
    <cfRule type="cellIs" dxfId="13932" priority="6121" operator="equal">
      <formula>$C48</formula>
    </cfRule>
    <cfRule type="cellIs" dxfId="13931" priority="6122" operator="greaterThan">
      <formula>$C48</formula>
    </cfRule>
    <cfRule type="cellIs" dxfId="13930" priority="6123" operator="lessThan">
      <formula>$C48</formula>
    </cfRule>
  </conditionalFormatting>
  <conditionalFormatting sqref="D49:E49">
    <cfRule type="expression" dxfId="13929" priority="6120">
      <formula>AND($A49&lt;&gt;"",MOD(ROW(),2))</formula>
    </cfRule>
  </conditionalFormatting>
  <conditionalFormatting sqref="D49">
    <cfRule type="cellIs" dxfId="13928" priority="6117" operator="equal">
      <formula>$C49</formula>
    </cfRule>
    <cfRule type="cellIs" dxfId="13927" priority="6118" operator="greaterThan">
      <formula>$C49</formula>
    </cfRule>
    <cfRule type="cellIs" dxfId="13926" priority="6119" operator="lessThan">
      <formula>$C49</formula>
    </cfRule>
  </conditionalFormatting>
  <conditionalFormatting sqref="K29:M29">
    <cfRule type="expression" dxfId="13925" priority="6111">
      <formula>AND($A29&lt;&gt;"",MOD(ROW(),2))</formula>
    </cfRule>
  </conditionalFormatting>
  <conditionalFormatting sqref="K29">
    <cfRule type="cellIs" dxfId="13924" priority="6108" operator="equal">
      <formula>$C29</formula>
    </cfRule>
    <cfRule type="cellIs" dxfId="13923" priority="6109" operator="greaterThan">
      <formula>$C29</formula>
    </cfRule>
    <cfRule type="cellIs" dxfId="13922" priority="6110" operator="lessThan">
      <formula>$C29</formula>
    </cfRule>
  </conditionalFormatting>
  <conditionalFormatting sqref="L29:M29">
    <cfRule type="expression" dxfId="13921" priority="6116">
      <formula>AND(#REF!&lt;&gt;"",MOD(ROW(),2))</formula>
    </cfRule>
  </conditionalFormatting>
  <conditionalFormatting sqref="L29:M29">
    <cfRule type="expression" dxfId="13920" priority="6115">
      <formula>AND(#REF!&lt;&gt;"",MOD(ROW(),2))</formula>
    </cfRule>
  </conditionalFormatting>
  <conditionalFormatting sqref="M29">
    <cfRule type="cellIs" dxfId="13919" priority="6112" operator="equal">
      <formula>#REF!</formula>
    </cfRule>
    <cfRule type="cellIs" dxfId="13918" priority="6113" operator="greaterThan">
      <formula>#REF!</formula>
    </cfRule>
    <cfRule type="cellIs" dxfId="13917" priority="6114" operator="lessThan">
      <formula>#REF!</formula>
    </cfRule>
  </conditionalFormatting>
  <conditionalFormatting sqref="D27:E27">
    <cfRule type="expression" dxfId="13916" priority="6107">
      <formula>AND($A27&lt;&gt;"",MOD(ROW(),2))</formula>
    </cfRule>
  </conditionalFormatting>
  <conditionalFormatting sqref="D27">
    <cfRule type="cellIs" dxfId="13915" priority="6104" operator="equal">
      <formula>$C27</formula>
    </cfRule>
    <cfRule type="cellIs" dxfId="13914" priority="6105" operator="greaterThan">
      <formula>$C27</formula>
    </cfRule>
    <cfRule type="cellIs" dxfId="13913" priority="6106" operator="lessThan">
      <formula>$C27</formula>
    </cfRule>
  </conditionalFormatting>
  <conditionalFormatting sqref="D28:E28">
    <cfRule type="expression" dxfId="13912" priority="6103">
      <formula>AND($A28&lt;&gt;"",MOD(ROW(),2))</formula>
    </cfRule>
  </conditionalFormatting>
  <conditionalFormatting sqref="D28">
    <cfRule type="cellIs" dxfId="13911" priority="6100" operator="equal">
      <formula>$C28</formula>
    </cfRule>
    <cfRule type="cellIs" dxfId="13910" priority="6101" operator="greaterThan">
      <formula>$C28</formula>
    </cfRule>
    <cfRule type="cellIs" dxfId="13909" priority="6102" operator="lessThan">
      <formula>$C28</formula>
    </cfRule>
  </conditionalFormatting>
  <conditionalFormatting sqref="D29:E29">
    <cfRule type="expression" dxfId="13908" priority="6099">
      <formula>AND($A29&lt;&gt;"",MOD(ROW(),2))</formula>
    </cfRule>
  </conditionalFormatting>
  <conditionalFormatting sqref="D29">
    <cfRule type="cellIs" dxfId="13907" priority="6096" operator="equal">
      <formula>$C29</formula>
    </cfRule>
    <cfRule type="cellIs" dxfId="13906" priority="6097" operator="greaterThan">
      <formula>$C29</formula>
    </cfRule>
    <cfRule type="cellIs" dxfId="13905" priority="6098" operator="lessThan">
      <formula>$C29</formula>
    </cfRule>
  </conditionalFormatting>
  <conditionalFormatting sqref="D30:E30">
    <cfRule type="expression" dxfId="13904" priority="6095">
      <formula>AND($A30&lt;&gt;"",MOD(ROW(),2))</formula>
    </cfRule>
  </conditionalFormatting>
  <conditionalFormatting sqref="D30">
    <cfRule type="cellIs" dxfId="13903" priority="6092" operator="equal">
      <formula>$C30</formula>
    </cfRule>
    <cfRule type="cellIs" dxfId="13902" priority="6093" operator="greaterThan">
      <formula>$C30</formula>
    </cfRule>
    <cfRule type="cellIs" dxfId="13901" priority="6094" operator="lessThan">
      <formula>$C30</formula>
    </cfRule>
  </conditionalFormatting>
  <conditionalFormatting sqref="D31:E31">
    <cfRule type="expression" dxfId="13900" priority="6091">
      <formula>AND($A31&lt;&gt;"",MOD(ROW(),2))</formula>
    </cfRule>
  </conditionalFormatting>
  <conditionalFormatting sqref="D31">
    <cfRule type="cellIs" dxfId="13899" priority="6088" operator="equal">
      <formula>$C31</formula>
    </cfRule>
    <cfRule type="cellIs" dxfId="13898" priority="6089" operator="greaterThan">
      <formula>$C31</formula>
    </cfRule>
    <cfRule type="cellIs" dxfId="13897" priority="6090" operator="lessThan">
      <formula>$C31</formula>
    </cfRule>
  </conditionalFormatting>
  <conditionalFormatting sqref="D32:E32">
    <cfRule type="expression" dxfId="13896" priority="6087">
      <formula>AND($A32&lt;&gt;"",MOD(ROW(),2))</formula>
    </cfRule>
  </conditionalFormatting>
  <conditionalFormatting sqref="D32">
    <cfRule type="cellIs" dxfId="13895" priority="6084" operator="equal">
      <formula>$C32</formula>
    </cfRule>
    <cfRule type="cellIs" dxfId="13894" priority="6085" operator="greaterThan">
      <formula>$C32</formula>
    </cfRule>
    <cfRule type="cellIs" dxfId="13893" priority="6086" operator="lessThan">
      <formula>$C32</formula>
    </cfRule>
  </conditionalFormatting>
  <conditionalFormatting sqref="D33:E33">
    <cfRule type="expression" dxfId="13892" priority="6083">
      <formula>AND($A33&lt;&gt;"",MOD(ROW(),2))</formula>
    </cfRule>
  </conditionalFormatting>
  <conditionalFormatting sqref="D33">
    <cfRule type="cellIs" dxfId="13891" priority="6080" operator="equal">
      <formula>$C33</formula>
    </cfRule>
    <cfRule type="cellIs" dxfId="13890" priority="6081" operator="greaterThan">
      <formula>$C33</formula>
    </cfRule>
    <cfRule type="cellIs" dxfId="13889" priority="6082" operator="lessThan">
      <formula>$C33</formula>
    </cfRule>
  </conditionalFormatting>
  <conditionalFormatting sqref="D34:E34">
    <cfRule type="expression" dxfId="13888" priority="6079">
      <formula>AND($A34&lt;&gt;"",MOD(ROW(),2))</formula>
    </cfRule>
  </conditionalFormatting>
  <conditionalFormatting sqref="D34">
    <cfRule type="cellIs" dxfId="13887" priority="6076" operator="equal">
      <formula>$C34</formula>
    </cfRule>
    <cfRule type="cellIs" dxfId="13886" priority="6077" operator="greaterThan">
      <formula>$C34</formula>
    </cfRule>
    <cfRule type="cellIs" dxfId="13885" priority="6078" operator="lessThan">
      <formula>$C34</formula>
    </cfRule>
  </conditionalFormatting>
  <conditionalFormatting sqref="D35:E35">
    <cfRule type="expression" dxfId="13884" priority="6075">
      <formula>AND($A35&lt;&gt;"",MOD(ROW(),2))</formula>
    </cfRule>
  </conditionalFormatting>
  <conditionalFormatting sqref="D35">
    <cfRule type="cellIs" dxfId="13883" priority="6072" operator="equal">
      <formula>$C35</formula>
    </cfRule>
    <cfRule type="cellIs" dxfId="13882" priority="6073" operator="greaterThan">
      <formula>$C35</formula>
    </cfRule>
    <cfRule type="cellIs" dxfId="13881" priority="6074" operator="lessThan">
      <formula>$C35</formula>
    </cfRule>
  </conditionalFormatting>
  <conditionalFormatting sqref="D36:E36">
    <cfRule type="expression" dxfId="13880" priority="6071">
      <formula>AND($A36&lt;&gt;"",MOD(ROW(),2))</formula>
    </cfRule>
  </conditionalFormatting>
  <conditionalFormatting sqref="D36">
    <cfRule type="cellIs" dxfId="13879" priority="6068" operator="equal">
      <formula>$C36</formula>
    </cfRule>
    <cfRule type="cellIs" dxfId="13878" priority="6069" operator="greaterThan">
      <formula>$C36</formula>
    </cfRule>
    <cfRule type="cellIs" dxfId="13877" priority="6070" operator="lessThan">
      <formula>$C36</formula>
    </cfRule>
  </conditionalFormatting>
  <conditionalFormatting sqref="D37:E37">
    <cfRule type="expression" dxfId="13876" priority="6067">
      <formula>AND($A37&lt;&gt;"",MOD(ROW(),2))</formula>
    </cfRule>
  </conditionalFormatting>
  <conditionalFormatting sqref="D37">
    <cfRule type="cellIs" dxfId="13875" priority="6064" operator="equal">
      <formula>$C37</formula>
    </cfRule>
    <cfRule type="cellIs" dxfId="13874" priority="6065" operator="greaterThan">
      <formula>$C37</formula>
    </cfRule>
    <cfRule type="cellIs" dxfId="13873" priority="6066" operator="lessThan">
      <formula>$C37</formula>
    </cfRule>
  </conditionalFormatting>
  <conditionalFormatting sqref="D38:E38">
    <cfRule type="expression" dxfId="13872" priority="6063">
      <formula>AND($A38&lt;&gt;"",MOD(ROW(),2))</formula>
    </cfRule>
  </conditionalFormatting>
  <conditionalFormatting sqref="D38">
    <cfRule type="cellIs" dxfId="13871" priority="6060" operator="equal">
      <formula>$C38</formula>
    </cfRule>
    <cfRule type="cellIs" dxfId="13870" priority="6061" operator="greaterThan">
      <formula>$C38</formula>
    </cfRule>
    <cfRule type="cellIs" dxfId="13869" priority="6062" operator="lessThan">
      <formula>$C38</formula>
    </cfRule>
  </conditionalFormatting>
  <conditionalFormatting sqref="D39:E39">
    <cfRule type="expression" dxfId="13868" priority="6059">
      <formula>AND($A39&lt;&gt;"",MOD(ROW(),2))</formula>
    </cfRule>
  </conditionalFormatting>
  <conditionalFormatting sqref="D39">
    <cfRule type="cellIs" dxfId="13867" priority="6056" operator="equal">
      <formula>$C39</formula>
    </cfRule>
    <cfRule type="cellIs" dxfId="13866" priority="6057" operator="greaterThan">
      <formula>$C39</formula>
    </cfRule>
    <cfRule type="cellIs" dxfId="13865" priority="6058" operator="lessThan">
      <formula>$C39</formula>
    </cfRule>
  </conditionalFormatting>
  <conditionalFormatting sqref="D40:E40">
    <cfRule type="expression" dxfId="13864" priority="6055">
      <formula>AND($A40&lt;&gt;"",MOD(ROW(),2))</formula>
    </cfRule>
  </conditionalFormatting>
  <conditionalFormatting sqref="D40">
    <cfRule type="cellIs" dxfId="13863" priority="6052" operator="equal">
      <formula>$C40</formula>
    </cfRule>
    <cfRule type="cellIs" dxfId="13862" priority="6053" operator="greaterThan">
      <formula>$C40</formula>
    </cfRule>
    <cfRule type="cellIs" dxfId="13861" priority="6054" operator="lessThan">
      <formula>$C40</formula>
    </cfRule>
  </conditionalFormatting>
  <conditionalFormatting sqref="D41:E41">
    <cfRule type="expression" dxfId="13860" priority="6051">
      <formula>AND($A41&lt;&gt;"",MOD(ROW(),2))</formula>
    </cfRule>
  </conditionalFormatting>
  <conditionalFormatting sqref="D41">
    <cfRule type="cellIs" dxfId="13859" priority="6048" operator="equal">
      <formula>$C41</formula>
    </cfRule>
    <cfRule type="cellIs" dxfId="13858" priority="6049" operator="greaterThan">
      <formula>$C41</formula>
    </cfRule>
    <cfRule type="cellIs" dxfId="13857" priority="6050" operator="lessThan">
      <formula>$C41</formula>
    </cfRule>
  </conditionalFormatting>
  <conditionalFormatting sqref="D42:E42">
    <cfRule type="expression" dxfId="13856" priority="6047">
      <formula>AND($A42&lt;&gt;"",MOD(ROW(),2))</formula>
    </cfRule>
  </conditionalFormatting>
  <conditionalFormatting sqref="D42">
    <cfRule type="cellIs" dxfId="13855" priority="6044" operator="equal">
      <formula>$C42</formula>
    </cfRule>
    <cfRule type="cellIs" dxfId="13854" priority="6045" operator="greaterThan">
      <formula>$C42</formula>
    </cfRule>
    <cfRule type="cellIs" dxfId="13853" priority="6046" operator="lessThan">
      <formula>$C42</formula>
    </cfRule>
  </conditionalFormatting>
  <conditionalFormatting sqref="D43:E43">
    <cfRule type="expression" dxfId="13852" priority="6043">
      <formula>AND($A43&lt;&gt;"",MOD(ROW(),2))</formula>
    </cfRule>
  </conditionalFormatting>
  <conditionalFormatting sqref="D43">
    <cfRule type="cellIs" dxfId="13851" priority="6040" operator="equal">
      <formula>$C43</formula>
    </cfRule>
    <cfRule type="cellIs" dxfId="13850" priority="6041" operator="greaterThan">
      <formula>$C43</formula>
    </cfRule>
    <cfRule type="cellIs" dxfId="13849" priority="6042" operator="lessThan">
      <formula>$C43</formula>
    </cfRule>
  </conditionalFormatting>
  <conditionalFormatting sqref="D44:E44">
    <cfRule type="expression" dxfId="13848" priority="6039">
      <formula>AND($A44&lt;&gt;"",MOD(ROW(),2))</formula>
    </cfRule>
  </conditionalFormatting>
  <conditionalFormatting sqref="D44">
    <cfRule type="cellIs" dxfId="13847" priority="6036" operator="equal">
      <formula>$C44</formula>
    </cfRule>
    <cfRule type="cellIs" dxfId="13846" priority="6037" operator="greaterThan">
      <formula>$C44</formula>
    </cfRule>
    <cfRule type="cellIs" dxfId="13845" priority="6038" operator="lessThan">
      <formula>$C44</formula>
    </cfRule>
  </conditionalFormatting>
  <conditionalFormatting sqref="D45:E45">
    <cfRule type="expression" dxfId="13844" priority="6035">
      <formula>AND($A45&lt;&gt;"",MOD(ROW(),2))</formula>
    </cfRule>
  </conditionalFormatting>
  <conditionalFormatting sqref="D45">
    <cfRule type="cellIs" dxfId="13843" priority="6032" operator="equal">
      <formula>$C45</formula>
    </cfRule>
    <cfRule type="cellIs" dxfId="13842" priority="6033" operator="greaterThan">
      <formula>$C45</formula>
    </cfRule>
    <cfRule type="cellIs" dxfId="13841" priority="6034" operator="lessThan">
      <formula>$C45</formula>
    </cfRule>
  </conditionalFormatting>
  <conditionalFormatting sqref="D46:E46">
    <cfRule type="expression" dxfId="13840" priority="6031">
      <formula>AND($A46&lt;&gt;"",MOD(ROW(),2))</formula>
    </cfRule>
  </conditionalFormatting>
  <conditionalFormatting sqref="D46">
    <cfRule type="cellIs" dxfId="13839" priority="6028" operator="equal">
      <formula>$C46</formula>
    </cfRule>
    <cfRule type="cellIs" dxfId="13838" priority="6029" operator="greaterThan">
      <formula>$C46</formula>
    </cfRule>
    <cfRule type="cellIs" dxfId="13837" priority="6030" operator="lessThan">
      <formula>$C46</formula>
    </cfRule>
  </conditionalFormatting>
  <conditionalFormatting sqref="D47:E47">
    <cfRule type="expression" dxfId="13836" priority="6027">
      <formula>AND($A47&lt;&gt;"",MOD(ROW(),2))</formula>
    </cfRule>
  </conditionalFormatting>
  <conditionalFormatting sqref="D47">
    <cfRule type="cellIs" dxfId="13835" priority="6024" operator="equal">
      <formula>$C47</formula>
    </cfRule>
    <cfRule type="cellIs" dxfId="13834" priority="6025" operator="greaterThan">
      <formula>$C47</formula>
    </cfRule>
    <cfRule type="cellIs" dxfId="13833" priority="6026" operator="lessThan">
      <formula>$C47</formula>
    </cfRule>
  </conditionalFormatting>
  <conditionalFormatting sqref="D48:E48">
    <cfRule type="expression" dxfId="13832" priority="6023">
      <formula>AND($A48&lt;&gt;"",MOD(ROW(),2))</formula>
    </cfRule>
  </conditionalFormatting>
  <conditionalFormatting sqref="D48">
    <cfRule type="cellIs" dxfId="13831" priority="6020" operator="equal">
      <formula>$C48</formula>
    </cfRule>
    <cfRule type="cellIs" dxfId="13830" priority="6021" operator="greaterThan">
      <formula>$C48</formula>
    </cfRule>
    <cfRule type="cellIs" dxfId="13829" priority="6022" operator="lessThan">
      <formula>$C48</formula>
    </cfRule>
  </conditionalFormatting>
  <conditionalFormatting sqref="D49:E49">
    <cfRule type="expression" dxfId="13828" priority="6019">
      <formula>AND($A49&lt;&gt;"",MOD(ROW(),2))</formula>
    </cfRule>
  </conditionalFormatting>
  <conditionalFormatting sqref="D49">
    <cfRule type="cellIs" dxfId="13827" priority="6016" operator="equal">
      <formula>$C49</formula>
    </cfRule>
    <cfRule type="cellIs" dxfId="13826" priority="6017" operator="greaterThan">
      <formula>$C49</formula>
    </cfRule>
    <cfRule type="cellIs" dxfId="13825" priority="6018" operator="lessThan">
      <formula>$C49</formula>
    </cfRule>
  </conditionalFormatting>
  <conditionalFormatting sqref="D27:E27">
    <cfRule type="expression" dxfId="13824" priority="6015">
      <formula>AND($A27&lt;&gt;"",MOD(ROW(),2))</formula>
    </cfRule>
  </conditionalFormatting>
  <conditionalFormatting sqref="D27">
    <cfRule type="cellIs" dxfId="13823" priority="6012" operator="equal">
      <formula>$C27</formula>
    </cfRule>
    <cfRule type="cellIs" dxfId="13822" priority="6013" operator="greaterThan">
      <formula>$C27</formula>
    </cfRule>
    <cfRule type="cellIs" dxfId="13821" priority="6014" operator="lessThan">
      <formula>$C27</formula>
    </cfRule>
  </conditionalFormatting>
  <conditionalFormatting sqref="D28:E28">
    <cfRule type="expression" dxfId="13820" priority="6011">
      <formula>AND($A28&lt;&gt;"",MOD(ROW(),2))</formula>
    </cfRule>
  </conditionalFormatting>
  <conditionalFormatting sqref="D28">
    <cfRule type="cellIs" dxfId="13819" priority="6008" operator="equal">
      <formula>$C28</formula>
    </cfRule>
    <cfRule type="cellIs" dxfId="13818" priority="6009" operator="greaterThan">
      <formula>$C28</formula>
    </cfRule>
    <cfRule type="cellIs" dxfId="13817" priority="6010" operator="lessThan">
      <formula>$C28</formula>
    </cfRule>
  </conditionalFormatting>
  <conditionalFormatting sqref="D29:E29">
    <cfRule type="expression" dxfId="13816" priority="6007">
      <formula>AND($A29&lt;&gt;"",MOD(ROW(),2))</formula>
    </cfRule>
  </conditionalFormatting>
  <conditionalFormatting sqref="D29">
    <cfRule type="cellIs" dxfId="13815" priority="6004" operator="equal">
      <formula>$C29</formula>
    </cfRule>
    <cfRule type="cellIs" dxfId="13814" priority="6005" operator="greaterThan">
      <formula>$C29</formula>
    </cfRule>
    <cfRule type="cellIs" dxfId="13813" priority="6006" operator="lessThan">
      <formula>$C29</formula>
    </cfRule>
  </conditionalFormatting>
  <conditionalFormatting sqref="D30:E30">
    <cfRule type="expression" dxfId="13812" priority="6003">
      <formula>AND($A30&lt;&gt;"",MOD(ROW(),2))</formula>
    </cfRule>
  </conditionalFormatting>
  <conditionalFormatting sqref="D30">
    <cfRule type="cellIs" dxfId="13811" priority="6000" operator="equal">
      <formula>$C30</formula>
    </cfRule>
    <cfRule type="cellIs" dxfId="13810" priority="6001" operator="greaterThan">
      <formula>$C30</formula>
    </cfRule>
    <cfRule type="cellIs" dxfId="13809" priority="6002" operator="lessThan">
      <formula>$C30</formula>
    </cfRule>
  </conditionalFormatting>
  <conditionalFormatting sqref="D31:E31">
    <cfRule type="expression" dxfId="13808" priority="5999">
      <formula>AND($A31&lt;&gt;"",MOD(ROW(),2))</formula>
    </cfRule>
  </conditionalFormatting>
  <conditionalFormatting sqref="D31">
    <cfRule type="cellIs" dxfId="13807" priority="5996" operator="equal">
      <formula>$C31</formula>
    </cfRule>
    <cfRule type="cellIs" dxfId="13806" priority="5997" operator="greaterThan">
      <formula>$C31</formula>
    </cfRule>
    <cfRule type="cellIs" dxfId="13805" priority="5998" operator="lessThan">
      <formula>$C31</formula>
    </cfRule>
  </conditionalFormatting>
  <conditionalFormatting sqref="D32:E32">
    <cfRule type="expression" dxfId="13804" priority="5995">
      <formula>AND($A32&lt;&gt;"",MOD(ROW(),2))</formula>
    </cfRule>
  </conditionalFormatting>
  <conditionalFormatting sqref="D32">
    <cfRule type="cellIs" dxfId="13803" priority="5992" operator="equal">
      <formula>$C32</formula>
    </cfRule>
    <cfRule type="cellIs" dxfId="13802" priority="5993" operator="greaterThan">
      <formula>$C32</formula>
    </cfRule>
    <cfRule type="cellIs" dxfId="13801" priority="5994" operator="lessThan">
      <formula>$C32</formula>
    </cfRule>
  </conditionalFormatting>
  <conditionalFormatting sqref="D33:E33">
    <cfRule type="expression" dxfId="13800" priority="5991">
      <formula>AND($A33&lt;&gt;"",MOD(ROW(),2))</formula>
    </cfRule>
  </conditionalFormatting>
  <conditionalFormatting sqref="D33">
    <cfRule type="cellIs" dxfId="13799" priority="5988" operator="equal">
      <formula>$C33</formula>
    </cfRule>
    <cfRule type="cellIs" dxfId="13798" priority="5989" operator="greaterThan">
      <formula>$C33</formula>
    </cfRule>
    <cfRule type="cellIs" dxfId="13797" priority="5990" operator="lessThan">
      <formula>$C33</formula>
    </cfRule>
  </conditionalFormatting>
  <conditionalFormatting sqref="D34:E34">
    <cfRule type="expression" dxfId="13796" priority="5987">
      <formula>AND($A34&lt;&gt;"",MOD(ROW(),2))</formula>
    </cfRule>
  </conditionalFormatting>
  <conditionalFormatting sqref="D34">
    <cfRule type="cellIs" dxfId="13795" priority="5984" operator="equal">
      <formula>$C34</formula>
    </cfRule>
    <cfRule type="cellIs" dxfId="13794" priority="5985" operator="greaterThan">
      <formula>$C34</formula>
    </cfRule>
    <cfRule type="cellIs" dxfId="13793" priority="5986" operator="lessThan">
      <formula>$C34</formula>
    </cfRule>
  </conditionalFormatting>
  <conditionalFormatting sqref="D35:E35">
    <cfRule type="expression" dxfId="13792" priority="5983">
      <formula>AND($A35&lt;&gt;"",MOD(ROW(),2))</formula>
    </cfRule>
  </conditionalFormatting>
  <conditionalFormatting sqref="D35">
    <cfRule type="cellIs" dxfId="13791" priority="5980" operator="equal">
      <formula>$C35</formula>
    </cfRule>
    <cfRule type="cellIs" dxfId="13790" priority="5981" operator="greaterThan">
      <formula>$C35</formula>
    </cfRule>
    <cfRule type="cellIs" dxfId="13789" priority="5982" operator="lessThan">
      <formula>$C35</formula>
    </cfRule>
  </conditionalFormatting>
  <conditionalFormatting sqref="D36:E36">
    <cfRule type="expression" dxfId="13788" priority="5979">
      <formula>AND($A36&lt;&gt;"",MOD(ROW(),2))</formula>
    </cfRule>
  </conditionalFormatting>
  <conditionalFormatting sqref="D36">
    <cfRule type="cellIs" dxfId="13787" priority="5976" operator="equal">
      <formula>$C36</formula>
    </cfRule>
    <cfRule type="cellIs" dxfId="13786" priority="5977" operator="greaterThan">
      <formula>$C36</formula>
    </cfRule>
    <cfRule type="cellIs" dxfId="13785" priority="5978" operator="lessThan">
      <formula>$C36</formula>
    </cfRule>
  </conditionalFormatting>
  <conditionalFormatting sqref="D37:E37">
    <cfRule type="expression" dxfId="13784" priority="5975">
      <formula>AND($A37&lt;&gt;"",MOD(ROW(),2))</formula>
    </cfRule>
  </conditionalFormatting>
  <conditionalFormatting sqref="D37">
    <cfRule type="cellIs" dxfId="13783" priority="5972" operator="equal">
      <formula>$C37</formula>
    </cfRule>
    <cfRule type="cellIs" dxfId="13782" priority="5973" operator="greaterThan">
      <formula>$C37</formula>
    </cfRule>
    <cfRule type="cellIs" dxfId="13781" priority="5974" operator="lessThan">
      <formula>$C37</formula>
    </cfRule>
  </conditionalFormatting>
  <conditionalFormatting sqref="D38:E38">
    <cfRule type="expression" dxfId="13780" priority="5971">
      <formula>AND($A38&lt;&gt;"",MOD(ROW(),2))</formula>
    </cfRule>
  </conditionalFormatting>
  <conditionalFormatting sqref="D38">
    <cfRule type="cellIs" dxfId="13779" priority="5968" operator="equal">
      <formula>$C38</formula>
    </cfRule>
    <cfRule type="cellIs" dxfId="13778" priority="5969" operator="greaterThan">
      <formula>$C38</formula>
    </cfRule>
    <cfRule type="cellIs" dxfId="13777" priority="5970" operator="lessThan">
      <formula>$C38</formula>
    </cfRule>
  </conditionalFormatting>
  <conditionalFormatting sqref="D39:E39">
    <cfRule type="expression" dxfId="13776" priority="5967">
      <formula>AND($A39&lt;&gt;"",MOD(ROW(),2))</formula>
    </cfRule>
  </conditionalFormatting>
  <conditionalFormatting sqref="D39">
    <cfRule type="cellIs" dxfId="13775" priority="5964" operator="equal">
      <formula>$C39</formula>
    </cfRule>
    <cfRule type="cellIs" dxfId="13774" priority="5965" operator="greaterThan">
      <formula>$C39</formula>
    </cfRule>
    <cfRule type="cellIs" dxfId="13773" priority="5966" operator="lessThan">
      <formula>$C39</formula>
    </cfRule>
  </conditionalFormatting>
  <conditionalFormatting sqref="D40:E40">
    <cfRule type="expression" dxfId="13772" priority="5963">
      <formula>AND($A40&lt;&gt;"",MOD(ROW(),2))</formula>
    </cfRule>
  </conditionalFormatting>
  <conditionalFormatting sqref="D40">
    <cfRule type="cellIs" dxfId="13771" priority="5960" operator="equal">
      <formula>$C40</formula>
    </cfRule>
    <cfRule type="cellIs" dxfId="13770" priority="5961" operator="greaterThan">
      <formula>$C40</formula>
    </cfRule>
    <cfRule type="cellIs" dxfId="13769" priority="5962" operator="lessThan">
      <formula>$C40</formula>
    </cfRule>
  </conditionalFormatting>
  <conditionalFormatting sqref="D41:E41">
    <cfRule type="expression" dxfId="13768" priority="5959">
      <formula>AND($A41&lt;&gt;"",MOD(ROW(),2))</formula>
    </cfRule>
  </conditionalFormatting>
  <conditionalFormatting sqref="D41">
    <cfRule type="cellIs" dxfId="13767" priority="5956" operator="equal">
      <formula>$C41</formula>
    </cfRule>
    <cfRule type="cellIs" dxfId="13766" priority="5957" operator="greaterThan">
      <formula>$C41</formula>
    </cfRule>
    <cfRule type="cellIs" dxfId="13765" priority="5958" operator="lessThan">
      <formula>$C41</formula>
    </cfRule>
  </conditionalFormatting>
  <conditionalFormatting sqref="D42:E42">
    <cfRule type="expression" dxfId="13764" priority="5955">
      <formula>AND($A42&lt;&gt;"",MOD(ROW(),2))</formula>
    </cfRule>
  </conditionalFormatting>
  <conditionalFormatting sqref="D42">
    <cfRule type="cellIs" dxfId="13763" priority="5952" operator="equal">
      <formula>$C42</formula>
    </cfRule>
    <cfRule type="cellIs" dxfId="13762" priority="5953" operator="greaterThan">
      <formula>$C42</formula>
    </cfRule>
    <cfRule type="cellIs" dxfId="13761" priority="5954" operator="lessThan">
      <formula>$C42</formula>
    </cfRule>
  </conditionalFormatting>
  <conditionalFormatting sqref="D43:E43">
    <cfRule type="expression" dxfId="13760" priority="5951">
      <formula>AND($A43&lt;&gt;"",MOD(ROW(),2))</formula>
    </cfRule>
  </conditionalFormatting>
  <conditionalFormatting sqref="D43">
    <cfRule type="cellIs" dxfId="13759" priority="5948" operator="equal">
      <formula>$C43</formula>
    </cfRule>
    <cfRule type="cellIs" dxfId="13758" priority="5949" operator="greaterThan">
      <formula>$C43</formula>
    </cfRule>
    <cfRule type="cellIs" dxfId="13757" priority="5950" operator="lessThan">
      <formula>$C43</formula>
    </cfRule>
  </conditionalFormatting>
  <conditionalFormatting sqref="D44:E44">
    <cfRule type="expression" dxfId="13756" priority="5947">
      <formula>AND($A44&lt;&gt;"",MOD(ROW(),2))</formula>
    </cfRule>
  </conditionalFormatting>
  <conditionalFormatting sqref="D44">
    <cfRule type="cellIs" dxfId="13755" priority="5944" operator="equal">
      <formula>$C44</formula>
    </cfRule>
    <cfRule type="cellIs" dxfId="13754" priority="5945" operator="greaterThan">
      <formula>$C44</formula>
    </cfRule>
    <cfRule type="cellIs" dxfId="13753" priority="5946" operator="lessThan">
      <formula>$C44</formula>
    </cfRule>
  </conditionalFormatting>
  <conditionalFormatting sqref="D45:E45">
    <cfRule type="expression" dxfId="13752" priority="5943">
      <formula>AND($A45&lt;&gt;"",MOD(ROW(),2))</formula>
    </cfRule>
  </conditionalFormatting>
  <conditionalFormatting sqref="D45">
    <cfRule type="cellIs" dxfId="13751" priority="5940" operator="equal">
      <formula>$C45</formula>
    </cfRule>
    <cfRule type="cellIs" dxfId="13750" priority="5941" operator="greaterThan">
      <formula>$C45</formula>
    </cfRule>
    <cfRule type="cellIs" dxfId="13749" priority="5942" operator="lessThan">
      <formula>$C45</formula>
    </cfRule>
  </conditionalFormatting>
  <conditionalFormatting sqref="D46:E46">
    <cfRule type="expression" dxfId="13748" priority="5939">
      <formula>AND($A46&lt;&gt;"",MOD(ROW(),2))</formula>
    </cfRule>
  </conditionalFormatting>
  <conditionalFormatting sqref="D46">
    <cfRule type="cellIs" dxfId="13747" priority="5936" operator="equal">
      <formula>$C46</formula>
    </cfRule>
    <cfRule type="cellIs" dxfId="13746" priority="5937" operator="greaterThan">
      <formula>$C46</formula>
    </cfRule>
    <cfRule type="cellIs" dxfId="13745" priority="5938" operator="lessThan">
      <formula>$C46</formula>
    </cfRule>
  </conditionalFormatting>
  <conditionalFormatting sqref="D47:E47">
    <cfRule type="expression" dxfId="13744" priority="5935">
      <formula>AND($A47&lt;&gt;"",MOD(ROW(),2))</formula>
    </cfRule>
  </conditionalFormatting>
  <conditionalFormatting sqref="D47">
    <cfRule type="cellIs" dxfId="13743" priority="5932" operator="equal">
      <formula>$C47</formula>
    </cfRule>
    <cfRule type="cellIs" dxfId="13742" priority="5933" operator="greaterThan">
      <formula>$C47</formula>
    </cfRule>
    <cfRule type="cellIs" dxfId="13741" priority="5934" operator="lessThan">
      <formula>$C47</formula>
    </cfRule>
  </conditionalFormatting>
  <conditionalFormatting sqref="D48:E48">
    <cfRule type="expression" dxfId="13740" priority="5931">
      <formula>AND($A48&lt;&gt;"",MOD(ROW(),2))</formula>
    </cfRule>
  </conditionalFormatting>
  <conditionalFormatting sqref="D48">
    <cfRule type="cellIs" dxfId="13739" priority="5928" operator="equal">
      <formula>$C48</formula>
    </cfRule>
    <cfRule type="cellIs" dxfId="13738" priority="5929" operator="greaterThan">
      <formula>$C48</formula>
    </cfRule>
    <cfRule type="cellIs" dxfId="13737" priority="5930" operator="lessThan">
      <formula>$C48</formula>
    </cfRule>
  </conditionalFormatting>
  <conditionalFormatting sqref="D49:E49">
    <cfRule type="expression" dxfId="13736" priority="5927">
      <formula>AND($A49&lt;&gt;"",MOD(ROW(),2))</formula>
    </cfRule>
  </conditionalFormatting>
  <conditionalFormatting sqref="D49">
    <cfRule type="cellIs" dxfId="13735" priority="5924" operator="equal">
      <formula>$C49</formula>
    </cfRule>
    <cfRule type="cellIs" dxfId="13734" priority="5925" operator="greaterThan">
      <formula>$C49</formula>
    </cfRule>
    <cfRule type="cellIs" dxfId="13733" priority="5926" operator="lessThan">
      <formula>$C49</formula>
    </cfRule>
  </conditionalFormatting>
  <conditionalFormatting sqref="D50:E50">
    <cfRule type="expression" dxfId="13732" priority="5923">
      <formula>AND($A50&lt;&gt;"",MOD(ROW(),2))</formula>
    </cfRule>
  </conditionalFormatting>
  <conditionalFormatting sqref="D50">
    <cfRule type="cellIs" dxfId="13731" priority="5920" operator="equal">
      <formula>$C50</formula>
    </cfRule>
    <cfRule type="cellIs" dxfId="13730" priority="5921" operator="greaterThan">
      <formula>$C50</formula>
    </cfRule>
    <cfRule type="cellIs" dxfId="13729" priority="5922" operator="lessThan">
      <formula>$C50</formula>
    </cfRule>
  </conditionalFormatting>
  <conditionalFormatting sqref="D28:E28">
    <cfRule type="expression" dxfId="13728" priority="5919">
      <formula>AND($A28&lt;&gt;"",MOD(ROW(),2))</formula>
    </cfRule>
  </conditionalFormatting>
  <conditionalFormatting sqref="D28">
    <cfRule type="cellIs" dxfId="13727" priority="5916" operator="equal">
      <formula>$C28</formula>
    </cfRule>
    <cfRule type="cellIs" dxfId="13726" priority="5917" operator="greaterThan">
      <formula>$C28</formula>
    </cfRule>
    <cfRule type="cellIs" dxfId="13725" priority="5918" operator="lessThan">
      <formula>$C28</formula>
    </cfRule>
  </conditionalFormatting>
  <conditionalFormatting sqref="D29:E29">
    <cfRule type="expression" dxfId="13724" priority="5915">
      <formula>AND($A29&lt;&gt;"",MOD(ROW(),2))</formula>
    </cfRule>
  </conditionalFormatting>
  <conditionalFormatting sqref="D29">
    <cfRule type="cellIs" dxfId="13723" priority="5912" operator="equal">
      <formula>$C29</formula>
    </cfRule>
    <cfRule type="cellIs" dxfId="13722" priority="5913" operator="greaterThan">
      <formula>$C29</formula>
    </cfRule>
    <cfRule type="cellIs" dxfId="13721" priority="5914" operator="lessThan">
      <formula>$C29</formula>
    </cfRule>
  </conditionalFormatting>
  <conditionalFormatting sqref="D30:E30">
    <cfRule type="expression" dxfId="13720" priority="5911">
      <formula>AND($A30&lt;&gt;"",MOD(ROW(),2))</formula>
    </cfRule>
  </conditionalFormatting>
  <conditionalFormatting sqref="D30">
    <cfRule type="cellIs" dxfId="13719" priority="5908" operator="equal">
      <formula>$C30</formula>
    </cfRule>
    <cfRule type="cellIs" dxfId="13718" priority="5909" operator="greaterThan">
      <formula>$C30</formula>
    </cfRule>
    <cfRule type="cellIs" dxfId="13717" priority="5910" operator="lessThan">
      <formula>$C30</formula>
    </cfRule>
  </conditionalFormatting>
  <conditionalFormatting sqref="D31:E31">
    <cfRule type="expression" dxfId="13716" priority="5907">
      <formula>AND($A31&lt;&gt;"",MOD(ROW(),2))</formula>
    </cfRule>
  </conditionalFormatting>
  <conditionalFormatting sqref="D31">
    <cfRule type="cellIs" dxfId="13715" priority="5904" operator="equal">
      <formula>$C31</formula>
    </cfRule>
    <cfRule type="cellIs" dxfId="13714" priority="5905" operator="greaterThan">
      <formula>$C31</formula>
    </cfRule>
    <cfRule type="cellIs" dxfId="13713" priority="5906" operator="lessThan">
      <formula>$C31</formula>
    </cfRule>
  </conditionalFormatting>
  <conditionalFormatting sqref="D32:E32">
    <cfRule type="expression" dxfId="13712" priority="5903">
      <formula>AND($A32&lt;&gt;"",MOD(ROW(),2))</formula>
    </cfRule>
  </conditionalFormatting>
  <conditionalFormatting sqref="D32">
    <cfRule type="cellIs" dxfId="13711" priority="5900" operator="equal">
      <formula>$C32</formula>
    </cfRule>
    <cfRule type="cellIs" dxfId="13710" priority="5901" operator="greaterThan">
      <formula>$C32</formula>
    </cfRule>
    <cfRule type="cellIs" dxfId="13709" priority="5902" operator="lessThan">
      <formula>$C32</formula>
    </cfRule>
  </conditionalFormatting>
  <conditionalFormatting sqref="D33:E33">
    <cfRule type="expression" dxfId="13708" priority="5899">
      <formula>AND($A33&lt;&gt;"",MOD(ROW(),2))</formula>
    </cfRule>
  </conditionalFormatting>
  <conditionalFormatting sqref="D33">
    <cfRule type="cellIs" dxfId="13707" priority="5896" operator="equal">
      <formula>$C33</formula>
    </cfRule>
    <cfRule type="cellIs" dxfId="13706" priority="5897" operator="greaterThan">
      <formula>$C33</formula>
    </cfRule>
    <cfRule type="cellIs" dxfId="13705" priority="5898" operator="lessThan">
      <formula>$C33</formula>
    </cfRule>
  </conditionalFormatting>
  <conditionalFormatting sqref="D34:E34">
    <cfRule type="expression" dxfId="13704" priority="5895">
      <formula>AND($A34&lt;&gt;"",MOD(ROW(),2))</formula>
    </cfRule>
  </conditionalFormatting>
  <conditionalFormatting sqref="D34">
    <cfRule type="cellIs" dxfId="13703" priority="5892" operator="equal">
      <formula>$C34</formula>
    </cfRule>
    <cfRule type="cellIs" dxfId="13702" priority="5893" operator="greaterThan">
      <formula>$C34</formula>
    </cfRule>
    <cfRule type="cellIs" dxfId="13701" priority="5894" operator="lessThan">
      <formula>$C34</formula>
    </cfRule>
  </conditionalFormatting>
  <conditionalFormatting sqref="D35:E35">
    <cfRule type="expression" dxfId="13700" priority="5891">
      <formula>AND($A35&lt;&gt;"",MOD(ROW(),2))</formula>
    </cfRule>
  </conditionalFormatting>
  <conditionalFormatting sqref="D35">
    <cfRule type="cellIs" dxfId="13699" priority="5888" operator="equal">
      <formula>$C35</formula>
    </cfRule>
    <cfRule type="cellIs" dxfId="13698" priority="5889" operator="greaterThan">
      <formula>$C35</formula>
    </cfRule>
    <cfRule type="cellIs" dxfId="13697" priority="5890" operator="lessThan">
      <formula>$C35</formula>
    </cfRule>
  </conditionalFormatting>
  <conditionalFormatting sqref="D36:E36">
    <cfRule type="expression" dxfId="13696" priority="5887">
      <formula>AND($A36&lt;&gt;"",MOD(ROW(),2))</formula>
    </cfRule>
  </conditionalFormatting>
  <conditionalFormatting sqref="D36">
    <cfRule type="cellIs" dxfId="13695" priority="5884" operator="equal">
      <formula>$C36</formula>
    </cfRule>
    <cfRule type="cellIs" dxfId="13694" priority="5885" operator="greaterThan">
      <formula>$C36</formula>
    </cfRule>
    <cfRule type="cellIs" dxfId="13693" priority="5886" operator="lessThan">
      <formula>$C36</formula>
    </cfRule>
  </conditionalFormatting>
  <conditionalFormatting sqref="D37:E37">
    <cfRule type="expression" dxfId="13692" priority="5883">
      <formula>AND($A37&lt;&gt;"",MOD(ROW(),2))</formula>
    </cfRule>
  </conditionalFormatting>
  <conditionalFormatting sqref="D37">
    <cfRule type="cellIs" dxfId="13691" priority="5880" operator="equal">
      <formula>$C37</formula>
    </cfRule>
    <cfRule type="cellIs" dxfId="13690" priority="5881" operator="greaterThan">
      <formula>$C37</formula>
    </cfRule>
    <cfRule type="cellIs" dxfId="13689" priority="5882" operator="lessThan">
      <formula>$C37</formula>
    </cfRule>
  </conditionalFormatting>
  <conditionalFormatting sqref="D38:E38">
    <cfRule type="expression" dxfId="13688" priority="5879">
      <formula>AND($A38&lt;&gt;"",MOD(ROW(),2))</formula>
    </cfRule>
  </conditionalFormatting>
  <conditionalFormatting sqref="D38">
    <cfRule type="cellIs" dxfId="13687" priority="5876" operator="equal">
      <formula>$C38</formula>
    </cfRule>
    <cfRule type="cellIs" dxfId="13686" priority="5877" operator="greaterThan">
      <formula>$C38</formula>
    </cfRule>
    <cfRule type="cellIs" dxfId="13685" priority="5878" operator="lessThan">
      <formula>$C38</formula>
    </cfRule>
  </conditionalFormatting>
  <conditionalFormatting sqref="D39:E39">
    <cfRule type="expression" dxfId="13684" priority="5875">
      <formula>AND($A39&lt;&gt;"",MOD(ROW(),2))</formula>
    </cfRule>
  </conditionalFormatting>
  <conditionalFormatting sqref="D39">
    <cfRule type="cellIs" dxfId="13683" priority="5872" operator="equal">
      <formula>$C39</formula>
    </cfRule>
    <cfRule type="cellIs" dxfId="13682" priority="5873" operator="greaterThan">
      <formula>$C39</formula>
    </cfRule>
    <cfRule type="cellIs" dxfId="13681" priority="5874" operator="lessThan">
      <formula>$C39</formula>
    </cfRule>
  </conditionalFormatting>
  <conditionalFormatting sqref="D40:E40">
    <cfRule type="expression" dxfId="13680" priority="5871">
      <formula>AND($A40&lt;&gt;"",MOD(ROW(),2))</formula>
    </cfRule>
  </conditionalFormatting>
  <conditionalFormatting sqref="D40">
    <cfRule type="cellIs" dxfId="13679" priority="5868" operator="equal">
      <formula>$C40</formula>
    </cfRule>
    <cfRule type="cellIs" dxfId="13678" priority="5869" operator="greaterThan">
      <formula>$C40</formula>
    </cfRule>
    <cfRule type="cellIs" dxfId="13677" priority="5870" operator="lessThan">
      <formula>$C40</formula>
    </cfRule>
  </conditionalFormatting>
  <conditionalFormatting sqref="D41:E41">
    <cfRule type="expression" dxfId="13676" priority="5867">
      <formula>AND($A41&lt;&gt;"",MOD(ROW(),2))</formula>
    </cfRule>
  </conditionalFormatting>
  <conditionalFormatting sqref="D41">
    <cfRule type="cellIs" dxfId="13675" priority="5864" operator="equal">
      <formula>$C41</formula>
    </cfRule>
    <cfRule type="cellIs" dxfId="13674" priority="5865" operator="greaterThan">
      <formula>$C41</formula>
    </cfRule>
    <cfRule type="cellIs" dxfId="13673" priority="5866" operator="lessThan">
      <formula>$C41</formula>
    </cfRule>
  </conditionalFormatting>
  <conditionalFormatting sqref="D42:E42">
    <cfRule type="expression" dxfId="13672" priority="5863">
      <formula>AND($A42&lt;&gt;"",MOD(ROW(),2))</formula>
    </cfRule>
  </conditionalFormatting>
  <conditionalFormatting sqref="D42">
    <cfRule type="cellIs" dxfId="13671" priority="5860" operator="equal">
      <formula>$C42</formula>
    </cfRule>
    <cfRule type="cellIs" dxfId="13670" priority="5861" operator="greaterThan">
      <formula>$C42</formula>
    </cfRule>
    <cfRule type="cellIs" dxfId="13669" priority="5862" operator="lessThan">
      <formula>$C42</formula>
    </cfRule>
  </conditionalFormatting>
  <conditionalFormatting sqref="D43:E43">
    <cfRule type="expression" dxfId="13668" priority="5859">
      <formula>AND($A43&lt;&gt;"",MOD(ROW(),2))</formula>
    </cfRule>
  </conditionalFormatting>
  <conditionalFormatting sqref="D43">
    <cfRule type="cellIs" dxfId="13667" priority="5856" operator="equal">
      <formula>$C43</formula>
    </cfRule>
    <cfRule type="cellIs" dxfId="13666" priority="5857" operator="greaterThan">
      <formula>$C43</formula>
    </cfRule>
    <cfRule type="cellIs" dxfId="13665" priority="5858" operator="lessThan">
      <formula>$C43</formula>
    </cfRule>
  </conditionalFormatting>
  <conditionalFormatting sqref="D44:E44">
    <cfRule type="expression" dxfId="13664" priority="5855">
      <formula>AND($A44&lt;&gt;"",MOD(ROW(),2))</formula>
    </cfRule>
  </conditionalFormatting>
  <conditionalFormatting sqref="D44">
    <cfRule type="cellIs" dxfId="13663" priority="5852" operator="equal">
      <formula>$C44</formula>
    </cfRule>
    <cfRule type="cellIs" dxfId="13662" priority="5853" operator="greaterThan">
      <formula>$C44</formula>
    </cfRule>
    <cfRule type="cellIs" dxfId="13661" priority="5854" operator="lessThan">
      <formula>$C44</formula>
    </cfRule>
  </conditionalFormatting>
  <conditionalFormatting sqref="D45:E45">
    <cfRule type="expression" dxfId="13660" priority="5851">
      <formula>AND($A45&lt;&gt;"",MOD(ROW(),2))</formula>
    </cfRule>
  </conditionalFormatting>
  <conditionalFormatting sqref="D45">
    <cfRule type="cellIs" dxfId="13659" priority="5848" operator="equal">
      <formula>$C45</formula>
    </cfRule>
    <cfRule type="cellIs" dxfId="13658" priority="5849" operator="greaterThan">
      <formula>$C45</formula>
    </cfRule>
    <cfRule type="cellIs" dxfId="13657" priority="5850" operator="lessThan">
      <formula>$C45</formula>
    </cfRule>
  </conditionalFormatting>
  <conditionalFormatting sqref="D46:E46">
    <cfRule type="expression" dxfId="13656" priority="5847">
      <formula>AND($A46&lt;&gt;"",MOD(ROW(),2))</formula>
    </cfRule>
  </conditionalFormatting>
  <conditionalFormatting sqref="D46">
    <cfRule type="cellIs" dxfId="13655" priority="5844" operator="equal">
      <formula>$C46</formula>
    </cfRule>
    <cfRule type="cellIs" dxfId="13654" priority="5845" operator="greaterThan">
      <formula>$C46</formula>
    </cfRule>
    <cfRule type="cellIs" dxfId="13653" priority="5846" operator="lessThan">
      <formula>$C46</formula>
    </cfRule>
  </conditionalFormatting>
  <conditionalFormatting sqref="D47:E47">
    <cfRule type="expression" dxfId="13652" priority="5843">
      <formula>AND($A47&lt;&gt;"",MOD(ROW(),2))</formula>
    </cfRule>
  </conditionalFormatting>
  <conditionalFormatting sqref="D47">
    <cfRule type="cellIs" dxfId="13651" priority="5840" operator="equal">
      <formula>$C47</formula>
    </cfRule>
    <cfRule type="cellIs" dxfId="13650" priority="5841" operator="greaterThan">
      <formula>$C47</formula>
    </cfRule>
    <cfRule type="cellIs" dxfId="13649" priority="5842" operator="lessThan">
      <formula>$C47</formula>
    </cfRule>
  </conditionalFormatting>
  <conditionalFormatting sqref="D48:E48">
    <cfRule type="expression" dxfId="13648" priority="5839">
      <formula>AND($A48&lt;&gt;"",MOD(ROW(),2))</formula>
    </cfRule>
  </conditionalFormatting>
  <conditionalFormatting sqref="D48">
    <cfRule type="cellIs" dxfId="13647" priority="5836" operator="equal">
      <formula>$C48</formula>
    </cfRule>
    <cfRule type="cellIs" dxfId="13646" priority="5837" operator="greaterThan">
      <formula>$C48</formula>
    </cfRule>
    <cfRule type="cellIs" dxfId="13645" priority="5838" operator="lessThan">
      <formula>$C48</formula>
    </cfRule>
  </conditionalFormatting>
  <conditionalFormatting sqref="D49:E49">
    <cfRule type="expression" dxfId="13644" priority="5835">
      <formula>AND($A49&lt;&gt;"",MOD(ROW(),2))</formula>
    </cfRule>
  </conditionalFormatting>
  <conditionalFormatting sqref="D49">
    <cfRule type="cellIs" dxfId="13643" priority="5832" operator="equal">
      <formula>$C49</formula>
    </cfRule>
    <cfRule type="cellIs" dxfId="13642" priority="5833" operator="greaterThan">
      <formula>$C49</formula>
    </cfRule>
    <cfRule type="cellIs" dxfId="13641" priority="5834" operator="lessThan">
      <formula>$C49</formula>
    </cfRule>
  </conditionalFormatting>
  <conditionalFormatting sqref="D50:E50">
    <cfRule type="expression" dxfId="13640" priority="5831">
      <formula>AND($A50&lt;&gt;"",MOD(ROW(),2))</formula>
    </cfRule>
  </conditionalFormatting>
  <conditionalFormatting sqref="D50">
    <cfRule type="cellIs" dxfId="13639" priority="5828" operator="equal">
      <formula>$C50</formula>
    </cfRule>
    <cfRule type="cellIs" dxfId="13638" priority="5829" operator="greaterThan">
      <formula>$C50</formula>
    </cfRule>
    <cfRule type="cellIs" dxfId="13637" priority="5830" operator="lessThan">
      <formula>$C50</formula>
    </cfRule>
  </conditionalFormatting>
  <conditionalFormatting sqref="D27:E27">
    <cfRule type="expression" dxfId="13636" priority="5827">
      <formula>AND($A27&lt;&gt;"",MOD(ROW(),2))</formula>
    </cfRule>
  </conditionalFormatting>
  <conditionalFormatting sqref="D27">
    <cfRule type="cellIs" dxfId="13635" priority="5824" operator="equal">
      <formula>$C27</formula>
    </cfRule>
    <cfRule type="cellIs" dxfId="13634" priority="5825" operator="greaterThan">
      <formula>$C27</formula>
    </cfRule>
    <cfRule type="cellIs" dxfId="13633" priority="5826" operator="lessThan">
      <formula>$C27</formula>
    </cfRule>
  </conditionalFormatting>
  <conditionalFormatting sqref="D28:E28">
    <cfRule type="expression" dxfId="13632" priority="5823">
      <formula>AND($A28&lt;&gt;"",MOD(ROW(),2))</formula>
    </cfRule>
  </conditionalFormatting>
  <conditionalFormatting sqref="D28">
    <cfRule type="cellIs" dxfId="13631" priority="5820" operator="equal">
      <formula>$C28</formula>
    </cfRule>
    <cfRule type="cellIs" dxfId="13630" priority="5821" operator="greaterThan">
      <formula>$C28</formula>
    </cfRule>
    <cfRule type="cellIs" dxfId="13629" priority="5822" operator="lessThan">
      <formula>$C28</formula>
    </cfRule>
  </conditionalFormatting>
  <conditionalFormatting sqref="D29:E29">
    <cfRule type="expression" dxfId="13628" priority="5819">
      <formula>AND($A29&lt;&gt;"",MOD(ROW(),2))</formula>
    </cfRule>
  </conditionalFormatting>
  <conditionalFormatting sqref="D29">
    <cfRule type="cellIs" dxfId="13627" priority="5816" operator="equal">
      <formula>$C29</formula>
    </cfRule>
    <cfRule type="cellIs" dxfId="13626" priority="5817" operator="greaterThan">
      <formula>$C29</formula>
    </cfRule>
    <cfRule type="cellIs" dxfId="13625" priority="5818" operator="lessThan">
      <formula>$C29</formula>
    </cfRule>
  </conditionalFormatting>
  <conditionalFormatting sqref="D30:E30">
    <cfRule type="expression" dxfId="13624" priority="5815">
      <formula>AND($A30&lt;&gt;"",MOD(ROW(),2))</formula>
    </cfRule>
  </conditionalFormatting>
  <conditionalFormatting sqref="D30">
    <cfRule type="cellIs" dxfId="13623" priority="5812" operator="equal">
      <formula>$C30</formula>
    </cfRule>
    <cfRule type="cellIs" dxfId="13622" priority="5813" operator="greaterThan">
      <formula>$C30</formula>
    </cfRule>
    <cfRule type="cellIs" dxfId="13621" priority="5814" operator="lessThan">
      <formula>$C30</formula>
    </cfRule>
  </conditionalFormatting>
  <conditionalFormatting sqref="D31:E31">
    <cfRule type="expression" dxfId="13620" priority="5811">
      <formula>AND($A31&lt;&gt;"",MOD(ROW(),2))</formula>
    </cfRule>
  </conditionalFormatting>
  <conditionalFormatting sqref="D31">
    <cfRule type="cellIs" dxfId="13619" priority="5808" operator="equal">
      <formula>$C31</formula>
    </cfRule>
    <cfRule type="cellIs" dxfId="13618" priority="5809" operator="greaterThan">
      <formula>$C31</formula>
    </cfRule>
    <cfRule type="cellIs" dxfId="13617" priority="5810" operator="lessThan">
      <formula>$C31</formula>
    </cfRule>
  </conditionalFormatting>
  <conditionalFormatting sqref="D32:E32">
    <cfRule type="expression" dxfId="13616" priority="5807">
      <formula>AND($A32&lt;&gt;"",MOD(ROW(),2))</formula>
    </cfRule>
  </conditionalFormatting>
  <conditionalFormatting sqref="D32">
    <cfRule type="cellIs" dxfId="13615" priority="5804" operator="equal">
      <formula>$C32</formula>
    </cfRule>
    <cfRule type="cellIs" dxfId="13614" priority="5805" operator="greaterThan">
      <formula>$C32</formula>
    </cfRule>
    <cfRule type="cellIs" dxfId="13613" priority="5806" operator="lessThan">
      <formula>$C32</formula>
    </cfRule>
  </conditionalFormatting>
  <conditionalFormatting sqref="D33:E33">
    <cfRule type="expression" dxfId="13612" priority="5803">
      <formula>AND($A33&lt;&gt;"",MOD(ROW(),2))</formula>
    </cfRule>
  </conditionalFormatting>
  <conditionalFormatting sqref="D33">
    <cfRule type="cellIs" dxfId="13611" priority="5800" operator="equal">
      <formula>$C33</formula>
    </cfRule>
    <cfRule type="cellIs" dxfId="13610" priority="5801" operator="greaterThan">
      <formula>$C33</formula>
    </cfRule>
    <cfRule type="cellIs" dxfId="13609" priority="5802" operator="lessThan">
      <formula>$C33</formula>
    </cfRule>
  </conditionalFormatting>
  <conditionalFormatting sqref="D34:E34">
    <cfRule type="expression" dxfId="13608" priority="5799">
      <formula>AND($A34&lt;&gt;"",MOD(ROW(),2))</formula>
    </cfRule>
  </conditionalFormatting>
  <conditionalFormatting sqref="D34">
    <cfRule type="cellIs" dxfId="13607" priority="5796" operator="equal">
      <formula>$C34</formula>
    </cfRule>
    <cfRule type="cellIs" dxfId="13606" priority="5797" operator="greaterThan">
      <formula>$C34</formula>
    </cfRule>
    <cfRule type="cellIs" dxfId="13605" priority="5798" operator="lessThan">
      <formula>$C34</formula>
    </cfRule>
  </conditionalFormatting>
  <conditionalFormatting sqref="D35:E35">
    <cfRule type="expression" dxfId="13604" priority="5795">
      <formula>AND($A35&lt;&gt;"",MOD(ROW(),2))</formula>
    </cfRule>
  </conditionalFormatting>
  <conditionalFormatting sqref="D35">
    <cfRule type="cellIs" dxfId="13603" priority="5792" operator="equal">
      <formula>$C35</formula>
    </cfRule>
    <cfRule type="cellIs" dxfId="13602" priority="5793" operator="greaterThan">
      <formula>$C35</formula>
    </cfRule>
    <cfRule type="cellIs" dxfId="13601" priority="5794" operator="lessThan">
      <formula>$C35</formula>
    </cfRule>
  </conditionalFormatting>
  <conditionalFormatting sqref="D36:E36">
    <cfRule type="expression" dxfId="13600" priority="5791">
      <formula>AND($A36&lt;&gt;"",MOD(ROW(),2))</formula>
    </cfRule>
  </conditionalFormatting>
  <conditionalFormatting sqref="D36">
    <cfRule type="cellIs" dxfId="13599" priority="5788" operator="equal">
      <formula>$C36</formula>
    </cfRule>
    <cfRule type="cellIs" dxfId="13598" priority="5789" operator="greaterThan">
      <formula>$C36</formula>
    </cfRule>
    <cfRule type="cellIs" dxfId="13597" priority="5790" operator="lessThan">
      <formula>$C36</formula>
    </cfRule>
  </conditionalFormatting>
  <conditionalFormatting sqref="D37:E37">
    <cfRule type="expression" dxfId="13596" priority="5787">
      <formula>AND($A37&lt;&gt;"",MOD(ROW(),2))</formula>
    </cfRule>
  </conditionalFormatting>
  <conditionalFormatting sqref="D37">
    <cfRule type="cellIs" dxfId="13595" priority="5784" operator="equal">
      <formula>$C37</formula>
    </cfRule>
    <cfRule type="cellIs" dxfId="13594" priority="5785" operator="greaterThan">
      <formula>$C37</formula>
    </cfRule>
    <cfRule type="cellIs" dxfId="13593" priority="5786" operator="lessThan">
      <formula>$C37</formula>
    </cfRule>
  </conditionalFormatting>
  <conditionalFormatting sqref="D38:E38">
    <cfRule type="expression" dxfId="13592" priority="5783">
      <formula>AND($A38&lt;&gt;"",MOD(ROW(),2))</formula>
    </cfRule>
  </conditionalFormatting>
  <conditionalFormatting sqref="D38">
    <cfRule type="cellIs" dxfId="13591" priority="5780" operator="equal">
      <formula>$C38</formula>
    </cfRule>
    <cfRule type="cellIs" dxfId="13590" priority="5781" operator="greaterThan">
      <formula>$C38</formula>
    </cfRule>
    <cfRule type="cellIs" dxfId="13589" priority="5782" operator="lessThan">
      <formula>$C38</formula>
    </cfRule>
  </conditionalFormatting>
  <conditionalFormatting sqref="D39:E39">
    <cfRule type="expression" dxfId="13588" priority="5779">
      <formula>AND($A39&lt;&gt;"",MOD(ROW(),2))</formula>
    </cfRule>
  </conditionalFormatting>
  <conditionalFormatting sqref="D39">
    <cfRule type="cellIs" dxfId="13587" priority="5776" operator="equal">
      <formula>$C39</formula>
    </cfRule>
    <cfRule type="cellIs" dxfId="13586" priority="5777" operator="greaterThan">
      <formula>$C39</formula>
    </cfRule>
    <cfRule type="cellIs" dxfId="13585" priority="5778" operator="lessThan">
      <formula>$C39</formula>
    </cfRule>
  </conditionalFormatting>
  <conditionalFormatting sqref="D40:E40">
    <cfRule type="expression" dxfId="13584" priority="5775">
      <formula>AND($A40&lt;&gt;"",MOD(ROW(),2))</formula>
    </cfRule>
  </conditionalFormatting>
  <conditionalFormatting sqref="D40">
    <cfRule type="cellIs" dxfId="13583" priority="5772" operator="equal">
      <formula>$C40</formula>
    </cfRule>
    <cfRule type="cellIs" dxfId="13582" priority="5773" operator="greaterThan">
      <formula>$C40</formula>
    </cfRule>
    <cfRule type="cellIs" dxfId="13581" priority="5774" operator="lessThan">
      <formula>$C40</formula>
    </cfRule>
  </conditionalFormatting>
  <conditionalFormatting sqref="D41:E41">
    <cfRule type="expression" dxfId="13580" priority="5771">
      <formula>AND($A41&lt;&gt;"",MOD(ROW(),2))</formula>
    </cfRule>
  </conditionalFormatting>
  <conditionalFormatting sqref="D41">
    <cfRule type="cellIs" dxfId="13579" priority="5768" operator="equal">
      <formula>$C41</formula>
    </cfRule>
    <cfRule type="cellIs" dxfId="13578" priority="5769" operator="greaterThan">
      <formula>$C41</formula>
    </cfRule>
    <cfRule type="cellIs" dxfId="13577" priority="5770" operator="lessThan">
      <formula>$C41</formula>
    </cfRule>
  </conditionalFormatting>
  <conditionalFormatting sqref="D42:E42">
    <cfRule type="expression" dxfId="13576" priority="5767">
      <formula>AND($A42&lt;&gt;"",MOD(ROW(),2))</formula>
    </cfRule>
  </conditionalFormatting>
  <conditionalFormatting sqref="D42">
    <cfRule type="cellIs" dxfId="13575" priority="5764" operator="equal">
      <formula>$C42</formula>
    </cfRule>
    <cfRule type="cellIs" dxfId="13574" priority="5765" operator="greaterThan">
      <formula>$C42</formula>
    </cfRule>
    <cfRule type="cellIs" dxfId="13573" priority="5766" operator="lessThan">
      <formula>$C42</formula>
    </cfRule>
  </conditionalFormatting>
  <conditionalFormatting sqref="D43:E43">
    <cfRule type="expression" dxfId="13572" priority="5763">
      <formula>AND($A43&lt;&gt;"",MOD(ROW(),2))</formula>
    </cfRule>
  </conditionalFormatting>
  <conditionalFormatting sqref="D43">
    <cfRule type="cellIs" dxfId="13571" priority="5760" operator="equal">
      <formula>$C43</formula>
    </cfRule>
    <cfRule type="cellIs" dxfId="13570" priority="5761" operator="greaterThan">
      <formula>$C43</formula>
    </cfRule>
    <cfRule type="cellIs" dxfId="13569" priority="5762" operator="lessThan">
      <formula>$C43</formula>
    </cfRule>
  </conditionalFormatting>
  <conditionalFormatting sqref="D44:E44">
    <cfRule type="expression" dxfId="13568" priority="5759">
      <formula>AND($A44&lt;&gt;"",MOD(ROW(),2))</formula>
    </cfRule>
  </conditionalFormatting>
  <conditionalFormatting sqref="D44">
    <cfRule type="cellIs" dxfId="13567" priority="5756" operator="equal">
      <formula>$C44</formula>
    </cfRule>
    <cfRule type="cellIs" dxfId="13566" priority="5757" operator="greaterThan">
      <formula>$C44</formula>
    </cfRule>
    <cfRule type="cellIs" dxfId="13565" priority="5758" operator="lessThan">
      <formula>$C44</formula>
    </cfRule>
  </conditionalFormatting>
  <conditionalFormatting sqref="D45:E45">
    <cfRule type="expression" dxfId="13564" priority="5755">
      <formula>AND($A45&lt;&gt;"",MOD(ROW(),2))</formula>
    </cfRule>
  </conditionalFormatting>
  <conditionalFormatting sqref="D45">
    <cfRule type="cellIs" dxfId="13563" priority="5752" operator="equal">
      <formula>$C45</formula>
    </cfRule>
    <cfRule type="cellIs" dxfId="13562" priority="5753" operator="greaterThan">
      <formula>$C45</formula>
    </cfRule>
    <cfRule type="cellIs" dxfId="13561" priority="5754" operator="lessThan">
      <formula>$C45</formula>
    </cfRule>
  </conditionalFormatting>
  <conditionalFormatting sqref="D46:E46">
    <cfRule type="expression" dxfId="13560" priority="5751">
      <formula>AND($A46&lt;&gt;"",MOD(ROW(),2))</formula>
    </cfRule>
  </conditionalFormatting>
  <conditionalFormatting sqref="D46">
    <cfRule type="cellIs" dxfId="13559" priority="5748" operator="equal">
      <formula>$C46</formula>
    </cfRule>
    <cfRule type="cellIs" dxfId="13558" priority="5749" operator="greaterThan">
      <formula>$C46</formula>
    </cfRule>
    <cfRule type="cellIs" dxfId="13557" priority="5750" operator="lessThan">
      <formula>$C46</formula>
    </cfRule>
  </conditionalFormatting>
  <conditionalFormatting sqref="D47:E47">
    <cfRule type="expression" dxfId="13556" priority="5747">
      <formula>AND($A47&lt;&gt;"",MOD(ROW(),2))</formula>
    </cfRule>
  </conditionalFormatting>
  <conditionalFormatting sqref="D47">
    <cfRule type="cellIs" dxfId="13555" priority="5744" operator="equal">
      <formula>$C47</formula>
    </cfRule>
    <cfRule type="cellIs" dxfId="13554" priority="5745" operator="greaterThan">
      <formula>$C47</formula>
    </cfRule>
    <cfRule type="cellIs" dxfId="13553" priority="5746" operator="lessThan">
      <formula>$C47</formula>
    </cfRule>
  </conditionalFormatting>
  <conditionalFormatting sqref="D48:E48">
    <cfRule type="expression" dxfId="13552" priority="5743">
      <formula>AND($A48&lt;&gt;"",MOD(ROW(),2))</formula>
    </cfRule>
  </conditionalFormatting>
  <conditionalFormatting sqref="D48">
    <cfRule type="cellIs" dxfId="13551" priority="5740" operator="equal">
      <formula>$C48</formula>
    </cfRule>
    <cfRule type="cellIs" dxfId="13550" priority="5741" operator="greaterThan">
      <formula>$C48</formula>
    </cfRule>
    <cfRule type="cellIs" dxfId="13549" priority="5742" operator="lessThan">
      <formula>$C48</formula>
    </cfRule>
  </conditionalFormatting>
  <conditionalFormatting sqref="D49:E49">
    <cfRule type="expression" dxfId="13548" priority="5739">
      <formula>AND($A49&lt;&gt;"",MOD(ROW(),2))</formula>
    </cfRule>
  </conditionalFormatting>
  <conditionalFormatting sqref="D49">
    <cfRule type="cellIs" dxfId="13547" priority="5736" operator="equal">
      <formula>$C49</formula>
    </cfRule>
    <cfRule type="cellIs" dxfId="13546" priority="5737" operator="greaterThan">
      <formula>$C49</formula>
    </cfRule>
    <cfRule type="cellIs" dxfId="13545" priority="5738" operator="lessThan">
      <formula>$C49</formula>
    </cfRule>
  </conditionalFormatting>
  <conditionalFormatting sqref="D50:E50">
    <cfRule type="expression" dxfId="13544" priority="5735">
      <formula>AND($A50&lt;&gt;"",MOD(ROW(),2))</formula>
    </cfRule>
  </conditionalFormatting>
  <conditionalFormatting sqref="D50">
    <cfRule type="cellIs" dxfId="13543" priority="5732" operator="equal">
      <formula>$C50</formula>
    </cfRule>
    <cfRule type="cellIs" dxfId="13542" priority="5733" operator="greaterThan">
      <formula>$C50</formula>
    </cfRule>
    <cfRule type="cellIs" dxfId="13541" priority="5734" operator="lessThan">
      <formula>$C50</formula>
    </cfRule>
  </conditionalFormatting>
  <conditionalFormatting sqref="D28:E28">
    <cfRule type="expression" dxfId="13540" priority="5731">
      <formula>AND($A28&lt;&gt;"",MOD(ROW(),2))</formula>
    </cfRule>
  </conditionalFormatting>
  <conditionalFormatting sqref="D28">
    <cfRule type="cellIs" dxfId="13539" priority="5728" operator="equal">
      <formula>$C28</formula>
    </cfRule>
    <cfRule type="cellIs" dxfId="13538" priority="5729" operator="greaterThan">
      <formula>$C28</formula>
    </cfRule>
    <cfRule type="cellIs" dxfId="13537" priority="5730" operator="lessThan">
      <formula>$C28</formula>
    </cfRule>
  </conditionalFormatting>
  <conditionalFormatting sqref="D29:E29">
    <cfRule type="expression" dxfId="13536" priority="5727">
      <formula>AND($A29&lt;&gt;"",MOD(ROW(),2))</formula>
    </cfRule>
  </conditionalFormatting>
  <conditionalFormatting sqref="D29">
    <cfRule type="cellIs" dxfId="13535" priority="5724" operator="equal">
      <formula>$C29</formula>
    </cfRule>
    <cfRule type="cellIs" dxfId="13534" priority="5725" operator="greaterThan">
      <formula>$C29</formula>
    </cfRule>
    <cfRule type="cellIs" dxfId="13533" priority="5726" operator="lessThan">
      <formula>$C29</formula>
    </cfRule>
  </conditionalFormatting>
  <conditionalFormatting sqref="D30:E30">
    <cfRule type="expression" dxfId="13532" priority="5723">
      <formula>AND($A30&lt;&gt;"",MOD(ROW(),2))</formula>
    </cfRule>
  </conditionalFormatting>
  <conditionalFormatting sqref="D30">
    <cfRule type="cellIs" dxfId="13531" priority="5720" operator="equal">
      <formula>$C30</formula>
    </cfRule>
    <cfRule type="cellIs" dxfId="13530" priority="5721" operator="greaterThan">
      <formula>$C30</formula>
    </cfRule>
    <cfRule type="cellIs" dxfId="13529" priority="5722" operator="lessThan">
      <formula>$C30</formula>
    </cfRule>
  </conditionalFormatting>
  <conditionalFormatting sqref="D31:E31">
    <cfRule type="expression" dxfId="13528" priority="5719">
      <formula>AND($A31&lt;&gt;"",MOD(ROW(),2))</formula>
    </cfRule>
  </conditionalFormatting>
  <conditionalFormatting sqref="D31">
    <cfRule type="cellIs" dxfId="13527" priority="5716" operator="equal">
      <formula>$C31</formula>
    </cfRule>
    <cfRule type="cellIs" dxfId="13526" priority="5717" operator="greaterThan">
      <formula>$C31</formula>
    </cfRule>
    <cfRule type="cellIs" dxfId="13525" priority="5718" operator="lessThan">
      <formula>$C31</formula>
    </cfRule>
  </conditionalFormatting>
  <conditionalFormatting sqref="D32:E32">
    <cfRule type="expression" dxfId="13524" priority="5715">
      <formula>AND($A32&lt;&gt;"",MOD(ROW(),2))</formula>
    </cfRule>
  </conditionalFormatting>
  <conditionalFormatting sqref="D32">
    <cfRule type="cellIs" dxfId="13523" priority="5712" operator="equal">
      <formula>$C32</formula>
    </cfRule>
    <cfRule type="cellIs" dxfId="13522" priority="5713" operator="greaterThan">
      <formula>$C32</formula>
    </cfRule>
    <cfRule type="cellIs" dxfId="13521" priority="5714" operator="lessThan">
      <formula>$C32</formula>
    </cfRule>
  </conditionalFormatting>
  <conditionalFormatting sqref="D33:E33">
    <cfRule type="expression" dxfId="13520" priority="5711">
      <formula>AND($A33&lt;&gt;"",MOD(ROW(),2))</formula>
    </cfRule>
  </conditionalFormatting>
  <conditionalFormatting sqref="D33">
    <cfRule type="cellIs" dxfId="13519" priority="5708" operator="equal">
      <formula>$C33</formula>
    </cfRule>
    <cfRule type="cellIs" dxfId="13518" priority="5709" operator="greaterThan">
      <formula>$C33</formula>
    </cfRule>
    <cfRule type="cellIs" dxfId="13517" priority="5710" operator="lessThan">
      <formula>$C33</formula>
    </cfRule>
  </conditionalFormatting>
  <conditionalFormatting sqref="D34:E34">
    <cfRule type="expression" dxfId="13516" priority="5707">
      <formula>AND($A34&lt;&gt;"",MOD(ROW(),2))</formula>
    </cfRule>
  </conditionalFormatting>
  <conditionalFormatting sqref="D34">
    <cfRule type="cellIs" dxfId="13515" priority="5704" operator="equal">
      <formula>$C34</formula>
    </cfRule>
    <cfRule type="cellIs" dxfId="13514" priority="5705" operator="greaterThan">
      <formula>$C34</formula>
    </cfRule>
    <cfRule type="cellIs" dxfId="13513" priority="5706" operator="lessThan">
      <formula>$C34</formula>
    </cfRule>
  </conditionalFormatting>
  <conditionalFormatting sqref="D35:E35">
    <cfRule type="expression" dxfId="13512" priority="5703">
      <formula>AND($A35&lt;&gt;"",MOD(ROW(),2))</formula>
    </cfRule>
  </conditionalFormatting>
  <conditionalFormatting sqref="D35">
    <cfRule type="cellIs" dxfId="13511" priority="5700" operator="equal">
      <formula>$C35</formula>
    </cfRule>
    <cfRule type="cellIs" dxfId="13510" priority="5701" operator="greaterThan">
      <formula>$C35</formula>
    </cfRule>
    <cfRule type="cellIs" dxfId="13509" priority="5702" operator="lessThan">
      <formula>$C35</formula>
    </cfRule>
  </conditionalFormatting>
  <conditionalFormatting sqref="D36:E36">
    <cfRule type="expression" dxfId="13508" priority="5699">
      <formula>AND($A36&lt;&gt;"",MOD(ROW(),2))</formula>
    </cfRule>
  </conditionalFormatting>
  <conditionalFormatting sqref="D36">
    <cfRule type="cellIs" dxfId="13507" priority="5696" operator="equal">
      <formula>$C36</formula>
    </cfRule>
    <cfRule type="cellIs" dxfId="13506" priority="5697" operator="greaterThan">
      <formula>$C36</formula>
    </cfRule>
    <cfRule type="cellIs" dxfId="13505" priority="5698" operator="lessThan">
      <formula>$C36</formula>
    </cfRule>
  </conditionalFormatting>
  <conditionalFormatting sqref="D37:E37">
    <cfRule type="expression" dxfId="13504" priority="5695">
      <formula>AND($A37&lt;&gt;"",MOD(ROW(),2))</formula>
    </cfRule>
  </conditionalFormatting>
  <conditionalFormatting sqref="D37">
    <cfRule type="cellIs" dxfId="13503" priority="5692" operator="equal">
      <formula>$C37</formula>
    </cfRule>
    <cfRule type="cellIs" dxfId="13502" priority="5693" operator="greaterThan">
      <formula>$C37</formula>
    </cfRule>
    <cfRule type="cellIs" dxfId="13501" priority="5694" operator="lessThan">
      <formula>$C37</formula>
    </cfRule>
  </conditionalFormatting>
  <conditionalFormatting sqref="D38:E38">
    <cfRule type="expression" dxfId="13500" priority="5691">
      <formula>AND($A38&lt;&gt;"",MOD(ROW(),2))</formula>
    </cfRule>
  </conditionalFormatting>
  <conditionalFormatting sqref="D38">
    <cfRule type="cellIs" dxfId="13499" priority="5688" operator="equal">
      <formula>$C38</formula>
    </cfRule>
    <cfRule type="cellIs" dxfId="13498" priority="5689" operator="greaterThan">
      <formula>$C38</formula>
    </cfRule>
    <cfRule type="cellIs" dxfId="13497" priority="5690" operator="lessThan">
      <formula>$C38</formula>
    </cfRule>
  </conditionalFormatting>
  <conditionalFormatting sqref="D39:E39">
    <cfRule type="expression" dxfId="13496" priority="5687">
      <formula>AND($A39&lt;&gt;"",MOD(ROW(),2))</formula>
    </cfRule>
  </conditionalFormatting>
  <conditionalFormatting sqref="D39">
    <cfRule type="cellIs" dxfId="13495" priority="5684" operator="equal">
      <formula>$C39</formula>
    </cfRule>
    <cfRule type="cellIs" dxfId="13494" priority="5685" operator="greaterThan">
      <formula>$C39</formula>
    </cfRule>
    <cfRule type="cellIs" dxfId="13493" priority="5686" operator="lessThan">
      <formula>$C39</formula>
    </cfRule>
  </conditionalFormatting>
  <conditionalFormatting sqref="D40:E40">
    <cfRule type="expression" dxfId="13492" priority="5683">
      <formula>AND($A40&lt;&gt;"",MOD(ROW(),2))</formula>
    </cfRule>
  </conditionalFormatting>
  <conditionalFormatting sqref="D40">
    <cfRule type="cellIs" dxfId="13491" priority="5680" operator="equal">
      <formula>$C40</formula>
    </cfRule>
    <cfRule type="cellIs" dxfId="13490" priority="5681" operator="greaterThan">
      <formula>$C40</formula>
    </cfRule>
    <cfRule type="cellIs" dxfId="13489" priority="5682" operator="lessThan">
      <formula>$C40</formula>
    </cfRule>
  </conditionalFormatting>
  <conditionalFormatting sqref="D41:E41">
    <cfRule type="expression" dxfId="13488" priority="5679">
      <formula>AND($A41&lt;&gt;"",MOD(ROW(),2))</formula>
    </cfRule>
  </conditionalFormatting>
  <conditionalFormatting sqref="D41">
    <cfRule type="cellIs" dxfId="13487" priority="5676" operator="equal">
      <formula>$C41</formula>
    </cfRule>
    <cfRule type="cellIs" dxfId="13486" priority="5677" operator="greaterThan">
      <formula>$C41</formula>
    </cfRule>
    <cfRule type="cellIs" dxfId="13485" priority="5678" operator="lessThan">
      <formula>$C41</formula>
    </cfRule>
  </conditionalFormatting>
  <conditionalFormatting sqref="D42:E42">
    <cfRule type="expression" dxfId="13484" priority="5675">
      <formula>AND($A42&lt;&gt;"",MOD(ROW(),2))</formula>
    </cfRule>
  </conditionalFormatting>
  <conditionalFormatting sqref="D42">
    <cfRule type="cellIs" dxfId="13483" priority="5672" operator="equal">
      <formula>$C42</formula>
    </cfRule>
    <cfRule type="cellIs" dxfId="13482" priority="5673" operator="greaterThan">
      <formula>$C42</formula>
    </cfRule>
    <cfRule type="cellIs" dxfId="13481" priority="5674" operator="lessThan">
      <formula>$C42</formula>
    </cfRule>
  </conditionalFormatting>
  <conditionalFormatting sqref="D43:E43">
    <cfRule type="expression" dxfId="13480" priority="5671">
      <formula>AND($A43&lt;&gt;"",MOD(ROW(),2))</formula>
    </cfRule>
  </conditionalFormatting>
  <conditionalFormatting sqref="D43">
    <cfRule type="cellIs" dxfId="13479" priority="5668" operator="equal">
      <formula>$C43</formula>
    </cfRule>
    <cfRule type="cellIs" dxfId="13478" priority="5669" operator="greaterThan">
      <formula>$C43</formula>
    </cfRule>
    <cfRule type="cellIs" dxfId="13477" priority="5670" operator="lessThan">
      <formula>$C43</formula>
    </cfRule>
  </conditionalFormatting>
  <conditionalFormatting sqref="D44:E44">
    <cfRule type="expression" dxfId="13476" priority="5667">
      <formula>AND($A44&lt;&gt;"",MOD(ROW(),2))</formula>
    </cfRule>
  </conditionalFormatting>
  <conditionalFormatting sqref="D44">
    <cfRule type="cellIs" dxfId="13475" priority="5664" operator="equal">
      <formula>$C44</formula>
    </cfRule>
    <cfRule type="cellIs" dxfId="13474" priority="5665" operator="greaterThan">
      <formula>$C44</formula>
    </cfRule>
    <cfRule type="cellIs" dxfId="13473" priority="5666" operator="lessThan">
      <formula>$C44</formula>
    </cfRule>
  </conditionalFormatting>
  <conditionalFormatting sqref="D45:E45">
    <cfRule type="expression" dxfId="13472" priority="5663">
      <formula>AND($A45&lt;&gt;"",MOD(ROW(),2))</formula>
    </cfRule>
  </conditionalFormatting>
  <conditionalFormatting sqref="D45">
    <cfRule type="cellIs" dxfId="13471" priority="5660" operator="equal">
      <formula>$C45</formula>
    </cfRule>
    <cfRule type="cellIs" dxfId="13470" priority="5661" operator="greaterThan">
      <formula>$C45</formula>
    </cfRule>
    <cfRule type="cellIs" dxfId="13469" priority="5662" operator="lessThan">
      <formula>$C45</formula>
    </cfRule>
  </conditionalFormatting>
  <conditionalFormatting sqref="D46:E46">
    <cfRule type="expression" dxfId="13468" priority="5659">
      <formula>AND($A46&lt;&gt;"",MOD(ROW(),2))</formula>
    </cfRule>
  </conditionalFormatting>
  <conditionalFormatting sqref="D46">
    <cfRule type="cellIs" dxfId="13467" priority="5656" operator="equal">
      <formula>$C46</formula>
    </cfRule>
    <cfRule type="cellIs" dxfId="13466" priority="5657" operator="greaterThan">
      <formula>$C46</formula>
    </cfRule>
    <cfRule type="cellIs" dxfId="13465" priority="5658" operator="lessThan">
      <formula>$C46</formula>
    </cfRule>
  </conditionalFormatting>
  <conditionalFormatting sqref="D47:E47">
    <cfRule type="expression" dxfId="13464" priority="5655">
      <formula>AND($A47&lt;&gt;"",MOD(ROW(),2))</formula>
    </cfRule>
  </conditionalFormatting>
  <conditionalFormatting sqref="D47">
    <cfRule type="cellIs" dxfId="13463" priority="5652" operator="equal">
      <formula>$C47</formula>
    </cfRule>
    <cfRule type="cellIs" dxfId="13462" priority="5653" operator="greaterThan">
      <formula>$C47</formula>
    </cfRule>
    <cfRule type="cellIs" dxfId="13461" priority="5654" operator="lessThan">
      <formula>$C47</formula>
    </cfRule>
  </conditionalFormatting>
  <conditionalFormatting sqref="D48:E48">
    <cfRule type="expression" dxfId="13460" priority="5651">
      <formula>AND($A48&lt;&gt;"",MOD(ROW(),2))</formula>
    </cfRule>
  </conditionalFormatting>
  <conditionalFormatting sqref="D48">
    <cfRule type="cellIs" dxfId="13459" priority="5648" operator="equal">
      <formula>$C48</formula>
    </cfRule>
    <cfRule type="cellIs" dxfId="13458" priority="5649" operator="greaterThan">
      <formula>$C48</formula>
    </cfRule>
    <cfRule type="cellIs" dxfId="13457" priority="5650" operator="lessThan">
      <formula>$C48</formula>
    </cfRule>
  </conditionalFormatting>
  <conditionalFormatting sqref="D49:E49">
    <cfRule type="expression" dxfId="13456" priority="5647">
      <formula>AND($A49&lt;&gt;"",MOD(ROW(),2))</formula>
    </cfRule>
  </conditionalFormatting>
  <conditionalFormatting sqref="D49">
    <cfRule type="cellIs" dxfId="13455" priority="5644" operator="equal">
      <formula>$C49</formula>
    </cfRule>
    <cfRule type="cellIs" dxfId="13454" priority="5645" operator="greaterThan">
      <formula>$C49</formula>
    </cfRule>
    <cfRule type="cellIs" dxfId="13453" priority="5646" operator="lessThan">
      <formula>$C49</formula>
    </cfRule>
  </conditionalFormatting>
  <conditionalFormatting sqref="D50:E50">
    <cfRule type="expression" dxfId="13452" priority="5643">
      <formula>AND($A50&lt;&gt;"",MOD(ROW(),2))</formula>
    </cfRule>
  </conditionalFormatting>
  <conditionalFormatting sqref="D50">
    <cfRule type="cellIs" dxfId="13451" priority="5640" operator="equal">
      <formula>$C50</formula>
    </cfRule>
    <cfRule type="cellIs" dxfId="13450" priority="5641" operator="greaterThan">
      <formula>$C50</formula>
    </cfRule>
    <cfRule type="cellIs" dxfId="13449" priority="5642" operator="lessThan">
      <formula>$C50</formula>
    </cfRule>
  </conditionalFormatting>
  <conditionalFormatting sqref="D28:E28">
    <cfRule type="expression" dxfId="13448" priority="5639">
      <formula>AND($A28&lt;&gt;"",MOD(ROW(),2))</formula>
    </cfRule>
  </conditionalFormatting>
  <conditionalFormatting sqref="D28">
    <cfRule type="cellIs" dxfId="13447" priority="5636" operator="equal">
      <formula>$C28</formula>
    </cfRule>
    <cfRule type="cellIs" dxfId="13446" priority="5637" operator="greaterThan">
      <formula>$C28</formula>
    </cfRule>
    <cfRule type="cellIs" dxfId="13445" priority="5638" operator="lessThan">
      <formula>$C28</formula>
    </cfRule>
  </conditionalFormatting>
  <conditionalFormatting sqref="D29:E29">
    <cfRule type="expression" dxfId="13444" priority="5635">
      <formula>AND($A29&lt;&gt;"",MOD(ROW(),2))</formula>
    </cfRule>
  </conditionalFormatting>
  <conditionalFormatting sqref="D29">
    <cfRule type="cellIs" dxfId="13443" priority="5632" operator="equal">
      <formula>$C29</formula>
    </cfRule>
    <cfRule type="cellIs" dxfId="13442" priority="5633" operator="greaterThan">
      <formula>$C29</formula>
    </cfRule>
    <cfRule type="cellIs" dxfId="13441" priority="5634" operator="lessThan">
      <formula>$C29</formula>
    </cfRule>
  </conditionalFormatting>
  <conditionalFormatting sqref="D30:E30">
    <cfRule type="expression" dxfId="13440" priority="5631">
      <formula>AND($A30&lt;&gt;"",MOD(ROW(),2))</formula>
    </cfRule>
  </conditionalFormatting>
  <conditionalFormatting sqref="D30">
    <cfRule type="cellIs" dxfId="13439" priority="5628" operator="equal">
      <formula>$C30</formula>
    </cfRule>
    <cfRule type="cellIs" dxfId="13438" priority="5629" operator="greaterThan">
      <formula>$C30</formula>
    </cfRule>
    <cfRule type="cellIs" dxfId="13437" priority="5630" operator="lessThan">
      <formula>$C30</formula>
    </cfRule>
  </conditionalFormatting>
  <conditionalFormatting sqref="D31:E31">
    <cfRule type="expression" dxfId="13436" priority="5627">
      <formula>AND($A31&lt;&gt;"",MOD(ROW(),2))</formula>
    </cfRule>
  </conditionalFormatting>
  <conditionalFormatting sqref="D31">
    <cfRule type="cellIs" dxfId="13435" priority="5624" operator="equal">
      <formula>$C31</formula>
    </cfRule>
    <cfRule type="cellIs" dxfId="13434" priority="5625" operator="greaterThan">
      <formula>$C31</formula>
    </cfRule>
    <cfRule type="cellIs" dxfId="13433" priority="5626" operator="lessThan">
      <formula>$C31</formula>
    </cfRule>
  </conditionalFormatting>
  <conditionalFormatting sqref="D32:E32">
    <cfRule type="expression" dxfId="13432" priority="5623">
      <formula>AND($A32&lt;&gt;"",MOD(ROW(),2))</formula>
    </cfRule>
  </conditionalFormatting>
  <conditionalFormatting sqref="D32">
    <cfRule type="cellIs" dxfId="13431" priority="5620" operator="equal">
      <formula>$C32</formula>
    </cfRule>
    <cfRule type="cellIs" dxfId="13430" priority="5621" operator="greaterThan">
      <formula>$C32</formula>
    </cfRule>
    <cfRule type="cellIs" dxfId="13429" priority="5622" operator="lessThan">
      <formula>$C32</formula>
    </cfRule>
  </conditionalFormatting>
  <conditionalFormatting sqref="D33:E33">
    <cfRule type="expression" dxfId="13428" priority="5619">
      <formula>AND($A33&lt;&gt;"",MOD(ROW(),2))</formula>
    </cfRule>
  </conditionalFormatting>
  <conditionalFormatting sqref="D33">
    <cfRule type="cellIs" dxfId="13427" priority="5616" operator="equal">
      <formula>$C33</formula>
    </cfRule>
    <cfRule type="cellIs" dxfId="13426" priority="5617" operator="greaterThan">
      <formula>$C33</formula>
    </cfRule>
    <cfRule type="cellIs" dxfId="13425" priority="5618" operator="lessThan">
      <formula>$C33</formula>
    </cfRule>
  </conditionalFormatting>
  <conditionalFormatting sqref="D34:E34">
    <cfRule type="expression" dxfId="13424" priority="5615">
      <formula>AND($A34&lt;&gt;"",MOD(ROW(),2))</formula>
    </cfRule>
  </conditionalFormatting>
  <conditionalFormatting sqref="D34">
    <cfRule type="cellIs" dxfId="13423" priority="5612" operator="equal">
      <formula>$C34</formula>
    </cfRule>
    <cfRule type="cellIs" dxfId="13422" priority="5613" operator="greaterThan">
      <formula>$C34</formula>
    </cfRule>
    <cfRule type="cellIs" dxfId="13421" priority="5614" operator="lessThan">
      <formula>$C34</formula>
    </cfRule>
  </conditionalFormatting>
  <conditionalFormatting sqref="D35:E35">
    <cfRule type="expression" dxfId="13420" priority="5611">
      <formula>AND($A35&lt;&gt;"",MOD(ROW(),2))</formula>
    </cfRule>
  </conditionalFormatting>
  <conditionalFormatting sqref="D35">
    <cfRule type="cellIs" dxfId="13419" priority="5608" operator="equal">
      <formula>$C35</formula>
    </cfRule>
    <cfRule type="cellIs" dxfId="13418" priority="5609" operator="greaterThan">
      <formula>$C35</formula>
    </cfRule>
    <cfRule type="cellIs" dxfId="13417" priority="5610" operator="lessThan">
      <formula>$C35</formula>
    </cfRule>
  </conditionalFormatting>
  <conditionalFormatting sqref="D36:E36">
    <cfRule type="expression" dxfId="13416" priority="5607">
      <formula>AND($A36&lt;&gt;"",MOD(ROW(),2))</formula>
    </cfRule>
  </conditionalFormatting>
  <conditionalFormatting sqref="D36">
    <cfRule type="cellIs" dxfId="13415" priority="5604" operator="equal">
      <formula>$C36</formula>
    </cfRule>
    <cfRule type="cellIs" dxfId="13414" priority="5605" operator="greaterThan">
      <formula>$C36</formula>
    </cfRule>
    <cfRule type="cellIs" dxfId="13413" priority="5606" operator="lessThan">
      <formula>$C36</formula>
    </cfRule>
  </conditionalFormatting>
  <conditionalFormatting sqref="D37:E37">
    <cfRule type="expression" dxfId="13412" priority="5603">
      <formula>AND($A37&lt;&gt;"",MOD(ROW(),2))</formula>
    </cfRule>
  </conditionalFormatting>
  <conditionalFormatting sqref="D37">
    <cfRule type="cellIs" dxfId="13411" priority="5600" operator="equal">
      <formula>$C37</formula>
    </cfRule>
    <cfRule type="cellIs" dxfId="13410" priority="5601" operator="greaterThan">
      <formula>$C37</formula>
    </cfRule>
    <cfRule type="cellIs" dxfId="13409" priority="5602" operator="lessThan">
      <formula>$C37</formula>
    </cfRule>
  </conditionalFormatting>
  <conditionalFormatting sqref="D38:E38">
    <cfRule type="expression" dxfId="13408" priority="5599">
      <formula>AND($A38&lt;&gt;"",MOD(ROW(),2))</formula>
    </cfRule>
  </conditionalFormatting>
  <conditionalFormatting sqref="D38">
    <cfRule type="cellIs" dxfId="13407" priority="5596" operator="equal">
      <formula>$C38</formula>
    </cfRule>
    <cfRule type="cellIs" dxfId="13406" priority="5597" operator="greaterThan">
      <formula>$C38</formula>
    </cfRule>
    <cfRule type="cellIs" dxfId="13405" priority="5598" operator="lessThan">
      <formula>$C38</formula>
    </cfRule>
  </conditionalFormatting>
  <conditionalFormatting sqref="D39:E39">
    <cfRule type="expression" dxfId="13404" priority="5595">
      <formula>AND($A39&lt;&gt;"",MOD(ROW(),2))</formula>
    </cfRule>
  </conditionalFormatting>
  <conditionalFormatting sqref="D39">
    <cfRule type="cellIs" dxfId="13403" priority="5592" operator="equal">
      <formula>$C39</formula>
    </cfRule>
    <cfRule type="cellIs" dxfId="13402" priority="5593" operator="greaterThan">
      <formula>$C39</formula>
    </cfRule>
    <cfRule type="cellIs" dxfId="13401" priority="5594" operator="lessThan">
      <formula>$C39</formula>
    </cfRule>
  </conditionalFormatting>
  <conditionalFormatting sqref="D40:E40">
    <cfRule type="expression" dxfId="13400" priority="5591">
      <formula>AND($A40&lt;&gt;"",MOD(ROW(),2))</formula>
    </cfRule>
  </conditionalFormatting>
  <conditionalFormatting sqref="D40">
    <cfRule type="cellIs" dxfId="13399" priority="5588" operator="equal">
      <formula>$C40</formula>
    </cfRule>
    <cfRule type="cellIs" dxfId="13398" priority="5589" operator="greaterThan">
      <formula>$C40</formula>
    </cfRule>
    <cfRule type="cellIs" dxfId="13397" priority="5590" operator="lessThan">
      <formula>$C40</formula>
    </cfRule>
  </conditionalFormatting>
  <conditionalFormatting sqref="D41:E41">
    <cfRule type="expression" dxfId="13396" priority="5587">
      <formula>AND($A41&lt;&gt;"",MOD(ROW(),2))</formula>
    </cfRule>
  </conditionalFormatting>
  <conditionalFormatting sqref="D41">
    <cfRule type="cellIs" dxfId="13395" priority="5584" operator="equal">
      <formula>$C41</formula>
    </cfRule>
    <cfRule type="cellIs" dxfId="13394" priority="5585" operator="greaterThan">
      <formula>$C41</formula>
    </cfRule>
    <cfRule type="cellIs" dxfId="13393" priority="5586" operator="lessThan">
      <formula>$C41</formula>
    </cfRule>
  </conditionalFormatting>
  <conditionalFormatting sqref="D42:E42">
    <cfRule type="expression" dxfId="13392" priority="5583">
      <formula>AND($A42&lt;&gt;"",MOD(ROW(),2))</formula>
    </cfRule>
  </conditionalFormatting>
  <conditionalFormatting sqref="D42">
    <cfRule type="cellIs" dxfId="13391" priority="5580" operator="equal">
      <formula>$C42</formula>
    </cfRule>
    <cfRule type="cellIs" dxfId="13390" priority="5581" operator="greaterThan">
      <formula>$C42</formula>
    </cfRule>
    <cfRule type="cellIs" dxfId="13389" priority="5582" operator="lessThan">
      <formula>$C42</formula>
    </cfRule>
  </conditionalFormatting>
  <conditionalFormatting sqref="D43:E43">
    <cfRule type="expression" dxfId="13388" priority="5579">
      <formula>AND($A43&lt;&gt;"",MOD(ROW(),2))</formula>
    </cfRule>
  </conditionalFormatting>
  <conditionalFormatting sqref="D43">
    <cfRule type="cellIs" dxfId="13387" priority="5576" operator="equal">
      <formula>$C43</formula>
    </cfRule>
    <cfRule type="cellIs" dxfId="13386" priority="5577" operator="greaterThan">
      <formula>$C43</formula>
    </cfRule>
    <cfRule type="cellIs" dxfId="13385" priority="5578" operator="lessThan">
      <formula>$C43</formula>
    </cfRule>
  </conditionalFormatting>
  <conditionalFormatting sqref="D44:E44">
    <cfRule type="expression" dxfId="13384" priority="5575">
      <formula>AND($A44&lt;&gt;"",MOD(ROW(),2))</formula>
    </cfRule>
  </conditionalFormatting>
  <conditionalFormatting sqref="D44">
    <cfRule type="cellIs" dxfId="13383" priority="5572" operator="equal">
      <formula>$C44</formula>
    </cfRule>
    <cfRule type="cellIs" dxfId="13382" priority="5573" operator="greaterThan">
      <formula>$C44</formula>
    </cfRule>
    <cfRule type="cellIs" dxfId="13381" priority="5574" operator="lessThan">
      <formula>$C44</formula>
    </cfRule>
  </conditionalFormatting>
  <conditionalFormatting sqref="D45:E45">
    <cfRule type="expression" dxfId="13380" priority="5571">
      <formula>AND($A45&lt;&gt;"",MOD(ROW(),2))</formula>
    </cfRule>
  </conditionalFormatting>
  <conditionalFormatting sqref="D45">
    <cfRule type="cellIs" dxfId="13379" priority="5568" operator="equal">
      <formula>$C45</formula>
    </cfRule>
    <cfRule type="cellIs" dxfId="13378" priority="5569" operator="greaterThan">
      <formula>$C45</formula>
    </cfRule>
    <cfRule type="cellIs" dxfId="13377" priority="5570" operator="lessThan">
      <formula>$C45</formula>
    </cfRule>
  </conditionalFormatting>
  <conditionalFormatting sqref="D46:E46">
    <cfRule type="expression" dxfId="13376" priority="5567">
      <formula>AND($A46&lt;&gt;"",MOD(ROW(),2))</formula>
    </cfRule>
  </conditionalFormatting>
  <conditionalFormatting sqref="D46">
    <cfRule type="cellIs" dxfId="13375" priority="5564" operator="equal">
      <formula>$C46</formula>
    </cfRule>
    <cfRule type="cellIs" dxfId="13374" priority="5565" operator="greaterThan">
      <formula>$C46</formula>
    </cfRule>
    <cfRule type="cellIs" dxfId="13373" priority="5566" operator="lessThan">
      <formula>$C46</formula>
    </cfRule>
  </conditionalFormatting>
  <conditionalFormatting sqref="D47:E47">
    <cfRule type="expression" dxfId="13372" priority="5563">
      <formula>AND($A47&lt;&gt;"",MOD(ROW(),2))</formula>
    </cfRule>
  </conditionalFormatting>
  <conditionalFormatting sqref="D47">
    <cfRule type="cellIs" dxfId="13371" priority="5560" operator="equal">
      <formula>$C47</formula>
    </cfRule>
    <cfRule type="cellIs" dxfId="13370" priority="5561" operator="greaterThan">
      <formula>$C47</formula>
    </cfRule>
    <cfRule type="cellIs" dxfId="13369" priority="5562" operator="lessThan">
      <formula>$C47</formula>
    </cfRule>
  </conditionalFormatting>
  <conditionalFormatting sqref="D48:E48">
    <cfRule type="expression" dxfId="13368" priority="5559">
      <formula>AND($A48&lt;&gt;"",MOD(ROW(),2))</formula>
    </cfRule>
  </conditionalFormatting>
  <conditionalFormatting sqref="D48">
    <cfRule type="cellIs" dxfId="13367" priority="5556" operator="equal">
      <formula>$C48</formula>
    </cfRule>
    <cfRule type="cellIs" dxfId="13366" priority="5557" operator="greaterThan">
      <formula>$C48</formula>
    </cfRule>
    <cfRule type="cellIs" dxfId="13365" priority="5558" operator="lessThan">
      <formula>$C48</formula>
    </cfRule>
  </conditionalFormatting>
  <conditionalFormatting sqref="D49:E49">
    <cfRule type="expression" dxfId="13364" priority="5555">
      <formula>AND($A49&lt;&gt;"",MOD(ROW(),2))</formula>
    </cfRule>
  </conditionalFormatting>
  <conditionalFormatting sqref="D49">
    <cfRule type="cellIs" dxfId="13363" priority="5552" operator="equal">
      <formula>$C49</formula>
    </cfRule>
    <cfRule type="cellIs" dxfId="13362" priority="5553" operator="greaterThan">
      <formula>$C49</formula>
    </cfRule>
    <cfRule type="cellIs" dxfId="13361" priority="5554" operator="lessThan">
      <formula>$C49</formula>
    </cfRule>
  </conditionalFormatting>
  <conditionalFormatting sqref="D50:E50">
    <cfRule type="expression" dxfId="13360" priority="5551">
      <formula>AND($A50&lt;&gt;"",MOD(ROW(),2))</formula>
    </cfRule>
  </conditionalFormatting>
  <conditionalFormatting sqref="D50">
    <cfRule type="cellIs" dxfId="13359" priority="5548" operator="equal">
      <formula>$C50</formula>
    </cfRule>
    <cfRule type="cellIs" dxfId="13358" priority="5549" operator="greaterThan">
      <formula>$C50</formula>
    </cfRule>
    <cfRule type="cellIs" dxfId="13357" priority="5550" operator="lessThan">
      <formula>$C50</formula>
    </cfRule>
  </conditionalFormatting>
  <conditionalFormatting sqref="D51:E51">
    <cfRule type="expression" dxfId="13356" priority="5547">
      <formula>AND($A51&lt;&gt;"",MOD(ROW(),2))</formula>
    </cfRule>
  </conditionalFormatting>
  <conditionalFormatting sqref="D51">
    <cfRule type="cellIs" dxfId="13355" priority="5544" operator="equal">
      <formula>$C51</formula>
    </cfRule>
    <cfRule type="cellIs" dxfId="13354" priority="5545" operator="greaterThan">
      <formula>$C51</formula>
    </cfRule>
    <cfRule type="cellIs" dxfId="13353" priority="5546" operator="lessThan">
      <formula>$C51</formula>
    </cfRule>
  </conditionalFormatting>
  <conditionalFormatting sqref="D29:E29">
    <cfRule type="expression" dxfId="13352" priority="5543">
      <formula>AND($A29&lt;&gt;"",MOD(ROW(),2))</formula>
    </cfRule>
  </conditionalFormatting>
  <conditionalFormatting sqref="D29">
    <cfRule type="cellIs" dxfId="13351" priority="5540" operator="equal">
      <formula>$C29</formula>
    </cfRule>
    <cfRule type="cellIs" dxfId="13350" priority="5541" operator="greaterThan">
      <formula>$C29</formula>
    </cfRule>
    <cfRule type="cellIs" dxfId="13349" priority="5542" operator="lessThan">
      <formula>$C29</formula>
    </cfRule>
  </conditionalFormatting>
  <conditionalFormatting sqref="D30:E30">
    <cfRule type="expression" dxfId="13348" priority="5539">
      <formula>AND($A30&lt;&gt;"",MOD(ROW(),2))</formula>
    </cfRule>
  </conditionalFormatting>
  <conditionalFormatting sqref="D30">
    <cfRule type="cellIs" dxfId="13347" priority="5536" operator="equal">
      <formula>$C30</formula>
    </cfRule>
    <cfRule type="cellIs" dxfId="13346" priority="5537" operator="greaterThan">
      <formula>$C30</formula>
    </cfRule>
    <cfRule type="cellIs" dxfId="13345" priority="5538" operator="lessThan">
      <formula>$C30</formula>
    </cfRule>
  </conditionalFormatting>
  <conditionalFormatting sqref="D31:E31">
    <cfRule type="expression" dxfId="13344" priority="5535">
      <formula>AND($A31&lt;&gt;"",MOD(ROW(),2))</formula>
    </cfRule>
  </conditionalFormatting>
  <conditionalFormatting sqref="D31">
    <cfRule type="cellIs" dxfId="13343" priority="5532" operator="equal">
      <formula>$C31</formula>
    </cfRule>
    <cfRule type="cellIs" dxfId="13342" priority="5533" operator="greaterThan">
      <formula>$C31</formula>
    </cfRule>
    <cfRule type="cellIs" dxfId="13341" priority="5534" operator="lessThan">
      <formula>$C31</formula>
    </cfRule>
  </conditionalFormatting>
  <conditionalFormatting sqref="D32:E32">
    <cfRule type="expression" dxfId="13340" priority="5531">
      <formula>AND($A32&lt;&gt;"",MOD(ROW(),2))</formula>
    </cfRule>
  </conditionalFormatting>
  <conditionalFormatting sqref="D32">
    <cfRule type="cellIs" dxfId="13339" priority="5528" operator="equal">
      <formula>$C32</formula>
    </cfRule>
    <cfRule type="cellIs" dxfId="13338" priority="5529" operator="greaterThan">
      <formula>$C32</formula>
    </cfRule>
    <cfRule type="cellIs" dxfId="13337" priority="5530" operator="lessThan">
      <formula>$C32</formula>
    </cfRule>
  </conditionalFormatting>
  <conditionalFormatting sqref="D33:E33">
    <cfRule type="expression" dxfId="13336" priority="5527">
      <formula>AND($A33&lt;&gt;"",MOD(ROW(),2))</formula>
    </cfRule>
  </conditionalFormatting>
  <conditionalFormatting sqref="D33">
    <cfRule type="cellIs" dxfId="13335" priority="5524" operator="equal">
      <formula>$C33</formula>
    </cfRule>
    <cfRule type="cellIs" dxfId="13334" priority="5525" operator="greaterThan">
      <formula>$C33</formula>
    </cfRule>
    <cfRule type="cellIs" dxfId="13333" priority="5526" operator="lessThan">
      <formula>$C33</formula>
    </cfRule>
  </conditionalFormatting>
  <conditionalFormatting sqref="D34:E34">
    <cfRule type="expression" dxfId="13332" priority="5523">
      <formula>AND($A34&lt;&gt;"",MOD(ROW(),2))</formula>
    </cfRule>
  </conditionalFormatting>
  <conditionalFormatting sqref="D34">
    <cfRule type="cellIs" dxfId="13331" priority="5520" operator="equal">
      <formula>$C34</formula>
    </cfRule>
    <cfRule type="cellIs" dxfId="13330" priority="5521" operator="greaterThan">
      <formula>$C34</formula>
    </cfRule>
    <cfRule type="cellIs" dxfId="13329" priority="5522" operator="lessThan">
      <formula>$C34</formula>
    </cfRule>
  </conditionalFormatting>
  <conditionalFormatting sqref="D35:E35">
    <cfRule type="expression" dxfId="13328" priority="5519">
      <formula>AND($A35&lt;&gt;"",MOD(ROW(),2))</formula>
    </cfRule>
  </conditionalFormatting>
  <conditionalFormatting sqref="D35">
    <cfRule type="cellIs" dxfId="13327" priority="5516" operator="equal">
      <formula>$C35</formula>
    </cfRule>
    <cfRule type="cellIs" dxfId="13326" priority="5517" operator="greaterThan">
      <formula>$C35</formula>
    </cfRule>
    <cfRule type="cellIs" dxfId="13325" priority="5518" operator="lessThan">
      <formula>$C35</formula>
    </cfRule>
  </conditionalFormatting>
  <conditionalFormatting sqref="D36:E36">
    <cfRule type="expression" dxfId="13324" priority="5515">
      <formula>AND($A36&lt;&gt;"",MOD(ROW(),2))</formula>
    </cfRule>
  </conditionalFormatting>
  <conditionalFormatting sqref="D36">
    <cfRule type="cellIs" dxfId="13323" priority="5512" operator="equal">
      <formula>$C36</formula>
    </cfRule>
    <cfRule type="cellIs" dxfId="13322" priority="5513" operator="greaterThan">
      <formula>$C36</formula>
    </cfRule>
    <cfRule type="cellIs" dxfId="13321" priority="5514" operator="lessThan">
      <formula>$C36</formula>
    </cfRule>
  </conditionalFormatting>
  <conditionalFormatting sqref="D37:E37">
    <cfRule type="expression" dxfId="13320" priority="5511">
      <formula>AND($A37&lt;&gt;"",MOD(ROW(),2))</formula>
    </cfRule>
  </conditionalFormatting>
  <conditionalFormatting sqref="D37">
    <cfRule type="cellIs" dxfId="13319" priority="5508" operator="equal">
      <formula>$C37</formula>
    </cfRule>
    <cfRule type="cellIs" dxfId="13318" priority="5509" operator="greaterThan">
      <formula>$C37</formula>
    </cfRule>
    <cfRule type="cellIs" dxfId="13317" priority="5510" operator="lessThan">
      <formula>$C37</formula>
    </cfRule>
  </conditionalFormatting>
  <conditionalFormatting sqref="D38:E38">
    <cfRule type="expression" dxfId="13316" priority="5507">
      <formula>AND($A38&lt;&gt;"",MOD(ROW(),2))</formula>
    </cfRule>
  </conditionalFormatting>
  <conditionalFormatting sqref="D38">
    <cfRule type="cellIs" dxfId="13315" priority="5504" operator="equal">
      <formula>$C38</formula>
    </cfRule>
    <cfRule type="cellIs" dxfId="13314" priority="5505" operator="greaterThan">
      <formula>$C38</formula>
    </cfRule>
    <cfRule type="cellIs" dxfId="13313" priority="5506" operator="lessThan">
      <formula>$C38</formula>
    </cfRule>
  </conditionalFormatting>
  <conditionalFormatting sqref="D39:E39">
    <cfRule type="expression" dxfId="13312" priority="5503">
      <formula>AND($A39&lt;&gt;"",MOD(ROW(),2))</formula>
    </cfRule>
  </conditionalFormatting>
  <conditionalFormatting sqref="D39">
    <cfRule type="cellIs" dxfId="13311" priority="5500" operator="equal">
      <formula>$C39</formula>
    </cfRule>
    <cfRule type="cellIs" dxfId="13310" priority="5501" operator="greaterThan">
      <formula>$C39</formula>
    </cfRule>
    <cfRule type="cellIs" dxfId="13309" priority="5502" operator="lessThan">
      <formula>$C39</formula>
    </cfRule>
  </conditionalFormatting>
  <conditionalFormatting sqref="D40:E40">
    <cfRule type="expression" dxfId="13308" priority="5499">
      <formula>AND($A40&lt;&gt;"",MOD(ROW(),2))</formula>
    </cfRule>
  </conditionalFormatting>
  <conditionalFormatting sqref="D40">
    <cfRule type="cellIs" dxfId="13307" priority="5496" operator="equal">
      <formula>$C40</formula>
    </cfRule>
    <cfRule type="cellIs" dxfId="13306" priority="5497" operator="greaterThan">
      <formula>$C40</formula>
    </cfRule>
    <cfRule type="cellIs" dxfId="13305" priority="5498" operator="lessThan">
      <formula>$C40</formula>
    </cfRule>
  </conditionalFormatting>
  <conditionalFormatting sqref="D41:E41">
    <cfRule type="expression" dxfId="13304" priority="5495">
      <formula>AND($A41&lt;&gt;"",MOD(ROW(),2))</formula>
    </cfRule>
  </conditionalFormatting>
  <conditionalFormatting sqref="D41">
    <cfRule type="cellIs" dxfId="13303" priority="5492" operator="equal">
      <formula>$C41</formula>
    </cfRule>
    <cfRule type="cellIs" dxfId="13302" priority="5493" operator="greaterThan">
      <formula>$C41</formula>
    </cfRule>
    <cfRule type="cellIs" dxfId="13301" priority="5494" operator="lessThan">
      <formula>$C41</formula>
    </cfRule>
  </conditionalFormatting>
  <conditionalFormatting sqref="D42:E42">
    <cfRule type="expression" dxfId="13300" priority="5491">
      <formula>AND($A42&lt;&gt;"",MOD(ROW(),2))</formula>
    </cfRule>
  </conditionalFormatting>
  <conditionalFormatting sqref="D42">
    <cfRule type="cellIs" dxfId="13299" priority="5488" operator="equal">
      <formula>$C42</formula>
    </cfRule>
    <cfRule type="cellIs" dxfId="13298" priority="5489" operator="greaterThan">
      <formula>$C42</formula>
    </cfRule>
    <cfRule type="cellIs" dxfId="13297" priority="5490" operator="lessThan">
      <formula>$C42</formula>
    </cfRule>
  </conditionalFormatting>
  <conditionalFormatting sqref="D43:E43">
    <cfRule type="expression" dxfId="13296" priority="5487">
      <formula>AND($A43&lt;&gt;"",MOD(ROW(),2))</formula>
    </cfRule>
  </conditionalFormatting>
  <conditionalFormatting sqref="D43">
    <cfRule type="cellIs" dxfId="13295" priority="5484" operator="equal">
      <formula>$C43</formula>
    </cfRule>
    <cfRule type="cellIs" dxfId="13294" priority="5485" operator="greaterThan">
      <formula>$C43</formula>
    </cfRule>
    <cfRule type="cellIs" dxfId="13293" priority="5486" operator="lessThan">
      <formula>$C43</formula>
    </cfRule>
  </conditionalFormatting>
  <conditionalFormatting sqref="D44:E44">
    <cfRule type="expression" dxfId="13292" priority="5483">
      <formula>AND($A44&lt;&gt;"",MOD(ROW(),2))</formula>
    </cfRule>
  </conditionalFormatting>
  <conditionalFormatting sqref="D44">
    <cfRule type="cellIs" dxfId="13291" priority="5480" operator="equal">
      <formula>$C44</formula>
    </cfRule>
    <cfRule type="cellIs" dxfId="13290" priority="5481" operator="greaterThan">
      <formula>$C44</formula>
    </cfRule>
    <cfRule type="cellIs" dxfId="13289" priority="5482" operator="lessThan">
      <formula>$C44</formula>
    </cfRule>
  </conditionalFormatting>
  <conditionalFormatting sqref="D45:E45">
    <cfRule type="expression" dxfId="13288" priority="5479">
      <formula>AND($A45&lt;&gt;"",MOD(ROW(),2))</formula>
    </cfRule>
  </conditionalFormatting>
  <conditionalFormatting sqref="D45">
    <cfRule type="cellIs" dxfId="13287" priority="5476" operator="equal">
      <formula>$C45</formula>
    </cfRule>
    <cfRule type="cellIs" dxfId="13286" priority="5477" operator="greaterThan">
      <formula>$C45</formula>
    </cfRule>
    <cfRule type="cellIs" dxfId="13285" priority="5478" operator="lessThan">
      <formula>$C45</formula>
    </cfRule>
  </conditionalFormatting>
  <conditionalFormatting sqref="D46:E46">
    <cfRule type="expression" dxfId="13284" priority="5475">
      <formula>AND($A46&lt;&gt;"",MOD(ROW(),2))</formula>
    </cfRule>
  </conditionalFormatting>
  <conditionalFormatting sqref="D46">
    <cfRule type="cellIs" dxfId="13283" priority="5472" operator="equal">
      <formula>$C46</formula>
    </cfRule>
    <cfRule type="cellIs" dxfId="13282" priority="5473" operator="greaterThan">
      <formula>$C46</formula>
    </cfRule>
    <cfRule type="cellIs" dxfId="13281" priority="5474" operator="lessThan">
      <formula>$C46</formula>
    </cfRule>
  </conditionalFormatting>
  <conditionalFormatting sqref="D47:E47">
    <cfRule type="expression" dxfId="13280" priority="5471">
      <formula>AND($A47&lt;&gt;"",MOD(ROW(),2))</formula>
    </cfRule>
  </conditionalFormatting>
  <conditionalFormatting sqref="D47">
    <cfRule type="cellIs" dxfId="13279" priority="5468" operator="equal">
      <formula>$C47</formula>
    </cfRule>
    <cfRule type="cellIs" dxfId="13278" priority="5469" operator="greaterThan">
      <formula>$C47</formula>
    </cfRule>
    <cfRule type="cellIs" dxfId="13277" priority="5470" operator="lessThan">
      <formula>$C47</formula>
    </cfRule>
  </conditionalFormatting>
  <conditionalFormatting sqref="D48:E48">
    <cfRule type="expression" dxfId="13276" priority="5467">
      <formula>AND($A48&lt;&gt;"",MOD(ROW(),2))</formula>
    </cfRule>
  </conditionalFormatting>
  <conditionalFormatting sqref="D48">
    <cfRule type="cellIs" dxfId="13275" priority="5464" operator="equal">
      <formula>$C48</formula>
    </cfRule>
    <cfRule type="cellIs" dxfId="13274" priority="5465" operator="greaterThan">
      <formula>$C48</formula>
    </cfRule>
    <cfRule type="cellIs" dxfId="13273" priority="5466" operator="lessThan">
      <formula>$C48</formula>
    </cfRule>
  </conditionalFormatting>
  <conditionalFormatting sqref="D49:E49">
    <cfRule type="expression" dxfId="13272" priority="5463">
      <formula>AND($A49&lt;&gt;"",MOD(ROW(),2))</formula>
    </cfRule>
  </conditionalFormatting>
  <conditionalFormatting sqref="D49">
    <cfRule type="cellIs" dxfId="13271" priority="5460" operator="equal">
      <formula>$C49</formula>
    </cfRule>
    <cfRule type="cellIs" dxfId="13270" priority="5461" operator="greaterThan">
      <formula>$C49</formula>
    </cfRule>
    <cfRule type="cellIs" dxfId="13269" priority="5462" operator="lessThan">
      <formula>$C49</formula>
    </cfRule>
  </conditionalFormatting>
  <conditionalFormatting sqref="D50:E50">
    <cfRule type="expression" dxfId="13268" priority="5459">
      <formula>AND($A50&lt;&gt;"",MOD(ROW(),2))</formula>
    </cfRule>
  </conditionalFormatting>
  <conditionalFormatting sqref="D50">
    <cfRule type="cellIs" dxfId="13267" priority="5456" operator="equal">
      <formula>$C50</formula>
    </cfRule>
    <cfRule type="cellIs" dxfId="13266" priority="5457" operator="greaterThan">
      <formula>$C50</formula>
    </cfRule>
    <cfRule type="cellIs" dxfId="13265" priority="5458" operator="lessThan">
      <formula>$C50</formula>
    </cfRule>
  </conditionalFormatting>
  <conditionalFormatting sqref="D51:E51">
    <cfRule type="expression" dxfId="13264" priority="5455">
      <formula>AND($A51&lt;&gt;"",MOD(ROW(),2))</formula>
    </cfRule>
  </conditionalFormatting>
  <conditionalFormatting sqref="D51">
    <cfRule type="cellIs" dxfId="13263" priority="5452" operator="equal">
      <formula>$C51</formula>
    </cfRule>
    <cfRule type="cellIs" dxfId="13262" priority="5453" operator="greaterThan">
      <formula>$C51</formula>
    </cfRule>
    <cfRule type="cellIs" dxfId="13261" priority="5454" operator="lessThan">
      <formula>$C51</formula>
    </cfRule>
  </conditionalFormatting>
  <conditionalFormatting sqref="D27:E27">
    <cfRule type="expression" dxfId="13260" priority="5451">
      <formula>AND($A27&lt;&gt;"",MOD(ROW(),2))</formula>
    </cfRule>
  </conditionalFormatting>
  <conditionalFormatting sqref="D27">
    <cfRule type="cellIs" dxfId="13259" priority="5448" operator="equal">
      <formula>$C27</formula>
    </cfRule>
    <cfRule type="cellIs" dxfId="13258" priority="5449" operator="greaterThan">
      <formula>$C27</formula>
    </cfRule>
    <cfRule type="cellIs" dxfId="13257" priority="5450" operator="lessThan">
      <formula>$C27</formula>
    </cfRule>
  </conditionalFormatting>
  <conditionalFormatting sqref="D28:E28">
    <cfRule type="expression" dxfId="13256" priority="5447">
      <formula>AND($A28&lt;&gt;"",MOD(ROW(),2))</formula>
    </cfRule>
  </conditionalFormatting>
  <conditionalFormatting sqref="D28">
    <cfRule type="cellIs" dxfId="13255" priority="5444" operator="equal">
      <formula>$C28</formula>
    </cfRule>
    <cfRule type="cellIs" dxfId="13254" priority="5445" operator="greaterThan">
      <formula>$C28</formula>
    </cfRule>
    <cfRule type="cellIs" dxfId="13253" priority="5446" operator="lessThan">
      <formula>$C28</formula>
    </cfRule>
  </conditionalFormatting>
  <conditionalFormatting sqref="D29:E29">
    <cfRule type="expression" dxfId="13252" priority="5443">
      <formula>AND($A29&lt;&gt;"",MOD(ROW(),2))</formula>
    </cfRule>
  </conditionalFormatting>
  <conditionalFormatting sqref="D29">
    <cfRule type="cellIs" dxfId="13251" priority="5440" operator="equal">
      <formula>$C29</formula>
    </cfRule>
    <cfRule type="cellIs" dxfId="13250" priority="5441" operator="greaterThan">
      <formula>$C29</formula>
    </cfRule>
    <cfRule type="cellIs" dxfId="13249" priority="5442" operator="lessThan">
      <formula>$C29</formula>
    </cfRule>
  </conditionalFormatting>
  <conditionalFormatting sqref="D30:E30">
    <cfRule type="expression" dxfId="13248" priority="5439">
      <formula>AND($A30&lt;&gt;"",MOD(ROW(),2))</formula>
    </cfRule>
  </conditionalFormatting>
  <conditionalFormatting sqref="D30">
    <cfRule type="cellIs" dxfId="13247" priority="5436" operator="equal">
      <formula>$C30</formula>
    </cfRule>
    <cfRule type="cellIs" dxfId="13246" priority="5437" operator="greaterThan">
      <formula>$C30</formula>
    </cfRule>
    <cfRule type="cellIs" dxfId="13245" priority="5438" operator="lessThan">
      <formula>$C30</formula>
    </cfRule>
  </conditionalFormatting>
  <conditionalFormatting sqref="D31:E31">
    <cfRule type="expression" dxfId="13244" priority="5435">
      <formula>AND($A31&lt;&gt;"",MOD(ROW(),2))</formula>
    </cfRule>
  </conditionalFormatting>
  <conditionalFormatting sqref="D31">
    <cfRule type="cellIs" dxfId="13243" priority="5432" operator="equal">
      <formula>$C31</formula>
    </cfRule>
    <cfRule type="cellIs" dxfId="13242" priority="5433" operator="greaterThan">
      <formula>$C31</formula>
    </cfRule>
    <cfRule type="cellIs" dxfId="13241" priority="5434" operator="lessThan">
      <formula>$C31</formula>
    </cfRule>
  </conditionalFormatting>
  <conditionalFormatting sqref="D32:E32">
    <cfRule type="expression" dxfId="13240" priority="5431">
      <formula>AND($A32&lt;&gt;"",MOD(ROW(),2))</formula>
    </cfRule>
  </conditionalFormatting>
  <conditionalFormatting sqref="D32">
    <cfRule type="cellIs" dxfId="13239" priority="5428" operator="equal">
      <formula>$C32</formula>
    </cfRule>
    <cfRule type="cellIs" dxfId="13238" priority="5429" operator="greaterThan">
      <formula>$C32</formula>
    </cfRule>
    <cfRule type="cellIs" dxfId="13237" priority="5430" operator="lessThan">
      <formula>$C32</formula>
    </cfRule>
  </conditionalFormatting>
  <conditionalFormatting sqref="D33:E33">
    <cfRule type="expression" dxfId="13236" priority="5427">
      <formula>AND($A33&lt;&gt;"",MOD(ROW(),2))</formula>
    </cfRule>
  </conditionalFormatting>
  <conditionalFormatting sqref="D33">
    <cfRule type="cellIs" dxfId="13235" priority="5424" operator="equal">
      <formula>$C33</formula>
    </cfRule>
    <cfRule type="cellIs" dxfId="13234" priority="5425" operator="greaterThan">
      <formula>$C33</formula>
    </cfRule>
    <cfRule type="cellIs" dxfId="13233" priority="5426" operator="lessThan">
      <formula>$C33</formula>
    </cfRule>
  </conditionalFormatting>
  <conditionalFormatting sqref="D34:E34">
    <cfRule type="expression" dxfId="13232" priority="5423">
      <formula>AND($A34&lt;&gt;"",MOD(ROW(),2))</formula>
    </cfRule>
  </conditionalFormatting>
  <conditionalFormatting sqref="D34">
    <cfRule type="cellIs" dxfId="13231" priority="5420" operator="equal">
      <formula>$C34</formula>
    </cfRule>
    <cfRule type="cellIs" dxfId="13230" priority="5421" operator="greaterThan">
      <formula>$C34</formula>
    </cfRule>
    <cfRule type="cellIs" dxfId="13229" priority="5422" operator="lessThan">
      <formula>$C34</formula>
    </cfRule>
  </conditionalFormatting>
  <conditionalFormatting sqref="D35:E35">
    <cfRule type="expression" dxfId="13228" priority="5419">
      <formula>AND($A35&lt;&gt;"",MOD(ROW(),2))</formula>
    </cfRule>
  </conditionalFormatting>
  <conditionalFormatting sqref="D35">
    <cfRule type="cellIs" dxfId="13227" priority="5416" operator="equal">
      <formula>$C35</formula>
    </cfRule>
    <cfRule type="cellIs" dxfId="13226" priority="5417" operator="greaterThan">
      <formula>$C35</formula>
    </cfRule>
    <cfRule type="cellIs" dxfId="13225" priority="5418" operator="lessThan">
      <formula>$C35</formula>
    </cfRule>
  </conditionalFormatting>
  <conditionalFormatting sqref="D36:E36">
    <cfRule type="expression" dxfId="13224" priority="5415">
      <formula>AND($A36&lt;&gt;"",MOD(ROW(),2))</formula>
    </cfRule>
  </conditionalFormatting>
  <conditionalFormatting sqref="D36">
    <cfRule type="cellIs" dxfId="13223" priority="5412" operator="equal">
      <formula>$C36</formula>
    </cfRule>
    <cfRule type="cellIs" dxfId="13222" priority="5413" operator="greaterThan">
      <formula>$C36</formula>
    </cfRule>
    <cfRule type="cellIs" dxfId="13221" priority="5414" operator="lessThan">
      <formula>$C36</formula>
    </cfRule>
  </conditionalFormatting>
  <conditionalFormatting sqref="D37:E37">
    <cfRule type="expression" dxfId="13220" priority="5411">
      <formula>AND($A37&lt;&gt;"",MOD(ROW(),2))</formula>
    </cfRule>
  </conditionalFormatting>
  <conditionalFormatting sqref="D37">
    <cfRule type="cellIs" dxfId="13219" priority="5408" operator="equal">
      <formula>$C37</formula>
    </cfRule>
    <cfRule type="cellIs" dxfId="13218" priority="5409" operator="greaterThan">
      <formula>$C37</formula>
    </cfRule>
    <cfRule type="cellIs" dxfId="13217" priority="5410" operator="lessThan">
      <formula>$C37</formula>
    </cfRule>
  </conditionalFormatting>
  <conditionalFormatting sqref="D38:E38">
    <cfRule type="expression" dxfId="13216" priority="5407">
      <formula>AND($A38&lt;&gt;"",MOD(ROW(),2))</formula>
    </cfRule>
  </conditionalFormatting>
  <conditionalFormatting sqref="D38">
    <cfRule type="cellIs" dxfId="13215" priority="5404" operator="equal">
      <formula>$C38</formula>
    </cfRule>
    <cfRule type="cellIs" dxfId="13214" priority="5405" operator="greaterThan">
      <formula>$C38</formula>
    </cfRule>
    <cfRule type="cellIs" dxfId="13213" priority="5406" operator="lessThan">
      <formula>$C38</formula>
    </cfRule>
  </conditionalFormatting>
  <conditionalFormatting sqref="D39:E39">
    <cfRule type="expression" dxfId="13212" priority="5403">
      <formula>AND($A39&lt;&gt;"",MOD(ROW(),2))</formula>
    </cfRule>
  </conditionalFormatting>
  <conditionalFormatting sqref="D39">
    <cfRule type="cellIs" dxfId="13211" priority="5400" operator="equal">
      <formula>$C39</formula>
    </cfRule>
    <cfRule type="cellIs" dxfId="13210" priority="5401" operator="greaterThan">
      <formula>$C39</formula>
    </cfRule>
    <cfRule type="cellIs" dxfId="13209" priority="5402" operator="lessThan">
      <formula>$C39</formula>
    </cfRule>
  </conditionalFormatting>
  <conditionalFormatting sqref="D40:E40">
    <cfRule type="expression" dxfId="13208" priority="5399">
      <formula>AND($A40&lt;&gt;"",MOD(ROW(),2))</formula>
    </cfRule>
  </conditionalFormatting>
  <conditionalFormatting sqref="D40">
    <cfRule type="cellIs" dxfId="13207" priority="5396" operator="equal">
      <formula>$C40</formula>
    </cfRule>
    <cfRule type="cellIs" dxfId="13206" priority="5397" operator="greaterThan">
      <formula>$C40</formula>
    </cfRule>
    <cfRule type="cellIs" dxfId="13205" priority="5398" operator="lessThan">
      <formula>$C40</formula>
    </cfRule>
  </conditionalFormatting>
  <conditionalFormatting sqref="D41:E41">
    <cfRule type="expression" dxfId="13204" priority="5395">
      <formula>AND($A41&lt;&gt;"",MOD(ROW(),2))</formula>
    </cfRule>
  </conditionalFormatting>
  <conditionalFormatting sqref="D41">
    <cfRule type="cellIs" dxfId="13203" priority="5392" operator="equal">
      <formula>$C41</formula>
    </cfRule>
    <cfRule type="cellIs" dxfId="13202" priority="5393" operator="greaterThan">
      <formula>$C41</formula>
    </cfRule>
    <cfRule type="cellIs" dxfId="13201" priority="5394" operator="lessThan">
      <formula>$C41</formula>
    </cfRule>
  </conditionalFormatting>
  <conditionalFormatting sqref="D42:E42">
    <cfRule type="expression" dxfId="13200" priority="5391">
      <formula>AND($A42&lt;&gt;"",MOD(ROW(),2))</formula>
    </cfRule>
  </conditionalFormatting>
  <conditionalFormatting sqref="D42">
    <cfRule type="cellIs" dxfId="13199" priority="5388" operator="equal">
      <formula>$C42</formula>
    </cfRule>
    <cfRule type="cellIs" dxfId="13198" priority="5389" operator="greaterThan">
      <formula>$C42</formula>
    </cfRule>
    <cfRule type="cellIs" dxfId="13197" priority="5390" operator="lessThan">
      <formula>$C42</formula>
    </cfRule>
  </conditionalFormatting>
  <conditionalFormatting sqref="D43:E43">
    <cfRule type="expression" dxfId="13196" priority="5387">
      <formula>AND($A43&lt;&gt;"",MOD(ROW(),2))</formula>
    </cfRule>
  </conditionalFormatting>
  <conditionalFormatting sqref="D43">
    <cfRule type="cellIs" dxfId="13195" priority="5384" operator="equal">
      <formula>$C43</formula>
    </cfRule>
    <cfRule type="cellIs" dxfId="13194" priority="5385" operator="greaterThan">
      <formula>$C43</formula>
    </cfRule>
    <cfRule type="cellIs" dxfId="13193" priority="5386" operator="lessThan">
      <formula>$C43</formula>
    </cfRule>
  </conditionalFormatting>
  <conditionalFormatting sqref="D44:E44">
    <cfRule type="expression" dxfId="13192" priority="5383">
      <formula>AND($A44&lt;&gt;"",MOD(ROW(),2))</formula>
    </cfRule>
  </conditionalFormatting>
  <conditionalFormatting sqref="D44">
    <cfRule type="cellIs" dxfId="13191" priority="5380" operator="equal">
      <formula>$C44</formula>
    </cfRule>
    <cfRule type="cellIs" dxfId="13190" priority="5381" operator="greaterThan">
      <formula>$C44</formula>
    </cfRule>
    <cfRule type="cellIs" dxfId="13189" priority="5382" operator="lessThan">
      <formula>$C44</formula>
    </cfRule>
  </conditionalFormatting>
  <conditionalFormatting sqref="D45:E45">
    <cfRule type="expression" dxfId="13188" priority="5379">
      <formula>AND($A45&lt;&gt;"",MOD(ROW(),2))</formula>
    </cfRule>
  </conditionalFormatting>
  <conditionalFormatting sqref="D45">
    <cfRule type="cellIs" dxfId="13187" priority="5376" operator="equal">
      <formula>$C45</formula>
    </cfRule>
    <cfRule type="cellIs" dxfId="13186" priority="5377" operator="greaterThan">
      <formula>$C45</formula>
    </cfRule>
    <cfRule type="cellIs" dxfId="13185" priority="5378" operator="lessThan">
      <formula>$C45</formula>
    </cfRule>
  </conditionalFormatting>
  <conditionalFormatting sqref="D46:E46">
    <cfRule type="expression" dxfId="13184" priority="5375">
      <formula>AND($A46&lt;&gt;"",MOD(ROW(),2))</formula>
    </cfRule>
  </conditionalFormatting>
  <conditionalFormatting sqref="D46">
    <cfRule type="cellIs" dxfId="13183" priority="5372" operator="equal">
      <formula>$C46</formula>
    </cfRule>
    <cfRule type="cellIs" dxfId="13182" priority="5373" operator="greaterThan">
      <formula>$C46</formula>
    </cfRule>
    <cfRule type="cellIs" dxfId="13181" priority="5374" operator="lessThan">
      <formula>$C46</formula>
    </cfRule>
  </conditionalFormatting>
  <conditionalFormatting sqref="D47:E47">
    <cfRule type="expression" dxfId="13180" priority="5371">
      <formula>AND($A47&lt;&gt;"",MOD(ROW(),2))</formula>
    </cfRule>
  </conditionalFormatting>
  <conditionalFormatting sqref="D47">
    <cfRule type="cellIs" dxfId="13179" priority="5368" operator="equal">
      <formula>$C47</formula>
    </cfRule>
    <cfRule type="cellIs" dxfId="13178" priority="5369" operator="greaterThan">
      <formula>$C47</formula>
    </cfRule>
    <cfRule type="cellIs" dxfId="13177" priority="5370" operator="lessThan">
      <formula>$C47</formula>
    </cfRule>
  </conditionalFormatting>
  <conditionalFormatting sqref="D48:E48">
    <cfRule type="expression" dxfId="13176" priority="5367">
      <formula>AND($A48&lt;&gt;"",MOD(ROW(),2))</formula>
    </cfRule>
  </conditionalFormatting>
  <conditionalFormatting sqref="D48">
    <cfRule type="cellIs" dxfId="13175" priority="5364" operator="equal">
      <formula>$C48</formula>
    </cfRule>
    <cfRule type="cellIs" dxfId="13174" priority="5365" operator="greaterThan">
      <formula>$C48</formula>
    </cfRule>
    <cfRule type="cellIs" dxfId="13173" priority="5366" operator="lessThan">
      <formula>$C48</formula>
    </cfRule>
  </conditionalFormatting>
  <conditionalFormatting sqref="D49:E49">
    <cfRule type="expression" dxfId="13172" priority="5363">
      <formula>AND($A49&lt;&gt;"",MOD(ROW(),2))</formula>
    </cfRule>
  </conditionalFormatting>
  <conditionalFormatting sqref="D49">
    <cfRule type="cellIs" dxfId="13171" priority="5360" operator="equal">
      <formula>$C49</formula>
    </cfRule>
    <cfRule type="cellIs" dxfId="13170" priority="5361" operator="greaterThan">
      <formula>$C49</formula>
    </cfRule>
    <cfRule type="cellIs" dxfId="13169" priority="5362" operator="lessThan">
      <formula>$C49</formula>
    </cfRule>
  </conditionalFormatting>
  <conditionalFormatting sqref="D50:E50">
    <cfRule type="expression" dxfId="13168" priority="5359">
      <formula>AND($A50&lt;&gt;"",MOD(ROW(),2))</formula>
    </cfRule>
  </conditionalFormatting>
  <conditionalFormatting sqref="D50">
    <cfRule type="cellIs" dxfId="13167" priority="5356" operator="equal">
      <formula>$C50</formula>
    </cfRule>
    <cfRule type="cellIs" dxfId="13166" priority="5357" operator="greaterThan">
      <formula>$C50</formula>
    </cfRule>
    <cfRule type="cellIs" dxfId="13165" priority="5358" operator="lessThan">
      <formula>$C50</formula>
    </cfRule>
  </conditionalFormatting>
  <conditionalFormatting sqref="D28:E28">
    <cfRule type="expression" dxfId="13164" priority="5355">
      <formula>AND($A28&lt;&gt;"",MOD(ROW(),2))</formula>
    </cfRule>
  </conditionalFormatting>
  <conditionalFormatting sqref="D28">
    <cfRule type="cellIs" dxfId="13163" priority="5352" operator="equal">
      <formula>$C28</formula>
    </cfRule>
    <cfRule type="cellIs" dxfId="13162" priority="5353" operator="greaterThan">
      <formula>$C28</formula>
    </cfRule>
    <cfRule type="cellIs" dxfId="13161" priority="5354" operator="lessThan">
      <formula>$C28</formula>
    </cfRule>
  </conditionalFormatting>
  <conditionalFormatting sqref="D29:E29">
    <cfRule type="expression" dxfId="13160" priority="5351">
      <formula>AND($A29&lt;&gt;"",MOD(ROW(),2))</formula>
    </cfRule>
  </conditionalFormatting>
  <conditionalFormatting sqref="D29">
    <cfRule type="cellIs" dxfId="13159" priority="5348" operator="equal">
      <formula>$C29</formula>
    </cfRule>
    <cfRule type="cellIs" dxfId="13158" priority="5349" operator="greaterThan">
      <formula>$C29</formula>
    </cfRule>
    <cfRule type="cellIs" dxfId="13157" priority="5350" operator="lessThan">
      <formula>$C29</formula>
    </cfRule>
  </conditionalFormatting>
  <conditionalFormatting sqref="D30:E30">
    <cfRule type="expression" dxfId="13156" priority="5347">
      <formula>AND($A30&lt;&gt;"",MOD(ROW(),2))</formula>
    </cfRule>
  </conditionalFormatting>
  <conditionalFormatting sqref="D30">
    <cfRule type="cellIs" dxfId="13155" priority="5344" operator="equal">
      <formula>$C30</formula>
    </cfRule>
    <cfRule type="cellIs" dxfId="13154" priority="5345" operator="greaterThan">
      <formula>$C30</formula>
    </cfRule>
    <cfRule type="cellIs" dxfId="13153" priority="5346" operator="lessThan">
      <formula>$C30</formula>
    </cfRule>
  </conditionalFormatting>
  <conditionalFormatting sqref="D31:E31">
    <cfRule type="expression" dxfId="13152" priority="5343">
      <formula>AND($A31&lt;&gt;"",MOD(ROW(),2))</formula>
    </cfRule>
  </conditionalFormatting>
  <conditionalFormatting sqref="D31">
    <cfRule type="cellIs" dxfId="13151" priority="5340" operator="equal">
      <formula>$C31</formula>
    </cfRule>
    <cfRule type="cellIs" dxfId="13150" priority="5341" operator="greaterThan">
      <formula>$C31</formula>
    </cfRule>
    <cfRule type="cellIs" dxfId="13149" priority="5342" operator="lessThan">
      <formula>$C31</formula>
    </cfRule>
  </conditionalFormatting>
  <conditionalFormatting sqref="D32:E32">
    <cfRule type="expression" dxfId="13148" priority="5339">
      <formula>AND($A32&lt;&gt;"",MOD(ROW(),2))</formula>
    </cfRule>
  </conditionalFormatting>
  <conditionalFormatting sqref="D32">
    <cfRule type="cellIs" dxfId="13147" priority="5336" operator="equal">
      <formula>$C32</formula>
    </cfRule>
    <cfRule type="cellIs" dxfId="13146" priority="5337" operator="greaterThan">
      <formula>$C32</formula>
    </cfRule>
    <cfRule type="cellIs" dxfId="13145" priority="5338" operator="lessThan">
      <formula>$C32</formula>
    </cfRule>
  </conditionalFormatting>
  <conditionalFormatting sqref="D33:E33">
    <cfRule type="expression" dxfId="13144" priority="5335">
      <formula>AND($A33&lt;&gt;"",MOD(ROW(),2))</formula>
    </cfRule>
  </conditionalFormatting>
  <conditionalFormatting sqref="D33">
    <cfRule type="cellIs" dxfId="13143" priority="5332" operator="equal">
      <formula>$C33</formula>
    </cfRule>
    <cfRule type="cellIs" dxfId="13142" priority="5333" operator="greaterThan">
      <formula>$C33</formula>
    </cfRule>
    <cfRule type="cellIs" dxfId="13141" priority="5334" operator="lessThan">
      <formula>$C33</formula>
    </cfRule>
  </conditionalFormatting>
  <conditionalFormatting sqref="D34:E34">
    <cfRule type="expression" dxfId="13140" priority="5331">
      <formula>AND($A34&lt;&gt;"",MOD(ROW(),2))</formula>
    </cfRule>
  </conditionalFormatting>
  <conditionalFormatting sqref="D34">
    <cfRule type="cellIs" dxfId="13139" priority="5328" operator="equal">
      <formula>$C34</formula>
    </cfRule>
    <cfRule type="cellIs" dxfId="13138" priority="5329" operator="greaterThan">
      <formula>$C34</formula>
    </cfRule>
    <cfRule type="cellIs" dxfId="13137" priority="5330" operator="lessThan">
      <formula>$C34</formula>
    </cfRule>
  </conditionalFormatting>
  <conditionalFormatting sqref="D35:E35">
    <cfRule type="expression" dxfId="13136" priority="5327">
      <formula>AND($A35&lt;&gt;"",MOD(ROW(),2))</formula>
    </cfRule>
  </conditionalFormatting>
  <conditionalFormatting sqref="D35">
    <cfRule type="cellIs" dxfId="13135" priority="5324" operator="equal">
      <formula>$C35</formula>
    </cfRule>
    <cfRule type="cellIs" dxfId="13134" priority="5325" operator="greaterThan">
      <formula>$C35</formula>
    </cfRule>
    <cfRule type="cellIs" dxfId="13133" priority="5326" operator="lessThan">
      <formula>$C35</formula>
    </cfRule>
  </conditionalFormatting>
  <conditionalFormatting sqref="D36:E36">
    <cfRule type="expression" dxfId="13132" priority="5323">
      <formula>AND($A36&lt;&gt;"",MOD(ROW(),2))</formula>
    </cfRule>
  </conditionalFormatting>
  <conditionalFormatting sqref="D36">
    <cfRule type="cellIs" dxfId="13131" priority="5320" operator="equal">
      <formula>$C36</formula>
    </cfRule>
    <cfRule type="cellIs" dxfId="13130" priority="5321" operator="greaterThan">
      <formula>$C36</formula>
    </cfRule>
    <cfRule type="cellIs" dxfId="13129" priority="5322" operator="lessThan">
      <formula>$C36</formula>
    </cfRule>
  </conditionalFormatting>
  <conditionalFormatting sqref="D37:E37">
    <cfRule type="expression" dxfId="13128" priority="5319">
      <formula>AND($A37&lt;&gt;"",MOD(ROW(),2))</formula>
    </cfRule>
  </conditionalFormatting>
  <conditionalFormatting sqref="D37">
    <cfRule type="cellIs" dxfId="13127" priority="5316" operator="equal">
      <formula>$C37</formula>
    </cfRule>
    <cfRule type="cellIs" dxfId="13126" priority="5317" operator="greaterThan">
      <formula>$C37</formula>
    </cfRule>
    <cfRule type="cellIs" dxfId="13125" priority="5318" operator="lessThan">
      <formula>$C37</formula>
    </cfRule>
  </conditionalFormatting>
  <conditionalFormatting sqref="D38:E38">
    <cfRule type="expression" dxfId="13124" priority="5315">
      <formula>AND($A38&lt;&gt;"",MOD(ROW(),2))</formula>
    </cfRule>
  </conditionalFormatting>
  <conditionalFormatting sqref="D38">
    <cfRule type="cellIs" dxfId="13123" priority="5312" operator="equal">
      <formula>$C38</formula>
    </cfRule>
    <cfRule type="cellIs" dxfId="13122" priority="5313" operator="greaterThan">
      <formula>$C38</formula>
    </cfRule>
    <cfRule type="cellIs" dxfId="13121" priority="5314" operator="lessThan">
      <formula>$C38</formula>
    </cfRule>
  </conditionalFormatting>
  <conditionalFormatting sqref="D39:E39">
    <cfRule type="expression" dxfId="13120" priority="5311">
      <formula>AND($A39&lt;&gt;"",MOD(ROW(),2))</formula>
    </cfRule>
  </conditionalFormatting>
  <conditionalFormatting sqref="D39">
    <cfRule type="cellIs" dxfId="13119" priority="5308" operator="equal">
      <formula>$C39</formula>
    </cfRule>
    <cfRule type="cellIs" dxfId="13118" priority="5309" operator="greaterThan">
      <formula>$C39</formula>
    </cfRule>
    <cfRule type="cellIs" dxfId="13117" priority="5310" operator="lessThan">
      <formula>$C39</formula>
    </cfRule>
  </conditionalFormatting>
  <conditionalFormatting sqref="D40:E40">
    <cfRule type="expression" dxfId="13116" priority="5307">
      <formula>AND($A40&lt;&gt;"",MOD(ROW(),2))</formula>
    </cfRule>
  </conditionalFormatting>
  <conditionalFormatting sqref="D40">
    <cfRule type="cellIs" dxfId="13115" priority="5304" operator="equal">
      <formula>$C40</formula>
    </cfRule>
    <cfRule type="cellIs" dxfId="13114" priority="5305" operator="greaterThan">
      <formula>$C40</formula>
    </cfRule>
    <cfRule type="cellIs" dxfId="13113" priority="5306" operator="lessThan">
      <formula>$C40</formula>
    </cfRule>
  </conditionalFormatting>
  <conditionalFormatting sqref="D41:E41">
    <cfRule type="expression" dxfId="13112" priority="5303">
      <formula>AND($A41&lt;&gt;"",MOD(ROW(),2))</formula>
    </cfRule>
  </conditionalFormatting>
  <conditionalFormatting sqref="D41">
    <cfRule type="cellIs" dxfId="13111" priority="5300" operator="equal">
      <formula>$C41</formula>
    </cfRule>
    <cfRule type="cellIs" dxfId="13110" priority="5301" operator="greaterThan">
      <formula>$C41</formula>
    </cfRule>
    <cfRule type="cellIs" dxfId="13109" priority="5302" operator="lessThan">
      <formula>$C41</formula>
    </cfRule>
  </conditionalFormatting>
  <conditionalFormatting sqref="D42:E42">
    <cfRule type="expression" dxfId="13108" priority="5299">
      <formula>AND($A42&lt;&gt;"",MOD(ROW(),2))</formula>
    </cfRule>
  </conditionalFormatting>
  <conditionalFormatting sqref="D42">
    <cfRule type="cellIs" dxfId="13107" priority="5296" operator="equal">
      <formula>$C42</formula>
    </cfRule>
    <cfRule type="cellIs" dxfId="13106" priority="5297" operator="greaterThan">
      <formula>$C42</formula>
    </cfRule>
    <cfRule type="cellIs" dxfId="13105" priority="5298" operator="lessThan">
      <formula>$C42</formula>
    </cfRule>
  </conditionalFormatting>
  <conditionalFormatting sqref="D43:E43">
    <cfRule type="expression" dxfId="13104" priority="5295">
      <formula>AND($A43&lt;&gt;"",MOD(ROW(),2))</formula>
    </cfRule>
  </conditionalFormatting>
  <conditionalFormatting sqref="D43">
    <cfRule type="cellIs" dxfId="13103" priority="5292" operator="equal">
      <formula>$C43</formula>
    </cfRule>
    <cfRule type="cellIs" dxfId="13102" priority="5293" operator="greaterThan">
      <formula>$C43</formula>
    </cfRule>
    <cfRule type="cellIs" dxfId="13101" priority="5294" operator="lessThan">
      <formula>$C43</formula>
    </cfRule>
  </conditionalFormatting>
  <conditionalFormatting sqref="D44:E44">
    <cfRule type="expression" dxfId="13100" priority="5291">
      <formula>AND($A44&lt;&gt;"",MOD(ROW(),2))</formula>
    </cfRule>
  </conditionalFormatting>
  <conditionalFormatting sqref="D44">
    <cfRule type="cellIs" dxfId="13099" priority="5288" operator="equal">
      <formula>$C44</formula>
    </cfRule>
    <cfRule type="cellIs" dxfId="13098" priority="5289" operator="greaterThan">
      <formula>$C44</formula>
    </cfRule>
    <cfRule type="cellIs" dxfId="13097" priority="5290" operator="lessThan">
      <formula>$C44</formula>
    </cfRule>
  </conditionalFormatting>
  <conditionalFormatting sqref="D45:E45">
    <cfRule type="expression" dxfId="13096" priority="5287">
      <formula>AND($A45&lt;&gt;"",MOD(ROW(),2))</formula>
    </cfRule>
  </conditionalFormatting>
  <conditionalFormatting sqref="D45">
    <cfRule type="cellIs" dxfId="13095" priority="5284" operator="equal">
      <formula>$C45</formula>
    </cfRule>
    <cfRule type="cellIs" dxfId="13094" priority="5285" operator="greaterThan">
      <formula>$C45</formula>
    </cfRule>
    <cfRule type="cellIs" dxfId="13093" priority="5286" operator="lessThan">
      <formula>$C45</formula>
    </cfRule>
  </conditionalFormatting>
  <conditionalFormatting sqref="D46:E46">
    <cfRule type="expression" dxfId="13092" priority="5283">
      <formula>AND($A46&lt;&gt;"",MOD(ROW(),2))</formula>
    </cfRule>
  </conditionalFormatting>
  <conditionalFormatting sqref="D46">
    <cfRule type="cellIs" dxfId="13091" priority="5280" operator="equal">
      <formula>$C46</formula>
    </cfRule>
    <cfRule type="cellIs" dxfId="13090" priority="5281" operator="greaterThan">
      <formula>$C46</formula>
    </cfRule>
    <cfRule type="cellIs" dxfId="13089" priority="5282" operator="lessThan">
      <formula>$C46</formula>
    </cfRule>
  </conditionalFormatting>
  <conditionalFormatting sqref="D47:E47">
    <cfRule type="expression" dxfId="13088" priority="5279">
      <formula>AND($A47&lt;&gt;"",MOD(ROW(),2))</formula>
    </cfRule>
  </conditionalFormatting>
  <conditionalFormatting sqref="D47">
    <cfRule type="cellIs" dxfId="13087" priority="5276" operator="equal">
      <formula>$C47</formula>
    </cfRule>
    <cfRule type="cellIs" dxfId="13086" priority="5277" operator="greaterThan">
      <formula>$C47</formula>
    </cfRule>
    <cfRule type="cellIs" dxfId="13085" priority="5278" operator="lessThan">
      <formula>$C47</formula>
    </cfRule>
  </conditionalFormatting>
  <conditionalFormatting sqref="D48:E48">
    <cfRule type="expression" dxfId="13084" priority="5275">
      <formula>AND($A48&lt;&gt;"",MOD(ROW(),2))</formula>
    </cfRule>
  </conditionalFormatting>
  <conditionalFormatting sqref="D48">
    <cfRule type="cellIs" dxfId="13083" priority="5272" operator="equal">
      <formula>$C48</formula>
    </cfRule>
    <cfRule type="cellIs" dxfId="13082" priority="5273" operator="greaterThan">
      <formula>$C48</formula>
    </cfRule>
    <cfRule type="cellIs" dxfId="13081" priority="5274" operator="lessThan">
      <formula>$C48</formula>
    </cfRule>
  </conditionalFormatting>
  <conditionalFormatting sqref="D49:E49">
    <cfRule type="expression" dxfId="13080" priority="5271">
      <formula>AND($A49&lt;&gt;"",MOD(ROW(),2))</formula>
    </cfRule>
  </conditionalFormatting>
  <conditionalFormatting sqref="D49">
    <cfRule type="cellIs" dxfId="13079" priority="5268" operator="equal">
      <formula>$C49</formula>
    </cfRule>
    <cfRule type="cellIs" dxfId="13078" priority="5269" operator="greaterThan">
      <formula>$C49</formula>
    </cfRule>
    <cfRule type="cellIs" dxfId="13077" priority="5270" operator="lessThan">
      <formula>$C49</formula>
    </cfRule>
  </conditionalFormatting>
  <conditionalFormatting sqref="D50:E50">
    <cfRule type="expression" dxfId="13076" priority="5267">
      <formula>AND($A50&lt;&gt;"",MOD(ROW(),2))</formula>
    </cfRule>
  </conditionalFormatting>
  <conditionalFormatting sqref="D50">
    <cfRule type="cellIs" dxfId="13075" priority="5264" operator="equal">
      <formula>$C50</formula>
    </cfRule>
    <cfRule type="cellIs" dxfId="13074" priority="5265" operator="greaterThan">
      <formula>$C50</formula>
    </cfRule>
    <cfRule type="cellIs" dxfId="13073" priority="5266" operator="lessThan">
      <formula>$C50</formula>
    </cfRule>
  </conditionalFormatting>
  <conditionalFormatting sqref="D28:E28">
    <cfRule type="expression" dxfId="13072" priority="5263">
      <formula>AND($A28&lt;&gt;"",MOD(ROW(),2))</formula>
    </cfRule>
  </conditionalFormatting>
  <conditionalFormatting sqref="D28">
    <cfRule type="cellIs" dxfId="13071" priority="5260" operator="equal">
      <formula>$C28</formula>
    </cfRule>
    <cfRule type="cellIs" dxfId="13070" priority="5261" operator="greaterThan">
      <formula>$C28</formula>
    </cfRule>
    <cfRule type="cellIs" dxfId="13069" priority="5262" operator="lessThan">
      <formula>$C28</formula>
    </cfRule>
  </conditionalFormatting>
  <conditionalFormatting sqref="D29:E29">
    <cfRule type="expression" dxfId="13068" priority="5259">
      <formula>AND($A29&lt;&gt;"",MOD(ROW(),2))</formula>
    </cfRule>
  </conditionalFormatting>
  <conditionalFormatting sqref="D29">
    <cfRule type="cellIs" dxfId="13067" priority="5256" operator="equal">
      <formula>$C29</formula>
    </cfRule>
    <cfRule type="cellIs" dxfId="13066" priority="5257" operator="greaterThan">
      <formula>$C29</formula>
    </cfRule>
    <cfRule type="cellIs" dxfId="13065" priority="5258" operator="lessThan">
      <formula>$C29</formula>
    </cfRule>
  </conditionalFormatting>
  <conditionalFormatting sqref="D30:E30">
    <cfRule type="expression" dxfId="13064" priority="5255">
      <formula>AND($A30&lt;&gt;"",MOD(ROW(),2))</formula>
    </cfRule>
  </conditionalFormatting>
  <conditionalFormatting sqref="D30">
    <cfRule type="cellIs" dxfId="13063" priority="5252" operator="equal">
      <formula>$C30</formula>
    </cfRule>
    <cfRule type="cellIs" dxfId="13062" priority="5253" operator="greaterThan">
      <formula>$C30</formula>
    </cfRule>
    <cfRule type="cellIs" dxfId="13061" priority="5254" operator="lessThan">
      <formula>$C30</formula>
    </cfRule>
  </conditionalFormatting>
  <conditionalFormatting sqref="D31:E31">
    <cfRule type="expression" dxfId="13060" priority="5251">
      <formula>AND($A31&lt;&gt;"",MOD(ROW(),2))</formula>
    </cfRule>
  </conditionalFormatting>
  <conditionalFormatting sqref="D31">
    <cfRule type="cellIs" dxfId="13059" priority="5248" operator="equal">
      <formula>$C31</formula>
    </cfRule>
    <cfRule type="cellIs" dxfId="13058" priority="5249" operator="greaterThan">
      <formula>$C31</formula>
    </cfRule>
    <cfRule type="cellIs" dxfId="13057" priority="5250" operator="lessThan">
      <formula>$C31</formula>
    </cfRule>
  </conditionalFormatting>
  <conditionalFormatting sqref="D32:E32">
    <cfRule type="expression" dxfId="13056" priority="5247">
      <formula>AND($A32&lt;&gt;"",MOD(ROW(),2))</formula>
    </cfRule>
  </conditionalFormatting>
  <conditionalFormatting sqref="D32">
    <cfRule type="cellIs" dxfId="13055" priority="5244" operator="equal">
      <formula>$C32</formula>
    </cfRule>
    <cfRule type="cellIs" dxfId="13054" priority="5245" operator="greaterThan">
      <formula>$C32</formula>
    </cfRule>
    <cfRule type="cellIs" dxfId="13053" priority="5246" operator="lessThan">
      <formula>$C32</formula>
    </cfRule>
  </conditionalFormatting>
  <conditionalFormatting sqref="D33:E33">
    <cfRule type="expression" dxfId="13052" priority="5243">
      <formula>AND($A33&lt;&gt;"",MOD(ROW(),2))</formula>
    </cfRule>
  </conditionalFormatting>
  <conditionalFormatting sqref="D33">
    <cfRule type="cellIs" dxfId="13051" priority="5240" operator="equal">
      <formula>$C33</formula>
    </cfRule>
    <cfRule type="cellIs" dxfId="13050" priority="5241" operator="greaterThan">
      <formula>$C33</formula>
    </cfRule>
    <cfRule type="cellIs" dxfId="13049" priority="5242" operator="lessThan">
      <formula>$C33</formula>
    </cfRule>
  </conditionalFormatting>
  <conditionalFormatting sqref="D34:E34">
    <cfRule type="expression" dxfId="13048" priority="5239">
      <formula>AND($A34&lt;&gt;"",MOD(ROW(),2))</formula>
    </cfRule>
  </conditionalFormatting>
  <conditionalFormatting sqref="D34">
    <cfRule type="cellIs" dxfId="13047" priority="5236" operator="equal">
      <formula>$C34</formula>
    </cfRule>
    <cfRule type="cellIs" dxfId="13046" priority="5237" operator="greaterThan">
      <formula>$C34</formula>
    </cfRule>
    <cfRule type="cellIs" dxfId="13045" priority="5238" operator="lessThan">
      <formula>$C34</formula>
    </cfRule>
  </conditionalFormatting>
  <conditionalFormatting sqref="D35:E35">
    <cfRule type="expression" dxfId="13044" priority="5235">
      <formula>AND($A35&lt;&gt;"",MOD(ROW(),2))</formula>
    </cfRule>
  </conditionalFormatting>
  <conditionalFormatting sqref="D35">
    <cfRule type="cellIs" dxfId="13043" priority="5232" operator="equal">
      <formula>$C35</formula>
    </cfRule>
    <cfRule type="cellIs" dxfId="13042" priority="5233" operator="greaterThan">
      <formula>$C35</formula>
    </cfRule>
    <cfRule type="cellIs" dxfId="13041" priority="5234" operator="lessThan">
      <formula>$C35</formula>
    </cfRule>
  </conditionalFormatting>
  <conditionalFormatting sqref="D36:E36">
    <cfRule type="expression" dxfId="13040" priority="5231">
      <formula>AND($A36&lt;&gt;"",MOD(ROW(),2))</formula>
    </cfRule>
  </conditionalFormatting>
  <conditionalFormatting sqref="D36">
    <cfRule type="cellIs" dxfId="13039" priority="5228" operator="equal">
      <formula>$C36</formula>
    </cfRule>
    <cfRule type="cellIs" dxfId="13038" priority="5229" operator="greaterThan">
      <formula>$C36</formula>
    </cfRule>
    <cfRule type="cellIs" dxfId="13037" priority="5230" operator="lessThan">
      <formula>$C36</formula>
    </cfRule>
  </conditionalFormatting>
  <conditionalFormatting sqref="D37:E37">
    <cfRule type="expression" dxfId="13036" priority="5227">
      <formula>AND($A37&lt;&gt;"",MOD(ROW(),2))</formula>
    </cfRule>
  </conditionalFormatting>
  <conditionalFormatting sqref="D37">
    <cfRule type="cellIs" dxfId="13035" priority="5224" operator="equal">
      <formula>$C37</formula>
    </cfRule>
    <cfRule type="cellIs" dxfId="13034" priority="5225" operator="greaterThan">
      <formula>$C37</formula>
    </cfRule>
    <cfRule type="cellIs" dxfId="13033" priority="5226" operator="lessThan">
      <formula>$C37</formula>
    </cfRule>
  </conditionalFormatting>
  <conditionalFormatting sqref="D38:E38">
    <cfRule type="expression" dxfId="13032" priority="5223">
      <formula>AND($A38&lt;&gt;"",MOD(ROW(),2))</formula>
    </cfRule>
  </conditionalFormatting>
  <conditionalFormatting sqref="D38">
    <cfRule type="cellIs" dxfId="13031" priority="5220" operator="equal">
      <formula>$C38</formula>
    </cfRule>
    <cfRule type="cellIs" dxfId="13030" priority="5221" operator="greaterThan">
      <formula>$C38</formula>
    </cfRule>
    <cfRule type="cellIs" dxfId="13029" priority="5222" operator="lessThan">
      <formula>$C38</formula>
    </cfRule>
  </conditionalFormatting>
  <conditionalFormatting sqref="D39:E39">
    <cfRule type="expression" dxfId="13028" priority="5219">
      <formula>AND($A39&lt;&gt;"",MOD(ROW(),2))</formula>
    </cfRule>
  </conditionalFormatting>
  <conditionalFormatting sqref="D39">
    <cfRule type="cellIs" dxfId="13027" priority="5216" operator="equal">
      <formula>$C39</formula>
    </cfRule>
    <cfRule type="cellIs" dxfId="13026" priority="5217" operator="greaterThan">
      <formula>$C39</formula>
    </cfRule>
    <cfRule type="cellIs" dxfId="13025" priority="5218" operator="lessThan">
      <formula>$C39</formula>
    </cfRule>
  </conditionalFormatting>
  <conditionalFormatting sqref="D40:E40">
    <cfRule type="expression" dxfId="13024" priority="5215">
      <formula>AND($A40&lt;&gt;"",MOD(ROW(),2))</formula>
    </cfRule>
  </conditionalFormatting>
  <conditionalFormatting sqref="D40">
    <cfRule type="cellIs" dxfId="13023" priority="5212" operator="equal">
      <formula>$C40</formula>
    </cfRule>
    <cfRule type="cellIs" dxfId="13022" priority="5213" operator="greaterThan">
      <formula>$C40</formula>
    </cfRule>
    <cfRule type="cellIs" dxfId="13021" priority="5214" operator="lessThan">
      <formula>$C40</formula>
    </cfRule>
  </conditionalFormatting>
  <conditionalFormatting sqref="D41:E41">
    <cfRule type="expression" dxfId="13020" priority="5211">
      <formula>AND($A41&lt;&gt;"",MOD(ROW(),2))</formula>
    </cfRule>
  </conditionalFormatting>
  <conditionalFormatting sqref="D41">
    <cfRule type="cellIs" dxfId="13019" priority="5208" operator="equal">
      <formula>$C41</formula>
    </cfRule>
    <cfRule type="cellIs" dxfId="13018" priority="5209" operator="greaterThan">
      <formula>$C41</formula>
    </cfRule>
    <cfRule type="cellIs" dxfId="13017" priority="5210" operator="lessThan">
      <formula>$C41</formula>
    </cfRule>
  </conditionalFormatting>
  <conditionalFormatting sqref="D42:E42">
    <cfRule type="expression" dxfId="13016" priority="5207">
      <formula>AND($A42&lt;&gt;"",MOD(ROW(),2))</formula>
    </cfRule>
  </conditionalFormatting>
  <conditionalFormatting sqref="D42">
    <cfRule type="cellIs" dxfId="13015" priority="5204" operator="equal">
      <formula>$C42</formula>
    </cfRule>
    <cfRule type="cellIs" dxfId="13014" priority="5205" operator="greaterThan">
      <formula>$C42</formula>
    </cfRule>
    <cfRule type="cellIs" dxfId="13013" priority="5206" operator="lessThan">
      <formula>$C42</formula>
    </cfRule>
  </conditionalFormatting>
  <conditionalFormatting sqref="D43:E43">
    <cfRule type="expression" dxfId="13012" priority="5203">
      <formula>AND($A43&lt;&gt;"",MOD(ROW(),2))</formula>
    </cfRule>
  </conditionalFormatting>
  <conditionalFormatting sqref="D43">
    <cfRule type="cellIs" dxfId="13011" priority="5200" operator="equal">
      <formula>$C43</formula>
    </cfRule>
    <cfRule type="cellIs" dxfId="13010" priority="5201" operator="greaterThan">
      <formula>$C43</formula>
    </cfRule>
    <cfRule type="cellIs" dxfId="13009" priority="5202" operator="lessThan">
      <formula>$C43</formula>
    </cfRule>
  </conditionalFormatting>
  <conditionalFormatting sqref="D44:E44">
    <cfRule type="expression" dxfId="13008" priority="5199">
      <formula>AND($A44&lt;&gt;"",MOD(ROW(),2))</formula>
    </cfRule>
  </conditionalFormatting>
  <conditionalFormatting sqref="D44">
    <cfRule type="cellIs" dxfId="13007" priority="5196" operator="equal">
      <formula>$C44</formula>
    </cfRule>
    <cfRule type="cellIs" dxfId="13006" priority="5197" operator="greaterThan">
      <formula>$C44</formula>
    </cfRule>
    <cfRule type="cellIs" dxfId="13005" priority="5198" operator="lessThan">
      <formula>$C44</formula>
    </cfRule>
  </conditionalFormatting>
  <conditionalFormatting sqref="D45:E45">
    <cfRule type="expression" dxfId="13004" priority="5195">
      <formula>AND($A45&lt;&gt;"",MOD(ROW(),2))</formula>
    </cfRule>
  </conditionalFormatting>
  <conditionalFormatting sqref="D45">
    <cfRule type="cellIs" dxfId="13003" priority="5192" operator="equal">
      <formula>$C45</formula>
    </cfRule>
    <cfRule type="cellIs" dxfId="13002" priority="5193" operator="greaterThan">
      <formula>$C45</formula>
    </cfRule>
    <cfRule type="cellIs" dxfId="13001" priority="5194" operator="lessThan">
      <formula>$C45</formula>
    </cfRule>
  </conditionalFormatting>
  <conditionalFormatting sqref="D46:E46">
    <cfRule type="expression" dxfId="13000" priority="5191">
      <formula>AND($A46&lt;&gt;"",MOD(ROW(),2))</formula>
    </cfRule>
  </conditionalFormatting>
  <conditionalFormatting sqref="D46">
    <cfRule type="cellIs" dxfId="12999" priority="5188" operator="equal">
      <formula>$C46</formula>
    </cfRule>
    <cfRule type="cellIs" dxfId="12998" priority="5189" operator="greaterThan">
      <formula>$C46</formula>
    </cfRule>
    <cfRule type="cellIs" dxfId="12997" priority="5190" operator="lessThan">
      <formula>$C46</formula>
    </cfRule>
  </conditionalFormatting>
  <conditionalFormatting sqref="D47:E47">
    <cfRule type="expression" dxfId="12996" priority="5187">
      <formula>AND($A47&lt;&gt;"",MOD(ROW(),2))</formula>
    </cfRule>
  </conditionalFormatting>
  <conditionalFormatting sqref="D47">
    <cfRule type="cellIs" dxfId="12995" priority="5184" operator="equal">
      <formula>$C47</formula>
    </cfRule>
    <cfRule type="cellIs" dxfId="12994" priority="5185" operator="greaterThan">
      <formula>$C47</formula>
    </cfRule>
    <cfRule type="cellIs" dxfId="12993" priority="5186" operator="lessThan">
      <formula>$C47</formula>
    </cfRule>
  </conditionalFormatting>
  <conditionalFormatting sqref="D48:E48">
    <cfRule type="expression" dxfId="12992" priority="5183">
      <formula>AND($A48&lt;&gt;"",MOD(ROW(),2))</formula>
    </cfRule>
  </conditionalFormatting>
  <conditionalFormatting sqref="D48">
    <cfRule type="cellIs" dxfId="12991" priority="5180" operator="equal">
      <formula>$C48</formula>
    </cfRule>
    <cfRule type="cellIs" dxfId="12990" priority="5181" operator="greaterThan">
      <formula>$C48</formula>
    </cfRule>
    <cfRule type="cellIs" dxfId="12989" priority="5182" operator="lessThan">
      <formula>$C48</formula>
    </cfRule>
  </conditionalFormatting>
  <conditionalFormatting sqref="D49:E49">
    <cfRule type="expression" dxfId="12988" priority="5179">
      <formula>AND($A49&lt;&gt;"",MOD(ROW(),2))</formula>
    </cfRule>
  </conditionalFormatting>
  <conditionalFormatting sqref="D49">
    <cfRule type="cellIs" dxfId="12987" priority="5176" operator="equal">
      <formula>$C49</formula>
    </cfRule>
    <cfRule type="cellIs" dxfId="12986" priority="5177" operator="greaterThan">
      <formula>$C49</formula>
    </cfRule>
    <cfRule type="cellIs" dxfId="12985" priority="5178" operator="lessThan">
      <formula>$C49</formula>
    </cfRule>
  </conditionalFormatting>
  <conditionalFormatting sqref="D50:E50">
    <cfRule type="expression" dxfId="12984" priority="5175">
      <formula>AND($A50&lt;&gt;"",MOD(ROW(),2))</formula>
    </cfRule>
  </conditionalFormatting>
  <conditionalFormatting sqref="D50">
    <cfRule type="cellIs" dxfId="12983" priority="5172" operator="equal">
      <formula>$C50</formula>
    </cfRule>
    <cfRule type="cellIs" dxfId="12982" priority="5173" operator="greaterThan">
      <formula>$C50</formula>
    </cfRule>
    <cfRule type="cellIs" dxfId="12981" priority="5174" operator="lessThan">
      <formula>$C50</formula>
    </cfRule>
  </conditionalFormatting>
  <conditionalFormatting sqref="D51:E51">
    <cfRule type="expression" dxfId="12980" priority="5171">
      <formula>AND($A51&lt;&gt;"",MOD(ROW(),2))</formula>
    </cfRule>
  </conditionalFormatting>
  <conditionalFormatting sqref="D51">
    <cfRule type="cellIs" dxfId="12979" priority="5168" operator="equal">
      <formula>$C51</formula>
    </cfRule>
    <cfRule type="cellIs" dxfId="12978" priority="5169" operator="greaterThan">
      <formula>$C51</formula>
    </cfRule>
    <cfRule type="cellIs" dxfId="12977" priority="5170" operator="lessThan">
      <formula>$C51</formula>
    </cfRule>
  </conditionalFormatting>
  <conditionalFormatting sqref="D29:E29">
    <cfRule type="expression" dxfId="12976" priority="5167">
      <formula>AND($A29&lt;&gt;"",MOD(ROW(),2))</formula>
    </cfRule>
  </conditionalFormatting>
  <conditionalFormatting sqref="D29">
    <cfRule type="cellIs" dxfId="12975" priority="5164" operator="equal">
      <formula>$C29</formula>
    </cfRule>
    <cfRule type="cellIs" dxfId="12974" priority="5165" operator="greaterThan">
      <formula>$C29</formula>
    </cfRule>
    <cfRule type="cellIs" dxfId="12973" priority="5166" operator="lessThan">
      <formula>$C29</formula>
    </cfRule>
  </conditionalFormatting>
  <conditionalFormatting sqref="D30:E30">
    <cfRule type="expression" dxfId="12972" priority="5163">
      <formula>AND($A30&lt;&gt;"",MOD(ROW(),2))</formula>
    </cfRule>
  </conditionalFormatting>
  <conditionalFormatting sqref="D30">
    <cfRule type="cellIs" dxfId="12971" priority="5160" operator="equal">
      <formula>$C30</formula>
    </cfRule>
    <cfRule type="cellIs" dxfId="12970" priority="5161" operator="greaterThan">
      <formula>$C30</formula>
    </cfRule>
    <cfRule type="cellIs" dxfId="12969" priority="5162" operator="lessThan">
      <formula>$C30</formula>
    </cfRule>
  </conditionalFormatting>
  <conditionalFormatting sqref="D31:E31">
    <cfRule type="expression" dxfId="12968" priority="5159">
      <formula>AND($A31&lt;&gt;"",MOD(ROW(),2))</formula>
    </cfRule>
  </conditionalFormatting>
  <conditionalFormatting sqref="D31">
    <cfRule type="cellIs" dxfId="12967" priority="5156" operator="equal">
      <formula>$C31</formula>
    </cfRule>
    <cfRule type="cellIs" dxfId="12966" priority="5157" operator="greaterThan">
      <formula>$C31</formula>
    </cfRule>
    <cfRule type="cellIs" dxfId="12965" priority="5158" operator="lessThan">
      <formula>$C31</formula>
    </cfRule>
  </conditionalFormatting>
  <conditionalFormatting sqref="D32:E32">
    <cfRule type="expression" dxfId="12964" priority="5155">
      <formula>AND($A32&lt;&gt;"",MOD(ROW(),2))</formula>
    </cfRule>
  </conditionalFormatting>
  <conditionalFormatting sqref="D32">
    <cfRule type="cellIs" dxfId="12963" priority="5152" operator="equal">
      <formula>$C32</formula>
    </cfRule>
    <cfRule type="cellIs" dxfId="12962" priority="5153" operator="greaterThan">
      <formula>$C32</formula>
    </cfRule>
    <cfRule type="cellIs" dxfId="12961" priority="5154" operator="lessThan">
      <formula>$C32</formula>
    </cfRule>
  </conditionalFormatting>
  <conditionalFormatting sqref="D33:E33">
    <cfRule type="expression" dxfId="12960" priority="5151">
      <formula>AND($A33&lt;&gt;"",MOD(ROW(),2))</formula>
    </cfRule>
  </conditionalFormatting>
  <conditionalFormatting sqref="D33">
    <cfRule type="cellIs" dxfId="12959" priority="5148" operator="equal">
      <formula>$C33</formula>
    </cfRule>
    <cfRule type="cellIs" dxfId="12958" priority="5149" operator="greaterThan">
      <formula>$C33</formula>
    </cfRule>
    <cfRule type="cellIs" dxfId="12957" priority="5150" operator="lessThan">
      <formula>$C33</formula>
    </cfRule>
  </conditionalFormatting>
  <conditionalFormatting sqref="D34:E34">
    <cfRule type="expression" dxfId="12956" priority="5147">
      <formula>AND($A34&lt;&gt;"",MOD(ROW(),2))</formula>
    </cfRule>
  </conditionalFormatting>
  <conditionalFormatting sqref="D34">
    <cfRule type="cellIs" dxfId="12955" priority="5144" operator="equal">
      <formula>$C34</formula>
    </cfRule>
    <cfRule type="cellIs" dxfId="12954" priority="5145" operator="greaterThan">
      <formula>$C34</formula>
    </cfRule>
    <cfRule type="cellIs" dxfId="12953" priority="5146" operator="lessThan">
      <formula>$C34</formula>
    </cfRule>
  </conditionalFormatting>
  <conditionalFormatting sqref="D35:E35">
    <cfRule type="expression" dxfId="12952" priority="5143">
      <formula>AND($A35&lt;&gt;"",MOD(ROW(),2))</formula>
    </cfRule>
  </conditionalFormatting>
  <conditionalFormatting sqref="D35">
    <cfRule type="cellIs" dxfId="12951" priority="5140" operator="equal">
      <formula>$C35</formula>
    </cfRule>
    <cfRule type="cellIs" dxfId="12950" priority="5141" operator="greaterThan">
      <formula>$C35</formula>
    </cfRule>
    <cfRule type="cellIs" dxfId="12949" priority="5142" operator="lessThan">
      <formula>$C35</formula>
    </cfRule>
  </conditionalFormatting>
  <conditionalFormatting sqref="D36:E36">
    <cfRule type="expression" dxfId="12948" priority="5139">
      <formula>AND($A36&lt;&gt;"",MOD(ROW(),2))</formula>
    </cfRule>
  </conditionalFormatting>
  <conditionalFormatting sqref="D36">
    <cfRule type="cellIs" dxfId="12947" priority="5136" operator="equal">
      <formula>$C36</formula>
    </cfRule>
    <cfRule type="cellIs" dxfId="12946" priority="5137" operator="greaterThan">
      <formula>$C36</formula>
    </cfRule>
    <cfRule type="cellIs" dxfId="12945" priority="5138" operator="lessThan">
      <formula>$C36</formula>
    </cfRule>
  </conditionalFormatting>
  <conditionalFormatting sqref="D37:E37">
    <cfRule type="expression" dxfId="12944" priority="5135">
      <formula>AND($A37&lt;&gt;"",MOD(ROW(),2))</formula>
    </cfRule>
  </conditionalFormatting>
  <conditionalFormatting sqref="D37">
    <cfRule type="cellIs" dxfId="12943" priority="5132" operator="equal">
      <formula>$C37</formula>
    </cfRule>
    <cfRule type="cellIs" dxfId="12942" priority="5133" operator="greaterThan">
      <formula>$C37</formula>
    </cfRule>
    <cfRule type="cellIs" dxfId="12941" priority="5134" operator="lessThan">
      <formula>$C37</formula>
    </cfRule>
  </conditionalFormatting>
  <conditionalFormatting sqref="D38:E38">
    <cfRule type="expression" dxfId="12940" priority="5131">
      <formula>AND($A38&lt;&gt;"",MOD(ROW(),2))</formula>
    </cfRule>
  </conditionalFormatting>
  <conditionalFormatting sqref="D38">
    <cfRule type="cellIs" dxfId="12939" priority="5128" operator="equal">
      <formula>$C38</formula>
    </cfRule>
    <cfRule type="cellIs" dxfId="12938" priority="5129" operator="greaterThan">
      <formula>$C38</formula>
    </cfRule>
    <cfRule type="cellIs" dxfId="12937" priority="5130" operator="lessThan">
      <formula>$C38</formula>
    </cfRule>
  </conditionalFormatting>
  <conditionalFormatting sqref="D39:E39">
    <cfRule type="expression" dxfId="12936" priority="5127">
      <formula>AND($A39&lt;&gt;"",MOD(ROW(),2))</formula>
    </cfRule>
  </conditionalFormatting>
  <conditionalFormatting sqref="D39">
    <cfRule type="cellIs" dxfId="12935" priority="5124" operator="equal">
      <formula>$C39</formula>
    </cfRule>
    <cfRule type="cellIs" dxfId="12934" priority="5125" operator="greaterThan">
      <formula>$C39</formula>
    </cfRule>
    <cfRule type="cellIs" dxfId="12933" priority="5126" operator="lessThan">
      <formula>$C39</formula>
    </cfRule>
  </conditionalFormatting>
  <conditionalFormatting sqref="D40:E40">
    <cfRule type="expression" dxfId="12932" priority="5123">
      <formula>AND($A40&lt;&gt;"",MOD(ROW(),2))</formula>
    </cfRule>
  </conditionalFormatting>
  <conditionalFormatting sqref="D40">
    <cfRule type="cellIs" dxfId="12931" priority="5120" operator="equal">
      <formula>$C40</formula>
    </cfRule>
    <cfRule type="cellIs" dxfId="12930" priority="5121" operator="greaterThan">
      <formula>$C40</formula>
    </cfRule>
    <cfRule type="cellIs" dxfId="12929" priority="5122" operator="lessThan">
      <formula>$C40</formula>
    </cfRule>
  </conditionalFormatting>
  <conditionalFormatting sqref="D41:E41">
    <cfRule type="expression" dxfId="12928" priority="5119">
      <formula>AND($A41&lt;&gt;"",MOD(ROW(),2))</formula>
    </cfRule>
  </conditionalFormatting>
  <conditionalFormatting sqref="D41">
    <cfRule type="cellIs" dxfId="12927" priority="5116" operator="equal">
      <formula>$C41</formula>
    </cfRule>
    <cfRule type="cellIs" dxfId="12926" priority="5117" operator="greaterThan">
      <formula>$C41</formula>
    </cfRule>
    <cfRule type="cellIs" dxfId="12925" priority="5118" operator="lessThan">
      <formula>$C41</formula>
    </cfRule>
  </conditionalFormatting>
  <conditionalFormatting sqref="D42:E42">
    <cfRule type="expression" dxfId="12924" priority="5115">
      <formula>AND($A42&lt;&gt;"",MOD(ROW(),2))</formula>
    </cfRule>
  </conditionalFormatting>
  <conditionalFormatting sqref="D42">
    <cfRule type="cellIs" dxfId="12923" priority="5112" operator="equal">
      <formula>$C42</formula>
    </cfRule>
    <cfRule type="cellIs" dxfId="12922" priority="5113" operator="greaterThan">
      <formula>$C42</formula>
    </cfRule>
    <cfRule type="cellIs" dxfId="12921" priority="5114" operator="lessThan">
      <formula>$C42</formula>
    </cfRule>
  </conditionalFormatting>
  <conditionalFormatting sqref="D43:E43">
    <cfRule type="expression" dxfId="12920" priority="5111">
      <formula>AND($A43&lt;&gt;"",MOD(ROW(),2))</formula>
    </cfRule>
  </conditionalFormatting>
  <conditionalFormatting sqref="D43">
    <cfRule type="cellIs" dxfId="12919" priority="5108" operator="equal">
      <formula>$C43</formula>
    </cfRule>
    <cfRule type="cellIs" dxfId="12918" priority="5109" operator="greaterThan">
      <formula>$C43</formula>
    </cfRule>
    <cfRule type="cellIs" dxfId="12917" priority="5110" operator="lessThan">
      <formula>$C43</formula>
    </cfRule>
  </conditionalFormatting>
  <conditionalFormatting sqref="D44:E44">
    <cfRule type="expression" dxfId="12916" priority="5107">
      <formula>AND($A44&lt;&gt;"",MOD(ROW(),2))</formula>
    </cfRule>
  </conditionalFormatting>
  <conditionalFormatting sqref="D44">
    <cfRule type="cellIs" dxfId="12915" priority="5104" operator="equal">
      <formula>$C44</formula>
    </cfRule>
    <cfRule type="cellIs" dxfId="12914" priority="5105" operator="greaterThan">
      <formula>$C44</formula>
    </cfRule>
    <cfRule type="cellIs" dxfId="12913" priority="5106" operator="lessThan">
      <formula>$C44</formula>
    </cfRule>
  </conditionalFormatting>
  <conditionalFormatting sqref="D45:E45">
    <cfRule type="expression" dxfId="12912" priority="5103">
      <formula>AND($A45&lt;&gt;"",MOD(ROW(),2))</formula>
    </cfRule>
  </conditionalFormatting>
  <conditionalFormatting sqref="D45">
    <cfRule type="cellIs" dxfId="12911" priority="5100" operator="equal">
      <formula>$C45</formula>
    </cfRule>
    <cfRule type="cellIs" dxfId="12910" priority="5101" operator="greaterThan">
      <formula>$C45</formula>
    </cfRule>
    <cfRule type="cellIs" dxfId="12909" priority="5102" operator="lessThan">
      <formula>$C45</formula>
    </cfRule>
  </conditionalFormatting>
  <conditionalFormatting sqref="D46:E46">
    <cfRule type="expression" dxfId="12908" priority="5099">
      <formula>AND($A46&lt;&gt;"",MOD(ROW(),2))</formula>
    </cfRule>
  </conditionalFormatting>
  <conditionalFormatting sqref="D46">
    <cfRule type="cellIs" dxfId="12907" priority="5096" operator="equal">
      <formula>$C46</formula>
    </cfRule>
    <cfRule type="cellIs" dxfId="12906" priority="5097" operator="greaterThan">
      <formula>$C46</formula>
    </cfRule>
    <cfRule type="cellIs" dxfId="12905" priority="5098" operator="lessThan">
      <formula>$C46</formula>
    </cfRule>
  </conditionalFormatting>
  <conditionalFormatting sqref="D47:E47">
    <cfRule type="expression" dxfId="12904" priority="5095">
      <formula>AND($A47&lt;&gt;"",MOD(ROW(),2))</formula>
    </cfRule>
  </conditionalFormatting>
  <conditionalFormatting sqref="D47">
    <cfRule type="cellIs" dxfId="12903" priority="5092" operator="equal">
      <formula>$C47</formula>
    </cfRule>
    <cfRule type="cellIs" dxfId="12902" priority="5093" operator="greaterThan">
      <formula>$C47</formula>
    </cfRule>
    <cfRule type="cellIs" dxfId="12901" priority="5094" operator="lessThan">
      <formula>$C47</formula>
    </cfRule>
  </conditionalFormatting>
  <conditionalFormatting sqref="D48:E48">
    <cfRule type="expression" dxfId="12900" priority="5091">
      <formula>AND($A48&lt;&gt;"",MOD(ROW(),2))</formula>
    </cfRule>
  </conditionalFormatting>
  <conditionalFormatting sqref="D48">
    <cfRule type="cellIs" dxfId="12899" priority="5088" operator="equal">
      <formula>$C48</formula>
    </cfRule>
    <cfRule type="cellIs" dxfId="12898" priority="5089" operator="greaterThan">
      <formula>$C48</formula>
    </cfRule>
    <cfRule type="cellIs" dxfId="12897" priority="5090" operator="lessThan">
      <formula>$C48</formula>
    </cfRule>
  </conditionalFormatting>
  <conditionalFormatting sqref="D49:E49">
    <cfRule type="expression" dxfId="12896" priority="5087">
      <formula>AND($A49&lt;&gt;"",MOD(ROW(),2))</formula>
    </cfRule>
  </conditionalFormatting>
  <conditionalFormatting sqref="D49">
    <cfRule type="cellIs" dxfId="12895" priority="5084" operator="equal">
      <formula>$C49</formula>
    </cfRule>
    <cfRule type="cellIs" dxfId="12894" priority="5085" operator="greaterThan">
      <formula>$C49</formula>
    </cfRule>
    <cfRule type="cellIs" dxfId="12893" priority="5086" operator="lessThan">
      <formula>$C49</formula>
    </cfRule>
  </conditionalFormatting>
  <conditionalFormatting sqref="D50:E50">
    <cfRule type="expression" dxfId="12892" priority="5083">
      <formula>AND($A50&lt;&gt;"",MOD(ROW(),2))</formula>
    </cfRule>
  </conditionalFormatting>
  <conditionalFormatting sqref="D50">
    <cfRule type="cellIs" dxfId="12891" priority="5080" operator="equal">
      <formula>$C50</formula>
    </cfRule>
    <cfRule type="cellIs" dxfId="12890" priority="5081" operator="greaterThan">
      <formula>$C50</formula>
    </cfRule>
    <cfRule type="cellIs" dxfId="12889" priority="5082" operator="lessThan">
      <formula>$C50</formula>
    </cfRule>
  </conditionalFormatting>
  <conditionalFormatting sqref="D51:E51">
    <cfRule type="expression" dxfId="12888" priority="5079">
      <formula>AND($A51&lt;&gt;"",MOD(ROW(),2))</formula>
    </cfRule>
  </conditionalFormatting>
  <conditionalFormatting sqref="D51">
    <cfRule type="cellIs" dxfId="12887" priority="5076" operator="equal">
      <formula>$C51</formula>
    </cfRule>
    <cfRule type="cellIs" dxfId="12886" priority="5077" operator="greaterThan">
      <formula>$C51</formula>
    </cfRule>
    <cfRule type="cellIs" dxfId="12885" priority="5078" operator="lessThan">
      <formula>$C51</formula>
    </cfRule>
  </conditionalFormatting>
  <conditionalFormatting sqref="D28:E28">
    <cfRule type="expression" dxfId="12884" priority="5075">
      <formula>AND($A28&lt;&gt;"",MOD(ROW(),2))</formula>
    </cfRule>
  </conditionalFormatting>
  <conditionalFormatting sqref="D28">
    <cfRule type="cellIs" dxfId="12883" priority="5072" operator="equal">
      <formula>$C28</formula>
    </cfRule>
    <cfRule type="cellIs" dxfId="12882" priority="5073" operator="greaterThan">
      <formula>$C28</formula>
    </cfRule>
    <cfRule type="cellIs" dxfId="12881" priority="5074" operator="lessThan">
      <formula>$C28</formula>
    </cfRule>
  </conditionalFormatting>
  <conditionalFormatting sqref="D29:E29">
    <cfRule type="expression" dxfId="12880" priority="5071">
      <formula>AND($A29&lt;&gt;"",MOD(ROW(),2))</formula>
    </cfRule>
  </conditionalFormatting>
  <conditionalFormatting sqref="D29">
    <cfRule type="cellIs" dxfId="12879" priority="5068" operator="equal">
      <formula>$C29</formula>
    </cfRule>
    <cfRule type="cellIs" dxfId="12878" priority="5069" operator="greaterThan">
      <formula>$C29</formula>
    </cfRule>
    <cfRule type="cellIs" dxfId="12877" priority="5070" operator="lessThan">
      <formula>$C29</formula>
    </cfRule>
  </conditionalFormatting>
  <conditionalFormatting sqref="D30:E30">
    <cfRule type="expression" dxfId="12876" priority="5067">
      <formula>AND($A30&lt;&gt;"",MOD(ROW(),2))</formula>
    </cfRule>
  </conditionalFormatting>
  <conditionalFormatting sqref="D30">
    <cfRule type="cellIs" dxfId="12875" priority="5064" operator="equal">
      <formula>$C30</formula>
    </cfRule>
    <cfRule type="cellIs" dxfId="12874" priority="5065" operator="greaterThan">
      <formula>$C30</formula>
    </cfRule>
    <cfRule type="cellIs" dxfId="12873" priority="5066" operator="lessThan">
      <formula>$C30</formula>
    </cfRule>
  </conditionalFormatting>
  <conditionalFormatting sqref="D31:E31">
    <cfRule type="expression" dxfId="12872" priority="5063">
      <formula>AND($A31&lt;&gt;"",MOD(ROW(),2))</formula>
    </cfRule>
  </conditionalFormatting>
  <conditionalFormatting sqref="D31">
    <cfRule type="cellIs" dxfId="12871" priority="5060" operator="equal">
      <formula>$C31</formula>
    </cfRule>
    <cfRule type="cellIs" dxfId="12870" priority="5061" operator="greaterThan">
      <formula>$C31</formula>
    </cfRule>
    <cfRule type="cellIs" dxfId="12869" priority="5062" operator="lessThan">
      <formula>$C31</formula>
    </cfRule>
  </conditionalFormatting>
  <conditionalFormatting sqref="D32:E32">
    <cfRule type="expression" dxfId="12868" priority="5059">
      <formula>AND($A32&lt;&gt;"",MOD(ROW(),2))</formula>
    </cfRule>
  </conditionalFormatting>
  <conditionalFormatting sqref="D32">
    <cfRule type="cellIs" dxfId="12867" priority="5056" operator="equal">
      <formula>$C32</formula>
    </cfRule>
    <cfRule type="cellIs" dxfId="12866" priority="5057" operator="greaterThan">
      <formula>$C32</formula>
    </cfRule>
    <cfRule type="cellIs" dxfId="12865" priority="5058" operator="lessThan">
      <formula>$C32</formula>
    </cfRule>
  </conditionalFormatting>
  <conditionalFormatting sqref="D33:E33">
    <cfRule type="expression" dxfId="12864" priority="5055">
      <formula>AND($A33&lt;&gt;"",MOD(ROW(),2))</formula>
    </cfRule>
  </conditionalFormatting>
  <conditionalFormatting sqref="D33">
    <cfRule type="cellIs" dxfId="12863" priority="5052" operator="equal">
      <formula>$C33</formula>
    </cfRule>
    <cfRule type="cellIs" dxfId="12862" priority="5053" operator="greaterThan">
      <formula>$C33</formula>
    </cfRule>
    <cfRule type="cellIs" dxfId="12861" priority="5054" operator="lessThan">
      <formula>$C33</formula>
    </cfRule>
  </conditionalFormatting>
  <conditionalFormatting sqref="D34:E34">
    <cfRule type="expression" dxfId="12860" priority="5051">
      <formula>AND($A34&lt;&gt;"",MOD(ROW(),2))</formula>
    </cfRule>
  </conditionalFormatting>
  <conditionalFormatting sqref="D34">
    <cfRule type="cellIs" dxfId="12859" priority="5048" operator="equal">
      <formula>$C34</formula>
    </cfRule>
    <cfRule type="cellIs" dxfId="12858" priority="5049" operator="greaterThan">
      <formula>$C34</formula>
    </cfRule>
    <cfRule type="cellIs" dxfId="12857" priority="5050" operator="lessThan">
      <formula>$C34</formula>
    </cfRule>
  </conditionalFormatting>
  <conditionalFormatting sqref="D35:E35">
    <cfRule type="expression" dxfId="12856" priority="5047">
      <formula>AND($A35&lt;&gt;"",MOD(ROW(),2))</formula>
    </cfRule>
  </conditionalFormatting>
  <conditionalFormatting sqref="D35">
    <cfRule type="cellIs" dxfId="12855" priority="5044" operator="equal">
      <formula>$C35</formula>
    </cfRule>
    <cfRule type="cellIs" dxfId="12854" priority="5045" operator="greaterThan">
      <formula>$C35</formula>
    </cfRule>
    <cfRule type="cellIs" dxfId="12853" priority="5046" operator="lessThan">
      <formula>$C35</formula>
    </cfRule>
  </conditionalFormatting>
  <conditionalFormatting sqref="D36:E36">
    <cfRule type="expression" dxfId="12852" priority="5043">
      <formula>AND($A36&lt;&gt;"",MOD(ROW(),2))</formula>
    </cfRule>
  </conditionalFormatting>
  <conditionalFormatting sqref="D36">
    <cfRule type="cellIs" dxfId="12851" priority="5040" operator="equal">
      <formula>$C36</formula>
    </cfRule>
    <cfRule type="cellIs" dxfId="12850" priority="5041" operator="greaterThan">
      <formula>$C36</formula>
    </cfRule>
    <cfRule type="cellIs" dxfId="12849" priority="5042" operator="lessThan">
      <formula>$C36</formula>
    </cfRule>
  </conditionalFormatting>
  <conditionalFormatting sqref="D37:E37">
    <cfRule type="expression" dxfId="12848" priority="5039">
      <formula>AND($A37&lt;&gt;"",MOD(ROW(),2))</formula>
    </cfRule>
  </conditionalFormatting>
  <conditionalFormatting sqref="D37">
    <cfRule type="cellIs" dxfId="12847" priority="5036" operator="equal">
      <formula>$C37</formula>
    </cfRule>
    <cfRule type="cellIs" dxfId="12846" priority="5037" operator="greaterThan">
      <formula>$C37</formula>
    </cfRule>
    <cfRule type="cellIs" dxfId="12845" priority="5038" operator="lessThan">
      <formula>$C37</formula>
    </cfRule>
  </conditionalFormatting>
  <conditionalFormatting sqref="D38:E38">
    <cfRule type="expression" dxfId="12844" priority="5035">
      <formula>AND($A38&lt;&gt;"",MOD(ROW(),2))</formula>
    </cfRule>
  </conditionalFormatting>
  <conditionalFormatting sqref="D38">
    <cfRule type="cellIs" dxfId="12843" priority="5032" operator="equal">
      <formula>$C38</formula>
    </cfRule>
    <cfRule type="cellIs" dxfId="12842" priority="5033" operator="greaterThan">
      <formula>$C38</formula>
    </cfRule>
    <cfRule type="cellIs" dxfId="12841" priority="5034" operator="lessThan">
      <formula>$C38</formula>
    </cfRule>
  </conditionalFormatting>
  <conditionalFormatting sqref="D39:E39">
    <cfRule type="expression" dxfId="12840" priority="5031">
      <formula>AND($A39&lt;&gt;"",MOD(ROW(),2))</formula>
    </cfRule>
  </conditionalFormatting>
  <conditionalFormatting sqref="D39">
    <cfRule type="cellIs" dxfId="12839" priority="5028" operator="equal">
      <formula>$C39</formula>
    </cfRule>
    <cfRule type="cellIs" dxfId="12838" priority="5029" operator="greaterThan">
      <formula>$C39</formula>
    </cfRule>
    <cfRule type="cellIs" dxfId="12837" priority="5030" operator="lessThan">
      <formula>$C39</formula>
    </cfRule>
  </conditionalFormatting>
  <conditionalFormatting sqref="D40:E40">
    <cfRule type="expression" dxfId="12836" priority="5027">
      <formula>AND($A40&lt;&gt;"",MOD(ROW(),2))</formula>
    </cfRule>
  </conditionalFormatting>
  <conditionalFormatting sqref="D40">
    <cfRule type="cellIs" dxfId="12835" priority="5024" operator="equal">
      <formula>$C40</formula>
    </cfRule>
    <cfRule type="cellIs" dxfId="12834" priority="5025" operator="greaterThan">
      <formula>$C40</formula>
    </cfRule>
    <cfRule type="cellIs" dxfId="12833" priority="5026" operator="lessThan">
      <formula>$C40</formula>
    </cfRule>
  </conditionalFormatting>
  <conditionalFormatting sqref="D41:E41">
    <cfRule type="expression" dxfId="12832" priority="5023">
      <formula>AND($A41&lt;&gt;"",MOD(ROW(),2))</formula>
    </cfRule>
  </conditionalFormatting>
  <conditionalFormatting sqref="D41">
    <cfRule type="cellIs" dxfId="12831" priority="5020" operator="equal">
      <formula>$C41</formula>
    </cfRule>
    <cfRule type="cellIs" dxfId="12830" priority="5021" operator="greaterThan">
      <formula>$C41</formula>
    </cfRule>
    <cfRule type="cellIs" dxfId="12829" priority="5022" operator="lessThan">
      <formula>$C41</formula>
    </cfRule>
  </conditionalFormatting>
  <conditionalFormatting sqref="D42:E42">
    <cfRule type="expression" dxfId="12828" priority="5019">
      <formula>AND($A42&lt;&gt;"",MOD(ROW(),2))</formula>
    </cfRule>
  </conditionalFormatting>
  <conditionalFormatting sqref="D42">
    <cfRule type="cellIs" dxfId="12827" priority="5016" operator="equal">
      <formula>$C42</formula>
    </cfRule>
    <cfRule type="cellIs" dxfId="12826" priority="5017" operator="greaterThan">
      <formula>$C42</formula>
    </cfRule>
    <cfRule type="cellIs" dxfId="12825" priority="5018" operator="lessThan">
      <formula>$C42</formula>
    </cfRule>
  </conditionalFormatting>
  <conditionalFormatting sqref="D43:E43">
    <cfRule type="expression" dxfId="12824" priority="5015">
      <formula>AND($A43&lt;&gt;"",MOD(ROW(),2))</formula>
    </cfRule>
  </conditionalFormatting>
  <conditionalFormatting sqref="D43">
    <cfRule type="cellIs" dxfId="12823" priority="5012" operator="equal">
      <formula>$C43</formula>
    </cfRule>
    <cfRule type="cellIs" dxfId="12822" priority="5013" operator="greaterThan">
      <formula>$C43</formula>
    </cfRule>
    <cfRule type="cellIs" dxfId="12821" priority="5014" operator="lessThan">
      <formula>$C43</formula>
    </cfRule>
  </conditionalFormatting>
  <conditionalFormatting sqref="D44:E44">
    <cfRule type="expression" dxfId="12820" priority="5011">
      <formula>AND($A44&lt;&gt;"",MOD(ROW(),2))</formula>
    </cfRule>
  </conditionalFormatting>
  <conditionalFormatting sqref="D44">
    <cfRule type="cellIs" dxfId="12819" priority="5008" operator="equal">
      <formula>$C44</formula>
    </cfRule>
    <cfRule type="cellIs" dxfId="12818" priority="5009" operator="greaterThan">
      <formula>$C44</formula>
    </cfRule>
    <cfRule type="cellIs" dxfId="12817" priority="5010" operator="lessThan">
      <formula>$C44</formula>
    </cfRule>
  </conditionalFormatting>
  <conditionalFormatting sqref="D45:E45">
    <cfRule type="expression" dxfId="12816" priority="5007">
      <formula>AND($A45&lt;&gt;"",MOD(ROW(),2))</formula>
    </cfRule>
  </conditionalFormatting>
  <conditionalFormatting sqref="D45">
    <cfRule type="cellIs" dxfId="12815" priority="5004" operator="equal">
      <formula>$C45</formula>
    </cfRule>
    <cfRule type="cellIs" dxfId="12814" priority="5005" operator="greaterThan">
      <formula>$C45</formula>
    </cfRule>
    <cfRule type="cellIs" dxfId="12813" priority="5006" operator="lessThan">
      <formula>$C45</formula>
    </cfRule>
  </conditionalFormatting>
  <conditionalFormatting sqref="D46:E46">
    <cfRule type="expression" dxfId="12812" priority="5003">
      <formula>AND($A46&lt;&gt;"",MOD(ROW(),2))</formula>
    </cfRule>
  </conditionalFormatting>
  <conditionalFormatting sqref="D46">
    <cfRule type="cellIs" dxfId="12811" priority="5000" operator="equal">
      <formula>$C46</formula>
    </cfRule>
    <cfRule type="cellIs" dxfId="12810" priority="5001" operator="greaterThan">
      <formula>$C46</formula>
    </cfRule>
    <cfRule type="cellIs" dxfId="12809" priority="5002" operator="lessThan">
      <formula>$C46</formula>
    </cfRule>
  </conditionalFormatting>
  <conditionalFormatting sqref="D47:E47">
    <cfRule type="expression" dxfId="12808" priority="4999">
      <formula>AND($A47&lt;&gt;"",MOD(ROW(),2))</formula>
    </cfRule>
  </conditionalFormatting>
  <conditionalFormatting sqref="D47">
    <cfRule type="cellIs" dxfId="12807" priority="4996" operator="equal">
      <formula>$C47</formula>
    </cfRule>
    <cfRule type="cellIs" dxfId="12806" priority="4997" operator="greaterThan">
      <formula>$C47</formula>
    </cfRule>
    <cfRule type="cellIs" dxfId="12805" priority="4998" operator="lessThan">
      <formula>$C47</formula>
    </cfRule>
  </conditionalFormatting>
  <conditionalFormatting sqref="D48:E48">
    <cfRule type="expression" dxfId="12804" priority="4995">
      <formula>AND($A48&lt;&gt;"",MOD(ROW(),2))</formula>
    </cfRule>
  </conditionalFormatting>
  <conditionalFormatting sqref="D48">
    <cfRule type="cellIs" dxfId="12803" priority="4992" operator="equal">
      <formula>$C48</formula>
    </cfRule>
    <cfRule type="cellIs" dxfId="12802" priority="4993" operator="greaterThan">
      <formula>$C48</formula>
    </cfRule>
    <cfRule type="cellIs" dxfId="12801" priority="4994" operator="lessThan">
      <formula>$C48</formula>
    </cfRule>
  </conditionalFormatting>
  <conditionalFormatting sqref="D49:E49">
    <cfRule type="expression" dxfId="12800" priority="4991">
      <formula>AND($A49&lt;&gt;"",MOD(ROW(),2))</formula>
    </cfRule>
  </conditionalFormatting>
  <conditionalFormatting sqref="D49">
    <cfRule type="cellIs" dxfId="12799" priority="4988" operator="equal">
      <formula>$C49</formula>
    </cfRule>
    <cfRule type="cellIs" dxfId="12798" priority="4989" operator="greaterThan">
      <formula>$C49</formula>
    </cfRule>
    <cfRule type="cellIs" dxfId="12797" priority="4990" operator="lessThan">
      <formula>$C49</formula>
    </cfRule>
  </conditionalFormatting>
  <conditionalFormatting sqref="D50:E50">
    <cfRule type="expression" dxfId="12796" priority="4987">
      <formula>AND($A50&lt;&gt;"",MOD(ROW(),2))</formula>
    </cfRule>
  </conditionalFormatting>
  <conditionalFormatting sqref="D50">
    <cfRule type="cellIs" dxfId="12795" priority="4984" operator="equal">
      <formula>$C50</formula>
    </cfRule>
    <cfRule type="cellIs" dxfId="12794" priority="4985" operator="greaterThan">
      <formula>$C50</formula>
    </cfRule>
    <cfRule type="cellIs" dxfId="12793" priority="4986" operator="lessThan">
      <formula>$C50</formula>
    </cfRule>
  </conditionalFormatting>
  <conditionalFormatting sqref="D51:E51">
    <cfRule type="expression" dxfId="12792" priority="4983">
      <formula>AND($A51&lt;&gt;"",MOD(ROW(),2))</formula>
    </cfRule>
  </conditionalFormatting>
  <conditionalFormatting sqref="D51">
    <cfRule type="cellIs" dxfId="12791" priority="4980" operator="equal">
      <formula>$C51</formula>
    </cfRule>
    <cfRule type="cellIs" dxfId="12790" priority="4981" operator="greaterThan">
      <formula>$C51</formula>
    </cfRule>
    <cfRule type="cellIs" dxfId="12789" priority="4982" operator="lessThan">
      <formula>$C51</formula>
    </cfRule>
  </conditionalFormatting>
  <conditionalFormatting sqref="D29:E29">
    <cfRule type="expression" dxfId="12788" priority="4979">
      <formula>AND($A29&lt;&gt;"",MOD(ROW(),2))</formula>
    </cfRule>
  </conditionalFormatting>
  <conditionalFormatting sqref="D29">
    <cfRule type="cellIs" dxfId="12787" priority="4976" operator="equal">
      <formula>$C29</formula>
    </cfRule>
    <cfRule type="cellIs" dxfId="12786" priority="4977" operator="greaterThan">
      <formula>$C29</formula>
    </cfRule>
    <cfRule type="cellIs" dxfId="12785" priority="4978" operator="lessThan">
      <formula>$C29</formula>
    </cfRule>
  </conditionalFormatting>
  <conditionalFormatting sqref="D30:E30">
    <cfRule type="expression" dxfId="12784" priority="4975">
      <formula>AND($A30&lt;&gt;"",MOD(ROW(),2))</formula>
    </cfRule>
  </conditionalFormatting>
  <conditionalFormatting sqref="D30">
    <cfRule type="cellIs" dxfId="12783" priority="4972" operator="equal">
      <formula>$C30</formula>
    </cfRule>
    <cfRule type="cellIs" dxfId="12782" priority="4973" operator="greaterThan">
      <formula>$C30</formula>
    </cfRule>
    <cfRule type="cellIs" dxfId="12781" priority="4974" operator="lessThan">
      <formula>$C30</formula>
    </cfRule>
  </conditionalFormatting>
  <conditionalFormatting sqref="D31:E31">
    <cfRule type="expression" dxfId="12780" priority="4971">
      <formula>AND($A31&lt;&gt;"",MOD(ROW(),2))</formula>
    </cfRule>
  </conditionalFormatting>
  <conditionalFormatting sqref="D31">
    <cfRule type="cellIs" dxfId="12779" priority="4968" operator="equal">
      <formula>$C31</formula>
    </cfRule>
    <cfRule type="cellIs" dxfId="12778" priority="4969" operator="greaterThan">
      <formula>$C31</formula>
    </cfRule>
    <cfRule type="cellIs" dxfId="12777" priority="4970" operator="lessThan">
      <formula>$C31</formula>
    </cfRule>
  </conditionalFormatting>
  <conditionalFormatting sqref="D32:E32">
    <cfRule type="expression" dxfId="12776" priority="4967">
      <formula>AND($A32&lt;&gt;"",MOD(ROW(),2))</formula>
    </cfRule>
  </conditionalFormatting>
  <conditionalFormatting sqref="D32">
    <cfRule type="cellIs" dxfId="12775" priority="4964" operator="equal">
      <formula>$C32</formula>
    </cfRule>
    <cfRule type="cellIs" dxfId="12774" priority="4965" operator="greaterThan">
      <formula>$C32</formula>
    </cfRule>
    <cfRule type="cellIs" dxfId="12773" priority="4966" operator="lessThan">
      <formula>$C32</formula>
    </cfRule>
  </conditionalFormatting>
  <conditionalFormatting sqref="D33:E33">
    <cfRule type="expression" dxfId="12772" priority="4963">
      <formula>AND($A33&lt;&gt;"",MOD(ROW(),2))</formula>
    </cfRule>
  </conditionalFormatting>
  <conditionalFormatting sqref="D33">
    <cfRule type="cellIs" dxfId="12771" priority="4960" operator="equal">
      <formula>$C33</formula>
    </cfRule>
    <cfRule type="cellIs" dxfId="12770" priority="4961" operator="greaterThan">
      <formula>$C33</formula>
    </cfRule>
    <cfRule type="cellIs" dxfId="12769" priority="4962" operator="lessThan">
      <formula>$C33</formula>
    </cfRule>
  </conditionalFormatting>
  <conditionalFormatting sqref="D34:E34">
    <cfRule type="expression" dxfId="12768" priority="4959">
      <formula>AND($A34&lt;&gt;"",MOD(ROW(),2))</formula>
    </cfRule>
  </conditionalFormatting>
  <conditionalFormatting sqref="D34">
    <cfRule type="cellIs" dxfId="12767" priority="4956" operator="equal">
      <formula>$C34</formula>
    </cfRule>
    <cfRule type="cellIs" dxfId="12766" priority="4957" operator="greaterThan">
      <formula>$C34</formula>
    </cfRule>
    <cfRule type="cellIs" dxfId="12765" priority="4958" operator="lessThan">
      <formula>$C34</formula>
    </cfRule>
  </conditionalFormatting>
  <conditionalFormatting sqref="D35:E35">
    <cfRule type="expression" dxfId="12764" priority="4955">
      <formula>AND($A35&lt;&gt;"",MOD(ROW(),2))</formula>
    </cfRule>
  </conditionalFormatting>
  <conditionalFormatting sqref="D35">
    <cfRule type="cellIs" dxfId="12763" priority="4952" operator="equal">
      <formula>$C35</formula>
    </cfRule>
    <cfRule type="cellIs" dxfId="12762" priority="4953" operator="greaterThan">
      <formula>$C35</formula>
    </cfRule>
    <cfRule type="cellIs" dxfId="12761" priority="4954" operator="lessThan">
      <formula>$C35</formula>
    </cfRule>
  </conditionalFormatting>
  <conditionalFormatting sqref="D36:E36">
    <cfRule type="expression" dxfId="12760" priority="4951">
      <formula>AND($A36&lt;&gt;"",MOD(ROW(),2))</formula>
    </cfRule>
  </conditionalFormatting>
  <conditionalFormatting sqref="D36">
    <cfRule type="cellIs" dxfId="12759" priority="4948" operator="equal">
      <formula>$C36</formula>
    </cfRule>
    <cfRule type="cellIs" dxfId="12758" priority="4949" operator="greaterThan">
      <formula>$C36</formula>
    </cfRule>
    <cfRule type="cellIs" dxfId="12757" priority="4950" operator="lessThan">
      <formula>$C36</formula>
    </cfRule>
  </conditionalFormatting>
  <conditionalFormatting sqref="D37:E37">
    <cfRule type="expression" dxfId="12756" priority="4947">
      <formula>AND($A37&lt;&gt;"",MOD(ROW(),2))</formula>
    </cfRule>
  </conditionalFormatting>
  <conditionalFormatting sqref="D37">
    <cfRule type="cellIs" dxfId="12755" priority="4944" operator="equal">
      <formula>$C37</formula>
    </cfRule>
    <cfRule type="cellIs" dxfId="12754" priority="4945" operator="greaterThan">
      <formula>$C37</formula>
    </cfRule>
    <cfRule type="cellIs" dxfId="12753" priority="4946" operator="lessThan">
      <formula>$C37</formula>
    </cfRule>
  </conditionalFormatting>
  <conditionalFormatting sqref="D38:E38">
    <cfRule type="expression" dxfId="12752" priority="4943">
      <formula>AND($A38&lt;&gt;"",MOD(ROW(),2))</formula>
    </cfRule>
  </conditionalFormatting>
  <conditionalFormatting sqref="D38">
    <cfRule type="cellIs" dxfId="12751" priority="4940" operator="equal">
      <formula>$C38</formula>
    </cfRule>
    <cfRule type="cellIs" dxfId="12750" priority="4941" operator="greaterThan">
      <formula>$C38</formula>
    </cfRule>
    <cfRule type="cellIs" dxfId="12749" priority="4942" operator="lessThan">
      <formula>$C38</formula>
    </cfRule>
  </conditionalFormatting>
  <conditionalFormatting sqref="D39:E39">
    <cfRule type="expression" dxfId="12748" priority="4939">
      <formula>AND($A39&lt;&gt;"",MOD(ROW(),2))</formula>
    </cfRule>
  </conditionalFormatting>
  <conditionalFormatting sqref="D39">
    <cfRule type="cellIs" dxfId="12747" priority="4936" operator="equal">
      <formula>$C39</formula>
    </cfRule>
    <cfRule type="cellIs" dxfId="12746" priority="4937" operator="greaterThan">
      <formula>$C39</formula>
    </cfRule>
    <cfRule type="cellIs" dxfId="12745" priority="4938" operator="lessThan">
      <formula>$C39</formula>
    </cfRule>
  </conditionalFormatting>
  <conditionalFormatting sqref="D40:E40">
    <cfRule type="expression" dxfId="12744" priority="4935">
      <formula>AND($A40&lt;&gt;"",MOD(ROW(),2))</formula>
    </cfRule>
  </conditionalFormatting>
  <conditionalFormatting sqref="D40">
    <cfRule type="cellIs" dxfId="12743" priority="4932" operator="equal">
      <formula>$C40</formula>
    </cfRule>
    <cfRule type="cellIs" dxfId="12742" priority="4933" operator="greaterThan">
      <formula>$C40</formula>
    </cfRule>
    <cfRule type="cellIs" dxfId="12741" priority="4934" operator="lessThan">
      <formula>$C40</formula>
    </cfRule>
  </conditionalFormatting>
  <conditionalFormatting sqref="D41:E41">
    <cfRule type="expression" dxfId="12740" priority="4931">
      <formula>AND($A41&lt;&gt;"",MOD(ROW(),2))</formula>
    </cfRule>
  </conditionalFormatting>
  <conditionalFormatting sqref="D41">
    <cfRule type="cellIs" dxfId="12739" priority="4928" operator="equal">
      <formula>$C41</formula>
    </cfRule>
    <cfRule type="cellIs" dxfId="12738" priority="4929" operator="greaterThan">
      <formula>$C41</formula>
    </cfRule>
    <cfRule type="cellIs" dxfId="12737" priority="4930" operator="lessThan">
      <formula>$C41</formula>
    </cfRule>
  </conditionalFormatting>
  <conditionalFormatting sqref="D42:E42">
    <cfRule type="expression" dxfId="12736" priority="4927">
      <formula>AND($A42&lt;&gt;"",MOD(ROW(),2))</formula>
    </cfRule>
  </conditionalFormatting>
  <conditionalFormatting sqref="D42">
    <cfRule type="cellIs" dxfId="12735" priority="4924" operator="equal">
      <formula>$C42</formula>
    </cfRule>
    <cfRule type="cellIs" dxfId="12734" priority="4925" operator="greaterThan">
      <formula>$C42</formula>
    </cfRule>
    <cfRule type="cellIs" dxfId="12733" priority="4926" operator="lessThan">
      <formula>$C42</formula>
    </cfRule>
  </conditionalFormatting>
  <conditionalFormatting sqref="D43:E43">
    <cfRule type="expression" dxfId="12732" priority="4923">
      <formula>AND($A43&lt;&gt;"",MOD(ROW(),2))</formula>
    </cfRule>
  </conditionalFormatting>
  <conditionalFormatting sqref="D43">
    <cfRule type="cellIs" dxfId="12731" priority="4920" operator="equal">
      <formula>$C43</formula>
    </cfRule>
    <cfRule type="cellIs" dxfId="12730" priority="4921" operator="greaterThan">
      <formula>$C43</formula>
    </cfRule>
    <cfRule type="cellIs" dxfId="12729" priority="4922" operator="lessThan">
      <formula>$C43</formula>
    </cfRule>
  </conditionalFormatting>
  <conditionalFormatting sqref="D44:E44">
    <cfRule type="expression" dxfId="12728" priority="4919">
      <formula>AND($A44&lt;&gt;"",MOD(ROW(),2))</formula>
    </cfRule>
  </conditionalFormatting>
  <conditionalFormatting sqref="D44">
    <cfRule type="cellIs" dxfId="12727" priority="4916" operator="equal">
      <formula>$C44</formula>
    </cfRule>
    <cfRule type="cellIs" dxfId="12726" priority="4917" operator="greaterThan">
      <formula>$C44</formula>
    </cfRule>
    <cfRule type="cellIs" dxfId="12725" priority="4918" operator="lessThan">
      <formula>$C44</formula>
    </cfRule>
  </conditionalFormatting>
  <conditionalFormatting sqref="D45:E45">
    <cfRule type="expression" dxfId="12724" priority="4915">
      <formula>AND($A45&lt;&gt;"",MOD(ROW(),2))</formula>
    </cfRule>
  </conditionalFormatting>
  <conditionalFormatting sqref="D45">
    <cfRule type="cellIs" dxfId="12723" priority="4912" operator="equal">
      <formula>$C45</formula>
    </cfRule>
    <cfRule type="cellIs" dxfId="12722" priority="4913" operator="greaterThan">
      <formula>$C45</formula>
    </cfRule>
    <cfRule type="cellIs" dxfId="12721" priority="4914" operator="lessThan">
      <formula>$C45</formula>
    </cfRule>
  </conditionalFormatting>
  <conditionalFormatting sqref="D46:E46">
    <cfRule type="expression" dxfId="12720" priority="4911">
      <formula>AND($A46&lt;&gt;"",MOD(ROW(),2))</formula>
    </cfRule>
  </conditionalFormatting>
  <conditionalFormatting sqref="D46">
    <cfRule type="cellIs" dxfId="12719" priority="4908" operator="equal">
      <formula>$C46</formula>
    </cfRule>
    <cfRule type="cellIs" dxfId="12718" priority="4909" operator="greaterThan">
      <formula>$C46</formula>
    </cfRule>
    <cfRule type="cellIs" dxfId="12717" priority="4910" operator="lessThan">
      <formula>$C46</formula>
    </cfRule>
  </conditionalFormatting>
  <conditionalFormatting sqref="D47:E47">
    <cfRule type="expression" dxfId="12716" priority="4907">
      <formula>AND($A47&lt;&gt;"",MOD(ROW(),2))</formula>
    </cfRule>
  </conditionalFormatting>
  <conditionalFormatting sqref="D47">
    <cfRule type="cellIs" dxfId="12715" priority="4904" operator="equal">
      <formula>$C47</formula>
    </cfRule>
    <cfRule type="cellIs" dxfId="12714" priority="4905" operator="greaterThan">
      <formula>$C47</formula>
    </cfRule>
    <cfRule type="cellIs" dxfId="12713" priority="4906" operator="lessThan">
      <formula>$C47</formula>
    </cfRule>
  </conditionalFormatting>
  <conditionalFormatting sqref="D48:E48">
    <cfRule type="expression" dxfId="12712" priority="4903">
      <formula>AND($A48&lt;&gt;"",MOD(ROW(),2))</formula>
    </cfRule>
  </conditionalFormatting>
  <conditionalFormatting sqref="D48">
    <cfRule type="cellIs" dxfId="12711" priority="4900" operator="equal">
      <formula>$C48</formula>
    </cfRule>
    <cfRule type="cellIs" dxfId="12710" priority="4901" operator="greaterThan">
      <formula>$C48</formula>
    </cfRule>
    <cfRule type="cellIs" dxfId="12709" priority="4902" operator="lessThan">
      <formula>$C48</formula>
    </cfRule>
  </conditionalFormatting>
  <conditionalFormatting sqref="D49:E49">
    <cfRule type="expression" dxfId="12708" priority="4899">
      <formula>AND($A49&lt;&gt;"",MOD(ROW(),2))</formula>
    </cfRule>
  </conditionalFormatting>
  <conditionalFormatting sqref="D49">
    <cfRule type="cellIs" dxfId="12707" priority="4896" operator="equal">
      <formula>$C49</formula>
    </cfRule>
    <cfRule type="cellIs" dxfId="12706" priority="4897" operator="greaterThan">
      <formula>$C49</formula>
    </cfRule>
    <cfRule type="cellIs" dxfId="12705" priority="4898" operator="lessThan">
      <formula>$C49</formula>
    </cfRule>
  </conditionalFormatting>
  <conditionalFormatting sqref="D50:E50">
    <cfRule type="expression" dxfId="12704" priority="4895">
      <formula>AND($A50&lt;&gt;"",MOD(ROW(),2))</formula>
    </cfRule>
  </conditionalFormatting>
  <conditionalFormatting sqref="D50">
    <cfRule type="cellIs" dxfId="12703" priority="4892" operator="equal">
      <formula>$C50</formula>
    </cfRule>
    <cfRule type="cellIs" dxfId="12702" priority="4893" operator="greaterThan">
      <formula>$C50</formula>
    </cfRule>
    <cfRule type="cellIs" dxfId="12701" priority="4894" operator="lessThan">
      <formula>$C50</formula>
    </cfRule>
  </conditionalFormatting>
  <conditionalFormatting sqref="D51:E51">
    <cfRule type="expression" dxfId="12700" priority="4891">
      <formula>AND($A51&lt;&gt;"",MOD(ROW(),2))</formula>
    </cfRule>
  </conditionalFormatting>
  <conditionalFormatting sqref="D51">
    <cfRule type="cellIs" dxfId="12699" priority="4888" operator="equal">
      <formula>$C51</formula>
    </cfRule>
    <cfRule type="cellIs" dxfId="12698" priority="4889" operator="greaterThan">
      <formula>$C51</formula>
    </cfRule>
    <cfRule type="cellIs" dxfId="12697" priority="4890" operator="lessThan">
      <formula>$C51</formula>
    </cfRule>
  </conditionalFormatting>
  <conditionalFormatting sqref="D29:E29">
    <cfRule type="expression" dxfId="12696" priority="4887">
      <formula>AND($A29&lt;&gt;"",MOD(ROW(),2))</formula>
    </cfRule>
  </conditionalFormatting>
  <conditionalFormatting sqref="D29">
    <cfRule type="cellIs" dxfId="12695" priority="4884" operator="equal">
      <formula>$C29</formula>
    </cfRule>
    <cfRule type="cellIs" dxfId="12694" priority="4885" operator="greaterThan">
      <formula>$C29</formula>
    </cfRule>
    <cfRule type="cellIs" dxfId="12693" priority="4886" operator="lessThan">
      <formula>$C29</formula>
    </cfRule>
  </conditionalFormatting>
  <conditionalFormatting sqref="D30:E30">
    <cfRule type="expression" dxfId="12692" priority="4883">
      <formula>AND($A30&lt;&gt;"",MOD(ROW(),2))</formula>
    </cfRule>
  </conditionalFormatting>
  <conditionalFormatting sqref="D30">
    <cfRule type="cellIs" dxfId="12691" priority="4880" operator="equal">
      <formula>$C30</formula>
    </cfRule>
    <cfRule type="cellIs" dxfId="12690" priority="4881" operator="greaterThan">
      <formula>$C30</formula>
    </cfRule>
    <cfRule type="cellIs" dxfId="12689" priority="4882" operator="lessThan">
      <formula>$C30</formula>
    </cfRule>
  </conditionalFormatting>
  <conditionalFormatting sqref="D31:E31">
    <cfRule type="expression" dxfId="12688" priority="4879">
      <formula>AND($A31&lt;&gt;"",MOD(ROW(),2))</formula>
    </cfRule>
  </conditionalFormatting>
  <conditionalFormatting sqref="D31">
    <cfRule type="cellIs" dxfId="12687" priority="4876" operator="equal">
      <formula>$C31</formula>
    </cfRule>
    <cfRule type="cellIs" dxfId="12686" priority="4877" operator="greaterThan">
      <formula>$C31</formula>
    </cfRule>
    <cfRule type="cellIs" dxfId="12685" priority="4878" operator="lessThan">
      <formula>$C31</formula>
    </cfRule>
  </conditionalFormatting>
  <conditionalFormatting sqref="D32:E32">
    <cfRule type="expression" dxfId="12684" priority="4875">
      <formula>AND($A32&lt;&gt;"",MOD(ROW(),2))</formula>
    </cfRule>
  </conditionalFormatting>
  <conditionalFormatting sqref="D32">
    <cfRule type="cellIs" dxfId="12683" priority="4872" operator="equal">
      <formula>$C32</formula>
    </cfRule>
    <cfRule type="cellIs" dxfId="12682" priority="4873" operator="greaterThan">
      <formula>$C32</formula>
    </cfRule>
    <cfRule type="cellIs" dxfId="12681" priority="4874" operator="lessThan">
      <formula>$C32</formula>
    </cfRule>
  </conditionalFormatting>
  <conditionalFormatting sqref="D33:E33">
    <cfRule type="expression" dxfId="12680" priority="4871">
      <formula>AND($A33&lt;&gt;"",MOD(ROW(),2))</formula>
    </cfRule>
  </conditionalFormatting>
  <conditionalFormatting sqref="D33">
    <cfRule type="cellIs" dxfId="12679" priority="4868" operator="equal">
      <formula>$C33</formula>
    </cfRule>
    <cfRule type="cellIs" dxfId="12678" priority="4869" operator="greaterThan">
      <formula>$C33</formula>
    </cfRule>
    <cfRule type="cellIs" dxfId="12677" priority="4870" operator="lessThan">
      <formula>$C33</formula>
    </cfRule>
  </conditionalFormatting>
  <conditionalFormatting sqref="D34:E34">
    <cfRule type="expression" dxfId="12676" priority="4867">
      <formula>AND($A34&lt;&gt;"",MOD(ROW(),2))</formula>
    </cfRule>
  </conditionalFormatting>
  <conditionalFormatting sqref="D34">
    <cfRule type="cellIs" dxfId="12675" priority="4864" operator="equal">
      <formula>$C34</formula>
    </cfRule>
    <cfRule type="cellIs" dxfId="12674" priority="4865" operator="greaterThan">
      <formula>$C34</formula>
    </cfRule>
    <cfRule type="cellIs" dxfId="12673" priority="4866" operator="lessThan">
      <formula>$C34</formula>
    </cfRule>
  </conditionalFormatting>
  <conditionalFormatting sqref="D35:E35">
    <cfRule type="expression" dxfId="12672" priority="4863">
      <formula>AND($A35&lt;&gt;"",MOD(ROW(),2))</formula>
    </cfRule>
  </conditionalFormatting>
  <conditionalFormatting sqref="D35">
    <cfRule type="cellIs" dxfId="12671" priority="4860" operator="equal">
      <formula>$C35</formula>
    </cfRule>
    <cfRule type="cellIs" dxfId="12670" priority="4861" operator="greaterThan">
      <formula>$C35</formula>
    </cfRule>
    <cfRule type="cellIs" dxfId="12669" priority="4862" operator="lessThan">
      <formula>$C35</formula>
    </cfRule>
  </conditionalFormatting>
  <conditionalFormatting sqref="D36:E36">
    <cfRule type="expression" dxfId="12668" priority="4859">
      <formula>AND($A36&lt;&gt;"",MOD(ROW(),2))</formula>
    </cfRule>
  </conditionalFormatting>
  <conditionalFormatting sqref="D36">
    <cfRule type="cellIs" dxfId="12667" priority="4856" operator="equal">
      <formula>$C36</formula>
    </cfRule>
    <cfRule type="cellIs" dxfId="12666" priority="4857" operator="greaterThan">
      <formula>$C36</formula>
    </cfRule>
    <cfRule type="cellIs" dxfId="12665" priority="4858" operator="lessThan">
      <formula>$C36</formula>
    </cfRule>
  </conditionalFormatting>
  <conditionalFormatting sqref="D37:E37">
    <cfRule type="expression" dxfId="12664" priority="4855">
      <formula>AND($A37&lt;&gt;"",MOD(ROW(),2))</formula>
    </cfRule>
  </conditionalFormatting>
  <conditionalFormatting sqref="D37">
    <cfRule type="cellIs" dxfId="12663" priority="4852" operator="equal">
      <formula>$C37</formula>
    </cfRule>
    <cfRule type="cellIs" dxfId="12662" priority="4853" operator="greaterThan">
      <formula>$C37</formula>
    </cfRule>
    <cfRule type="cellIs" dxfId="12661" priority="4854" operator="lessThan">
      <formula>$C37</formula>
    </cfRule>
  </conditionalFormatting>
  <conditionalFormatting sqref="D38:E38">
    <cfRule type="expression" dxfId="12660" priority="4851">
      <formula>AND($A38&lt;&gt;"",MOD(ROW(),2))</formula>
    </cfRule>
  </conditionalFormatting>
  <conditionalFormatting sqref="D38">
    <cfRule type="cellIs" dxfId="12659" priority="4848" operator="equal">
      <formula>$C38</formula>
    </cfRule>
    <cfRule type="cellIs" dxfId="12658" priority="4849" operator="greaterThan">
      <formula>$C38</formula>
    </cfRule>
    <cfRule type="cellIs" dxfId="12657" priority="4850" operator="lessThan">
      <formula>$C38</formula>
    </cfRule>
  </conditionalFormatting>
  <conditionalFormatting sqref="D39:E39">
    <cfRule type="expression" dxfId="12656" priority="4847">
      <formula>AND($A39&lt;&gt;"",MOD(ROW(),2))</formula>
    </cfRule>
  </conditionalFormatting>
  <conditionalFormatting sqref="D39">
    <cfRule type="cellIs" dxfId="12655" priority="4844" operator="equal">
      <formula>$C39</formula>
    </cfRule>
    <cfRule type="cellIs" dxfId="12654" priority="4845" operator="greaterThan">
      <formula>$C39</formula>
    </cfRule>
    <cfRule type="cellIs" dxfId="12653" priority="4846" operator="lessThan">
      <formula>$C39</formula>
    </cfRule>
  </conditionalFormatting>
  <conditionalFormatting sqref="D40:E40">
    <cfRule type="expression" dxfId="12652" priority="4843">
      <formula>AND($A40&lt;&gt;"",MOD(ROW(),2))</formula>
    </cfRule>
  </conditionalFormatting>
  <conditionalFormatting sqref="D40">
    <cfRule type="cellIs" dxfId="12651" priority="4840" operator="equal">
      <formula>$C40</formula>
    </cfRule>
    <cfRule type="cellIs" dxfId="12650" priority="4841" operator="greaterThan">
      <formula>$C40</formula>
    </cfRule>
    <cfRule type="cellIs" dxfId="12649" priority="4842" operator="lessThan">
      <formula>$C40</formula>
    </cfRule>
  </conditionalFormatting>
  <conditionalFormatting sqref="D41:E41">
    <cfRule type="expression" dxfId="12648" priority="4839">
      <formula>AND($A41&lt;&gt;"",MOD(ROW(),2))</formula>
    </cfRule>
  </conditionalFormatting>
  <conditionalFormatting sqref="D41">
    <cfRule type="cellIs" dxfId="12647" priority="4836" operator="equal">
      <formula>$C41</formula>
    </cfRule>
    <cfRule type="cellIs" dxfId="12646" priority="4837" operator="greaterThan">
      <formula>$C41</formula>
    </cfRule>
    <cfRule type="cellIs" dxfId="12645" priority="4838" operator="lessThan">
      <formula>$C41</formula>
    </cfRule>
  </conditionalFormatting>
  <conditionalFormatting sqref="D42:E42">
    <cfRule type="expression" dxfId="12644" priority="4835">
      <formula>AND($A42&lt;&gt;"",MOD(ROW(),2))</formula>
    </cfRule>
  </conditionalFormatting>
  <conditionalFormatting sqref="D42">
    <cfRule type="cellIs" dxfId="12643" priority="4832" operator="equal">
      <formula>$C42</formula>
    </cfRule>
    <cfRule type="cellIs" dxfId="12642" priority="4833" operator="greaterThan">
      <formula>$C42</formula>
    </cfRule>
    <cfRule type="cellIs" dxfId="12641" priority="4834" operator="lessThan">
      <formula>$C42</formula>
    </cfRule>
  </conditionalFormatting>
  <conditionalFormatting sqref="D43:E43">
    <cfRule type="expression" dxfId="12640" priority="4831">
      <formula>AND($A43&lt;&gt;"",MOD(ROW(),2))</formula>
    </cfRule>
  </conditionalFormatting>
  <conditionalFormatting sqref="D43">
    <cfRule type="cellIs" dxfId="12639" priority="4828" operator="equal">
      <formula>$C43</formula>
    </cfRule>
    <cfRule type="cellIs" dxfId="12638" priority="4829" operator="greaterThan">
      <formula>$C43</formula>
    </cfRule>
    <cfRule type="cellIs" dxfId="12637" priority="4830" operator="lessThan">
      <formula>$C43</formula>
    </cfRule>
  </conditionalFormatting>
  <conditionalFormatting sqref="D44:E44">
    <cfRule type="expression" dxfId="12636" priority="4827">
      <formula>AND($A44&lt;&gt;"",MOD(ROW(),2))</formula>
    </cfRule>
  </conditionalFormatting>
  <conditionalFormatting sqref="D44">
    <cfRule type="cellIs" dxfId="12635" priority="4824" operator="equal">
      <formula>$C44</formula>
    </cfRule>
    <cfRule type="cellIs" dxfId="12634" priority="4825" operator="greaterThan">
      <formula>$C44</formula>
    </cfRule>
    <cfRule type="cellIs" dxfId="12633" priority="4826" operator="lessThan">
      <formula>$C44</formula>
    </cfRule>
  </conditionalFormatting>
  <conditionalFormatting sqref="D45:E45">
    <cfRule type="expression" dxfId="12632" priority="4823">
      <formula>AND($A45&lt;&gt;"",MOD(ROW(),2))</formula>
    </cfRule>
  </conditionalFormatting>
  <conditionalFormatting sqref="D45">
    <cfRule type="cellIs" dxfId="12631" priority="4820" operator="equal">
      <formula>$C45</formula>
    </cfRule>
    <cfRule type="cellIs" dxfId="12630" priority="4821" operator="greaterThan">
      <formula>$C45</formula>
    </cfRule>
    <cfRule type="cellIs" dxfId="12629" priority="4822" operator="lessThan">
      <formula>$C45</formula>
    </cfRule>
  </conditionalFormatting>
  <conditionalFormatting sqref="D46:E46">
    <cfRule type="expression" dxfId="12628" priority="4819">
      <formula>AND($A46&lt;&gt;"",MOD(ROW(),2))</formula>
    </cfRule>
  </conditionalFormatting>
  <conditionalFormatting sqref="D46">
    <cfRule type="cellIs" dxfId="12627" priority="4816" operator="equal">
      <formula>$C46</formula>
    </cfRule>
    <cfRule type="cellIs" dxfId="12626" priority="4817" operator="greaterThan">
      <formula>$C46</formula>
    </cfRule>
    <cfRule type="cellIs" dxfId="12625" priority="4818" operator="lessThan">
      <formula>$C46</formula>
    </cfRule>
  </conditionalFormatting>
  <conditionalFormatting sqref="D47:E47">
    <cfRule type="expression" dxfId="12624" priority="4815">
      <formula>AND($A47&lt;&gt;"",MOD(ROW(),2))</formula>
    </cfRule>
  </conditionalFormatting>
  <conditionalFormatting sqref="D47">
    <cfRule type="cellIs" dxfId="12623" priority="4812" operator="equal">
      <formula>$C47</formula>
    </cfRule>
    <cfRule type="cellIs" dxfId="12622" priority="4813" operator="greaterThan">
      <formula>$C47</formula>
    </cfRule>
    <cfRule type="cellIs" dxfId="12621" priority="4814" operator="lessThan">
      <formula>$C47</formula>
    </cfRule>
  </conditionalFormatting>
  <conditionalFormatting sqref="D48:E48">
    <cfRule type="expression" dxfId="12620" priority="4811">
      <formula>AND($A48&lt;&gt;"",MOD(ROW(),2))</formula>
    </cfRule>
  </conditionalFormatting>
  <conditionalFormatting sqref="D48">
    <cfRule type="cellIs" dxfId="12619" priority="4808" operator="equal">
      <formula>$C48</formula>
    </cfRule>
    <cfRule type="cellIs" dxfId="12618" priority="4809" operator="greaterThan">
      <formula>$C48</formula>
    </cfRule>
    <cfRule type="cellIs" dxfId="12617" priority="4810" operator="lessThan">
      <formula>$C48</formula>
    </cfRule>
  </conditionalFormatting>
  <conditionalFormatting sqref="D49:E49">
    <cfRule type="expression" dxfId="12616" priority="4807">
      <formula>AND($A49&lt;&gt;"",MOD(ROW(),2))</formula>
    </cfRule>
  </conditionalFormatting>
  <conditionalFormatting sqref="D49">
    <cfRule type="cellIs" dxfId="12615" priority="4804" operator="equal">
      <formula>$C49</formula>
    </cfRule>
    <cfRule type="cellIs" dxfId="12614" priority="4805" operator="greaterThan">
      <formula>$C49</formula>
    </cfRule>
    <cfRule type="cellIs" dxfId="12613" priority="4806" operator="lessThan">
      <formula>$C49</formula>
    </cfRule>
  </conditionalFormatting>
  <conditionalFormatting sqref="D50:E50">
    <cfRule type="expression" dxfId="12612" priority="4803">
      <formula>AND($A50&lt;&gt;"",MOD(ROW(),2))</formula>
    </cfRule>
  </conditionalFormatting>
  <conditionalFormatting sqref="D50">
    <cfRule type="cellIs" dxfId="12611" priority="4800" operator="equal">
      <formula>$C50</formula>
    </cfRule>
    <cfRule type="cellIs" dxfId="12610" priority="4801" operator="greaterThan">
      <formula>$C50</formula>
    </cfRule>
    <cfRule type="cellIs" dxfId="12609" priority="4802" operator="lessThan">
      <formula>$C50</formula>
    </cfRule>
  </conditionalFormatting>
  <conditionalFormatting sqref="D51:E51">
    <cfRule type="expression" dxfId="12608" priority="4799">
      <formula>AND($A51&lt;&gt;"",MOD(ROW(),2))</formula>
    </cfRule>
  </conditionalFormatting>
  <conditionalFormatting sqref="D51">
    <cfRule type="cellIs" dxfId="12607" priority="4796" operator="equal">
      <formula>$C51</formula>
    </cfRule>
    <cfRule type="cellIs" dxfId="12606" priority="4797" operator="greaterThan">
      <formula>$C51</formula>
    </cfRule>
    <cfRule type="cellIs" dxfId="12605" priority="4798" operator="lessThan">
      <formula>$C51</formula>
    </cfRule>
  </conditionalFormatting>
  <conditionalFormatting sqref="D52:E52">
    <cfRule type="expression" dxfId="12604" priority="4795">
      <formula>AND($A52&lt;&gt;"",MOD(ROW(),2))</formula>
    </cfRule>
  </conditionalFormatting>
  <conditionalFormatting sqref="D52">
    <cfRule type="cellIs" dxfId="12603" priority="4792" operator="equal">
      <formula>$C52</formula>
    </cfRule>
    <cfRule type="cellIs" dxfId="12602" priority="4793" operator="greaterThan">
      <formula>$C52</formula>
    </cfRule>
    <cfRule type="cellIs" dxfId="12601" priority="4794" operator="lessThan">
      <formula>$C52</formula>
    </cfRule>
  </conditionalFormatting>
  <conditionalFormatting sqref="D30:E30">
    <cfRule type="expression" dxfId="12600" priority="4791">
      <formula>AND($A30&lt;&gt;"",MOD(ROW(),2))</formula>
    </cfRule>
  </conditionalFormatting>
  <conditionalFormatting sqref="D30">
    <cfRule type="cellIs" dxfId="12599" priority="4788" operator="equal">
      <formula>$C30</formula>
    </cfRule>
    <cfRule type="cellIs" dxfId="12598" priority="4789" operator="greaterThan">
      <formula>$C30</formula>
    </cfRule>
    <cfRule type="cellIs" dxfId="12597" priority="4790" operator="lessThan">
      <formula>$C30</formula>
    </cfRule>
  </conditionalFormatting>
  <conditionalFormatting sqref="D31:E31">
    <cfRule type="expression" dxfId="12596" priority="4787">
      <formula>AND($A31&lt;&gt;"",MOD(ROW(),2))</formula>
    </cfRule>
  </conditionalFormatting>
  <conditionalFormatting sqref="D31">
    <cfRule type="cellIs" dxfId="12595" priority="4784" operator="equal">
      <formula>$C31</formula>
    </cfRule>
    <cfRule type="cellIs" dxfId="12594" priority="4785" operator="greaterThan">
      <formula>$C31</formula>
    </cfRule>
    <cfRule type="cellIs" dxfId="12593" priority="4786" operator="lessThan">
      <formula>$C31</formula>
    </cfRule>
  </conditionalFormatting>
  <conditionalFormatting sqref="D32:E32">
    <cfRule type="expression" dxfId="12592" priority="4783">
      <formula>AND($A32&lt;&gt;"",MOD(ROW(),2))</formula>
    </cfRule>
  </conditionalFormatting>
  <conditionalFormatting sqref="D32">
    <cfRule type="cellIs" dxfId="12591" priority="4780" operator="equal">
      <formula>$C32</formula>
    </cfRule>
    <cfRule type="cellIs" dxfId="12590" priority="4781" operator="greaterThan">
      <formula>$C32</formula>
    </cfRule>
    <cfRule type="cellIs" dxfId="12589" priority="4782" operator="lessThan">
      <formula>$C32</formula>
    </cfRule>
  </conditionalFormatting>
  <conditionalFormatting sqref="D33:E33">
    <cfRule type="expression" dxfId="12588" priority="4779">
      <formula>AND($A33&lt;&gt;"",MOD(ROW(),2))</formula>
    </cfRule>
  </conditionalFormatting>
  <conditionalFormatting sqref="D33">
    <cfRule type="cellIs" dxfId="12587" priority="4776" operator="equal">
      <formula>$C33</formula>
    </cfRule>
    <cfRule type="cellIs" dxfId="12586" priority="4777" operator="greaterThan">
      <formula>$C33</formula>
    </cfRule>
    <cfRule type="cellIs" dxfId="12585" priority="4778" operator="lessThan">
      <formula>$C33</formula>
    </cfRule>
  </conditionalFormatting>
  <conditionalFormatting sqref="D34:E34">
    <cfRule type="expression" dxfId="12584" priority="4775">
      <formula>AND($A34&lt;&gt;"",MOD(ROW(),2))</formula>
    </cfRule>
  </conditionalFormatting>
  <conditionalFormatting sqref="D34">
    <cfRule type="cellIs" dxfId="12583" priority="4772" operator="equal">
      <formula>$C34</formula>
    </cfRule>
    <cfRule type="cellIs" dxfId="12582" priority="4773" operator="greaterThan">
      <formula>$C34</formula>
    </cfRule>
    <cfRule type="cellIs" dxfId="12581" priority="4774" operator="lessThan">
      <formula>$C34</formula>
    </cfRule>
  </conditionalFormatting>
  <conditionalFormatting sqref="D35:E35">
    <cfRule type="expression" dxfId="12580" priority="4771">
      <formula>AND($A35&lt;&gt;"",MOD(ROW(),2))</formula>
    </cfRule>
  </conditionalFormatting>
  <conditionalFormatting sqref="D35">
    <cfRule type="cellIs" dxfId="12579" priority="4768" operator="equal">
      <formula>$C35</formula>
    </cfRule>
    <cfRule type="cellIs" dxfId="12578" priority="4769" operator="greaterThan">
      <formula>$C35</formula>
    </cfRule>
    <cfRule type="cellIs" dxfId="12577" priority="4770" operator="lessThan">
      <formula>$C35</formula>
    </cfRule>
  </conditionalFormatting>
  <conditionalFormatting sqref="D36:E36">
    <cfRule type="expression" dxfId="12576" priority="4767">
      <formula>AND($A36&lt;&gt;"",MOD(ROW(),2))</formula>
    </cfRule>
  </conditionalFormatting>
  <conditionalFormatting sqref="D36">
    <cfRule type="cellIs" dxfId="12575" priority="4764" operator="equal">
      <formula>$C36</formula>
    </cfRule>
    <cfRule type="cellIs" dxfId="12574" priority="4765" operator="greaterThan">
      <formula>$C36</formula>
    </cfRule>
    <cfRule type="cellIs" dxfId="12573" priority="4766" operator="lessThan">
      <formula>$C36</formula>
    </cfRule>
  </conditionalFormatting>
  <conditionalFormatting sqref="D37:E37">
    <cfRule type="expression" dxfId="12572" priority="4763">
      <formula>AND($A37&lt;&gt;"",MOD(ROW(),2))</formula>
    </cfRule>
  </conditionalFormatting>
  <conditionalFormatting sqref="D37">
    <cfRule type="cellIs" dxfId="12571" priority="4760" operator="equal">
      <formula>$C37</formula>
    </cfRule>
    <cfRule type="cellIs" dxfId="12570" priority="4761" operator="greaterThan">
      <formula>$C37</formula>
    </cfRule>
    <cfRule type="cellIs" dxfId="12569" priority="4762" operator="lessThan">
      <formula>$C37</formula>
    </cfRule>
  </conditionalFormatting>
  <conditionalFormatting sqref="D38:E38">
    <cfRule type="expression" dxfId="12568" priority="4759">
      <formula>AND($A38&lt;&gt;"",MOD(ROW(),2))</formula>
    </cfRule>
  </conditionalFormatting>
  <conditionalFormatting sqref="D38">
    <cfRule type="cellIs" dxfId="12567" priority="4756" operator="equal">
      <formula>$C38</formula>
    </cfRule>
    <cfRule type="cellIs" dxfId="12566" priority="4757" operator="greaterThan">
      <formula>$C38</formula>
    </cfRule>
    <cfRule type="cellIs" dxfId="12565" priority="4758" operator="lessThan">
      <formula>$C38</formula>
    </cfRule>
  </conditionalFormatting>
  <conditionalFormatting sqref="D39:E39">
    <cfRule type="expression" dxfId="12564" priority="4755">
      <formula>AND($A39&lt;&gt;"",MOD(ROW(),2))</formula>
    </cfRule>
  </conditionalFormatting>
  <conditionalFormatting sqref="D39">
    <cfRule type="cellIs" dxfId="12563" priority="4752" operator="equal">
      <formula>$C39</formula>
    </cfRule>
    <cfRule type="cellIs" dxfId="12562" priority="4753" operator="greaterThan">
      <formula>$C39</formula>
    </cfRule>
    <cfRule type="cellIs" dxfId="12561" priority="4754" operator="lessThan">
      <formula>$C39</formula>
    </cfRule>
  </conditionalFormatting>
  <conditionalFormatting sqref="D40:E40">
    <cfRule type="expression" dxfId="12560" priority="4751">
      <formula>AND($A40&lt;&gt;"",MOD(ROW(),2))</formula>
    </cfRule>
  </conditionalFormatting>
  <conditionalFormatting sqref="D40">
    <cfRule type="cellIs" dxfId="12559" priority="4748" operator="equal">
      <formula>$C40</formula>
    </cfRule>
    <cfRule type="cellIs" dxfId="12558" priority="4749" operator="greaterThan">
      <formula>$C40</formula>
    </cfRule>
    <cfRule type="cellIs" dxfId="12557" priority="4750" operator="lessThan">
      <formula>$C40</formula>
    </cfRule>
  </conditionalFormatting>
  <conditionalFormatting sqref="D41:E41">
    <cfRule type="expression" dxfId="12556" priority="4747">
      <formula>AND($A41&lt;&gt;"",MOD(ROW(),2))</formula>
    </cfRule>
  </conditionalFormatting>
  <conditionalFormatting sqref="D41">
    <cfRule type="cellIs" dxfId="12555" priority="4744" operator="equal">
      <formula>$C41</formula>
    </cfRule>
    <cfRule type="cellIs" dxfId="12554" priority="4745" operator="greaterThan">
      <formula>$C41</formula>
    </cfRule>
    <cfRule type="cellIs" dxfId="12553" priority="4746" operator="lessThan">
      <formula>$C41</formula>
    </cfRule>
  </conditionalFormatting>
  <conditionalFormatting sqref="D42:E42">
    <cfRule type="expression" dxfId="12552" priority="4743">
      <formula>AND($A42&lt;&gt;"",MOD(ROW(),2))</formula>
    </cfRule>
  </conditionalFormatting>
  <conditionalFormatting sqref="D42">
    <cfRule type="cellIs" dxfId="12551" priority="4740" operator="equal">
      <formula>$C42</formula>
    </cfRule>
    <cfRule type="cellIs" dxfId="12550" priority="4741" operator="greaterThan">
      <formula>$C42</formula>
    </cfRule>
    <cfRule type="cellIs" dxfId="12549" priority="4742" operator="lessThan">
      <formula>$C42</formula>
    </cfRule>
  </conditionalFormatting>
  <conditionalFormatting sqref="D43:E43">
    <cfRule type="expression" dxfId="12548" priority="4739">
      <formula>AND($A43&lt;&gt;"",MOD(ROW(),2))</formula>
    </cfRule>
  </conditionalFormatting>
  <conditionalFormatting sqref="D43">
    <cfRule type="cellIs" dxfId="12547" priority="4736" operator="equal">
      <formula>$C43</formula>
    </cfRule>
    <cfRule type="cellIs" dxfId="12546" priority="4737" operator="greaterThan">
      <formula>$C43</formula>
    </cfRule>
    <cfRule type="cellIs" dxfId="12545" priority="4738" operator="lessThan">
      <formula>$C43</formula>
    </cfRule>
  </conditionalFormatting>
  <conditionalFormatting sqref="D44:E44">
    <cfRule type="expression" dxfId="12544" priority="4735">
      <formula>AND($A44&lt;&gt;"",MOD(ROW(),2))</formula>
    </cfRule>
  </conditionalFormatting>
  <conditionalFormatting sqref="D44">
    <cfRule type="cellIs" dxfId="12543" priority="4732" operator="equal">
      <formula>$C44</formula>
    </cfRule>
    <cfRule type="cellIs" dxfId="12542" priority="4733" operator="greaterThan">
      <formula>$C44</formula>
    </cfRule>
    <cfRule type="cellIs" dxfId="12541" priority="4734" operator="lessThan">
      <formula>$C44</formula>
    </cfRule>
  </conditionalFormatting>
  <conditionalFormatting sqref="D45:E45">
    <cfRule type="expression" dxfId="12540" priority="4731">
      <formula>AND($A45&lt;&gt;"",MOD(ROW(),2))</formula>
    </cfRule>
  </conditionalFormatting>
  <conditionalFormatting sqref="D45">
    <cfRule type="cellIs" dxfId="12539" priority="4728" operator="equal">
      <formula>$C45</formula>
    </cfRule>
    <cfRule type="cellIs" dxfId="12538" priority="4729" operator="greaterThan">
      <formula>$C45</formula>
    </cfRule>
    <cfRule type="cellIs" dxfId="12537" priority="4730" operator="lessThan">
      <formula>$C45</formula>
    </cfRule>
  </conditionalFormatting>
  <conditionalFormatting sqref="D46:E46">
    <cfRule type="expression" dxfId="12536" priority="4727">
      <formula>AND($A46&lt;&gt;"",MOD(ROW(),2))</formula>
    </cfRule>
  </conditionalFormatting>
  <conditionalFormatting sqref="D46">
    <cfRule type="cellIs" dxfId="12535" priority="4724" operator="equal">
      <formula>$C46</formula>
    </cfRule>
    <cfRule type="cellIs" dxfId="12534" priority="4725" operator="greaterThan">
      <formula>$C46</formula>
    </cfRule>
    <cfRule type="cellIs" dxfId="12533" priority="4726" operator="lessThan">
      <formula>$C46</formula>
    </cfRule>
  </conditionalFormatting>
  <conditionalFormatting sqref="D47:E47">
    <cfRule type="expression" dxfId="12532" priority="4723">
      <formula>AND($A47&lt;&gt;"",MOD(ROW(),2))</formula>
    </cfRule>
  </conditionalFormatting>
  <conditionalFormatting sqref="D47">
    <cfRule type="cellIs" dxfId="12531" priority="4720" operator="equal">
      <formula>$C47</formula>
    </cfRule>
    <cfRule type="cellIs" dxfId="12530" priority="4721" operator="greaterThan">
      <formula>$C47</formula>
    </cfRule>
    <cfRule type="cellIs" dxfId="12529" priority="4722" operator="lessThan">
      <formula>$C47</formula>
    </cfRule>
  </conditionalFormatting>
  <conditionalFormatting sqref="D48:E48">
    <cfRule type="expression" dxfId="12528" priority="4719">
      <formula>AND($A48&lt;&gt;"",MOD(ROW(),2))</formula>
    </cfRule>
  </conditionalFormatting>
  <conditionalFormatting sqref="D48">
    <cfRule type="cellIs" dxfId="12527" priority="4716" operator="equal">
      <formula>$C48</formula>
    </cfRule>
    <cfRule type="cellIs" dxfId="12526" priority="4717" operator="greaterThan">
      <formula>$C48</formula>
    </cfRule>
    <cfRule type="cellIs" dxfId="12525" priority="4718" operator="lessThan">
      <formula>$C48</formula>
    </cfRule>
  </conditionalFormatting>
  <conditionalFormatting sqref="D49:E49">
    <cfRule type="expression" dxfId="12524" priority="4715">
      <formula>AND($A49&lt;&gt;"",MOD(ROW(),2))</formula>
    </cfRule>
  </conditionalFormatting>
  <conditionalFormatting sqref="D49">
    <cfRule type="cellIs" dxfId="12523" priority="4712" operator="equal">
      <formula>$C49</formula>
    </cfRule>
    <cfRule type="cellIs" dxfId="12522" priority="4713" operator="greaterThan">
      <formula>$C49</formula>
    </cfRule>
    <cfRule type="cellIs" dxfId="12521" priority="4714" operator="lessThan">
      <formula>$C49</formula>
    </cfRule>
  </conditionalFormatting>
  <conditionalFormatting sqref="D50:E50">
    <cfRule type="expression" dxfId="12520" priority="4711">
      <formula>AND($A50&lt;&gt;"",MOD(ROW(),2))</formula>
    </cfRule>
  </conditionalFormatting>
  <conditionalFormatting sqref="D50">
    <cfRule type="cellIs" dxfId="12519" priority="4708" operator="equal">
      <formula>$C50</formula>
    </cfRule>
    <cfRule type="cellIs" dxfId="12518" priority="4709" operator="greaterThan">
      <formula>$C50</formula>
    </cfRule>
    <cfRule type="cellIs" dxfId="12517" priority="4710" operator="lessThan">
      <formula>$C50</formula>
    </cfRule>
  </conditionalFormatting>
  <conditionalFormatting sqref="D51:E51">
    <cfRule type="expression" dxfId="12516" priority="4707">
      <formula>AND($A51&lt;&gt;"",MOD(ROW(),2))</formula>
    </cfRule>
  </conditionalFormatting>
  <conditionalFormatting sqref="D51">
    <cfRule type="cellIs" dxfId="12515" priority="4704" operator="equal">
      <formula>$C51</formula>
    </cfRule>
    <cfRule type="cellIs" dxfId="12514" priority="4705" operator="greaterThan">
      <formula>$C51</formula>
    </cfRule>
    <cfRule type="cellIs" dxfId="12513" priority="4706" operator="lessThan">
      <formula>$C51</formula>
    </cfRule>
  </conditionalFormatting>
  <conditionalFormatting sqref="D52:E52">
    <cfRule type="expression" dxfId="12512" priority="4703">
      <formula>AND($A52&lt;&gt;"",MOD(ROW(),2))</formula>
    </cfRule>
  </conditionalFormatting>
  <conditionalFormatting sqref="D52">
    <cfRule type="cellIs" dxfId="12511" priority="4700" operator="equal">
      <formula>$C52</formula>
    </cfRule>
    <cfRule type="cellIs" dxfId="12510" priority="4701" operator="greaterThan">
      <formula>$C52</formula>
    </cfRule>
    <cfRule type="cellIs" dxfId="12509" priority="4702" operator="lessThan">
      <formula>$C52</formula>
    </cfRule>
  </conditionalFormatting>
  <conditionalFormatting sqref="D29:E29">
    <cfRule type="expression" dxfId="12508" priority="4699">
      <formula>AND($A29&lt;&gt;"",MOD(ROW(),2))</formula>
    </cfRule>
  </conditionalFormatting>
  <conditionalFormatting sqref="D29">
    <cfRule type="cellIs" dxfId="12507" priority="4696" operator="equal">
      <formula>$C29</formula>
    </cfRule>
    <cfRule type="cellIs" dxfId="12506" priority="4697" operator="greaterThan">
      <formula>$C29</formula>
    </cfRule>
    <cfRule type="cellIs" dxfId="12505" priority="4698" operator="lessThan">
      <formula>$C29</formula>
    </cfRule>
  </conditionalFormatting>
  <conditionalFormatting sqref="D30:E30">
    <cfRule type="expression" dxfId="12504" priority="4695">
      <formula>AND($A30&lt;&gt;"",MOD(ROW(),2))</formula>
    </cfRule>
  </conditionalFormatting>
  <conditionalFormatting sqref="D30">
    <cfRule type="cellIs" dxfId="12503" priority="4692" operator="equal">
      <formula>$C30</formula>
    </cfRule>
    <cfRule type="cellIs" dxfId="12502" priority="4693" operator="greaterThan">
      <formula>$C30</formula>
    </cfRule>
    <cfRule type="cellIs" dxfId="12501" priority="4694" operator="lessThan">
      <formula>$C30</formula>
    </cfRule>
  </conditionalFormatting>
  <conditionalFormatting sqref="D31:E31">
    <cfRule type="expression" dxfId="12500" priority="4691">
      <formula>AND($A31&lt;&gt;"",MOD(ROW(),2))</formula>
    </cfRule>
  </conditionalFormatting>
  <conditionalFormatting sqref="D31">
    <cfRule type="cellIs" dxfId="12499" priority="4688" operator="equal">
      <formula>$C31</formula>
    </cfRule>
    <cfRule type="cellIs" dxfId="12498" priority="4689" operator="greaterThan">
      <formula>$C31</formula>
    </cfRule>
    <cfRule type="cellIs" dxfId="12497" priority="4690" operator="lessThan">
      <formula>$C31</formula>
    </cfRule>
  </conditionalFormatting>
  <conditionalFormatting sqref="D32:E32">
    <cfRule type="expression" dxfId="12496" priority="4687">
      <formula>AND($A32&lt;&gt;"",MOD(ROW(),2))</formula>
    </cfRule>
  </conditionalFormatting>
  <conditionalFormatting sqref="D32">
    <cfRule type="cellIs" dxfId="12495" priority="4684" operator="equal">
      <formula>$C32</formula>
    </cfRule>
    <cfRule type="cellIs" dxfId="12494" priority="4685" operator="greaterThan">
      <formula>$C32</formula>
    </cfRule>
    <cfRule type="cellIs" dxfId="12493" priority="4686" operator="lessThan">
      <formula>$C32</formula>
    </cfRule>
  </conditionalFormatting>
  <conditionalFormatting sqref="D33:E33">
    <cfRule type="expression" dxfId="12492" priority="4683">
      <formula>AND($A33&lt;&gt;"",MOD(ROW(),2))</formula>
    </cfRule>
  </conditionalFormatting>
  <conditionalFormatting sqref="D33">
    <cfRule type="cellIs" dxfId="12491" priority="4680" operator="equal">
      <formula>$C33</formula>
    </cfRule>
    <cfRule type="cellIs" dxfId="12490" priority="4681" operator="greaterThan">
      <formula>$C33</formula>
    </cfRule>
    <cfRule type="cellIs" dxfId="12489" priority="4682" operator="lessThan">
      <formula>$C33</formula>
    </cfRule>
  </conditionalFormatting>
  <conditionalFormatting sqref="D34:E34">
    <cfRule type="expression" dxfId="12488" priority="4679">
      <formula>AND($A34&lt;&gt;"",MOD(ROW(),2))</formula>
    </cfRule>
  </conditionalFormatting>
  <conditionalFormatting sqref="D34">
    <cfRule type="cellIs" dxfId="12487" priority="4676" operator="equal">
      <formula>$C34</formula>
    </cfRule>
    <cfRule type="cellIs" dxfId="12486" priority="4677" operator="greaterThan">
      <formula>$C34</formula>
    </cfRule>
    <cfRule type="cellIs" dxfId="12485" priority="4678" operator="lessThan">
      <formula>$C34</formula>
    </cfRule>
  </conditionalFormatting>
  <conditionalFormatting sqref="D35:E35">
    <cfRule type="expression" dxfId="12484" priority="4675">
      <formula>AND($A35&lt;&gt;"",MOD(ROW(),2))</formula>
    </cfRule>
  </conditionalFormatting>
  <conditionalFormatting sqref="D35">
    <cfRule type="cellIs" dxfId="12483" priority="4672" operator="equal">
      <formula>$C35</formula>
    </cfRule>
    <cfRule type="cellIs" dxfId="12482" priority="4673" operator="greaterThan">
      <formula>$C35</formula>
    </cfRule>
    <cfRule type="cellIs" dxfId="12481" priority="4674" operator="lessThan">
      <formula>$C35</formula>
    </cfRule>
  </conditionalFormatting>
  <conditionalFormatting sqref="D36:E36">
    <cfRule type="expression" dxfId="12480" priority="4671">
      <formula>AND($A36&lt;&gt;"",MOD(ROW(),2))</formula>
    </cfRule>
  </conditionalFormatting>
  <conditionalFormatting sqref="D36">
    <cfRule type="cellIs" dxfId="12479" priority="4668" operator="equal">
      <formula>$C36</formula>
    </cfRule>
    <cfRule type="cellIs" dxfId="12478" priority="4669" operator="greaterThan">
      <formula>$C36</formula>
    </cfRule>
    <cfRule type="cellIs" dxfId="12477" priority="4670" operator="lessThan">
      <formula>$C36</formula>
    </cfRule>
  </conditionalFormatting>
  <conditionalFormatting sqref="D37:E37">
    <cfRule type="expression" dxfId="12476" priority="4667">
      <formula>AND($A37&lt;&gt;"",MOD(ROW(),2))</formula>
    </cfRule>
  </conditionalFormatting>
  <conditionalFormatting sqref="D37">
    <cfRule type="cellIs" dxfId="12475" priority="4664" operator="equal">
      <formula>$C37</formula>
    </cfRule>
    <cfRule type="cellIs" dxfId="12474" priority="4665" operator="greaterThan">
      <formula>$C37</formula>
    </cfRule>
    <cfRule type="cellIs" dxfId="12473" priority="4666" operator="lessThan">
      <formula>$C37</formula>
    </cfRule>
  </conditionalFormatting>
  <conditionalFormatting sqref="D38:E38">
    <cfRule type="expression" dxfId="12472" priority="4663">
      <formula>AND($A38&lt;&gt;"",MOD(ROW(),2))</formula>
    </cfRule>
  </conditionalFormatting>
  <conditionalFormatting sqref="D38">
    <cfRule type="cellIs" dxfId="12471" priority="4660" operator="equal">
      <formula>$C38</formula>
    </cfRule>
    <cfRule type="cellIs" dxfId="12470" priority="4661" operator="greaterThan">
      <formula>$C38</formula>
    </cfRule>
    <cfRule type="cellIs" dxfId="12469" priority="4662" operator="lessThan">
      <formula>$C38</formula>
    </cfRule>
  </conditionalFormatting>
  <conditionalFormatting sqref="D39:E39">
    <cfRule type="expression" dxfId="12468" priority="4659">
      <formula>AND($A39&lt;&gt;"",MOD(ROW(),2))</formula>
    </cfRule>
  </conditionalFormatting>
  <conditionalFormatting sqref="D39">
    <cfRule type="cellIs" dxfId="12467" priority="4656" operator="equal">
      <formula>$C39</formula>
    </cfRule>
    <cfRule type="cellIs" dxfId="12466" priority="4657" operator="greaterThan">
      <formula>$C39</formula>
    </cfRule>
    <cfRule type="cellIs" dxfId="12465" priority="4658" operator="lessThan">
      <formula>$C39</formula>
    </cfRule>
  </conditionalFormatting>
  <conditionalFormatting sqref="D40:E40">
    <cfRule type="expression" dxfId="12464" priority="4655">
      <formula>AND($A40&lt;&gt;"",MOD(ROW(),2))</formula>
    </cfRule>
  </conditionalFormatting>
  <conditionalFormatting sqref="D40">
    <cfRule type="cellIs" dxfId="12463" priority="4652" operator="equal">
      <formula>$C40</formula>
    </cfRule>
    <cfRule type="cellIs" dxfId="12462" priority="4653" operator="greaterThan">
      <formula>$C40</formula>
    </cfRule>
    <cfRule type="cellIs" dxfId="12461" priority="4654" operator="lessThan">
      <formula>$C40</formula>
    </cfRule>
  </conditionalFormatting>
  <conditionalFormatting sqref="D41:E41">
    <cfRule type="expression" dxfId="12460" priority="4651">
      <formula>AND($A41&lt;&gt;"",MOD(ROW(),2))</formula>
    </cfRule>
  </conditionalFormatting>
  <conditionalFormatting sqref="D41">
    <cfRule type="cellIs" dxfId="12459" priority="4648" operator="equal">
      <formula>$C41</formula>
    </cfRule>
    <cfRule type="cellIs" dxfId="12458" priority="4649" operator="greaterThan">
      <formula>$C41</formula>
    </cfRule>
    <cfRule type="cellIs" dxfId="12457" priority="4650" operator="lessThan">
      <formula>$C41</formula>
    </cfRule>
  </conditionalFormatting>
  <conditionalFormatting sqref="D42:E42">
    <cfRule type="expression" dxfId="12456" priority="4647">
      <formula>AND($A42&lt;&gt;"",MOD(ROW(),2))</formula>
    </cfRule>
  </conditionalFormatting>
  <conditionalFormatting sqref="D42">
    <cfRule type="cellIs" dxfId="12455" priority="4644" operator="equal">
      <formula>$C42</formula>
    </cfRule>
    <cfRule type="cellIs" dxfId="12454" priority="4645" operator="greaterThan">
      <formula>$C42</formula>
    </cfRule>
    <cfRule type="cellIs" dxfId="12453" priority="4646" operator="lessThan">
      <formula>$C42</formula>
    </cfRule>
  </conditionalFormatting>
  <conditionalFormatting sqref="D43:E43">
    <cfRule type="expression" dxfId="12452" priority="4643">
      <formula>AND($A43&lt;&gt;"",MOD(ROW(),2))</formula>
    </cfRule>
  </conditionalFormatting>
  <conditionalFormatting sqref="D43">
    <cfRule type="cellIs" dxfId="12451" priority="4640" operator="equal">
      <formula>$C43</formula>
    </cfRule>
    <cfRule type="cellIs" dxfId="12450" priority="4641" operator="greaterThan">
      <formula>$C43</formula>
    </cfRule>
    <cfRule type="cellIs" dxfId="12449" priority="4642" operator="lessThan">
      <formula>$C43</formula>
    </cfRule>
  </conditionalFormatting>
  <conditionalFormatting sqref="D44:E44">
    <cfRule type="expression" dxfId="12448" priority="4639">
      <formula>AND($A44&lt;&gt;"",MOD(ROW(),2))</formula>
    </cfRule>
  </conditionalFormatting>
  <conditionalFormatting sqref="D44">
    <cfRule type="cellIs" dxfId="12447" priority="4636" operator="equal">
      <formula>$C44</formula>
    </cfRule>
    <cfRule type="cellIs" dxfId="12446" priority="4637" operator="greaterThan">
      <formula>$C44</formula>
    </cfRule>
    <cfRule type="cellIs" dxfId="12445" priority="4638" operator="lessThan">
      <formula>$C44</formula>
    </cfRule>
  </conditionalFormatting>
  <conditionalFormatting sqref="D45:E45">
    <cfRule type="expression" dxfId="12444" priority="4635">
      <formula>AND($A45&lt;&gt;"",MOD(ROW(),2))</formula>
    </cfRule>
  </conditionalFormatting>
  <conditionalFormatting sqref="D45">
    <cfRule type="cellIs" dxfId="12443" priority="4632" operator="equal">
      <formula>$C45</formula>
    </cfRule>
    <cfRule type="cellIs" dxfId="12442" priority="4633" operator="greaterThan">
      <formula>$C45</formula>
    </cfRule>
    <cfRule type="cellIs" dxfId="12441" priority="4634" operator="lessThan">
      <formula>$C45</formula>
    </cfRule>
  </conditionalFormatting>
  <conditionalFormatting sqref="D46:E46">
    <cfRule type="expression" dxfId="12440" priority="4631">
      <formula>AND($A46&lt;&gt;"",MOD(ROW(),2))</formula>
    </cfRule>
  </conditionalFormatting>
  <conditionalFormatting sqref="D46">
    <cfRule type="cellIs" dxfId="12439" priority="4628" operator="equal">
      <formula>$C46</formula>
    </cfRule>
    <cfRule type="cellIs" dxfId="12438" priority="4629" operator="greaterThan">
      <formula>$C46</formula>
    </cfRule>
    <cfRule type="cellIs" dxfId="12437" priority="4630" operator="lessThan">
      <formula>$C46</formula>
    </cfRule>
  </conditionalFormatting>
  <conditionalFormatting sqref="D47:E47">
    <cfRule type="expression" dxfId="12436" priority="4627">
      <formula>AND($A47&lt;&gt;"",MOD(ROW(),2))</formula>
    </cfRule>
  </conditionalFormatting>
  <conditionalFormatting sqref="D47">
    <cfRule type="cellIs" dxfId="12435" priority="4624" operator="equal">
      <formula>$C47</formula>
    </cfRule>
    <cfRule type="cellIs" dxfId="12434" priority="4625" operator="greaterThan">
      <formula>$C47</formula>
    </cfRule>
    <cfRule type="cellIs" dxfId="12433" priority="4626" operator="lessThan">
      <formula>$C47</formula>
    </cfRule>
  </conditionalFormatting>
  <conditionalFormatting sqref="D48:E48">
    <cfRule type="expression" dxfId="12432" priority="4623">
      <formula>AND($A48&lt;&gt;"",MOD(ROW(),2))</formula>
    </cfRule>
  </conditionalFormatting>
  <conditionalFormatting sqref="D48">
    <cfRule type="cellIs" dxfId="12431" priority="4620" operator="equal">
      <formula>$C48</formula>
    </cfRule>
    <cfRule type="cellIs" dxfId="12430" priority="4621" operator="greaterThan">
      <formula>$C48</formula>
    </cfRule>
    <cfRule type="cellIs" dxfId="12429" priority="4622" operator="lessThan">
      <formula>$C48</formula>
    </cfRule>
  </conditionalFormatting>
  <conditionalFormatting sqref="D29:E29">
    <cfRule type="expression" dxfId="12428" priority="4619">
      <formula>AND($A29&lt;&gt;"",MOD(ROW(),2))</formula>
    </cfRule>
  </conditionalFormatting>
  <conditionalFormatting sqref="D29">
    <cfRule type="cellIs" dxfId="12427" priority="4616" operator="equal">
      <formula>$C29</formula>
    </cfRule>
    <cfRule type="cellIs" dxfId="12426" priority="4617" operator="greaterThan">
      <formula>$C29</formula>
    </cfRule>
    <cfRule type="cellIs" dxfId="12425" priority="4618" operator="lessThan">
      <formula>$C29</formula>
    </cfRule>
  </conditionalFormatting>
  <conditionalFormatting sqref="D30:E30">
    <cfRule type="expression" dxfId="12424" priority="4615">
      <formula>AND($A30&lt;&gt;"",MOD(ROW(),2))</formula>
    </cfRule>
  </conditionalFormatting>
  <conditionalFormatting sqref="D30">
    <cfRule type="cellIs" dxfId="12423" priority="4612" operator="equal">
      <formula>$C30</formula>
    </cfRule>
    <cfRule type="cellIs" dxfId="12422" priority="4613" operator="greaterThan">
      <formula>$C30</formula>
    </cfRule>
    <cfRule type="cellIs" dxfId="12421" priority="4614" operator="lessThan">
      <formula>$C30</formula>
    </cfRule>
  </conditionalFormatting>
  <conditionalFormatting sqref="D31:E31">
    <cfRule type="expression" dxfId="12420" priority="4611">
      <formula>AND($A31&lt;&gt;"",MOD(ROW(),2))</formula>
    </cfRule>
  </conditionalFormatting>
  <conditionalFormatting sqref="D31">
    <cfRule type="cellIs" dxfId="12419" priority="4608" operator="equal">
      <formula>$C31</formula>
    </cfRule>
    <cfRule type="cellIs" dxfId="12418" priority="4609" operator="greaterThan">
      <formula>$C31</formula>
    </cfRule>
    <cfRule type="cellIs" dxfId="12417" priority="4610" operator="lessThan">
      <formula>$C31</formula>
    </cfRule>
  </conditionalFormatting>
  <conditionalFormatting sqref="D32:E32">
    <cfRule type="expression" dxfId="12416" priority="4607">
      <formula>AND($A32&lt;&gt;"",MOD(ROW(),2))</formula>
    </cfRule>
  </conditionalFormatting>
  <conditionalFormatting sqref="D32">
    <cfRule type="cellIs" dxfId="12415" priority="4604" operator="equal">
      <formula>$C32</formula>
    </cfRule>
    <cfRule type="cellIs" dxfId="12414" priority="4605" operator="greaterThan">
      <formula>$C32</formula>
    </cfRule>
    <cfRule type="cellIs" dxfId="12413" priority="4606" operator="lessThan">
      <formula>$C32</formula>
    </cfRule>
  </conditionalFormatting>
  <conditionalFormatting sqref="D33:E33">
    <cfRule type="expression" dxfId="12412" priority="4603">
      <formula>AND($A33&lt;&gt;"",MOD(ROW(),2))</formula>
    </cfRule>
  </conditionalFormatting>
  <conditionalFormatting sqref="D33">
    <cfRule type="cellIs" dxfId="12411" priority="4600" operator="equal">
      <formula>$C33</formula>
    </cfRule>
    <cfRule type="cellIs" dxfId="12410" priority="4601" operator="greaterThan">
      <formula>$C33</formula>
    </cfRule>
    <cfRule type="cellIs" dxfId="12409" priority="4602" operator="lessThan">
      <formula>$C33</formula>
    </cfRule>
  </conditionalFormatting>
  <conditionalFormatting sqref="D34:E34">
    <cfRule type="expression" dxfId="12408" priority="4599">
      <formula>AND($A34&lt;&gt;"",MOD(ROW(),2))</formula>
    </cfRule>
  </conditionalFormatting>
  <conditionalFormatting sqref="D34">
    <cfRule type="cellIs" dxfId="12407" priority="4596" operator="equal">
      <formula>$C34</formula>
    </cfRule>
    <cfRule type="cellIs" dxfId="12406" priority="4597" operator="greaterThan">
      <formula>$C34</formula>
    </cfRule>
    <cfRule type="cellIs" dxfId="12405" priority="4598" operator="lessThan">
      <formula>$C34</formula>
    </cfRule>
  </conditionalFormatting>
  <conditionalFormatting sqref="D35:E35">
    <cfRule type="expression" dxfId="12404" priority="4595">
      <formula>AND($A35&lt;&gt;"",MOD(ROW(),2))</formula>
    </cfRule>
  </conditionalFormatting>
  <conditionalFormatting sqref="D35">
    <cfRule type="cellIs" dxfId="12403" priority="4592" operator="equal">
      <formula>$C35</formula>
    </cfRule>
    <cfRule type="cellIs" dxfId="12402" priority="4593" operator="greaterThan">
      <formula>$C35</formula>
    </cfRule>
    <cfRule type="cellIs" dxfId="12401" priority="4594" operator="lessThan">
      <formula>$C35</formula>
    </cfRule>
  </conditionalFormatting>
  <conditionalFormatting sqref="D36:E36">
    <cfRule type="expression" dxfId="12400" priority="4591">
      <formula>AND($A36&lt;&gt;"",MOD(ROW(),2))</formula>
    </cfRule>
  </conditionalFormatting>
  <conditionalFormatting sqref="D36">
    <cfRule type="cellIs" dxfId="12399" priority="4588" operator="equal">
      <formula>$C36</formula>
    </cfRule>
    <cfRule type="cellIs" dxfId="12398" priority="4589" operator="greaterThan">
      <formula>$C36</formula>
    </cfRule>
    <cfRule type="cellIs" dxfId="12397" priority="4590" operator="lessThan">
      <formula>$C36</formula>
    </cfRule>
  </conditionalFormatting>
  <conditionalFormatting sqref="D37:E37">
    <cfRule type="expression" dxfId="12396" priority="4587">
      <formula>AND($A37&lt;&gt;"",MOD(ROW(),2))</formula>
    </cfRule>
  </conditionalFormatting>
  <conditionalFormatting sqref="D37">
    <cfRule type="cellIs" dxfId="12395" priority="4584" operator="equal">
      <formula>$C37</formula>
    </cfRule>
    <cfRule type="cellIs" dxfId="12394" priority="4585" operator="greaterThan">
      <formula>$C37</formula>
    </cfRule>
    <cfRule type="cellIs" dxfId="12393" priority="4586" operator="lessThan">
      <formula>$C37</formula>
    </cfRule>
  </conditionalFormatting>
  <conditionalFormatting sqref="D38:E38">
    <cfRule type="expression" dxfId="12392" priority="4583">
      <formula>AND($A38&lt;&gt;"",MOD(ROW(),2))</formula>
    </cfRule>
  </conditionalFormatting>
  <conditionalFormatting sqref="D38">
    <cfRule type="cellIs" dxfId="12391" priority="4580" operator="equal">
      <formula>$C38</formula>
    </cfRule>
    <cfRule type="cellIs" dxfId="12390" priority="4581" operator="greaterThan">
      <formula>$C38</formula>
    </cfRule>
    <cfRule type="cellIs" dxfId="12389" priority="4582" operator="lessThan">
      <formula>$C38</formula>
    </cfRule>
  </conditionalFormatting>
  <conditionalFormatting sqref="D39:E39">
    <cfRule type="expression" dxfId="12388" priority="4579">
      <formula>AND($A39&lt;&gt;"",MOD(ROW(),2))</formula>
    </cfRule>
  </conditionalFormatting>
  <conditionalFormatting sqref="D39">
    <cfRule type="cellIs" dxfId="12387" priority="4576" operator="equal">
      <formula>$C39</formula>
    </cfRule>
    <cfRule type="cellIs" dxfId="12386" priority="4577" operator="greaterThan">
      <formula>$C39</formula>
    </cfRule>
    <cfRule type="cellIs" dxfId="12385" priority="4578" operator="lessThan">
      <formula>$C39</formula>
    </cfRule>
  </conditionalFormatting>
  <conditionalFormatting sqref="D40:E40">
    <cfRule type="expression" dxfId="12384" priority="4575">
      <formula>AND($A40&lt;&gt;"",MOD(ROW(),2))</formula>
    </cfRule>
  </conditionalFormatting>
  <conditionalFormatting sqref="D40">
    <cfRule type="cellIs" dxfId="12383" priority="4572" operator="equal">
      <formula>$C40</formula>
    </cfRule>
    <cfRule type="cellIs" dxfId="12382" priority="4573" operator="greaterThan">
      <formula>$C40</formula>
    </cfRule>
    <cfRule type="cellIs" dxfId="12381" priority="4574" operator="lessThan">
      <formula>$C40</formula>
    </cfRule>
  </conditionalFormatting>
  <conditionalFormatting sqref="D41:E41">
    <cfRule type="expression" dxfId="12380" priority="4571">
      <formula>AND($A41&lt;&gt;"",MOD(ROW(),2))</formula>
    </cfRule>
  </conditionalFormatting>
  <conditionalFormatting sqref="D41">
    <cfRule type="cellIs" dxfId="12379" priority="4568" operator="equal">
      <formula>$C41</formula>
    </cfRule>
    <cfRule type="cellIs" dxfId="12378" priority="4569" operator="greaterThan">
      <formula>$C41</formula>
    </cfRule>
    <cfRule type="cellIs" dxfId="12377" priority="4570" operator="lessThan">
      <formula>$C41</formula>
    </cfRule>
  </conditionalFormatting>
  <conditionalFormatting sqref="D42:E42">
    <cfRule type="expression" dxfId="12376" priority="4567">
      <formula>AND($A42&lt;&gt;"",MOD(ROW(),2))</formula>
    </cfRule>
  </conditionalFormatting>
  <conditionalFormatting sqref="D42">
    <cfRule type="cellIs" dxfId="12375" priority="4564" operator="equal">
      <formula>$C42</formula>
    </cfRule>
    <cfRule type="cellIs" dxfId="12374" priority="4565" operator="greaterThan">
      <formula>$C42</formula>
    </cfRule>
    <cfRule type="cellIs" dxfId="12373" priority="4566" operator="lessThan">
      <formula>$C42</formula>
    </cfRule>
  </conditionalFormatting>
  <conditionalFormatting sqref="D43:E43">
    <cfRule type="expression" dxfId="12372" priority="4563">
      <formula>AND($A43&lt;&gt;"",MOD(ROW(),2))</formula>
    </cfRule>
  </conditionalFormatting>
  <conditionalFormatting sqref="D43">
    <cfRule type="cellIs" dxfId="12371" priority="4560" operator="equal">
      <formula>$C43</formula>
    </cfRule>
    <cfRule type="cellIs" dxfId="12370" priority="4561" operator="greaterThan">
      <formula>$C43</formula>
    </cfRule>
    <cfRule type="cellIs" dxfId="12369" priority="4562" operator="lessThan">
      <formula>$C43</formula>
    </cfRule>
  </conditionalFormatting>
  <conditionalFormatting sqref="D44:E44">
    <cfRule type="expression" dxfId="12368" priority="4559">
      <formula>AND($A44&lt;&gt;"",MOD(ROW(),2))</formula>
    </cfRule>
  </conditionalFormatting>
  <conditionalFormatting sqref="D44">
    <cfRule type="cellIs" dxfId="12367" priority="4556" operator="equal">
      <formula>$C44</formula>
    </cfRule>
    <cfRule type="cellIs" dxfId="12366" priority="4557" operator="greaterThan">
      <formula>$C44</formula>
    </cfRule>
    <cfRule type="cellIs" dxfId="12365" priority="4558" operator="lessThan">
      <formula>$C44</formula>
    </cfRule>
  </conditionalFormatting>
  <conditionalFormatting sqref="D45:E45">
    <cfRule type="expression" dxfId="12364" priority="4555">
      <formula>AND($A45&lt;&gt;"",MOD(ROW(),2))</formula>
    </cfRule>
  </conditionalFormatting>
  <conditionalFormatting sqref="D45">
    <cfRule type="cellIs" dxfId="12363" priority="4552" operator="equal">
      <formula>$C45</formula>
    </cfRule>
    <cfRule type="cellIs" dxfId="12362" priority="4553" operator="greaterThan">
      <formula>$C45</formula>
    </cfRule>
    <cfRule type="cellIs" dxfId="12361" priority="4554" operator="lessThan">
      <formula>$C45</formula>
    </cfRule>
  </conditionalFormatting>
  <conditionalFormatting sqref="D46:E46">
    <cfRule type="expression" dxfId="12360" priority="4551">
      <formula>AND($A46&lt;&gt;"",MOD(ROW(),2))</formula>
    </cfRule>
  </conditionalFormatting>
  <conditionalFormatting sqref="D46">
    <cfRule type="cellIs" dxfId="12359" priority="4548" operator="equal">
      <formula>$C46</formula>
    </cfRule>
    <cfRule type="cellIs" dxfId="12358" priority="4549" operator="greaterThan">
      <formula>$C46</formula>
    </cfRule>
    <cfRule type="cellIs" dxfId="12357" priority="4550" operator="lessThan">
      <formula>$C46</formula>
    </cfRule>
  </conditionalFormatting>
  <conditionalFormatting sqref="D47:E47">
    <cfRule type="expression" dxfId="12356" priority="4547">
      <formula>AND($A47&lt;&gt;"",MOD(ROW(),2))</formula>
    </cfRule>
  </conditionalFormatting>
  <conditionalFormatting sqref="D47">
    <cfRule type="cellIs" dxfId="12355" priority="4544" operator="equal">
      <formula>$C47</formula>
    </cfRule>
    <cfRule type="cellIs" dxfId="12354" priority="4545" operator="greaterThan">
      <formula>$C47</formula>
    </cfRule>
    <cfRule type="cellIs" dxfId="12353" priority="4546" operator="lessThan">
      <formula>$C47</formula>
    </cfRule>
  </conditionalFormatting>
  <conditionalFormatting sqref="D48:E48">
    <cfRule type="expression" dxfId="12352" priority="4543">
      <formula>AND($A48&lt;&gt;"",MOD(ROW(),2))</formula>
    </cfRule>
  </conditionalFormatting>
  <conditionalFormatting sqref="D48">
    <cfRule type="cellIs" dxfId="12351" priority="4540" operator="equal">
      <formula>$C48</formula>
    </cfRule>
    <cfRule type="cellIs" dxfId="12350" priority="4541" operator="greaterThan">
      <formula>$C48</formula>
    </cfRule>
    <cfRule type="cellIs" dxfId="12349" priority="4542" operator="lessThan">
      <formula>$C48</formula>
    </cfRule>
  </conditionalFormatting>
  <conditionalFormatting sqref="D29:E29">
    <cfRule type="expression" dxfId="12348" priority="4539">
      <formula>AND($A29&lt;&gt;"",MOD(ROW(),2))</formula>
    </cfRule>
  </conditionalFormatting>
  <conditionalFormatting sqref="D29">
    <cfRule type="cellIs" dxfId="12347" priority="4536" operator="equal">
      <formula>$C29</formula>
    </cfRule>
    <cfRule type="cellIs" dxfId="12346" priority="4537" operator="greaterThan">
      <formula>$C29</formula>
    </cfRule>
    <cfRule type="cellIs" dxfId="12345" priority="4538" operator="lessThan">
      <formula>$C29</formula>
    </cfRule>
  </conditionalFormatting>
  <conditionalFormatting sqref="D30:E30">
    <cfRule type="expression" dxfId="12344" priority="4535">
      <formula>AND($A30&lt;&gt;"",MOD(ROW(),2))</formula>
    </cfRule>
  </conditionalFormatting>
  <conditionalFormatting sqref="D30">
    <cfRule type="cellIs" dxfId="12343" priority="4532" operator="equal">
      <formula>$C30</formula>
    </cfRule>
    <cfRule type="cellIs" dxfId="12342" priority="4533" operator="greaterThan">
      <formula>$C30</formula>
    </cfRule>
    <cfRule type="cellIs" dxfId="12341" priority="4534" operator="lessThan">
      <formula>$C30</formula>
    </cfRule>
  </conditionalFormatting>
  <conditionalFormatting sqref="D31:E31">
    <cfRule type="expression" dxfId="12340" priority="4531">
      <formula>AND($A31&lt;&gt;"",MOD(ROW(),2))</formula>
    </cfRule>
  </conditionalFormatting>
  <conditionalFormatting sqref="D31">
    <cfRule type="cellIs" dxfId="12339" priority="4528" operator="equal">
      <formula>$C31</formula>
    </cfRule>
    <cfRule type="cellIs" dxfId="12338" priority="4529" operator="greaterThan">
      <formula>$C31</formula>
    </cfRule>
    <cfRule type="cellIs" dxfId="12337" priority="4530" operator="lessThan">
      <formula>$C31</formula>
    </cfRule>
  </conditionalFormatting>
  <conditionalFormatting sqref="D32:E32">
    <cfRule type="expression" dxfId="12336" priority="4527">
      <formula>AND($A32&lt;&gt;"",MOD(ROW(),2))</formula>
    </cfRule>
  </conditionalFormatting>
  <conditionalFormatting sqref="D32">
    <cfRule type="cellIs" dxfId="12335" priority="4524" operator="equal">
      <formula>$C32</formula>
    </cfRule>
    <cfRule type="cellIs" dxfId="12334" priority="4525" operator="greaterThan">
      <formula>$C32</formula>
    </cfRule>
    <cfRule type="cellIs" dxfId="12333" priority="4526" operator="lessThan">
      <formula>$C32</formula>
    </cfRule>
  </conditionalFormatting>
  <conditionalFormatting sqref="D33:E33">
    <cfRule type="expression" dxfId="12332" priority="4523">
      <formula>AND($A33&lt;&gt;"",MOD(ROW(),2))</formula>
    </cfRule>
  </conditionalFormatting>
  <conditionalFormatting sqref="D33">
    <cfRule type="cellIs" dxfId="12331" priority="4520" operator="equal">
      <formula>$C33</formula>
    </cfRule>
    <cfRule type="cellIs" dxfId="12330" priority="4521" operator="greaterThan">
      <formula>$C33</formula>
    </cfRule>
    <cfRule type="cellIs" dxfId="12329" priority="4522" operator="lessThan">
      <formula>$C33</formula>
    </cfRule>
  </conditionalFormatting>
  <conditionalFormatting sqref="D34:E34">
    <cfRule type="expression" dxfId="12328" priority="4519">
      <formula>AND($A34&lt;&gt;"",MOD(ROW(),2))</formula>
    </cfRule>
  </conditionalFormatting>
  <conditionalFormatting sqref="D34">
    <cfRule type="cellIs" dxfId="12327" priority="4516" operator="equal">
      <formula>$C34</formula>
    </cfRule>
    <cfRule type="cellIs" dxfId="12326" priority="4517" operator="greaterThan">
      <formula>$C34</formula>
    </cfRule>
    <cfRule type="cellIs" dxfId="12325" priority="4518" operator="lessThan">
      <formula>$C34</formula>
    </cfRule>
  </conditionalFormatting>
  <conditionalFormatting sqref="D35:E35">
    <cfRule type="expression" dxfId="12324" priority="4515">
      <formula>AND($A35&lt;&gt;"",MOD(ROW(),2))</formula>
    </cfRule>
  </conditionalFormatting>
  <conditionalFormatting sqref="D35">
    <cfRule type="cellIs" dxfId="12323" priority="4512" operator="equal">
      <formula>$C35</formula>
    </cfRule>
    <cfRule type="cellIs" dxfId="12322" priority="4513" operator="greaterThan">
      <formula>$C35</formula>
    </cfRule>
    <cfRule type="cellIs" dxfId="12321" priority="4514" operator="lessThan">
      <formula>$C35</formula>
    </cfRule>
  </conditionalFormatting>
  <conditionalFormatting sqref="D36:E36">
    <cfRule type="expression" dxfId="12320" priority="4511">
      <formula>AND($A36&lt;&gt;"",MOD(ROW(),2))</formula>
    </cfRule>
  </conditionalFormatting>
  <conditionalFormatting sqref="D36">
    <cfRule type="cellIs" dxfId="12319" priority="4508" operator="equal">
      <formula>$C36</formula>
    </cfRule>
    <cfRule type="cellIs" dxfId="12318" priority="4509" operator="greaterThan">
      <formula>$C36</formula>
    </cfRule>
    <cfRule type="cellIs" dxfId="12317" priority="4510" operator="lessThan">
      <formula>$C36</formula>
    </cfRule>
  </conditionalFormatting>
  <conditionalFormatting sqref="D37:E37">
    <cfRule type="expression" dxfId="12316" priority="4507">
      <formula>AND($A37&lt;&gt;"",MOD(ROW(),2))</formula>
    </cfRule>
  </conditionalFormatting>
  <conditionalFormatting sqref="D37">
    <cfRule type="cellIs" dxfId="12315" priority="4504" operator="equal">
      <formula>$C37</formula>
    </cfRule>
    <cfRule type="cellIs" dxfId="12314" priority="4505" operator="greaterThan">
      <formula>$C37</formula>
    </cfRule>
    <cfRule type="cellIs" dxfId="12313" priority="4506" operator="lessThan">
      <formula>$C37</formula>
    </cfRule>
  </conditionalFormatting>
  <conditionalFormatting sqref="D38:E38">
    <cfRule type="expression" dxfId="12312" priority="4503">
      <formula>AND($A38&lt;&gt;"",MOD(ROW(),2))</formula>
    </cfRule>
  </conditionalFormatting>
  <conditionalFormatting sqref="D38">
    <cfRule type="cellIs" dxfId="12311" priority="4500" operator="equal">
      <formula>$C38</formula>
    </cfRule>
    <cfRule type="cellIs" dxfId="12310" priority="4501" operator="greaterThan">
      <formula>$C38</formula>
    </cfRule>
    <cfRule type="cellIs" dxfId="12309" priority="4502" operator="lessThan">
      <formula>$C38</formula>
    </cfRule>
  </conditionalFormatting>
  <conditionalFormatting sqref="D39:E39">
    <cfRule type="expression" dxfId="12308" priority="4499">
      <formula>AND($A39&lt;&gt;"",MOD(ROW(),2))</formula>
    </cfRule>
  </conditionalFormatting>
  <conditionalFormatting sqref="D39">
    <cfRule type="cellIs" dxfId="12307" priority="4496" operator="equal">
      <formula>$C39</formula>
    </cfRule>
    <cfRule type="cellIs" dxfId="12306" priority="4497" operator="greaterThan">
      <formula>$C39</formula>
    </cfRule>
    <cfRule type="cellIs" dxfId="12305" priority="4498" operator="lessThan">
      <formula>$C39</formula>
    </cfRule>
  </conditionalFormatting>
  <conditionalFormatting sqref="D40:E40">
    <cfRule type="expression" dxfId="12304" priority="4495">
      <formula>AND($A40&lt;&gt;"",MOD(ROW(),2))</formula>
    </cfRule>
  </conditionalFormatting>
  <conditionalFormatting sqref="D40">
    <cfRule type="cellIs" dxfId="12303" priority="4492" operator="equal">
      <formula>$C40</formula>
    </cfRule>
    <cfRule type="cellIs" dxfId="12302" priority="4493" operator="greaterThan">
      <formula>$C40</formula>
    </cfRule>
    <cfRule type="cellIs" dxfId="12301" priority="4494" operator="lessThan">
      <formula>$C40</formula>
    </cfRule>
  </conditionalFormatting>
  <conditionalFormatting sqref="D41:E41">
    <cfRule type="expression" dxfId="12300" priority="4491">
      <formula>AND($A41&lt;&gt;"",MOD(ROW(),2))</formula>
    </cfRule>
  </conditionalFormatting>
  <conditionalFormatting sqref="D41">
    <cfRule type="cellIs" dxfId="12299" priority="4488" operator="equal">
      <formula>$C41</formula>
    </cfRule>
    <cfRule type="cellIs" dxfId="12298" priority="4489" operator="greaterThan">
      <formula>$C41</formula>
    </cfRule>
    <cfRule type="cellIs" dxfId="12297" priority="4490" operator="lessThan">
      <formula>$C41</formula>
    </cfRule>
  </conditionalFormatting>
  <conditionalFormatting sqref="D42:E42">
    <cfRule type="expression" dxfId="12296" priority="4487">
      <formula>AND($A42&lt;&gt;"",MOD(ROW(),2))</formula>
    </cfRule>
  </conditionalFormatting>
  <conditionalFormatting sqref="D42">
    <cfRule type="cellIs" dxfId="12295" priority="4484" operator="equal">
      <formula>$C42</formula>
    </cfRule>
    <cfRule type="cellIs" dxfId="12294" priority="4485" operator="greaterThan">
      <formula>$C42</formula>
    </cfRule>
    <cfRule type="cellIs" dxfId="12293" priority="4486" operator="lessThan">
      <formula>$C42</formula>
    </cfRule>
  </conditionalFormatting>
  <conditionalFormatting sqref="D43:E43">
    <cfRule type="expression" dxfId="12292" priority="4483">
      <formula>AND($A43&lt;&gt;"",MOD(ROW(),2))</formula>
    </cfRule>
  </conditionalFormatting>
  <conditionalFormatting sqref="D43">
    <cfRule type="cellIs" dxfId="12291" priority="4480" operator="equal">
      <formula>$C43</formula>
    </cfRule>
    <cfRule type="cellIs" dxfId="12290" priority="4481" operator="greaterThan">
      <formula>$C43</formula>
    </cfRule>
    <cfRule type="cellIs" dxfId="12289" priority="4482" operator="lessThan">
      <formula>$C43</formula>
    </cfRule>
  </conditionalFormatting>
  <conditionalFormatting sqref="D44:E44">
    <cfRule type="expression" dxfId="12288" priority="4479">
      <formula>AND($A44&lt;&gt;"",MOD(ROW(),2))</formula>
    </cfRule>
  </conditionalFormatting>
  <conditionalFormatting sqref="D44">
    <cfRule type="cellIs" dxfId="12287" priority="4476" operator="equal">
      <formula>$C44</formula>
    </cfRule>
    <cfRule type="cellIs" dxfId="12286" priority="4477" operator="greaterThan">
      <formula>$C44</formula>
    </cfRule>
    <cfRule type="cellIs" dxfId="12285" priority="4478" operator="lessThan">
      <formula>$C44</formula>
    </cfRule>
  </conditionalFormatting>
  <conditionalFormatting sqref="D45:E45">
    <cfRule type="expression" dxfId="12284" priority="4475">
      <formula>AND($A45&lt;&gt;"",MOD(ROW(),2))</formula>
    </cfRule>
  </conditionalFormatting>
  <conditionalFormatting sqref="D45">
    <cfRule type="cellIs" dxfId="12283" priority="4472" operator="equal">
      <formula>$C45</formula>
    </cfRule>
    <cfRule type="cellIs" dxfId="12282" priority="4473" operator="greaterThan">
      <formula>$C45</formula>
    </cfRule>
    <cfRule type="cellIs" dxfId="12281" priority="4474" operator="lessThan">
      <formula>$C45</formula>
    </cfRule>
  </conditionalFormatting>
  <conditionalFormatting sqref="D46:E46">
    <cfRule type="expression" dxfId="12280" priority="4471">
      <formula>AND($A46&lt;&gt;"",MOD(ROW(),2))</formula>
    </cfRule>
  </conditionalFormatting>
  <conditionalFormatting sqref="D46">
    <cfRule type="cellIs" dxfId="12279" priority="4468" operator="equal">
      <formula>$C46</formula>
    </cfRule>
    <cfRule type="cellIs" dxfId="12278" priority="4469" operator="greaterThan">
      <formula>$C46</formula>
    </cfRule>
    <cfRule type="cellIs" dxfId="12277" priority="4470" operator="lessThan">
      <formula>$C46</formula>
    </cfRule>
  </conditionalFormatting>
  <conditionalFormatting sqref="D47:E47">
    <cfRule type="expression" dxfId="12276" priority="4467">
      <formula>AND($A47&lt;&gt;"",MOD(ROW(),2))</formula>
    </cfRule>
  </conditionalFormatting>
  <conditionalFormatting sqref="D47">
    <cfRule type="cellIs" dxfId="12275" priority="4464" operator="equal">
      <formula>$C47</formula>
    </cfRule>
    <cfRule type="cellIs" dxfId="12274" priority="4465" operator="greaterThan">
      <formula>$C47</formula>
    </cfRule>
    <cfRule type="cellIs" dxfId="12273" priority="4466" operator="lessThan">
      <formula>$C47</formula>
    </cfRule>
  </conditionalFormatting>
  <conditionalFormatting sqref="D48:E48">
    <cfRule type="expression" dxfId="12272" priority="4463">
      <formula>AND($A48&lt;&gt;"",MOD(ROW(),2))</formula>
    </cfRule>
  </conditionalFormatting>
  <conditionalFormatting sqref="D48">
    <cfRule type="cellIs" dxfId="12271" priority="4460" operator="equal">
      <formula>$C48</formula>
    </cfRule>
    <cfRule type="cellIs" dxfId="12270" priority="4461" operator="greaterThan">
      <formula>$C48</formula>
    </cfRule>
    <cfRule type="cellIs" dxfId="12269" priority="4462" operator="lessThan">
      <formula>$C48</formula>
    </cfRule>
  </conditionalFormatting>
  <conditionalFormatting sqref="D49:E49">
    <cfRule type="expression" dxfId="12268" priority="4459">
      <formula>AND($A49&lt;&gt;"",MOD(ROW(),2))</formula>
    </cfRule>
  </conditionalFormatting>
  <conditionalFormatting sqref="D49">
    <cfRule type="cellIs" dxfId="12267" priority="4456" operator="equal">
      <formula>$C49</formula>
    </cfRule>
    <cfRule type="cellIs" dxfId="12266" priority="4457" operator="greaterThan">
      <formula>$C49</formula>
    </cfRule>
    <cfRule type="cellIs" dxfId="12265" priority="4458" operator="lessThan">
      <formula>$C49</formula>
    </cfRule>
  </conditionalFormatting>
  <conditionalFormatting sqref="D29:E29">
    <cfRule type="expression" dxfId="12264" priority="4455">
      <formula>AND($A29&lt;&gt;"",MOD(ROW(),2))</formula>
    </cfRule>
  </conditionalFormatting>
  <conditionalFormatting sqref="D29">
    <cfRule type="cellIs" dxfId="12263" priority="4452" operator="equal">
      <formula>$C29</formula>
    </cfRule>
    <cfRule type="cellIs" dxfId="12262" priority="4453" operator="greaterThan">
      <formula>$C29</formula>
    </cfRule>
    <cfRule type="cellIs" dxfId="12261" priority="4454" operator="lessThan">
      <formula>$C29</formula>
    </cfRule>
  </conditionalFormatting>
  <conditionalFormatting sqref="D30:E30">
    <cfRule type="expression" dxfId="12260" priority="4451">
      <formula>AND($A30&lt;&gt;"",MOD(ROW(),2))</formula>
    </cfRule>
  </conditionalFormatting>
  <conditionalFormatting sqref="D30">
    <cfRule type="cellIs" dxfId="12259" priority="4448" operator="equal">
      <formula>$C30</formula>
    </cfRule>
    <cfRule type="cellIs" dxfId="12258" priority="4449" operator="greaterThan">
      <formula>$C30</formula>
    </cfRule>
    <cfRule type="cellIs" dxfId="12257" priority="4450" operator="lessThan">
      <formula>$C30</formula>
    </cfRule>
  </conditionalFormatting>
  <conditionalFormatting sqref="D31:E31">
    <cfRule type="expression" dxfId="12256" priority="4447">
      <formula>AND($A31&lt;&gt;"",MOD(ROW(),2))</formula>
    </cfRule>
  </conditionalFormatting>
  <conditionalFormatting sqref="D31">
    <cfRule type="cellIs" dxfId="12255" priority="4444" operator="equal">
      <formula>$C31</formula>
    </cfRule>
    <cfRule type="cellIs" dxfId="12254" priority="4445" operator="greaterThan">
      <formula>$C31</formula>
    </cfRule>
    <cfRule type="cellIs" dxfId="12253" priority="4446" operator="lessThan">
      <formula>$C31</formula>
    </cfRule>
  </conditionalFormatting>
  <conditionalFormatting sqref="D32:E32">
    <cfRule type="expression" dxfId="12252" priority="4443">
      <formula>AND($A32&lt;&gt;"",MOD(ROW(),2))</formula>
    </cfRule>
  </conditionalFormatting>
  <conditionalFormatting sqref="D32">
    <cfRule type="cellIs" dxfId="12251" priority="4440" operator="equal">
      <formula>$C32</formula>
    </cfRule>
    <cfRule type="cellIs" dxfId="12250" priority="4441" operator="greaterThan">
      <formula>$C32</formula>
    </cfRule>
    <cfRule type="cellIs" dxfId="12249" priority="4442" operator="lessThan">
      <formula>$C32</formula>
    </cfRule>
  </conditionalFormatting>
  <conditionalFormatting sqref="D33:E33">
    <cfRule type="expression" dxfId="12248" priority="4439">
      <formula>AND($A33&lt;&gt;"",MOD(ROW(),2))</formula>
    </cfRule>
  </conditionalFormatting>
  <conditionalFormatting sqref="D33">
    <cfRule type="cellIs" dxfId="12247" priority="4436" operator="equal">
      <formula>$C33</formula>
    </cfRule>
    <cfRule type="cellIs" dxfId="12246" priority="4437" operator="greaterThan">
      <formula>$C33</formula>
    </cfRule>
    <cfRule type="cellIs" dxfId="12245" priority="4438" operator="lessThan">
      <formula>$C33</formula>
    </cfRule>
  </conditionalFormatting>
  <conditionalFormatting sqref="D34:E34">
    <cfRule type="expression" dxfId="12244" priority="4435">
      <formula>AND($A34&lt;&gt;"",MOD(ROW(),2))</formula>
    </cfRule>
  </conditionalFormatting>
  <conditionalFormatting sqref="D34">
    <cfRule type="cellIs" dxfId="12243" priority="4432" operator="equal">
      <formula>$C34</formula>
    </cfRule>
    <cfRule type="cellIs" dxfId="12242" priority="4433" operator="greaterThan">
      <formula>$C34</formula>
    </cfRule>
    <cfRule type="cellIs" dxfId="12241" priority="4434" operator="lessThan">
      <formula>$C34</formula>
    </cfRule>
  </conditionalFormatting>
  <conditionalFormatting sqref="D35:E35">
    <cfRule type="expression" dxfId="12240" priority="4431">
      <formula>AND($A35&lt;&gt;"",MOD(ROW(),2))</formula>
    </cfRule>
  </conditionalFormatting>
  <conditionalFormatting sqref="D35">
    <cfRule type="cellIs" dxfId="12239" priority="4428" operator="equal">
      <formula>$C35</formula>
    </cfRule>
    <cfRule type="cellIs" dxfId="12238" priority="4429" operator="greaterThan">
      <formula>$C35</formula>
    </cfRule>
    <cfRule type="cellIs" dxfId="12237" priority="4430" operator="lessThan">
      <formula>$C35</formula>
    </cfRule>
  </conditionalFormatting>
  <conditionalFormatting sqref="D36:E36">
    <cfRule type="expression" dxfId="12236" priority="4427">
      <formula>AND($A36&lt;&gt;"",MOD(ROW(),2))</formula>
    </cfRule>
  </conditionalFormatting>
  <conditionalFormatting sqref="D36">
    <cfRule type="cellIs" dxfId="12235" priority="4424" operator="equal">
      <formula>$C36</formula>
    </cfRule>
    <cfRule type="cellIs" dxfId="12234" priority="4425" operator="greaterThan">
      <formula>$C36</formula>
    </cfRule>
    <cfRule type="cellIs" dxfId="12233" priority="4426" operator="lessThan">
      <formula>$C36</formula>
    </cfRule>
  </conditionalFormatting>
  <conditionalFormatting sqref="D37:E37">
    <cfRule type="expression" dxfId="12232" priority="4423">
      <formula>AND($A37&lt;&gt;"",MOD(ROW(),2))</formula>
    </cfRule>
  </conditionalFormatting>
  <conditionalFormatting sqref="D37">
    <cfRule type="cellIs" dxfId="12231" priority="4420" operator="equal">
      <formula>$C37</formula>
    </cfRule>
    <cfRule type="cellIs" dxfId="12230" priority="4421" operator="greaterThan">
      <formula>$C37</formula>
    </cfRule>
    <cfRule type="cellIs" dxfId="12229" priority="4422" operator="lessThan">
      <formula>$C37</formula>
    </cfRule>
  </conditionalFormatting>
  <conditionalFormatting sqref="D38:E38">
    <cfRule type="expression" dxfId="12228" priority="4419">
      <formula>AND($A38&lt;&gt;"",MOD(ROW(),2))</formula>
    </cfRule>
  </conditionalFormatting>
  <conditionalFormatting sqref="D38">
    <cfRule type="cellIs" dxfId="12227" priority="4416" operator="equal">
      <formula>$C38</formula>
    </cfRule>
    <cfRule type="cellIs" dxfId="12226" priority="4417" operator="greaterThan">
      <formula>$C38</formula>
    </cfRule>
    <cfRule type="cellIs" dxfId="12225" priority="4418" operator="lessThan">
      <formula>$C38</formula>
    </cfRule>
  </conditionalFormatting>
  <conditionalFormatting sqref="D39:E39">
    <cfRule type="expression" dxfId="12224" priority="4415">
      <formula>AND($A39&lt;&gt;"",MOD(ROW(),2))</formula>
    </cfRule>
  </conditionalFormatting>
  <conditionalFormatting sqref="D39">
    <cfRule type="cellIs" dxfId="12223" priority="4412" operator="equal">
      <formula>$C39</formula>
    </cfRule>
    <cfRule type="cellIs" dxfId="12222" priority="4413" operator="greaterThan">
      <formula>$C39</formula>
    </cfRule>
    <cfRule type="cellIs" dxfId="12221" priority="4414" operator="lessThan">
      <formula>$C39</formula>
    </cfRule>
  </conditionalFormatting>
  <conditionalFormatting sqref="D40:E40">
    <cfRule type="expression" dxfId="12220" priority="4411">
      <formula>AND($A40&lt;&gt;"",MOD(ROW(),2))</formula>
    </cfRule>
  </conditionalFormatting>
  <conditionalFormatting sqref="D40">
    <cfRule type="cellIs" dxfId="12219" priority="4408" operator="equal">
      <formula>$C40</formula>
    </cfRule>
    <cfRule type="cellIs" dxfId="12218" priority="4409" operator="greaterThan">
      <formula>$C40</formula>
    </cfRule>
    <cfRule type="cellIs" dxfId="12217" priority="4410" operator="lessThan">
      <formula>$C40</formula>
    </cfRule>
  </conditionalFormatting>
  <conditionalFormatting sqref="D41:E41">
    <cfRule type="expression" dxfId="12216" priority="4407">
      <formula>AND($A41&lt;&gt;"",MOD(ROW(),2))</formula>
    </cfRule>
  </conditionalFormatting>
  <conditionalFormatting sqref="D41">
    <cfRule type="cellIs" dxfId="12215" priority="4404" operator="equal">
      <formula>$C41</formula>
    </cfRule>
    <cfRule type="cellIs" dxfId="12214" priority="4405" operator="greaterThan">
      <formula>$C41</formula>
    </cfRule>
    <cfRule type="cellIs" dxfId="12213" priority="4406" operator="lessThan">
      <formula>$C41</formula>
    </cfRule>
  </conditionalFormatting>
  <conditionalFormatting sqref="D42:E42">
    <cfRule type="expression" dxfId="12212" priority="4403">
      <formula>AND($A42&lt;&gt;"",MOD(ROW(),2))</formula>
    </cfRule>
  </conditionalFormatting>
  <conditionalFormatting sqref="D42">
    <cfRule type="cellIs" dxfId="12211" priority="4400" operator="equal">
      <formula>$C42</formula>
    </cfRule>
    <cfRule type="cellIs" dxfId="12210" priority="4401" operator="greaterThan">
      <formula>$C42</formula>
    </cfRule>
    <cfRule type="cellIs" dxfId="12209" priority="4402" operator="lessThan">
      <formula>$C42</formula>
    </cfRule>
  </conditionalFormatting>
  <conditionalFormatting sqref="D43:E43">
    <cfRule type="expression" dxfId="12208" priority="4399">
      <formula>AND($A43&lt;&gt;"",MOD(ROW(),2))</formula>
    </cfRule>
  </conditionalFormatting>
  <conditionalFormatting sqref="D43">
    <cfRule type="cellIs" dxfId="12207" priority="4396" operator="equal">
      <formula>$C43</formula>
    </cfRule>
    <cfRule type="cellIs" dxfId="12206" priority="4397" operator="greaterThan">
      <formula>$C43</formula>
    </cfRule>
    <cfRule type="cellIs" dxfId="12205" priority="4398" operator="lessThan">
      <formula>$C43</formula>
    </cfRule>
  </conditionalFormatting>
  <conditionalFormatting sqref="D44:E44">
    <cfRule type="expression" dxfId="12204" priority="4395">
      <formula>AND($A44&lt;&gt;"",MOD(ROW(),2))</formula>
    </cfRule>
  </conditionalFormatting>
  <conditionalFormatting sqref="D44">
    <cfRule type="cellIs" dxfId="12203" priority="4392" operator="equal">
      <formula>$C44</formula>
    </cfRule>
    <cfRule type="cellIs" dxfId="12202" priority="4393" operator="greaterThan">
      <formula>$C44</formula>
    </cfRule>
    <cfRule type="cellIs" dxfId="12201" priority="4394" operator="lessThan">
      <formula>$C44</formula>
    </cfRule>
  </conditionalFormatting>
  <conditionalFormatting sqref="D45:E45">
    <cfRule type="expression" dxfId="12200" priority="4391">
      <formula>AND($A45&lt;&gt;"",MOD(ROW(),2))</formula>
    </cfRule>
  </conditionalFormatting>
  <conditionalFormatting sqref="D45">
    <cfRule type="cellIs" dxfId="12199" priority="4388" operator="equal">
      <formula>$C45</formula>
    </cfRule>
    <cfRule type="cellIs" dxfId="12198" priority="4389" operator="greaterThan">
      <formula>$C45</formula>
    </cfRule>
    <cfRule type="cellIs" dxfId="12197" priority="4390" operator="lessThan">
      <formula>$C45</formula>
    </cfRule>
  </conditionalFormatting>
  <conditionalFormatting sqref="D46:E46">
    <cfRule type="expression" dxfId="12196" priority="4387">
      <formula>AND($A46&lt;&gt;"",MOD(ROW(),2))</formula>
    </cfRule>
  </conditionalFormatting>
  <conditionalFormatting sqref="D46">
    <cfRule type="cellIs" dxfId="12195" priority="4384" operator="equal">
      <formula>$C46</formula>
    </cfRule>
    <cfRule type="cellIs" dxfId="12194" priority="4385" operator="greaterThan">
      <formula>$C46</formula>
    </cfRule>
    <cfRule type="cellIs" dxfId="12193" priority="4386" operator="lessThan">
      <formula>$C46</formula>
    </cfRule>
  </conditionalFormatting>
  <conditionalFormatting sqref="D47:E47">
    <cfRule type="expression" dxfId="12192" priority="4383">
      <formula>AND($A47&lt;&gt;"",MOD(ROW(),2))</formula>
    </cfRule>
  </conditionalFormatting>
  <conditionalFormatting sqref="D47">
    <cfRule type="cellIs" dxfId="12191" priority="4380" operator="equal">
      <formula>$C47</formula>
    </cfRule>
    <cfRule type="cellIs" dxfId="12190" priority="4381" operator="greaterThan">
      <formula>$C47</formula>
    </cfRule>
    <cfRule type="cellIs" dxfId="12189" priority="4382" operator="lessThan">
      <formula>$C47</formula>
    </cfRule>
  </conditionalFormatting>
  <conditionalFormatting sqref="D48:E48">
    <cfRule type="expression" dxfId="12188" priority="4379">
      <formula>AND($A48&lt;&gt;"",MOD(ROW(),2))</formula>
    </cfRule>
  </conditionalFormatting>
  <conditionalFormatting sqref="D48">
    <cfRule type="cellIs" dxfId="12187" priority="4376" operator="equal">
      <formula>$C48</formula>
    </cfRule>
    <cfRule type="cellIs" dxfId="12186" priority="4377" operator="greaterThan">
      <formula>$C48</formula>
    </cfRule>
    <cfRule type="cellIs" dxfId="12185" priority="4378" operator="lessThan">
      <formula>$C48</formula>
    </cfRule>
  </conditionalFormatting>
  <conditionalFormatting sqref="D49:E49">
    <cfRule type="expression" dxfId="12184" priority="4375">
      <formula>AND($A49&lt;&gt;"",MOD(ROW(),2))</formula>
    </cfRule>
  </conditionalFormatting>
  <conditionalFormatting sqref="D49">
    <cfRule type="cellIs" dxfId="12183" priority="4372" operator="equal">
      <formula>$C49</formula>
    </cfRule>
    <cfRule type="cellIs" dxfId="12182" priority="4373" operator="greaterThan">
      <formula>$C49</formula>
    </cfRule>
    <cfRule type="cellIs" dxfId="12181" priority="4374" operator="lessThan">
      <formula>$C49</formula>
    </cfRule>
  </conditionalFormatting>
  <conditionalFormatting sqref="D29:E29">
    <cfRule type="expression" dxfId="12180" priority="4371">
      <formula>AND($A29&lt;&gt;"",MOD(ROW(),2))</formula>
    </cfRule>
  </conditionalFormatting>
  <conditionalFormatting sqref="D29">
    <cfRule type="cellIs" dxfId="12179" priority="4368" operator="equal">
      <formula>$C29</formula>
    </cfRule>
    <cfRule type="cellIs" dxfId="12178" priority="4369" operator="greaterThan">
      <formula>$C29</formula>
    </cfRule>
    <cfRule type="cellIs" dxfId="12177" priority="4370" operator="lessThan">
      <formula>$C29</formula>
    </cfRule>
  </conditionalFormatting>
  <conditionalFormatting sqref="D30:E30">
    <cfRule type="expression" dxfId="12176" priority="4367">
      <formula>AND($A30&lt;&gt;"",MOD(ROW(),2))</formula>
    </cfRule>
  </conditionalFormatting>
  <conditionalFormatting sqref="D30">
    <cfRule type="cellIs" dxfId="12175" priority="4364" operator="equal">
      <formula>$C30</formula>
    </cfRule>
    <cfRule type="cellIs" dxfId="12174" priority="4365" operator="greaterThan">
      <formula>$C30</formula>
    </cfRule>
    <cfRule type="cellIs" dxfId="12173" priority="4366" operator="lessThan">
      <formula>$C30</formula>
    </cfRule>
  </conditionalFormatting>
  <conditionalFormatting sqref="D31:E31">
    <cfRule type="expression" dxfId="12172" priority="4363">
      <formula>AND($A31&lt;&gt;"",MOD(ROW(),2))</formula>
    </cfRule>
  </conditionalFormatting>
  <conditionalFormatting sqref="D31">
    <cfRule type="cellIs" dxfId="12171" priority="4360" operator="equal">
      <formula>$C31</formula>
    </cfRule>
    <cfRule type="cellIs" dxfId="12170" priority="4361" operator="greaterThan">
      <formula>$C31</formula>
    </cfRule>
    <cfRule type="cellIs" dxfId="12169" priority="4362" operator="lessThan">
      <formula>$C31</formula>
    </cfRule>
  </conditionalFormatting>
  <conditionalFormatting sqref="D32:E32">
    <cfRule type="expression" dxfId="12168" priority="4359">
      <formula>AND($A32&lt;&gt;"",MOD(ROW(),2))</formula>
    </cfRule>
  </conditionalFormatting>
  <conditionalFormatting sqref="D32">
    <cfRule type="cellIs" dxfId="12167" priority="4356" operator="equal">
      <formula>$C32</formula>
    </cfRule>
    <cfRule type="cellIs" dxfId="12166" priority="4357" operator="greaterThan">
      <formula>$C32</formula>
    </cfRule>
    <cfRule type="cellIs" dxfId="12165" priority="4358" operator="lessThan">
      <formula>$C32</formula>
    </cfRule>
  </conditionalFormatting>
  <conditionalFormatting sqref="D33:E33">
    <cfRule type="expression" dxfId="12164" priority="4355">
      <formula>AND($A33&lt;&gt;"",MOD(ROW(),2))</formula>
    </cfRule>
  </conditionalFormatting>
  <conditionalFormatting sqref="D33">
    <cfRule type="cellIs" dxfId="12163" priority="4352" operator="equal">
      <formula>$C33</formula>
    </cfRule>
    <cfRule type="cellIs" dxfId="12162" priority="4353" operator="greaterThan">
      <formula>$C33</formula>
    </cfRule>
    <cfRule type="cellIs" dxfId="12161" priority="4354" operator="lessThan">
      <formula>$C33</formula>
    </cfRule>
  </conditionalFormatting>
  <conditionalFormatting sqref="D34:E34">
    <cfRule type="expression" dxfId="12160" priority="4351">
      <formula>AND($A34&lt;&gt;"",MOD(ROW(),2))</formula>
    </cfRule>
  </conditionalFormatting>
  <conditionalFormatting sqref="D34">
    <cfRule type="cellIs" dxfId="12159" priority="4348" operator="equal">
      <formula>$C34</formula>
    </cfRule>
    <cfRule type="cellIs" dxfId="12158" priority="4349" operator="greaterThan">
      <formula>$C34</formula>
    </cfRule>
    <cfRule type="cellIs" dxfId="12157" priority="4350" operator="lessThan">
      <formula>$C34</formula>
    </cfRule>
  </conditionalFormatting>
  <conditionalFormatting sqref="D35:E35">
    <cfRule type="expression" dxfId="12156" priority="4347">
      <formula>AND($A35&lt;&gt;"",MOD(ROW(),2))</formula>
    </cfRule>
  </conditionalFormatting>
  <conditionalFormatting sqref="D35">
    <cfRule type="cellIs" dxfId="12155" priority="4344" operator="equal">
      <formula>$C35</formula>
    </cfRule>
    <cfRule type="cellIs" dxfId="12154" priority="4345" operator="greaterThan">
      <formula>$C35</formula>
    </cfRule>
    <cfRule type="cellIs" dxfId="12153" priority="4346" operator="lessThan">
      <formula>$C35</formula>
    </cfRule>
  </conditionalFormatting>
  <conditionalFormatting sqref="D36:E36">
    <cfRule type="expression" dxfId="12152" priority="4343">
      <formula>AND($A36&lt;&gt;"",MOD(ROW(),2))</formula>
    </cfRule>
  </conditionalFormatting>
  <conditionalFormatting sqref="D36">
    <cfRule type="cellIs" dxfId="12151" priority="4340" operator="equal">
      <formula>$C36</formula>
    </cfRule>
    <cfRule type="cellIs" dxfId="12150" priority="4341" operator="greaterThan">
      <formula>$C36</formula>
    </cfRule>
    <cfRule type="cellIs" dxfId="12149" priority="4342" operator="lessThan">
      <formula>$C36</formula>
    </cfRule>
  </conditionalFormatting>
  <conditionalFormatting sqref="D37:E37">
    <cfRule type="expression" dxfId="12148" priority="4339">
      <formula>AND($A37&lt;&gt;"",MOD(ROW(),2))</formula>
    </cfRule>
  </conditionalFormatting>
  <conditionalFormatting sqref="D37">
    <cfRule type="cellIs" dxfId="12147" priority="4336" operator="equal">
      <formula>$C37</formula>
    </cfRule>
    <cfRule type="cellIs" dxfId="12146" priority="4337" operator="greaterThan">
      <formula>$C37</formula>
    </cfRule>
    <cfRule type="cellIs" dxfId="12145" priority="4338" operator="lessThan">
      <formula>$C37</formula>
    </cfRule>
  </conditionalFormatting>
  <conditionalFormatting sqref="D38:E38">
    <cfRule type="expression" dxfId="12144" priority="4335">
      <formula>AND($A38&lt;&gt;"",MOD(ROW(),2))</formula>
    </cfRule>
  </conditionalFormatting>
  <conditionalFormatting sqref="D38">
    <cfRule type="cellIs" dxfId="12143" priority="4332" operator="equal">
      <formula>$C38</formula>
    </cfRule>
    <cfRule type="cellIs" dxfId="12142" priority="4333" operator="greaterThan">
      <formula>$C38</formula>
    </cfRule>
    <cfRule type="cellIs" dxfId="12141" priority="4334" operator="lessThan">
      <formula>$C38</formula>
    </cfRule>
  </conditionalFormatting>
  <conditionalFormatting sqref="D39:E39">
    <cfRule type="expression" dxfId="12140" priority="4331">
      <formula>AND($A39&lt;&gt;"",MOD(ROW(),2))</formula>
    </cfRule>
  </conditionalFormatting>
  <conditionalFormatting sqref="D39">
    <cfRule type="cellIs" dxfId="12139" priority="4328" operator="equal">
      <formula>$C39</formula>
    </cfRule>
    <cfRule type="cellIs" dxfId="12138" priority="4329" operator="greaterThan">
      <formula>$C39</formula>
    </cfRule>
    <cfRule type="cellIs" dxfId="12137" priority="4330" operator="lessThan">
      <formula>$C39</formula>
    </cfRule>
  </conditionalFormatting>
  <conditionalFormatting sqref="D40:E40">
    <cfRule type="expression" dxfId="12136" priority="4327">
      <formula>AND($A40&lt;&gt;"",MOD(ROW(),2))</formula>
    </cfRule>
  </conditionalFormatting>
  <conditionalFormatting sqref="D40">
    <cfRule type="cellIs" dxfId="12135" priority="4324" operator="equal">
      <formula>$C40</formula>
    </cfRule>
    <cfRule type="cellIs" dxfId="12134" priority="4325" operator="greaterThan">
      <formula>$C40</formula>
    </cfRule>
    <cfRule type="cellIs" dxfId="12133" priority="4326" operator="lessThan">
      <formula>$C40</formula>
    </cfRule>
  </conditionalFormatting>
  <conditionalFormatting sqref="D41:E41">
    <cfRule type="expression" dxfId="12132" priority="4323">
      <formula>AND($A41&lt;&gt;"",MOD(ROW(),2))</formula>
    </cfRule>
  </conditionalFormatting>
  <conditionalFormatting sqref="D41">
    <cfRule type="cellIs" dxfId="12131" priority="4320" operator="equal">
      <formula>$C41</formula>
    </cfRule>
    <cfRule type="cellIs" dxfId="12130" priority="4321" operator="greaterThan">
      <formula>$C41</formula>
    </cfRule>
    <cfRule type="cellIs" dxfId="12129" priority="4322" operator="lessThan">
      <formula>$C41</formula>
    </cfRule>
  </conditionalFormatting>
  <conditionalFormatting sqref="D42:E42">
    <cfRule type="expression" dxfId="12128" priority="4319">
      <formula>AND($A42&lt;&gt;"",MOD(ROW(),2))</formula>
    </cfRule>
  </conditionalFormatting>
  <conditionalFormatting sqref="D42">
    <cfRule type="cellIs" dxfId="12127" priority="4316" operator="equal">
      <formula>$C42</formula>
    </cfRule>
    <cfRule type="cellIs" dxfId="12126" priority="4317" operator="greaterThan">
      <formula>$C42</formula>
    </cfRule>
    <cfRule type="cellIs" dxfId="12125" priority="4318" operator="lessThan">
      <formula>$C42</formula>
    </cfRule>
  </conditionalFormatting>
  <conditionalFormatting sqref="D43:E43">
    <cfRule type="expression" dxfId="12124" priority="4315">
      <formula>AND($A43&lt;&gt;"",MOD(ROW(),2))</formula>
    </cfRule>
  </conditionalFormatting>
  <conditionalFormatting sqref="D43">
    <cfRule type="cellIs" dxfId="12123" priority="4312" operator="equal">
      <formula>$C43</formula>
    </cfRule>
    <cfRule type="cellIs" dxfId="12122" priority="4313" operator="greaterThan">
      <formula>$C43</formula>
    </cfRule>
    <cfRule type="cellIs" dxfId="12121" priority="4314" operator="lessThan">
      <formula>$C43</formula>
    </cfRule>
  </conditionalFormatting>
  <conditionalFormatting sqref="D44:E44">
    <cfRule type="expression" dxfId="12120" priority="4311">
      <formula>AND($A44&lt;&gt;"",MOD(ROW(),2))</formula>
    </cfRule>
  </conditionalFormatting>
  <conditionalFormatting sqref="D44">
    <cfRule type="cellIs" dxfId="12119" priority="4308" operator="equal">
      <formula>$C44</formula>
    </cfRule>
    <cfRule type="cellIs" dxfId="12118" priority="4309" operator="greaterThan">
      <formula>$C44</formula>
    </cfRule>
    <cfRule type="cellIs" dxfId="12117" priority="4310" operator="lessThan">
      <formula>$C44</formula>
    </cfRule>
  </conditionalFormatting>
  <conditionalFormatting sqref="D45:E45">
    <cfRule type="expression" dxfId="12116" priority="4307">
      <formula>AND($A45&lt;&gt;"",MOD(ROW(),2))</formula>
    </cfRule>
  </conditionalFormatting>
  <conditionalFormatting sqref="D45">
    <cfRule type="cellIs" dxfId="12115" priority="4304" operator="equal">
      <formula>$C45</formula>
    </cfRule>
    <cfRule type="cellIs" dxfId="12114" priority="4305" operator="greaterThan">
      <formula>$C45</formula>
    </cfRule>
    <cfRule type="cellIs" dxfId="12113" priority="4306" operator="lessThan">
      <formula>$C45</formula>
    </cfRule>
  </conditionalFormatting>
  <conditionalFormatting sqref="D46:E46">
    <cfRule type="expression" dxfId="12112" priority="4303">
      <formula>AND($A46&lt;&gt;"",MOD(ROW(),2))</formula>
    </cfRule>
  </conditionalFormatting>
  <conditionalFormatting sqref="D46">
    <cfRule type="cellIs" dxfId="12111" priority="4300" operator="equal">
      <formula>$C46</formula>
    </cfRule>
    <cfRule type="cellIs" dxfId="12110" priority="4301" operator="greaterThan">
      <formula>$C46</formula>
    </cfRule>
    <cfRule type="cellIs" dxfId="12109" priority="4302" operator="lessThan">
      <formula>$C46</formula>
    </cfRule>
  </conditionalFormatting>
  <conditionalFormatting sqref="D47:E47">
    <cfRule type="expression" dxfId="12108" priority="4299">
      <formula>AND($A47&lt;&gt;"",MOD(ROW(),2))</formula>
    </cfRule>
  </conditionalFormatting>
  <conditionalFormatting sqref="D47">
    <cfRule type="cellIs" dxfId="12107" priority="4296" operator="equal">
      <formula>$C47</formula>
    </cfRule>
    <cfRule type="cellIs" dxfId="12106" priority="4297" operator="greaterThan">
      <formula>$C47</formula>
    </cfRule>
    <cfRule type="cellIs" dxfId="12105" priority="4298" operator="lessThan">
      <formula>$C47</formula>
    </cfRule>
  </conditionalFormatting>
  <conditionalFormatting sqref="D48:E48">
    <cfRule type="expression" dxfId="12104" priority="4295">
      <formula>AND($A48&lt;&gt;"",MOD(ROW(),2))</formula>
    </cfRule>
  </conditionalFormatting>
  <conditionalFormatting sqref="D48">
    <cfRule type="cellIs" dxfId="12103" priority="4292" operator="equal">
      <formula>$C48</formula>
    </cfRule>
    <cfRule type="cellIs" dxfId="12102" priority="4293" operator="greaterThan">
      <formula>$C48</formula>
    </cfRule>
    <cfRule type="cellIs" dxfId="12101" priority="4294" operator="lessThan">
      <formula>$C48</formula>
    </cfRule>
  </conditionalFormatting>
  <conditionalFormatting sqref="D49:E49">
    <cfRule type="expression" dxfId="12100" priority="4291">
      <formula>AND($A49&lt;&gt;"",MOD(ROW(),2))</formula>
    </cfRule>
  </conditionalFormatting>
  <conditionalFormatting sqref="D49">
    <cfRule type="cellIs" dxfId="12099" priority="4288" operator="equal">
      <formula>$C49</formula>
    </cfRule>
    <cfRule type="cellIs" dxfId="12098" priority="4289" operator="greaterThan">
      <formula>$C49</formula>
    </cfRule>
    <cfRule type="cellIs" dxfId="12097" priority="4290" operator="lessThan">
      <formula>$C49</formula>
    </cfRule>
  </conditionalFormatting>
  <conditionalFormatting sqref="D29:E29">
    <cfRule type="expression" dxfId="12096" priority="4287">
      <formula>AND($A29&lt;&gt;"",MOD(ROW(),2))</formula>
    </cfRule>
  </conditionalFormatting>
  <conditionalFormatting sqref="D29">
    <cfRule type="cellIs" dxfId="12095" priority="4284" operator="equal">
      <formula>$C29</formula>
    </cfRule>
    <cfRule type="cellIs" dxfId="12094" priority="4285" operator="greaterThan">
      <formula>$C29</formula>
    </cfRule>
    <cfRule type="cellIs" dxfId="12093" priority="4286" operator="lessThan">
      <formula>$C29</formula>
    </cfRule>
  </conditionalFormatting>
  <conditionalFormatting sqref="D30:E30">
    <cfRule type="expression" dxfId="12092" priority="4283">
      <formula>AND($A30&lt;&gt;"",MOD(ROW(),2))</formula>
    </cfRule>
  </conditionalFormatting>
  <conditionalFormatting sqref="D30">
    <cfRule type="cellIs" dxfId="12091" priority="4280" operator="equal">
      <formula>$C30</formula>
    </cfRule>
    <cfRule type="cellIs" dxfId="12090" priority="4281" operator="greaterThan">
      <formula>$C30</formula>
    </cfRule>
    <cfRule type="cellIs" dxfId="12089" priority="4282" operator="lessThan">
      <formula>$C30</formula>
    </cfRule>
  </conditionalFormatting>
  <conditionalFormatting sqref="D31:E31">
    <cfRule type="expression" dxfId="12088" priority="4279">
      <formula>AND($A31&lt;&gt;"",MOD(ROW(),2))</formula>
    </cfRule>
  </conditionalFormatting>
  <conditionalFormatting sqref="D31">
    <cfRule type="cellIs" dxfId="12087" priority="4276" operator="equal">
      <formula>$C31</formula>
    </cfRule>
    <cfRule type="cellIs" dxfId="12086" priority="4277" operator="greaterThan">
      <formula>$C31</formula>
    </cfRule>
    <cfRule type="cellIs" dxfId="12085" priority="4278" operator="lessThan">
      <formula>$C31</formula>
    </cfRule>
  </conditionalFormatting>
  <conditionalFormatting sqref="D32:E32">
    <cfRule type="expression" dxfId="12084" priority="4275">
      <formula>AND($A32&lt;&gt;"",MOD(ROW(),2))</formula>
    </cfRule>
  </conditionalFormatting>
  <conditionalFormatting sqref="D32">
    <cfRule type="cellIs" dxfId="12083" priority="4272" operator="equal">
      <formula>$C32</formula>
    </cfRule>
    <cfRule type="cellIs" dxfId="12082" priority="4273" operator="greaterThan">
      <formula>$C32</formula>
    </cfRule>
    <cfRule type="cellIs" dxfId="12081" priority="4274" operator="lessThan">
      <formula>$C32</formula>
    </cfRule>
  </conditionalFormatting>
  <conditionalFormatting sqref="D33:E33">
    <cfRule type="expression" dxfId="12080" priority="4271">
      <formula>AND($A33&lt;&gt;"",MOD(ROW(),2))</formula>
    </cfRule>
  </conditionalFormatting>
  <conditionalFormatting sqref="D33">
    <cfRule type="cellIs" dxfId="12079" priority="4268" operator="equal">
      <formula>$C33</formula>
    </cfRule>
    <cfRule type="cellIs" dxfId="12078" priority="4269" operator="greaterThan">
      <formula>$C33</formula>
    </cfRule>
    <cfRule type="cellIs" dxfId="12077" priority="4270" operator="lessThan">
      <formula>$C33</formula>
    </cfRule>
  </conditionalFormatting>
  <conditionalFormatting sqref="D34:E34">
    <cfRule type="expression" dxfId="12076" priority="4267">
      <formula>AND($A34&lt;&gt;"",MOD(ROW(),2))</formula>
    </cfRule>
  </conditionalFormatting>
  <conditionalFormatting sqref="D34">
    <cfRule type="cellIs" dxfId="12075" priority="4264" operator="equal">
      <formula>$C34</formula>
    </cfRule>
    <cfRule type="cellIs" dxfId="12074" priority="4265" operator="greaterThan">
      <formula>$C34</formula>
    </cfRule>
    <cfRule type="cellIs" dxfId="12073" priority="4266" operator="lessThan">
      <formula>$C34</formula>
    </cfRule>
  </conditionalFormatting>
  <conditionalFormatting sqref="D35:E35">
    <cfRule type="expression" dxfId="12072" priority="4263">
      <formula>AND($A35&lt;&gt;"",MOD(ROW(),2))</formula>
    </cfRule>
  </conditionalFormatting>
  <conditionalFormatting sqref="D35">
    <cfRule type="cellIs" dxfId="12071" priority="4260" operator="equal">
      <formula>$C35</formula>
    </cfRule>
    <cfRule type="cellIs" dxfId="12070" priority="4261" operator="greaterThan">
      <formula>$C35</formula>
    </cfRule>
    <cfRule type="cellIs" dxfId="12069" priority="4262" operator="lessThan">
      <formula>$C35</formula>
    </cfRule>
  </conditionalFormatting>
  <conditionalFormatting sqref="D36:E36">
    <cfRule type="expression" dxfId="12068" priority="4259">
      <formula>AND($A36&lt;&gt;"",MOD(ROW(),2))</formula>
    </cfRule>
  </conditionalFormatting>
  <conditionalFormatting sqref="D36">
    <cfRule type="cellIs" dxfId="12067" priority="4256" operator="equal">
      <formula>$C36</formula>
    </cfRule>
    <cfRule type="cellIs" dxfId="12066" priority="4257" operator="greaterThan">
      <formula>$C36</formula>
    </cfRule>
    <cfRule type="cellIs" dxfId="12065" priority="4258" operator="lessThan">
      <formula>$C36</formula>
    </cfRule>
  </conditionalFormatting>
  <conditionalFormatting sqref="D37:E37">
    <cfRule type="expression" dxfId="12064" priority="4255">
      <formula>AND($A37&lt;&gt;"",MOD(ROW(),2))</formula>
    </cfRule>
  </conditionalFormatting>
  <conditionalFormatting sqref="D37">
    <cfRule type="cellIs" dxfId="12063" priority="4252" operator="equal">
      <formula>$C37</formula>
    </cfRule>
    <cfRule type="cellIs" dxfId="12062" priority="4253" operator="greaterThan">
      <formula>$C37</formula>
    </cfRule>
    <cfRule type="cellIs" dxfId="12061" priority="4254" operator="lessThan">
      <formula>$C37</formula>
    </cfRule>
  </conditionalFormatting>
  <conditionalFormatting sqref="D38:E38">
    <cfRule type="expression" dxfId="12060" priority="4251">
      <formula>AND($A38&lt;&gt;"",MOD(ROW(),2))</formula>
    </cfRule>
  </conditionalFormatting>
  <conditionalFormatting sqref="D38">
    <cfRule type="cellIs" dxfId="12059" priority="4248" operator="equal">
      <formula>$C38</formula>
    </cfRule>
    <cfRule type="cellIs" dxfId="12058" priority="4249" operator="greaterThan">
      <formula>$C38</formula>
    </cfRule>
    <cfRule type="cellIs" dxfId="12057" priority="4250" operator="lessThan">
      <formula>$C38</formula>
    </cfRule>
  </conditionalFormatting>
  <conditionalFormatting sqref="D39:E39">
    <cfRule type="expression" dxfId="12056" priority="4247">
      <formula>AND($A39&lt;&gt;"",MOD(ROW(),2))</formula>
    </cfRule>
  </conditionalFormatting>
  <conditionalFormatting sqref="D39">
    <cfRule type="cellIs" dxfId="12055" priority="4244" operator="equal">
      <formula>$C39</formula>
    </cfRule>
    <cfRule type="cellIs" dxfId="12054" priority="4245" operator="greaterThan">
      <formula>$C39</formula>
    </cfRule>
    <cfRule type="cellIs" dxfId="12053" priority="4246" operator="lessThan">
      <formula>$C39</formula>
    </cfRule>
  </conditionalFormatting>
  <conditionalFormatting sqref="D40:E40">
    <cfRule type="expression" dxfId="12052" priority="4243">
      <formula>AND($A40&lt;&gt;"",MOD(ROW(),2))</formula>
    </cfRule>
  </conditionalFormatting>
  <conditionalFormatting sqref="D40">
    <cfRule type="cellIs" dxfId="12051" priority="4240" operator="equal">
      <formula>$C40</formula>
    </cfRule>
    <cfRule type="cellIs" dxfId="12050" priority="4241" operator="greaterThan">
      <formula>$C40</formula>
    </cfRule>
    <cfRule type="cellIs" dxfId="12049" priority="4242" operator="lessThan">
      <formula>$C40</formula>
    </cfRule>
  </conditionalFormatting>
  <conditionalFormatting sqref="D41:E41">
    <cfRule type="expression" dxfId="12048" priority="4239">
      <formula>AND($A41&lt;&gt;"",MOD(ROW(),2))</formula>
    </cfRule>
  </conditionalFormatting>
  <conditionalFormatting sqref="D41">
    <cfRule type="cellIs" dxfId="12047" priority="4236" operator="equal">
      <formula>$C41</formula>
    </cfRule>
    <cfRule type="cellIs" dxfId="12046" priority="4237" operator="greaterThan">
      <formula>$C41</formula>
    </cfRule>
    <cfRule type="cellIs" dxfId="12045" priority="4238" operator="lessThan">
      <formula>$C41</formula>
    </cfRule>
  </conditionalFormatting>
  <conditionalFormatting sqref="D42:E42">
    <cfRule type="expression" dxfId="12044" priority="4235">
      <formula>AND($A42&lt;&gt;"",MOD(ROW(),2))</formula>
    </cfRule>
  </conditionalFormatting>
  <conditionalFormatting sqref="D42">
    <cfRule type="cellIs" dxfId="12043" priority="4232" operator="equal">
      <formula>$C42</formula>
    </cfRule>
    <cfRule type="cellIs" dxfId="12042" priority="4233" operator="greaterThan">
      <formula>$C42</formula>
    </cfRule>
    <cfRule type="cellIs" dxfId="12041" priority="4234" operator="lessThan">
      <formula>$C42</formula>
    </cfRule>
  </conditionalFormatting>
  <conditionalFormatting sqref="D43:E43">
    <cfRule type="expression" dxfId="12040" priority="4231">
      <formula>AND($A43&lt;&gt;"",MOD(ROW(),2))</formula>
    </cfRule>
  </conditionalFormatting>
  <conditionalFormatting sqref="D43">
    <cfRule type="cellIs" dxfId="12039" priority="4228" operator="equal">
      <formula>$C43</formula>
    </cfRule>
    <cfRule type="cellIs" dxfId="12038" priority="4229" operator="greaterThan">
      <formula>$C43</formula>
    </cfRule>
    <cfRule type="cellIs" dxfId="12037" priority="4230" operator="lessThan">
      <formula>$C43</formula>
    </cfRule>
  </conditionalFormatting>
  <conditionalFormatting sqref="D44:E44">
    <cfRule type="expression" dxfId="12036" priority="4227">
      <formula>AND($A44&lt;&gt;"",MOD(ROW(),2))</formula>
    </cfRule>
  </conditionalFormatting>
  <conditionalFormatting sqref="D44">
    <cfRule type="cellIs" dxfId="12035" priority="4224" operator="equal">
      <formula>$C44</formula>
    </cfRule>
    <cfRule type="cellIs" dxfId="12034" priority="4225" operator="greaterThan">
      <formula>$C44</formula>
    </cfRule>
    <cfRule type="cellIs" dxfId="12033" priority="4226" operator="lessThan">
      <formula>$C44</formula>
    </cfRule>
  </conditionalFormatting>
  <conditionalFormatting sqref="D45:E45">
    <cfRule type="expression" dxfId="12032" priority="4223">
      <formula>AND($A45&lt;&gt;"",MOD(ROW(),2))</formula>
    </cfRule>
  </conditionalFormatting>
  <conditionalFormatting sqref="D45">
    <cfRule type="cellIs" dxfId="12031" priority="4220" operator="equal">
      <formula>$C45</formula>
    </cfRule>
    <cfRule type="cellIs" dxfId="12030" priority="4221" operator="greaterThan">
      <formula>$C45</formula>
    </cfRule>
    <cfRule type="cellIs" dxfId="12029" priority="4222" operator="lessThan">
      <formula>$C45</formula>
    </cfRule>
  </conditionalFormatting>
  <conditionalFormatting sqref="D46:E46">
    <cfRule type="expression" dxfId="12028" priority="4219">
      <formula>AND($A46&lt;&gt;"",MOD(ROW(),2))</formula>
    </cfRule>
  </conditionalFormatting>
  <conditionalFormatting sqref="D46">
    <cfRule type="cellIs" dxfId="12027" priority="4216" operator="equal">
      <formula>$C46</formula>
    </cfRule>
    <cfRule type="cellIs" dxfId="12026" priority="4217" operator="greaterThan">
      <formula>$C46</formula>
    </cfRule>
    <cfRule type="cellIs" dxfId="12025" priority="4218" operator="lessThan">
      <formula>$C46</formula>
    </cfRule>
  </conditionalFormatting>
  <conditionalFormatting sqref="D47:E47">
    <cfRule type="expression" dxfId="12024" priority="4215">
      <formula>AND($A47&lt;&gt;"",MOD(ROW(),2))</formula>
    </cfRule>
  </conditionalFormatting>
  <conditionalFormatting sqref="D47">
    <cfRule type="cellIs" dxfId="12023" priority="4212" operator="equal">
      <formula>$C47</formula>
    </cfRule>
    <cfRule type="cellIs" dxfId="12022" priority="4213" operator="greaterThan">
      <formula>$C47</formula>
    </cfRule>
    <cfRule type="cellIs" dxfId="12021" priority="4214" operator="lessThan">
      <formula>$C47</formula>
    </cfRule>
  </conditionalFormatting>
  <conditionalFormatting sqref="D48:E48">
    <cfRule type="expression" dxfId="12020" priority="4211">
      <formula>AND($A48&lt;&gt;"",MOD(ROW(),2))</formula>
    </cfRule>
  </conditionalFormatting>
  <conditionalFormatting sqref="D48">
    <cfRule type="cellIs" dxfId="12019" priority="4208" operator="equal">
      <formula>$C48</formula>
    </cfRule>
    <cfRule type="cellIs" dxfId="12018" priority="4209" operator="greaterThan">
      <formula>$C48</formula>
    </cfRule>
    <cfRule type="cellIs" dxfId="12017" priority="4210" operator="lessThan">
      <formula>$C48</formula>
    </cfRule>
  </conditionalFormatting>
  <conditionalFormatting sqref="D49:E49">
    <cfRule type="expression" dxfId="12016" priority="4207">
      <formula>AND($A49&lt;&gt;"",MOD(ROW(),2))</formula>
    </cfRule>
  </conditionalFormatting>
  <conditionalFormatting sqref="D49">
    <cfRule type="cellIs" dxfId="12015" priority="4204" operator="equal">
      <formula>$C49</formula>
    </cfRule>
    <cfRule type="cellIs" dxfId="12014" priority="4205" operator="greaterThan">
      <formula>$C49</formula>
    </cfRule>
    <cfRule type="cellIs" dxfId="12013" priority="4206" operator="lessThan">
      <formula>$C49</formula>
    </cfRule>
  </conditionalFormatting>
  <conditionalFormatting sqref="D29:E29">
    <cfRule type="expression" dxfId="12012" priority="4203">
      <formula>AND($A29&lt;&gt;"",MOD(ROW(),2))</formula>
    </cfRule>
  </conditionalFormatting>
  <conditionalFormatting sqref="D29">
    <cfRule type="cellIs" dxfId="12011" priority="4200" operator="equal">
      <formula>$C29</formula>
    </cfRule>
    <cfRule type="cellIs" dxfId="12010" priority="4201" operator="greaterThan">
      <formula>$C29</formula>
    </cfRule>
    <cfRule type="cellIs" dxfId="12009" priority="4202" operator="lessThan">
      <formula>$C29</formula>
    </cfRule>
  </conditionalFormatting>
  <conditionalFormatting sqref="D30:E30">
    <cfRule type="expression" dxfId="12008" priority="4199">
      <formula>AND($A30&lt;&gt;"",MOD(ROW(),2))</formula>
    </cfRule>
  </conditionalFormatting>
  <conditionalFormatting sqref="D30">
    <cfRule type="cellIs" dxfId="12007" priority="4196" operator="equal">
      <formula>$C30</formula>
    </cfRule>
    <cfRule type="cellIs" dxfId="12006" priority="4197" operator="greaterThan">
      <formula>$C30</formula>
    </cfRule>
    <cfRule type="cellIs" dxfId="12005" priority="4198" operator="lessThan">
      <formula>$C30</formula>
    </cfRule>
  </conditionalFormatting>
  <conditionalFormatting sqref="D31:E31">
    <cfRule type="expression" dxfId="12004" priority="4195">
      <formula>AND($A31&lt;&gt;"",MOD(ROW(),2))</formula>
    </cfRule>
  </conditionalFormatting>
  <conditionalFormatting sqref="D31">
    <cfRule type="cellIs" dxfId="12003" priority="4192" operator="equal">
      <formula>$C31</formula>
    </cfRule>
    <cfRule type="cellIs" dxfId="12002" priority="4193" operator="greaterThan">
      <formula>$C31</formula>
    </cfRule>
    <cfRule type="cellIs" dxfId="12001" priority="4194" operator="lessThan">
      <formula>$C31</formula>
    </cfRule>
  </conditionalFormatting>
  <conditionalFormatting sqref="D32:E32">
    <cfRule type="expression" dxfId="12000" priority="4191">
      <formula>AND($A32&lt;&gt;"",MOD(ROW(),2))</formula>
    </cfRule>
  </conditionalFormatting>
  <conditionalFormatting sqref="D32">
    <cfRule type="cellIs" dxfId="11999" priority="4188" operator="equal">
      <formula>$C32</formula>
    </cfRule>
    <cfRule type="cellIs" dxfId="11998" priority="4189" operator="greaterThan">
      <formula>$C32</formula>
    </cfRule>
    <cfRule type="cellIs" dxfId="11997" priority="4190" operator="lessThan">
      <formula>$C32</formula>
    </cfRule>
  </conditionalFormatting>
  <conditionalFormatting sqref="D33:E33">
    <cfRule type="expression" dxfId="11996" priority="4187">
      <formula>AND($A33&lt;&gt;"",MOD(ROW(),2))</formula>
    </cfRule>
  </conditionalFormatting>
  <conditionalFormatting sqref="D33">
    <cfRule type="cellIs" dxfId="11995" priority="4184" operator="equal">
      <formula>$C33</formula>
    </cfRule>
    <cfRule type="cellIs" dxfId="11994" priority="4185" operator="greaterThan">
      <formula>$C33</formula>
    </cfRule>
    <cfRule type="cellIs" dxfId="11993" priority="4186" operator="lessThan">
      <formula>$C33</formula>
    </cfRule>
  </conditionalFormatting>
  <conditionalFormatting sqref="D34:E34">
    <cfRule type="expression" dxfId="11992" priority="4183">
      <formula>AND($A34&lt;&gt;"",MOD(ROW(),2))</formula>
    </cfRule>
  </conditionalFormatting>
  <conditionalFormatting sqref="D34">
    <cfRule type="cellIs" dxfId="11991" priority="4180" operator="equal">
      <formula>$C34</formula>
    </cfRule>
    <cfRule type="cellIs" dxfId="11990" priority="4181" operator="greaterThan">
      <formula>$C34</formula>
    </cfRule>
    <cfRule type="cellIs" dxfId="11989" priority="4182" operator="lessThan">
      <formula>$C34</formula>
    </cfRule>
  </conditionalFormatting>
  <conditionalFormatting sqref="D35:E35">
    <cfRule type="expression" dxfId="11988" priority="4179">
      <formula>AND($A35&lt;&gt;"",MOD(ROW(),2))</formula>
    </cfRule>
  </conditionalFormatting>
  <conditionalFormatting sqref="D35">
    <cfRule type="cellIs" dxfId="11987" priority="4176" operator="equal">
      <formula>$C35</formula>
    </cfRule>
    <cfRule type="cellIs" dxfId="11986" priority="4177" operator="greaterThan">
      <formula>$C35</formula>
    </cfRule>
    <cfRule type="cellIs" dxfId="11985" priority="4178" operator="lessThan">
      <formula>$C35</formula>
    </cfRule>
  </conditionalFormatting>
  <conditionalFormatting sqref="D36:E36">
    <cfRule type="expression" dxfId="11984" priority="4175">
      <formula>AND($A36&lt;&gt;"",MOD(ROW(),2))</formula>
    </cfRule>
  </conditionalFormatting>
  <conditionalFormatting sqref="D36">
    <cfRule type="cellIs" dxfId="11983" priority="4172" operator="equal">
      <formula>$C36</formula>
    </cfRule>
    <cfRule type="cellIs" dxfId="11982" priority="4173" operator="greaterThan">
      <formula>$C36</formula>
    </cfRule>
    <cfRule type="cellIs" dxfId="11981" priority="4174" operator="lessThan">
      <formula>$C36</formula>
    </cfRule>
  </conditionalFormatting>
  <conditionalFormatting sqref="D37:E37">
    <cfRule type="expression" dxfId="11980" priority="4171">
      <formula>AND($A37&lt;&gt;"",MOD(ROW(),2))</formula>
    </cfRule>
  </conditionalFormatting>
  <conditionalFormatting sqref="D37">
    <cfRule type="cellIs" dxfId="11979" priority="4168" operator="equal">
      <formula>$C37</formula>
    </cfRule>
    <cfRule type="cellIs" dxfId="11978" priority="4169" operator="greaterThan">
      <formula>$C37</formula>
    </cfRule>
    <cfRule type="cellIs" dxfId="11977" priority="4170" operator="lessThan">
      <formula>$C37</formula>
    </cfRule>
  </conditionalFormatting>
  <conditionalFormatting sqref="D38:E38">
    <cfRule type="expression" dxfId="11976" priority="4167">
      <formula>AND($A38&lt;&gt;"",MOD(ROW(),2))</formula>
    </cfRule>
  </conditionalFormatting>
  <conditionalFormatting sqref="D38">
    <cfRule type="cellIs" dxfId="11975" priority="4164" operator="equal">
      <formula>$C38</formula>
    </cfRule>
    <cfRule type="cellIs" dxfId="11974" priority="4165" operator="greaterThan">
      <formula>$C38</formula>
    </cfRule>
    <cfRule type="cellIs" dxfId="11973" priority="4166" operator="lessThan">
      <formula>$C38</formula>
    </cfRule>
  </conditionalFormatting>
  <conditionalFormatting sqref="D39:E39">
    <cfRule type="expression" dxfId="11972" priority="4163">
      <formula>AND($A39&lt;&gt;"",MOD(ROW(),2))</formula>
    </cfRule>
  </conditionalFormatting>
  <conditionalFormatting sqref="D39">
    <cfRule type="cellIs" dxfId="11971" priority="4160" operator="equal">
      <formula>$C39</formula>
    </cfRule>
    <cfRule type="cellIs" dxfId="11970" priority="4161" operator="greaterThan">
      <formula>$C39</formula>
    </cfRule>
    <cfRule type="cellIs" dxfId="11969" priority="4162" operator="lessThan">
      <formula>$C39</formula>
    </cfRule>
  </conditionalFormatting>
  <conditionalFormatting sqref="D40:E40">
    <cfRule type="expression" dxfId="11968" priority="4159">
      <formula>AND($A40&lt;&gt;"",MOD(ROW(),2))</formula>
    </cfRule>
  </conditionalFormatting>
  <conditionalFormatting sqref="D40">
    <cfRule type="cellIs" dxfId="11967" priority="4156" operator="equal">
      <formula>$C40</formula>
    </cfRule>
    <cfRule type="cellIs" dxfId="11966" priority="4157" operator="greaterThan">
      <formula>$C40</formula>
    </cfRule>
    <cfRule type="cellIs" dxfId="11965" priority="4158" operator="lessThan">
      <formula>$C40</formula>
    </cfRule>
  </conditionalFormatting>
  <conditionalFormatting sqref="D41:E41">
    <cfRule type="expression" dxfId="11964" priority="4155">
      <formula>AND($A41&lt;&gt;"",MOD(ROW(),2))</formula>
    </cfRule>
  </conditionalFormatting>
  <conditionalFormatting sqref="D41">
    <cfRule type="cellIs" dxfId="11963" priority="4152" operator="equal">
      <formula>$C41</formula>
    </cfRule>
    <cfRule type="cellIs" dxfId="11962" priority="4153" operator="greaterThan">
      <formula>$C41</formula>
    </cfRule>
    <cfRule type="cellIs" dxfId="11961" priority="4154" operator="lessThan">
      <formula>$C41</formula>
    </cfRule>
  </conditionalFormatting>
  <conditionalFormatting sqref="D42:E42">
    <cfRule type="expression" dxfId="11960" priority="4151">
      <formula>AND($A42&lt;&gt;"",MOD(ROW(),2))</formula>
    </cfRule>
  </conditionalFormatting>
  <conditionalFormatting sqref="D42">
    <cfRule type="cellIs" dxfId="11959" priority="4148" operator="equal">
      <formula>$C42</formula>
    </cfRule>
    <cfRule type="cellIs" dxfId="11958" priority="4149" operator="greaterThan">
      <formula>$C42</formula>
    </cfRule>
    <cfRule type="cellIs" dxfId="11957" priority="4150" operator="lessThan">
      <formula>$C42</formula>
    </cfRule>
  </conditionalFormatting>
  <conditionalFormatting sqref="D43:E43">
    <cfRule type="expression" dxfId="11956" priority="4147">
      <formula>AND($A43&lt;&gt;"",MOD(ROW(),2))</formula>
    </cfRule>
  </conditionalFormatting>
  <conditionalFormatting sqref="D43">
    <cfRule type="cellIs" dxfId="11955" priority="4144" operator="equal">
      <formula>$C43</formula>
    </cfRule>
    <cfRule type="cellIs" dxfId="11954" priority="4145" operator="greaterThan">
      <formula>$C43</formula>
    </cfRule>
    <cfRule type="cellIs" dxfId="11953" priority="4146" operator="lessThan">
      <formula>$C43</formula>
    </cfRule>
  </conditionalFormatting>
  <conditionalFormatting sqref="D44:E44">
    <cfRule type="expression" dxfId="11952" priority="4143">
      <formula>AND($A44&lt;&gt;"",MOD(ROW(),2))</formula>
    </cfRule>
  </conditionalFormatting>
  <conditionalFormatting sqref="D44">
    <cfRule type="cellIs" dxfId="11951" priority="4140" operator="equal">
      <formula>$C44</formula>
    </cfRule>
    <cfRule type="cellIs" dxfId="11950" priority="4141" operator="greaterThan">
      <formula>$C44</formula>
    </cfRule>
    <cfRule type="cellIs" dxfId="11949" priority="4142" operator="lessThan">
      <formula>$C44</formula>
    </cfRule>
  </conditionalFormatting>
  <conditionalFormatting sqref="D45:E45">
    <cfRule type="expression" dxfId="11948" priority="4139">
      <formula>AND($A45&lt;&gt;"",MOD(ROW(),2))</formula>
    </cfRule>
  </conditionalFormatting>
  <conditionalFormatting sqref="D45">
    <cfRule type="cellIs" dxfId="11947" priority="4136" operator="equal">
      <formula>$C45</formula>
    </cfRule>
    <cfRule type="cellIs" dxfId="11946" priority="4137" operator="greaterThan">
      <formula>$C45</formula>
    </cfRule>
    <cfRule type="cellIs" dxfId="11945" priority="4138" operator="lessThan">
      <formula>$C45</formula>
    </cfRule>
  </conditionalFormatting>
  <conditionalFormatting sqref="D46:E46">
    <cfRule type="expression" dxfId="11944" priority="4135">
      <formula>AND($A46&lt;&gt;"",MOD(ROW(),2))</formula>
    </cfRule>
  </conditionalFormatting>
  <conditionalFormatting sqref="D46">
    <cfRule type="cellIs" dxfId="11943" priority="4132" operator="equal">
      <formula>$C46</formula>
    </cfRule>
    <cfRule type="cellIs" dxfId="11942" priority="4133" operator="greaterThan">
      <formula>$C46</formula>
    </cfRule>
    <cfRule type="cellIs" dxfId="11941" priority="4134" operator="lessThan">
      <formula>$C46</formula>
    </cfRule>
  </conditionalFormatting>
  <conditionalFormatting sqref="D47:E47">
    <cfRule type="expression" dxfId="11940" priority="4131">
      <formula>AND($A47&lt;&gt;"",MOD(ROW(),2))</formula>
    </cfRule>
  </conditionalFormatting>
  <conditionalFormatting sqref="D47">
    <cfRule type="cellIs" dxfId="11939" priority="4128" operator="equal">
      <formula>$C47</formula>
    </cfRule>
    <cfRule type="cellIs" dxfId="11938" priority="4129" operator="greaterThan">
      <formula>$C47</formula>
    </cfRule>
    <cfRule type="cellIs" dxfId="11937" priority="4130" operator="lessThan">
      <formula>$C47</formula>
    </cfRule>
  </conditionalFormatting>
  <conditionalFormatting sqref="D48:E48">
    <cfRule type="expression" dxfId="11936" priority="4127">
      <formula>AND($A48&lt;&gt;"",MOD(ROW(),2))</formula>
    </cfRule>
  </conditionalFormatting>
  <conditionalFormatting sqref="D48">
    <cfRule type="cellIs" dxfId="11935" priority="4124" operator="equal">
      <formula>$C48</formula>
    </cfRule>
    <cfRule type="cellIs" dxfId="11934" priority="4125" operator="greaterThan">
      <formula>$C48</formula>
    </cfRule>
    <cfRule type="cellIs" dxfId="11933" priority="4126" operator="lessThan">
      <formula>$C48</formula>
    </cfRule>
  </conditionalFormatting>
  <conditionalFormatting sqref="D49:E49">
    <cfRule type="expression" dxfId="11932" priority="4123">
      <formula>AND($A49&lt;&gt;"",MOD(ROW(),2))</formula>
    </cfRule>
  </conditionalFormatting>
  <conditionalFormatting sqref="D49">
    <cfRule type="cellIs" dxfId="11931" priority="4120" operator="equal">
      <formula>$C49</formula>
    </cfRule>
    <cfRule type="cellIs" dxfId="11930" priority="4121" operator="greaterThan">
      <formula>$C49</formula>
    </cfRule>
    <cfRule type="cellIs" dxfId="11929" priority="4122" operator="lessThan">
      <formula>$C49</formula>
    </cfRule>
  </conditionalFormatting>
  <conditionalFormatting sqref="D50:E50">
    <cfRule type="expression" dxfId="11928" priority="4119">
      <formula>AND($A50&lt;&gt;"",MOD(ROW(),2))</formula>
    </cfRule>
  </conditionalFormatting>
  <conditionalFormatting sqref="D50">
    <cfRule type="cellIs" dxfId="11927" priority="4116" operator="equal">
      <formula>$C50</formula>
    </cfRule>
    <cfRule type="cellIs" dxfId="11926" priority="4117" operator="greaterThan">
      <formula>$C50</formula>
    </cfRule>
    <cfRule type="cellIs" dxfId="11925" priority="4118" operator="lessThan">
      <formula>$C50</formula>
    </cfRule>
  </conditionalFormatting>
  <conditionalFormatting sqref="D29:E29">
    <cfRule type="expression" dxfId="11924" priority="4115">
      <formula>AND($A29&lt;&gt;"",MOD(ROW(),2))</formula>
    </cfRule>
  </conditionalFormatting>
  <conditionalFormatting sqref="D29">
    <cfRule type="cellIs" dxfId="11923" priority="4112" operator="equal">
      <formula>$C29</formula>
    </cfRule>
    <cfRule type="cellIs" dxfId="11922" priority="4113" operator="greaterThan">
      <formula>$C29</formula>
    </cfRule>
    <cfRule type="cellIs" dxfId="11921" priority="4114" operator="lessThan">
      <formula>$C29</formula>
    </cfRule>
  </conditionalFormatting>
  <conditionalFormatting sqref="D30:E30">
    <cfRule type="expression" dxfId="11920" priority="4111">
      <formula>AND($A30&lt;&gt;"",MOD(ROW(),2))</formula>
    </cfRule>
  </conditionalFormatting>
  <conditionalFormatting sqref="D30">
    <cfRule type="cellIs" dxfId="11919" priority="4108" operator="equal">
      <formula>$C30</formula>
    </cfRule>
    <cfRule type="cellIs" dxfId="11918" priority="4109" operator="greaterThan">
      <formula>$C30</formula>
    </cfRule>
    <cfRule type="cellIs" dxfId="11917" priority="4110" operator="lessThan">
      <formula>$C30</formula>
    </cfRule>
  </conditionalFormatting>
  <conditionalFormatting sqref="D31:E31">
    <cfRule type="expression" dxfId="11916" priority="4107">
      <formula>AND($A31&lt;&gt;"",MOD(ROW(),2))</formula>
    </cfRule>
  </conditionalFormatting>
  <conditionalFormatting sqref="D31">
    <cfRule type="cellIs" dxfId="11915" priority="4104" operator="equal">
      <formula>$C31</formula>
    </cfRule>
    <cfRule type="cellIs" dxfId="11914" priority="4105" operator="greaterThan">
      <formula>$C31</formula>
    </cfRule>
    <cfRule type="cellIs" dxfId="11913" priority="4106" operator="lessThan">
      <formula>$C31</formula>
    </cfRule>
  </conditionalFormatting>
  <conditionalFormatting sqref="D32:E32">
    <cfRule type="expression" dxfId="11912" priority="4103">
      <formula>AND($A32&lt;&gt;"",MOD(ROW(),2))</formula>
    </cfRule>
  </conditionalFormatting>
  <conditionalFormatting sqref="D32">
    <cfRule type="cellIs" dxfId="11911" priority="4100" operator="equal">
      <formula>$C32</formula>
    </cfRule>
    <cfRule type="cellIs" dxfId="11910" priority="4101" operator="greaterThan">
      <formula>$C32</formula>
    </cfRule>
    <cfRule type="cellIs" dxfId="11909" priority="4102" operator="lessThan">
      <formula>$C32</formula>
    </cfRule>
  </conditionalFormatting>
  <conditionalFormatting sqref="D33:E33">
    <cfRule type="expression" dxfId="11908" priority="4099">
      <formula>AND($A33&lt;&gt;"",MOD(ROW(),2))</formula>
    </cfRule>
  </conditionalFormatting>
  <conditionalFormatting sqref="D33">
    <cfRule type="cellIs" dxfId="11907" priority="4096" operator="equal">
      <formula>$C33</formula>
    </cfRule>
    <cfRule type="cellIs" dxfId="11906" priority="4097" operator="greaterThan">
      <formula>$C33</formula>
    </cfRule>
    <cfRule type="cellIs" dxfId="11905" priority="4098" operator="lessThan">
      <formula>$C33</formula>
    </cfRule>
  </conditionalFormatting>
  <conditionalFormatting sqref="D34:E34">
    <cfRule type="expression" dxfId="11904" priority="4095">
      <formula>AND($A34&lt;&gt;"",MOD(ROW(),2))</formula>
    </cfRule>
  </conditionalFormatting>
  <conditionalFormatting sqref="D34">
    <cfRule type="cellIs" dxfId="11903" priority="4092" operator="equal">
      <formula>$C34</formula>
    </cfRule>
    <cfRule type="cellIs" dxfId="11902" priority="4093" operator="greaterThan">
      <formula>$C34</formula>
    </cfRule>
    <cfRule type="cellIs" dxfId="11901" priority="4094" operator="lessThan">
      <formula>$C34</formula>
    </cfRule>
  </conditionalFormatting>
  <conditionalFormatting sqref="D35:E35">
    <cfRule type="expression" dxfId="11900" priority="4091">
      <formula>AND($A35&lt;&gt;"",MOD(ROW(),2))</formula>
    </cfRule>
  </conditionalFormatting>
  <conditionalFormatting sqref="D35">
    <cfRule type="cellIs" dxfId="11899" priority="4088" operator="equal">
      <formula>$C35</formula>
    </cfRule>
    <cfRule type="cellIs" dxfId="11898" priority="4089" operator="greaterThan">
      <formula>$C35</formula>
    </cfRule>
    <cfRule type="cellIs" dxfId="11897" priority="4090" operator="lessThan">
      <formula>$C35</formula>
    </cfRule>
  </conditionalFormatting>
  <conditionalFormatting sqref="D36:E36">
    <cfRule type="expression" dxfId="11896" priority="4087">
      <formula>AND($A36&lt;&gt;"",MOD(ROW(),2))</formula>
    </cfRule>
  </conditionalFormatting>
  <conditionalFormatting sqref="D36">
    <cfRule type="cellIs" dxfId="11895" priority="4084" operator="equal">
      <formula>$C36</formula>
    </cfRule>
    <cfRule type="cellIs" dxfId="11894" priority="4085" operator="greaterThan">
      <formula>$C36</formula>
    </cfRule>
    <cfRule type="cellIs" dxfId="11893" priority="4086" operator="lessThan">
      <formula>$C36</formula>
    </cfRule>
  </conditionalFormatting>
  <conditionalFormatting sqref="D37:E37">
    <cfRule type="expression" dxfId="11892" priority="4083">
      <formula>AND($A37&lt;&gt;"",MOD(ROW(),2))</formula>
    </cfRule>
  </conditionalFormatting>
  <conditionalFormatting sqref="D37">
    <cfRule type="cellIs" dxfId="11891" priority="4080" operator="equal">
      <formula>$C37</formula>
    </cfRule>
    <cfRule type="cellIs" dxfId="11890" priority="4081" operator="greaterThan">
      <formula>$C37</formula>
    </cfRule>
    <cfRule type="cellIs" dxfId="11889" priority="4082" operator="lessThan">
      <formula>$C37</formula>
    </cfRule>
  </conditionalFormatting>
  <conditionalFormatting sqref="D38:E38">
    <cfRule type="expression" dxfId="11888" priority="4079">
      <formula>AND($A38&lt;&gt;"",MOD(ROW(),2))</formula>
    </cfRule>
  </conditionalFormatting>
  <conditionalFormatting sqref="D38">
    <cfRule type="cellIs" dxfId="11887" priority="4076" operator="equal">
      <formula>$C38</formula>
    </cfRule>
    <cfRule type="cellIs" dxfId="11886" priority="4077" operator="greaterThan">
      <formula>$C38</formula>
    </cfRule>
    <cfRule type="cellIs" dxfId="11885" priority="4078" operator="lessThan">
      <formula>$C38</formula>
    </cfRule>
  </conditionalFormatting>
  <conditionalFormatting sqref="D39:E39">
    <cfRule type="expression" dxfId="11884" priority="4075">
      <formula>AND($A39&lt;&gt;"",MOD(ROW(),2))</formula>
    </cfRule>
  </conditionalFormatting>
  <conditionalFormatting sqref="D39">
    <cfRule type="cellIs" dxfId="11883" priority="4072" operator="equal">
      <formula>$C39</formula>
    </cfRule>
    <cfRule type="cellIs" dxfId="11882" priority="4073" operator="greaterThan">
      <formula>$C39</formula>
    </cfRule>
    <cfRule type="cellIs" dxfId="11881" priority="4074" operator="lessThan">
      <formula>$C39</formula>
    </cfRule>
  </conditionalFormatting>
  <conditionalFormatting sqref="D40:E40">
    <cfRule type="expression" dxfId="11880" priority="4071">
      <formula>AND($A40&lt;&gt;"",MOD(ROW(),2))</formula>
    </cfRule>
  </conditionalFormatting>
  <conditionalFormatting sqref="D40">
    <cfRule type="cellIs" dxfId="11879" priority="4068" operator="equal">
      <formula>$C40</formula>
    </cfRule>
    <cfRule type="cellIs" dxfId="11878" priority="4069" operator="greaterThan">
      <formula>$C40</formula>
    </cfRule>
    <cfRule type="cellIs" dxfId="11877" priority="4070" operator="lessThan">
      <formula>$C40</formula>
    </cfRule>
  </conditionalFormatting>
  <conditionalFormatting sqref="D41:E41">
    <cfRule type="expression" dxfId="11876" priority="4067">
      <formula>AND($A41&lt;&gt;"",MOD(ROW(),2))</formula>
    </cfRule>
  </conditionalFormatting>
  <conditionalFormatting sqref="D41">
    <cfRule type="cellIs" dxfId="11875" priority="4064" operator="equal">
      <formula>$C41</formula>
    </cfRule>
    <cfRule type="cellIs" dxfId="11874" priority="4065" operator="greaterThan">
      <formula>$C41</formula>
    </cfRule>
    <cfRule type="cellIs" dxfId="11873" priority="4066" operator="lessThan">
      <formula>$C41</formula>
    </cfRule>
  </conditionalFormatting>
  <conditionalFormatting sqref="D42:E42">
    <cfRule type="expression" dxfId="11872" priority="4063">
      <formula>AND($A42&lt;&gt;"",MOD(ROW(),2))</formula>
    </cfRule>
  </conditionalFormatting>
  <conditionalFormatting sqref="D42">
    <cfRule type="cellIs" dxfId="11871" priority="4060" operator="equal">
      <formula>$C42</formula>
    </cfRule>
    <cfRule type="cellIs" dxfId="11870" priority="4061" operator="greaterThan">
      <formula>$C42</formula>
    </cfRule>
    <cfRule type="cellIs" dxfId="11869" priority="4062" operator="lessThan">
      <formula>$C42</formula>
    </cfRule>
  </conditionalFormatting>
  <conditionalFormatting sqref="D43:E43">
    <cfRule type="expression" dxfId="11868" priority="4059">
      <formula>AND($A43&lt;&gt;"",MOD(ROW(),2))</formula>
    </cfRule>
  </conditionalFormatting>
  <conditionalFormatting sqref="D43">
    <cfRule type="cellIs" dxfId="11867" priority="4056" operator="equal">
      <formula>$C43</formula>
    </cfRule>
    <cfRule type="cellIs" dxfId="11866" priority="4057" operator="greaterThan">
      <formula>$C43</formula>
    </cfRule>
    <cfRule type="cellIs" dxfId="11865" priority="4058" operator="lessThan">
      <formula>$C43</formula>
    </cfRule>
  </conditionalFormatting>
  <conditionalFormatting sqref="D44:E44">
    <cfRule type="expression" dxfId="11864" priority="4055">
      <formula>AND($A44&lt;&gt;"",MOD(ROW(),2))</formula>
    </cfRule>
  </conditionalFormatting>
  <conditionalFormatting sqref="D44">
    <cfRule type="cellIs" dxfId="11863" priority="4052" operator="equal">
      <formula>$C44</formula>
    </cfRule>
    <cfRule type="cellIs" dxfId="11862" priority="4053" operator="greaterThan">
      <formula>$C44</formula>
    </cfRule>
    <cfRule type="cellIs" dxfId="11861" priority="4054" operator="lessThan">
      <formula>$C44</formula>
    </cfRule>
  </conditionalFormatting>
  <conditionalFormatting sqref="D45:E45">
    <cfRule type="expression" dxfId="11860" priority="4051">
      <formula>AND($A45&lt;&gt;"",MOD(ROW(),2))</formula>
    </cfRule>
  </conditionalFormatting>
  <conditionalFormatting sqref="D45">
    <cfRule type="cellIs" dxfId="11859" priority="4048" operator="equal">
      <formula>$C45</formula>
    </cfRule>
    <cfRule type="cellIs" dxfId="11858" priority="4049" operator="greaterThan">
      <formula>$C45</formula>
    </cfRule>
    <cfRule type="cellIs" dxfId="11857" priority="4050" operator="lessThan">
      <formula>$C45</formula>
    </cfRule>
  </conditionalFormatting>
  <conditionalFormatting sqref="D46:E46">
    <cfRule type="expression" dxfId="11856" priority="4047">
      <formula>AND($A46&lt;&gt;"",MOD(ROW(),2))</formula>
    </cfRule>
  </conditionalFormatting>
  <conditionalFormatting sqref="D46">
    <cfRule type="cellIs" dxfId="11855" priority="4044" operator="equal">
      <formula>$C46</formula>
    </cfRule>
    <cfRule type="cellIs" dxfId="11854" priority="4045" operator="greaterThan">
      <formula>$C46</formula>
    </cfRule>
    <cfRule type="cellIs" dxfId="11853" priority="4046" operator="lessThan">
      <formula>$C46</formula>
    </cfRule>
  </conditionalFormatting>
  <conditionalFormatting sqref="D47:E47">
    <cfRule type="expression" dxfId="11852" priority="4043">
      <formula>AND($A47&lt;&gt;"",MOD(ROW(),2))</formula>
    </cfRule>
  </conditionalFormatting>
  <conditionalFormatting sqref="D47">
    <cfRule type="cellIs" dxfId="11851" priority="4040" operator="equal">
      <formula>$C47</formula>
    </cfRule>
    <cfRule type="cellIs" dxfId="11850" priority="4041" operator="greaterThan">
      <formula>$C47</formula>
    </cfRule>
    <cfRule type="cellIs" dxfId="11849" priority="4042" operator="lessThan">
      <formula>$C47</formula>
    </cfRule>
  </conditionalFormatting>
  <conditionalFormatting sqref="D48:E48">
    <cfRule type="expression" dxfId="11848" priority="4039">
      <formula>AND($A48&lt;&gt;"",MOD(ROW(),2))</formula>
    </cfRule>
  </conditionalFormatting>
  <conditionalFormatting sqref="D48">
    <cfRule type="cellIs" dxfId="11847" priority="4036" operator="equal">
      <formula>$C48</formula>
    </cfRule>
    <cfRule type="cellIs" dxfId="11846" priority="4037" operator="greaterThan">
      <formula>$C48</formula>
    </cfRule>
    <cfRule type="cellIs" dxfId="11845" priority="4038" operator="lessThan">
      <formula>$C48</formula>
    </cfRule>
  </conditionalFormatting>
  <conditionalFormatting sqref="D49:E49">
    <cfRule type="expression" dxfId="11844" priority="4035">
      <formula>AND($A49&lt;&gt;"",MOD(ROW(),2))</formula>
    </cfRule>
  </conditionalFormatting>
  <conditionalFormatting sqref="D49">
    <cfRule type="cellIs" dxfId="11843" priority="4032" operator="equal">
      <formula>$C49</formula>
    </cfRule>
    <cfRule type="cellIs" dxfId="11842" priority="4033" operator="greaterThan">
      <formula>$C49</formula>
    </cfRule>
    <cfRule type="cellIs" dxfId="11841" priority="4034" operator="lessThan">
      <formula>$C49</formula>
    </cfRule>
  </conditionalFormatting>
  <conditionalFormatting sqref="D50:E50">
    <cfRule type="expression" dxfId="11840" priority="4031">
      <formula>AND($A50&lt;&gt;"",MOD(ROW(),2))</formula>
    </cfRule>
  </conditionalFormatting>
  <conditionalFormatting sqref="D50">
    <cfRule type="cellIs" dxfId="11839" priority="4028" operator="equal">
      <formula>$C50</formula>
    </cfRule>
    <cfRule type="cellIs" dxfId="11838" priority="4029" operator="greaterThan">
      <formula>$C50</formula>
    </cfRule>
    <cfRule type="cellIs" dxfId="11837" priority="4030" operator="lessThan">
      <formula>$C50</formula>
    </cfRule>
  </conditionalFormatting>
  <conditionalFormatting sqref="D29:E29">
    <cfRule type="expression" dxfId="11836" priority="4027">
      <formula>AND($A29&lt;&gt;"",MOD(ROW(),2))</formula>
    </cfRule>
  </conditionalFormatting>
  <conditionalFormatting sqref="D29">
    <cfRule type="cellIs" dxfId="11835" priority="4024" operator="equal">
      <formula>$C29</formula>
    </cfRule>
    <cfRule type="cellIs" dxfId="11834" priority="4025" operator="greaterThan">
      <formula>$C29</formula>
    </cfRule>
    <cfRule type="cellIs" dxfId="11833" priority="4026" operator="lessThan">
      <formula>$C29</formula>
    </cfRule>
  </conditionalFormatting>
  <conditionalFormatting sqref="D30:E30">
    <cfRule type="expression" dxfId="11832" priority="4023">
      <formula>AND($A30&lt;&gt;"",MOD(ROW(),2))</formula>
    </cfRule>
  </conditionalFormatting>
  <conditionalFormatting sqref="D30">
    <cfRule type="cellIs" dxfId="11831" priority="4020" operator="equal">
      <formula>$C30</formula>
    </cfRule>
    <cfRule type="cellIs" dxfId="11830" priority="4021" operator="greaterThan">
      <formula>$C30</formula>
    </cfRule>
    <cfRule type="cellIs" dxfId="11829" priority="4022" operator="lessThan">
      <formula>$C30</formula>
    </cfRule>
  </conditionalFormatting>
  <conditionalFormatting sqref="D31:E31">
    <cfRule type="expression" dxfId="11828" priority="4019">
      <formula>AND($A31&lt;&gt;"",MOD(ROW(),2))</formula>
    </cfRule>
  </conditionalFormatting>
  <conditionalFormatting sqref="D31">
    <cfRule type="cellIs" dxfId="11827" priority="4016" operator="equal">
      <formula>$C31</formula>
    </cfRule>
    <cfRule type="cellIs" dxfId="11826" priority="4017" operator="greaterThan">
      <formula>$C31</formula>
    </cfRule>
    <cfRule type="cellIs" dxfId="11825" priority="4018" operator="lessThan">
      <formula>$C31</formula>
    </cfRule>
  </conditionalFormatting>
  <conditionalFormatting sqref="D32:E32">
    <cfRule type="expression" dxfId="11824" priority="4015">
      <formula>AND($A32&lt;&gt;"",MOD(ROW(),2))</formula>
    </cfRule>
  </conditionalFormatting>
  <conditionalFormatting sqref="D32">
    <cfRule type="cellIs" dxfId="11823" priority="4012" operator="equal">
      <formula>$C32</formula>
    </cfRule>
    <cfRule type="cellIs" dxfId="11822" priority="4013" operator="greaterThan">
      <formula>$C32</formula>
    </cfRule>
    <cfRule type="cellIs" dxfId="11821" priority="4014" operator="lessThan">
      <formula>$C32</formula>
    </cfRule>
  </conditionalFormatting>
  <conditionalFormatting sqref="D33:E33">
    <cfRule type="expression" dxfId="11820" priority="4011">
      <formula>AND($A33&lt;&gt;"",MOD(ROW(),2))</formula>
    </cfRule>
  </conditionalFormatting>
  <conditionalFormatting sqref="D33">
    <cfRule type="cellIs" dxfId="11819" priority="4008" operator="equal">
      <formula>$C33</formula>
    </cfRule>
    <cfRule type="cellIs" dxfId="11818" priority="4009" operator="greaterThan">
      <formula>$C33</formula>
    </cfRule>
    <cfRule type="cellIs" dxfId="11817" priority="4010" operator="lessThan">
      <formula>$C33</formula>
    </cfRule>
  </conditionalFormatting>
  <conditionalFormatting sqref="D34:E34">
    <cfRule type="expression" dxfId="11816" priority="4007">
      <formula>AND($A34&lt;&gt;"",MOD(ROW(),2))</formula>
    </cfRule>
  </conditionalFormatting>
  <conditionalFormatting sqref="D34">
    <cfRule type="cellIs" dxfId="11815" priority="4004" operator="equal">
      <formula>$C34</formula>
    </cfRule>
    <cfRule type="cellIs" dxfId="11814" priority="4005" operator="greaterThan">
      <formula>$C34</formula>
    </cfRule>
    <cfRule type="cellIs" dxfId="11813" priority="4006" operator="lessThan">
      <formula>$C34</formula>
    </cfRule>
  </conditionalFormatting>
  <conditionalFormatting sqref="D35:E35">
    <cfRule type="expression" dxfId="11812" priority="4003">
      <formula>AND($A35&lt;&gt;"",MOD(ROW(),2))</formula>
    </cfRule>
  </conditionalFormatting>
  <conditionalFormatting sqref="D35">
    <cfRule type="cellIs" dxfId="11811" priority="4000" operator="equal">
      <formula>$C35</formula>
    </cfRule>
    <cfRule type="cellIs" dxfId="11810" priority="4001" operator="greaterThan">
      <formula>$C35</formula>
    </cfRule>
    <cfRule type="cellIs" dxfId="11809" priority="4002" operator="lessThan">
      <formula>$C35</formula>
    </cfRule>
  </conditionalFormatting>
  <conditionalFormatting sqref="D36:E36">
    <cfRule type="expression" dxfId="11808" priority="3999">
      <formula>AND($A36&lt;&gt;"",MOD(ROW(),2))</formula>
    </cfRule>
  </conditionalFormatting>
  <conditionalFormatting sqref="D36">
    <cfRule type="cellIs" dxfId="11807" priority="3996" operator="equal">
      <formula>$C36</formula>
    </cfRule>
    <cfRule type="cellIs" dxfId="11806" priority="3997" operator="greaterThan">
      <formula>$C36</formula>
    </cfRule>
    <cfRule type="cellIs" dxfId="11805" priority="3998" operator="lessThan">
      <formula>$C36</formula>
    </cfRule>
  </conditionalFormatting>
  <conditionalFormatting sqref="D37:E37">
    <cfRule type="expression" dxfId="11804" priority="3995">
      <formula>AND($A37&lt;&gt;"",MOD(ROW(),2))</formula>
    </cfRule>
  </conditionalFormatting>
  <conditionalFormatting sqref="D37">
    <cfRule type="cellIs" dxfId="11803" priority="3992" operator="equal">
      <formula>$C37</formula>
    </cfRule>
    <cfRule type="cellIs" dxfId="11802" priority="3993" operator="greaterThan">
      <formula>$C37</formula>
    </cfRule>
    <cfRule type="cellIs" dxfId="11801" priority="3994" operator="lessThan">
      <formula>$C37</formula>
    </cfRule>
  </conditionalFormatting>
  <conditionalFormatting sqref="D38:E38">
    <cfRule type="expression" dxfId="11800" priority="3991">
      <formula>AND($A38&lt;&gt;"",MOD(ROW(),2))</formula>
    </cfRule>
  </conditionalFormatting>
  <conditionalFormatting sqref="D38">
    <cfRule type="cellIs" dxfId="11799" priority="3988" operator="equal">
      <formula>$C38</formula>
    </cfRule>
    <cfRule type="cellIs" dxfId="11798" priority="3989" operator="greaterThan">
      <formula>$C38</formula>
    </cfRule>
    <cfRule type="cellIs" dxfId="11797" priority="3990" operator="lessThan">
      <formula>$C38</formula>
    </cfRule>
  </conditionalFormatting>
  <conditionalFormatting sqref="D39:E39">
    <cfRule type="expression" dxfId="11796" priority="3987">
      <formula>AND($A39&lt;&gt;"",MOD(ROW(),2))</formula>
    </cfRule>
  </conditionalFormatting>
  <conditionalFormatting sqref="D39">
    <cfRule type="cellIs" dxfId="11795" priority="3984" operator="equal">
      <formula>$C39</formula>
    </cfRule>
    <cfRule type="cellIs" dxfId="11794" priority="3985" operator="greaterThan">
      <formula>$C39</formula>
    </cfRule>
    <cfRule type="cellIs" dxfId="11793" priority="3986" operator="lessThan">
      <formula>$C39</formula>
    </cfRule>
  </conditionalFormatting>
  <conditionalFormatting sqref="D40:E40">
    <cfRule type="expression" dxfId="11792" priority="3983">
      <formula>AND($A40&lt;&gt;"",MOD(ROW(),2))</formula>
    </cfRule>
  </conditionalFormatting>
  <conditionalFormatting sqref="D40">
    <cfRule type="cellIs" dxfId="11791" priority="3980" operator="equal">
      <formula>$C40</formula>
    </cfRule>
    <cfRule type="cellIs" dxfId="11790" priority="3981" operator="greaterThan">
      <formula>$C40</formula>
    </cfRule>
    <cfRule type="cellIs" dxfId="11789" priority="3982" operator="lessThan">
      <formula>$C40</formula>
    </cfRule>
  </conditionalFormatting>
  <conditionalFormatting sqref="D41:E41">
    <cfRule type="expression" dxfId="11788" priority="3979">
      <formula>AND($A41&lt;&gt;"",MOD(ROW(),2))</formula>
    </cfRule>
  </conditionalFormatting>
  <conditionalFormatting sqref="D41">
    <cfRule type="cellIs" dxfId="11787" priority="3976" operator="equal">
      <formula>$C41</formula>
    </cfRule>
    <cfRule type="cellIs" dxfId="11786" priority="3977" operator="greaterThan">
      <formula>$C41</formula>
    </cfRule>
    <cfRule type="cellIs" dxfId="11785" priority="3978" operator="lessThan">
      <formula>$C41</formula>
    </cfRule>
  </conditionalFormatting>
  <conditionalFormatting sqref="D42:E42">
    <cfRule type="expression" dxfId="11784" priority="3975">
      <formula>AND($A42&lt;&gt;"",MOD(ROW(),2))</formula>
    </cfRule>
  </conditionalFormatting>
  <conditionalFormatting sqref="D42">
    <cfRule type="cellIs" dxfId="11783" priority="3972" operator="equal">
      <formula>$C42</formula>
    </cfRule>
    <cfRule type="cellIs" dxfId="11782" priority="3973" operator="greaterThan">
      <formula>$C42</formula>
    </cfRule>
    <cfRule type="cellIs" dxfId="11781" priority="3974" operator="lessThan">
      <formula>$C42</formula>
    </cfRule>
  </conditionalFormatting>
  <conditionalFormatting sqref="D43:E43">
    <cfRule type="expression" dxfId="11780" priority="3971">
      <formula>AND($A43&lt;&gt;"",MOD(ROW(),2))</formula>
    </cfRule>
  </conditionalFormatting>
  <conditionalFormatting sqref="D43">
    <cfRule type="cellIs" dxfId="11779" priority="3968" operator="equal">
      <formula>$C43</formula>
    </cfRule>
    <cfRule type="cellIs" dxfId="11778" priority="3969" operator="greaterThan">
      <formula>$C43</formula>
    </cfRule>
    <cfRule type="cellIs" dxfId="11777" priority="3970" operator="lessThan">
      <formula>$C43</formula>
    </cfRule>
  </conditionalFormatting>
  <conditionalFormatting sqref="D44:E44">
    <cfRule type="expression" dxfId="11776" priority="3967">
      <formula>AND($A44&lt;&gt;"",MOD(ROW(),2))</formula>
    </cfRule>
  </conditionalFormatting>
  <conditionalFormatting sqref="D44">
    <cfRule type="cellIs" dxfId="11775" priority="3964" operator="equal">
      <formula>$C44</formula>
    </cfRule>
    <cfRule type="cellIs" dxfId="11774" priority="3965" operator="greaterThan">
      <formula>$C44</formula>
    </cfRule>
    <cfRule type="cellIs" dxfId="11773" priority="3966" operator="lessThan">
      <formula>$C44</formula>
    </cfRule>
  </conditionalFormatting>
  <conditionalFormatting sqref="D45:E45">
    <cfRule type="expression" dxfId="11772" priority="3963">
      <formula>AND($A45&lt;&gt;"",MOD(ROW(),2))</formula>
    </cfRule>
  </conditionalFormatting>
  <conditionalFormatting sqref="D45">
    <cfRule type="cellIs" dxfId="11771" priority="3960" operator="equal">
      <formula>$C45</formula>
    </cfRule>
    <cfRule type="cellIs" dxfId="11770" priority="3961" operator="greaterThan">
      <formula>$C45</formula>
    </cfRule>
    <cfRule type="cellIs" dxfId="11769" priority="3962" operator="lessThan">
      <formula>$C45</formula>
    </cfRule>
  </conditionalFormatting>
  <conditionalFormatting sqref="D46:E46">
    <cfRule type="expression" dxfId="11768" priority="3959">
      <formula>AND($A46&lt;&gt;"",MOD(ROW(),2))</formula>
    </cfRule>
  </conditionalFormatting>
  <conditionalFormatting sqref="D46">
    <cfRule type="cellIs" dxfId="11767" priority="3956" operator="equal">
      <formula>$C46</formula>
    </cfRule>
    <cfRule type="cellIs" dxfId="11766" priority="3957" operator="greaterThan">
      <formula>$C46</formula>
    </cfRule>
    <cfRule type="cellIs" dxfId="11765" priority="3958" operator="lessThan">
      <formula>$C46</formula>
    </cfRule>
  </conditionalFormatting>
  <conditionalFormatting sqref="D47:E47">
    <cfRule type="expression" dxfId="11764" priority="3955">
      <formula>AND($A47&lt;&gt;"",MOD(ROW(),2))</formula>
    </cfRule>
  </conditionalFormatting>
  <conditionalFormatting sqref="D47">
    <cfRule type="cellIs" dxfId="11763" priority="3952" operator="equal">
      <formula>$C47</formula>
    </cfRule>
    <cfRule type="cellIs" dxfId="11762" priority="3953" operator="greaterThan">
      <formula>$C47</formula>
    </cfRule>
    <cfRule type="cellIs" dxfId="11761" priority="3954" operator="lessThan">
      <formula>$C47</formula>
    </cfRule>
  </conditionalFormatting>
  <conditionalFormatting sqref="D48:E48">
    <cfRule type="expression" dxfId="11760" priority="3951">
      <formula>AND($A48&lt;&gt;"",MOD(ROW(),2))</formula>
    </cfRule>
  </conditionalFormatting>
  <conditionalFormatting sqref="D48">
    <cfRule type="cellIs" dxfId="11759" priority="3948" operator="equal">
      <formula>$C48</formula>
    </cfRule>
    <cfRule type="cellIs" dxfId="11758" priority="3949" operator="greaterThan">
      <formula>$C48</formula>
    </cfRule>
    <cfRule type="cellIs" dxfId="11757" priority="3950" operator="lessThan">
      <formula>$C48</formula>
    </cfRule>
  </conditionalFormatting>
  <conditionalFormatting sqref="D49:E49">
    <cfRule type="expression" dxfId="11756" priority="3947">
      <formula>AND($A49&lt;&gt;"",MOD(ROW(),2))</formula>
    </cfRule>
  </conditionalFormatting>
  <conditionalFormatting sqref="D49">
    <cfRule type="cellIs" dxfId="11755" priority="3944" operator="equal">
      <formula>$C49</formula>
    </cfRule>
    <cfRule type="cellIs" dxfId="11754" priority="3945" operator="greaterThan">
      <formula>$C49</formula>
    </cfRule>
    <cfRule type="cellIs" dxfId="11753" priority="3946" operator="lessThan">
      <formula>$C49</formula>
    </cfRule>
  </conditionalFormatting>
  <conditionalFormatting sqref="D29:E29">
    <cfRule type="expression" dxfId="11752" priority="3943">
      <formula>AND($A29&lt;&gt;"",MOD(ROW(),2))</formula>
    </cfRule>
  </conditionalFormatting>
  <conditionalFormatting sqref="D29">
    <cfRule type="cellIs" dxfId="11751" priority="3940" operator="equal">
      <formula>$C29</formula>
    </cfRule>
    <cfRule type="cellIs" dxfId="11750" priority="3941" operator="greaterThan">
      <formula>$C29</formula>
    </cfRule>
    <cfRule type="cellIs" dxfId="11749" priority="3942" operator="lessThan">
      <formula>$C29</formula>
    </cfRule>
  </conditionalFormatting>
  <conditionalFormatting sqref="D30:E30">
    <cfRule type="expression" dxfId="11748" priority="3939">
      <formula>AND($A30&lt;&gt;"",MOD(ROW(),2))</formula>
    </cfRule>
  </conditionalFormatting>
  <conditionalFormatting sqref="D30">
    <cfRule type="cellIs" dxfId="11747" priority="3936" operator="equal">
      <formula>$C30</formula>
    </cfRule>
    <cfRule type="cellIs" dxfId="11746" priority="3937" operator="greaterThan">
      <formula>$C30</formula>
    </cfRule>
    <cfRule type="cellIs" dxfId="11745" priority="3938" operator="lessThan">
      <formula>$C30</formula>
    </cfRule>
  </conditionalFormatting>
  <conditionalFormatting sqref="D31:E31">
    <cfRule type="expression" dxfId="11744" priority="3935">
      <formula>AND($A31&lt;&gt;"",MOD(ROW(),2))</formula>
    </cfRule>
  </conditionalFormatting>
  <conditionalFormatting sqref="D31">
    <cfRule type="cellIs" dxfId="11743" priority="3932" operator="equal">
      <formula>$C31</formula>
    </cfRule>
    <cfRule type="cellIs" dxfId="11742" priority="3933" operator="greaterThan">
      <formula>$C31</formula>
    </cfRule>
    <cfRule type="cellIs" dxfId="11741" priority="3934" operator="lessThan">
      <formula>$C31</formula>
    </cfRule>
  </conditionalFormatting>
  <conditionalFormatting sqref="D32:E32">
    <cfRule type="expression" dxfId="11740" priority="3931">
      <formula>AND($A32&lt;&gt;"",MOD(ROW(),2))</formula>
    </cfRule>
  </conditionalFormatting>
  <conditionalFormatting sqref="D32">
    <cfRule type="cellIs" dxfId="11739" priority="3928" operator="equal">
      <formula>$C32</formula>
    </cfRule>
    <cfRule type="cellIs" dxfId="11738" priority="3929" operator="greaterThan">
      <formula>$C32</formula>
    </cfRule>
    <cfRule type="cellIs" dxfId="11737" priority="3930" operator="lessThan">
      <formula>$C32</formula>
    </cfRule>
  </conditionalFormatting>
  <conditionalFormatting sqref="D33:E33">
    <cfRule type="expression" dxfId="11736" priority="3927">
      <formula>AND($A33&lt;&gt;"",MOD(ROW(),2))</formula>
    </cfRule>
  </conditionalFormatting>
  <conditionalFormatting sqref="D33">
    <cfRule type="cellIs" dxfId="11735" priority="3924" operator="equal">
      <formula>$C33</formula>
    </cfRule>
    <cfRule type="cellIs" dxfId="11734" priority="3925" operator="greaterThan">
      <formula>$C33</formula>
    </cfRule>
    <cfRule type="cellIs" dxfId="11733" priority="3926" operator="lessThan">
      <formula>$C33</formula>
    </cfRule>
  </conditionalFormatting>
  <conditionalFormatting sqref="D34:E34">
    <cfRule type="expression" dxfId="11732" priority="3923">
      <formula>AND($A34&lt;&gt;"",MOD(ROW(),2))</formula>
    </cfRule>
  </conditionalFormatting>
  <conditionalFormatting sqref="D34">
    <cfRule type="cellIs" dxfId="11731" priority="3920" operator="equal">
      <formula>$C34</formula>
    </cfRule>
    <cfRule type="cellIs" dxfId="11730" priority="3921" operator="greaterThan">
      <formula>$C34</formula>
    </cfRule>
    <cfRule type="cellIs" dxfId="11729" priority="3922" operator="lessThan">
      <formula>$C34</formula>
    </cfRule>
  </conditionalFormatting>
  <conditionalFormatting sqref="D35:E35">
    <cfRule type="expression" dxfId="11728" priority="3919">
      <formula>AND($A35&lt;&gt;"",MOD(ROW(),2))</formula>
    </cfRule>
  </conditionalFormatting>
  <conditionalFormatting sqref="D35">
    <cfRule type="cellIs" dxfId="11727" priority="3916" operator="equal">
      <formula>$C35</formula>
    </cfRule>
    <cfRule type="cellIs" dxfId="11726" priority="3917" operator="greaterThan">
      <formula>$C35</formula>
    </cfRule>
    <cfRule type="cellIs" dxfId="11725" priority="3918" operator="lessThan">
      <formula>$C35</formula>
    </cfRule>
  </conditionalFormatting>
  <conditionalFormatting sqref="D36:E36">
    <cfRule type="expression" dxfId="11724" priority="3915">
      <formula>AND($A36&lt;&gt;"",MOD(ROW(),2))</formula>
    </cfRule>
  </conditionalFormatting>
  <conditionalFormatting sqref="D36">
    <cfRule type="cellIs" dxfId="11723" priority="3912" operator="equal">
      <formula>$C36</formula>
    </cfRule>
    <cfRule type="cellIs" dxfId="11722" priority="3913" operator="greaterThan">
      <formula>$C36</formula>
    </cfRule>
    <cfRule type="cellIs" dxfId="11721" priority="3914" operator="lessThan">
      <formula>$C36</formula>
    </cfRule>
  </conditionalFormatting>
  <conditionalFormatting sqref="D37:E37">
    <cfRule type="expression" dxfId="11720" priority="3911">
      <formula>AND($A37&lt;&gt;"",MOD(ROW(),2))</formula>
    </cfRule>
  </conditionalFormatting>
  <conditionalFormatting sqref="D37">
    <cfRule type="cellIs" dxfId="11719" priority="3908" operator="equal">
      <formula>$C37</formula>
    </cfRule>
    <cfRule type="cellIs" dxfId="11718" priority="3909" operator="greaterThan">
      <formula>$C37</formula>
    </cfRule>
    <cfRule type="cellIs" dxfId="11717" priority="3910" operator="lessThan">
      <formula>$C37</formula>
    </cfRule>
  </conditionalFormatting>
  <conditionalFormatting sqref="D38:E38">
    <cfRule type="expression" dxfId="11716" priority="3907">
      <formula>AND($A38&lt;&gt;"",MOD(ROW(),2))</formula>
    </cfRule>
  </conditionalFormatting>
  <conditionalFormatting sqref="D38">
    <cfRule type="cellIs" dxfId="11715" priority="3904" operator="equal">
      <formula>$C38</formula>
    </cfRule>
    <cfRule type="cellIs" dxfId="11714" priority="3905" operator="greaterThan">
      <formula>$C38</formula>
    </cfRule>
    <cfRule type="cellIs" dxfId="11713" priority="3906" operator="lessThan">
      <formula>$C38</formula>
    </cfRule>
  </conditionalFormatting>
  <conditionalFormatting sqref="D39:E39">
    <cfRule type="expression" dxfId="11712" priority="3903">
      <formula>AND($A39&lt;&gt;"",MOD(ROW(),2))</formula>
    </cfRule>
  </conditionalFormatting>
  <conditionalFormatting sqref="D39">
    <cfRule type="cellIs" dxfId="11711" priority="3900" operator="equal">
      <formula>$C39</formula>
    </cfRule>
    <cfRule type="cellIs" dxfId="11710" priority="3901" operator="greaterThan">
      <formula>$C39</formula>
    </cfRule>
    <cfRule type="cellIs" dxfId="11709" priority="3902" operator="lessThan">
      <formula>$C39</formula>
    </cfRule>
  </conditionalFormatting>
  <conditionalFormatting sqref="D40:E40">
    <cfRule type="expression" dxfId="11708" priority="3899">
      <formula>AND($A40&lt;&gt;"",MOD(ROW(),2))</formula>
    </cfRule>
  </conditionalFormatting>
  <conditionalFormatting sqref="D40">
    <cfRule type="cellIs" dxfId="11707" priority="3896" operator="equal">
      <formula>$C40</formula>
    </cfRule>
    <cfRule type="cellIs" dxfId="11706" priority="3897" operator="greaterThan">
      <formula>$C40</formula>
    </cfRule>
    <cfRule type="cellIs" dxfId="11705" priority="3898" operator="lessThan">
      <formula>$C40</formula>
    </cfRule>
  </conditionalFormatting>
  <conditionalFormatting sqref="D41:E41">
    <cfRule type="expression" dxfId="11704" priority="3895">
      <formula>AND($A41&lt;&gt;"",MOD(ROW(),2))</formula>
    </cfRule>
  </conditionalFormatting>
  <conditionalFormatting sqref="D41">
    <cfRule type="cellIs" dxfId="11703" priority="3892" operator="equal">
      <formula>$C41</formula>
    </cfRule>
    <cfRule type="cellIs" dxfId="11702" priority="3893" operator="greaterThan">
      <formula>$C41</formula>
    </cfRule>
    <cfRule type="cellIs" dxfId="11701" priority="3894" operator="lessThan">
      <formula>$C41</formula>
    </cfRule>
  </conditionalFormatting>
  <conditionalFormatting sqref="D42:E42">
    <cfRule type="expression" dxfId="11700" priority="3891">
      <formula>AND($A42&lt;&gt;"",MOD(ROW(),2))</formula>
    </cfRule>
  </conditionalFormatting>
  <conditionalFormatting sqref="D42">
    <cfRule type="cellIs" dxfId="11699" priority="3888" operator="equal">
      <formula>$C42</formula>
    </cfRule>
    <cfRule type="cellIs" dxfId="11698" priority="3889" operator="greaterThan">
      <formula>$C42</formula>
    </cfRule>
    <cfRule type="cellIs" dxfId="11697" priority="3890" operator="lessThan">
      <formula>$C42</formula>
    </cfRule>
  </conditionalFormatting>
  <conditionalFormatting sqref="D43:E43">
    <cfRule type="expression" dxfId="11696" priority="3887">
      <formula>AND($A43&lt;&gt;"",MOD(ROW(),2))</formula>
    </cfRule>
  </conditionalFormatting>
  <conditionalFormatting sqref="D43">
    <cfRule type="cellIs" dxfId="11695" priority="3884" operator="equal">
      <formula>$C43</formula>
    </cfRule>
    <cfRule type="cellIs" dxfId="11694" priority="3885" operator="greaterThan">
      <formula>$C43</formula>
    </cfRule>
    <cfRule type="cellIs" dxfId="11693" priority="3886" operator="lessThan">
      <formula>$C43</formula>
    </cfRule>
  </conditionalFormatting>
  <conditionalFormatting sqref="D44:E44">
    <cfRule type="expression" dxfId="11692" priority="3883">
      <formula>AND($A44&lt;&gt;"",MOD(ROW(),2))</formula>
    </cfRule>
  </conditionalFormatting>
  <conditionalFormatting sqref="D44">
    <cfRule type="cellIs" dxfId="11691" priority="3880" operator="equal">
      <formula>$C44</formula>
    </cfRule>
    <cfRule type="cellIs" dxfId="11690" priority="3881" operator="greaterThan">
      <formula>$C44</formula>
    </cfRule>
    <cfRule type="cellIs" dxfId="11689" priority="3882" operator="lessThan">
      <formula>$C44</formula>
    </cfRule>
  </conditionalFormatting>
  <conditionalFormatting sqref="D45:E45">
    <cfRule type="expression" dxfId="11688" priority="3879">
      <formula>AND($A45&lt;&gt;"",MOD(ROW(),2))</formula>
    </cfRule>
  </conditionalFormatting>
  <conditionalFormatting sqref="D45">
    <cfRule type="cellIs" dxfId="11687" priority="3876" operator="equal">
      <formula>$C45</formula>
    </cfRule>
    <cfRule type="cellIs" dxfId="11686" priority="3877" operator="greaterThan">
      <formula>$C45</formula>
    </cfRule>
    <cfRule type="cellIs" dxfId="11685" priority="3878" operator="lessThan">
      <formula>$C45</formula>
    </cfRule>
  </conditionalFormatting>
  <conditionalFormatting sqref="D46:E46">
    <cfRule type="expression" dxfId="11684" priority="3875">
      <formula>AND($A46&lt;&gt;"",MOD(ROW(),2))</formula>
    </cfRule>
  </conditionalFormatting>
  <conditionalFormatting sqref="D46">
    <cfRule type="cellIs" dxfId="11683" priority="3872" operator="equal">
      <formula>$C46</formula>
    </cfRule>
    <cfRule type="cellIs" dxfId="11682" priority="3873" operator="greaterThan">
      <formula>$C46</formula>
    </cfRule>
    <cfRule type="cellIs" dxfId="11681" priority="3874" operator="lessThan">
      <formula>$C46</formula>
    </cfRule>
  </conditionalFormatting>
  <conditionalFormatting sqref="D47:E47">
    <cfRule type="expression" dxfId="11680" priority="3871">
      <formula>AND($A47&lt;&gt;"",MOD(ROW(),2))</formula>
    </cfRule>
  </conditionalFormatting>
  <conditionalFormatting sqref="D47">
    <cfRule type="cellIs" dxfId="11679" priority="3868" operator="equal">
      <formula>$C47</formula>
    </cfRule>
    <cfRule type="cellIs" dxfId="11678" priority="3869" operator="greaterThan">
      <formula>$C47</formula>
    </cfRule>
    <cfRule type="cellIs" dxfId="11677" priority="3870" operator="lessThan">
      <formula>$C47</formula>
    </cfRule>
  </conditionalFormatting>
  <conditionalFormatting sqref="D48:E48">
    <cfRule type="expression" dxfId="11676" priority="3867">
      <formula>AND($A48&lt;&gt;"",MOD(ROW(),2))</formula>
    </cfRule>
  </conditionalFormatting>
  <conditionalFormatting sqref="D48">
    <cfRule type="cellIs" dxfId="11675" priority="3864" operator="equal">
      <formula>$C48</formula>
    </cfRule>
    <cfRule type="cellIs" dxfId="11674" priority="3865" operator="greaterThan">
      <formula>$C48</formula>
    </cfRule>
    <cfRule type="cellIs" dxfId="11673" priority="3866" operator="lessThan">
      <formula>$C48</formula>
    </cfRule>
  </conditionalFormatting>
  <conditionalFormatting sqref="D49:E49">
    <cfRule type="expression" dxfId="11672" priority="3863">
      <formula>AND($A49&lt;&gt;"",MOD(ROW(),2))</formula>
    </cfRule>
  </conditionalFormatting>
  <conditionalFormatting sqref="D49">
    <cfRule type="cellIs" dxfId="11671" priority="3860" operator="equal">
      <formula>$C49</formula>
    </cfRule>
    <cfRule type="cellIs" dxfId="11670" priority="3861" operator="greaterThan">
      <formula>$C49</formula>
    </cfRule>
    <cfRule type="cellIs" dxfId="11669" priority="3862" operator="lessThan">
      <formula>$C49</formula>
    </cfRule>
  </conditionalFormatting>
  <conditionalFormatting sqref="D29:E29">
    <cfRule type="expression" dxfId="11668" priority="3859">
      <formula>AND($A29&lt;&gt;"",MOD(ROW(),2))</formula>
    </cfRule>
  </conditionalFormatting>
  <conditionalFormatting sqref="D29">
    <cfRule type="cellIs" dxfId="11667" priority="3856" operator="equal">
      <formula>$C29</formula>
    </cfRule>
    <cfRule type="cellIs" dxfId="11666" priority="3857" operator="greaterThan">
      <formula>$C29</formula>
    </cfRule>
    <cfRule type="cellIs" dxfId="11665" priority="3858" operator="lessThan">
      <formula>$C29</formula>
    </cfRule>
  </conditionalFormatting>
  <conditionalFormatting sqref="D30:E30">
    <cfRule type="expression" dxfId="11664" priority="3855">
      <formula>AND($A30&lt;&gt;"",MOD(ROW(),2))</formula>
    </cfRule>
  </conditionalFormatting>
  <conditionalFormatting sqref="D30">
    <cfRule type="cellIs" dxfId="11663" priority="3852" operator="equal">
      <formula>$C30</formula>
    </cfRule>
    <cfRule type="cellIs" dxfId="11662" priority="3853" operator="greaterThan">
      <formula>$C30</formula>
    </cfRule>
    <cfRule type="cellIs" dxfId="11661" priority="3854" operator="lessThan">
      <formula>$C30</formula>
    </cfRule>
  </conditionalFormatting>
  <conditionalFormatting sqref="D31:E31">
    <cfRule type="expression" dxfId="11660" priority="3851">
      <formula>AND($A31&lt;&gt;"",MOD(ROW(),2))</formula>
    </cfRule>
  </conditionalFormatting>
  <conditionalFormatting sqref="D31">
    <cfRule type="cellIs" dxfId="11659" priority="3848" operator="equal">
      <formula>$C31</formula>
    </cfRule>
    <cfRule type="cellIs" dxfId="11658" priority="3849" operator="greaterThan">
      <formula>$C31</formula>
    </cfRule>
    <cfRule type="cellIs" dxfId="11657" priority="3850" operator="lessThan">
      <formula>$C31</formula>
    </cfRule>
  </conditionalFormatting>
  <conditionalFormatting sqref="D32:E32">
    <cfRule type="expression" dxfId="11656" priority="3847">
      <formula>AND($A32&lt;&gt;"",MOD(ROW(),2))</formula>
    </cfRule>
  </conditionalFormatting>
  <conditionalFormatting sqref="D32">
    <cfRule type="cellIs" dxfId="11655" priority="3844" operator="equal">
      <formula>$C32</formula>
    </cfRule>
    <cfRule type="cellIs" dxfId="11654" priority="3845" operator="greaterThan">
      <formula>$C32</formula>
    </cfRule>
    <cfRule type="cellIs" dxfId="11653" priority="3846" operator="lessThan">
      <formula>$C32</formula>
    </cfRule>
  </conditionalFormatting>
  <conditionalFormatting sqref="D33:E33">
    <cfRule type="expression" dxfId="11652" priority="3843">
      <formula>AND($A33&lt;&gt;"",MOD(ROW(),2))</formula>
    </cfRule>
  </conditionalFormatting>
  <conditionalFormatting sqref="D33">
    <cfRule type="cellIs" dxfId="11651" priority="3840" operator="equal">
      <formula>$C33</formula>
    </cfRule>
    <cfRule type="cellIs" dxfId="11650" priority="3841" operator="greaterThan">
      <formula>$C33</formula>
    </cfRule>
    <cfRule type="cellIs" dxfId="11649" priority="3842" operator="lessThan">
      <formula>$C33</formula>
    </cfRule>
  </conditionalFormatting>
  <conditionalFormatting sqref="D34:E34">
    <cfRule type="expression" dxfId="11648" priority="3839">
      <formula>AND($A34&lt;&gt;"",MOD(ROW(),2))</formula>
    </cfRule>
  </conditionalFormatting>
  <conditionalFormatting sqref="D34">
    <cfRule type="cellIs" dxfId="11647" priority="3836" operator="equal">
      <formula>$C34</formula>
    </cfRule>
    <cfRule type="cellIs" dxfId="11646" priority="3837" operator="greaterThan">
      <formula>$C34</formula>
    </cfRule>
    <cfRule type="cellIs" dxfId="11645" priority="3838" operator="lessThan">
      <formula>$C34</formula>
    </cfRule>
  </conditionalFormatting>
  <conditionalFormatting sqref="D35:E35">
    <cfRule type="expression" dxfId="11644" priority="3835">
      <formula>AND($A35&lt;&gt;"",MOD(ROW(),2))</formula>
    </cfRule>
  </conditionalFormatting>
  <conditionalFormatting sqref="D35">
    <cfRule type="cellIs" dxfId="11643" priority="3832" operator="equal">
      <formula>$C35</formula>
    </cfRule>
    <cfRule type="cellIs" dxfId="11642" priority="3833" operator="greaterThan">
      <formula>$C35</formula>
    </cfRule>
    <cfRule type="cellIs" dxfId="11641" priority="3834" operator="lessThan">
      <formula>$C35</formula>
    </cfRule>
  </conditionalFormatting>
  <conditionalFormatting sqref="D36:E36">
    <cfRule type="expression" dxfId="11640" priority="3831">
      <formula>AND($A36&lt;&gt;"",MOD(ROW(),2))</formula>
    </cfRule>
  </conditionalFormatting>
  <conditionalFormatting sqref="D36">
    <cfRule type="cellIs" dxfId="11639" priority="3828" operator="equal">
      <formula>$C36</formula>
    </cfRule>
    <cfRule type="cellIs" dxfId="11638" priority="3829" operator="greaterThan">
      <formula>$C36</formula>
    </cfRule>
    <cfRule type="cellIs" dxfId="11637" priority="3830" operator="lessThan">
      <formula>$C36</formula>
    </cfRule>
  </conditionalFormatting>
  <conditionalFormatting sqref="D37:E37">
    <cfRule type="expression" dxfId="11636" priority="3827">
      <formula>AND($A37&lt;&gt;"",MOD(ROW(),2))</formula>
    </cfRule>
  </conditionalFormatting>
  <conditionalFormatting sqref="D37">
    <cfRule type="cellIs" dxfId="11635" priority="3824" operator="equal">
      <formula>$C37</formula>
    </cfRule>
    <cfRule type="cellIs" dxfId="11634" priority="3825" operator="greaterThan">
      <formula>$C37</formula>
    </cfRule>
    <cfRule type="cellIs" dxfId="11633" priority="3826" operator="lessThan">
      <formula>$C37</formula>
    </cfRule>
  </conditionalFormatting>
  <conditionalFormatting sqref="D38:E38">
    <cfRule type="expression" dxfId="11632" priority="3823">
      <formula>AND($A38&lt;&gt;"",MOD(ROW(),2))</formula>
    </cfRule>
  </conditionalFormatting>
  <conditionalFormatting sqref="D38">
    <cfRule type="cellIs" dxfId="11631" priority="3820" operator="equal">
      <formula>$C38</formula>
    </cfRule>
    <cfRule type="cellIs" dxfId="11630" priority="3821" operator="greaterThan">
      <formula>$C38</formula>
    </cfRule>
    <cfRule type="cellIs" dxfId="11629" priority="3822" operator="lessThan">
      <formula>$C38</formula>
    </cfRule>
  </conditionalFormatting>
  <conditionalFormatting sqref="D39:E39">
    <cfRule type="expression" dxfId="11628" priority="3819">
      <formula>AND($A39&lt;&gt;"",MOD(ROW(),2))</formula>
    </cfRule>
  </conditionalFormatting>
  <conditionalFormatting sqref="D39">
    <cfRule type="cellIs" dxfId="11627" priority="3816" operator="equal">
      <formula>$C39</formula>
    </cfRule>
    <cfRule type="cellIs" dxfId="11626" priority="3817" operator="greaterThan">
      <formula>$C39</formula>
    </cfRule>
    <cfRule type="cellIs" dxfId="11625" priority="3818" operator="lessThan">
      <formula>$C39</formula>
    </cfRule>
  </conditionalFormatting>
  <conditionalFormatting sqref="D40:E40">
    <cfRule type="expression" dxfId="11624" priority="3815">
      <formula>AND($A40&lt;&gt;"",MOD(ROW(),2))</formula>
    </cfRule>
  </conditionalFormatting>
  <conditionalFormatting sqref="D40">
    <cfRule type="cellIs" dxfId="11623" priority="3812" operator="equal">
      <formula>$C40</formula>
    </cfRule>
    <cfRule type="cellIs" dxfId="11622" priority="3813" operator="greaterThan">
      <formula>$C40</formula>
    </cfRule>
    <cfRule type="cellIs" dxfId="11621" priority="3814" operator="lessThan">
      <formula>$C40</formula>
    </cfRule>
  </conditionalFormatting>
  <conditionalFormatting sqref="D41:E41">
    <cfRule type="expression" dxfId="11620" priority="3811">
      <formula>AND($A41&lt;&gt;"",MOD(ROW(),2))</formula>
    </cfRule>
  </conditionalFormatting>
  <conditionalFormatting sqref="D41">
    <cfRule type="cellIs" dxfId="11619" priority="3808" operator="equal">
      <formula>$C41</formula>
    </cfRule>
    <cfRule type="cellIs" dxfId="11618" priority="3809" operator="greaterThan">
      <formula>$C41</formula>
    </cfRule>
    <cfRule type="cellIs" dxfId="11617" priority="3810" operator="lessThan">
      <formula>$C41</formula>
    </cfRule>
  </conditionalFormatting>
  <conditionalFormatting sqref="D42:E42">
    <cfRule type="expression" dxfId="11616" priority="3807">
      <formula>AND($A42&lt;&gt;"",MOD(ROW(),2))</formula>
    </cfRule>
  </conditionalFormatting>
  <conditionalFormatting sqref="D42">
    <cfRule type="cellIs" dxfId="11615" priority="3804" operator="equal">
      <formula>$C42</formula>
    </cfRule>
    <cfRule type="cellIs" dxfId="11614" priority="3805" operator="greaterThan">
      <formula>$C42</formula>
    </cfRule>
    <cfRule type="cellIs" dxfId="11613" priority="3806" operator="lessThan">
      <formula>$C42</formula>
    </cfRule>
  </conditionalFormatting>
  <conditionalFormatting sqref="D43:E43">
    <cfRule type="expression" dxfId="11612" priority="3803">
      <formula>AND($A43&lt;&gt;"",MOD(ROW(),2))</formula>
    </cfRule>
  </conditionalFormatting>
  <conditionalFormatting sqref="D43">
    <cfRule type="cellIs" dxfId="11611" priority="3800" operator="equal">
      <formula>$C43</formula>
    </cfRule>
    <cfRule type="cellIs" dxfId="11610" priority="3801" operator="greaterThan">
      <formula>$C43</formula>
    </cfRule>
    <cfRule type="cellIs" dxfId="11609" priority="3802" operator="lessThan">
      <formula>$C43</formula>
    </cfRule>
  </conditionalFormatting>
  <conditionalFormatting sqref="D44:E44">
    <cfRule type="expression" dxfId="11608" priority="3799">
      <formula>AND($A44&lt;&gt;"",MOD(ROW(),2))</formula>
    </cfRule>
  </conditionalFormatting>
  <conditionalFormatting sqref="D44">
    <cfRule type="cellIs" dxfId="11607" priority="3796" operator="equal">
      <formula>$C44</formula>
    </cfRule>
    <cfRule type="cellIs" dxfId="11606" priority="3797" operator="greaterThan">
      <formula>$C44</formula>
    </cfRule>
    <cfRule type="cellIs" dxfId="11605" priority="3798" operator="lessThan">
      <formula>$C44</formula>
    </cfRule>
  </conditionalFormatting>
  <conditionalFormatting sqref="D45:E45">
    <cfRule type="expression" dxfId="11604" priority="3795">
      <formula>AND($A45&lt;&gt;"",MOD(ROW(),2))</formula>
    </cfRule>
  </conditionalFormatting>
  <conditionalFormatting sqref="D45">
    <cfRule type="cellIs" dxfId="11603" priority="3792" operator="equal">
      <formula>$C45</formula>
    </cfRule>
    <cfRule type="cellIs" dxfId="11602" priority="3793" operator="greaterThan">
      <formula>$C45</formula>
    </cfRule>
    <cfRule type="cellIs" dxfId="11601" priority="3794" operator="lessThan">
      <formula>$C45</formula>
    </cfRule>
  </conditionalFormatting>
  <conditionalFormatting sqref="D46:E46">
    <cfRule type="expression" dxfId="11600" priority="3791">
      <formula>AND($A46&lt;&gt;"",MOD(ROW(),2))</formula>
    </cfRule>
  </conditionalFormatting>
  <conditionalFormatting sqref="D46">
    <cfRule type="cellIs" dxfId="11599" priority="3788" operator="equal">
      <formula>$C46</formula>
    </cfRule>
    <cfRule type="cellIs" dxfId="11598" priority="3789" operator="greaterThan">
      <formula>$C46</formula>
    </cfRule>
    <cfRule type="cellIs" dxfId="11597" priority="3790" operator="lessThan">
      <formula>$C46</formula>
    </cfRule>
  </conditionalFormatting>
  <conditionalFormatting sqref="D47:E47">
    <cfRule type="expression" dxfId="11596" priority="3787">
      <formula>AND($A47&lt;&gt;"",MOD(ROW(),2))</formula>
    </cfRule>
  </conditionalFormatting>
  <conditionalFormatting sqref="D47">
    <cfRule type="cellIs" dxfId="11595" priority="3784" operator="equal">
      <formula>$C47</formula>
    </cfRule>
    <cfRule type="cellIs" dxfId="11594" priority="3785" operator="greaterThan">
      <formula>$C47</formula>
    </cfRule>
    <cfRule type="cellIs" dxfId="11593" priority="3786" operator="lessThan">
      <formula>$C47</formula>
    </cfRule>
  </conditionalFormatting>
  <conditionalFormatting sqref="D48:E48">
    <cfRule type="expression" dxfId="11592" priority="3783">
      <formula>AND($A48&lt;&gt;"",MOD(ROW(),2))</formula>
    </cfRule>
  </conditionalFormatting>
  <conditionalFormatting sqref="D48">
    <cfRule type="cellIs" dxfId="11591" priority="3780" operator="equal">
      <formula>$C48</formula>
    </cfRule>
    <cfRule type="cellIs" dxfId="11590" priority="3781" operator="greaterThan">
      <formula>$C48</formula>
    </cfRule>
    <cfRule type="cellIs" dxfId="11589" priority="3782" operator="lessThan">
      <formula>$C48</formula>
    </cfRule>
  </conditionalFormatting>
  <conditionalFormatting sqref="D49:E49">
    <cfRule type="expression" dxfId="11588" priority="3779">
      <formula>AND($A49&lt;&gt;"",MOD(ROW(),2))</formula>
    </cfRule>
  </conditionalFormatting>
  <conditionalFormatting sqref="D49">
    <cfRule type="cellIs" dxfId="11587" priority="3776" operator="equal">
      <formula>$C49</formula>
    </cfRule>
    <cfRule type="cellIs" dxfId="11586" priority="3777" operator="greaterThan">
      <formula>$C49</formula>
    </cfRule>
    <cfRule type="cellIs" dxfId="11585" priority="3778" operator="lessThan">
      <formula>$C49</formula>
    </cfRule>
  </conditionalFormatting>
  <conditionalFormatting sqref="D50:E50">
    <cfRule type="expression" dxfId="11584" priority="3775">
      <formula>AND($A50&lt;&gt;"",MOD(ROW(),2))</formula>
    </cfRule>
  </conditionalFormatting>
  <conditionalFormatting sqref="D50">
    <cfRule type="cellIs" dxfId="11583" priority="3772" operator="equal">
      <formula>$C50</formula>
    </cfRule>
    <cfRule type="cellIs" dxfId="11582" priority="3773" operator="greaterThan">
      <formula>$C50</formula>
    </cfRule>
    <cfRule type="cellIs" dxfId="11581" priority="3774" operator="lessThan">
      <formula>$C50</formula>
    </cfRule>
  </conditionalFormatting>
  <conditionalFormatting sqref="D29:E29">
    <cfRule type="expression" dxfId="11580" priority="3771">
      <formula>AND($A29&lt;&gt;"",MOD(ROW(),2))</formula>
    </cfRule>
  </conditionalFormatting>
  <conditionalFormatting sqref="D29">
    <cfRule type="cellIs" dxfId="11579" priority="3768" operator="equal">
      <formula>$C29</formula>
    </cfRule>
    <cfRule type="cellIs" dxfId="11578" priority="3769" operator="greaterThan">
      <formula>$C29</formula>
    </cfRule>
    <cfRule type="cellIs" dxfId="11577" priority="3770" operator="lessThan">
      <formula>$C29</formula>
    </cfRule>
  </conditionalFormatting>
  <conditionalFormatting sqref="D30:E30">
    <cfRule type="expression" dxfId="11576" priority="3767">
      <formula>AND($A30&lt;&gt;"",MOD(ROW(),2))</formula>
    </cfRule>
  </conditionalFormatting>
  <conditionalFormatting sqref="D30">
    <cfRule type="cellIs" dxfId="11575" priority="3764" operator="equal">
      <formula>$C30</formula>
    </cfRule>
    <cfRule type="cellIs" dxfId="11574" priority="3765" operator="greaterThan">
      <formula>$C30</formula>
    </cfRule>
    <cfRule type="cellIs" dxfId="11573" priority="3766" operator="lessThan">
      <formula>$C30</formula>
    </cfRule>
  </conditionalFormatting>
  <conditionalFormatting sqref="D31:E31">
    <cfRule type="expression" dxfId="11572" priority="3763">
      <formula>AND($A31&lt;&gt;"",MOD(ROW(),2))</formula>
    </cfRule>
  </conditionalFormatting>
  <conditionalFormatting sqref="D31">
    <cfRule type="cellIs" dxfId="11571" priority="3760" operator="equal">
      <formula>$C31</formula>
    </cfRule>
    <cfRule type="cellIs" dxfId="11570" priority="3761" operator="greaterThan">
      <formula>$C31</formula>
    </cfRule>
    <cfRule type="cellIs" dxfId="11569" priority="3762" operator="lessThan">
      <formula>$C31</formula>
    </cfRule>
  </conditionalFormatting>
  <conditionalFormatting sqref="D32:E32">
    <cfRule type="expression" dxfId="11568" priority="3759">
      <formula>AND($A32&lt;&gt;"",MOD(ROW(),2))</formula>
    </cfRule>
  </conditionalFormatting>
  <conditionalFormatting sqref="D32">
    <cfRule type="cellIs" dxfId="11567" priority="3756" operator="equal">
      <formula>$C32</formula>
    </cfRule>
    <cfRule type="cellIs" dxfId="11566" priority="3757" operator="greaterThan">
      <formula>$C32</formula>
    </cfRule>
    <cfRule type="cellIs" dxfId="11565" priority="3758" operator="lessThan">
      <formula>$C32</formula>
    </cfRule>
  </conditionalFormatting>
  <conditionalFormatting sqref="D33:E33">
    <cfRule type="expression" dxfId="11564" priority="3755">
      <formula>AND($A33&lt;&gt;"",MOD(ROW(),2))</formula>
    </cfRule>
  </conditionalFormatting>
  <conditionalFormatting sqref="D33">
    <cfRule type="cellIs" dxfId="11563" priority="3752" operator="equal">
      <formula>$C33</formula>
    </cfRule>
    <cfRule type="cellIs" dxfId="11562" priority="3753" operator="greaterThan">
      <formula>$C33</formula>
    </cfRule>
    <cfRule type="cellIs" dxfId="11561" priority="3754" operator="lessThan">
      <formula>$C33</formula>
    </cfRule>
  </conditionalFormatting>
  <conditionalFormatting sqref="D34:E34">
    <cfRule type="expression" dxfId="11560" priority="3751">
      <formula>AND($A34&lt;&gt;"",MOD(ROW(),2))</formula>
    </cfRule>
  </conditionalFormatting>
  <conditionalFormatting sqref="D34">
    <cfRule type="cellIs" dxfId="11559" priority="3748" operator="equal">
      <formula>$C34</formula>
    </cfRule>
    <cfRule type="cellIs" dxfId="11558" priority="3749" operator="greaterThan">
      <formula>$C34</formula>
    </cfRule>
    <cfRule type="cellIs" dxfId="11557" priority="3750" operator="lessThan">
      <formula>$C34</formula>
    </cfRule>
  </conditionalFormatting>
  <conditionalFormatting sqref="D35:E35">
    <cfRule type="expression" dxfId="11556" priority="3747">
      <formula>AND($A35&lt;&gt;"",MOD(ROW(),2))</formula>
    </cfRule>
  </conditionalFormatting>
  <conditionalFormatting sqref="D35">
    <cfRule type="cellIs" dxfId="11555" priority="3744" operator="equal">
      <formula>$C35</formula>
    </cfRule>
    <cfRule type="cellIs" dxfId="11554" priority="3745" operator="greaterThan">
      <formula>$C35</formula>
    </cfRule>
    <cfRule type="cellIs" dxfId="11553" priority="3746" operator="lessThan">
      <formula>$C35</formula>
    </cfRule>
  </conditionalFormatting>
  <conditionalFormatting sqref="D36:E36">
    <cfRule type="expression" dxfId="11552" priority="3743">
      <formula>AND($A36&lt;&gt;"",MOD(ROW(),2))</formula>
    </cfRule>
  </conditionalFormatting>
  <conditionalFormatting sqref="D36">
    <cfRule type="cellIs" dxfId="11551" priority="3740" operator="equal">
      <formula>$C36</formula>
    </cfRule>
    <cfRule type="cellIs" dxfId="11550" priority="3741" operator="greaterThan">
      <formula>$C36</formula>
    </cfRule>
    <cfRule type="cellIs" dxfId="11549" priority="3742" operator="lessThan">
      <formula>$C36</formula>
    </cfRule>
  </conditionalFormatting>
  <conditionalFormatting sqref="D37:E37">
    <cfRule type="expression" dxfId="11548" priority="3739">
      <formula>AND($A37&lt;&gt;"",MOD(ROW(),2))</formula>
    </cfRule>
  </conditionalFormatting>
  <conditionalFormatting sqref="D37">
    <cfRule type="cellIs" dxfId="11547" priority="3736" operator="equal">
      <formula>$C37</formula>
    </cfRule>
    <cfRule type="cellIs" dxfId="11546" priority="3737" operator="greaterThan">
      <formula>$C37</formula>
    </cfRule>
    <cfRule type="cellIs" dxfId="11545" priority="3738" operator="lessThan">
      <formula>$C37</formula>
    </cfRule>
  </conditionalFormatting>
  <conditionalFormatting sqref="D38:E38">
    <cfRule type="expression" dxfId="11544" priority="3735">
      <formula>AND($A38&lt;&gt;"",MOD(ROW(),2))</formula>
    </cfRule>
  </conditionalFormatting>
  <conditionalFormatting sqref="D38">
    <cfRule type="cellIs" dxfId="11543" priority="3732" operator="equal">
      <formula>$C38</formula>
    </cfRule>
    <cfRule type="cellIs" dxfId="11542" priority="3733" operator="greaterThan">
      <formula>$C38</formula>
    </cfRule>
    <cfRule type="cellIs" dxfId="11541" priority="3734" operator="lessThan">
      <formula>$C38</formula>
    </cfRule>
  </conditionalFormatting>
  <conditionalFormatting sqref="D39:E39">
    <cfRule type="expression" dxfId="11540" priority="3731">
      <formula>AND($A39&lt;&gt;"",MOD(ROW(),2))</formula>
    </cfRule>
  </conditionalFormatting>
  <conditionalFormatting sqref="D39">
    <cfRule type="cellIs" dxfId="11539" priority="3728" operator="equal">
      <formula>$C39</formula>
    </cfRule>
    <cfRule type="cellIs" dxfId="11538" priority="3729" operator="greaterThan">
      <formula>$C39</formula>
    </cfRule>
    <cfRule type="cellIs" dxfId="11537" priority="3730" operator="lessThan">
      <formula>$C39</formula>
    </cfRule>
  </conditionalFormatting>
  <conditionalFormatting sqref="D40:E40">
    <cfRule type="expression" dxfId="11536" priority="3727">
      <formula>AND($A40&lt;&gt;"",MOD(ROW(),2))</formula>
    </cfRule>
  </conditionalFormatting>
  <conditionalFormatting sqref="D40">
    <cfRule type="cellIs" dxfId="11535" priority="3724" operator="equal">
      <formula>$C40</formula>
    </cfRule>
    <cfRule type="cellIs" dxfId="11534" priority="3725" operator="greaterThan">
      <formula>$C40</formula>
    </cfRule>
    <cfRule type="cellIs" dxfId="11533" priority="3726" operator="lessThan">
      <formula>$C40</formula>
    </cfRule>
  </conditionalFormatting>
  <conditionalFormatting sqref="D41:E41">
    <cfRule type="expression" dxfId="11532" priority="3723">
      <formula>AND($A41&lt;&gt;"",MOD(ROW(),2))</formula>
    </cfRule>
  </conditionalFormatting>
  <conditionalFormatting sqref="D41">
    <cfRule type="cellIs" dxfId="11531" priority="3720" operator="equal">
      <formula>$C41</formula>
    </cfRule>
    <cfRule type="cellIs" dxfId="11530" priority="3721" operator="greaterThan">
      <formula>$C41</formula>
    </cfRule>
    <cfRule type="cellIs" dxfId="11529" priority="3722" operator="lessThan">
      <formula>$C41</formula>
    </cfRule>
  </conditionalFormatting>
  <conditionalFormatting sqref="D42:E42">
    <cfRule type="expression" dxfId="11528" priority="3719">
      <formula>AND($A42&lt;&gt;"",MOD(ROW(),2))</formula>
    </cfRule>
  </conditionalFormatting>
  <conditionalFormatting sqref="D42">
    <cfRule type="cellIs" dxfId="11527" priority="3716" operator="equal">
      <formula>$C42</formula>
    </cfRule>
    <cfRule type="cellIs" dxfId="11526" priority="3717" operator="greaterThan">
      <formula>$C42</formula>
    </cfRule>
    <cfRule type="cellIs" dxfId="11525" priority="3718" operator="lessThan">
      <formula>$C42</formula>
    </cfRule>
  </conditionalFormatting>
  <conditionalFormatting sqref="D43:E43">
    <cfRule type="expression" dxfId="11524" priority="3715">
      <formula>AND($A43&lt;&gt;"",MOD(ROW(),2))</formula>
    </cfRule>
  </conditionalFormatting>
  <conditionalFormatting sqref="D43">
    <cfRule type="cellIs" dxfId="11523" priority="3712" operator="equal">
      <formula>$C43</formula>
    </cfRule>
    <cfRule type="cellIs" dxfId="11522" priority="3713" operator="greaterThan">
      <formula>$C43</formula>
    </cfRule>
    <cfRule type="cellIs" dxfId="11521" priority="3714" operator="lessThan">
      <formula>$C43</formula>
    </cfRule>
  </conditionalFormatting>
  <conditionalFormatting sqref="D44:E44">
    <cfRule type="expression" dxfId="11520" priority="3711">
      <formula>AND($A44&lt;&gt;"",MOD(ROW(),2))</formula>
    </cfRule>
  </conditionalFormatting>
  <conditionalFormatting sqref="D44">
    <cfRule type="cellIs" dxfId="11519" priority="3708" operator="equal">
      <formula>$C44</formula>
    </cfRule>
    <cfRule type="cellIs" dxfId="11518" priority="3709" operator="greaterThan">
      <formula>$C44</formula>
    </cfRule>
    <cfRule type="cellIs" dxfId="11517" priority="3710" operator="lessThan">
      <formula>$C44</formula>
    </cfRule>
  </conditionalFormatting>
  <conditionalFormatting sqref="D45:E45">
    <cfRule type="expression" dxfId="11516" priority="3707">
      <formula>AND($A45&lt;&gt;"",MOD(ROW(),2))</formula>
    </cfRule>
  </conditionalFormatting>
  <conditionalFormatting sqref="D45">
    <cfRule type="cellIs" dxfId="11515" priority="3704" operator="equal">
      <formula>$C45</formula>
    </cfRule>
    <cfRule type="cellIs" dxfId="11514" priority="3705" operator="greaterThan">
      <formula>$C45</formula>
    </cfRule>
    <cfRule type="cellIs" dxfId="11513" priority="3706" operator="lessThan">
      <formula>$C45</formula>
    </cfRule>
  </conditionalFormatting>
  <conditionalFormatting sqref="D46:E46">
    <cfRule type="expression" dxfId="11512" priority="3703">
      <formula>AND($A46&lt;&gt;"",MOD(ROW(),2))</formula>
    </cfRule>
  </conditionalFormatting>
  <conditionalFormatting sqref="D46">
    <cfRule type="cellIs" dxfId="11511" priority="3700" operator="equal">
      <formula>$C46</formula>
    </cfRule>
    <cfRule type="cellIs" dxfId="11510" priority="3701" operator="greaterThan">
      <formula>$C46</formula>
    </cfRule>
    <cfRule type="cellIs" dxfId="11509" priority="3702" operator="lessThan">
      <formula>$C46</formula>
    </cfRule>
  </conditionalFormatting>
  <conditionalFormatting sqref="D47:E47">
    <cfRule type="expression" dxfId="11508" priority="3699">
      <formula>AND($A47&lt;&gt;"",MOD(ROW(),2))</formula>
    </cfRule>
  </conditionalFormatting>
  <conditionalFormatting sqref="D47">
    <cfRule type="cellIs" dxfId="11507" priority="3696" operator="equal">
      <formula>$C47</formula>
    </cfRule>
    <cfRule type="cellIs" dxfId="11506" priority="3697" operator="greaterThan">
      <formula>$C47</formula>
    </cfRule>
    <cfRule type="cellIs" dxfId="11505" priority="3698" operator="lessThan">
      <formula>$C47</formula>
    </cfRule>
  </conditionalFormatting>
  <conditionalFormatting sqref="D48:E48">
    <cfRule type="expression" dxfId="11504" priority="3695">
      <formula>AND($A48&lt;&gt;"",MOD(ROW(),2))</formula>
    </cfRule>
  </conditionalFormatting>
  <conditionalFormatting sqref="D48">
    <cfRule type="cellIs" dxfId="11503" priority="3692" operator="equal">
      <formula>$C48</formula>
    </cfRule>
    <cfRule type="cellIs" dxfId="11502" priority="3693" operator="greaterThan">
      <formula>$C48</formula>
    </cfRule>
    <cfRule type="cellIs" dxfId="11501" priority="3694" operator="lessThan">
      <formula>$C48</formula>
    </cfRule>
  </conditionalFormatting>
  <conditionalFormatting sqref="D49:E49">
    <cfRule type="expression" dxfId="11500" priority="3691">
      <formula>AND($A49&lt;&gt;"",MOD(ROW(),2))</formula>
    </cfRule>
  </conditionalFormatting>
  <conditionalFormatting sqref="D49">
    <cfRule type="cellIs" dxfId="11499" priority="3688" operator="equal">
      <formula>$C49</formula>
    </cfRule>
    <cfRule type="cellIs" dxfId="11498" priority="3689" operator="greaterThan">
      <formula>$C49</formula>
    </cfRule>
    <cfRule type="cellIs" dxfId="11497" priority="3690" operator="lessThan">
      <formula>$C49</formula>
    </cfRule>
  </conditionalFormatting>
  <conditionalFormatting sqref="D50:E50">
    <cfRule type="expression" dxfId="11496" priority="3687">
      <formula>AND($A50&lt;&gt;"",MOD(ROW(),2))</formula>
    </cfRule>
  </conditionalFormatting>
  <conditionalFormatting sqref="D50">
    <cfRule type="cellIs" dxfId="11495" priority="3684" operator="equal">
      <formula>$C50</formula>
    </cfRule>
    <cfRule type="cellIs" dxfId="11494" priority="3685" operator="greaterThan">
      <formula>$C50</formula>
    </cfRule>
    <cfRule type="cellIs" dxfId="11493" priority="3686" operator="lessThan">
      <formula>$C50</formula>
    </cfRule>
  </conditionalFormatting>
  <conditionalFormatting sqref="D29:E29">
    <cfRule type="expression" dxfId="11492" priority="3683">
      <formula>AND($A29&lt;&gt;"",MOD(ROW(),2))</formula>
    </cfRule>
  </conditionalFormatting>
  <conditionalFormatting sqref="D29">
    <cfRule type="cellIs" dxfId="11491" priority="3680" operator="equal">
      <formula>$C29</formula>
    </cfRule>
    <cfRule type="cellIs" dxfId="11490" priority="3681" operator="greaterThan">
      <formula>$C29</formula>
    </cfRule>
    <cfRule type="cellIs" dxfId="11489" priority="3682" operator="lessThan">
      <formula>$C29</formula>
    </cfRule>
  </conditionalFormatting>
  <conditionalFormatting sqref="D30:E30">
    <cfRule type="expression" dxfId="11488" priority="3679">
      <formula>AND($A30&lt;&gt;"",MOD(ROW(),2))</formula>
    </cfRule>
  </conditionalFormatting>
  <conditionalFormatting sqref="D30">
    <cfRule type="cellIs" dxfId="11487" priority="3676" operator="equal">
      <formula>$C30</formula>
    </cfRule>
    <cfRule type="cellIs" dxfId="11486" priority="3677" operator="greaterThan">
      <formula>$C30</formula>
    </cfRule>
    <cfRule type="cellIs" dxfId="11485" priority="3678" operator="lessThan">
      <formula>$C30</formula>
    </cfRule>
  </conditionalFormatting>
  <conditionalFormatting sqref="D31:E31">
    <cfRule type="expression" dxfId="11484" priority="3675">
      <formula>AND($A31&lt;&gt;"",MOD(ROW(),2))</formula>
    </cfRule>
  </conditionalFormatting>
  <conditionalFormatting sqref="D31">
    <cfRule type="cellIs" dxfId="11483" priority="3672" operator="equal">
      <formula>$C31</formula>
    </cfRule>
    <cfRule type="cellIs" dxfId="11482" priority="3673" operator="greaterThan">
      <formula>$C31</formula>
    </cfRule>
    <cfRule type="cellIs" dxfId="11481" priority="3674" operator="lessThan">
      <formula>$C31</formula>
    </cfRule>
  </conditionalFormatting>
  <conditionalFormatting sqref="D32:E32">
    <cfRule type="expression" dxfId="11480" priority="3671">
      <formula>AND($A32&lt;&gt;"",MOD(ROW(),2))</formula>
    </cfRule>
  </conditionalFormatting>
  <conditionalFormatting sqref="D32">
    <cfRule type="cellIs" dxfId="11479" priority="3668" operator="equal">
      <formula>$C32</formula>
    </cfRule>
    <cfRule type="cellIs" dxfId="11478" priority="3669" operator="greaterThan">
      <formula>$C32</formula>
    </cfRule>
    <cfRule type="cellIs" dxfId="11477" priority="3670" operator="lessThan">
      <formula>$C32</formula>
    </cfRule>
  </conditionalFormatting>
  <conditionalFormatting sqref="D33:E33">
    <cfRule type="expression" dxfId="11476" priority="3667">
      <formula>AND($A33&lt;&gt;"",MOD(ROW(),2))</formula>
    </cfRule>
  </conditionalFormatting>
  <conditionalFormatting sqref="D33">
    <cfRule type="cellIs" dxfId="11475" priority="3664" operator="equal">
      <formula>$C33</formula>
    </cfRule>
    <cfRule type="cellIs" dxfId="11474" priority="3665" operator="greaterThan">
      <formula>$C33</formula>
    </cfRule>
    <cfRule type="cellIs" dxfId="11473" priority="3666" operator="lessThan">
      <formula>$C33</formula>
    </cfRule>
  </conditionalFormatting>
  <conditionalFormatting sqref="D34:E34">
    <cfRule type="expression" dxfId="11472" priority="3663">
      <formula>AND($A34&lt;&gt;"",MOD(ROW(),2))</formula>
    </cfRule>
  </conditionalFormatting>
  <conditionalFormatting sqref="D34">
    <cfRule type="cellIs" dxfId="11471" priority="3660" operator="equal">
      <formula>$C34</formula>
    </cfRule>
    <cfRule type="cellIs" dxfId="11470" priority="3661" operator="greaterThan">
      <formula>$C34</formula>
    </cfRule>
    <cfRule type="cellIs" dxfId="11469" priority="3662" operator="lessThan">
      <formula>$C34</formula>
    </cfRule>
  </conditionalFormatting>
  <conditionalFormatting sqref="D35:E35">
    <cfRule type="expression" dxfId="11468" priority="3659">
      <formula>AND($A35&lt;&gt;"",MOD(ROW(),2))</formula>
    </cfRule>
  </conditionalFormatting>
  <conditionalFormatting sqref="D35">
    <cfRule type="cellIs" dxfId="11467" priority="3656" operator="equal">
      <formula>$C35</formula>
    </cfRule>
    <cfRule type="cellIs" dxfId="11466" priority="3657" operator="greaterThan">
      <formula>$C35</formula>
    </cfRule>
    <cfRule type="cellIs" dxfId="11465" priority="3658" operator="lessThan">
      <formula>$C35</formula>
    </cfRule>
  </conditionalFormatting>
  <conditionalFormatting sqref="D36:E36">
    <cfRule type="expression" dxfId="11464" priority="3655">
      <formula>AND($A36&lt;&gt;"",MOD(ROW(),2))</formula>
    </cfRule>
  </conditionalFormatting>
  <conditionalFormatting sqref="D36">
    <cfRule type="cellIs" dxfId="11463" priority="3652" operator="equal">
      <formula>$C36</formula>
    </cfRule>
    <cfRule type="cellIs" dxfId="11462" priority="3653" operator="greaterThan">
      <formula>$C36</formula>
    </cfRule>
    <cfRule type="cellIs" dxfId="11461" priority="3654" operator="lessThan">
      <formula>$C36</formula>
    </cfRule>
  </conditionalFormatting>
  <conditionalFormatting sqref="D37:E37">
    <cfRule type="expression" dxfId="11460" priority="3651">
      <formula>AND($A37&lt;&gt;"",MOD(ROW(),2))</formula>
    </cfRule>
  </conditionalFormatting>
  <conditionalFormatting sqref="D37">
    <cfRule type="cellIs" dxfId="11459" priority="3648" operator="equal">
      <formula>$C37</formula>
    </cfRule>
    <cfRule type="cellIs" dxfId="11458" priority="3649" operator="greaterThan">
      <formula>$C37</formula>
    </cfRule>
    <cfRule type="cellIs" dxfId="11457" priority="3650" operator="lessThan">
      <formula>$C37</formula>
    </cfRule>
  </conditionalFormatting>
  <conditionalFormatting sqref="D38:E38">
    <cfRule type="expression" dxfId="11456" priority="3647">
      <formula>AND($A38&lt;&gt;"",MOD(ROW(),2))</formula>
    </cfRule>
  </conditionalFormatting>
  <conditionalFormatting sqref="D38">
    <cfRule type="cellIs" dxfId="11455" priority="3644" operator="equal">
      <formula>$C38</formula>
    </cfRule>
    <cfRule type="cellIs" dxfId="11454" priority="3645" operator="greaterThan">
      <formula>$C38</formula>
    </cfRule>
    <cfRule type="cellIs" dxfId="11453" priority="3646" operator="lessThan">
      <formula>$C38</formula>
    </cfRule>
  </conditionalFormatting>
  <conditionalFormatting sqref="D39:E39">
    <cfRule type="expression" dxfId="11452" priority="3643">
      <formula>AND($A39&lt;&gt;"",MOD(ROW(),2))</formula>
    </cfRule>
  </conditionalFormatting>
  <conditionalFormatting sqref="D39">
    <cfRule type="cellIs" dxfId="11451" priority="3640" operator="equal">
      <formula>$C39</formula>
    </cfRule>
    <cfRule type="cellIs" dxfId="11450" priority="3641" operator="greaterThan">
      <formula>$C39</formula>
    </cfRule>
    <cfRule type="cellIs" dxfId="11449" priority="3642" operator="lessThan">
      <formula>$C39</formula>
    </cfRule>
  </conditionalFormatting>
  <conditionalFormatting sqref="D40:E40">
    <cfRule type="expression" dxfId="11448" priority="3639">
      <formula>AND($A40&lt;&gt;"",MOD(ROW(),2))</formula>
    </cfRule>
  </conditionalFormatting>
  <conditionalFormatting sqref="D40">
    <cfRule type="cellIs" dxfId="11447" priority="3636" operator="equal">
      <formula>$C40</formula>
    </cfRule>
    <cfRule type="cellIs" dxfId="11446" priority="3637" operator="greaterThan">
      <formula>$C40</formula>
    </cfRule>
    <cfRule type="cellIs" dxfId="11445" priority="3638" operator="lessThan">
      <formula>$C40</formula>
    </cfRule>
  </conditionalFormatting>
  <conditionalFormatting sqref="D41:E41">
    <cfRule type="expression" dxfId="11444" priority="3635">
      <formula>AND($A41&lt;&gt;"",MOD(ROW(),2))</formula>
    </cfRule>
  </conditionalFormatting>
  <conditionalFormatting sqref="D41">
    <cfRule type="cellIs" dxfId="11443" priority="3632" operator="equal">
      <formula>$C41</formula>
    </cfRule>
    <cfRule type="cellIs" dxfId="11442" priority="3633" operator="greaterThan">
      <formula>$C41</formula>
    </cfRule>
    <cfRule type="cellIs" dxfId="11441" priority="3634" operator="lessThan">
      <formula>$C41</formula>
    </cfRule>
  </conditionalFormatting>
  <conditionalFormatting sqref="D42:E42">
    <cfRule type="expression" dxfId="11440" priority="3631">
      <formula>AND($A42&lt;&gt;"",MOD(ROW(),2))</formula>
    </cfRule>
  </conditionalFormatting>
  <conditionalFormatting sqref="D42">
    <cfRule type="cellIs" dxfId="11439" priority="3628" operator="equal">
      <formula>$C42</formula>
    </cfRule>
    <cfRule type="cellIs" dxfId="11438" priority="3629" operator="greaterThan">
      <formula>$C42</formula>
    </cfRule>
    <cfRule type="cellIs" dxfId="11437" priority="3630" operator="lessThan">
      <formula>$C42</formula>
    </cfRule>
  </conditionalFormatting>
  <conditionalFormatting sqref="D43:E43">
    <cfRule type="expression" dxfId="11436" priority="3627">
      <formula>AND($A43&lt;&gt;"",MOD(ROW(),2))</formula>
    </cfRule>
  </conditionalFormatting>
  <conditionalFormatting sqref="D43">
    <cfRule type="cellIs" dxfId="11435" priority="3624" operator="equal">
      <formula>$C43</formula>
    </cfRule>
    <cfRule type="cellIs" dxfId="11434" priority="3625" operator="greaterThan">
      <formula>$C43</formula>
    </cfRule>
    <cfRule type="cellIs" dxfId="11433" priority="3626" operator="lessThan">
      <formula>$C43</formula>
    </cfRule>
  </conditionalFormatting>
  <conditionalFormatting sqref="D44:E44">
    <cfRule type="expression" dxfId="11432" priority="3623">
      <formula>AND($A44&lt;&gt;"",MOD(ROW(),2))</formula>
    </cfRule>
  </conditionalFormatting>
  <conditionalFormatting sqref="D44">
    <cfRule type="cellIs" dxfId="11431" priority="3620" operator="equal">
      <formula>$C44</formula>
    </cfRule>
    <cfRule type="cellIs" dxfId="11430" priority="3621" operator="greaterThan">
      <formula>$C44</formula>
    </cfRule>
    <cfRule type="cellIs" dxfId="11429" priority="3622" operator="lessThan">
      <formula>$C44</formula>
    </cfRule>
  </conditionalFormatting>
  <conditionalFormatting sqref="D45:E45">
    <cfRule type="expression" dxfId="11428" priority="3619">
      <formula>AND($A45&lt;&gt;"",MOD(ROW(),2))</formula>
    </cfRule>
  </conditionalFormatting>
  <conditionalFormatting sqref="D45">
    <cfRule type="cellIs" dxfId="11427" priority="3616" operator="equal">
      <formula>$C45</formula>
    </cfRule>
    <cfRule type="cellIs" dxfId="11426" priority="3617" operator="greaterThan">
      <formula>$C45</formula>
    </cfRule>
    <cfRule type="cellIs" dxfId="11425" priority="3618" operator="lessThan">
      <formula>$C45</formula>
    </cfRule>
  </conditionalFormatting>
  <conditionalFormatting sqref="D46:E46">
    <cfRule type="expression" dxfId="11424" priority="3615">
      <formula>AND($A46&lt;&gt;"",MOD(ROW(),2))</formula>
    </cfRule>
  </conditionalFormatting>
  <conditionalFormatting sqref="D46">
    <cfRule type="cellIs" dxfId="11423" priority="3612" operator="equal">
      <formula>$C46</formula>
    </cfRule>
    <cfRule type="cellIs" dxfId="11422" priority="3613" operator="greaterThan">
      <formula>$C46</formula>
    </cfRule>
    <cfRule type="cellIs" dxfId="11421" priority="3614" operator="lessThan">
      <formula>$C46</formula>
    </cfRule>
  </conditionalFormatting>
  <conditionalFormatting sqref="D47:E47">
    <cfRule type="expression" dxfId="11420" priority="3611">
      <formula>AND($A47&lt;&gt;"",MOD(ROW(),2))</formula>
    </cfRule>
  </conditionalFormatting>
  <conditionalFormatting sqref="D47">
    <cfRule type="cellIs" dxfId="11419" priority="3608" operator="equal">
      <formula>$C47</formula>
    </cfRule>
    <cfRule type="cellIs" dxfId="11418" priority="3609" operator="greaterThan">
      <formula>$C47</formula>
    </cfRule>
    <cfRule type="cellIs" dxfId="11417" priority="3610" operator="lessThan">
      <formula>$C47</formula>
    </cfRule>
  </conditionalFormatting>
  <conditionalFormatting sqref="D48:E48">
    <cfRule type="expression" dxfId="11416" priority="3607">
      <formula>AND($A48&lt;&gt;"",MOD(ROW(),2))</formula>
    </cfRule>
  </conditionalFormatting>
  <conditionalFormatting sqref="D48">
    <cfRule type="cellIs" dxfId="11415" priority="3604" operator="equal">
      <formula>$C48</formula>
    </cfRule>
    <cfRule type="cellIs" dxfId="11414" priority="3605" operator="greaterThan">
      <formula>$C48</formula>
    </cfRule>
    <cfRule type="cellIs" dxfId="11413" priority="3606" operator="lessThan">
      <formula>$C48</formula>
    </cfRule>
  </conditionalFormatting>
  <conditionalFormatting sqref="D49:E49">
    <cfRule type="expression" dxfId="11412" priority="3603">
      <formula>AND($A49&lt;&gt;"",MOD(ROW(),2))</formula>
    </cfRule>
  </conditionalFormatting>
  <conditionalFormatting sqref="D49">
    <cfRule type="cellIs" dxfId="11411" priority="3600" operator="equal">
      <formula>$C49</formula>
    </cfRule>
    <cfRule type="cellIs" dxfId="11410" priority="3601" operator="greaterThan">
      <formula>$C49</formula>
    </cfRule>
    <cfRule type="cellIs" dxfId="11409" priority="3602" operator="lessThan">
      <formula>$C49</formula>
    </cfRule>
  </conditionalFormatting>
  <conditionalFormatting sqref="D50:E50">
    <cfRule type="expression" dxfId="11408" priority="3599">
      <formula>AND($A50&lt;&gt;"",MOD(ROW(),2))</formula>
    </cfRule>
  </conditionalFormatting>
  <conditionalFormatting sqref="D50">
    <cfRule type="cellIs" dxfId="11407" priority="3596" operator="equal">
      <formula>$C50</formula>
    </cfRule>
    <cfRule type="cellIs" dxfId="11406" priority="3597" operator="greaterThan">
      <formula>$C50</formula>
    </cfRule>
    <cfRule type="cellIs" dxfId="11405" priority="3598" operator="lessThan">
      <formula>$C50</formula>
    </cfRule>
  </conditionalFormatting>
  <conditionalFormatting sqref="D29:E29">
    <cfRule type="expression" dxfId="11404" priority="3595">
      <formula>AND($A29&lt;&gt;"",MOD(ROW(),2))</formula>
    </cfRule>
  </conditionalFormatting>
  <conditionalFormatting sqref="D29">
    <cfRule type="cellIs" dxfId="11403" priority="3592" operator="equal">
      <formula>$C29</formula>
    </cfRule>
    <cfRule type="cellIs" dxfId="11402" priority="3593" operator="greaterThan">
      <formula>$C29</formula>
    </cfRule>
    <cfRule type="cellIs" dxfId="11401" priority="3594" operator="lessThan">
      <formula>$C29</formula>
    </cfRule>
  </conditionalFormatting>
  <conditionalFormatting sqref="D30:E30">
    <cfRule type="expression" dxfId="11400" priority="3591">
      <formula>AND($A30&lt;&gt;"",MOD(ROW(),2))</formula>
    </cfRule>
  </conditionalFormatting>
  <conditionalFormatting sqref="D30">
    <cfRule type="cellIs" dxfId="11399" priority="3588" operator="equal">
      <formula>$C30</formula>
    </cfRule>
    <cfRule type="cellIs" dxfId="11398" priority="3589" operator="greaterThan">
      <formula>$C30</formula>
    </cfRule>
    <cfRule type="cellIs" dxfId="11397" priority="3590" operator="lessThan">
      <formula>$C30</formula>
    </cfRule>
  </conditionalFormatting>
  <conditionalFormatting sqref="D31:E31">
    <cfRule type="expression" dxfId="11396" priority="3587">
      <formula>AND($A31&lt;&gt;"",MOD(ROW(),2))</formula>
    </cfRule>
  </conditionalFormatting>
  <conditionalFormatting sqref="D31">
    <cfRule type="cellIs" dxfId="11395" priority="3584" operator="equal">
      <formula>$C31</formula>
    </cfRule>
    <cfRule type="cellIs" dxfId="11394" priority="3585" operator="greaterThan">
      <formula>$C31</formula>
    </cfRule>
    <cfRule type="cellIs" dxfId="11393" priority="3586" operator="lessThan">
      <formula>$C31</formula>
    </cfRule>
  </conditionalFormatting>
  <conditionalFormatting sqref="D32:E32">
    <cfRule type="expression" dxfId="11392" priority="3583">
      <formula>AND($A32&lt;&gt;"",MOD(ROW(),2))</formula>
    </cfRule>
  </conditionalFormatting>
  <conditionalFormatting sqref="D32">
    <cfRule type="cellIs" dxfId="11391" priority="3580" operator="equal">
      <formula>$C32</formula>
    </cfRule>
    <cfRule type="cellIs" dxfId="11390" priority="3581" operator="greaterThan">
      <formula>$C32</formula>
    </cfRule>
    <cfRule type="cellIs" dxfId="11389" priority="3582" operator="lessThan">
      <formula>$C32</formula>
    </cfRule>
  </conditionalFormatting>
  <conditionalFormatting sqref="D33:E33">
    <cfRule type="expression" dxfId="11388" priority="3579">
      <formula>AND($A33&lt;&gt;"",MOD(ROW(),2))</formula>
    </cfRule>
  </conditionalFormatting>
  <conditionalFormatting sqref="D33">
    <cfRule type="cellIs" dxfId="11387" priority="3576" operator="equal">
      <formula>$C33</formula>
    </cfRule>
    <cfRule type="cellIs" dxfId="11386" priority="3577" operator="greaterThan">
      <formula>$C33</formula>
    </cfRule>
    <cfRule type="cellIs" dxfId="11385" priority="3578" operator="lessThan">
      <formula>$C33</formula>
    </cfRule>
  </conditionalFormatting>
  <conditionalFormatting sqref="D34:E34">
    <cfRule type="expression" dxfId="11384" priority="3575">
      <formula>AND($A34&lt;&gt;"",MOD(ROW(),2))</formula>
    </cfRule>
  </conditionalFormatting>
  <conditionalFormatting sqref="D34">
    <cfRule type="cellIs" dxfId="11383" priority="3572" operator="equal">
      <formula>$C34</formula>
    </cfRule>
    <cfRule type="cellIs" dxfId="11382" priority="3573" operator="greaterThan">
      <formula>$C34</formula>
    </cfRule>
    <cfRule type="cellIs" dxfId="11381" priority="3574" operator="lessThan">
      <formula>$C34</formula>
    </cfRule>
  </conditionalFormatting>
  <conditionalFormatting sqref="D35:E35">
    <cfRule type="expression" dxfId="11380" priority="3571">
      <formula>AND($A35&lt;&gt;"",MOD(ROW(),2))</formula>
    </cfRule>
  </conditionalFormatting>
  <conditionalFormatting sqref="D35">
    <cfRule type="cellIs" dxfId="11379" priority="3568" operator="equal">
      <formula>$C35</formula>
    </cfRule>
    <cfRule type="cellIs" dxfId="11378" priority="3569" operator="greaterThan">
      <formula>$C35</formula>
    </cfRule>
    <cfRule type="cellIs" dxfId="11377" priority="3570" operator="lessThan">
      <formula>$C35</formula>
    </cfRule>
  </conditionalFormatting>
  <conditionalFormatting sqref="D36:E36">
    <cfRule type="expression" dxfId="11376" priority="3567">
      <formula>AND($A36&lt;&gt;"",MOD(ROW(),2))</formula>
    </cfRule>
  </conditionalFormatting>
  <conditionalFormatting sqref="D36">
    <cfRule type="cellIs" dxfId="11375" priority="3564" operator="equal">
      <formula>$C36</formula>
    </cfRule>
    <cfRule type="cellIs" dxfId="11374" priority="3565" operator="greaterThan">
      <formula>$C36</formula>
    </cfRule>
    <cfRule type="cellIs" dxfId="11373" priority="3566" operator="lessThan">
      <formula>$C36</formula>
    </cfRule>
  </conditionalFormatting>
  <conditionalFormatting sqref="D37:E37">
    <cfRule type="expression" dxfId="11372" priority="3563">
      <formula>AND($A37&lt;&gt;"",MOD(ROW(),2))</formula>
    </cfRule>
  </conditionalFormatting>
  <conditionalFormatting sqref="D37">
    <cfRule type="cellIs" dxfId="11371" priority="3560" operator="equal">
      <formula>$C37</formula>
    </cfRule>
    <cfRule type="cellIs" dxfId="11370" priority="3561" operator="greaterThan">
      <formula>$C37</formula>
    </cfRule>
    <cfRule type="cellIs" dxfId="11369" priority="3562" operator="lessThan">
      <formula>$C37</formula>
    </cfRule>
  </conditionalFormatting>
  <conditionalFormatting sqref="D38:E38">
    <cfRule type="expression" dxfId="11368" priority="3559">
      <formula>AND($A38&lt;&gt;"",MOD(ROW(),2))</formula>
    </cfRule>
  </conditionalFormatting>
  <conditionalFormatting sqref="D38">
    <cfRule type="cellIs" dxfId="11367" priority="3556" operator="equal">
      <formula>$C38</formula>
    </cfRule>
    <cfRule type="cellIs" dxfId="11366" priority="3557" operator="greaterThan">
      <formula>$C38</formula>
    </cfRule>
    <cfRule type="cellIs" dxfId="11365" priority="3558" operator="lessThan">
      <formula>$C38</formula>
    </cfRule>
  </conditionalFormatting>
  <conditionalFormatting sqref="D39:E39">
    <cfRule type="expression" dxfId="11364" priority="3555">
      <formula>AND($A39&lt;&gt;"",MOD(ROW(),2))</formula>
    </cfRule>
  </conditionalFormatting>
  <conditionalFormatting sqref="D39">
    <cfRule type="cellIs" dxfId="11363" priority="3552" operator="equal">
      <formula>$C39</formula>
    </cfRule>
    <cfRule type="cellIs" dxfId="11362" priority="3553" operator="greaterThan">
      <formula>$C39</formula>
    </cfRule>
    <cfRule type="cellIs" dxfId="11361" priority="3554" operator="lessThan">
      <formula>$C39</formula>
    </cfRule>
  </conditionalFormatting>
  <conditionalFormatting sqref="D40:E40">
    <cfRule type="expression" dxfId="11360" priority="3551">
      <formula>AND($A40&lt;&gt;"",MOD(ROW(),2))</formula>
    </cfRule>
  </conditionalFormatting>
  <conditionalFormatting sqref="D40">
    <cfRule type="cellIs" dxfId="11359" priority="3548" operator="equal">
      <formula>$C40</formula>
    </cfRule>
    <cfRule type="cellIs" dxfId="11358" priority="3549" operator="greaterThan">
      <formula>$C40</formula>
    </cfRule>
    <cfRule type="cellIs" dxfId="11357" priority="3550" operator="lessThan">
      <formula>$C40</formula>
    </cfRule>
  </conditionalFormatting>
  <conditionalFormatting sqref="D41:E41">
    <cfRule type="expression" dxfId="11356" priority="3547">
      <formula>AND($A41&lt;&gt;"",MOD(ROW(),2))</formula>
    </cfRule>
  </conditionalFormatting>
  <conditionalFormatting sqref="D41">
    <cfRule type="cellIs" dxfId="11355" priority="3544" operator="equal">
      <formula>$C41</formula>
    </cfRule>
    <cfRule type="cellIs" dxfId="11354" priority="3545" operator="greaterThan">
      <formula>$C41</formula>
    </cfRule>
    <cfRule type="cellIs" dxfId="11353" priority="3546" operator="lessThan">
      <formula>$C41</formula>
    </cfRule>
  </conditionalFormatting>
  <conditionalFormatting sqref="D42:E42">
    <cfRule type="expression" dxfId="11352" priority="3543">
      <formula>AND($A42&lt;&gt;"",MOD(ROW(),2))</formula>
    </cfRule>
  </conditionalFormatting>
  <conditionalFormatting sqref="D42">
    <cfRule type="cellIs" dxfId="11351" priority="3540" operator="equal">
      <formula>$C42</formula>
    </cfRule>
    <cfRule type="cellIs" dxfId="11350" priority="3541" operator="greaterThan">
      <formula>$C42</formula>
    </cfRule>
    <cfRule type="cellIs" dxfId="11349" priority="3542" operator="lessThan">
      <formula>$C42</formula>
    </cfRule>
  </conditionalFormatting>
  <conditionalFormatting sqref="D43:E43">
    <cfRule type="expression" dxfId="11348" priority="3539">
      <formula>AND($A43&lt;&gt;"",MOD(ROW(),2))</formula>
    </cfRule>
  </conditionalFormatting>
  <conditionalFormatting sqref="D43">
    <cfRule type="cellIs" dxfId="11347" priority="3536" operator="equal">
      <formula>$C43</formula>
    </cfRule>
    <cfRule type="cellIs" dxfId="11346" priority="3537" operator="greaterThan">
      <formula>$C43</formula>
    </cfRule>
    <cfRule type="cellIs" dxfId="11345" priority="3538" operator="lessThan">
      <formula>$C43</formula>
    </cfRule>
  </conditionalFormatting>
  <conditionalFormatting sqref="D44:E44">
    <cfRule type="expression" dxfId="11344" priority="3535">
      <formula>AND($A44&lt;&gt;"",MOD(ROW(),2))</formula>
    </cfRule>
  </conditionalFormatting>
  <conditionalFormatting sqref="D44">
    <cfRule type="cellIs" dxfId="11343" priority="3532" operator="equal">
      <formula>$C44</formula>
    </cfRule>
    <cfRule type="cellIs" dxfId="11342" priority="3533" operator="greaterThan">
      <formula>$C44</formula>
    </cfRule>
    <cfRule type="cellIs" dxfId="11341" priority="3534" operator="lessThan">
      <formula>$C44</formula>
    </cfRule>
  </conditionalFormatting>
  <conditionalFormatting sqref="D45:E45">
    <cfRule type="expression" dxfId="11340" priority="3531">
      <formula>AND($A45&lt;&gt;"",MOD(ROW(),2))</formula>
    </cfRule>
  </conditionalFormatting>
  <conditionalFormatting sqref="D45">
    <cfRule type="cellIs" dxfId="11339" priority="3528" operator="equal">
      <formula>$C45</formula>
    </cfRule>
    <cfRule type="cellIs" dxfId="11338" priority="3529" operator="greaterThan">
      <formula>$C45</formula>
    </cfRule>
    <cfRule type="cellIs" dxfId="11337" priority="3530" operator="lessThan">
      <formula>$C45</formula>
    </cfRule>
  </conditionalFormatting>
  <conditionalFormatting sqref="D46:E46">
    <cfRule type="expression" dxfId="11336" priority="3527">
      <formula>AND($A46&lt;&gt;"",MOD(ROW(),2))</formula>
    </cfRule>
  </conditionalFormatting>
  <conditionalFormatting sqref="D46">
    <cfRule type="cellIs" dxfId="11335" priority="3524" operator="equal">
      <formula>$C46</formula>
    </cfRule>
    <cfRule type="cellIs" dxfId="11334" priority="3525" operator="greaterThan">
      <formula>$C46</formula>
    </cfRule>
    <cfRule type="cellIs" dxfId="11333" priority="3526" operator="lessThan">
      <formula>$C46</formula>
    </cfRule>
  </conditionalFormatting>
  <conditionalFormatting sqref="D47:E47">
    <cfRule type="expression" dxfId="11332" priority="3523">
      <formula>AND($A47&lt;&gt;"",MOD(ROW(),2))</formula>
    </cfRule>
  </conditionalFormatting>
  <conditionalFormatting sqref="D47">
    <cfRule type="cellIs" dxfId="11331" priority="3520" operator="equal">
      <formula>$C47</formula>
    </cfRule>
    <cfRule type="cellIs" dxfId="11330" priority="3521" operator="greaterThan">
      <formula>$C47</formula>
    </cfRule>
    <cfRule type="cellIs" dxfId="11329" priority="3522" operator="lessThan">
      <formula>$C47</formula>
    </cfRule>
  </conditionalFormatting>
  <conditionalFormatting sqref="D48:E48">
    <cfRule type="expression" dxfId="11328" priority="3519">
      <formula>AND($A48&lt;&gt;"",MOD(ROW(),2))</formula>
    </cfRule>
  </conditionalFormatting>
  <conditionalFormatting sqref="D48">
    <cfRule type="cellIs" dxfId="11327" priority="3516" operator="equal">
      <formula>$C48</formula>
    </cfRule>
    <cfRule type="cellIs" dxfId="11326" priority="3517" operator="greaterThan">
      <formula>$C48</formula>
    </cfRule>
    <cfRule type="cellIs" dxfId="11325" priority="3518" operator="lessThan">
      <formula>$C48</formula>
    </cfRule>
  </conditionalFormatting>
  <conditionalFormatting sqref="D49:E49">
    <cfRule type="expression" dxfId="11324" priority="3515">
      <formula>AND($A49&lt;&gt;"",MOD(ROW(),2))</formula>
    </cfRule>
  </conditionalFormatting>
  <conditionalFormatting sqref="D49">
    <cfRule type="cellIs" dxfId="11323" priority="3512" operator="equal">
      <formula>$C49</formula>
    </cfRule>
    <cfRule type="cellIs" dxfId="11322" priority="3513" operator="greaterThan">
      <formula>$C49</formula>
    </cfRule>
    <cfRule type="cellIs" dxfId="11321" priority="3514" operator="lessThan">
      <formula>$C49</formula>
    </cfRule>
  </conditionalFormatting>
  <conditionalFormatting sqref="D50:E50">
    <cfRule type="expression" dxfId="11320" priority="3511">
      <formula>AND($A50&lt;&gt;"",MOD(ROW(),2))</formula>
    </cfRule>
  </conditionalFormatting>
  <conditionalFormatting sqref="D50">
    <cfRule type="cellIs" dxfId="11319" priority="3508" operator="equal">
      <formula>$C50</formula>
    </cfRule>
    <cfRule type="cellIs" dxfId="11318" priority="3509" operator="greaterThan">
      <formula>$C50</formula>
    </cfRule>
    <cfRule type="cellIs" dxfId="11317" priority="3510" operator="lessThan">
      <formula>$C50</formula>
    </cfRule>
  </conditionalFormatting>
  <conditionalFormatting sqref="D29:E29">
    <cfRule type="expression" dxfId="11316" priority="3507">
      <formula>AND($A29&lt;&gt;"",MOD(ROW(),2))</formula>
    </cfRule>
  </conditionalFormatting>
  <conditionalFormatting sqref="D29">
    <cfRule type="cellIs" dxfId="11315" priority="3504" operator="equal">
      <formula>$C29</formula>
    </cfRule>
    <cfRule type="cellIs" dxfId="11314" priority="3505" operator="greaterThan">
      <formula>$C29</formula>
    </cfRule>
    <cfRule type="cellIs" dxfId="11313" priority="3506" operator="lessThan">
      <formula>$C29</formula>
    </cfRule>
  </conditionalFormatting>
  <conditionalFormatting sqref="D30:E30">
    <cfRule type="expression" dxfId="11312" priority="3503">
      <formula>AND($A30&lt;&gt;"",MOD(ROW(),2))</formula>
    </cfRule>
  </conditionalFormatting>
  <conditionalFormatting sqref="D30">
    <cfRule type="cellIs" dxfId="11311" priority="3500" operator="equal">
      <formula>$C30</formula>
    </cfRule>
    <cfRule type="cellIs" dxfId="11310" priority="3501" operator="greaterThan">
      <formula>$C30</formula>
    </cfRule>
    <cfRule type="cellIs" dxfId="11309" priority="3502" operator="lessThan">
      <formula>$C30</formula>
    </cfRule>
  </conditionalFormatting>
  <conditionalFormatting sqref="D31:E31">
    <cfRule type="expression" dxfId="11308" priority="3499">
      <formula>AND($A31&lt;&gt;"",MOD(ROW(),2))</formula>
    </cfRule>
  </conditionalFormatting>
  <conditionalFormatting sqref="D31">
    <cfRule type="cellIs" dxfId="11307" priority="3496" operator="equal">
      <formula>$C31</formula>
    </cfRule>
    <cfRule type="cellIs" dxfId="11306" priority="3497" operator="greaterThan">
      <formula>$C31</formula>
    </cfRule>
    <cfRule type="cellIs" dxfId="11305" priority="3498" operator="lessThan">
      <formula>$C31</formula>
    </cfRule>
  </conditionalFormatting>
  <conditionalFormatting sqref="D32:E32">
    <cfRule type="expression" dxfId="11304" priority="3495">
      <formula>AND($A32&lt;&gt;"",MOD(ROW(),2))</formula>
    </cfRule>
  </conditionalFormatting>
  <conditionalFormatting sqref="D32">
    <cfRule type="cellIs" dxfId="11303" priority="3492" operator="equal">
      <formula>$C32</formula>
    </cfRule>
    <cfRule type="cellIs" dxfId="11302" priority="3493" operator="greaterThan">
      <formula>$C32</formula>
    </cfRule>
    <cfRule type="cellIs" dxfId="11301" priority="3494" operator="lessThan">
      <formula>$C32</formula>
    </cfRule>
  </conditionalFormatting>
  <conditionalFormatting sqref="D33:E33">
    <cfRule type="expression" dxfId="11300" priority="3491">
      <formula>AND($A33&lt;&gt;"",MOD(ROW(),2))</formula>
    </cfRule>
  </conditionalFormatting>
  <conditionalFormatting sqref="D33">
    <cfRule type="cellIs" dxfId="11299" priority="3488" operator="equal">
      <formula>$C33</formula>
    </cfRule>
    <cfRule type="cellIs" dxfId="11298" priority="3489" operator="greaterThan">
      <formula>$C33</formula>
    </cfRule>
    <cfRule type="cellIs" dxfId="11297" priority="3490" operator="lessThan">
      <formula>$C33</formula>
    </cfRule>
  </conditionalFormatting>
  <conditionalFormatting sqref="D34:E34">
    <cfRule type="expression" dxfId="11296" priority="3487">
      <formula>AND($A34&lt;&gt;"",MOD(ROW(),2))</formula>
    </cfRule>
  </conditionalFormatting>
  <conditionalFormatting sqref="D34">
    <cfRule type="cellIs" dxfId="11295" priority="3484" operator="equal">
      <formula>$C34</formula>
    </cfRule>
    <cfRule type="cellIs" dxfId="11294" priority="3485" operator="greaterThan">
      <formula>$C34</formula>
    </cfRule>
    <cfRule type="cellIs" dxfId="11293" priority="3486" operator="lessThan">
      <formula>$C34</formula>
    </cfRule>
  </conditionalFormatting>
  <conditionalFormatting sqref="D35:E35">
    <cfRule type="expression" dxfId="11292" priority="3483">
      <formula>AND($A35&lt;&gt;"",MOD(ROW(),2))</formula>
    </cfRule>
  </conditionalFormatting>
  <conditionalFormatting sqref="D35">
    <cfRule type="cellIs" dxfId="11291" priority="3480" operator="equal">
      <formula>$C35</formula>
    </cfRule>
    <cfRule type="cellIs" dxfId="11290" priority="3481" operator="greaterThan">
      <formula>$C35</formula>
    </cfRule>
    <cfRule type="cellIs" dxfId="11289" priority="3482" operator="lessThan">
      <formula>$C35</formula>
    </cfRule>
  </conditionalFormatting>
  <conditionalFormatting sqref="D36:E36">
    <cfRule type="expression" dxfId="11288" priority="3479">
      <formula>AND($A36&lt;&gt;"",MOD(ROW(),2))</formula>
    </cfRule>
  </conditionalFormatting>
  <conditionalFormatting sqref="D36">
    <cfRule type="cellIs" dxfId="11287" priority="3476" operator="equal">
      <formula>$C36</formula>
    </cfRule>
    <cfRule type="cellIs" dxfId="11286" priority="3477" operator="greaterThan">
      <formula>$C36</formula>
    </cfRule>
    <cfRule type="cellIs" dxfId="11285" priority="3478" operator="lessThan">
      <formula>$C36</formula>
    </cfRule>
  </conditionalFormatting>
  <conditionalFormatting sqref="D37:E37">
    <cfRule type="expression" dxfId="11284" priority="3475">
      <formula>AND($A37&lt;&gt;"",MOD(ROW(),2))</formula>
    </cfRule>
  </conditionalFormatting>
  <conditionalFormatting sqref="D37">
    <cfRule type="cellIs" dxfId="11283" priority="3472" operator="equal">
      <formula>$C37</formula>
    </cfRule>
    <cfRule type="cellIs" dxfId="11282" priority="3473" operator="greaterThan">
      <formula>$C37</formula>
    </cfRule>
    <cfRule type="cellIs" dxfId="11281" priority="3474" operator="lessThan">
      <formula>$C37</formula>
    </cfRule>
  </conditionalFormatting>
  <conditionalFormatting sqref="D38:E38">
    <cfRule type="expression" dxfId="11280" priority="3471">
      <formula>AND($A38&lt;&gt;"",MOD(ROW(),2))</formula>
    </cfRule>
  </conditionalFormatting>
  <conditionalFormatting sqref="D38">
    <cfRule type="cellIs" dxfId="11279" priority="3468" operator="equal">
      <formula>$C38</formula>
    </cfRule>
    <cfRule type="cellIs" dxfId="11278" priority="3469" operator="greaterThan">
      <formula>$C38</formula>
    </cfRule>
    <cfRule type="cellIs" dxfId="11277" priority="3470" operator="lessThan">
      <formula>$C38</formula>
    </cfRule>
  </conditionalFormatting>
  <conditionalFormatting sqref="D39:E39">
    <cfRule type="expression" dxfId="11276" priority="3467">
      <formula>AND($A39&lt;&gt;"",MOD(ROW(),2))</formula>
    </cfRule>
  </conditionalFormatting>
  <conditionalFormatting sqref="D39">
    <cfRule type="cellIs" dxfId="11275" priority="3464" operator="equal">
      <formula>$C39</formula>
    </cfRule>
    <cfRule type="cellIs" dxfId="11274" priority="3465" operator="greaterThan">
      <formula>$C39</formula>
    </cfRule>
    <cfRule type="cellIs" dxfId="11273" priority="3466" operator="lessThan">
      <formula>$C39</formula>
    </cfRule>
  </conditionalFormatting>
  <conditionalFormatting sqref="D40:E40">
    <cfRule type="expression" dxfId="11272" priority="3463">
      <formula>AND($A40&lt;&gt;"",MOD(ROW(),2))</formula>
    </cfRule>
  </conditionalFormatting>
  <conditionalFormatting sqref="D40">
    <cfRule type="cellIs" dxfId="11271" priority="3460" operator="equal">
      <formula>$C40</formula>
    </cfRule>
    <cfRule type="cellIs" dxfId="11270" priority="3461" operator="greaterThan">
      <formula>$C40</formula>
    </cfRule>
    <cfRule type="cellIs" dxfId="11269" priority="3462" operator="lessThan">
      <formula>$C40</formula>
    </cfRule>
  </conditionalFormatting>
  <conditionalFormatting sqref="D41:E41">
    <cfRule type="expression" dxfId="11268" priority="3459">
      <formula>AND($A41&lt;&gt;"",MOD(ROW(),2))</formula>
    </cfRule>
  </conditionalFormatting>
  <conditionalFormatting sqref="D41">
    <cfRule type="cellIs" dxfId="11267" priority="3456" operator="equal">
      <formula>$C41</formula>
    </cfRule>
    <cfRule type="cellIs" dxfId="11266" priority="3457" operator="greaterThan">
      <formula>$C41</formula>
    </cfRule>
    <cfRule type="cellIs" dxfId="11265" priority="3458" operator="lessThan">
      <formula>$C41</formula>
    </cfRule>
  </conditionalFormatting>
  <conditionalFormatting sqref="D42:E42">
    <cfRule type="expression" dxfId="11264" priority="3455">
      <formula>AND($A42&lt;&gt;"",MOD(ROW(),2))</formula>
    </cfRule>
  </conditionalFormatting>
  <conditionalFormatting sqref="D42">
    <cfRule type="cellIs" dxfId="11263" priority="3452" operator="equal">
      <formula>$C42</formula>
    </cfRule>
    <cfRule type="cellIs" dxfId="11262" priority="3453" operator="greaterThan">
      <formula>$C42</formula>
    </cfRule>
    <cfRule type="cellIs" dxfId="11261" priority="3454" operator="lessThan">
      <formula>$C42</formula>
    </cfRule>
  </conditionalFormatting>
  <conditionalFormatting sqref="D43:E43">
    <cfRule type="expression" dxfId="11260" priority="3451">
      <formula>AND($A43&lt;&gt;"",MOD(ROW(),2))</formula>
    </cfRule>
  </conditionalFormatting>
  <conditionalFormatting sqref="D43">
    <cfRule type="cellIs" dxfId="11259" priority="3448" operator="equal">
      <formula>$C43</formula>
    </cfRule>
    <cfRule type="cellIs" dxfId="11258" priority="3449" operator="greaterThan">
      <formula>$C43</formula>
    </cfRule>
    <cfRule type="cellIs" dxfId="11257" priority="3450" operator="lessThan">
      <formula>$C43</formula>
    </cfRule>
  </conditionalFormatting>
  <conditionalFormatting sqref="D44:E44">
    <cfRule type="expression" dxfId="11256" priority="3447">
      <formula>AND($A44&lt;&gt;"",MOD(ROW(),2))</formula>
    </cfRule>
  </conditionalFormatting>
  <conditionalFormatting sqref="D44">
    <cfRule type="cellIs" dxfId="11255" priority="3444" operator="equal">
      <formula>$C44</formula>
    </cfRule>
    <cfRule type="cellIs" dxfId="11254" priority="3445" operator="greaterThan">
      <formula>$C44</formula>
    </cfRule>
    <cfRule type="cellIs" dxfId="11253" priority="3446" operator="lessThan">
      <formula>$C44</formula>
    </cfRule>
  </conditionalFormatting>
  <conditionalFormatting sqref="D45:E45">
    <cfRule type="expression" dxfId="11252" priority="3443">
      <formula>AND($A45&lt;&gt;"",MOD(ROW(),2))</formula>
    </cfRule>
  </conditionalFormatting>
  <conditionalFormatting sqref="D45">
    <cfRule type="cellIs" dxfId="11251" priority="3440" operator="equal">
      <formula>$C45</formula>
    </cfRule>
    <cfRule type="cellIs" dxfId="11250" priority="3441" operator="greaterThan">
      <formula>$C45</formula>
    </cfRule>
    <cfRule type="cellIs" dxfId="11249" priority="3442" operator="lessThan">
      <formula>$C45</formula>
    </cfRule>
  </conditionalFormatting>
  <conditionalFormatting sqref="D46:E46">
    <cfRule type="expression" dxfId="11248" priority="3439">
      <formula>AND($A46&lt;&gt;"",MOD(ROW(),2))</formula>
    </cfRule>
  </conditionalFormatting>
  <conditionalFormatting sqref="D46">
    <cfRule type="cellIs" dxfId="11247" priority="3436" operator="equal">
      <formula>$C46</formula>
    </cfRule>
    <cfRule type="cellIs" dxfId="11246" priority="3437" operator="greaterThan">
      <formula>$C46</formula>
    </cfRule>
    <cfRule type="cellIs" dxfId="11245" priority="3438" operator="lessThan">
      <formula>$C46</formula>
    </cfRule>
  </conditionalFormatting>
  <conditionalFormatting sqref="D47:E47">
    <cfRule type="expression" dxfId="11244" priority="3435">
      <formula>AND($A47&lt;&gt;"",MOD(ROW(),2))</formula>
    </cfRule>
  </conditionalFormatting>
  <conditionalFormatting sqref="D47">
    <cfRule type="cellIs" dxfId="11243" priority="3432" operator="equal">
      <formula>$C47</formula>
    </cfRule>
    <cfRule type="cellIs" dxfId="11242" priority="3433" operator="greaterThan">
      <formula>$C47</formula>
    </cfRule>
    <cfRule type="cellIs" dxfId="11241" priority="3434" operator="lessThan">
      <formula>$C47</formula>
    </cfRule>
  </conditionalFormatting>
  <conditionalFormatting sqref="D48:E48">
    <cfRule type="expression" dxfId="11240" priority="3431">
      <formula>AND($A48&lt;&gt;"",MOD(ROW(),2))</formula>
    </cfRule>
  </conditionalFormatting>
  <conditionalFormatting sqref="D48">
    <cfRule type="cellIs" dxfId="11239" priority="3428" operator="equal">
      <formula>$C48</formula>
    </cfRule>
    <cfRule type="cellIs" dxfId="11238" priority="3429" operator="greaterThan">
      <formula>$C48</formula>
    </cfRule>
    <cfRule type="cellIs" dxfId="11237" priority="3430" operator="lessThan">
      <formula>$C48</formula>
    </cfRule>
  </conditionalFormatting>
  <conditionalFormatting sqref="D49:E49">
    <cfRule type="expression" dxfId="11236" priority="3427">
      <formula>AND($A49&lt;&gt;"",MOD(ROW(),2))</formula>
    </cfRule>
  </conditionalFormatting>
  <conditionalFormatting sqref="D49">
    <cfRule type="cellIs" dxfId="11235" priority="3424" operator="equal">
      <formula>$C49</formula>
    </cfRule>
    <cfRule type="cellIs" dxfId="11234" priority="3425" operator="greaterThan">
      <formula>$C49</formula>
    </cfRule>
    <cfRule type="cellIs" dxfId="11233" priority="3426" operator="lessThan">
      <formula>$C49</formula>
    </cfRule>
  </conditionalFormatting>
  <conditionalFormatting sqref="D50:E50">
    <cfRule type="expression" dxfId="11232" priority="3423">
      <formula>AND($A50&lt;&gt;"",MOD(ROW(),2))</formula>
    </cfRule>
  </conditionalFormatting>
  <conditionalFormatting sqref="D50">
    <cfRule type="cellIs" dxfId="11231" priority="3420" operator="equal">
      <formula>$C50</formula>
    </cfRule>
    <cfRule type="cellIs" dxfId="11230" priority="3421" operator="greaterThan">
      <formula>$C50</formula>
    </cfRule>
    <cfRule type="cellIs" dxfId="11229" priority="3422" operator="lessThan">
      <formula>$C50</formula>
    </cfRule>
  </conditionalFormatting>
  <conditionalFormatting sqref="D51:E51">
    <cfRule type="expression" dxfId="11228" priority="3419">
      <formula>AND($A51&lt;&gt;"",MOD(ROW(),2))</formula>
    </cfRule>
  </conditionalFormatting>
  <conditionalFormatting sqref="D51">
    <cfRule type="cellIs" dxfId="11227" priority="3416" operator="equal">
      <formula>$C51</formula>
    </cfRule>
    <cfRule type="cellIs" dxfId="11226" priority="3417" operator="greaterThan">
      <formula>$C51</formula>
    </cfRule>
    <cfRule type="cellIs" dxfId="11225" priority="3418" operator="lessThan">
      <formula>$C51</formula>
    </cfRule>
  </conditionalFormatting>
  <conditionalFormatting sqref="D29:E29">
    <cfRule type="expression" dxfId="11224" priority="3415">
      <formula>AND($A29&lt;&gt;"",MOD(ROW(),2))</formula>
    </cfRule>
  </conditionalFormatting>
  <conditionalFormatting sqref="D29">
    <cfRule type="cellIs" dxfId="11223" priority="3412" operator="equal">
      <formula>$C29</formula>
    </cfRule>
    <cfRule type="cellIs" dxfId="11222" priority="3413" operator="greaterThan">
      <formula>$C29</formula>
    </cfRule>
    <cfRule type="cellIs" dxfId="11221" priority="3414" operator="lessThan">
      <formula>$C29</formula>
    </cfRule>
  </conditionalFormatting>
  <conditionalFormatting sqref="D30:E30">
    <cfRule type="expression" dxfId="11220" priority="3411">
      <formula>AND($A30&lt;&gt;"",MOD(ROW(),2))</formula>
    </cfRule>
  </conditionalFormatting>
  <conditionalFormatting sqref="D30">
    <cfRule type="cellIs" dxfId="11219" priority="3408" operator="equal">
      <formula>$C30</formula>
    </cfRule>
    <cfRule type="cellIs" dxfId="11218" priority="3409" operator="greaterThan">
      <formula>$C30</formula>
    </cfRule>
    <cfRule type="cellIs" dxfId="11217" priority="3410" operator="lessThan">
      <formula>$C30</formula>
    </cfRule>
  </conditionalFormatting>
  <conditionalFormatting sqref="D31:E31">
    <cfRule type="expression" dxfId="11216" priority="3407">
      <formula>AND($A31&lt;&gt;"",MOD(ROW(),2))</formula>
    </cfRule>
  </conditionalFormatting>
  <conditionalFormatting sqref="D31">
    <cfRule type="cellIs" dxfId="11215" priority="3404" operator="equal">
      <formula>$C31</formula>
    </cfRule>
    <cfRule type="cellIs" dxfId="11214" priority="3405" operator="greaterThan">
      <formula>$C31</formula>
    </cfRule>
    <cfRule type="cellIs" dxfId="11213" priority="3406" operator="lessThan">
      <formula>$C31</formula>
    </cfRule>
  </conditionalFormatting>
  <conditionalFormatting sqref="D32:E32">
    <cfRule type="expression" dxfId="11212" priority="3403">
      <formula>AND($A32&lt;&gt;"",MOD(ROW(),2))</formula>
    </cfRule>
  </conditionalFormatting>
  <conditionalFormatting sqref="D32">
    <cfRule type="cellIs" dxfId="11211" priority="3400" operator="equal">
      <formula>$C32</formula>
    </cfRule>
    <cfRule type="cellIs" dxfId="11210" priority="3401" operator="greaterThan">
      <formula>$C32</formula>
    </cfRule>
    <cfRule type="cellIs" dxfId="11209" priority="3402" operator="lessThan">
      <formula>$C32</formula>
    </cfRule>
  </conditionalFormatting>
  <conditionalFormatting sqref="D33:E33">
    <cfRule type="expression" dxfId="11208" priority="3399">
      <formula>AND($A33&lt;&gt;"",MOD(ROW(),2))</formula>
    </cfRule>
  </conditionalFormatting>
  <conditionalFormatting sqref="D33">
    <cfRule type="cellIs" dxfId="11207" priority="3396" operator="equal">
      <formula>$C33</formula>
    </cfRule>
    <cfRule type="cellIs" dxfId="11206" priority="3397" operator="greaterThan">
      <formula>$C33</formula>
    </cfRule>
    <cfRule type="cellIs" dxfId="11205" priority="3398" operator="lessThan">
      <formula>$C33</formula>
    </cfRule>
  </conditionalFormatting>
  <conditionalFormatting sqref="D34:E34">
    <cfRule type="expression" dxfId="11204" priority="3395">
      <formula>AND($A34&lt;&gt;"",MOD(ROW(),2))</formula>
    </cfRule>
  </conditionalFormatting>
  <conditionalFormatting sqref="D34">
    <cfRule type="cellIs" dxfId="11203" priority="3392" operator="equal">
      <formula>$C34</formula>
    </cfRule>
    <cfRule type="cellIs" dxfId="11202" priority="3393" operator="greaterThan">
      <formula>$C34</formula>
    </cfRule>
    <cfRule type="cellIs" dxfId="11201" priority="3394" operator="lessThan">
      <formula>$C34</formula>
    </cfRule>
  </conditionalFormatting>
  <conditionalFormatting sqref="D35:E35">
    <cfRule type="expression" dxfId="11200" priority="3391">
      <formula>AND($A35&lt;&gt;"",MOD(ROW(),2))</formula>
    </cfRule>
  </conditionalFormatting>
  <conditionalFormatting sqref="D35">
    <cfRule type="cellIs" dxfId="11199" priority="3388" operator="equal">
      <formula>$C35</formula>
    </cfRule>
    <cfRule type="cellIs" dxfId="11198" priority="3389" operator="greaterThan">
      <formula>$C35</formula>
    </cfRule>
    <cfRule type="cellIs" dxfId="11197" priority="3390" operator="lessThan">
      <formula>$C35</formula>
    </cfRule>
  </conditionalFormatting>
  <conditionalFormatting sqref="D36:E36">
    <cfRule type="expression" dxfId="11196" priority="3387">
      <formula>AND($A36&lt;&gt;"",MOD(ROW(),2))</formula>
    </cfRule>
  </conditionalFormatting>
  <conditionalFormatting sqref="D36">
    <cfRule type="cellIs" dxfId="11195" priority="3384" operator="equal">
      <formula>$C36</formula>
    </cfRule>
    <cfRule type="cellIs" dxfId="11194" priority="3385" operator="greaterThan">
      <formula>$C36</formula>
    </cfRule>
    <cfRule type="cellIs" dxfId="11193" priority="3386" operator="lessThan">
      <formula>$C36</formula>
    </cfRule>
  </conditionalFormatting>
  <conditionalFormatting sqref="D37:E37">
    <cfRule type="expression" dxfId="11192" priority="3383">
      <formula>AND($A37&lt;&gt;"",MOD(ROW(),2))</formula>
    </cfRule>
  </conditionalFormatting>
  <conditionalFormatting sqref="D37">
    <cfRule type="cellIs" dxfId="11191" priority="3380" operator="equal">
      <formula>$C37</formula>
    </cfRule>
    <cfRule type="cellIs" dxfId="11190" priority="3381" operator="greaterThan">
      <formula>$C37</formula>
    </cfRule>
    <cfRule type="cellIs" dxfId="11189" priority="3382" operator="lessThan">
      <formula>$C37</formula>
    </cfRule>
  </conditionalFormatting>
  <conditionalFormatting sqref="D38:E38">
    <cfRule type="expression" dxfId="11188" priority="3379">
      <formula>AND($A38&lt;&gt;"",MOD(ROW(),2))</formula>
    </cfRule>
  </conditionalFormatting>
  <conditionalFormatting sqref="D38">
    <cfRule type="cellIs" dxfId="11187" priority="3376" operator="equal">
      <formula>$C38</formula>
    </cfRule>
    <cfRule type="cellIs" dxfId="11186" priority="3377" operator="greaterThan">
      <formula>$C38</formula>
    </cfRule>
    <cfRule type="cellIs" dxfId="11185" priority="3378" operator="lessThan">
      <formula>$C38</formula>
    </cfRule>
  </conditionalFormatting>
  <conditionalFormatting sqref="D39:E39">
    <cfRule type="expression" dxfId="11184" priority="3375">
      <formula>AND($A39&lt;&gt;"",MOD(ROW(),2))</formula>
    </cfRule>
  </conditionalFormatting>
  <conditionalFormatting sqref="D39">
    <cfRule type="cellIs" dxfId="11183" priority="3372" operator="equal">
      <formula>$C39</formula>
    </cfRule>
    <cfRule type="cellIs" dxfId="11182" priority="3373" operator="greaterThan">
      <formula>$C39</formula>
    </cfRule>
    <cfRule type="cellIs" dxfId="11181" priority="3374" operator="lessThan">
      <formula>$C39</formula>
    </cfRule>
  </conditionalFormatting>
  <conditionalFormatting sqref="D40:E40">
    <cfRule type="expression" dxfId="11180" priority="3371">
      <formula>AND($A40&lt;&gt;"",MOD(ROW(),2))</formula>
    </cfRule>
  </conditionalFormatting>
  <conditionalFormatting sqref="D40">
    <cfRule type="cellIs" dxfId="11179" priority="3368" operator="equal">
      <formula>$C40</formula>
    </cfRule>
    <cfRule type="cellIs" dxfId="11178" priority="3369" operator="greaterThan">
      <formula>$C40</formula>
    </cfRule>
    <cfRule type="cellIs" dxfId="11177" priority="3370" operator="lessThan">
      <formula>$C40</formula>
    </cfRule>
  </conditionalFormatting>
  <conditionalFormatting sqref="D41:E41">
    <cfRule type="expression" dxfId="11176" priority="3367">
      <formula>AND($A41&lt;&gt;"",MOD(ROW(),2))</formula>
    </cfRule>
  </conditionalFormatting>
  <conditionalFormatting sqref="D41">
    <cfRule type="cellIs" dxfId="11175" priority="3364" operator="equal">
      <formula>$C41</formula>
    </cfRule>
    <cfRule type="cellIs" dxfId="11174" priority="3365" operator="greaterThan">
      <formula>$C41</formula>
    </cfRule>
    <cfRule type="cellIs" dxfId="11173" priority="3366" operator="lessThan">
      <formula>$C41</formula>
    </cfRule>
  </conditionalFormatting>
  <conditionalFormatting sqref="D42:E42">
    <cfRule type="expression" dxfId="11172" priority="3363">
      <formula>AND($A42&lt;&gt;"",MOD(ROW(),2))</formula>
    </cfRule>
  </conditionalFormatting>
  <conditionalFormatting sqref="D42">
    <cfRule type="cellIs" dxfId="11171" priority="3360" operator="equal">
      <formula>$C42</formula>
    </cfRule>
    <cfRule type="cellIs" dxfId="11170" priority="3361" operator="greaterThan">
      <formula>$C42</formula>
    </cfRule>
    <cfRule type="cellIs" dxfId="11169" priority="3362" operator="lessThan">
      <formula>$C42</formula>
    </cfRule>
  </conditionalFormatting>
  <conditionalFormatting sqref="D43:E43">
    <cfRule type="expression" dxfId="11168" priority="3359">
      <formula>AND($A43&lt;&gt;"",MOD(ROW(),2))</formula>
    </cfRule>
  </conditionalFormatting>
  <conditionalFormatting sqref="D43">
    <cfRule type="cellIs" dxfId="11167" priority="3356" operator="equal">
      <formula>$C43</formula>
    </cfRule>
    <cfRule type="cellIs" dxfId="11166" priority="3357" operator="greaterThan">
      <formula>$C43</formula>
    </cfRule>
    <cfRule type="cellIs" dxfId="11165" priority="3358" operator="lessThan">
      <formula>$C43</formula>
    </cfRule>
  </conditionalFormatting>
  <conditionalFormatting sqref="D44:E44">
    <cfRule type="expression" dxfId="11164" priority="3355">
      <formula>AND($A44&lt;&gt;"",MOD(ROW(),2))</formula>
    </cfRule>
  </conditionalFormatting>
  <conditionalFormatting sqref="D44">
    <cfRule type="cellIs" dxfId="11163" priority="3352" operator="equal">
      <formula>$C44</formula>
    </cfRule>
    <cfRule type="cellIs" dxfId="11162" priority="3353" operator="greaterThan">
      <formula>$C44</formula>
    </cfRule>
    <cfRule type="cellIs" dxfId="11161" priority="3354" operator="lessThan">
      <formula>$C44</formula>
    </cfRule>
  </conditionalFormatting>
  <conditionalFormatting sqref="D45:E45">
    <cfRule type="expression" dxfId="11160" priority="3351">
      <formula>AND($A45&lt;&gt;"",MOD(ROW(),2))</formula>
    </cfRule>
  </conditionalFormatting>
  <conditionalFormatting sqref="D45">
    <cfRule type="cellIs" dxfId="11159" priority="3348" operator="equal">
      <formula>$C45</formula>
    </cfRule>
    <cfRule type="cellIs" dxfId="11158" priority="3349" operator="greaterThan">
      <formula>$C45</formula>
    </cfRule>
    <cfRule type="cellIs" dxfId="11157" priority="3350" operator="lessThan">
      <formula>$C45</formula>
    </cfRule>
  </conditionalFormatting>
  <conditionalFormatting sqref="D46:E46">
    <cfRule type="expression" dxfId="11156" priority="3347">
      <formula>AND($A46&lt;&gt;"",MOD(ROW(),2))</formula>
    </cfRule>
  </conditionalFormatting>
  <conditionalFormatting sqref="D46">
    <cfRule type="cellIs" dxfId="11155" priority="3344" operator="equal">
      <formula>$C46</formula>
    </cfRule>
    <cfRule type="cellIs" dxfId="11154" priority="3345" operator="greaterThan">
      <formula>$C46</formula>
    </cfRule>
    <cfRule type="cellIs" dxfId="11153" priority="3346" operator="lessThan">
      <formula>$C46</formula>
    </cfRule>
  </conditionalFormatting>
  <conditionalFormatting sqref="D47:E47">
    <cfRule type="expression" dxfId="11152" priority="3343">
      <formula>AND($A47&lt;&gt;"",MOD(ROW(),2))</formula>
    </cfRule>
  </conditionalFormatting>
  <conditionalFormatting sqref="D47">
    <cfRule type="cellIs" dxfId="11151" priority="3340" operator="equal">
      <formula>$C47</formula>
    </cfRule>
    <cfRule type="cellIs" dxfId="11150" priority="3341" operator="greaterThan">
      <formula>$C47</formula>
    </cfRule>
    <cfRule type="cellIs" dxfId="11149" priority="3342" operator="lessThan">
      <formula>$C47</formula>
    </cfRule>
  </conditionalFormatting>
  <conditionalFormatting sqref="D48:E48">
    <cfRule type="expression" dxfId="11148" priority="3339">
      <formula>AND($A48&lt;&gt;"",MOD(ROW(),2))</formula>
    </cfRule>
  </conditionalFormatting>
  <conditionalFormatting sqref="D48">
    <cfRule type="cellIs" dxfId="11147" priority="3336" operator="equal">
      <formula>$C48</formula>
    </cfRule>
    <cfRule type="cellIs" dxfId="11146" priority="3337" operator="greaterThan">
      <formula>$C48</formula>
    </cfRule>
    <cfRule type="cellIs" dxfId="11145" priority="3338" operator="lessThan">
      <formula>$C48</formula>
    </cfRule>
  </conditionalFormatting>
  <conditionalFormatting sqref="D49:E49">
    <cfRule type="expression" dxfId="11144" priority="3335">
      <formula>AND($A49&lt;&gt;"",MOD(ROW(),2))</formula>
    </cfRule>
  </conditionalFormatting>
  <conditionalFormatting sqref="D49">
    <cfRule type="cellIs" dxfId="11143" priority="3332" operator="equal">
      <formula>$C49</formula>
    </cfRule>
    <cfRule type="cellIs" dxfId="11142" priority="3333" operator="greaterThan">
      <formula>$C49</formula>
    </cfRule>
    <cfRule type="cellIs" dxfId="11141" priority="3334" operator="lessThan">
      <formula>$C49</formula>
    </cfRule>
  </conditionalFormatting>
  <conditionalFormatting sqref="D50:E50">
    <cfRule type="expression" dxfId="11140" priority="3331">
      <formula>AND($A50&lt;&gt;"",MOD(ROW(),2))</formula>
    </cfRule>
  </conditionalFormatting>
  <conditionalFormatting sqref="D50">
    <cfRule type="cellIs" dxfId="11139" priority="3328" operator="equal">
      <formula>$C50</formula>
    </cfRule>
    <cfRule type="cellIs" dxfId="11138" priority="3329" operator="greaterThan">
      <formula>$C50</formula>
    </cfRule>
    <cfRule type="cellIs" dxfId="11137" priority="3330" operator="lessThan">
      <formula>$C50</formula>
    </cfRule>
  </conditionalFormatting>
  <conditionalFormatting sqref="D51:E51">
    <cfRule type="expression" dxfId="11136" priority="3327">
      <formula>AND($A51&lt;&gt;"",MOD(ROW(),2))</formula>
    </cfRule>
  </conditionalFormatting>
  <conditionalFormatting sqref="D51">
    <cfRule type="cellIs" dxfId="11135" priority="3324" operator="equal">
      <formula>$C51</formula>
    </cfRule>
    <cfRule type="cellIs" dxfId="11134" priority="3325" operator="greaterThan">
      <formula>$C51</formula>
    </cfRule>
    <cfRule type="cellIs" dxfId="11133" priority="3326" operator="lessThan">
      <formula>$C51</formula>
    </cfRule>
  </conditionalFormatting>
  <conditionalFormatting sqref="D25:E25">
    <cfRule type="expression" dxfId="11132" priority="3323">
      <formula>AND($A25&lt;&gt;"",MOD(ROW(),2))</formula>
    </cfRule>
  </conditionalFormatting>
  <conditionalFormatting sqref="D25">
    <cfRule type="cellIs" dxfId="11131" priority="3320" operator="equal">
      <formula>$C25</formula>
    </cfRule>
    <cfRule type="cellIs" dxfId="11130" priority="3321" operator="greaterThan">
      <formula>$C25</formula>
    </cfRule>
    <cfRule type="cellIs" dxfId="11129" priority="3322" operator="lessThan">
      <formula>$C25</formula>
    </cfRule>
  </conditionalFormatting>
  <conditionalFormatting sqref="D26:E26">
    <cfRule type="expression" dxfId="11128" priority="3319">
      <formula>AND($A26&lt;&gt;"",MOD(ROW(),2))</formula>
    </cfRule>
  </conditionalFormatting>
  <conditionalFormatting sqref="D26">
    <cfRule type="cellIs" dxfId="11127" priority="3316" operator="equal">
      <formula>$C26</formula>
    </cfRule>
    <cfRule type="cellIs" dxfId="11126" priority="3317" operator="greaterThan">
      <formula>$C26</formula>
    </cfRule>
    <cfRule type="cellIs" dxfId="11125" priority="3318" operator="lessThan">
      <formula>$C26</formula>
    </cfRule>
  </conditionalFormatting>
  <conditionalFormatting sqref="D27:E27">
    <cfRule type="expression" dxfId="11124" priority="3315">
      <formula>AND($A27&lt;&gt;"",MOD(ROW(),2))</formula>
    </cfRule>
  </conditionalFormatting>
  <conditionalFormatting sqref="D27">
    <cfRule type="cellIs" dxfId="11123" priority="3312" operator="equal">
      <formula>$C27</formula>
    </cfRule>
    <cfRule type="cellIs" dxfId="11122" priority="3313" operator="greaterThan">
      <formula>$C27</formula>
    </cfRule>
    <cfRule type="cellIs" dxfId="11121" priority="3314" operator="lessThan">
      <formula>$C27</formula>
    </cfRule>
  </conditionalFormatting>
  <conditionalFormatting sqref="D28:E28">
    <cfRule type="expression" dxfId="11120" priority="3311">
      <formula>AND($A28&lt;&gt;"",MOD(ROW(),2))</formula>
    </cfRule>
  </conditionalFormatting>
  <conditionalFormatting sqref="D28">
    <cfRule type="cellIs" dxfId="11119" priority="3308" operator="equal">
      <formula>$C28</formula>
    </cfRule>
    <cfRule type="cellIs" dxfId="11118" priority="3309" operator="greaterThan">
      <formula>$C28</formula>
    </cfRule>
    <cfRule type="cellIs" dxfId="11117" priority="3310" operator="lessThan">
      <formula>$C28</formula>
    </cfRule>
  </conditionalFormatting>
  <conditionalFormatting sqref="D29:E29">
    <cfRule type="expression" dxfId="11116" priority="3307">
      <formula>AND($A29&lt;&gt;"",MOD(ROW(),2))</formula>
    </cfRule>
  </conditionalFormatting>
  <conditionalFormatting sqref="D29">
    <cfRule type="cellIs" dxfId="11115" priority="3304" operator="equal">
      <formula>$C29</formula>
    </cfRule>
    <cfRule type="cellIs" dxfId="11114" priority="3305" operator="greaterThan">
      <formula>$C29</formula>
    </cfRule>
    <cfRule type="cellIs" dxfId="11113" priority="3306" operator="lessThan">
      <formula>$C29</formula>
    </cfRule>
  </conditionalFormatting>
  <conditionalFormatting sqref="D30:E30">
    <cfRule type="expression" dxfId="11112" priority="3303">
      <formula>AND($A30&lt;&gt;"",MOD(ROW(),2))</formula>
    </cfRule>
  </conditionalFormatting>
  <conditionalFormatting sqref="D30">
    <cfRule type="cellIs" dxfId="11111" priority="3300" operator="equal">
      <formula>$C30</formula>
    </cfRule>
    <cfRule type="cellIs" dxfId="11110" priority="3301" operator="greaterThan">
      <formula>$C30</formula>
    </cfRule>
    <cfRule type="cellIs" dxfId="11109" priority="3302" operator="lessThan">
      <formula>$C30</formula>
    </cfRule>
  </conditionalFormatting>
  <conditionalFormatting sqref="D31:E31">
    <cfRule type="expression" dxfId="11108" priority="3299">
      <formula>AND($A31&lt;&gt;"",MOD(ROW(),2))</formula>
    </cfRule>
  </conditionalFormatting>
  <conditionalFormatting sqref="D31">
    <cfRule type="cellIs" dxfId="11107" priority="3296" operator="equal">
      <formula>$C31</formula>
    </cfRule>
    <cfRule type="cellIs" dxfId="11106" priority="3297" operator="greaterThan">
      <formula>$C31</formula>
    </cfRule>
    <cfRule type="cellIs" dxfId="11105" priority="3298" operator="lessThan">
      <formula>$C31</formula>
    </cfRule>
  </conditionalFormatting>
  <conditionalFormatting sqref="D32:E32">
    <cfRule type="expression" dxfId="11104" priority="3295">
      <formula>AND($A32&lt;&gt;"",MOD(ROW(),2))</formula>
    </cfRule>
  </conditionalFormatting>
  <conditionalFormatting sqref="D32">
    <cfRule type="cellIs" dxfId="11103" priority="3292" operator="equal">
      <formula>$C32</formula>
    </cfRule>
    <cfRule type="cellIs" dxfId="11102" priority="3293" operator="greaterThan">
      <formula>$C32</formula>
    </cfRule>
    <cfRule type="cellIs" dxfId="11101" priority="3294" operator="lessThan">
      <formula>$C32</formula>
    </cfRule>
  </conditionalFormatting>
  <conditionalFormatting sqref="D33:E33">
    <cfRule type="expression" dxfId="11100" priority="3291">
      <formula>AND($A33&lt;&gt;"",MOD(ROW(),2))</formula>
    </cfRule>
  </conditionalFormatting>
  <conditionalFormatting sqref="D33">
    <cfRule type="cellIs" dxfId="11099" priority="3288" operator="equal">
      <formula>$C33</formula>
    </cfRule>
    <cfRule type="cellIs" dxfId="11098" priority="3289" operator="greaterThan">
      <formula>$C33</formula>
    </cfRule>
    <cfRule type="cellIs" dxfId="11097" priority="3290" operator="lessThan">
      <formula>$C33</formula>
    </cfRule>
  </conditionalFormatting>
  <conditionalFormatting sqref="D34:E34">
    <cfRule type="expression" dxfId="11096" priority="3287">
      <formula>AND($A34&lt;&gt;"",MOD(ROW(),2))</formula>
    </cfRule>
  </conditionalFormatting>
  <conditionalFormatting sqref="D34">
    <cfRule type="cellIs" dxfId="11095" priority="3284" operator="equal">
      <formula>$C34</formula>
    </cfRule>
    <cfRule type="cellIs" dxfId="11094" priority="3285" operator="greaterThan">
      <formula>$C34</formula>
    </cfRule>
    <cfRule type="cellIs" dxfId="11093" priority="3286" operator="lessThan">
      <formula>$C34</formula>
    </cfRule>
  </conditionalFormatting>
  <conditionalFormatting sqref="D35:E35">
    <cfRule type="expression" dxfId="11092" priority="3283">
      <formula>AND($A35&lt;&gt;"",MOD(ROW(),2))</formula>
    </cfRule>
  </conditionalFormatting>
  <conditionalFormatting sqref="D35">
    <cfRule type="cellIs" dxfId="11091" priority="3280" operator="equal">
      <formula>$C35</formula>
    </cfRule>
    <cfRule type="cellIs" dxfId="11090" priority="3281" operator="greaterThan">
      <formula>$C35</formula>
    </cfRule>
    <cfRule type="cellIs" dxfId="11089" priority="3282" operator="lessThan">
      <formula>$C35</formula>
    </cfRule>
  </conditionalFormatting>
  <conditionalFormatting sqref="D36:E36">
    <cfRule type="expression" dxfId="11088" priority="3279">
      <formula>AND($A36&lt;&gt;"",MOD(ROW(),2))</formula>
    </cfRule>
  </conditionalFormatting>
  <conditionalFormatting sqref="D36">
    <cfRule type="cellIs" dxfId="11087" priority="3276" operator="equal">
      <formula>$C36</formula>
    </cfRule>
    <cfRule type="cellIs" dxfId="11086" priority="3277" operator="greaterThan">
      <formula>$C36</formula>
    </cfRule>
    <cfRule type="cellIs" dxfId="11085" priority="3278" operator="lessThan">
      <formula>$C36</formula>
    </cfRule>
  </conditionalFormatting>
  <conditionalFormatting sqref="D37:E37">
    <cfRule type="expression" dxfId="11084" priority="3275">
      <formula>AND($A37&lt;&gt;"",MOD(ROW(),2))</formula>
    </cfRule>
  </conditionalFormatting>
  <conditionalFormatting sqref="D37">
    <cfRule type="cellIs" dxfId="11083" priority="3272" operator="equal">
      <formula>$C37</formula>
    </cfRule>
    <cfRule type="cellIs" dxfId="11082" priority="3273" operator="greaterThan">
      <formula>$C37</formula>
    </cfRule>
    <cfRule type="cellIs" dxfId="11081" priority="3274" operator="lessThan">
      <formula>$C37</formula>
    </cfRule>
  </conditionalFormatting>
  <conditionalFormatting sqref="D38:E38">
    <cfRule type="expression" dxfId="11080" priority="3271">
      <formula>AND($A38&lt;&gt;"",MOD(ROW(),2))</formula>
    </cfRule>
  </conditionalFormatting>
  <conditionalFormatting sqref="D38">
    <cfRule type="cellIs" dxfId="11079" priority="3268" operator="equal">
      <formula>$C38</formula>
    </cfRule>
    <cfRule type="cellIs" dxfId="11078" priority="3269" operator="greaterThan">
      <formula>$C38</formula>
    </cfRule>
    <cfRule type="cellIs" dxfId="11077" priority="3270" operator="lessThan">
      <formula>$C38</formula>
    </cfRule>
  </conditionalFormatting>
  <conditionalFormatting sqref="D39:E39">
    <cfRule type="expression" dxfId="11076" priority="3267">
      <formula>AND($A39&lt;&gt;"",MOD(ROW(),2))</formula>
    </cfRule>
  </conditionalFormatting>
  <conditionalFormatting sqref="D39">
    <cfRule type="cellIs" dxfId="11075" priority="3264" operator="equal">
      <formula>$C39</formula>
    </cfRule>
    <cfRule type="cellIs" dxfId="11074" priority="3265" operator="greaterThan">
      <formula>$C39</formula>
    </cfRule>
    <cfRule type="cellIs" dxfId="11073" priority="3266" operator="lessThan">
      <formula>$C39</formula>
    </cfRule>
  </conditionalFormatting>
  <conditionalFormatting sqref="D40:E40">
    <cfRule type="expression" dxfId="11072" priority="3263">
      <formula>AND($A40&lt;&gt;"",MOD(ROW(),2))</formula>
    </cfRule>
  </conditionalFormatting>
  <conditionalFormatting sqref="D40">
    <cfRule type="cellIs" dxfId="11071" priority="3260" operator="equal">
      <formula>$C40</formula>
    </cfRule>
    <cfRule type="cellIs" dxfId="11070" priority="3261" operator="greaterThan">
      <formula>$C40</formula>
    </cfRule>
    <cfRule type="cellIs" dxfId="11069" priority="3262" operator="lessThan">
      <formula>$C40</formula>
    </cfRule>
  </conditionalFormatting>
  <conditionalFormatting sqref="D41:E41">
    <cfRule type="expression" dxfId="11068" priority="3259">
      <formula>AND($A41&lt;&gt;"",MOD(ROW(),2))</formula>
    </cfRule>
  </conditionalFormatting>
  <conditionalFormatting sqref="D41">
    <cfRule type="cellIs" dxfId="11067" priority="3256" operator="equal">
      <formula>$C41</formula>
    </cfRule>
    <cfRule type="cellIs" dxfId="11066" priority="3257" operator="greaterThan">
      <formula>$C41</formula>
    </cfRule>
    <cfRule type="cellIs" dxfId="11065" priority="3258" operator="lessThan">
      <formula>$C41</formula>
    </cfRule>
  </conditionalFormatting>
  <conditionalFormatting sqref="D42:E42">
    <cfRule type="expression" dxfId="11064" priority="3255">
      <formula>AND($A42&lt;&gt;"",MOD(ROW(),2))</formula>
    </cfRule>
  </conditionalFormatting>
  <conditionalFormatting sqref="D42">
    <cfRule type="cellIs" dxfId="11063" priority="3252" operator="equal">
      <formula>$C42</formula>
    </cfRule>
    <cfRule type="cellIs" dxfId="11062" priority="3253" operator="greaterThan">
      <formula>$C42</formula>
    </cfRule>
    <cfRule type="cellIs" dxfId="11061" priority="3254" operator="lessThan">
      <formula>$C42</formula>
    </cfRule>
  </conditionalFormatting>
  <conditionalFormatting sqref="D43:E43">
    <cfRule type="expression" dxfId="11060" priority="3251">
      <formula>AND($A43&lt;&gt;"",MOD(ROW(),2))</formula>
    </cfRule>
  </conditionalFormatting>
  <conditionalFormatting sqref="D43">
    <cfRule type="cellIs" dxfId="11059" priority="3248" operator="equal">
      <formula>$C43</formula>
    </cfRule>
    <cfRule type="cellIs" dxfId="11058" priority="3249" operator="greaterThan">
      <formula>$C43</formula>
    </cfRule>
    <cfRule type="cellIs" dxfId="11057" priority="3250" operator="lessThan">
      <formula>$C43</formula>
    </cfRule>
  </conditionalFormatting>
  <conditionalFormatting sqref="D44:E44">
    <cfRule type="expression" dxfId="11056" priority="3247">
      <formula>AND($A44&lt;&gt;"",MOD(ROW(),2))</formula>
    </cfRule>
  </conditionalFormatting>
  <conditionalFormatting sqref="D44">
    <cfRule type="cellIs" dxfId="11055" priority="3244" operator="equal">
      <formula>$C44</formula>
    </cfRule>
    <cfRule type="cellIs" dxfId="11054" priority="3245" operator="greaterThan">
      <formula>$C44</formula>
    </cfRule>
    <cfRule type="cellIs" dxfId="11053" priority="3246" operator="lessThan">
      <formula>$C44</formula>
    </cfRule>
  </conditionalFormatting>
  <conditionalFormatting sqref="D45:E45">
    <cfRule type="expression" dxfId="11052" priority="3243">
      <formula>AND($A45&lt;&gt;"",MOD(ROW(),2))</formula>
    </cfRule>
  </conditionalFormatting>
  <conditionalFormatting sqref="D45">
    <cfRule type="cellIs" dxfId="11051" priority="3240" operator="equal">
      <formula>$C45</formula>
    </cfRule>
    <cfRule type="cellIs" dxfId="11050" priority="3241" operator="greaterThan">
      <formula>$C45</formula>
    </cfRule>
    <cfRule type="cellIs" dxfId="11049" priority="3242" operator="lessThan">
      <formula>$C45</formula>
    </cfRule>
  </conditionalFormatting>
  <conditionalFormatting sqref="D46:E46">
    <cfRule type="expression" dxfId="11048" priority="3239">
      <formula>AND($A46&lt;&gt;"",MOD(ROW(),2))</formula>
    </cfRule>
  </conditionalFormatting>
  <conditionalFormatting sqref="D46">
    <cfRule type="cellIs" dxfId="11047" priority="3236" operator="equal">
      <formula>$C46</formula>
    </cfRule>
    <cfRule type="cellIs" dxfId="11046" priority="3237" operator="greaterThan">
      <formula>$C46</formula>
    </cfRule>
    <cfRule type="cellIs" dxfId="11045" priority="3238" operator="lessThan">
      <formula>$C46</formula>
    </cfRule>
  </conditionalFormatting>
  <conditionalFormatting sqref="D47:E47">
    <cfRule type="expression" dxfId="11044" priority="3235">
      <formula>AND($A47&lt;&gt;"",MOD(ROW(),2))</formula>
    </cfRule>
  </conditionalFormatting>
  <conditionalFormatting sqref="D47">
    <cfRule type="cellIs" dxfId="11043" priority="3232" operator="equal">
      <formula>$C47</formula>
    </cfRule>
    <cfRule type="cellIs" dxfId="11042" priority="3233" operator="greaterThan">
      <formula>$C47</formula>
    </cfRule>
    <cfRule type="cellIs" dxfId="11041" priority="3234" operator="lessThan">
      <formula>$C47</formula>
    </cfRule>
  </conditionalFormatting>
  <conditionalFormatting sqref="D48:E48">
    <cfRule type="expression" dxfId="11040" priority="3231">
      <formula>AND($A48&lt;&gt;"",MOD(ROW(),2))</formula>
    </cfRule>
  </conditionalFormatting>
  <conditionalFormatting sqref="D48">
    <cfRule type="cellIs" dxfId="11039" priority="3228" operator="equal">
      <formula>$C48</formula>
    </cfRule>
    <cfRule type="cellIs" dxfId="11038" priority="3229" operator="greaterThan">
      <formula>$C48</formula>
    </cfRule>
    <cfRule type="cellIs" dxfId="11037" priority="3230" operator="lessThan">
      <formula>$C48</formula>
    </cfRule>
  </conditionalFormatting>
  <conditionalFormatting sqref="D26:E26">
    <cfRule type="expression" dxfId="11036" priority="3227">
      <formula>AND($A26&lt;&gt;"",MOD(ROW(),2))</formula>
    </cfRule>
  </conditionalFormatting>
  <conditionalFormatting sqref="D26">
    <cfRule type="cellIs" dxfId="11035" priority="3224" operator="equal">
      <formula>$C26</formula>
    </cfRule>
    <cfRule type="cellIs" dxfId="11034" priority="3225" operator="greaterThan">
      <formula>$C26</formula>
    </cfRule>
    <cfRule type="cellIs" dxfId="11033" priority="3226" operator="lessThan">
      <formula>$C26</formula>
    </cfRule>
  </conditionalFormatting>
  <conditionalFormatting sqref="D27:E27">
    <cfRule type="expression" dxfId="11032" priority="3223">
      <formula>AND($A27&lt;&gt;"",MOD(ROW(),2))</formula>
    </cfRule>
  </conditionalFormatting>
  <conditionalFormatting sqref="D27">
    <cfRule type="cellIs" dxfId="11031" priority="3220" operator="equal">
      <formula>$C27</formula>
    </cfRule>
    <cfRule type="cellIs" dxfId="11030" priority="3221" operator="greaterThan">
      <formula>$C27</formula>
    </cfRule>
    <cfRule type="cellIs" dxfId="11029" priority="3222" operator="lessThan">
      <formula>$C27</formula>
    </cfRule>
  </conditionalFormatting>
  <conditionalFormatting sqref="D28:E28">
    <cfRule type="expression" dxfId="11028" priority="3219">
      <formula>AND($A28&lt;&gt;"",MOD(ROW(),2))</formula>
    </cfRule>
  </conditionalFormatting>
  <conditionalFormatting sqref="D28">
    <cfRule type="cellIs" dxfId="11027" priority="3216" operator="equal">
      <formula>$C28</formula>
    </cfRule>
    <cfRule type="cellIs" dxfId="11026" priority="3217" operator="greaterThan">
      <formula>$C28</formula>
    </cfRule>
    <cfRule type="cellIs" dxfId="11025" priority="3218" operator="lessThan">
      <formula>$C28</formula>
    </cfRule>
  </conditionalFormatting>
  <conditionalFormatting sqref="D29:E29">
    <cfRule type="expression" dxfId="11024" priority="3215">
      <formula>AND($A29&lt;&gt;"",MOD(ROW(),2))</formula>
    </cfRule>
  </conditionalFormatting>
  <conditionalFormatting sqref="D29">
    <cfRule type="cellIs" dxfId="11023" priority="3212" operator="equal">
      <formula>$C29</formula>
    </cfRule>
    <cfRule type="cellIs" dxfId="11022" priority="3213" operator="greaterThan">
      <formula>$C29</formula>
    </cfRule>
    <cfRule type="cellIs" dxfId="11021" priority="3214" operator="lessThan">
      <formula>$C29</formula>
    </cfRule>
  </conditionalFormatting>
  <conditionalFormatting sqref="D30:E30">
    <cfRule type="expression" dxfId="11020" priority="3211">
      <formula>AND($A30&lt;&gt;"",MOD(ROW(),2))</formula>
    </cfRule>
  </conditionalFormatting>
  <conditionalFormatting sqref="D30">
    <cfRule type="cellIs" dxfId="11019" priority="3208" operator="equal">
      <formula>$C30</formula>
    </cfRule>
    <cfRule type="cellIs" dxfId="11018" priority="3209" operator="greaterThan">
      <formula>$C30</formula>
    </cfRule>
    <cfRule type="cellIs" dxfId="11017" priority="3210" operator="lessThan">
      <formula>$C30</formula>
    </cfRule>
  </conditionalFormatting>
  <conditionalFormatting sqref="D31:E31">
    <cfRule type="expression" dxfId="11016" priority="3207">
      <formula>AND($A31&lt;&gt;"",MOD(ROW(),2))</formula>
    </cfRule>
  </conditionalFormatting>
  <conditionalFormatting sqref="D31">
    <cfRule type="cellIs" dxfId="11015" priority="3204" operator="equal">
      <formula>$C31</formula>
    </cfRule>
    <cfRule type="cellIs" dxfId="11014" priority="3205" operator="greaterThan">
      <formula>$C31</formula>
    </cfRule>
    <cfRule type="cellIs" dxfId="11013" priority="3206" operator="lessThan">
      <formula>$C31</formula>
    </cfRule>
  </conditionalFormatting>
  <conditionalFormatting sqref="D32:E32">
    <cfRule type="expression" dxfId="11012" priority="3203">
      <formula>AND($A32&lt;&gt;"",MOD(ROW(),2))</formula>
    </cfRule>
  </conditionalFormatting>
  <conditionalFormatting sqref="D32">
    <cfRule type="cellIs" dxfId="11011" priority="3200" operator="equal">
      <formula>$C32</formula>
    </cfRule>
    <cfRule type="cellIs" dxfId="11010" priority="3201" operator="greaterThan">
      <formula>$C32</formula>
    </cfRule>
    <cfRule type="cellIs" dxfId="11009" priority="3202" operator="lessThan">
      <formula>$C32</formula>
    </cfRule>
  </conditionalFormatting>
  <conditionalFormatting sqref="D33:E33">
    <cfRule type="expression" dxfId="11008" priority="3199">
      <formula>AND($A33&lt;&gt;"",MOD(ROW(),2))</formula>
    </cfRule>
  </conditionalFormatting>
  <conditionalFormatting sqref="D33">
    <cfRule type="cellIs" dxfId="11007" priority="3196" operator="equal">
      <formula>$C33</formula>
    </cfRule>
    <cfRule type="cellIs" dxfId="11006" priority="3197" operator="greaterThan">
      <formula>$C33</formula>
    </cfRule>
    <cfRule type="cellIs" dxfId="11005" priority="3198" operator="lessThan">
      <formula>$C33</formula>
    </cfRule>
  </conditionalFormatting>
  <conditionalFormatting sqref="D34:E34">
    <cfRule type="expression" dxfId="11004" priority="3195">
      <formula>AND($A34&lt;&gt;"",MOD(ROW(),2))</formula>
    </cfRule>
  </conditionalFormatting>
  <conditionalFormatting sqref="D34">
    <cfRule type="cellIs" dxfId="11003" priority="3192" operator="equal">
      <formula>$C34</formula>
    </cfRule>
    <cfRule type="cellIs" dxfId="11002" priority="3193" operator="greaterThan">
      <formula>$C34</formula>
    </cfRule>
    <cfRule type="cellIs" dxfId="11001" priority="3194" operator="lessThan">
      <formula>$C34</formula>
    </cfRule>
  </conditionalFormatting>
  <conditionalFormatting sqref="D35:E35">
    <cfRule type="expression" dxfId="11000" priority="3191">
      <formula>AND($A35&lt;&gt;"",MOD(ROW(),2))</formula>
    </cfRule>
  </conditionalFormatting>
  <conditionalFormatting sqref="D35">
    <cfRule type="cellIs" dxfId="10999" priority="3188" operator="equal">
      <formula>$C35</formula>
    </cfRule>
    <cfRule type="cellIs" dxfId="10998" priority="3189" operator="greaterThan">
      <formula>$C35</formula>
    </cfRule>
    <cfRule type="cellIs" dxfId="10997" priority="3190" operator="lessThan">
      <formula>$C35</formula>
    </cfRule>
  </conditionalFormatting>
  <conditionalFormatting sqref="D36:E36">
    <cfRule type="expression" dxfId="10996" priority="3187">
      <formula>AND($A36&lt;&gt;"",MOD(ROW(),2))</formula>
    </cfRule>
  </conditionalFormatting>
  <conditionalFormatting sqref="D36">
    <cfRule type="cellIs" dxfId="10995" priority="3184" operator="equal">
      <formula>$C36</formula>
    </cfRule>
    <cfRule type="cellIs" dxfId="10994" priority="3185" operator="greaterThan">
      <formula>$C36</formula>
    </cfRule>
    <cfRule type="cellIs" dxfId="10993" priority="3186" operator="lessThan">
      <formula>$C36</formula>
    </cfRule>
  </conditionalFormatting>
  <conditionalFormatting sqref="D37:E37">
    <cfRule type="expression" dxfId="10992" priority="3183">
      <formula>AND($A37&lt;&gt;"",MOD(ROW(),2))</formula>
    </cfRule>
  </conditionalFormatting>
  <conditionalFormatting sqref="D37">
    <cfRule type="cellIs" dxfId="10991" priority="3180" operator="equal">
      <formula>$C37</formula>
    </cfRule>
    <cfRule type="cellIs" dxfId="10990" priority="3181" operator="greaterThan">
      <formula>$C37</formula>
    </cfRule>
    <cfRule type="cellIs" dxfId="10989" priority="3182" operator="lessThan">
      <formula>$C37</formula>
    </cfRule>
  </conditionalFormatting>
  <conditionalFormatting sqref="D38:E38">
    <cfRule type="expression" dxfId="10988" priority="3179">
      <formula>AND($A38&lt;&gt;"",MOD(ROW(),2))</formula>
    </cfRule>
  </conditionalFormatting>
  <conditionalFormatting sqref="D38">
    <cfRule type="cellIs" dxfId="10987" priority="3176" operator="equal">
      <formula>$C38</formula>
    </cfRule>
    <cfRule type="cellIs" dxfId="10986" priority="3177" operator="greaterThan">
      <formula>$C38</formula>
    </cfRule>
    <cfRule type="cellIs" dxfId="10985" priority="3178" operator="lessThan">
      <formula>$C38</formula>
    </cfRule>
  </conditionalFormatting>
  <conditionalFormatting sqref="D39:E39">
    <cfRule type="expression" dxfId="10984" priority="3175">
      <formula>AND($A39&lt;&gt;"",MOD(ROW(),2))</formula>
    </cfRule>
  </conditionalFormatting>
  <conditionalFormatting sqref="D39">
    <cfRule type="cellIs" dxfId="10983" priority="3172" operator="equal">
      <formula>$C39</formula>
    </cfRule>
    <cfRule type="cellIs" dxfId="10982" priority="3173" operator="greaterThan">
      <formula>$C39</formula>
    </cfRule>
    <cfRule type="cellIs" dxfId="10981" priority="3174" operator="lessThan">
      <formula>$C39</formula>
    </cfRule>
  </conditionalFormatting>
  <conditionalFormatting sqref="D40:E40">
    <cfRule type="expression" dxfId="10980" priority="3171">
      <formula>AND($A40&lt;&gt;"",MOD(ROW(),2))</formula>
    </cfRule>
  </conditionalFormatting>
  <conditionalFormatting sqref="D40">
    <cfRule type="cellIs" dxfId="10979" priority="3168" operator="equal">
      <formula>$C40</formula>
    </cfRule>
    <cfRule type="cellIs" dxfId="10978" priority="3169" operator="greaterThan">
      <formula>$C40</formula>
    </cfRule>
    <cfRule type="cellIs" dxfId="10977" priority="3170" operator="lessThan">
      <formula>$C40</formula>
    </cfRule>
  </conditionalFormatting>
  <conditionalFormatting sqref="D41:E41">
    <cfRule type="expression" dxfId="10976" priority="3167">
      <formula>AND($A41&lt;&gt;"",MOD(ROW(),2))</formula>
    </cfRule>
  </conditionalFormatting>
  <conditionalFormatting sqref="D41">
    <cfRule type="cellIs" dxfId="10975" priority="3164" operator="equal">
      <formula>$C41</formula>
    </cfRule>
    <cfRule type="cellIs" dxfId="10974" priority="3165" operator="greaterThan">
      <formula>$C41</formula>
    </cfRule>
    <cfRule type="cellIs" dxfId="10973" priority="3166" operator="lessThan">
      <formula>$C41</formula>
    </cfRule>
  </conditionalFormatting>
  <conditionalFormatting sqref="D42:E42">
    <cfRule type="expression" dxfId="10972" priority="3163">
      <formula>AND($A42&lt;&gt;"",MOD(ROW(),2))</formula>
    </cfRule>
  </conditionalFormatting>
  <conditionalFormatting sqref="D42">
    <cfRule type="cellIs" dxfId="10971" priority="3160" operator="equal">
      <formula>$C42</formula>
    </cfRule>
    <cfRule type="cellIs" dxfId="10970" priority="3161" operator="greaterThan">
      <formula>$C42</formula>
    </cfRule>
    <cfRule type="cellIs" dxfId="10969" priority="3162" operator="lessThan">
      <formula>$C42</formula>
    </cfRule>
  </conditionalFormatting>
  <conditionalFormatting sqref="D43:E43">
    <cfRule type="expression" dxfId="10968" priority="3159">
      <formula>AND($A43&lt;&gt;"",MOD(ROW(),2))</formula>
    </cfRule>
  </conditionalFormatting>
  <conditionalFormatting sqref="D43">
    <cfRule type="cellIs" dxfId="10967" priority="3156" operator="equal">
      <formula>$C43</formula>
    </cfRule>
    <cfRule type="cellIs" dxfId="10966" priority="3157" operator="greaterThan">
      <formula>$C43</formula>
    </cfRule>
    <cfRule type="cellIs" dxfId="10965" priority="3158" operator="lessThan">
      <formula>$C43</formula>
    </cfRule>
  </conditionalFormatting>
  <conditionalFormatting sqref="D44:E44">
    <cfRule type="expression" dxfId="10964" priority="3155">
      <formula>AND($A44&lt;&gt;"",MOD(ROW(),2))</formula>
    </cfRule>
  </conditionalFormatting>
  <conditionalFormatting sqref="D44">
    <cfRule type="cellIs" dxfId="10963" priority="3152" operator="equal">
      <formula>$C44</formula>
    </cfRule>
    <cfRule type="cellIs" dxfId="10962" priority="3153" operator="greaterThan">
      <formula>$C44</formula>
    </cfRule>
    <cfRule type="cellIs" dxfId="10961" priority="3154" operator="lessThan">
      <formula>$C44</formula>
    </cfRule>
  </conditionalFormatting>
  <conditionalFormatting sqref="D45:E45">
    <cfRule type="expression" dxfId="10960" priority="3151">
      <formula>AND($A45&lt;&gt;"",MOD(ROW(),2))</formula>
    </cfRule>
  </conditionalFormatting>
  <conditionalFormatting sqref="D45">
    <cfRule type="cellIs" dxfId="10959" priority="3148" operator="equal">
      <formula>$C45</formula>
    </cfRule>
    <cfRule type="cellIs" dxfId="10958" priority="3149" operator="greaterThan">
      <formula>$C45</formula>
    </cfRule>
    <cfRule type="cellIs" dxfId="10957" priority="3150" operator="lessThan">
      <formula>$C45</formula>
    </cfRule>
  </conditionalFormatting>
  <conditionalFormatting sqref="D46:E46">
    <cfRule type="expression" dxfId="10956" priority="3147">
      <formula>AND($A46&lt;&gt;"",MOD(ROW(),2))</formula>
    </cfRule>
  </conditionalFormatting>
  <conditionalFormatting sqref="D46">
    <cfRule type="cellIs" dxfId="10955" priority="3144" operator="equal">
      <formula>$C46</formula>
    </cfRule>
    <cfRule type="cellIs" dxfId="10954" priority="3145" operator="greaterThan">
      <formula>$C46</formula>
    </cfRule>
    <cfRule type="cellIs" dxfId="10953" priority="3146" operator="lessThan">
      <formula>$C46</formula>
    </cfRule>
  </conditionalFormatting>
  <conditionalFormatting sqref="D47:E47">
    <cfRule type="expression" dxfId="10952" priority="3143">
      <formula>AND($A47&lt;&gt;"",MOD(ROW(),2))</formula>
    </cfRule>
  </conditionalFormatting>
  <conditionalFormatting sqref="D47">
    <cfRule type="cellIs" dxfId="10951" priority="3140" operator="equal">
      <formula>$C47</formula>
    </cfRule>
    <cfRule type="cellIs" dxfId="10950" priority="3141" operator="greaterThan">
      <formula>$C47</formula>
    </cfRule>
    <cfRule type="cellIs" dxfId="10949" priority="3142" operator="lessThan">
      <formula>$C47</formula>
    </cfRule>
  </conditionalFormatting>
  <conditionalFormatting sqref="D48:E48">
    <cfRule type="expression" dxfId="10948" priority="3139">
      <formula>AND($A48&lt;&gt;"",MOD(ROW(),2))</formula>
    </cfRule>
  </conditionalFormatting>
  <conditionalFormatting sqref="D48">
    <cfRule type="cellIs" dxfId="10947" priority="3136" operator="equal">
      <formula>$C48</formula>
    </cfRule>
    <cfRule type="cellIs" dxfId="10946" priority="3137" operator="greaterThan">
      <formula>$C48</formula>
    </cfRule>
    <cfRule type="cellIs" dxfId="10945" priority="3138" operator="lessThan">
      <formula>$C48</formula>
    </cfRule>
  </conditionalFormatting>
  <conditionalFormatting sqref="D26:E26">
    <cfRule type="expression" dxfId="10944" priority="3135">
      <formula>AND($A26&lt;&gt;"",MOD(ROW(),2))</formula>
    </cfRule>
  </conditionalFormatting>
  <conditionalFormatting sqref="D26">
    <cfRule type="cellIs" dxfId="10943" priority="3132" operator="equal">
      <formula>$C26</formula>
    </cfRule>
    <cfRule type="cellIs" dxfId="10942" priority="3133" operator="greaterThan">
      <formula>$C26</formula>
    </cfRule>
    <cfRule type="cellIs" dxfId="10941" priority="3134" operator="lessThan">
      <formula>$C26</formula>
    </cfRule>
  </conditionalFormatting>
  <conditionalFormatting sqref="D27:E27">
    <cfRule type="expression" dxfId="10940" priority="3131">
      <formula>AND($A27&lt;&gt;"",MOD(ROW(),2))</formula>
    </cfRule>
  </conditionalFormatting>
  <conditionalFormatting sqref="D27">
    <cfRule type="cellIs" dxfId="10939" priority="3128" operator="equal">
      <formula>$C27</formula>
    </cfRule>
    <cfRule type="cellIs" dxfId="10938" priority="3129" operator="greaterThan">
      <formula>$C27</formula>
    </cfRule>
    <cfRule type="cellIs" dxfId="10937" priority="3130" operator="lessThan">
      <formula>$C27</formula>
    </cfRule>
  </conditionalFormatting>
  <conditionalFormatting sqref="D28:E28">
    <cfRule type="expression" dxfId="10936" priority="3127">
      <formula>AND($A28&lt;&gt;"",MOD(ROW(),2))</formula>
    </cfRule>
  </conditionalFormatting>
  <conditionalFormatting sqref="D28">
    <cfRule type="cellIs" dxfId="10935" priority="3124" operator="equal">
      <formula>$C28</formula>
    </cfRule>
    <cfRule type="cellIs" dxfId="10934" priority="3125" operator="greaterThan">
      <formula>$C28</formula>
    </cfRule>
    <cfRule type="cellIs" dxfId="10933" priority="3126" operator="lessThan">
      <formula>$C28</formula>
    </cfRule>
  </conditionalFormatting>
  <conditionalFormatting sqref="D29:E29">
    <cfRule type="expression" dxfId="10932" priority="3123">
      <formula>AND($A29&lt;&gt;"",MOD(ROW(),2))</formula>
    </cfRule>
  </conditionalFormatting>
  <conditionalFormatting sqref="D29">
    <cfRule type="cellIs" dxfId="10931" priority="3120" operator="equal">
      <formula>$C29</formula>
    </cfRule>
    <cfRule type="cellIs" dxfId="10930" priority="3121" operator="greaterThan">
      <formula>$C29</formula>
    </cfRule>
    <cfRule type="cellIs" dxfId="10929" priority="3122" operator="lessThan">
      <formula>$C29</formula>
    </cfRule>
  </conditionalFormatting>
  <conditionalFormatting sqref="D30:E30">
    <cfRule type="expression" dxfId="10928" priority="3119">
      <formula>AND($A30&lt;&gt;"",MOD(ROW(),2))</formula>
    </cfRule>
  </conditionalFormatting>
  <conditionalFormatting sqref="D30">
    <cfRule type="cellIs" dxfId="10927" priority="3116" operator="equal">
      <formula>$C30</formula>
    </cfRule>
    <cfRule type="cellIs" dxfId="10926" priority="3117" operator="greaterThan">
      <formula>$C30</formula>
    </cfRule>
    <cfRule type="cellIs" dxfId="10925" priority="3118" operator="lessThan">
      <formula>$C30</formula>
    </cfRule>
  </conditionalFormatting>
  <conditionalFormatting sqref="D31:E31">
    <cfRule type="expression" dxfId="10924" priority="3115">
      <formula>AND($A31&lt;&gt;"",MOD(ROW(),2))</formula>
    </cfRule>
  </conditionalFormatting>
  <conditionalFormatting sqref="D31">
    <cfRule type="cellIs" dxfId="10923" priority="3112" operator="equal">
      <formula>$C31</formula>
    </cfRule>
    <cfRule type="cellIs" dxfId="10922" priority="3113" operator="greaterThan">
      <formula>$C31</formula>
    </cfRule>
    <cfRule type="cellIs" dxfId="10921" priority="3114" operator="lessThan">
      <formula>$C31</formula>
    </cfRule>
  </conditionalFormatting>
  <conditionalFormatting sqref="D32:E32">
    <cfRule type="expression" dxfId="10920" priority="3111">
      <formula>AND($A32&lt;&gt;"",MOD(ROW(),2))</formula>
    </cfRule>
  </conditionalFormatting>
  <conditionalFormatting sqref="D32">
    <cfRule type="cellIs" dxfId="10919" priority="3108" operator="equal">
      <formula>$C32</formula>
    </cfRule>
    <cfRule type="cellIs" dxfId="10918" priority="3109" operator="greaterThan">
      <formula>$C32</formula>
    </cfRule>
    <cfRule type="cellIs" dxfId="10917" priority="3110" operator="lessThan">
      <formula>$C32</formula>
    </cfRule>
  </conditionalFormatting>
  <conditionalFormatting sqref="D33:E33">
    <cfRule type="expression" dxfId="10916" priority="3107">
      <formula>AND($A33&lt;&gt;"",MOD(ROW(),2))</formula>
    </cfRule>
  </conditionalFormatting>
  <conditionalFormatting sqref="D33">
    <cfRule type="cellIs" dxfId="10915" priority="3104" operator="equal">
      <formula>$C33</formula>
    </cfRule>
    <cfRule type="cellIs" dxfId="10914" priority="3105" operator="greaterThan">
      <formula>$C33</formula>
    </cfRule>
    <cfRule type="cellIs" dxfId="10913" priority="3106" operator="lessThan">
      <formula>$C33</formula>
    </cfRule>
  </conditionalFormatting>
  <conditionalFormatting sqref="D34:E34">
    <cfRule type="expression" dxfId="10912" priority="3103">
      <formula>AND($A34&lt;&gt;"",MOD(ROW(),2))</formula>
    </cfRule>
  </conditionalFormatting>
  <conditionalFormatting sqref="D34">
    <cfRule type="cellIs" dxfId="10911" priority="3100" operator="equal">
      <formula>$C34</formula>
    </cfRule>
    <cfRule type="cellIs" dxfId="10910" priority="3101" operator="greaterThan">
      <formula>$C34</formula>
    </cfRule>
    <cfRule type="cellIs" dxfId="10909" priority="3102" operator="lessThan">
      <formula>$C34</formula>
    </cfRule>
  </conditionalFormatting>
  <conditionalFormatting sqref="D35:E35">
    <cfRule type="expression" dxfId="10908" priority="3099">
      <formula>AND($A35&lt;&gt;"",MOD(ROW(),2))</formula>
    </cfRule>
  </conditionalFormatting>
  <conditionalFormatting sqref="D35">
    <cfRule type="cellIs" dxfId="10907" priority="3096" operator="equal">
      <formula>$C35</formula>
    </cfRule>
    <cfRule type="cellIs" dxfId="10906" priority="3097" operator="greaterThan">
      <formula>$C35</formula>
    </cfRule>
    <cfRule type="cellIs" dxfId="10905" priority="3098" operator="lessThan">
      <formula>$C35</formula>
    </cfRule>
  </conditionalFormatting>
  <conditionalFormatting sqref="D36:E36">
    <cfRule type="expression" dxfId="10904" priority="3095">
      <formula>AND($A36&lt;&gt;"",MOD(ROW(),2))</formula>
    </cfRule>
  </conditionalFormatting>
  <conditionalFormatting sqref="D36">
    <cfRule type="cellIs" dxfId="10903" priority="3092" operator="equal">
      <formula>$C36</formula>
    </cfRule>
    <cfRule type="cellIs" dxfId="10902" priority="3093" operator="greaterThan">
      <formula>$C36</formula>
    </cfRule>
    <cfRule type="cellIs" dxfId="10901" priority="3094" operator="lessThan">
      <formula>$C36</formula>
    </cfRule>
  </conditionalFormatting>
  <conditionalFormatting sqref="D37:E37">
    <cfRule type="expression" dxfId="10900" priority="3091">
      <formula>AND($A37&lt;&gt;"",MOD(ROW(),2))</formula>
    </cfRule>
  </conditionalFormatting>
  <conditionalFormatting sqref="D37">
    <cfRule type="cellIs" dxfId="10899" priority="3088" operator="equal">
      <formula>$C37</formula>
    </cfRule>
    <cfRule type="cellIs" dxfId="10898" priority="3089" operator="greaterThan">
      <formula>$C37</formula>
    </cfRule>
    <cfRule type="cellIs" dxfId="10897" priority="3090" operator="lessThan">
      <formula>$C37</formula>
    </cfRule>
  </conditionalFormatting>
  <conditionalFormatting sqref="D38:E38">
    <cfRule type="expression" dxfId="10896" priority="3087">
      <formula>AND($A38&lt;&gt;"",MOD(ROW(),2))</formula>
    </cfRule>
  </conditionalFormatting>
  <conditionalFormatting sqref="D38">
    <cfRule type="cellIs" dxfId="10895" priority="3084" operator="equal">
      <formula>$C38</formula>
    </cfRule>
    <cfRule type="cellIs" dxfId="10894" priority="3085" operator="greaterThan">
      <formula>$C38</formula>
    </cfRule>
    <cfRule type="cellIs" dxfId="10893" priority="3086" operator="lessThan">
      <formula>$C38</formula>
    </cfRule>
  </conditionalFormatting>
  <conditionalFormatting sqref="D39:E39">
    <cfRule type="expression" dxfId="10892" priority="3083">
      <formula>AND($A39&lt;&gt;"",MOD(ROW(),2))</formula>
    </cfRule>
  </conditionalFormatting>
  <conditionalFormatting sqref="D39">
    <cfRule type="cellIs" dxfId="10891" priority="3080" operator="equal">
      <formula>$C39</formula>
    </cfRule>
    <cfRule type="cellIs" dxfId="10890" priority="3081" operator="greaterThan">
      <formula>$C39</formula>
    </cfRule>
    <cfRule type="cellIs" dxfId="10889" priority="3082" operator="lessThan">
      <formula>$C39</formula>
    </cfRule>
  </conditionalFormatting>
  <conditionalFormatting sqref="D40:E40">
    <cfRule type="expression" dxfId="10888" priority="3079">
      <formula>AND($A40&lt;&gt;"",MOD(ROW(),2))</formula>
    </cfRule>
  </conditionalFormatting>
  <conditionalFormatting sqref="D40">
    <cfRule type="cellIs" dxfId="10887" priority="3076" operator="equal">
      <formula>$C40</formula>
    </cfRule>
    <cfRule type="cellIs" dxfId="10886" priority="3077" operator="greaterThan">
      <formula>$C40</formula>
    </cfRule>
    <cfRule type="cellIs" dxfId="10885" priority="3078" operator="lessThan">
      <formula>$C40</formula>
    </cfRule>
  </conditionalFormatting>
  <conditionalFormatting sqref="D41:E41">
    <cfRule type="expression" dxfId="10884" priority="3075">
      <formula>AND($A41&lt;&gt;"",MOD(ROW(),2))</formula>
    </cfRule>
  </conditionalFormatting>
  <conditionalFormatting sqref="D41">
    <cfRule type="cellIs" dxfId="10883" priority="3072" operator="equal">
      <formula>$C41</formula>
    </cfRule>
    <cfRule type="cellIs" dxfId="10882" priority="3073" operator="greaterThan">
      <formula>$C41</formula>
    </cfRule>
    <cfRule type="cellIs" dxfId="10881" priority="3074" operator="lessThan">
      <formula>$C41</formula>
    </cfRule>
  </conditionalFormatting>
  <conditionalFormatting sqref="D42:E42">
    <cfRule type="expression" dxfId="10880" priority="3071">
      <formula>AND($A42&lt;&gt;"",MOD(ROW(),2))</formula>
    </cfRule>
  </conditionalFormatting>
  <conditionalFormatting sqref="D42">
    <cfRule type="cellIs" dxfId="10879" priority="3068" operator="equal">
      <formula>$C42</formula>
    </cfRule>
    <cfRule type="cellIs" dxfId="10878" priority="3069" operator="greaterThan">
      <formula>$C42</formula>
    </cfRule>
    <cfRule type="cellIs" dxfId="10877" priority="3070" operator="lessThan">
      <formula>$C42</formula>
    </cfRule>
  </conditionalFormatting>
  <conditionalFormatting sqref="D43:E43">
    <cfRule type="expression" dxfId="10876" priority="3067">
      <formula>AND($A43&lt;&gt;"",MOD(ROW(),2))</formula>
    </cfRule>
  </conditionalFormatting>
  <conditionalFormatting sqref="D43">
    <cfRule type="cellIs" dxfId="10875" priority="3064" operator="equal">
      <formula>$C43</formula>
    </cfRule>
    <cfRule type="cellIs" dxfId="10874" priority="3065" operator="greaterThan">
      <formula>$C43</formula>
    </cfRule>
    <cfRule type="cellIs" dxfId="10873" priority="3066" operator="lessThan">
      <formula>$C43</formula>
    </cfRule>
  </conditionalFormatting>
  <conditionalFormatting sqref="D44:E44">
    <cfRule type="expression" dxfId="10872" priority="3063">
      <formula>AND($A44&lt;&gt;"",MOD(ROW(),2))</formula>
    </cfRule>
  </conditionalFormatting>
  <conditionalFormatting sqref="D44">
    <cfRule type="cellIs" dxfId="10871" priority="3060" operator="equal">
      <formula>$C44</formula>
    </cfRule>
    <cfRule type="cellIs" dxfId="10870" priority="3061" operator="greaterThan">
      <formula>$C44</formula>
    </cfRule>
    <cfRule type="cellIs" dxfId="10869" priority="3062" operator="lessThan">
      <formula>$C44</formula>
    </cfRule>
  </conditionalFormatting>
  <conditionalFormatting sqref="D45:E45">
    <cfRule type="expression" dxfId="10868" priority="3059">
      <formula>AND($A45&lt;&gt;"",MOD(ROW(),2))</formula>
    </cfRule>
  </conditionalFormatting>
  <conditionalFormatting sqref="D45">
    <cfRule type="cellIs" dxfId="10867" priority="3056" operator="equal">
      <formula>$C45</formula>
    </cfRule>
    <cfRule type="cellIs" dxfId="10866" priority="3057" operator="greaterThan">
      <formula>$C45</formula>
    </cfRule>
    <cfRule type="cellIs" dxfId="10865" priority="3058" operator="lessThan">
      <formula>$C45</formula>
    </cfRule>
  </conditionalFormatting>
  <conditionalFormatting sqref="D46:E46">
    <cfRule type="expression" dxfId="10864" priority="3055">
      <formula>AND($A46&lt;&gt;"",MOD(ROW(),2))</formula>
    </cfRule>
  </conditionalFormatting>
  <conditionalFormatting sqref="D46">
    <cfRule type="cellIs" dxfId="10863" priority="3052" operator="equal">
      <formula>$C46</formula>
    </cfRule>
    <cfRule type="cellIs" dxfId="10862" priority="3053" operator="greaterThan">
      <formula>$C46</formula>
    </cfRule>
    <cfRule type="cellIs" dxfId="10861" priority="3054" operator="lessThan">
      <formula>$C46</formula>
    </cfRule>
  </conditionalFormatting>
  <conditionalFormatting sqref="D47:E47">
    <cfRule type="expression" dxfId="10860" priority="3051">
      <formula>AND($A47&lt;&gt;"",MOD(ROW(),2))</formula>
    </cfRule>
  </conditionalFormatting>
  <conditionalFormatting sqref="D47">
    <cfRule type="cellIs" dxfId="10859" priority="3048" operator="equal">
      <formula>$C47</formula>
    </cfRule>
    <cfRule type="cellIs" dxfId="10858" priority="3049" operator="greaterThan">
      <formula>$C47</formula>
    </cfRule>
    <cfRule type="cellIs" dxfId="10857" priority="3050" operator="lessThan">
      <formula>$C47</formula>
    </cfRule>
  </conditionalFormatting>
  <conditionalFormatting sqref="D48:E48">
    <cfRule type="expression" dxfId="10856" priority="3047">
      <formula>AND($A48&lt;&gt;"",MOD(ROW(),2))</formula>
    </cfRule>
  </conditionalFormatting>
  <conditionalFormatting sqref="D48">
    <cfRule type="cellIs" dxfId="10855" priority="3044" operator="equal">
      <formula>$C48</formula>
    </cfRule>
    <cfRule type="cellIs" dxfId="10854" priority="3045" operator="greaterThan">
      <formula>$C48</formula>
    </cfRule>
    <cfRule type="cellIs" dxfId="10853" priority="3046" operator="lessThan">
      <formula>$C48</formula>
    </cfRule>
  </conditionalFormatting>
  <conditionalFormatting sqref="D49:E49">
    <cfRule type="expression" dxfId="10852" priority="3043">
      <formula>AND($A49&lt;&gt;"",MOD(ROW(),2))</formula>
    </cfRule>
  </conditionalFormatting>
  <conditionalFormatting sqref="D49">
    <cfRule type="cellIs" dxfId="10851" priority="3040" operator="equal">
      <formula>$C49</formula>
    </cfRule>
    <cfRule type="cellIs" dxfId="10850" priority="3041" operator="greaterThan">
      <formula>$C49</formula>
    </cfRule>
    <cfRule type="cellIs" dxfId="10849" priority="3042" operator="lessThan">
      <formula>$C49</formula>
    </cfRule>
  </conditionalFormatting>
  <conditionalFormatting sqref="D27:E27">
    <cfRule type="expression" dxfId="10848" priority="3039">
      <formula>AND($A27&lt;&gt;"",MOD(ROW(),2))</formula>
    </cfRule>
  </conditionalFormatting>
  <conditionalFormatting sqref="D27">
    <cfRule type="cellIs" dxfId="10847" priority="3036" operator="equal">
      <formula>$C27</formula>
    </cfRule>
    <cfRule type="cellIs" dxfId="10846" priority="3037" operator="greaterThan">
      <formula>$C27</formula>
    </cfRule>
    <cfRule type="cellIs" dxfId="10845" priority="3038" operator="lessThan">
      <formula>$C27</formula>
    </cfRule>
  </conditionalFormatting>
  <conditionalFormatting sqref="D28:E28">
    <cfRule type="expression" dxfId="10844" priority="3035">
      <formula>AND($A28&lt;&gt;"",MOD(ROW(),2))</formula>
    </cfRule>
  </conditionalFormatting>
  <conditionalFormatting sqref="D28">
    <cfRule type="cellIs" dxfId="10843" priority="3032" operator="equal">
      <formula>$C28</formula>
    </cfRule>
    <cfRule type="cellIs" dxfId="10842" priority="3033" operator="greaterThan">
      <formula>$C28</formula>
    </cfRule>
    <cfRule type="cellIs" dxfId="10841" priority="3034" operator="lessThan">
      <formula>$C28</formula>
    </cfRule>
  </conditionalFormatting>
  <conditionalFormatting sqref="D29:E29">
    <cfRule type="expression" dxfId="10840" priority="3031">
      <formula>AND($A29&lt;&gt;"",MOD(ROW(),2))</formula>
    </cfRule>
  </conditionalFormatting>
  <conditionalFormatting sqref="D29">
    <cfRule type="cellIs" dxfId="10839" priority="3028" operator="equal">
      <formula>$C29</formula>
    </cfRule>
    <cfRule type="cellIs" dxfId="10838" priority="3029" operator="greaterThan">
      <formula>$C29</formula>
    </cfRule>
    <cfRule type="cellIs" dxfId="10837" priority="3030" operator="lessThan">
      <formula>$C29</formula>
    </cfRule>
  </conditionalFormatting>
  <conditionalFormatting sqref="D30:E30">
    <cfRule type="expression" dxfId="10836" priority="3027">
      <formula>AND($A30&lt;&gt;"",MOD(ROW(),2))</formula>
    </cfRule>
  </conditionalFormatting>
  <conditionalFormatting sqref="D30">
    <cfRule type="cellIs" dxfId="10835" priority="3024" operator="equal">
      <formula>$C30</formula>
    </cfRule>
    <cfRule type="cellIs" dxfId="10834" priority="3025" operator="greaterThan">
      <formula>$C30</formula>
    </cfRule>
    <cfRule type="cellIs" dxfId="10833" priority="3026" operator="lessThan">
      <formula>$C30</formula>
    </cfRule>
  </conditionalFormatting>
  <conditionalFormatting sqref="D31:E31">
    <cfRule type="expression" dxfId="10832" priority="3023">
      <formula>AND($A31&lt;&gt;"",MOD(ROW(),2))</formula>
    </cfRule>
  </conditionalFormatting>
  <conditionalFormatting sqref="D31">
    <cfRule type="cellIs" dxfId="10831" priority="3020" operator="equal">
      <formula>$C31</formula>
    </cfRule>
    <cfRule type="cellIs" dxfId="10830" priority="3021" operator="greaterThan">
      <formula>$C31</formula>
    </cfRule>
    <cfRule type="cellIs" dxfId="10829" priority="3022" operator="lessThan">
      <formula>$C31</formula>
    </cfRule>
  </conditionalFormatting>
  <conditionalFormatting sqref="D32:E32">
    <cfRule type="expression" dxfId="10828" priority="3019">
      <formula>AND($A32&lt;&gt;"",MOD(ROW(),2))</formula>
    </cfRule>
  </conditionalFormatting>
  <conditionalFormatting sqref="D32">
    <cfRule type="cellIs" dxfId="10827" priority="3016" operator="equal">
      <formula>$C32</formula>
    </cfRule>
    <cfRule type="cellIs" dxfId="10826" priority="3017" operator="greaterThan">
      <formula>$C32</formula>
    </cfRule>
    <cfRule type="cellIs" dxfId="10825" priority="3018" operator="lessThan">
      <formula>$C32</formula>
    </cfRule>
  </conditionalFormatting>
  <conditionalFormatting sqref="D33:E33">
    <cfRule type="expression" dxfId="10824" priority="3015">
      <formula>AND($A33&lt;&gt;"",MOD(ROW(),2))</formula>
    </cfRule>
  </conditionalFormatting>
  <conditionalFormatting sqref="D33">
    <cfRule type="cellIs" dxfId="10823" priority="3012" operator="equal">
      <formula>$C33</formula>
    </cfRule>
    <cfRule type="cellIs" dxfId="10822" priority="3013" operator="greaterThan">
      <formula>$C33</formula>
    </cfRule>
    <cfRule type="cellIs" dxfId="10821" priority="3014" operator="lessThan">
      <formula>$C33</formula>
    </cfRule>
  </conditionalFormatting>
  <conditionalFormatting sqref="D34:E34">
    <cfRule type="expression" dxfId="10820" priority="3011">
      <formula>AND($A34&lt;&gt;"",MOD(ROW(),2))</formula>
    </cfRule>
  </conditionalFormatting>
  <conditionalFormatting sqref="D34">
    <cfRule type="cellIs" dxfId="10819" priority="3008" operator="equal">
      <formula>$C34</formula>
    </cfRule>
    <cfRule type="cellIs" dxfId="10818" priority="3009" operator="greaterThan">
      <formula>$C34</formula>
    </cfRule>
    <cfRule type="cellIs" dxfId="10817" priority="3010" operator="lessThan">
      <formula>$C34</formula>
    </cfRule>
  </conditionalFormatting>
  <conditionalFormatting sqref="D35:E35">
    <cfRule type="expression" dxfId="10816" priority="3007">
      <formula>AND($A35&lt;&gt;"",MOD(ROW(),2))</formula>
    </cfRule>
  </conditionalFormatting>
  <conditionalFormatting sqref="D35">
    <cfRule type="cellIs" dxfId="10815" priority="3004" operator="equal">
      <formula>$C35</formula>
    </cfRule>
    <cfRule type="cellIs" dxfId="10814" priority="3005" operator="greaterThan">
      <formula>$C35</formula>
    </cfRule>
    <cfRule type="cellIs" dxfId="10813" priority="3006" operator="lessThan">
      <formula>$C35</formula>
    </cfRule>
  </conditionalFormatting>
  <conditionalFormatting sqref="D36:E36">
    <cfRule type="expression" dxfId="10812" priority="3003">
      <formula>AND($A36&lt;&gt;"",MOD(ROW(),2))</formula>
    </cfRule>
  </conditionalFormatting>
  <conditionalFormatting sqref="D36">
    <cfRule type="cellIs" dxfId="10811" priority="3000" operator="equal">
      <formula>$C36</formula>
    </cfRule>
    <cfRule type="cellIs" dxfId="10810" priority="3001" operator="greaterThan">
      <formula>$C36</formula>
    </cfRule>
    <cfRule type="cellIs" dxfId="10809" priority="3002" operator="lessThan">
      <formula>$C36</formula>
    </cfRule>
  </conditionalFormatting>
  <conditionalFormatting sqref="D37:E37">
    <cfRule type="expression" dxfId="10808" priority="2999">
      <formula>AND($A37&lt;&gt;"",MOD(ROW(),2))</formula>
    </cfRule>
  </conditionalFormatting>
  <conditionalFormatting sqref="D37">
    <cfRule type="cellIs" dxfId="10807" priority="2996" operator="equal">
      <formula>$C37</formula>
    </cfRule>
    <cfRule type="cellIs" dxfId="10806" priority="2997" operator="greaterThan">
      <formula>$C37</formula>
    </cfRule>
    <cfRule type="cellIs" dxfId="10805" priority="2998" operator="lessThan">
      <formula>$C37</formula>
    </cfRule>
  </conditionalFormatting>
  <conditionalFormatting sqref="D38:E38">
    <cfRule type="expression" dxfId="10804" priority="2995">
      <formula>AND($A38&lt;&gt;"",MOD(ROW(),2))</formula>
    </cfRule>
  </conditionalFormatting>
  <conditionalFormatting sqref="D38">
    <cfRule type="cellIs" dxfId="10803" priority="2992" operator="equal">
      <formula>$C38</formula>
    </cfRule>
    <cfRule type="cellIs" dxfId="10802" priority="2993" operator="greaterThan">
      <formula>$C38</formula>
    </cfRule>
    <cfRule type="cellIs" dxfId="10801" priority="2994" operator="lessThan">
      <formula>$C38</formula>
    </cfRule>
  </conditionalFormatting>
  <conditionalFormatting sqref="D39:E39">
    <cfRule type="expression" dxfId="10800" priority="2991">
      <formula>AND($A39&lt;&gt;"",MOD(ROW(),2))</formula>
    </cfRule>
  </conditionalFormatting>
  <conditionalFormatting sqref="D39">
    <cfRule type="cellIs" dxfId="10799" priority="2988" operator="equal">
      <formula>$C39</formula>
    </cfRule>
    <cfRule type="cellIs" dxfId="10798" priority="2989" operator="greaterThan">
      <formula>$C39</formula>
    </cfRule>
    <cfRule type="cellIs" dxfId="10797" priority="2990" operator="lessThan">
      <formula>$C39</formula>
    </cfRule>
  </conditionalFormatting>
  <conditionalFormatting sqref="D40:E40">
    <cfRule type="expression" dxfId="10796" priority="2987">
      <formula>AND($A40&lt;&gt;"",MOD(ROW(),2))</formula>
    </cfRule>
  </conditionalFormatting>
  <conditionalFormatting sqref="D40">
    <cfRule type="cellIs" dxfId="10795" priority="2984" operator="equal">
      <formula>$C40</formula>
    </cfRule>
    <cfRule type="cellIs" dxfId="10794" priority="2985" operator="greaterThan">
      <formula>$C40</formula>
    </cfRule>
    <cfRule type="cellIs" dxfId="10793" priority="2986" operator="lessThan">
      <formula>$C40</formula>
    </cfRule>
  </conditionalFormatting>
  <conditionalFormatting sqref="D41:E41">
    <cfRule type="expression" dxfId="10792" priority="2983">
      <formula>AND($A41&lt;&gt;"",MOD(ROW(),2))</formula>
    </cfRule>
  </conditionalFormatting>
  <conditionalFormatting sqref="D41">
    <cfRule type="cellIs" dxfId="10791" priority="2980" operator="equal">
      <formula>$C41</formula>
    </cfRule>
    <cfRule type="cellIs" dxfId="10790" priority="2981" operator="greaterThan">
      <formula>$C41</formula>
    </cfRule>
    <cfRule type="cellIs" dxfId="10789" priority="2982" operator="lessThan">
      <formula>$C41</formula>
    </cfRule>
  </conditionalFormatting>
  <conditionalFormatting sqref="D42:E42">
    <cfRule type="expression" dxfId="10788" priority="2979">
      <formula>AND($A42&lt;&gt;"",MOD(ROW(),2))</formula>
    </cfRule>
  </conditionalFormatting>
  <conditionalFormatting sqref="D42">
    <cfRule type="cellIs" dxfId="10787" priority="2976" operator="equal">
      <formula>$C42</formula>
    </cfRule>
    <cfRule type="cellIs" dxfId="10786" priority="2977" operator="greaterThan">
      <formula>$C42</formula>
    </cfRule>
    <cfRule type="cellIs" dxfId="10785" priority="2978" operator="lessThan">
      <formula>$C42</formula>
    </cfRule>
  </conditionalFormatting>
  <conditionalFormatting sqref="D43:E43">
    <cfRule type="expression" dxfId="10784" priority="2975">
      <formula>AND($A43&lt;&gt;"",MOD(ROW(),2))</formula>
    </cfRule>
  </conditionalFormatting>
  <conditionalFormatting sqref="D43">
    <cfRule type="cellIs" dxfId="10783" priority="2972" operator="equal">
      <formula>$C43</formula>
    </cfRule>
    <cfRule type="cellIs" dxfId="10782" priority="2973" operator="greaterThan">
      <formula>$C43</formula>
    </cfRule>
    <cfRule type="cellIs" dxfId="10781" priority="2974" operator="lessThan">
      <formula>$C43</formula>
    </cfRule>
  </conditionalFormatting>
  <conditionalFormatting sqref="D44:E44">
    <cfRule type="expression" dxfId="10780" priority="2971">
      <formula>AND($A44&lt;&gt;"",MOD(ROW(),2))</formula>
    </cfRule>
  </conditionalFormatting>
  <conditionalFormatting sqref="D44">
    <cfRule type="cellIs" dxfId="10779" priority="2968" operator="equal">
      <formula>$C44</formula>
    </cfRule>
    <cfRule type="cellIs" dxfId="10778" priority="2969" operator="greaterThan">
      <formula>$C44</formula>
    </cfRule>
    <cfRule type="cellIs" dxfId="10777" priority="2970" operator="lessThan">
      <formula>$C44</formula>
    </cfRule>
  </conditionalFormatting>
  <conditionalFormatting sqref="D45:E45">
    <cfRule type="expression" dxfId="10776" priority="2967">
      <formula>AND($A45&lt;&gt;"",MOD(ROW(),2))</formula>
    </cfRule>
  </conditionalFormatting>
  <conditionalFormatting sqref="D45">
    <cfRule type="cellIs" dxfId="10775" priority="2964" operator="equal">
      <formula>$C45</formula>
    </cfRule>
    <cfRule type="cellIs" dxfId="10774" priority="2965" operator="greaterThan">
      <formula>$C45</formula>
    </cfRule>
    <cfRule type="cellIs" dxfId="10773" priority="2966" operator="lessThan">
      <formula>$C45</formula>
    </cfRule>
  </conditionalFormatting>
  <conditionalFormatting sqref="D46:E46">
    <cfRule type="expression" dxfId="10772" priority="2963">
      <formula>AND($A46&lt;&gt;"",MOD(ROW(),2))</formula>
    </cfRule>
  </conditionalFormatting>
  <conditionalFormatting sqref="D46">
    <cfRule type="cellIs" dxfId="10771" priority="2960" operator="equal">
      <formula>$C46</formula>
    </cfRule>
    <cfRule type="cellIs" dxfId="10770" priority="2961" operator="greaterThan">
      <formula>$C46</formula>
    </cfRule>
    <cfRule type="cellIs" dxfId="10769" priority="2962" operator="lessThan">
      <formula>$C46</formula>
    </cfRule>
  </conditionalFormatting>
  <conditionalFormatting sqref="D47:E47">
    <cfRule type="expression" dxfId="10768" priority="2959">
      <formula>AND($A47&lt;&gt;"",MOD(ROW(),2))</formula>
    </cfRule>
  </conditionalFormatting>
  <conditionalFormatting sqref="D47">
    <cfRule type="cellIs" dxfId="10767" priority="2956" operator="equal">
      <formula>$C47</formula>
    </cfRule>
    <cfRule type="cellIs" dxfId="10766" priority="2957" operator="greaterThan">
      <formula>$C47</formula>
    </cfRule>
    <cfRule type="cellIs" dxfId="10765" priority="2958" operator="lessThan">
      <formula>$C47</formula>
    </cfRule>
  </conditionalFormatting>
  <conditionalFormatting sqref="D48:E48">
    <cfRule type="expression" dxfId="10764" priority="2955">
      <formula>AND($A48&lt;&gt;"",MOD(ROW(),2))</formula>
    </cfRule>
  </conditionalFormatting>
  <conditionalFormatting sqref="D48">
    <cfRule type="cellIs" dxfId="10763" priority="2952" operator="equal">
      <formula>$C48</formula>
    </cfRule>
    <cfRule type="cellIs" dxfId="10762" priority="2953" operator="greaterThan">
      <formula>$C48</formula>
    </cfRule>
    <cfRule type="cellIs" dxfId="10761" priority="2954" operator="lessThan">
      <formula>$C48</formula>
    </cfRule>
  </conditionalFormatting>
  <conditionalFormatting sqref="D49:E49">
    <cfRule type="expression" dxfId="10760" priority="2951">
      <formula>AND($A49&lt;&gt;"",MOD(ROW(),2))</formula>
    </cfRule>
  </conditionalFormatting>
  <conditionalFormatting sqref="D49">
    <cfRule type="cellIs" dxfId="10759" priority="2948" operator="equal">
      <formula>$C49</formula>
    </cfRule>
    <cfRule type="cellIs" dxfId="10758" priority="2949" operator="greaterThan">
      <formula>$C49</formula>
    </cfRule>
    <cfRule type="cellIs" dxfId="10757" priority="2950" operator="lessThan">
      <formula>$C49</formula>
    </cfRule>
  </conditionalFormatting>
  <conditionalFormatting sqref="D26:E26">
    <cfRule type="expression" dxfId="10756" priority="2947">
      <formula>AND($A26&lt;&gt;"",MOD(ROW(),2))</formula>
    </cfRule>
  </conditionalFormatting>
  <conditionalFormatting sqref="D26">
    <cfRule type="cellIs" dxfId="10755" priority="2944" operator="equal">
      <formula>$C26</formula>
    </cfRule>
    <cfRule type="cellIs" dxfId="10754" priority="2945" operator="greaterThan">
      <formula>$C26</formula>
    </cfRule>
    <cfRule type="cellIs" dxfId="10753" priority="2946" operator="lessThan">
      <formula>$C26</formula>
    </cfRule>
  </conditionalFormatting>
  <conditionalFormatting sqref="D27:E27">
    <cfRule type="expression" dxfId="10752" priority="2943">
      <formula>AND($A27&lt;&gt;"",MOD(ROW(),2))</formula>
    </cfRule>
  </conditionalFormatting>
  <conditionalFormatting sqref="D27">
    <cfRule type="cellIs" dxfId="10751" priority="2940" operator="equal">
      <formula>$C27</formula>
    </cfRule>
    <cfRule type="cellIs" dxfId="10750" priority="2941" operator="greaterThan">
      <formula>$C27</formula>
    </cfRule>
    <cfRule type="cellIs" dxfId="10749" priority="2942" operator="lessThan">
      <formula>$C27</formula>
    </cfRule>
  </conditionalFormatting>
  <conditionalFormatting sqref="D28:E28">
    <cfRule type="expression" dxfId="10748" priority="2939">
      <formula>AND($A28&lt;&gt;"",MOD(ROW(),2))</formula>
    </cfRule>
  </conditionalFormatting>
  <conditionalFormatting sqref="D28">
    <cfRule type="cellIs" dxfId="10747" priority="2936" operator="equal">
      <formula>$C28</formula>
    </cfRule>
    <cfRule type="cellIs" dxfId="10746" priority="2937" operator="greaterThan">
      <formula>$C28</formula>
    </cfRule>
    <cfRule type="cellIs" dxfId="10745" priority="2938" operator="lessThan">
      <formula>$C28</formula>
    </cfRule>
  </conditionalFormatting>
  <conditionalFormatting sqref="D29:E29">
    <cfRule type="expression" dxfId="10744" priority="2935">
      <formula>AND($A29&lt;&gt;"",MOD(ROW(),2))</formula>
    </cfRule>
  </conditionalFormatting>
  <conditionalFormatting sqref="D29">
    <cfRule type="cellIs" dxfId="10743" priority="2932" operator="equal">
      <formula>$C29</formula>
    </cfRule>
    <cfRule type="cellIs" dxfId="10742" priority="2933" operator="greaterThan">
      <formula>$C29</formula>
    </cfRule>
    <cfRule type="cellIs" dxfId="10741" priority="2934" operator="lessThan">
      <formula>$C29</formula>
    </cfRule>
  </conditionalFormatting>
  <conditionalFormatting sqref="D30:E30">
    <cfRule type="expression" dxfId="10740" priority="2931">
      <formula>AND($A30&lt;&gt;"",MOD(ROW(),2))</formula>
    </cfRule>
  </conditionalFormatting>
  <conditionalFormatting sqref="D30">
    <cfRule type="cellIs" dxfId="10739" priority="2928" operator="equal">
      <formula>$C30</formula>
    </cfRule>
    <cfRule type="cellIs" dxfId="10738" priority="2929" operator="greaterThan">
      <formula>$C30</formula>
    </cfRule>
    <cfRule type="cellIs" dxfId="10737" priority="2930" operator="lessThan">
      <formula>$C30</formula>
    </cfRule>
  </conditionalFormatting>
  <conditionalFormatting sqref="D31:E31">
    <cfRule type="expression" dxfId="10736" priority="2927">
      <formula>AND($A31&lt;&gt;"",MOD(ROW(),2))</formula>
    </cfRule>
  </conditionalFormatting>
  <conditionalFormatting sqref="D31">
    <cfRule type="cellIs" dxfId="10735" priority="2924" operator="equal">
      <formula>$C31</formula>
    </cfRule>
    <cfRule type="cellIs" dxfId="10734" priority="2925" operator="greaterThan">
      <formula>$C31</formula>
    </cfRule>
    <cfRule type="cellIs" dxfId="10733" priority="2926" operator="lessThan">
      <formula>$C31</formula>
    </cfRule>
  </conditionalFormatting>
  <conditionalFormatting sqref="D32:E32">
    <cfRule type="expression" dxfId="10732" priority="2923">
      <formula>AND($A32&lt;&gt;"",MOD(ROW(),2))</formula>
    </cfRule>
  </conditionalFormatting>
  <conditionalFormatting sqref="D32">
    <cfRule type="cellIs" dxfId="10731" priority="2920" operator="equal">
      <formula>$C32</formula>
    </cfRule>
    <cfRule type="cellIs" dxfId="10730" priority="2921" operator="greaterThan">
      <formula>$C32</formula>
    </cfRule>
    <cfRule type="cellIs" dxfId="10729" priority="2922" operator="lessThan">
      <formula>$C32</formula>
    </cfRule>
  </conditionalFormatting>
  <conditionalFormatting sqref="D33:E33">
    <cfRule type="expression" dxfId="10728" priority="2919">
      <formula>AND($A33&lt;&gt;"",MOD(ROW(),2))</formula>
    </cfRule>
  </conditionalFormatting>
  <conditionalFormatting sqref="D33">
    <cfRule type="cellIs" dxfId="10727" priority="2916" operator="equal">
      <formula>$C33</formula>
    </cfRule>
    <cfRule type="cellIs" dxfId="10726" priority="2917" operator="greaterThan">
      <formula>$C33</formula>
    </cfRule>
    <cfRule type="cellIs" dxfId="10725" priority="2918" operator="lessThan">
      <formula>$C33</formula>
    </cfRule>
  </conditionalFormatting>
  <conditionalFormatting sqref="D34:E34">
    <cfRule type="expression" dxfId="10724" priority="2915">
      <formula>AND($A34&lt;&gt;"",MOD(ROW(),2))</formula>
    </cfRule>
  </conditionalFormatting>
  <conditionalFormatting sqref="D34">
    <cfRule type="cellIs" dxfId="10723" priority="2912" operator="equal">
      <formula>$C34</formula>
    </cfRule>
    <cfRule type="cellIs" dxfId="10722" priority="2913" operator="greaterThan">
      <formula>$C34</formula>
    </cfRule>
    <cfRule type="cellIs" dxfId="10721" priority="2914" operator="lessThan">
      <formula>$C34</formula>
    </cfRule>
  </conditionalFormatting>
  <conditionalFormatting sqref="D35:E35">
    <cfRule type="expression" dxfId="10720" priority="2911">
      <formula>AND($A35&lt;&gt;"",MOD(ROW(),2))</formula>
    </cfRule>
  </conditionalFormatting>
  <conditionalFormatting sqref="D35">
    <cfRule type="cellIs" dxfId="10719" priority="2908" operator="equal">
      <formula>$C35</formula>
    </cfRule>
    <cfRule type="cellIs" dxfId="10718" priority="2909" operator="greaterThan">
      <formula>$C35</formula>
    </cfRule>
    <cfRule type="cellIs" dxfId="10717" priority="2910" operator="lessThan">
      <formula>$C35</formula>
    </cfRule>
  </conditionalFormatting>
  <conditionalFormatting sqref="D36:E36">
    <cfRule type="expression" dxfId="10716" priority="2907">
      <formula>AND($A36&lt;&gt;"",MOD(ROW(),2))</formula>
    </cfRule>
  </conditionalFormatting>
  <conditionalFormatting sqref="D36">
    <cfRule type="cellIs" dxfId="10715" priority="2904" operator="equal">
      <formula>$C36</formula>
    </cfRule>
    <cfRule type="cellIs" dxfId="10714" priority="2905" operator="greaterThan">
      <formula>$C36</formula>
    </cfRule>
    <cfRule type="cellIs" dxfId="10713" priority="2906" operator="lessThan">
      <formula>$C36</formula>
    </cfRule>
  </conditionalFormatting>
  <conditionalFormatting sqref="D37:E37">
    <cfRule type="expression" dxfId="10712" priority="2903">
      <formula>AND($A37&lt;&gt;"",MOD(ROW(),2))</formula>
    </cfRule>
  </conditionalFormatting>
  <conditionalFormatting sqref="D37">
    <cfRule type="cellIs" dxfId="10711" priority="2900" operator="equal">
      <formula>$C37</formula>
    </cfRule>
    <cfRule type="cellIs" dxfId="10710" priority="2901" operator="greaterThan">
      <formula>$C37</formula>
    </cfRule>
    <cfRule type="cellIs" dxfId="10709" priority="2902" operator="lessThan">
      <formula>$C37</formula>
    </cfRule>
  </conditionalFormatting>
  <conditionalFormatting sqref="D38:E38">
    <cfRule type="expression" dxfId="10708" priority="2899">
      <formula>AND($A38&lt;&gt;"",MOD(ROW(),2))</formula>
    </cfRule>
  </conditionalFormatting>
  <conditionalFormatting sqref="D38">
    <cfRule type="cellIs" dxfId="10707" priority="2896" operator="equal">
      <formula>$C38</formula>
    </cfRule>
    <cfRule type="cellIs" dxfId="10706" priority="2897" operator="greaterThan">
      <formula>$C38</formula>
    </cfRule>
    <cfRule type="cellIs" dxfId="10705" priority="2898" operator="lessThan">
      <formula>$C38</formula>
    </cfRule>
  </conditionalFormatting>
  <conditionalFormatting sqref="D39:E39">
    <cfRule type="expression" dxfId="10704" priority="2895">
      <formula>AND($A39&lt;&gt;"",MOD(ROW(),2))</formula>
    </cfRule>
  </conditionalFormatting>
  <conditionalFormatting sqref="D39">
    <cfRule type="cellIs" dxfId="10703" priority="2892" operator="equal">
      <formula>$C39</formula>
    </cfRule>
    <cfRule type="cellIs" dxfId="10702" priority="2893" operator="greaterThan">
      <formula>$C39</formula>
    </cfRule>
    <cfRule type="cellIs" dxfId="10701" priority="2894" operator="lessThan">
      <formula>$C39</formula>
    </cfRule>
  </conditionalFormatting>
  <conditionalFormatting sqref="D40:E40">
    <cfRule type="expression" dxfId="10700" priority="2891">
      <formula>AND($A40&lt;&gt;"",MOD(ROW(),2))</formula>
    </cfRule>
  </conditionalFormatting>
  <conditionalFormatting sqref="D40">
    <cfRule type="cellIs" dxfId="10699" priority="2888" operator="equal">
      <formula>$C40</formula>
    </cfRule>
    <cfRule type="cellIs" dxfId="10698" priority="2889" operator="greaterThan">
      <formula>$C40</formula>
    </cfRule>
    <cfRule type="cellIs" dxfId="10697" priority="2890" operator="lessThan">
      <formula>$C40</formula>
    </cfRule>
  </conditionalFormatting>
  <conditionalFormatting sqref="D41:E41">
    <cfRule type="expression" dxfId="10696" priority="2887">
      <formula>AND($A41&lt;&gt;"",MOD(ROW(),2))</formula>
    </cfRule>
  </conditionalFormatting>
  <conditionalFormatting sqref="D41">
    <cfRule type="cellIs" dxfId="10695" priority="2884" operator="equal">
      <formula>$C41</formula>
    </cfRule>
    <cfRule type="cellIs" dxfId="10694" priority="2885" operator="greaterThan">
      <formula>$C41</formula>
    </cfRule>
    <cfRule type="cellIs" dxfId="10693" priority="2886" operator="lessThan">
      <formula>$C41</formula>
    </cfRule>
  </conditionalFormatting>
  <conditionalFormatting sqref="D42:E42">
    <cfRule type="expression" dxfId="10692" priority="2883">
      <formula>AND($A42&lt;&gt;"",MOD(ROW(),2))</formula>
    </cfRule>
  </conditionalFormatting>
  <conditionalFormatting sqref="D42">
    <cfRule type="cellIs" dxfId="10691" priority="2880" operator="equal">
      <formula>$C42</formula>
    </cfRule>
    <cfRule type="cellIs" dxfId="10690" priority="2881" operator="greaterThan">
      <formula>$C42</formula>
    </cfRule>
    <cfRule type="cellIs" dxfId="10689" priority="2882" operator="lessThan">
      <formula>$C42</formula>
    </cfRule>
  </conditionalFormatting>
  <conditionalFormatting sqref="D43:E43">
    <cfRule type="expression" dxfId="10688" priority="2879">
      <formula>AND($A43&lt;&gt;"",MOD(ROW(),2))</formula>
    </cfRule>
  </conditionalFormatting>
  <conditionalFormatting sqref="D43">
    <cfRule type="cellIs" dxfId="10687" priority="2876" operator="equal">
      <formula>$C43</formula>
    </cfRule>
    <cfRule type="cellIs" dxfId="10686" priority="2877" operator="greaterThan">
      <formula>$C43</formula>
    </cfRule>
    <cfRule type="cellIs" dxfId="10685" priority="2878" operator="lessThan">
      <formula>$C43</formula>
    </cfRule>
  </conditionalFormatting>
  <conditionalFormatting sqref="D44:E44">
    <cfRule type="expression" dxfId="10684" priority="2875">
      <formula>AND($A44&lt;&gt;"",MOD(ROW(),2))</formula>
    </cfRule>
  </conditionalFormatting>
  <conditionalFormatting sqref="D44">
    <cfRule type="cellIs" dxfId="10683" priority="2872" operator="equal">
      <formula>$C44</formula>
    </cfRule>
    <cfRule type="cellIs" dxfId="10682" priority="2873" operator="greaterThan">
      <formula>$C44</formula>
    </cfRule>
    <cfRule type="cellIs" dxfId="10681" priority="2874" operator="lessThan">
      <formula>$C44</formula>
    </cfRule>
  </conditionalFormatting>
  <conditionalFormatting sqref="D45:E45">
    <cfRule type="expression" dxfId="10680" priority="2871">
      <formula>AND($A45&lt;&gt;"",MOD(ROW(),2))</formula>
    </cfRule>
  </conditionalFormatting>
  <conditionalFormatting sqref="D45">
    <cfRule type="cellIs" dxfId="10679" priority="2868" operator="equal">
      <formula>$C45</formula>
    </cfRule>
    <cfRule type="cellIs" dxfId="10678" priority="2869" operator="greaterThan">
      <formula>$C45</formula>
    </cfRule>
    <cfRule type="cellIs" dxfId="10677" priority="2870" operator="lessThan">
      <formula>$C45</formula>
    </cfRule>
  </conditionalFormatting>
  <conditionalFormatting sqref="D46:E46">
    <cfRule type="expression" dxfId="10676" priority="2867">
      <formula>AND($A46&lt;&gt;"",MOD(ROW(),2))</formula>
    </cfRule>
  </conditionalFormatting>
  <conditionalFormatting sqref="D46">
    <cfRule type="cellIs" dxfId="10675" priority="2864" operator="equal">
      <formula>$C46</formula>
    </cfRule>
    <cfRule type="cellIs" dxfId="10674" priority="2865" operator="greaterThan">
      <formula>$C46</formula>
    </cfRule>
    <cfRule type="cellIs" dxfId="10673" priority="2866" operator="lessThan">
      <formula>$C46</formula>
    </cfRule>
  </conditionalFormatting>
  <conditionalFormatting sqref="D47:E47">
    <cfRule type="expression" dxfId="10672" priority="2863">
      <formula>AND($A47&lt;&gt;"",MOD(ROW(),2))</formula>
    </cfRule>
  </conditionalFormatting>
  <conditionalFormatting sqref="D47">
    <cfRule type="cellIs" dxfId="10671" priority="2860" operator="equal">
      <formula>$C47</formula>
    </cfRule>
    <cfRule type="cellIs" dxfId="10670" priority="2861" operator="greaterThan">
      <formula>$C47</formula>
    </cfRule>
    <cfRule type="cellIs" dxfId="10669" priority="2862" operator="lessThan">
      <formula>$C47</formula>
    </cfRule>
  </conditionalFormatting>
  <conditionalFormatting sqref="D48:E48">
    <cfRule type="expression" dxfId="10668" priority="2859">
      <formula>AND($A48&lt;&gt;"",MOD(ROW(),2))</formula>
    </cfRule>
  </conditionalFormatting>
  <conditionalFormatting sqref="D48">
    <cfRule type="cellIs" dxfId="10667" priority="2856" operator="equal">
      <formula>$C48</formula>
    </cfRule>
    <cfRule type="cellIs" dxfId="10666" priority="2857" operator="greaterThan">
      <formula>$C48</formula>
    </cfRule>
    <cfRule type="cellIs" dxfId="10665" priority="2858" operator="lessThan">
      <formula>$C48</formula>
    </cfRule>
  </conditionalFormatting>
  <conditionalFormatting sqref="D49:E49">
    <cfRule type="expression" dxfId="10664" priority="2855">
      <formula>AND($A49&lt;&gt;"",MOD(ROW(),2))</formula>
    </cfRule>
  </conditionalFormatting>
  <conditionalFormatting sqref="D49">
    <cfRule type="cellIs" dxfId="10663" priority="2852" operator="equal">
      <formula>$C49</formula>
    </cfRule>
    <cfRule type="cellIs" dxfId="10662" priority="2853" operator="greaterThan">
      <formula>$C49</formula>
    </cfRule>
    <cfRule type="cellIs" dxfId="10661" priority="2854" operator="lessThan">
      <formula>$C49</formula>
    </cfRule>
  </conditionalFormatting>
  <conditionalFormatting sqref="D27:E27">
    <cfRule type="expression" dxfId="10660" priority="2851">
      <formula>AND($A27&lt;&gt;"",MOD(ROW(),2))</formula>
    </cfRule>
  </conditionalFormatting>
  <conditionalFormatting sqref="D27">
    <cfRule type="cellIs" dxfId="10659" priority="2848" operator="equal">
      <formula>$C27</formula>
    </cfRule>
    <cfRule type="cellIs" dxfId="10658" priority="2849" operator="greaterThan">
      <formula>$C27</formula>
    </cfRule>
    <cfRule type="cellIs" dxfId="10657" priority="2850" operator="lessThan">
      <formula>$C27</formula>
    </cfRule>
  </conditionalFormatting>
  <conditionalFormatting sqref="D28:E28">
    <cfRule type="expression" dxfId="10656" priority="2847">
      <formula>AND($A28&lt;&gt;"",MOD(ROW(),2))</formula>
    </cfRule>
  </conditionalFormatting>
  <conditionalFormatting sqref="D28">
    <cfRule type="cellIs" dxfId="10655" priority="2844" operator="equal">
      <formula>$C28</formula>
    </cfRule>
    <cfRule type="cellIs" dxfId="10654" priority="2845" operator="greaterThan">
      <formula>$C28</formula>
    </cfRule>
    <cfRule type="cellIs" dxfId="10653" priority="2846" operator="lessThan">
      <formula>$C28</formula>
    </cfRule>
  </conditionalFormatting>
  <conditionalFormatting sqref="D29:E29">
    <cfRule type="expression" dxfId="10652" priority="2843">
      <formula>AND($A29&lt;&gt;"",MOD(ROW(),2))</formula>
    </cfRule>
  </conditionalFormatting>
  <conditionalFormatting sqref="D29">
    <cfRule type="cellIs" dxfId="10651" priority="2840" operator="equal">
      <formula>$C29</formula>
    </cfRule>
    <cfRule type="cellIs" dxfId="10650" priority="2841" operator="greaterThan">
      <formula>$C29</formula>
    </cfRule>
    <cfRule type="cellIs" dxfId="10649" priority="2842" operator="lessThan">
      <formula>$C29</formula>
    </cfRule>
  </conditionalFormatting>
  <conditionalFormatting sqref="D30:E30">
    <cfRule type="expression" dxfId="10648" priority="2839">
      <formula>AND($A30&lt;&gt;"",MOD(ROW(),2))</formula>
    </cfRule>
  </conditionalFormatting>
  <conditionalFormatting sqref="D30">
    <cfRule type="cellIs" dxfId="10647" priority="2836" operator="equal">
      <formula>$C30</formula>
    </cfRule>
    <cfRule type="cellIs" dxfId="10646" priority="2837" operator="greaterThan">
      <formula>$C30</formula>
    </cfRule>
    <cfRule type="cellIs" dxfId="10645" priority="2838" operator="lessThan">
      <formula>$C30</formula>
    </cfRule>
  </conditionalFormatting>
  <conditionalFormatting sqref="D31:E31">
    <cfRule type="expression" dxfId="10644" priority="2835">
      <formula>AND($A31&lt;&gt;"",MOD(ROW(),2))</formula>
    </cfRule>
  </conditionalFormatting>
  <conditionalFormatting sqref="D31">
    <cfRule type="cellIs" dxfId="10643" priority="2832" operator="equal">
      <formula>$C31</formula>
    </cfRule>
    <cfRule type="cellIs" dxfId="10642" priority="2833" operator="greaterThan">
      <formula>$C31</formula>
    </cfRule>
    <cfRule type="cellIs" dxfId="10641" priority="2834" operator="lessThan">
      <formula>$C31</formula>
    </cfRule>
  </conditionalFormatting>
  <conditionalFormatting sqref="D32:E32">
    <cfRule type="expression" dxfId="10640" priority="2831">
      <formula>AND($A32&lt;&gt;"",MOD(ROW(),2))</formula>
    </cfRule>
  </conditionalFormatting>
  <conditionalFormatting sqref="D32">
    <cfRule type="cellIs" dxfId="10639" priority="2828" operator="equal">
      <formula>$C32</formula>
    </cfRule>
    <cfRule type="cellIs" dxfId="10638" priority="2829" operator="greaterThan">
      <formula>$C32</formula>
    </cfRule>
    <cfRule type="cellIs" dxfId="10637" priority="2830" operator="lessThan">
      <formula>$C32</formula>
    </cfRule>
  </conditionalFormatting>
  <conditionalFormatting sqref="D33:E33">
    <cfRule type="expression" dxfId="10636" priority="2827">
      <formula>AND($A33&lt;&gt;"",MOD(ROW(),2))</formula>
    </cfRule>
  </conditionalFormatting>
  <conditionalFormatting sqref="D33">
    <cfRule type="cellIs" dxfId="10635" priority="2824" operator="equal">
      <formula>$C33</formula>
    </cfRule>
    <cfRule type="cellIs" dxfId="10634" priority="2825" operator="greaterThan">
      <formula>$C33</formula>
    </cfRule>
    <cfRule type="cellIs" dxfId="10633" priority="2826" operator="lessThan">
      <formula>$C33</formula>
    </cfRule>
  </conditionalFormatting>
  <conditionalFormatting sqref="D34:E34">
    <cfRule type="expression" dxfId="10632" priority="2823">
      <formula>AND($A34&lt;&gt;"",MOD(ROW(),2))</formula>
    </cfRule>
  </conditionalFormatting>
  <conditionalFormatting sqref="D34">
    <cfRule type="cellIs" dxfId="10631" priority="2820" operator="equal">
      <formula>$C34</formula>
    </cfRule>
    <cfRule type="cellIs" dxfId="10630" priority="2821" operator="greaterThan">
      <formula>$C34</formula>
    </cfRule>
    <cfRule type="cellIs" dxfId="10629" priority="2822" operator="lessThan">
      <formula>$C34</formula>
    </cfRule>
  </conditionalFormatting>
  <conditionalFormatting sqref="D35:E35">
    <cfRule type="expression" dxfId="10628" priority="2819">
      <formula>AND($A35&lt;&gt;"",MOD(ROW(),2))</formula>
    </cfRule>
  </conditionalFormatting>
  <conditionalFormatting sqref="D35">
    <cfRule type="cellIs" dxfId="10627" priority="2816" operator="equal">
      <formula>$C35</formula>
    </cfRule>
    <cfRule type="cellIs" dxfId="10626" priority="2817" operator="greaterThan">
      <formula>$C35</formula>
    </cfRule>
    <cfRule type="cellIs" dxfId="10625" priority="2818" operator="lessThan">
      <formula>$C35</formula>
    </cfRule>
  </conditionalFormatting>
  <conditionalFormatting sqref="D36:E36">
    <cfRule type="expression" dxfId="10624" priority="2815">
      <formula>AND($A36&lt;&gt;"",MOD(ROW(),2))</formula>
    </cfRule>
  </conditionalFormatting>
  <conditionalFormatting sqref="D36">
    <cfRule type="cellIs" dxfId="10623" priority="2812" operator="equal">
      <formula>$C36</formula>
    </cfRule>
    <cfRule type="cellIs" dxfId="10622" priority="2813" operator="greaterThan">
      <formula>$C36</formula>
    </cfRule>
    <cfRule type="cellIs" dxfId="10621" priority="2814" operator="lessThan">
      <formula>$C36</formula>
    </cfRule>
  </conditionalFormatting>
  <conditionalFormatting sqref="D37:E37">
    <cfRule type="expression" dxfId="10620" priority="2811">
      <formula>AND($A37&lt;&gt;"",MOD(ROW(),2))</formula>
    </cfRule>
  </conditionalFormatting>
  <conditionalFormatting sqref="D37">
    <cfRule type="cellIs" dxfId="10619" priority="2808" operator="equal">
      <formula>$C37</formula>
    </cfRule>
    <cfRule type="cellIs" dxfId="10618" priority="2809" operator="greaterThan">
      <formula>$C37</formula>
    </cfRule>
    <cfRule type="cellIs" dxfId="10617" priority="2810" operator="lessThan">
      <formula>$C37</formula>
    </cfRule>
  </conditionalFormatting>
  <conditionalFormatting sqref="D38:E38">
    <cfRule type="expression" dxfId="10616" priority="2807">
      <formula>AND($A38&lt;&gt;"",MOD(ROW(),2))</formula>
    </cfRule>
  </conditionalFormatting>
  <conditionalFormatting sqref="D38">
    <cfRule type="cellIs" dxfId="10615" priority="2804" operator="equal">
      <formula>$C38</formula>
    </cfRule>
    <cfRule type="cellIs" dxfId="10614" priority="2805" operator="greaterThan">
      <formula>$C38</formula>
    </cfRule>
    <cfRule type="cellIs" dxfId="10613" priority="2806" operator="lessThan">
      <formula>$C38</formula>
    </cfRule>
  </conditionalFormatting>
  <conditionalFormatting sqref="D39:E39">
    <cfRule type="expression" dxfId="10612" priority="2803">
      <formula>AND($A39&lt;&gt;"",MOD(ROW(),2))</formula>
    </cfRule>
  </conditionalFormatting>
  <conditionalFormatting sqref="D39">
    <cfRule type="cellIs" dxfId="10611" priority="2800" operator="equal">
      <formula>$C39</formula>
    </cfRule>
    <cfRule type="cellIs" dxfId="10610" priority="2801" operator="greaterThan">
      <formula>$C39</formula>
    </cfRule>
    <cfRule type="cellIs" dxfId="10609" priority="2802" operator="lessThan">
      <formula>$C39</formula>
    </cfRule>
  </conditionalFormatting>
  <conditionalFormatting sqref="D40:E40">
    <cfRule type="expression" dxfId="10608" priority="2799">
      <formula>AND($A40&lt;&gt;"",MOD(ROW(),2))</formula>
    </cfRule>
  </conditionalFormatting>
  <conditionalFormatting sqref="D40">
    <cfRule type="cellIs" dxfId="10607" priority="2796" operator="equal">
      <formula>$C40</formula>
    </cfRule>
    <cfRule type="cellIs" dxfId="10606" priority="2797" operator="greaterThan">
      <formula>$C40</formula>
    </cfRule>
    <cfRule type="cellIs" dxfId="10605" priority="2798" operator="lessThan">
      <formula>$C40</formula>
    </cfRule>
  </conditionalFormatting>
  <conditionalFormatting sqref="D41:E41">
    <cfRule type="expression" dxfId="10604" priority="2795">
      <formula>AND($A41&lt;&gt;"",MOD(ROW(),2))</formula>
    </cfRule>
  </conditionalFormatting>
  <conditionalFormatting sqref="D41">
    <cfRule type="cellIs" dxfId="10603" priority="2792" operator="equal">
      <formula>$C41</formula>
    </cfRule>
    <cfRule type="cellIs" dxfId="10602" priority="2793" operator="greaterThan">
      <formula>$C41</formula>
    </cfRule>
    <cfRule type="cellIs" dxfId="10601" priority="2794" operator="lessThan">
      <formula>$C41</formula>
    </cfRule>
  </conditionalFormatting>
  <conditionalFormatting sqref="D42:E42">
    <cfRule type="expression" dxfId="10600" priority="2791">
      <formula>AND($A42&lt;&gt;"",MOD(ROW(),2))</formula>
    </cfRule>
  </conditionalFormatting>
  <conditionalFormatting sqref="D42">
    <cfRule type="cellIs" dxfId="10599" priority="2788" operator="equal">
      <formula>$C42</formula>
    </cfRule>
    <cfRule type="cellIs" dxfId="10598" priority="2789" operator="greaterThan">
      <formula>$C42</formula>
    </cfRule>
    <cfRule type="cellIs" dxfId="10597" priority="2790" operator="lessThan">
      <formula>$C42</formula>
    </cfRule>
  </conditionalFormatting>
  <conditionalFormatting sqref="D43:E43">
    <cfRule type="expression" dxfId="10596" priority="2787">
      <formula>AND($A43&lt;&gt;"",MOD(ROW(),2))</formula>
    </cfRule>
  </conditionalFormatting>
  <conditionalFormatting sqref="D43">
    <cfRule type="cellIs" dxfId="10595" priority="2784" operator="equal">
      <formula>$C43</formula>
    </cfRule>
    <cfRule type="cellIs" dxfId="10594" priority="2785" operator="greaterThan">
      <formula>$C43</formula>
    </cfRule>
    <cfRule type="cellIs" dxfId="10593" priority="2786" operator="lessThan">
      <formula>$C43</formula>
    </cfRule>
  </conditionalFormatting>
  <conditionalFormatting sqref="D44:E44">
    <cfRule type="expression" dxfId="10592" priority="2783">
      <formula>AND($A44&lt;&gt;"",MOD(ROW(),2))</formula>
    </cfRule>
  </conditionalFormatting>
  <conditionalFormatting sqref="D44">
    <cfRule type="cellIs" dxfId="10591" priority="2780" operator="equal">
      <formula>$C44</formula>
    </cfRule>
    <cfRule type="cellIs" dxfId="10590" priority="2781" operator="greaterThan">
      <formula>$C44</formula>
    </cfRule>
    <cfRule type="cellIs" dxfId="10589" priority="2782" operator="lessThan">
      <formula>$C44</formula>
    </cfRule>
  </conditionalFormatting>
  <conditionalFormatting sqref="D45:E45">
    <cfRule type="expression" dxfId="10588" priority="2779">
      <formula>AND($A45&lt;&gt;"",MOD(ROW(),2))</formula>
    </cfRule>
  </conditionalFormatting>
  <conditionalFormatting sqref="D45">
    <cfRule type="cellIs" dxfId="10587" priority="2776" operator="equal">
      <formula>$C45</formula>
    </cfRule>
    <cfRule type="cellIs" dxfId="10586" priority="2777" operator="greaterThan">
      <formula>$C45</formula>
    </cfRule>
    <cfRule type="cellIs" dxfId="10585" priority="2778" operator="lessThan">
      <formula>$C45</formula>
    </cfRule>
  </conditionalFormatting>
  <conditionalFormatting sqref="D46:E46">
    <cfRule type="expression" dxfId="10584" priority="2775">
      <formula>AND($A46&lt;&gt;"",MOD(ROW(),2))</formula>
    </cfRule>
  </conditionalFormatting>
  <conditionalFormatting sqref="D46">
    <cfRule type="cellIs" dxfId="10583" priority="2772" operator="equal">
      <formula>$C46</formula>
    </cfRule>
    <cfRule type="cellIs" dxfId="10582" priority="2773" operator="greaterThan">
      <formula>$C46</formula>
    </cfRule>
    <cfRule type="cellIs" dxfId="10581" priority="2774" operator="lessThan">
      <formula>$C46</formula>
    </cfRule>
  </conditionalFormatting>
  <conditionalFormatting sqref="D47:E47">
    <cfRule type="expression" dxfId="10580" priority="2771">
      <formula>AND($A47&lt;&gt;"",MOD(ROW(),2))</formula>
    </cfRule>
  </conditionalFormatting>
  <conditionalFormatting sqref="D47">
    <cfRule type="cellIs" dxfId="10579" priority="2768" operator="equal">
      <formula>$C47</formula>
    </cfRule>
    <cfRule type="cellIs" dxfId="10578" priority="2769" operator="greaterThan">
      <formula>$C47</formula>
    </cfRule>
    <cfRule type="cellIs" dxfId="10577" priority="2770" operator="lessThan">
      <formula>$C47</formula>
    </cfRule>
  </conditionalFormatting>
  <conditionalFormatting sqref="D48:E48">
    <cfRule type="expression" dxfId="10576" priority="2767">
      <formula>AND($A48&lt;&gt;"",MOD(ROW(),2))</formula>
    </cfRule>
  </conditionalFormatting>
  <conditionalFormatting sqref="D48">
    <cfRule type="cellIs" dxfId="10575" priority="2764" operator="equal">
      <formula>$C48</formula>
    </cfRule>
    <cfRule type="cellIs" dxfId="10574" priority="2765" operator="greaterThan">
      <formula>$C48</formula>
    </cfRule>
    <cfRule type="cellIs" dxfId="10573" priority="2766" operator="lessThan">
      <formula>$C48</formula>
    </cfRule>
  </conditionalFormatting>
  <conditionalFormatting sqref="D49:E49">
    <cfRule type="expression" dxfId="10572" priority="2763">
      <formula>AND($A49&lt;&gt;"",MOD(ROW(),2))</formula>
    </cfRule>
  </conditionalFormatting>
  <conditionalFormatting sqref="D49">
    <cfRule type="cellIs" dxfId="10571" priority="2760" operator="equal">
      <formula>$C49</formula>
    </cfRule>
    <cfRule type="cellIs" dxfId="10570" priority="2761" operator="greaterThan">
      <formula>$C49</formula>
    </cfRule>
    <cfRule type="cellIs" dxfId="10569" priority="2762" operator="lessThan">
      <formula>$C49</formula>
    </cfRule>
  </conditionalFormatting>
  <conditionalFormatting sqref="D27:E27">
    <cfRule type="expression" dxfId="10568" priority="2759">
      <formula>AND($A27&lt;&gt;"",MOD(ROW(),2))</formula>
    </cfRule>
  </conditionalFormatting>
  <conditionalFormatting sqref="D27">
    <cfRule type="cellIs" dxfId="10567" priority="2756" operator="equal">
      <formula>$C27</formula>
    </cfRule>
    <cfRule type="cellIs" dxfId="10566" priority="2757" operator="greaterThan">
      <formula>$C27</formula>
    </cfRule>
    <cfRule type="cellIs" dxfId="10565" priority="2758" operator="lessThan">
      <formula>$C27</formula>
    </cfRule>
  </conditionalFormatting>
  <conditionalFormatting sqref="D28:E28">
    <cfRule type="expression" dxfId="10564" priority="2755">
      <formula>AND($A28&lt;&gt;"",MOD(ROW(),2))</formula>
    </cfRule>
  </conditionalFormatting>
  <conditionalFormatting sqref="D28">
    <cfRule type="cellIs" dxfId="10563" priority="2752" operator="equal">
      <formula>$C28</formula>
    </cfRule>
    <cfRule type="cellIs" dxfId="10562" priority="2753" operator="greaterThan">
      <formula>$C28</formula>
    </cfRule>
    <cfRule type="cellIs" dxfId="10561" priority="2754" operator="lessThan">
      <formula>$C28</formula>
    </cfRule>
  </conditionalFormatting>
  <conditionalFormatting sqref="D29:E29">
    <cfRule type="expression" dxfId="10560" priority="2751">
      <formula>AND($A29&lt;&gt;"",MOD(ROW(),2))</formula>
    </cfRule>
  </conditionalFormatting>
  <conditionalFormatting sqref="D29">
    <cfRule type="cellIs" dxfId="10559" priority="2748" operator="equal">
      <formula>$C29</formula>
    </cfRule>
    <cfRule type="cellIs" dxfId="10558" priority="2749" operator="greaterThan">
      <formula>$C29</formula>
    </cfRule>
    <cfRule type="cellIs" dxfId="10557" priority="2750" operator="lessThan">
      <formula>$C29</formula>
    </cfRule>
  </conditionalFormatting>
  <conditionalFormatting sqref="D30:E30">
    <cfRule type="expression" dxfId="10556" priority="2747">
      <formula>AND($A30&lt;&gt;"",MOD(ROW(),2))</formula>
    </cfRule>
  </conditionalFormatting>
  <conditionalFormatting sqref="D30">
    <cfRule type="cellIs" dxfId="10555" priority="2744" operator="equal">
      <formula>$C30</formula>
    </cfRule>
    <cfRule type="cellIs" dxfId="10554" priority="2745" operator="greaterThan">
      <formula>$C30</formula>
    </cfRule>
    <cfRule type="cellIs" dxfId="10553" priority="2746" operator="lessThan">
      <formula>$C30</formula>
    </cfRule>
  </conditionalFormatting>
  <conditionalFormatting sqref="D31:E31">
    <cfRule type="expression" dxfId="10552" priority="2743">
      <formula>AND($A31&lt;&gt;"",MOD(ROW(),2))</formula>
    </cfRule>
  </conditionalFormatting>
  <conditionalFormatting sqref="D31">
    <cfRule type="cellIs" dxfId="10551" priority="2740" operator="equal">
      <formula>$C31</formula>
    </cfRule>
    <cfRule type="cellIs" dxfId="10550" priority="2741" operator="greaterThan">
      <formula>$C31</formula>
    </cfRule>
    <cfRule type="cellIs" dxfId="10549" priority="2742" operator="lessThan">
      <formula>$C31</formula>
    </cfRule>
  </conditionalFormatting>
  <conditionalFormatting sqref="D32:E32">
    <cfRule type="expression" dxfId="10548" priority="2739">
      <formula>AND($A32&lt;&gt;"",MOD(ROW(),2))</formula>
    </cfRule>
  </conditionalFormatting>
  <conditionalFormatting sqref="D32">
    <cfRule type="cellIs" dxfId="10547" priority="2736" operator="equal">
      <formula>$C32</formula>
    </cfRule>
    <cfRule type="cellIs" dxfId="10546" priority="2737" operator="greaterThan">
      <formula>$C32</formula>
    </cfRule>
    <cfRule type="cellIs" dxfId="10545" priority="2738" operator="lessThan">
      <formula>$C32</formula>
    </cfRule>
  </conditionalFormatting>
  <conditionalFormatting sqref="D33:E33">
    <cfRule type="expression" dxfId="10544" priority="2735">
      <formula>AND($A33&lt;&gt;"",MOD(ROW(),2))</formula>
    </cfRule>
  </conditionalFormatting>
  <conditionalFormatting sqref="D33">
    <cfRule type="cellIs" dxfId="10543" priority="2732" operator="equal">
      <formula>$C33</formula>
    </cfRule>
    <cfRule type="cellIs" dxfId="10542" priority="2733" operator="greaterThan">
      <formula>$C33</formula>
    </cfRule>
    <cfRule type="cellIs" dxfId="10541" priority="2734" operator="lessThan">
      <formula>$C33</formula>
    </cfRule>
  </conditionalFormatting>
  <conditionalFormatting sqref="D34:E34">
    <cfRule type="expression" dxfId="10540" priority="2731">
      <formula>AND($A34&lt;&gt;"",MOD(ROW(),2))</formula>
    </cfRule>
  </conditionalFormatting>
  <conditionalFormatting sqref="D34">
    <cfRule type="cellIs" dxfId="10539" priority="2728" operator="equal">
      <formula>$C34</formula>
    </cfRule>
    <cfRule type="cellIs" dxfId="10538" priority="2729" operator="greaterThan">
      <formula>$C34</formula>
    </cfRule>
    <cfRule type="cellIs" dxfId="10537" priority="2730" operator="lessThan">
      <formula>$C34</formula>
    </cfRule>
  </conditionalFormatting>
  <conditionalFormatting sqref="D35:E35">
    <cfRule type="expression" dxfId="10536" priority="2727">
      <formula>AND($A35&lt;&gt;"",MOD(ROW(),2))</formula>
    </cfRule>
  </conditionalFormatting>
  <conditionalFormatting sqref="D35">
    <cfRule type="cellIs" dxfId="10535" priority="2724" operator="equal">
      <formula>$C35</formula>
    </cfRule>
    <cfRule type="cellIs" dxfId="10534" priority="2725" operator="greaterThan">
      <formula>$C35</formula>
    </cfRule>
    <cfRule type="cellIs" dxfId="10533" priority="2726" operator="lessThan">
      <formula>$C35</formula>
    </cfRule>
  </conditionalFormatting>
  <conditionalFormatting sqref="D36:E36">
    <cfRule type="expression" dxfId="10532" priority="2723">
      <formula>AND($A36&lt;&gt;"",MOD(ROW(),2))</formula>
    </cfRule>
  </conditionalFormatting>
  <conditionalFormatting sqref="D36">
    <cfRule type="cellIs" dxfId="10531" priority="2720" operator="equal">
      <formula>$C36</formula>
    </cfRule>
    <cfRule type="cellIs" dxfId="10530" priority="2721" operator="greaterThan">
      <formula>$C36</formula>
    </cfRule>
    <cfRule type="cellIs" dxfId="10529" priority="2722" operator="lessThan">
      <formula>$C36</formula>
    </cfRule>
  </conditionalFormatting>
  <conditionalFormatting sqref="D37:E37">
    <cfRule type="expression" dxfId="10528" priority="2719">
      <formula>AND($A37&lt;&gt;"",MOD(ROW(),2))</formula>
    </cfRule>
  </conditionalFormatting>
  <conditionalFormatting sqref="D37">
    <cfRule type="cellIs" dxfId="10527" priority="2716" operator="equal">
      <formula>$C37</formula>
    </cfRule>
    <cfRule type="cellIs" dxfId="10526" priority="2717" operator="greaterThan">
      <formula>$C37</formula>
    </cfRule>
    <cfRule type="cellIs" dxfId="10525" priority="2718" operator="lessThan">
      <formula>$C37</formula>
    </cfRule>
  </conditionalFormatting>
  <conditionalFormatting sqref="D38:E38">
    <cfRule type="expression" dxfId="10524" priority="2715">
      <formula>AND($A38&lt;&gt;"",MOD(ROW(),2))</formula>
    </cfRule>
  </conditionalFormatting>
  <conditionalFormatting sqref="D38">
    <cfRule type="cellIs" dxfId="10523" priority="2712" operator="equal">
      <formula>$C38</formula>
    </cfRule>
    <cfRule type="cellIs" dxfId="10522" priority="2713" operator="greaterThan">
      <formula>$C38</formula>
    </cfRule>
    <cfRule type="cellIs" dxfId="10521" priority="2714" operator="lessThan">
      <formula>$C38</formula>
    </cfRule>
  </conditionalFormatting>
  <conditionalFormatting sqref="D39:E39">
    <cfRule type="expression" dxfId="10520" priority="2711">
      <formula>AND($A39&lt;&gt;"",MOD(ROW(),2))</formula>
    </cfRule>
  </conditionalFormatting>
  <conditionalFormatting sqref="D39">
    <cfRule type="cellIs" dxfId="10519" priority="2708" operator="equal">
      <formula>$C39</formula>
    </cfRule>
    <cfRule type="cellIs" dxfId="10518" priority="2709" operator="greaterThan">
      <formula>$C39</formula>
    </cfRule>
    <cfRule type="cellIs" dxfId="10517" priority="2710" operator="lessThan">
      <formula>$C39</formula>
    </cfRule>
  </conditionalFormatting>
  <conditionalFormatting sqref="D40:E40">
    <cfRule type="expression" dxfId="10516" priority="2707">
      <formula>AND($A40&lt;&gt;"",MOD(ROW(),2))</formula>
    </cfRule>
  </conditionalFormatting>
  <conditionalFormatting sqref="D40">
    <cfRule type="cellIs" dxfId="10515" priority="2704" operator="equal">
      <formula>$C40</formula>
    </cfRule>
    <cfRule type="cellIs" dxfId="10514" priority="2705" operator="greaterThan">
      <formula>$C40</formula>
    </cfRule>
    <cfRule type="cellIs" dxfId="10513" priority="2706" operator="lessThan">
      <formula>$C40</formula>
    </cfRule>
  </conditionalFormatting>
  <conditionalFormatting sqref="D41:E41">
    <cfRule type="expression" dxfId="10512" priority="2703">
      <formula>AND($A41&lt;&gt;"",MOD(ROW(),2))</formula>
    </cfRule>
  </conditionalFormatting>
  <conditionalFormatting sqref="D41">
    <cfRule type="cellIs" dxfId="10511" priority="2700" operator="equal">
      <formula>$C41</formula>
    </cfRule>
    <cfRule type="cellIs" dxfId="10510" priority="2701" operator="greaterThan">
      <formula>$C41</formula>
    </cfRule>
    <cfRule type="cellIs" dxfId="10509" priority="2702" operator="lessThan">
      <formula>$C41</formula>
    </cfRule>
  </conditionalFormatting>
  <conditionalFormatting sqref="D42:E42">
    <cfRule type="expression" dxfId="10508" priority="2699">
      <formula>AND($A42&lt;&gt;"",MOD(ROW(),2))</formula>
    </cfRule>
  </conditionalFormatting>
  <conditionalFormatting sqref="D42">
    <cfRule type="cellIs" dxfId="10507" priority="2696" operator="equal">
      <formula>$C42</formula>
    </cfRule>
    <cfRule type="cellIs" dxfId="10506" priority="2697" operator="greaterThan">
      <formula>$C42</formula>
    </cfRule>
    <cfRule type="cellIs" dxfId="10505" priority="2698" operator="lessThan">
      <formula>$C42</formula>
    </cfRule>
  </conditionalFormatting>
  <conditionalFormatting sqref="D43:E43">
    <cfRule type="expression" dxfId="10504" priority="2695">
      <formula>AND($A43&lt;&gt;"",MOD(ROW(),2))</formula>
    </cfRule>
  </conditionalFormatting>
  <conditionalFormatting sqref="D43">
    <cfRule type="cellIs" dxfId="10503" priority="2692" operator="equal">
      <formula>$C43</formula>
    </cfRule>
    <cfRule type="cellIs" dxfId="10502" priority="2693" operator="greaterThan">
      <formula>$C43</formula>
    </cfRule>
    <cfRule type="cellIs" dxfId="10501" priority="2694" operator="lessThan">
      <formula>$C43</formula>
    </cfRule>
  </conditionalFormatting>
  <conditionalFormatting sqref="D44:E44">
    <cfRule type="expression" dxfId="10500" priority="2691">
      <formula>AND($A44&lt;&gt;"",MOD(ROW(),2))</formula>
    </cfRule>
  </conditionalFormatting>
  <conditionalFormatting sqref="D44">
    <cfRule type="cellIs" dxfId="10499" priority="2688" operator="equal">
      <formula>$C44</formula>
    </cfRule>
    <cfRule type="cellIs" dxfId="10498" priority="2689" operator="greaterThan">
      <formula>$C44</formula>
    </cfRule>
    <cfRule type="cellIs" dxfId="10497" priority="2690" operator="lessThan">
      <formula>$C44</formula>
    </cfRule>
  </conditionalFormatting>
  <conditionalFormatting sqref="D45:E45">
    <cfRule type="expression" dxfId="10496" priority="2687">
      <formula>AND($A45&lt;&gt;"",MOD(ROW(),2))</formula>
    </cfRule>
  </conditionalFormatting>
  <conditionalFormatting sqref="D45">
    <cfRule type="cellIs" dxfId="10495" priority="2684" operator="equal">
      <formula>$C45</formula>
    </cfRule>
    <cfRule type="cellIs" dxfId="10494" priority="2685" operator="greaterThan">
      <formula>$C45</formula>
    </cfRule>
    <cfRule type="cellIs" dxfId="10493" priority="2686" operator="lessThan">
      <formula>$C45</formula>
    </cfRule>
  </conditionalFormatting>
  <conditionalFormatting sqref="D46:E46">
    <cfRule type="expression" dxfId="10492" priority="2683">
      <formula>AND($A46&lt;&gt;"",MOD(ROW(),2))</formula>
    </cfRule>
  </conditionalFormatting>
  <conditionalFormatting sqref="D46">
    <cfRule type="cellIs" dxfId="10491" priority="2680" operator="equal">
      <formula>$C46</formula>
    </cfRule>
    <cfRule type="cellIs" dxfId="10490" priority="2681" operator="greaterThan">
      <formula>$C46</formula>
    </cfRule>
    <cfRule type="cellIs" dxfId="10489" priority="2682" operator="lessThan">
      <formula>$C46</formula>
    </cfRule>
  </conditionalFormatting>
  <conditionalFormatting sqref="D47:E47">
    <cfRule type="expression" dxfId="10488" priority="2679">
      <formula>AND($A47&lt;&gt;"",MOD(ROW(),2))</formula>
    </cfRule>
  </conditionalFormatting>
  <conditionalFormatting sqref="D47">
    <cfRule type="cellIs" dxfId="10487" priority="2676" operator="equal">
      <formula>$C47</formula>
    </cfRule>
    <cfRule type="cellIs" dxfId="10486" priority="2677" operator="greaterThan">
      <formula>$C47</formula>
    </cfRule>
    <cfRule type="cellIs" dxfId="10485" priority="2678" operator="lessThan">
      <formula>$C47</formula>
    </cfRule>
  </conditionalFormatting>
  <conditionalFormatting sqref="D48:E48">
    <cfRule type="expression" dxfId="10484" priority="2675">
      <formula>AND($A48&lt;&gt;"",MOD(ROW(),2))</formula>
    </cfRule>
  </conditionalFormatting>
  <conditionalFormatting sqref="D48">
    <cfRule type="cellIs" dxfId="10483" priority="2672" operator="equal">
      <formula>$C48</formula>
    </cfRule>
    <cfRule type="cellIs" dxfId="10482" priority="2673" operator="greaterThan">
      <formula>$C48</formula>
    </cfRule>
    <cfRule type="cellIs" dxfId="10481" priority="2674" operator="lessThan">
      <formula>$C48</formula>
    </cfRule>
  </conditionalFormatting>
  <conditionalFormatting sqref="D49:E49">
    <cfRule type="expression" dxfId="10480" priority="2671">
      <formula>AND($A49&lt;&gt;"",MOD(ROW(),2))</formula>
    </cfRule>
  </conditionalFormatting>
  <conditionalFormatting sqref="D49">
    <cfRule type="cellIs" dxfId="10479" priority="2668" operator="equal">
      <formula>$C49</formula>
    </cfRule>
    <cfRule type="cellIs" dxfId="10478" priority="2669" operator="greaterThan">
      <formula>$C49</formula>
    </cfRule>
    <cfRule type="cellIs" dxfId="10477" priority="2670" operator="lessThan">
      <formula>$C49</formula>
    </cfRule>
  </conditionalFormatting>
  <conditionalFormatting sqref="D28:E28">
    <cfRule type="expression" dxfId="10476" priority="2667">
      <formula>AND($A28&lt;&gt;"",MOD(ROW(),2))</formula>
    </cfRule>
  </conditionalFormatting>
  <conditionalFormatting sqref="D28">
    <cfRule type="cellIs" dxfId="10475" priority="2664" operator="equal">
      <formula>$C28</formula>
    </cfRule>
    <cfRule type="cellIs" dxfId="10474" priority="2665" operator="greaterThan">
      <formula>$C28</formula>
    </cfRule>
    <cfRule type="cellIs" dxfId="10473" priority="2666" operator="lessThan">
      <formula>$C28</formula>
    </cfRule>
  </conditionalFormatting>
  <conditionalFormatting sqref="D29:E29">
    <cfRule type="expression" dxfId="10472" priority="2663">
      <formula>AND($A29&lt;&gt;"",MOD(ROW(),2))</formula>
    </cfRule>
  </conditionalFormatting>
  <conditionalFormatting sqref="D29">
    <cfRule type="cellIs" dxfId="10471" priority="2660" operator="equal">
      <formula>$C29</formula>
    </cfRule>
    <cfRule type="cellIs" dxfId="10470" priority="2661" operator="greaterThan">
      <formula>$C29</formula>
    </cfRule>
    <cfRule type="cellIs" dxfId="10469" priority="2662" operator="lessThan">
      <formula>$C29</formula>
    </cfRule>
  </conditionalFormatting>
  <conditionalFormatting sqref="D30:E30">
    <cfRule type="expression" dxfId="10468" priority="2659">
      <formula>AND($A30&lt;&gt;"",MOD(ROW(),2))</formula>
    </cfRule>
  </conditionalFormatting>
  <conditionalFormatting sqref="D30">
    <cfRule type="cellIs" dxfId="10467" priority="2656" operator="equal">
      <formula>$C30</formula>
    </cfRule>
    <cfRule type="cellIs" dxfId="10466" priority="2657" operator="greaterThan">
      <formula>$C30</formula>
    </cfRule>
    <cfRule type="cellIs" dxfId="10465" priority="2658" operator="lessThan">
      <formula>$C30</formula>
    </cfRule>
  </conditionalFormatting>
  <conditionalFormatting sqref="D31:E31">
    <cfRule type="expression" dxfId="10464" priority="2655">
      <formula>AND($A31&lt;&gt;"",MOD(ROW(),2))</formula>
    </cfRule>
  </conditionalFormatting>
  <conditionalFormatting sqref="D31">
    <cfRule type="cellIs" dxfId="10463" priority="2652" operator="equal">
      <formula>$C31</formula>
    </cfRule>
    <cfRule type="cellIs" dxfId="10462" priority="2653" operator="greaterThan">
      <formula>$C31</formula>
    </cfRule>
    <cfRule type="cellIs" dxfId="10461" priority="2654" operator="lessThan">
      <formula>$C31</formula>
    </cfRule>
  </conditionalFormatting>
  <conditionalFormatting sqref="D32:E32">
    <cfRule type="expression" dxfId="10460" priority="2651">
      <formula>AND($A32&lt;&gt;"",MOD(ROW(),2))</formula>
    </cfRule>
  </conditionalFormatting>
  <conditionalFormatting sqref="D32">
    <cfRule type="cellIs" dxfId="10459" priority="2648" operator="equal">
      <formula>$C32</formula>
    </cfRule>
    <cfRule type="cellIs" dxfId="10458" priority="2649" operator="greaterThan">
      <formula>$C32</formula>
    </cfRule>
    <cfRule type="cellIs" dxfId="10457" priority="2650" operator="lessThan">
      <formula>$C32</formula>
    </cfRule>
  </conditionalFormatting>
  <conditionalFormatting sqref="D33:E33">
    <cfRule type="expression" dxfId="10456" priority="2647">
      <formula>AND($A33&lt;&gt;"",MOD(ROW(),2))</formula>
    </cfRule>
  </conditionalFormatting>
  <conditionalFormatting sqref="D33">
    <cfRule type="cellIs" dxfId="10455" priority="2644" operator="equal">
      <formula>$C33</formula>
    </cfRule>
    <cfRule type="cellIs" dxfId="10454" priority="2645" operator="greaterThan">
      <formula>$C33</formula>
    </cfRule>
    <cfRule type="cellIs" dxfId="10453" priority="2646" operator="lessThan">
      <formula>$C33</formula>
    </cfRule>
  </conditionalFormatting>
  <conditionalFormatting sqref="D34:E34">
    <cfRule type="expression" dxfId="10452" priority="2643">
      <formula>AND($A34&lt;&gt;"",MOD(ROW(),2))</formula>
    </cfRule>
  </conditionalFormatting>
  <conditionalFormatting sqref="D34">
    <cfRule type="cellIs" dxfId="10451" priority="2640" operator="equal">
      <formula>$C34</formula>
    </cfRule>
    <cfRule type="cellIs" dxfId="10450" priority="2641" operator="greaterThan">
      <formula>$C34</formula>
    </cfRule>
    <cfRule type="cellIs" dxfId="10449" priority="2642" operator="lessThan">
      <formula>$C34</formula>
    </cfRule>
  </conditionalFormatting>
  <conditionalFormatting sqref="D35:E35">
    <cfRule type="expression" dxfId="10448" priority="2639">
      <formula>AND($A35&lt;&gt;"",MOD(ROW(),2))</formula>
    </cfRule>
  </conditionalFormatting>
  <conditionalFormatting sqref="D35">
    <cfRule type="cellIs" dxfId="10447" priority="2636" operator="equal">
      <formula>$C35</formula>
    </cfRule>
    <cfRule type="cellIs" dxfId="10446" priority="2637" operator="greaterThan">
      <formula>$C35</formula>
    </cfRule>
    <cfRule type="cellIs" dxfId="10445" priority="2638" operator="lessThan">
      <formula>$C35</formula>
    </cfRule>
  </conditionalFormatting>
  <conditionalFormatting sqref="D36:E36">
    <cfRule type="expression" dxfId="10444" priority="2635">
      <formula>AND($A36&lt;&gt;"",MOD(ROW(),2))</formula>
    </cfRule>
  </conditionalFormatting>
  <conditionalFormatting sqref="D36">
    <cfRule type="cellIs" dxfId="10443" priority="2632" operator="equal">
      <formula>$C36</formula>
    </cfRule>
    <cfRule type="cellIs" dxfId="10442" priority="2633" operator="greaterThan">
      <formula>$C36</formula>
    </cfRule>
    <cfRule type="cellIs" dxfId="10441" priority="2634" operator="lessThan">
      <formula>$C36</formula>
    </cfRule>
  </conditionalFormatting>
  <conditionalFormatting sqref="D37:E37">
    <cfRule type="expression" dxfId="10440" priority="2631">
      <formula>AND($A37&lt;&gt;"",MOD(ROW(),2))</formula>
    </cfRule>
  </conditionalFormatting>
  <conditionalFormatting sqref="D37">
    <cfRule type="cellIs" dxfId="10439" priority="2628" operator="equal">
      <formula>$C37</formula>
    </cfRule>
    <cfRule type="cellIs" dxfId="10438" priority="2629" operator="greaterThan">
      <formula>$C37</formula>
    </cfRule>
    <cfRule type="cellIs" dxfId="10437" priority="2630" operator="lessThan">
      <formula>$C37</formula>
    </cfRule>
  </conditionalFormatting>
  <conditionalFormatting sqref="D38:E38">
    <cfRule type="expression" dxfId="10436" priority="2627">
      <formula>AND($A38&lt;&gt;"",MOD(ROW(),2))</formula>
    </cfRule>
  </conditionalFormatting>
  <conditionalFormatting sqref="D38">
    <cfRule type="cellIs" dxfId="10435" priority="2624" operator="equal">
      <formula>$C38</formula>
    </cfRule>
    <cfRule type="cellIs" dxfId="10434" priority="2625" operator="greaterThan">
      <formula>$C38</formula>
    </cfRule>
    <cfRule type="cellIs" dxfId="10433" priority="2626" operator="lessThan">
      <formula>$C38</formula>
    </cfRule>
  </conditionalFormatting>
  <conditionalFormatting sqref="D39:E39">
    <cfRule type="expression" dxfId="10432" priority="2623">
      <formula>AND($A39&lt;&gt;"",MOD(ROW(),2))</formula>
    </cfRule>
  </conditionalFormatting>
  <conditionalFormatting sqref="D39">
    <cfRule type="cellIs" dxfId="10431" priority="2620" operator="equal">
      <formula>$C39</formula>
    </cfRule>
    <cfRule type="cellIs" dxfId="10430" priority="2621" operator="greaterThan">
      <formula>$C39</formula>
    </cfRule>
    <cfRule type="cellIs" dxfId="10429" priority="2622" operator="lessThan">
      <formula>$C39</formula>
    </cfRule>
  </conditionalFormatting>
  <conditionalFormatting sqref="D40:E40">
    <cfRule type="expression" dxfId="10428" priority="2619">
      <formula>AND($A40&lt;&gt;"",MOD(ROW(),2))</formula>
    </cfRule>
  </conditionalFormatting>
  <conditionalFormatting sqref="D40">
    <cfRule type="cellIs" dxfId="10427" priority="2616" operator="equal">
      <formula>$C40</formula>
    </cfRule>
    <cfRule type="cellIs" dxfId="10426" priority="2617" operator="greaterThan">
      <formula>$C40</formula>
    </cfRule>
    <cfRule type="cellIs" dxfId="10425" priority="2618" operator="lessThan">
      <formula>$C40</formula>
    </cfRule>
  </conditionalFormatting>
  <conditionalFormatting sqref="D41:E41">
    <cfRule type="expression" dxfId="10424" priority="2615">
      <formula>AND($A41&lt;&gt;"",MOD(ROW(),2))</formula>
    </cfRule>
  </conditionalFormatting>
  <conditionalFormatting sqref="D41">
    <cfRule type="cellIs" dxfId="10423" priority="2612" operator="equal">
      <formula>$C41</formula>
    </cfRule>
    <cfRule type="cellIs" dxfId="10422" priority="2613" operator="greaterThan">
      <formula>$C41</formula>
    </cfRule>
    <cfRule type="cellIs" dxfId="10421" priority="2614" operator="lessThan">
      <formula>$C41</formula>
    </cfRule>
  </conditionalFormatting>
  <conditionalFormatting sqref="D42:E42">
    <cfRule type="expression" dxfId="10420" priority="2611">
      <formula>AND($A42&lt;&gt;"",MOD(ROW(),2))</formula>
    </cfRule>
  </conditionalFormatting>
  <conditionalFormatting sqref="D42">
    <cfRule type="cellIs" dxfId="10419" priority="2608" operator="equal">
      <formula>$C42</formula>
    </cfRule>
    <cfRule type="cellIs" dxfId="10418" priority="2609" operator="greaterThan">
      <formula>$C42</formula>
    </cfRule>
    <cfRule type="cellIs" dxfId="10417" priority="2610" operator="lessThan">
      <formula>$C42</formula>
    </cfRule>
  </conditionalFormatting>
  <conditionalFormatting sqref="D43:E43">
    <cfRule type="expression" dxfId="10416" priority="2607">
      <formula>AND($A43&lt;&gt;"",MOD(ROW(),2))</formula>
    </cfRule>
  </conditionalFormatting>
  <conditionalFormatting sqref="D43">
    <cfRule type="cellIs" dxfId="10415" priority="2604" operator="equal">
      <formula>$C43</formula>
    </cfRule>
    <cfRule type="cellIs" dxfId="10414" priority="2605" operator="greaterThan">
      <formula>$C43</formula>
    </cfRule>
    <cfRule type="cellIs" dxfId="10413" priority="2606" operator="lessThan">
      <formula>$C43</formula>
    </cfRule>
  </conditionalFormatting>
  <conditionalFormatting sqref="D44:E44">
    <cfRule type="expression" dxfId="10412" priority="2603">
      <formula>AND($A44&lt;&gt;"",MOD(ROW(),2))</formula>
    </cfRule>
  </conditionalFormatting>
  <conditionalFormatting sqref="D44">
    <cfRule type="cellIs" dxfId="10411" priority="2600" operator="equal">
      <formula>$C44</formula>
    </cfRule>
    <cfRule type="cellIs" dxfId="10410" priority="2601" operator="greaterThan">
      <formula>$C44</formula>
    </cfRule>
    <cfRule type="cellIs" dxfId="10409" priority="2602" operator="lessThan">
      <formula>$C44</formula>
    </cfRule>
  </conditionalFormatting>
  <conditionalFormatting sqref="D45:E45">
    <cfRule type="expression" dxfId="10408" priority="2599">
      <formula>AND($A45&lt;&gt;"",MOD(ROW(),2))</formula>
    </cfRule>
  </conditionalFormatting>
  <conditionalFormatting sqref="D45">
    <cfRule type="cellIs" dxfId="10407" priority="2596" operator="equal">
      <formula>$C45</formula>
    </cfRule>
    <cfRule type="cellIs" dxfId="10406" priority="2597" operator="greaterThan">
      <formula>$C45</formula>
    </cfRule>
    <cfRule type="cellIs" dxfId="10405" priority="2598" operator="lessThan">
      <formula>$C45</formula>
    </cfRule>
  </conditionalFormatting>
  <conditionalFormatting sqref="D46:E46">
    <cfRule type="expression" dxfId="10404" priority="2595">
      <formula>AND($A46&lt;&gt;"",MOD(ROW(),2))</formula>
    </cfRule>
  </conditionalFormatting>
  <conditionalFormatting sqref="D46">
    <cfRule type="cellIs" dxfId="10403" priority="2592" operator="equal">
      <formula>$C46</formula>
    </cfRule>
    <cfRule type="cellIs" dxfId="10402" priority="2593" operator="greaterThan">
      <formula>$C46</formula>
    </cfRule>
    <cfRule type="cellIs" dxfId="10401" priority="2594" operator="lessThan">
      <formula>$C46</formula>
    </cfRule>
  </conditionalFormatting>
  <conditionalFormatting sqref="D47:E47">
    <cfRule type="expression" dxfId="10400" priority="2591">
      <formula>AND($A47&lt;&gt;"",MOD(ROW(),2))</formula>
    </cfRule>
  </conditionalFormatting>
  <conditionalFormatting sqref="D47">
    <cfRule type="cellIs" dxfId="10399" priority="2588" operator="equal">
      <formula>$C47</formula>
    </cfRule>
    <cfRule type="cellIs" dxfId="10398" priority="2589" operator="greaterThan">
      <formula>$C47</formula>
    </cfRule>
    <cfRule type="cellIs" dxfId="10397" priority="2590" operator="lessThan">
      <formula>$C47</formula>
    </cfRule>
  </conditionalFormatting>
  <conditionalFormatting sqref="D48:E48">
    <cfRule type="expression" dxfId="10396" priority="2587">
      <formula>AND($A48&lt;&gt;"",MOD(ROW(),2))</formula>
    </cfRule>
  </conditionalFormatting>
  <conditionalFormatting sqref="D48">
    <cfRule type="cellIs" dxfId="10395" priority="2584" operator="equal">
      <formula>$C48</formula>
    </cfRule>
    <cfRule type="cellIs" dxfId="10394" priority="2585" operator="greaterThan">
      <formula>$C48</formula>
    </cfRule>
    <cfRule type="cellIs" dxfId="10393" priority="2586" operator="lessThan">
      <formula>$C48</formula>
    </cfRule>
  </conditionalFormatting>
  <conditionalFormatting sqref="D49:E49">
    <cfRule type="expression" dxfId="10392" priority="2583">
      <formula>AND($A49&lt;&gt;"",MOD(ROW(),2))</formula>
    </cfRule>
  </conditionalFormatting>
  <conditionalFormatting sqref="D49">
    <cfRule type="cellIs" dxfId="10391" priority="2580" operator="equal">
      <formula>$C49</formula>
    </cfRule>
    <cfRule type="cellIs" dxfId="10390" priority="2581" operator="greaterThan">
      <formula>$C49</formula>
    </cfRule>
    <cfRule type="cellIs" dxfId="10389" priority="2582" operator="lessThan">
      <formula>$C49</formula>
    </cfRule>
  </conditionalFormatting>
  <conditionalFormatting sqref="D26:E26">
    <cfRule type="expression" dxfId="10388" priority="2579">
      <formula>AND($A26&lt;&gt;"",MOD(ROW(),2))</formula>
    </cfRule>
  </conditionalFormatting>
  <conditionalFormatting sqref="D26">
    <cfRule type="cellIs" dxfId="10387" priority="2576" operator="equal">
      <formula>$C26</formula>
    </cfRule>
    <cfRule type="cellIs" dxfId="10386" priority="2577" operator="greaterThan">
      <formula>$C26</formula>
    </cfRule>
    <cfRule type="cellIs" dxfId="10385" priority="2578" operator="lessThan">
      <formula>$C26</formula>
    </cfRule>
  </conditionalFormatting>
  <conditionalFormatting sqref="D27:E27">
    <cfRule type="expression" dxfId="10384" priority="2575">
      <formula>AND($A27&lt;&gt;"",MOD(ROW(),2))</formula>
    </cfRule>
  </conditionalFormatting>
  <conditionalFormatting sqref="D27">
    <cfRule type="cellIs" dxfId="10383" priority="2572" operator="equal">
      <formula>$C27</formula>
    </cfRule>
    <cfRule type="cellIs" dxfId="10382" priority="2573" operator="greaterThan">
      <formula>$C27</formula>
    </cfRule>
    <cfRule type="cellIs" dxfId="10381" priority="2574" operator="lessThan">
      <formula>$C27</formula>
    </cfRule>
  </conditionalFormatting>
  <conditionalFormatting sqref="D28:E28">
    <cfRule type="expression" dxfId="10380" priority="2571">
      <formula>AND($A28&lt;&gt;"",MOD(ROW(),2))</formula>
    </cfRule>
  </conditionalFormatting>
  <conditionalFormatting sqref="D28">
    <cfRule type="cellIs" dxfId="10379" priority="2568" operator="equal">
      <formula>$C28</formula>
    </cfRule>
    <cfRule type="cellIs" dxfId="10378" priority="2569" operator="greaterThan">
      <formula>$C28</formula>
    </cfRule>
    <cfRule type="cellIs" dxfId="10377" priority="2570" operator="lessThan">
      <formula>$C28</formula>
    </cfRule>
  </conditionalFormatting>
  <conditionalFormatting sqref="D29:E29">
    <cfRule type="expression" dxfId="10376" priority="2567">
      <formula>AND($A29&lt;&gt;"",MOD(ROW(),2))</formula>
    </cfRule>
  </conditionalFormatting>
  <conditionalFormatting sqref="D29">
    <cfRule type="cellIs" dxfId="10375" priority="2564" operator="equal">
      <formula>$C29</formula>
    </cfRule>
    <cfRule type="cellIs" dxfId="10374" priority="2565" operator="greaterThan">
      <formula>$C29</formula>
    </cfRule>
    <cfRule type="cellIs" dxfId="10373" priority="2566" operator="lessThan">
      <formula>$C29</formula>
    </cfRule>
  </conditionalFormatting>
  <conditionalFormatting sqref="D30:E30">
    <cfRule type="expression" dxfId="10372" priority="2563">
      <formula>AND($A30&lt;&gt;"",MOD(ROW(),2))</formula>
    </cfRule>
  </conditionalFormatting>
  <conditionalFormatting sqref="D30">
    <cfRule type="cellIs" dxfId="10371" priority="2560" operator="equal">
      <formula>$C30</formula>
    </cfRule>
    <cfRule type="cellIs" dxfId="10370" priority="2561" operator="greaterThan">
      <formula>$C30</formula>
    </cfRule>
    <cfRule type="cellIs" dxfId="10369" priority="2562" operator="lessThan">
      <formula>$C30</formula>
    </cfRule>
  </conditionalFormatting>
  <conditionalFormatting sqref="D31:E31">
    <cfRule type="expression" dxfId="10368" priority="2559">
      <formula>AND($A31&lt;&gt;"",MOD(ROW(),2))</formula>
    </cfRule>
  </conditionalFormatting>
  <conditionalFormatting sqref="D31">
    <cfRule type="cellIs" dxfId="10367" priority="2556" operator="equal">
      <formula>$C31</formula>
    </cfRule>
    <cfRule type="cellIs" dxfId="10366" priority="2557" operator="greaterThan">
      <formula>$C31</formula>
    </cfRule>
    <cfRule type="cellIs" dxfId="10365" priority="2558" operator="lessThan">
      <formula>$C31</formula>
    </cfRule>
  </conditionalFormatting>
  <conditionalFormatting sqref="D32:E32">
    <cfRule type="expression" dxfId="10364" priority="2555">
      <formula>AND($A32&lt;&gt;"",MOD(ROW(),2))</formula>
    </cfRule>
  </conditionalFormatting>
  <conditionalFormatting sqref="D32">
    <cfRule type="cellIs" dxfId="10363" priority="2552" operator="equal">
      <formula>$C32</formula>
    </cfRule>
    <cfRule type="cellIs" dxfId="10362" priority="2553" operator="greaterThan">
      <formula>$C32</formula>
    </cfRule>
    <cfRule type="cellIs" dxfId="10361" priority="2554" operator="lessThan">
      <formula>$C32</formula>
    </cfRule>
  </conditionalFormatting>
  <conditionalFormatting sqref="D33:E33">
    <cfRule type="expression" dxfId="10360" priority="2551">
      <formula>AND($A33&lt;&gt;"",MOD(ROW(),2))</formula>
    </cfRule>
  </conditionalFormatting>
  <conditionalFormatting sqref="D33">
    <cfRule type="cellIs" dxfId="10359" priority="2548" operator="equal">
      <formula>$C33</formula>
    </cfRule>
    <cfRule type="cellIs" dxfId="10358" priority="2549" operator="greaterThan">
      <formula>$C33</formula>
    </cfRule>
    <cfRule type="cellIs" dxfId="10357" priority="2550" operator="lessThan">
      <formula>$C33</formula>
    </cfRule>
  </conditionalFormatting>
  <conditionalFormatting sqref="D34:E34">
    <cfRule type="expression" dxfId="10356" priority="2547">
      <formula>AND($A34&lt;&gt;"",MOD(ROW(),2))</formula>
    </cfRule>
  </conditionalFormatting>
  <conditionalFormatting sqref="D34">
    <cfRule type="cellIs" dxfId="10355" priority="2544" operator="equal">
      <formula>$C34</formula>
    </cfRule>
    <cfRule type="cellIs" dxfId="10354" priority="2545" operator="greaterThan">
      <formula>$C34</formula>
    </cfRule>
    <cfRule type="cellIs" dxfId="10353" priority="2546" operator="lessThan">
      <formula>$C34</formula>
    </cfRule>
  </conditionalFormatting>
  <conditionalFormatting sqref="D35:E35">
    <cfRule type="expression" dxfId="10352" priority="2543">
      <formula>AND($A35&lt;&gt;"",MOD(ROW(),2))</formula>
    </cfRule>
  </conditionalFormatting>
  <conditionalFormatting sqref="D35">
    <cfRule type="cellIs" dxfId="10351" priority="2540" operator="equal">
      <formula>$C35</formula>
    </cfRule>
    <cfRule type="cellIs" dxfId="10350" priority="2541" operator="greaterThan">
      <formula>$C35</formula>
    </cfRule>
    <cfRule type="cellIs" dxfId="10349" priority="2542" operator="lessThan">
      <formula>$C35</formula>
    </cfRule>
  </conditionalFormatting>
  <conditionalFormatting sqref="D36:E36">
    <cfRule type="expression" dxfId="10348" priority="2539">
      <formula>AND($A36&lt;&gt;"",MOD(ROW(),2))</formula>
    </cfRule>
  </conditionalFormatting>
  <conditionalFormatting sqref="D36">
    <cfRule type="cellIs" dxfId="10347" priority="2536" operator="equal">
      <formula>$C36</formula>
    </cfRule>
    <cfRule type="cellIs" dxfId="10346" priority="2537" operator="greaterThan">
      <formula>$C36</formula>
    </cfRule>
    <cfRule type="cellIs" dxfId="10345" priority="2538" operator="lessThan">
      <formula>$C36</formula>
    </cfRule>
  </conditionalFormatting>
  <conditionalFormatting sqref="D37:E37">
    <cfRule type="expression" dxfId="10344" priority="2535">
      <formula>AND($A37&lt;&gt;"",MOD(ROW(),2))</formula>
    </cfRule>
  </conditionalFormatting>
  <conditionalFormatting sqref="D37">
    <cfRule type="cellIs" dxfId="10343" priority="2532" operator="equal">
      <formula>$C37</formula>
    </cfRule>
    <cfRule type="cellIs" dxfId="10342" priority="2533" operator="greaterThan">
      <formula>$C37</formula>
    </cfRule>
    <cfRule type="cellIs" dxfId="10341" priority="2534" operator="lessThan">
      <formula>$C37</formula>
    </cfRule>
  </conditionalFormatting>
  <conditionalFormatting sqref="D38:E38">
    <cfRule type="expression" dxfId="10340" priority="2531">
      <formula>AND($A38&lt;&gt;"",MOD(ROW(),2))</formula>
    </cfRule>
  </conditionalFormatting>
  <conditionalFormatting sqref="D38">
    <cfRule type="cellIs" dxfId="10339" priority="2528" operator="equal">
      <formula>$C38</formula>
    </cfRule>
    <cfRule type="cellIs" dxfId="10338" priority="2529" operator="greaterThan">
      <formula>$C38</formula>
    </cfRule>
    <cfRule type="cellIs" dxfId="10337" priority="2530" operator="lessThan">
      <formula>$C38</formula>
    </cfRule>
  </conditionalFormatting>
  <conditionalFormatting sqref="D39:E39">
    <cfRule type="expression" dxfId="10336" priority="2527">
      <formula>AND($A39&lt;&gt;"",MOD(ROW(),2))</formula>
    </cfRule>
  </conditionalFormatting>
  <conditionalFormatting sqref="D39">
    <cfRule type="cellIs" dxfId="10335" priority="2524" operator="equal">
      <formula>$C39</formula>
    </cfRule>
    <cfRule type="cellIs" dxfId="10334" priority="2525" operator="greaterThan">
      <formula>$C39</formula>
    </cfRule>
    <cfRule type="cellIs" dxfId="10333" priority="2526" operator="lessThan">
      <formula>$C39</formula>
    </cfRule>
  </conditionalFormatting>
  <conditionalFormatting sqref="D40:E40">
    <cfRule type="expression" dxfId="10332" priority="2523">
      <formula>AND($A40&lt;&gt;"",MOD(ROW(),2))</formula>
    </cfRule>
  </conditionalFormatting>
  <conditionalFormatting sqref="D40">
    <cfRule type="cellIs" dxfId="10331" priority="2520" operator="equal">
      <formula>$C40</formula>
    </cfRule>
    <cfRule type="cellIs" dxfId="10330" priority="2521" operator="greaterThan">
      <formula>$C40</formula>
    </cfRule>
    <cfRule type="cellIs" dxfId="10329" priority="2522" operator="lessThan">
      <formula>$C40</formula>
    </cfRule>
  </conditionalFormatting>
  <conditionalFormatting sqref="D41:E41">
    <cfRule type="expression" dxfId="10328" priority="2519">
      <formula>AND($A41&lt;&gt;"",MOD(ROW(),2))</formula>
    </cfRule>
  </conditionalFormatting>
  <conditionalFormatting sqref="D41">
    <cfRule type="cellIs" dxfId="10327" priority="2516" operator="equal">
      <formula>$C41</formula>
    </cfRule>
    <cfRule type="cellIs" dxfId="10326" priority="2517" operator="greaterThan">
      <formula>$C41</formula>
    </cfRule>
    <cfRule type="cellIs" dxfId="10325" priority="2518" operator="lessThan">
      <formula>$C41</formula>
    </cfRule>
  </conditionalFormatting>
  <conditionalFormatting sqref="D42:E42">
    <cfRule type="expression" dxfId="10324" priority="2515">
      <formula>AND($A42&lt;&gt;"",MOD(ROW(),2))</formula>
    </cfRule>
  </conditionalFormatting>
  <conditionalFormatting sqref="D42">
    <cfRule type="cellIs" dxfId="10323" priority="2512" operator="equal">
      <formula>$C42</formula>
    </cfRule>
    <cfRule type="cellIs" dxfId="10322" priority="2513" operator="greaterThan">
      <formula>$C42</formula>
    </cfRule>
    <cfRule type="cellIs" dxfId="10321" priority="2514" operator="lessThan">
      <formula>$C42</formula>
    </cfRule>
  </conditionalFormatting>
  <conditionalFormatting sqref="D43:E43">
    <cfRule type="expression" dxfId="10320" priority="2511">
      <formula>AND($A43&lt;&gt;"",MOD(ROW(),2))</formula>
    </cfRule>
  </conditionalFormatting>
  <conditionalFormatting sqref="D43">
    <cfRule type="cellIs" dxfId="10319" priority="2508" operator="equal">
      <formula>$C43</formula>
    </cfRule>
    <cfRule type="cellIs" dxfId="10318" priority="2509" operator="greaterThan">
      <formula>$C43</formula>
    </cfRule>
    <cfRule type="cellIs" dxfId="10317" priority="2510" operator="lessThan">
      <formula>$C43</formula>
    </cfRule>
  </conditionalFormatting>
  <conditionalFormatting sqref="D44:E44">
    <cfRule type="expression" dxfId="10316" priority="2507">
      <formula>AND($A44&lt;&gt;"",MOD(ROW(),2))</formula>
    </cfRule>
  </conditionalFormatting>
  <conditionalFormatting sqref="D44">
    <cfRule type="cellIs" dxfId="10315" priority="2504" operator="equal">
      <formula>$C44</formula>
    </cfRule>
    <cfRule type="cellIs" dxfId="10314" priority="2505" operator="greaterThan">
      <formula>$C44</formula>
    </cfRule>
    <cfRule type="cellIs" dxfId="10313" priority="2506" operator="lessThan">
      <formula>$C44</formula>
    </cfRule>
  </conditionalFormatting>
  <conditionalFormatting sqref="D45:E45">
    <cfRule type="expression" dxfId="10312" priority="2503">
      <formula>AND($A45&lt;&gt;"",MOD(ROW(),2))</formula>
    </cfRule>
  </conditionalFormatting>
  <conditionalFormatting sqref="D45">
    <cfRule type="cellIs" dxfId="10311" priority="2500" operator="equal">
      <formula>$C45</formula>
    </cfRule>
    <cfRule type="cellIs" dxfId="10310" priority="2501" operator="greaterThan">
      <formula>$C45</formula>
    </cfRule>
    <cfRule type="cellIs" dxfId="10309" priority="2502" operator="lessThan">
      <formula>$C45</formula>
    </cfRule>
  </conditionalFormatting>
  <conditionalFormatting sqref="D46:E46">
    <cfRule type="expression" dxfId="10308" priority="2499">
      <formula>AND($A46&lt;&gt;"",MOD(ROW(),2))</formula>
    </cfRule>
  </conditionalFormatting>
  <conditionalFormatting sqref="D46">
    <cfRule type="cellIs" dxfId="10307" priority="2496" operator="equal">
      <formula>$C46</formula>
    </cfRule>
    <cfRule type="cellIs" dxfId="10306" priority="2497" operator="greaterThan">
      <formula>$C46</formula>
    </cfRule>
    <cfRule type="cellIs" dxfId="10305" priority="2498" operator="lessThan">
      <formula>$C46</formula>
    </cfRule>
  </conditionalFormatting>
  <conditionalFormatting sqref="D47:E47">
    <cfRule type="expression" dxfId="10304" priority="2495">
      <formula>AND($A47&lt;&gt;"",MOD(ROW(),2))</formula>
    </cfRule>
  </conditionalFormatting>
  <conditionalFormatting sqref="D47">
    <cfRule type="cellIs" dxfId="10303" priority="2492" operator="equal">
      <formula>$C47</formula>
    </cfRule>
    <cfRule type="cellIs" dxfId="10302" priority="2493" operator="greaterThan">
      <formula>$C47</formula>
    </cfRule>
    <cfRule type="cellIs" dxfId="10301" priority="2494" operator="lessThan">
      <formula>$C47</formula>
    </cfRule>
  </conditionalFormatting>
  <conditionalFormatting sqref="D48:E48">
    <cfRule type="expression" dxfId="10300" priority="2491">
      <formula>AND($A48&lt;&gt;"",MOD(ROW(),2))</formula>
    </cfRule>
  </conditionalFormatting>
  <conditionalFormatting sqref="D48">
    <cfRule type="cellIs" dxfId="10299" priority="2488" operator="equal">
      <formula>$C48</formula>
    </cfRule>
    <cfRule type="cellIs" dxfId="10298" priority="2489" operator="greaterThan">
      <formula>$C48</formula>
    </cfRule>
    <cfRule type="cellIs" dxfId="10297" priority="2490" operator="lessThan">
      <formula>$C48</formula>
    </cfRule>
  </conditionalFormatting>
  <conditionalFormatting sqref="D49:E49">
    <cfRule type="expression" dxfId="10296" priority="2487">
      <formula>AND($A49&lt;&gt;"",MOD(ROW(),2))</formula>
    </cfRule>
  </conditionalFormatting>
  <conditionalFormatting sqref="D49">
    <cfRule type="cellIs" dxfId="10295" priority="2484" operator="equal">
      <formula>$C49</formula>
    </cfRule>
    <cfRule type="cellIs" dxfId="10294" priority="2485" operator="greaterThan">
      <formula>$C49</formula>
    </cfRule>
    <cfRule type="cellIs" dxfId="10293" priority="2486" operator="lessThan">
      <formula>$C49</formula>
    </cfRule>
  </conditionalFormatting>
  <conditionalFormatting sqref="D27:E27">
    <cfRule type="expression" dxfId="10292" priority="2483">
      <formula>AND($A27&lt;&gt;"",MOD(ROW(),2))</formula>
    </cfRule>
  </conditionalFormatting>
  <conditionalFormatting sqref="D27">
    <cfRule type="cellIs" dxfId="10291" priority="2480" operator="equal">
      <formula>$C27</formula>
    </cfRule>
    <cfRule type="cellIs" dxfId="10290" priority="2481" operator="greaterThan">
      <formula>$C27</formula>
    </cfRule>
    <cfRule type="cellIs" dxfId="10289" priority="2482" operator="lessThan">
      <formula>$C27</formula>
    </cfRule>
  </conditionalFormatting>
  <conditionalFormatting sqref="D28:E28">
    <cfRule type="expression" dxfId="10288" priority="2479">
      <formula>AND($A28&lt;&gt;"",MOD(ROW(),2))</formula>
    </cfRule>
  </conditionalFormatting>
  <conditionalFormatting sqref="D28">
    <cfRule type="cellIs" dxfId="10287" priority="2476" operator="equal">
      <formula>$C28</formula>
    </cfRule>
    <cfRule type="cellIs" dxfId="10286" priority="2477" operator="greaterThan">
      <formula>$C28</formula>
    </cfRule>
    <cfRule type="cellIs" dxfId="10285" priority="2478" operator="lessThan">
      <formula>$C28</formula>
    </cfRule>
  </conditionalFormatting>
  <conditionalFormatting sqref="D29:E29">
    <cfRule type="expression" dxfId="10284" priority="2475">
      <formula>AND($A29&lt;&gt;"",MOD(ROW(),2))</formula>
    </cfRule>
  </conditionalFormatting>
  <conditionalFormatting sqref="D29">
    <cfRule type="cellIs" dxfId="10283" priority="2472" operator="equal">
      <formula>$C29</formula>
    </cfRule>
    <cfRule type="cellIs" dxfId="10282" priority="2473" operator="greaterThan">
      <formula>$C29</formula>
    </cfRule>
    <cfRule type="cellIs" dxfId="10281" priority="2474" operator="lessThan">
      <formula>$C29</formula>
    </cfRule>
  </conditionalFormatting>
  <conditionalFormatting sqref="D30:E30">
    <cfRule type="expression" dxfId="10280" priority="2471">
      <formula>AND($A30&lt;&gt;"",MOD(ROW(),2))</formula>
    </cfRule>
  </conditionalFormatting>
  <conditionalFormatting sqref="D30">
    <cfRule type="cellIs" dxfId="10279" priority="2468" operator="equal">
      <formula>$C30</formula>
    </cfRule>
    <cfRule type="cellIs" dxfId="10278" priority="2469" operator="greaterThan">
      <formula>$C30</formula>
    </cfRule>
    <cfRule type="cellIs" dxfId="10277" priority="2470" operator="lessThan">
      <formula>$C30</formula>
    </cfRule>
  </conditionalFormatting>
  <conditionalFormatting sqref="D31:E31">
    <cfRule type="expression" dxfId="10276" priority="2467">
      <formula>AND($A31&lt;&gt;"",MOD(ROW(),2))</formula>
    </cfRule>
  </conditionalFormatting>
  <conditionalFormatting sqref="D31">
    <cfRule type="cellIs" dxfId="10275" priority="2464" operator="equal">
      <formula>$C31</formula>
    </cfRule>
    <cfRule type="cellIs" dxfId="10274" priority="2465" operator="greaterThan">
      <formula>$C31</formula>
    </cfRule>
    <cfRule type="cellIs" dxfId="10273" priority="2466" operator="lessThan">
      <formula>$C31</formula>
    </cfRule>
  </conditionalFormatting>
  <conditionalFormatting sqref="D32:E32">
    <cfRule type="expression" dxfId="10272" priority="2463">
      <formula>AND($A32&lt;&gt;"",MOD(ROW(),2))</formula>
    </cfRule>
  </conditionalFormatting>
  <conditionalFormatting sqref="D32">
    <cfRule type="cellIs" dxfId="10271" priority="2460" operator="equal">
      <formula>$C32</formula>
    </cfRule>
    <cfRule type="cellIs" dxfId="10270" priority="2461" operator="greaterThan">
      <formula>$C32</formula>
    </cfRule>
    <cfRule type="cellIs" dxfId="10269" priority="2462" operator="lessThan">
      <formula>$C32</formula>
    </cfRule>
  </conditionalFormatting>
  <conditionalFormatting sqref="D33:E33">
    <cfRule type="expression" dxfId="10268" priority="2459">
      <formula>AND($A33&lt;&gt;"",MOD(ROW(),2))</formula>
    </cfRule>
  </conditionalFormatting>
  <conditionalFormatting sqref="D33">
    <cfRule type="cellIs" dxfId="10267" priority="2456" operator="equal">
      <formula>$C33</formula>
    </cfRule>
    <cfRule type="cellIs" dxfId="10266" priority="2457" operator="greaterThan">
      <formula>$C33</formula>
    </cfRule>
    <cfRule type="cellIs" dxfId="10265" priority="2458" operator="lessThan">
      <formula>$C33</formula>
    </cfRule>
  </conditionalFormatting>
  <conditionalFormatting sqref="D34:E34">
    <cfRule type="expression" dxfId="10264" priority="2455">
      <formula>AND($A34&lt;&gt;"",MOD(ROW(),2))</formula>
    </cfRule>
  </conditionalFormatting>
  <conditionalFormatting sqref="D34">
    <cfRule type="cellIs" dxfId="10263" priority="2452" operator="equal">
      <formula>$C34</formula>
    </cfRule>
    <cfRule type="cellIs" dxfId="10262" priority="2453" operator="greaterThan">
      <formula>$C34</formula>
    </cfRule>
    <cfRule type="cellIs" dxfId="10261" priority="2454" operator="lessThan">
      <formula>$C34</formula>
    </cfRule>
  </conditionalFormatting>
  <conditionalFormatting sqref="D35:E35">
    <cfRule type="expression" dxfId="10260" priority="2451">
      <formula>AND($A35&lt;&gt;"",MOD(ROW(),2))</formula>
    </cfRule>
  </conditionalFormatting>
  <conditionalFormatting sqref="D35">
    <cfRule type="cellIs" dxfId="10259" priority="2448" operator="equal">
      <formula>$C35</formula>
    </cfRule>
    <cfRule type="cellIs" dxfId="10258" priority="2449" operator="greaterThan">
      <formula>$C35</formula>
    </cfRule>
    <cfRule type="cellIs" dxfId="10257" priority="2450" operator="lessThan">
      <formula>$C35</formula>
    </cfRule>
  </conditionalFormatting>
  <conditionalFormatting sqref="D36:E36">
    <cfRule type="expression" dxfId="10256" priority="2447">
      <formula>AND($A36&lt;&gt;"",MOD(ROW(),2))</formula>
    </cfRule>
  </conditionalFormatting>
  <conditionalFormatting sqref="D36">
    <cfRule type="cellIs" dxfId="10255" priority="2444" operator="equal">
      <formula>$C36</formula>
    </cfRule>
    <cfRule type="cellIs" dxfId="10254" priority="2445" operator="greaterThan">
      <formula>$C36</formula>
    </cfRule>
    <cfRule type="cellIs" dxfId="10253" priority="2446" operator="lessThan">
      <formula>$C36</formula>
    </cfRule>
  </conditionalFormatting>
  <conditionalFormatting sqref="D37:E37">
    <cfRule type="expression" dxfId="10252" priority="2443">
      <formula>AND($A37&lt;&gt;"",MOD(ROW(),2))</formula>
    </cfRule>
  </conditionalFormatting>
  <conditionalFormatting sqref="D37">
    <cfRule type="cellIs" dxfId="10251" priority="2440" operator="equal">
      <formula>$C37</formula>
    </cfRule>
    <cfRule type="cellIs" dxfId="10250" priority="2441" operator="greaterThan">
      <formula>$C37</formula>
    </cfRule>
    <cfRule type="cellIs" dxfId="10249" priority="2442" operator="lessThan">
      <formula>$C37</formula>
    </cfRule>
  </conditionalFormatting>
  <conditionalFormatting sqref="D38:E38">
    <cfRule type="expression" dxfId="10248" priority="2439">
      <formula>AND($A38&lt;&gt;"",MOD(ROW(),2))</formula>
    </cfRule>
  </conditionalFormatting>
  <conditionalFormatting sqref="D38">
    <cfRule type="cellIs" dxfId="10247" priority="2436" operator="equal">
      <formula>$C38</formula>
    </cfRule>
    <cfRule type="cellIs" dxfId="10246" priority="2437" operator="greaterThan">
      <formula>$C38</formula>
    </cfRule>
    <cfRule type="cellIs" dxfId="10245" priority="2438" operator="lessThan">
      <formula>$C38</formula>
    </cfRule>
  </conditionalFormatting>
  <conditionalFormatting sqref="D39:E39">
    <cfRule type="expression" dxfId="10244" priority="2435">
      <formula>AND($A39&lt;&gt;"",MOD(ROW(),2))</formula>
    </cfRule>
  </conditionalFormatting>
  <conditionalFormatting sqref="D39">
    <cfRule type="cellIs" dxfId="10243" priority="2432" operator="equal">
      <formula>$C39</formula>
    </cfRule>
    <cfRule type="cellIs" dxfId="10242" priority="2433" operator="greaterThan">
      <formula>$C39</formula>
    </cfRule>
    <cfRule type="cellIs" dxfId="10241" priority="2434" operator="lessThan">
      <formula>$C39</formula>
    </cfRule>
  </conditionalFormatting>
  <conditionalFormatting sqref="D40:E40">
    <cfRule type="expression" dxfId="10240" priority="2431">
      <formula>AND($A40&lt;&gt;"",MOD(ROW(),2))</formula>
    </cfRule>
  </conditionalFormatting>
  <conditionalFormatting sqref="D40">
    <cfRule type="cellIs" dxfId="10239" priority="2428" operator="equal">
      <formula>$C40</formula>
    </cfRule>
    <cfRule type="cellIs" dxfId="10238" priority="2429" operator="greaterThan">
      <formula>$C40</formula>
    </cfRule>
    <cfRule type="cellIs" dxfId="10237" priority="2430" operator="lessThan">
      <formula>$C40</formula>
    </cfRule>
  </conditionalFormatting>
  <conditionalFormatting sqref="D41:E41">
    <cfRule type="expression" dxfId="10236" priority="2427">
      <formula>AND($A41&lt;&gt;"",MOD(ROW(),2))</formula>
    </cfRule>
  </conditionalFormatting>
  <conditionalFormatting sqref="D41">
    <cfRule type="cellIs" dxfId="10235" priority="2424" operator="equal">
      <formula>$C41</formula>
    </cfRule>
    <cfRule type="cellIs" dxfId="10234" priority="2425" operator="greaterThan">
      <formula>$C41</formula>
    </cfRule>
    <cfRule type="cellIs" dxfId="10233" priority="2426" operator="lessThan">
      <formula>$C41</formula>
    </cfRule>
  </conditionalFormatting>
  <conditionalFormatting sqref="D42:E42">
    <cfRule type="expression" dxfId="10232" priority="2423">
      <formula>AND($A42&lt;&gt;"",MOD(ROW(),2))</formula>
    </cfRule>
  </conditionalFormatting>
  <conditionalFormatting sqref="D42">
    <cfRule type="cellIs" dxfId="10231" priority="2420" operator="equal">
      <formula>$C42</formula>
    </cfRule>
    <cfRule type="cellIs" dxfId="10230" priority="2421" operator="greaterThan">
      <formula>$C42</formula>
    </cfRule>
    <cfRule type="cellIs" dxfId="10229" priority="2422" operator="lessThan">
      <formula>$C42</formula>
    </cfRule>
  </conditionalFormatting>
  <conditionalFormatting sqref="D43:E43">
    <cfRule type="expression" dxfId="10228" priority="2419">
      <formula>AND($A43&lt;&gt;"",MOD(ROW(),2))</formula>
    </cfRule>
  </conditionalFormatting>
  <conditionalFormatting sqref="D43">
    <cfRule type="cellIs" dxfId="10227" priority="2416" operator="equal">
      <formula>$C43</formula>
    </cfRule>
    <cfRule type="cellIs" dxfId="10226" priority="2417" operator="greaterThan">
      <formula>$C43</formula>
    </cfRule>
    <cfRule type="cellIs" dxfId="10225" priority="2418" operator="lessThan">
      <formula>$C43</formula>
    </cfRule>
  </conditionalFormatting>
  <conditionalFormatting sqref="D44:E44">
    <cfRule type="expression" dxfId="10224" priority="2415">
      <formula>AND($A44&lt;&gt;"",MOD(ROW(),2))</formula>
    </cfRule>
  </conditionalFormatting>
  <conditionalFormatting sqref="D44">
    <cfRule type="cellIs" dxfId="10223" priority="2412" operator="equal">
      <formula>$C44</formula>
    </cfRule>
    <cfRule type="cellIs" dxfId="10222" priority="2413" operator="greaterThan">
      <formula>$C44</formula>
    </cfRule>
    <cfRule type="cellIs" dxfId="10221" priority="2414" operator="lessThan">
      <formula>$C44</formula>
    </cfRule>
  </conditionalFormatting>
  <conditionalFormatting sqref="D45:E45">
    <cfRule type="expression" dxfId="10220" priority="2411">
      <formula>AND($A45&lt;&gt;"",MOD(ROW(),2))</formula>
    </cfRule>
  </conditionalFormatting>
  <conditionalFormatting sqref="D45">
    <cfRule type="cellIs" dxfId="10219" priority="2408" operator="equal">
      <formula>$C45</formula>
    </cfRule>
    <cfRule type="cellIs" dxfId="10218" priority="2409" operator="greaterThan">
      <formula>$C45</formula>
    </cfRule>
    <cfRule type="cellIs" dxfId="10217" priority="2410" operator="lessThan">
      <formula>$C45</formula>
    </cfRule>
  </conditionalFormatting>
  <conditionalFormatting sqref="D46:E46">
    <cfRule type="expression" dxfId="10216" priority="2407">
      <formula>AND($A46&lt;&gt;"",MOD(ROW(),2))</formula>
    </cfRule>
  </conditionalFormatting>
  <conditionalFormatting sqref="D46">
    <cfRule type="cellIs" dxfId="10215" priority="2404" operator="equal">
      <formula>$C46</formula>
    </cfRule>
    <cfRule type="cellIs" dxfId="10214" priority="2405" operator="greaterThan">
      <formula>$C46</formula>
    </cfRule>
    <cfRule type="cellIs" dxfId="10213" priority="2406" operator="lessThan">
      <formula>$C46</formula>
    </cfRule>
  </conditionalFormatting>
  <conditionalFormatting sqref="D47:E47">
    <cfRule type="expression" dxfId="10212" priority="2403">
      <formula>AND($A47&lt;&gt;"",MOD(ROW(),2))</formula>
    </cfRule>
  </conditionalFormatting>
  <conditionalFormatting sqref="D47">
    <cfRule type="cellIs" dxfId="10211" priority="2400" operator="equal">
      <formula>$C47</formula>
    </cfRule>
    <cfRule type="cellIs" dxfId="10210" priority="2401" operator="greaterThan">
      <formula>$C47</formula>
    </cfRule>
    <cfRule type="cellIs" dxfId="10209" priority="2402" operator="lessThan">
      <formula>$C47</formula>
    </cfRule>
  </conditionalFormatting>
  <conditionalFormatting sqref="D48:E48">
    <cfRule type="expression" dxfId="10208" priority="2399">
      <formula>AND($A48&lt;&gt;"",MOD(ROW(),2))</formula>
    </cfRule>
  </conditionalFormatting>
  <conditionalFormatting sqref="D48">
    <cfRule type="cellIs" dxfId="10207" priority="2396" operator="equal">
      <formula>$C48</formula>
    </cfRule>
    <cfRule type="cellIs" dxfId="10206" priority="2397" operator="greaterThan">
      <formula>$C48</formula>
    </cfRule>
    <cfRule type="cellIs" dxfId="10205" priority="2398" operator="lessThan">
      <formula>$C48</formula>
    </cfRule>
  </conditionalFormatting>
  <conditionalFormatting sqref="D49:E49">
    <cfRule type="expression" dxfId="10204" priority="2395">
      <formula>AND($A49&lt;&gt;"",MOD(ROW(),2))</formula>
    </cfRule>
  </conditionalFormatting>
  <conditionalFormatting sqref="D49">
    <cfRule type="cellIs" dxfId="10203" priority="2392" operator="equal">
      <formula>$C49</formula>
    </cfRule>
    <cfRule type="cellIs" dxfId="10202" priority="2393" operator="greaterThan">
      <formula>$C49</formula>
    </cfRule>
    <cfRule type="cellIs" dxfId="10201" priority="2394" operator="lessThan">
      <formula>$C49</formula>
    </cfRule>
  </conditionalFormatting>
  <conditionalFormatting sqref="D27:E27">
    <cfRule type="expression" dxfId="10200" priority="2391">
      <formula>AND($A27&lt;&gt;"",MOD(ROW(),2))</formula>
    </cfRule>
  </conditionalFormatting>
  <conditionalFormatting sqref="D27">
    <cfRule type="cellIs" dxfId="10199" priority="2388" operator="equal">
      <formula>$C27</formula>
    </cfRule>
    <cfRule type="cellIs" dxfId="10198" priority="2389" operator="greaterThan">
      <formula>$C27</formula>
    </cfRule>
    <cfRule type="cellIs" dxfId="10197" priority="2390" operator="lessThan">
      <formula>$C27</formula>
    </cfRule>
  </conditionalFormatting>
  <conditionalFormatting sqref="D28:E28">
    <cfRule type="expression" dxfId="10196" priority="2387">
      <formula>AND($A28&lt;&gt;"",MOD(ROW(),2))</formula>
    </cfRule>
  </conditionalFormatting>
  <conditionalFormatting sqref="D28">
    <cfRule type="cellIs" dxfId="10195" priority="2384" operator="equal">
      <formula>$C28</formula>
    </cfRule>
    <cfRule type="cellIs" dxfId="10194" priority="2385" operator="greaterThan">
      <formula>$C28</formula>
    </cfRule>
    <cfRule type="cellIs" dxfId="10193" priority="2386" operator="lessThan">
      <formula>$C28</formula>
    </cfRule>
  </conditionalFormatting>
  <conditionalFormatting sqref="D29:E29">
    <cfRule type="expression" dxfId="10192" priority="2383">
      <formula>AND($A29&lt;&gt;"",MOD(ROW(),2))</formula>
    </cfRule>
  </conditionalFormatting>
  <conditionalFormatting sqref="D29">
    <cfRule type="cellIs" dxfId="10191" priority="2380" operator="equal">
      <formula>$C29</formula>
    </cfRule>
    <cfRule type="cellIs" dxfId="10190" priority="2381" operator="greaterThan">
      <formula>$C29</formula>
    </cfRule>
    <cfRule type="cellIs" dxfId="10189" priority="2382" operator="lessThan">
      <formula>$C29</formula>
    </cfRule>
  </conditionalFormatting>
  <conditionalFormatting sqref="D30:E30">
    <cfRule type="expression" dxfId="10188" priority="2379">
      <formula>AND($A30&lt;&gt;"",MOD(ROW(),2))</formula>
    </cfRule>
  </conditionalFormatting>
  <conditionalFormatting sqref="D30">
    <cfRule type="cellIs" dxfId="10187" priority="2376" operator="equal">
      <formula>$C30</formula>
    </cfRule>
    <cfRule type="cellIs" dxfId="10186" priority="2377" operator="greaterThan">
      <formula>$C30</formula>
    </cfRule>
    <cfRule type="cellIs" dxfId="10185" priority="2378" operator="lessThan">
      <formula>$C30</formula>
    </cfRule>
  </conditionalFormatting>
  <conditionalFormatting sqref="D31:E31">
    <cfRule type="expression" dxfId="10184" priority="2375">
      <formula>AND($A31&lt;&gt;"",MOD(ROW(),2))</formula>
    </cfRule>
  </conditionalFormatting>
  <conditionalFormatting sqref="D31">
    <cfRule type="cellIs" dxfId="10183" priority="2372" operator="equal">
      <formula>$C31</formula>
    </cfRule>
    <cfRule type="cellIs" dxfId="10182" priority="2373" operator="greaterThan">
      <formula>$C31</formula>
    </cfRule>
    <cfRule type="cellIs" dxfId="10181" priority="2374" operator="lessThan">
      <formula>$C31</formula>
    </cfRule>
  </conditionalFormatting>
  <conditionalFormatting sqref="D32:E32">
    <cfRule type="expression" dxfId="10180" priority="2371">
      <formula>AND($A32&lt;&gt;"",MOD(ROW(),2))</formula>
    </cfRule>
  </conditionalFormatting>
  <conditionalFormatting sqref="D32">
    <cfRule type="cellIs" dxfId="10179" priority="2368" operator="equal">
      <formula>$C32</formula>
    </cfRule>
    <cfRule type="cellIs" dxfId="10178" priority="2369" operator="greaterThan">
      <formula>$C32</formula>
    </cfRule>
    <cfRule type="cellIs" dxfId="10177" priority="2370" operator="lessThan">
      <formula>$C32</formula>
    </cfRule>
  </conditionalFormatting>
  <conditionalFormatting sqref="D33:E33">
    <cfRule type="expression" dxfId="10176" priority="2367">
      <formula>AND($A33&lt;&gt;"",MOD(ROW(),2))</formula>
    </cfRule>
  </conditionalFormatting>
  <conditionalFormatting sqref="D33">
    <cfRule type="cellIs" dxfId="10175" priority="2364" operator="equal">
      <formula>$C33</formula>
    </cfRule>
    <cfRule type="cellIs" dxfId="10174" priority="2365" operator="greaterThan">
      <formula>$C33</formula>
    </cfRule>
    <cfRule type="cellIs" dxfId="10173" priority="2366" operator="lessThan">
      <formula>$C33</formula>
    </cfRule>
  </conditionalFormatting>
  <conditionalFormatting sqref="D34:E34">
    <cfRule type="expression" dxfId="10172" priority="2363">
      <formula>AND($A34&lt;&gt;"",MOD(ROW(),2))</formula>
    </cfRule>
  </conditionalFormatting>
  <conditionalFormatting sqref="D34">
    <cfRule type="cellIs" dxfId="10171" priority="2360" operator="equal">
      <formula>$C34</formula>
    </cfRule>
    <cfRule type="cellIs" dxfId="10170" priority="2361" operator="greaterThan">
      <formula>$C34</formula>
    </cfRule>
    <cfRule type="cellIs" dxfId="10169" priority="2362" operator="lessThan">
      <formula>$C34</formula>
    </cfRule>
  </conditionalFormatting>
  <conditionalFormatting sqref="D35:E35">
    <cfRule type="expression" dxfId="10168" priority="2359">
      <formula>AND($A35&lt;&gt;"",MOD(ROW(),2))</formula>
    </cfRule>
  </conditionalFormatting>
  <conditionalFormatting sqref="D35">
    <cfRule type="cellIs" dxfId="10167" priority="2356" operator="equal">
      <formula>$C35</formula>
    </cfRule>
    <cfRule type="cellIs" dxfId="10166" priority="2357" operator="greaterThan">
      <formula>$C35</formula>
    </cfRule>
    <cfRule type="cellIs" dxfId="10165" priority="2358" operator="lessThan">
      <formula>$C35</formula>
    </cfRule>
  </conditionalFormatting>
  <conditionalFormatting sqref="D36:E36">
    <cfRule type="expression" dxfId="10164" priority="2355">
      <formula>AND($A36&lt;&gt;"",MOD(ROW(),2))</formula>
    </cfRule>
  </conditionalFormatting>
  <conditionalFormatting sqref="D36">
    <cfRule type="cellIs" dxfId="10163" priority="2352" operator="equal">
      <formula>$C36</formula>
    </cfRule>
    <cfRule type="cellIs" dxfId="10162" priority="2353" operator="greaterThan">
      <formula>$C36</formula>
    </cfRule>
    <cfRule type="cellIs" dxfId="10161" priority="2354" operator="lessThan">
      <formula>$C36</formula>
    </cfRule>
  </conditionalFormatting>
  <conditionalFormatting sqref="D37:E37">
    <cfRule type="expression" dxfId="10160" priority="2351">
      <formula>AND($A37&lt;&gt;"",MOD(ROW(),2))</formula>
    </cfRule>
  </conditionalFormatting>
  <conditionalFormatting sqref="D37">
    <cfRule type="cellIs" dxfId="10159" priority="2348" operator="equal">
      <formula>$C37</formula>
    </cfRule>
    <cfRule type="cellIs" dxfId="10158" priority="2349" operator="greaterThan">
      <formula>$C37</formula>
    </cfRule>
    <cfRule type="cellIs" dxfId="10157" priority="2350" operator="lessThan">
      <formula>$C37</formula>
    </cfRule>
  </conditionalFormatting>
  <conditionalFormatting sqref="D38:E38">
    <cfRule type="expression" dxfId="10156" priority="2347">
      <formula>AND($A38&lt;&gt;"",MOD(ROW(),2))</formula>
    </cfRule>
  </conditionalFormatting>
  <conditionalFormatting sqref="D38">
    <cfRule type="cellIs" dxfId="10155" priority="2344" operator="equal">
      <formula>$C38</formula>
    </cfRule>
    <cfRule type="cellIs" dxfId="10154" priority="2345" operator="greaterThan">
      <formula>$C38</formula>
    </cfRule>
    <cfRule type="cellIs" dxfId="10153" priority="2346" operator="lessThan">
      <formula>$C38</formula>
    </cfRule>
  </conditionalFormatting>
  <conditionalFormatting sqref="D39:E39">
    <cfRule type="expression" dxfId="10152" priority="2343">
      <formula>AND($A39&lt;&gt;"",MOD(ROW(),2))</formula>
    </cfRule>
  </conditionalFormatting>
  <conditionalFormatting sqref="D39">
    <cfRule type="cellIs" dxfId="10151" priority="2340" operator="equal">
      <formula>$C39</formula>
    </cfRule>
    <cfRule type="cellIs" dxfId="10150" priority="2341" operator="greaterThan">
      <formula>$C39</formula>
    </cfRule>
    <cfRule type="cellIs" dxfId="10149" priority="2342" operator="lessThan">
      <formula>$C39</formula>
    </cfRule>
  </conditionalFormatting>
  <conditionalFormatting sqref="D40:E40">
    <cfRule type="expression" dxfId="10148" priority="2339">
      <formula>AND($A40&lt;&gt;"",MOD(ROW(),2))</formula>
    </cfRule>
  </conditionalFormatting>
  <conditionalFormatting sqref="D40">
    <cfRule type="cellIs" dxfId="10147" priority="2336" operator="equal">
      <formula>$C40</formula>
    </cfRule>
    <cfRule type="cellIs" dxfId="10146" priority="2337" operator="greaterThan">
      <formula>$C40</formula>
    </cfRule>
    <cfRule type="cellIs" dxfId="10145" priority="2338" operator="lessThan">
      <formula>$C40</formula>
    </cfRule>
  </conditionalFormatting>
  <conditionalFormatting sqref="D41:E41">
    <cfRule type="expression" dxfId="10144" priority="2335">
      <formula>AND($A41&lt;&gt;"",MOD(ROW(),2))</formula>
    </cfRule>
  </conditionalFormatting>
  <conditionalFormatting sqref="D41">
    <cfRule type="cellIs" dxfId="10143" priority="2332" operator="equal">
      <formula>$C41</formula>
    </cfRule>
    <cfRule type="cellIs" dxfId="10142" priority="2333" operator="greaterThan">
      <formula>$C41</formula>
    </cfRule>
    <cfRule type="cellIs" dxfId="10141" priority="2334" operator="lessThan">
      <formula>$C41</formula>
    </cfRule>
  </conditionalFormatting>
  <conditionalFormatting sqref="D42:E42">
    <cfRule type="expression" dxfId="10140" priority="2331">
      <formula>AND($A42&lt;&gt;"",MOD(ROW(),2))</formula>
    </cfRule>
  </conditionalFormatting>
  <conditionalFormatting sqref="D42">
    <cfRule type="cellIs" dxfId="10139" priority="2328" operator="equal">
      <formula>$C42</formula>
    </cfRule>
    <cfRule type="cellIs" dxfId="10138" priority="2329" operator="greaterThan">
      <formula>$C42</formula>
    </cfRule>
    <cfRule type="cellIs" dxfId="10137" priority="2330" operator="lessThan">
      <formula>$C42</formula>
    </cfRule>
  </conditionalFormatting>
  <conditionalFormatting sqref="D43:E43">
    <cfRule type="expression" dxfId="10136" priority="2327">
      <formula>AND($A43&lt;&gt;"",MOD(ROW(),2))</formula>
    </cfRule>
  </conditionalFormatting>
  <conditionalFormatting sqref="D43">
    <cfRule type="cellIs" dxfId="10135" priority="2324" operator="equal">
      <formula>$C43</formula>
    </cfRule>
    <cfRule type="cellIs" dxfId="10134" priority="2325" operator="greaterThan">
      <formula>$C43</formula>
    </cfRule>
    <cfRule type="cellIs" dxfId="10133" priority="2326" operator="lessThan">
      <formula>$C43</formula>
    </cfRule>
  </conditionalFormatting>
  <conditionalFormatting sqref="D44:E44">
    <cfRule type="expression" dxfId="10132" priority="2323">
      <formula>AND($A44&lt;&gt;"",MOD(ROW(),2))</formula>
    </cfRule>
  </conditionalFormatting>
  <conditionalFormatting sqref="D44">
    <cfRule type="cellIs" dxfId="10131" priority="2320" operator="equal">
      <formula>$C44</formula>
    </cfRule>
    <cfRule type="cellIs" dxfId="10130" priority="2321" operator="greaterThan">
      <formula>$C44</formula>
    </cfRule>
    <cfRule type="cellIs" dxfId="10129" priority="2322" operator="lessThan">
      <formula>$C44</formula>
    </cfRule>
  </conditionalFormatting>
  <conditionalFormatting sqref="D45:E45">
    <cfRule type="expression" dxfId="10128" priority="2319">
      <formula>AND($A45&lt;&gt;"",MOD(ROW(),2))</formula>
    </cfRule>
  </conditionalFormatting>
  <conditionalFormatting sqref="D45">
    <cfRule type="cellIs" dxfId="10127" priority="2316" operator="equal">
      <formula>$C45</formula>
    </cfRule>
    <cfRule type="cellIs" dxfId="10126" priority="2317" operator="greaterThan">
      <formula>$C45</formula>
    </cfRule>
    <cfRule type="cellIs" dxfId="10125" priority="2318" operator="lessThan">
      <formula>$C45</formula>
    </cfRule>
  </conditionalFormatting>
  <conditionalFormatting sqref="D46:E46">
    <cfRule type="expression" dxfId="10124" priority="2315">
      <formula>AND($A46&lt;&gt;"",MOD(ROW(),2))</formula>
    </cfRule>
  </conditionalFormatting>
  <conditionalFormatting sqref="D46">
    <cfRule type="cellIs" dxfId="10123" priority="2312" operator="equal">
      <formula>$C46</formula>
    </cfRule>
    <cfRule type="cellIs" dxfId="10122" priority="2313" operator="greaterThan">
      <formula>$C46</formula>
    </cfRule>
    <cfRule type="cellIs" dxfId="10121" priority="2314" operator="lessThan">
      <formula>$C46</formula>
    </cfRule>
  </conditionalFormatting>
  <conditionalFormatting sqref="D47:E47">
    <cfRule type="expression" dxfId="10120" priority="2311">
      <formula>AND($A47&lt;&gt;"",MOD(ROW(),2))</formula>
    </cfRule>
  </conditionalFormatting>
  <conditionalFormatting sqref="D47">
    <cfRule type="cellIs" dxfId="10119" priority="2308" operator="equal">
      <formula>$C47</formula>
    </cfRule>
    <cfRule type="cellIs" dxfId="10118" priority="2309" operator="greaterThan">
      <formula>$C47</formula>
    </cfRule>
    <cfRule type="cellIs" dxfId="10117" priority="2310" operator="lessThan">
      <formula>$C47</formula>
    </cfRule>
  </conditionalFormatting>
  <conditionalFormatting sqref="D48:E48">
    <cfRule type="expression" dxfId="10116" priority="2307">
      <formula>AND($A48&lt;&gt;"",MOD(ROW(),2))</formula>
    </cfRule>
  </conditionalFormatting>
  <conditionalFormatting sqref="D48">
    <cfRule type="cellIs" dxfId="10115" priority="2304" operator="equal">
      <formula>$C48</formula>
    </cfRule>
    <cfRule type="cellIs" dxfId="10114" priority="2305" operator="greaterThan">
      <formula>$C48</formula>
    </cfRule>
    <cfRule type="cellIs" dxfId="10113" priority="2306" operator="lessThan">
      <formula>$C48</formula>
    </cfRule>
  </conditionalFormatting>
  <conditionalFormatting sqref="D49:E49">
    <cfRule type="expression" dxfId="10112" priority="2303">
      <formula>AND($A49&lt;&gt;"",MOD(ROW(),2))</formula>
    </cfRule>
  </conditionalFormatting>
  <conditionalFormatting sqref="D49">
    <cfRule type="cellIs" dxfId="10111" priority="2300" operator="equal">
      <formula>$C49</formula>
    </cfRule>
    <cfRule type="cellIs" dxfId="10110" priority="2301" operator="greaterThan">
      <formula>$C49</formula>
    </cfRule>
    <cfRule type="cellIs" dxfId="10109" priority="2302" operator="lessThan">
      <formula>$C49</formula>
    </cfRule>
  </conditionalFormatting>
  <conditionalFormatting sqref="D28:E28">
    <cfRule type="expression" dxfId="10108" priority="2299">
      <formula>AND($A28&lt;&gt;"",MOD(ROW(),2))</formula>
    </cfRule>
  </conditionalFormatting>
  <conditionalFormatting sqref="D28">
    <cfRule type="cellIs" dxfId="10107" priority="2296" operator="equal">
      <formula>$C28</formula>
    </cfRule>
    <cfRule type="cellIs" dxfId="10106" priority="2297" operator="greaterThan">
      <formula>$C28</formula>
    </cfRule>
    <cfRule type="cellIs" dxfId="10105" priority="2298" operator="lessThan">
      <formula>$C28</formula>
    </cfRule>
  </conditionalFormatting>
  <conditionalFormatting sqref="D29:E29">
    <cfRule type="expression" dxfId="10104" priority="2295">
      <formula>AND($A29&lt;&gt;"",MOD(ROW(),2))</formula>
    </cfRule>
  </conditionalFormatting>
  <conditionalFormatting sqref="D29">
    <cfRule type="cellIs" dxfId="10103" priority="2292" operator="equal">
      <formula>$C29</formula>
    </cfRule>
    <cfRule type="cellIs" dxfId="10102" priority="2293" operator="greaterThan">
      <formula>$C29</formula>
    </cfRule>
    <cfRule type="cellIs" dxfId="10101" priority="2294" operator="lessThan">
      <formula>$C29</formula>
    </cfRule>
  </conditionalFormatting>
  <conditionalFormatting sqref="D30:E30">
    <cfRule type="expression" dxfId="10100" priority="2291">
      <formula>AND($A30&lt;&gt;"",MOD(ROW(),2))</formula>
    </cfRule>
  </conditionalFormatting>
  <conditionalFormatting sqref="D30">
    <cfRule type="cellIs" dxfId="10099" priority="2288" operator="equal">
      <formula>$C30</formula>
    </cfRule>
    <cfRule type="cellIs" dxfId="10098" priority="2289" operator="greaterThan">
      <formula>$C30</formula>
    </cfRule>
    <cfRule type="cellIs" dxfId="10097" priority="2290" operator="lessThan">
      <formula>$C30</formula>
    </cfRule>
  </conditionalFormatting>
  <conditionalFormatting sqref="D31:E31">
    <cfRule type="expression" dxfId="10096" priority="2287">
      <formula>AND($A31&lt;&gt;"",MOD(ROW(),2))</formula>
    </cfRule>
  </conditionalFormatting>
  <conditionalFormatting sqref="D31">
    <cfRule type="cellIs" dxfId="10095" priority="2284" operator="equal">
      <formula>$C31</formula>
    </cfRule>
    <cfRule type="cellIs" dxfId="10094" priority="2285" operator="greaterThan">
      <formula>$C31</formula>
    </cfRule>
    <cfRule type="cellIs" dxfId="10093" priority="2286" operator="lessThan">
      <formula>$C31</formula>
    </cfRule>
  </conditionalFormatting>
  <conditionalFormatting sqref="D32:E32">
    <cfRule type="expression" dxfId="10092" priority="2283">
      <formula>AND($A32&lt;&gt;"",MOD(ROW(),2))</formula>
    </cfRule>
  </conditionalFormatting>
  <conditionalFormatting sqref="D32">
    <cfRule type="cellIs" dxfId="10091" priority="2280" operator="equal">
      <formula>$C32</formula>
    </cfRule>
    <cfRule type="cellIs" dxfId="10090" priority="2281" operator="greaterThan">
      <formula>$C32</formula>
    </cfRule>
    <cfRule type="cellIs" dxfId="10089" priority="2282" operator="lessThan">
      <formula>$C32</formula>
    </cfRule>
  </conditionalFormatting>
  <conditionalFormatting sqref="D33:E33">
    <cfRule type="expression" dxfId="10088" priority="2279">
      <formula>AND($A33&lt;&gt;"",MOD(ROW(),2))</formula>
    </cfRule>
  </conditionalFormatting>
  <conditionalFormatting sqref="D33">
    <cfRule type="cellIs" dxfId="10087" priority="2276" operator="equal">
      <formula>$C33</formula>
    </cfRule>
    <cfRule type="cellIs" dxfId="10086" priority="2277" operator="greaterThan">
      <formula>$C33</formula>
    </cfRule>
    <cfRule type="cellIs" dxfId="10085" priority="2278" operator="lessThan">
      <formula>$C33</formula>
    </cfRule>
  </conditionalFormatting>
  <conditionalFormatting sqref="D34:E34">
    <cfRule type="expression" dxfId="10084" priority="2275">
      <formula>AND($A34&lt;&gt;"",MOD(ROW(),2))</formula>
    </cfRule>
  </conditionalFormatting>
  <conditionalFormatting sqref="D34">
    <cfRule type="cellIs" dxfId="10083" priority="2272" operator="equal">
      <formula>$C34</formula>
    </cfRule>
    <cfRule type="cellIs" dxfId="10082" priority="2273" operator="greaterThan">
      <formula>$C34</formula>
    </cfRule>
    <cfRule type="cellIs" dxfId="10081" priority="2274" operator="lessThan">
      <formula>$C34</formula>
    </cfRule>
  </conditionalFormatting>
  <conditionalFormatting sqref="D35:E35">
    <cfRule type="expression" dxfId="10080" priority="2271">
      <formula>AND($A35&lt;&gt;"",MOD(ROW(),2))</formula>
    </cfRule>
  </conditionalFormatting>
  <conditionalFormatting sqref="D35">
    <cfRule type="cellIs" dxfId="10079" priority="2268" operator="equal">
      <formula>$C35</formula>
    </cfRule>
    <cfRule type="cellIs" dxfId="10078" priority="2269" operator="greaterThan">
      <formula>$C35</formula>
    </cfRule>
    <cfRule type="cellIs" dxfId="10077" priority="2270" operator="lessThan">
      <formula>$C35</formula>
    </cfRule>
  </conditionalFormatting>
  <conditionalFormatting sqref="D36:E36">
    <cfRule type="expression" dxfId="10076" priority="2267">
      <formula>AND($A36&lt;&gt;"",MOD(ROW(),2))</formula>
    </cfRule>
  </conditionalFormatting>
  <conditionalFormatting sqref="D36">
    <cfRule type="cellIs" dxfId="10075" priority="2264" operator="equal">
      <formula>$C36</formula>
    </cfRule>
    <cfRule type="cellIs" dxfId="10074" priority="2265" operator="greaterThan">
      <formula>$C36</formula>
    </cfRule>
    <cfRule type="cellIs" dxfId="10073" priority="2266" operator="lessThan">
      <formula>$C36</formula>
    </cfRule>
  </conditionalFormatting>
  <conditionalFormatting sqref="D37:E37">
    <cfRule type="expression" dxfId="10072" priority="2263">
      <formula>AND($A37&lt;&gt;"",MOD(ROW(),2))</formula>
    </cfRule>
  </conditionalFormatting>
  <conditionalFormatting sqref="D37">
    <cfRule type="cellIs" dxfId="10071" priority="2260" operator="equal">
      <formula>$C37</formula>
    </cfRule>
    <cfRule type="cellIs" dxfId="10070" priority="2261" operator="greaterThan">
      <formula>$C37</formula>
    </cfRule>
    <cfRule type="cellIs" dxfId="10069" priority="2262" operator="lessThan">
      <formula>$C37</formula>
    </cfRule>
  </conditionalFormatting>
  <conditionalFormatting sqref="D38:E38">
    <cfRule type="expression" dxfId="10068" priority="2259">
      <formula>AND($A38&lt;&gt;"",MOD(ROW(),2))</formula>
    </cfRule>
  </conditionalFormatting>
  <conditionalFormatting sqref="D38">
    <cfRule type="cellIs" dxfId="10067" priority="2256" operator="equal">
      <formula>$C38</formula>
    </cfRule>
    <cfRule type="cellIs" dxfId="10066" priority="2257" operator="greaterThan">
      <formula>$C38</formula>
    </cfRule>
    <cfRule type="cellIs" dxfId="10065" priority="2258" operator="lessThan">
      <formula>$C38</formula>
    </cfRule>
  </conditionalFormatting>
  <conditionalFormatting sqref="D39:E39">
    <cfRule type="expression" dxfId="10064" priority="2255">
      <formula>AND($A39&lt;&gt;"",MOD(ROW(),2))</formula>
    </cfRule>
  </conditionalFormatting>
  <conditionalFormatting sqref="D39">
    <cfRule type="cellIs" dxfId="10063" priority="2252" operator="equal">
      <formula>$C39</formula>
    </cfRule>
    <cfRule type="cellIs" dxfId="10062" priority="2253" operator="greaterThan">
      <formula>$C39</formula>
    </cfRule>
    <cfRule type="cellIs" dxfId="10061" priority="2254" operator="lessThan">
      <formula>$C39</formula>
    </cfRule>
  </conditionalFormatting>
  <conditionalFormatting sqref="D40:E40">
    <cfRule type="expression" dxfId="10060" priority="2251">
      <formula>AND($A40&lt;&gt;"",MOD(ROW(),2))</formula>
    </cfRule>
  </conditionalFormatting>
  <conditionalFormatting sqref="D40">
    <cfRule type="cellIs" dxfId="10059" priority="2248" operator="equal">
      <formula>$C40</formula>
    </cfRule>
    <cfRule type="cellIs" dxfId="10058" priority="2249" operator="greaterThan">
      <formula>$C40</formula>
    </cfRule>
    <cfRule type="cellIs" dxfId="10057" priority="2250" operator="lessThan">
      <formula>$C40</formula>
    </cfRule>
  </conditionalFormatting>
  <conditionalFormatting sqref="D41:E41">
    <cfRule type="expression" dxfId="10056" priority="2247">
      <formula>AND($A41&lt;&gt;"",MOD(ROW(),2))</formula>
    </cfRule>
  </conditionalFormatting>
  <conditionalFormatting sqref="D41">
    <cfRule type="cellIs" dxfId="10055" priority="2244" operator="equal">
      <formula>$C41</formula>
    </cfRule>
    <cfRule type="cellIs" dxfId="10054" priority="2245" operator="greaterThan">
      <formula>$C41</formula>
    </cfRule>
    <cfRule type="cellIs" dxfId="10053" priority="2246" operator="lessThan">
      <formula>$C41</formula>
    </cfRule>
  </conditionalFormatting>
  <conditionalFormatting sqref="D42:E42">
    <cfRule type="expression" dxfId="10052" priority="2243">
      <formula>AND($A42&lt;&gt;"",MOD(ROW(),2))</formula>
    </cfRule>
  </conditionalFormatting>
  <conditionalFormatting sqref="D42">
    <cfRule type="cellIs" dxfId="10051" priority="2240" operator="equal">
      <formula>$C42</formula>
    </cfRule>
    <cfRule type="cellIs" dxfId="10050" priority="2241" operator="greaterThan">
      <formula>$C42</formula>
    </cfRule>
    <cfRule type="cellIs" dxfId="10049" priority="2242" operator="lessThan">
      <formula>$C42</formula>
    </cfRule>
  </conditionalFormatting>
  <conditionalFormatting sqref="D43:E43">
    <cfRule type="expression" dxfId="10048" priority="2239">
      <formula>AND($A43&lt;&gt;"",MOD(ROW(),2))</formula>
    </cfRule>
  </conditionalFormatting>
  <conditionalFormatting sqref="D43">
    <cfRule type="cellIs" dxfId="10047" priority="2236" operator="equal">
      <formula>$C43</formula>
    </cfRule>
    <cfRule type="cellIs" dxfId="10046" priority="2237" operator="greaterThan">
      <formula>$C43</formula>
    </cfRule>
    <cfRule type="cellIs" dxfId="10045" priority="2238" operator="lessThan">
      <formula>$C43</formula>
    </cfRule>
  </conditionalFormatting>
  <conditionalFormatting sqref="D44:E44">
    <cfRule type="expression" dxfId="10044" priority="2235">
      <formula>AND($A44&lt;&gt;"",MOD(ROW(),2))</formula>
    </cfRule>
  </conditionalFormatting>
  <conditionalFormatting sqref="D44">
    <cfRule type="cellIs" dxfId="10043" priority="2232" operator="equal">
      <formula>$C44</formula>
    </cfRule>
    <cfRule type="cellIs" dxfId="10042" priority="2233" operator="greaterThan">
      <formula>$C44</formula>
    </cfRule>
    <cfRule type="cellIs" dxfId="10041" priority="2234" operator="lessThan">
      <formula>$C44</formula>
    </cfRule>
  </conditionalFormatting>
  <conditionalFormatting sqref="D45:E45">
    <cfRule type="expression" dxfId="10040" priority="2231">
      <formula>AND($A45&lt;&gt;"",MOD(ROW(),2))</formula>
    </cfRule>
  </conditionalFormatting>
  <conditionalFormatting sqref="D45">
    <cfRule type="cellIs" dxfId="10039" priority="2228" operator="equal">
      <formula>$C45</formula>
    </cfRule>
    <cfRule type="cellIs" dxfId="10038" priority="2229" operator="greaterThan">
      <formula>$C45</formula>
    </cfRule>
    <cfRule type="cellIs" dxfId="10037" priority="2230" operator="lessThan">
      <formula>$C45</formula>
    </cfRule>
  </conditionalFormatting>
  <conditionalFormatting sqref="D46:E46">
    <cfRule type="expression" dxfId="10036" priority="2227">
      <formula>AND($A46&lt;&gt;"",MOD(ROW(),2))</formula>
    </cfRule>
  </conditionalFormatting>
  <conditionalFormatting sqref="D46">
    <cfRule type="cellIs" dxfId="10035" priority="2224" operator="equal">
      <formula>$C46</formula>
    </cfRule>
    <cfRule type="cellIs" dxfId="10034" priority="2225" operator="greaterThan">
      <formula>$C46</formula>
    </cfRule>
    <cfRule type="cellIs" dxfId="10033" priority="2226" operator="lessThan">
      <formula>$C46</formula>
    </cfRule>
  </conditionalFormatting>
  <conditionalFormatting sqref="D47:E47">
    <cfRule type="expression" dxfId="10032" priority="2223">
      <formula>AND($A47&lt;&gt;"",MOD(ROW(),2))</formula>
    </cfRule>
  </conditionalFormatting>
  <conditionalFormatting sqref="D47">
    <cfRule type="cellIs" dxfId="10031" priority="2220" operator="equal">
      <formula>$C47</formula>
    </cfRule>
    <cfRule type="cellIs" dxfId="10030" priority="2221" operator="greaterThan">
      <formula>$C47</formula>
    </cfRule>
    <cfRule type="cellIs" dxfId="10029" priority="2222" operator="lessThan">
      <formula>$C47</formula>
    </cfRule>
  </conditionalFormatting>
  <conditionalFormatting sqref="D48:E48">
    <cfRule type="expression" dxfId="10028" priority="2219">
      <formula>AND($A48&lt;&gt;"",MOD(ROW(),2))</formula>
    </cfRule>
  </conditionalFormatting>
  <conditionalFormatting sqref="D48">
    <cfRule type="cellIs" dxfId="10027" priority="2216" operator="equal">
      <formula>$C48</formula>
    </cfRule>
    <cfRule type="cellIs" dxfId="10026" priority="2217" operator="greaterThan">
      <formula>$C48</formula>
    </cfRule>
    <cfRule type="cellIs" dxfId="10025" priority="2218" operator="lessThan">
      <formula>$C48</formula>
    </cfRule>
  </conditionalFormatting>
  <conditionalFormatting sqref="D49:E49">
    <cfRule type="expression" dxfId="10024" priority="2215">
      <formula>AND($A49&lt;&gt;"",MOD(ROW(),2))</formula>
    </cfRule>
  </conditionalFormatting>
  <conditionalFormatting sqref="D49">
    <cfRule type="cellIs" dxfId="10023" priority="2212" operator="equal">
      <formula>$C49</formula>
    </cfRule>
    <cfRule type="cellIs" dxfId="10022" priority="2213" operator="greaterThan">
      <formula>$C49</formula>
    </cfRule>
    <cfRule type="cellIs" dxfId="10021" priority="2214" operator="lessThan">
      <formula>$C49</formula>
    </cfRule>
  </conditionalFormatting>
  <conditionalFormatting sqref="D27:E27">
    <cfRule type="expression" dxfId="10020" priority="2211">
      <formula>AND($A27&lt;&gt;"",MOD(ROW(),2))</formula>
    </cfRule>
  </conditionalFormatting>
  <conditionalFormatting sqref="D27">
    <cfRule type="cellIs" dxfId="10019" priority="2208" operator="equal">
      <formula>$C27</formula>
    </cfRule>
    <cfRule type="cellIs" dxfId="10018" priority="2209" operator="greaterThan">
      <formula>$C27</formula>
    </cfRule>
    <cfRule type="cellIs" dxfId="10017" priority="2210" operator="lessThan">
      <formula>$C27</formula>
    </cfRule>
  </conditionalFormatting>
  <conditionalFormatting sqref="D28:E28">
    <cfRule type="expression" dxfId="10016" priority="2207">
      <formula>AND($A28&lt;&gt;"",MOD(ROW(),2))</formula>
    </cfRule>
  </conditionalFormatting>
  <conditionalFormatting sqref="D28">
    <cfRule type="cellIs" dxfId="10015" priority="2204" operator="equal">
      <formula>$C28</formula>
    </cfRule>
    <cfRule type="cellIs" dxfId="10014" priority="2205" operator="greaterThan">
      <formula>$C28</formula>
    </cfRule>
    <cfRule type="cellIs" dxfId="10013" priority="2206" operator="lessThan">
      <formula>$C28</formula>
    </cfRule>
  </conditionalFormatting>
  <conditionalFormatting sqref="D29:E29">
    <cfRule type="expression" dxfId="10012" priority="2203">
      <formula>AND($A29&lt;&gt;"",MOD(ROW(),2))</formula>
    </cfRule>
  </conditionalFormatting>
  <conditionalFormatting sqref="D29">
    <cfRule type="cellIs" dxfId="10011" priority="2200" operator="equal">
      <formula>$C29</formula>
    </cfRule>
    <cfRule type="cellIs" dxfId="10010" priority="2201" operator="greaterThan">
      <formula>$C29</formula>
    </cfRule>
    <cfRule type="cellIs" dxfId="10009" priority="2202" operator="lessThan">
      <formula>$C29</formula>
    </cfRule>
  </conditionalFormatting>
  <conditionalFormatting sqref="D30:E30">
    <cfRule type="expression" dxfId="10008" priority="2199">
      <formula>AND($A30&lt;&gt;"",MOD(ROW(),2))</formula>
    </cfRule>
  </conditionalFormatting>
  <conditionalFormatting sqref="D30">
    <cfRule type="cellIs" dxfId="10007" priority="2196" operator="equal">
      <formula>$C30</formula>
    </cfRule>
    <cfRule type="cellIs" dxfId="10006" priority="2197" operator="greaterThan">
      <formula>$C30</formula>
    </cfRule>
    <cfRule type="cellIs" dxfId="10005" priority="2198" operator="lessThan">
      <formula>$C30</formula>
    </cfRule>
  </conditionalFormatting>
  <conditionalFormatting sqref="D31:E31">
    <cfRule type="expression" dxfId="10004" priority="2195">
      <formula>AND($A31&lt;&gt;"",MOD(ROW(),2))</formula>
    </cfRule>
  </conditionalFormatting>
  <conditionalFormatting sqref="D31">
    <cfRule type="cellIs" dxfId="10003" priority="2192" operator="equal">
      <formula>$C31</formula>
    </cfRule>
    <cfRule type="cellIs" dxfId="10002" priority="2193" operator="greaterThan">
      <formula>$C31</formula>
    </cfRule>
    <cfRule type="cellIs" dxfId="10001" priority="2194" operator="lessThan">
      <formula>$C31</formula>
    </cfRule>
  </conditionalFormatting>
  <conditionalFormatting sqref="D32:E32">
    <cfRule type="expression" dxfId="10000" priority="2191">
      <formula>AND($A32&lt;&gt;"",MOD(ROW(),2))</formula>
    </cfRule>
  </conditionalFormatting>
  <conditionalFormatting sqref="D32">
    <cfRule type="cellIs" dxfId="9999" priority="2188" operator="equal">
      <formula>$C32</formula>
    </cfRule>
    <cfRule type="cellIs" dxfId="9998" priority="2189" operator="greaterThan">
      <formula>$C32</formula>
    </cfRule>
    <cfRule type="cellIs" dxfId="9997" priority="2190" operator="lessThan">
      <formula>$C32</formula>
    </cfRule>
  </conditionalFormatting>
  <conditionalFormatting sqref="D33:E33">
    <cfRule type="expression" dxfId="9996" priority="2187">
      <formula>AND($A33&lt;&gt;"",MOD(ROW(),2))</formula>
    </cfRule>
  </conditionalFormatting>
  <conditionalFormatting sqref="D33">
    <cfRule type="cellIs" dxfId="9995" priority="2184" operator="equal">
      <formula>$C33</formula>
    </cfRule>
    <cfRule type="cellIs" dxfId="9994" priority="2185" operator="greaterThan">
      <formula>$C33</formula>
    </cfRule>
    <cfRule type="cellIs" dxfId="9993" priority="2186" operator="lessThan">
      <formula>$C33</formula>
    </cfRule>
  </conditionalFormatting>
  <conditionalFormatting sqref="D34:E34">
    <cfRule type="expression" dxfId="9992" priority="2183">
      <formula>AND($A34&lt;&gt;"",MOD(ROW(),2))</formula>
    </cfRule>
  </conditionalFormatting>
  <conditionalFormatting sqref="D34">
    <cfRule type="cellIs" dxfId="9991" priority="2180" operator="equal">
      <formula>$C34</formula>
    </cfRule>
    <cfRule type="cellIs" dxfId="9990" priority="2181" operator="greaterThan">
      <formula>$C34</formula>
    </cfRule>
    <cfRule type="cellIs" dxfId="9989" priority="2182" operator="lessThan">
      <formula>$C34</formula>
    </cfRule>
  </conditionalFormatting>
  <conditionalFormatting sqref="D35:E35">
    <cfRule type="expression" dxfId="9988" priority="2179">
      <formula>AND($A35&lt;&gt;"",MOD(ROW(),2))</formula>
    </cfRule>
  </conditionalFormatting>
  <conditionalFormatting sqref="D35">
    <cfRule type="cellIs" dxfId="9987" priority="2176" operator="equal">
      <formula>$C35</formula>
    </cfRule>
    <cfRule type="cellIs" dxfId="9986" priority="2177" operator="greaterThan">
      <formula>$C35</formula>
    </cfRule>
    <cfRule type="cellIs" dxfId="9985" priority="2178" operator="lessThan">
      <formula>$C35</formula>
    </cfRule>
  </conditionalFormatting>
  <conditionalFormatting sqref="D36:E36">
    <cfRule type="expression" dxfId="9984" priority="2175">
      <formula>AND($A36&lt;&gt;"",MOD(ROW(),2))</formula>
    </cfRule>
  </conditionalFormatting>
  <conditionalFormatting sqref="D36">
    <cfRule type="cellIs" dxfId="9983" priority="2172" operator="equal">
      <formula>$C36</formula>
    </cfRule>
    <cfRule type="cellIs" dxfId="9982" priority="2173" operator="greaterThan">
      <formula>$C36</formula>
    </cfRule>
    <cfRule type="cellIs" dxfId="9981" priority="2174" operator="lessThan">
      <formula>$C36</formula>
    </cfRule>
  </conditionalFormatting>
  <conditionalFormatting sqref="D37:E37">
    <cfRule type="expression" dxfId="9980" priority="2171">
      <formula>AND($A37&lt;&gt;"",MOD(ROW(),2))</formula>
    </cfRule>
  </conditionalFormatting>
  <conditionalFormatting sqref="D37">
    <cfRule type="cellIs" dxfId="9979" priority="2168" operator="equal">
      <formula>$C37</formula>
    </cfRule>
    <cfRule type="cellIs" dxfId="9978" priority="2169" operator="greaterThan">
      <formula>$C37</formula>
    </cfRule>
    <cfRule type="cellIs" dxfId="9977" priority="2170" operator="lessThan">
      <formula>$C37</formula>
    </cfRule>
  </conditionalFormatting>
  <conditionalFormatting sqref="D38:E38">
    <cfRule type="expression" dxfId="9976" priority="2167">
      <formula>AND($A38&lt;&gt;"",MOD(ROW(),2))</formula>
    </cfRule>
  </conditionalFormatting>
  <conditionalFormatting sqref="D38">
    <cfRule type="cellIs" dxfId="9975" priority="2164" operator="equal">
      <formula>$C38</formula>
    </cfRule>
    <cfRule type="cellIs" dxfId="9974" priority="2165" operator="greaterThan">
      <formula>$C38</formula>
    </cfRule>
    <cfRule type="cellIs" dxfId="9973" priority="2166" operator="lessThan">
      <formula>$C38</formula>
    </cfRule>
  </conditionalFormatting>
  <conditionalFormatting sqref="D39:E39">
    <cfRule type="expression" dxfId="9972" priority="2163">
      <formula>AND($A39&lt;&gt;"",MOD(ROW(),2))</formula>
    </cfRule>
  </conditionalFormatting>
  <conditionalFormatting sqref="D39">
    <cfRule type="cellIs" dxfId="9971" priority="2160" operator="equal">
      <formula>$C39</formula>
    </cfRule>
    <cfRule type="cellIs" dxfId="9970" priority="2161" operator="greaterThan">
      <formula>$C39</formula>
    </cfRule>
    <cfRule type="cellIs" dxfId="9969" priority="2162" operator="lessThan">
      <formula>$C39</formula>
    </cfRule>
  </conditionalFormatting>
  <conditionalFormatting sqref="D40:E40">
    <cfRule type="expression" dxfId="9968" priority="2159">
      <formula>AND($A40&lt;&gt;"",MOD(ROW(),2))</formula>
    </cfRule>
  </conditionalFormatting>
  <conditionalFormatting sqref="D40">
    <cfRule type="cellIs" dxfId="9967" priority="2156" operator="equal">
      <formula>$C40</formula>
    </cfRule>
    <cfRule type="cellIs" dxfId="9966" priority="2157" operator="greaterThan">
      <formula>$C40</formula>
    </cfRule>
    <cfRule type="cellIs" dxfId="9965" priority="2158" operator="lessThan">
      <formula>$C40</formula>
    </cfRule>
  </conditionalFormatting>
  <conditionalFormatting sqref="D41:E41">
    <cfRule type="expression" dxfId="9964" priority="2155">
      <formula>AND($A41&lt;&gt;"",MOD(ROW(),2))</formula>
    </cfRule>
  </conditionalFormatting>
  <conditionalFormatting sqref="D41">
    <cfRule type="cellIs" dxfId="9963" priority="2152" operator="equal">
      <formula>$C41</formula>
    </cfRule>
    <cfRule type="cellIs" dxfId="9962" priority="2153" operator="greaterThan">
      <formula>$C41</formula>
    </cfRule>
    <cfRule type="cellIs" dxfId="9961" priority="2154" operator="lessThan">
      <formula>$C41</formula>
    </cfRule>
  </conditionalFormatting>
  <conditionalFormatting sqref="D42:E42">
    <cfRule type="expression" dxfId="9960" priority="2151">
      <formula>AND($A42&lt;&gt;"",MOD(ROW(),2))</formula>
    </cfRule>
  </conditionalFormatting>
  <conditionalFormatting sqref="D42">
    <cfRule type="cellIs" dxfId="9959" priority="2148" operator="equal">
      <formula>$C42</formula>
    </cfRule>
    <cfRule type="cellIs" dxfId="9958" priority="2149" operator="greaterThan">
      <formula>$C42</formula>
    </cfRule>
    <cfRule type="cellIs" dxfId="9957" priority="2150" operator="lessThan">
      <formula>$C42</formula>
    </cfRule>
  </conditionalFormatting>
  <conditionalFormatting sqref="D43:E43">
    <cfRule type="expression" dxfId="9956" priority="2147">
      <formula>AND($A43&lt;&gt;"",MOD(ROW(),2))</formula>
    </cfRule>
  </conditionalFormatting>
  <conditionalFormatting sqref="D43">
    <cfRule type="cellIs" dxfId="9955" priority="2144" operator="equal">
      <formula>$C43</formula>
    </cfRule>
    <cfRule type="cellIs" dxfId="9954" priority="2145" operator="greaterThan">
      <formula>$C43</formula>
    </cfRule>
    <cfRule type="cellIs" dxfId="9953" priority="2146" operator="lessThan">
      <formula>$C43</formula>
    </cfRule>
  </conditionalFormatting>
  <conditionalFormatting sqref="D44:E44">
    <cfRule type="expression" dxfId="9952" priority="2143">
      <formula>AND($A44&lt;&gt;"",MOD(ROW(),2))</formula>
    </cfRule>
  </conditionalFormatting>
  <conditionalFormatting sqref="D44">
    <cfRule type="cellIs" dxfId="9951" priority="2140" operator="equal">
      <formula>$C44</formula>
    </cfRule>
    <cfRule type="cellIs" dxfId="9950" priority="2141" operator="greaterThan">
      <formula>$C44</formula>
    </cfRule>
    <cfRule type="cellIs" dxfId="9949" priority="2142" operator="lessThan">
      <formula>$C44</formula>
    </cfRule>
  </conditionalFormatting>
  <conditionalFormatting sqref="D45:E45">
    <cfRule type="expression" dxfId="9948" priority="2139">
      <formula>AND($A45&lt;&gt;"",MOD(ROW(),2))</formula>
    </cfRule>
  </conditionalFormatting>
  <conditionalFormatting sqref="D45">
    <cfRule type="cellIs" dxfId="9947" priority="2136" operator="equal">
      <formula>$C45</formula>
    </cfRule>
    <cfRule type="cellIs" dxfId="9946" priority="2137" operator="greaterThan">
      <formula>$C45</formula>
    </cfRule>
    <cfRule type="cellIs" dxfId="9945" priority="2138" operator="lessThan">
      <formula>$C45</formula>
    </cfRule>
  </conditionalFormatting>
  <conditionalFormatting sqref="D46:E46">
    <cfRule type="expression" dxfId="9944" priority="2135">
      <formula>AND($A46&lt;&gt;"",MOD(ROW(),2))</formula>
    </cfRule>
  </conditionalFormatting>
  <conditionalFormatting sqref="D46">
    <cfRule type="cellIs" dxfId="9943" priority="2132" operator="equal">
      <formula>$C46</formula>
    </cfRule>
    <cfRule type="cellIs" dxfId="9942" priority="2133" operator="greaterThan">
      <formula>$C46</formula>
    </cfRule>
    <cfRule type="cellIs" dxfId="9941" priority="2134" operator="lessThan">
      <formula>$C46</formula>
    </cfRule>
  </conditionalFormatting>
  <conditionalFormatting sqref="D47:E47">
    <cfRule type="expression" dxfId="9940" priority="2131">
      <formula>AND($A47&lt;&gt;"",MOD(ROW(),2))</formula>
    </cfRule>
  </conditionalFormatting>
  <conditionalFormatting sqref="D47">
    <cfRule type="cellIs" dxfId="9939" priority="2128" operator="equal">
      <formula>$C47</formula>
    </cfRule>
    <cfRule type="cellIs" dxfId="9938" priority="2129" operator="greaterThan">
      <formula>$C47</formula>
    </cfRule>
    <cfRule type="cellIs" dxfId="9937" priority="2130" operator="lessThan">
      <formula>$C47</formula>
    </cfRule>
  </conditionalFormatting>
  <conditionalFormatting sqref="D48:E48">
    <cfRule type="expression" dxfId="9936" priority="2127">
      <formula>AND($A48&lt;&gt;"",MOD(ROW(),2))</formula>
    </cfRule>
  </conditionalFormatting>
  <conditionalFormatting sqref="D48">
    <cfRule type="cellIs" dxfId="9935" priority="2124" operator="equal">
      <formula>$C48</formula>
    </cfRule>
    <cfRule type="cellIs" dxfId="9934" priority="2125" operator="greaterThan">
      <formula>$C48</formula>
    </cfRule>
    <cfRule type="cellIs" dxfId="9933" priority="2126" operator="lessThan">
      <formula>$C48</formula>
    </cfRule>
  </conditionalFormatting>
  <conditionalFormatting sqref="D49:E49">
    <cfRule type="expression" dxfId="9932" priority="2123">
      <formula>AND($A49&lt;&gt;"",MOD(ROW(),2))</formula>
    </cfRule>
  </conditionalFormatting>
  <conditionalFormatting sqref="D49">
    <cfRule type="cellIs" dxfId="9931" priority="2120" operator="equal">
      <formula>$C49</formula>
    </cfRule>
    <cfRule type="cellIs" dxfId="9930" priority="2121" operator="greaterThan">
      <formula>$C49</formula>
    </cfRule>
    <cfRule type="cellIs" dxfId="9929" priority="2122" operator="lessThan">
      <formula>$C49</formula>
    </cfRule>
  </conditionalFormatting>
  <conditionalFormatting sqref="D28:E28">
    <cfRule type="expression" dxfId="9928" priority="2119">
      <formula>AND($A28&lt;&gt;"",MOD(ROW(),2))</formula>
    </cfRule>
  </conditionalFormatting>
  <conditionalFormatting sqref="D28">
    <cfRule type="cellIs" dxfId="9927" priority="2116" operator="equal">
      <formula>$C28</formula>
    </cfRule>
    <cfRule type="cellIs" dxfId="9926" priority="2117" operator="greaterThan">
      <formula>$C28</formula>
    </cfRule>
    <cfRule type="cellIs" dxfId="9925" priority="2118" operator="lessThan">
      <formula>$C28</formula>
    </cfRule>
  </conditionalFormatting>
  <conditionalFormatting sqref="D29:E29">
    <cfRule type="expression" dxfId="9924" priority="2115">
      <formula>AND($A29&lt;&gt;"",MOD(ROW(),2))</formula>
    </cfRule>
  </conditionalFormatting>
  <conditionalFormatting sqref="D29">
    <cfRule type="cellIs" dxfId="9923" priority="2112" operator="equal">
      <formula>$C29</formula>
    </cfRule>
    <cfRule type="cellIs" dxfId="9922" priority="2113" operator="greaterThan">
      <formula>$C29</formula>
    </cfRule>
    <cfRule type="cellIs" dxfId="9921" priority="2114" operator="lessThan">
      <formula>$C29</formula>
    </cfRule>
  </conditionalFormatting>
  <conditionalFormatting sqref="D30:E30">
    <cfRule type="expression" dxfId="9920" priority="2111">
      <formula>AND($A30&lt;&gt;"",MOD(ROW(),2))</formula>
    </cfRule>
  </conditionalFormatting>
  <conditionalFormatting sqref="D30">
    <cfRule type="cellIs" dxfId="9919" priority="2108" operator="equal">
      <formula>$C30</formula>
    </cfRule>
    <cfRule type="cellIs" dxfId="9918" priority="2109" operator="greaterThan">
      <formula>$C30</formula>
    </cfRule>
    <cfRule type="cellIs" dxfId="9917" priority="2110" operator="lessThan">
      <formula>$C30</formula>
    </cfRule>
  </conditionalFormatting>
  <conditionalFormatting sqref="D31:E31">
    <cfRule type="expression" dxfId="9916" priority="2107">
      <formula>AND($A31&lt;&gt;"",MOD(ROW(),2))</formula>
    </cfRule>
  </conditionalFormatting>
  <conditionalFormatting sqref="D31">
    <cfRule type="cellIs" dxfId="9915" priority="2104" operator="equal">
      <formula>$C31</formula>
    </cfRule>
    <cfRule type="cellIs" dxfId="9914" priority="2105" operator="greaterThan">
      <formula>$C31</formula>
    </cfRule>
    <cfRule type="cellIs" dxfId="9913" priority="2106" operator="lessThan">
      <formula>$C31</formula>
    </cfRule>
  </conditionalFormatting>
  <conditionalFormatting sqref="D32:E32">
    <cfRule type="expression" dxfId="9912" priority="2103">
      <formula>AND($A32&lt;&gt;"",MOD(ROW(),2))</formula>
    </cfRule>
  </conditionalFormatting>
  <conditionalFormatting sqref="D32">
    <cfRule type="cellIs" dxfId="9911" priority="2100" operator="equal">
      <formula>$C32</formula>
    </cfRule>
    <cfRule type="cellIs" dxfId="9910" priority="2101" operator="greaterThan">
      <formula>$C32</formula>
    </cfRule>
    <cfRule type="cellIs" dxfId="9909" priority="2102" operator="lessThan">
      <formula>$C32</formula>
    </cfRule>
  </conditionalFormatting>
  <conditionalFormatting sqref="D33:E33">
    <cfRule type="expression" dxfId="9908" priority="2099">
      <formula>AND($A33&lt;&gt;"",MOD(ROW(),2))</formula>
    </cfRule>
  </conditionalFormatting>
  <conditionalFormatting sqref="D33">
    <cfRule type="cellIs" dxfId="9907" priority="2096" operator="equal">
      <formula>$C33</formula>
    </cfRule>
    <cfRule type="cellIs" dxfId="9906" priority="2097" operator="greaterThan">
      <formula>$C33</formula>
    </cfRule>
    <cfRule type="cellIs" dxfId="9905" priority="2098" operator="lessThan">
      <formula>$C33</formula>
    </cfRule>
  </conditionalFormatting>
  <conditionalFormatting sqref="D34:E34">
    <cfRule type="expression" dxfId="9904" priority="2095">
      <formula>AND($A34&lt;&gt;"",MOD(ROW(),2))</formula>
    </cfRule>
  </conditionalFormatting>
  <conditionalFormatting sqref="D34">
    <cfRule type="cellIs" dxfId="9903" priority="2092" operator="equal">
      <formula>$C34</formula>
    </cfRule>
    <cfRule type="cellIs" dxfId="9902" priority="2093" operator="greaterThan">
      <formula>$C34</formula>
    </cfRule>
    <cfRule type="cellIs" dxfId="9901" priority="2094" operator="lessThan">
      <formula>$C34</formula>
    </cfRule>
  </conditionalFormatting>
  <conditionalFormatting sqref="D35:E35">
    <cfRule type="expression" dxfId="9900" priority="2091">
      <formula>AND($A35&lt;&gt;"",MOD(ROW(),2))</formula>
    </cfRule>
  </conditionalFormatting>
  <conditionalFormatting sqref="D35">
    <cfRule type="cellIs" dxfId="9899" priority="2088" operator="equal">
      <formula>$C35</formula>
    </cfRule>
    <cfRule type="cellIs" dxfId="9898" priority="2089" operator="greaterThan">
      <formula>$C35</formula>
    </cfRule>
    <cfRule type="cellIs" dxfId="9897" priority="2090" operator="lessThan">
      <formula>$C35</formula>
    </cfRule>
  </conditionalFormatting>
  <conditionalFormatting sqref="D36:E36">
    <cfRule type="expression" dxfId="9896" priority="2087">
      <formula>AND($A36&lt;&gt;"",MOD(ROW(),2))</formula>
    </cfRule>
  </conditionalFormatting>
  <conditionalFormatting sqref="D36">
    <cfRule type="cellIs" dxfId="9895" priority="2084" operator="equal">
      <formula>$C36</formula>
    </cfRule>
    <cfRule type="cellIs" dxfId="9894" priority="2085" operator="greaterThan">
      <formula>$C36</formula>
    </cfRule>
    <cfRule type="cellIs" dxfId="9893" priority="2086" operator="lessThan">
      <formula>$C36</formula>
    </cfRule>
  </conditionalFormatting>
  <conditionalFormatting sqref="D37:E37">
    <cfRule type="expression" dxfId="9892" priority="2083">
      <formula>AND($A37&lt;&gt;"",MOD(ROW(),2))</formula>
    </cfRule>
  </conditionalFormatting>
  <conditionalFormatting sqref="D37">
    <cfRule type="cellIs" dxfId="9891" priority="2080" operator="equal">
      <formula>$C37</formula>
    </cfRule>
    <cfRule type="cellIs" dxfId="9890" priority="2081" operator="greaterThan">
      <formula>$C37</formula>
    </cfRule>
    <cfRule type="cellIs" dxfId="9889" priority="2082" operator="lessThan">
      <formula>$C37</formula>
    </cfRule>
  </conditionalFormatting>
  <conditionalFormatting sqref="D38:E38">
    <cfRule type="expression" dxfId="9888" priority="2079">
      <formula>AND($A38&lt;&gt;"",MOD(ROW(),2))</formula>
    </cfRule>
  </conditionalFormatting>
  <conditionalFormatting sqref="D38">
    <cfRule type="cellIs" dxfId="9887" priority="2076" operator="equal">
      <formula>$C38</formula>
    </cfRule>
    <cfRule type="cellIs" dxfId="9886" priority="2077" operator="greaterThan">
      <formula>$C38</formula>
    </cfRule>
    <cfRule type="cellIs" dxfId="9885" priority="2078" operator="lessThan">
      <formula>$C38</formula>
    </cfRule>
  </conditionalFormatting>
  <conditionalFormatting sqref="D39:E39">
    <cfRule type="expression" dxfId="9884" priority="2075">
      <formula>AND($A39&lt;&gt;"",MOD(ROW(),2))</formula>
    </cfRule>
  </conditionalFormatting>
  <conditionalFormatting sqref="D39">
    <cfRule type="cellIs" dxfId="9883" priority="2072" operator="equal">
      <formula>$C39</formula>
    </cfRule>
    <cfRule type="cellIs" dxfId="9882" priority="2073" operator="greaterThan">
      <formula>$C39</formula>
    </cfRule>
    <cfRule type="cellIs" dxfId="9881" priority="2074" operator="lessThan">
      <formula>$C39</formula>
    </cfRule>
  </conditionalFormatting>
  <conditionalFormatting sqref="D40:E40">
    <cfRule type="expression" dxfId="9880" priority="2071">
      <formula>AND($A40&lt;&gt;"",MOD(ROW(),2))</formula>
    </cfRule>
  </conditionalFormatting>
  <conditionalFormatting sqref="D40">
    <cfRule type="cellIs" dxfId="9879" priority="2068" operator="equal">
      <formula>$C40</formula>
    </cfRule>
    <cfRule type="cellIs" dxfId="9878" priority="2069" operator="greaterThan">
      <formula>$C40</formula>
    </cfRule>
    <cfRule type="cellIs" dxfId="9877" priority="2070" operator="lessThan">
      <formula>$C40</formula>
    </cfRule>
  </conditionalFormatting>
  <conditionalFormatting sqref="D41:E41">
    <cfRule type="expression" dxfId="9876" priority="2067">
      <formula>AND($A41&lt;&gt;"",MOD(ROW(),2))</formula>
    </cfRule>
  </conditionalFormatting>
  <conditionalFormatting sqref="D41">
    <cfRule type="cellIs" dxfId="9875" priority="2064" operator="equal">
      <formula>$C41</formula>
    </cfRule>
    <cfRule type="cellIs" dxfId="9874" priority="2065" operator="greaterThan">
      <formula>$C41</formula>
    </cfRule>
    <cfRule type="cellIs" dxfId="9873" priority="2066" operator="lessThan">
      <formula>$C41</formula>
    </cfRule>
  </conditionalFormatting>
  <conditionalFormatting sqref="D42:E42">
    <cfRule type="expression" dxfId="9872" priority="2063">
      <formula>AND($A42&lt;&gt;"",MOD(ROW(),2))</formula>
    </cfRule>
  </conditionalFormatting>
  <conditionalFormatting sqref="D42">
    <cfRule type="cellIs" dxfId="9871" priority="2060" operator="equal">
      <formula>$C42</formula>
    </cfRule>
    <cfRule type="cellIs" dxfId="9870" priority="2061" operator="greaterThan">
      <formula>$C42</formula>
    </cfRule>
    <cfRule type="cellIs" dxfId="9869" priority="2062" operator="lessThan">
      <formula>$C42</formula>
    </cfRule>
  </conditionalFormatting>
  <conditionalFormatting sqref="D43:E43">
    <cfRule type="expression" dxfId="9868" priority="2059">
      <formula>AND($A43&lt;&gt;"",MOD(ROW(),2))</formula>
    </cfRule>
  </conditionalFormatting>
  <conditionalFormatting sqref="D43">
    <cfRule type="cellIs" dxfId="9867" priority="2056" operator="equal">
      <formula>$C43</formula>
    </cfRule>
    <cfRule type="cellIs" dxfId="9866" priority="2057" operator="greaterThan">
      <formula>$C43</formula>
    </cfRule>
    <cfRule type="cellIs" dxfId="9865" priority="2058" operator="lessThan">
      <formula>$C43</formula>
    </cfRule>
  </conditionalFormatting>
  <conditionalFormatting sqref="D44:E44">
    <cfRule type="expression" dxfId="9864" priority="2055">
      <formula>AND($A44&lt;&gt;"",MOD(ROW(),2))</formula>
    </cfRule>
  </conditionalFormatting>
  <conditionalFormatting sqref="D44">
    <cfRule type="cellIs" dxfId="9863" priority="2052" operator="equal">
      <formula>$C44</formula>
    </cfRule>
    <cfRule type="cellIs" dxfId="9862" priority="2053" operator="greaterThan">
      <formula>$C44</formula>
    </cfRule>
    <cfRule type="cellIs" dxfId="9861" priority="2054" operator="lessThan">
      <formula>$C44</formula>
    </cfRule>
  </conditionalFormatting>
  <conditionalFormatting sqref="D45:E45">
    <cfRule type="expression" dxfId="9860" priority="2051">
      <formula>AND($A45&lt;&gt;"",MOD(ROW(),2))</formula>
    </cfRule>
  </conditionalFormatting>
  <conditionalFormatting sqref="D45">
    <cfRule type="cellIs" dxfId="9859" priority="2048" operator="equal">
      <formula>$C45</formula>
    </cfRule>
    <cfRule type="cellIs" dxfId="9858" priority="2049" operator="greaterThan">
      <formula>$C45</formula>
    </cfRule>
    <cfRule type="cellIs" dxfId="9857" priority="2050" operator="lessThan">
      <formula>$C45</formula>
    </cfRule>
  </conditionalFormatting>
  <conditionalFormatting sqref="D46:E46">
    <cfRule type="expression" dxfId="9856" priority="2047">
      <formula>AND($A46&lt;&gt;"",MOD(ROW(),2))</formula>
    </cfRule>
  </conditionalFormatting>
  <conditionalFormatting sqref="D46">
    <cfRule type="cellIs" dxfId="9855" priority="2044" operator="equal">
      <formula>$C46</formula>
    </cfRule>
    <cfRule type="cellIs" dxfId="9854" priority="2045" operator="greaterThan">
      <formula>$C46</formula>
    </cfRule>
    <cfRule type="cellIs" dxfId="9853" priority="2046" operator="lessThan">
      <formula>$C46</formula>
    </cfRule>
  </conditionalFormatting>
  <conditionalFormatting sqref="D47:E47">
    <cfRule type="expression" dxfId="9852" priority="2043">
      <formula>AND($A47&lt;&gt;"",MOD(ROW(),2))</formula>
    </cfRule>
  </conditionalFormatting>
  <conditionalFormatting sqref="D47">
    <cfRule type="cellIs" dxfId="9851" priority="2040" operator="equal">
      <formula>$C47</formula>
    </cfRule>
    <cfRule type="cellIs" dxfId="9850" priority="2041" operator="greaterThan">
      <formula>$C47</formula>
    </cfRule>
    <cfRule type="cellIs" dxfId="9849" priority="2042" operator="lessThan">
      <formula>$C47</formula>
    </cfRule>
  </conditionalFormatting>
  <conditionalFormatting sqref="D48:E48">
    <cfRule type="expression" dxfId="9848" priority="2039">
      <formula>AND($A48&lt;&gt;"",MOD(ROW(),2))</formula>
    </cfRule>
  </conditionalFormatting>
  <conditionalFormatting sqref="D48">
    <cfRule type="cellIs" dxfId="9847" priority="2036" operator="equal">
      <formula>$C48</formula>
    </cfRule>
    <cfRule type="cellIs" dxfId="9846" priority="2037" operator="greaterThan">
      <formula>$C48</formula>
    </cfRule>
    <cfRule type="cellIs" dxfId="9845" priority="2038" operator="lessThan">
      <formula>$C48</formula>
    </cfRule>
  </conditionalFormatting>
  <conditionalFormatting sqref="D49:E49">
    <cfRule type="expression" dxfId="9844" priority="2035">
      <formula>AND($A49&lt;&gt;"",MOD(ROW(),2))</formula>
    </cfRule>
  </conditionalFormatting>
  <conditionalFormatting sqref="D49">
    <cfRule type="cellIs" dxfId="9843" priority="2032" operator="equal">
      <formula>$C49</formula>
    </cfRule>
    <cfRule type="cellIs" dxfId="9842" priority="2033" operator="greaterThan">
      <formula>$C49</formula>
    </cfRule>
    <cfRule type="cellIs" dxfId="9841" priority="2034" operator="lessThan">
      <formula>$C49</formula>
    </cfRule>
  </conditionalFormatting>
  <conditionalFormatting sqref="D28:E28">
    <cfRule type="expression" dxfId="9840" priority="2031">
      <formula>AND($A28&lt;&gt;"",MOD(ROW(),2))</formula>
    </cfRule>
  </conditionalFormatting>
  <conditionalFormatting sqref="D28">
    <cfRule type="cellIs" dxfId="9839" priority="2028" operator="equal">
      <formula>$C28</formula>
    </cfRule>
    <cfRule type="cellIs" dxfId="9838" priority="2029" operator="greaterThan">
      <formula>$C28</formula>
    </cfRule>
    <cfRule type="cellIs" dxfId="9837" priority="2030" operator="lessThan">
      <formula>$C28</formula>
    </cfRule>
  </conditionalFormatting>
  <conditionalFormatting sqref="D29:E29">
    <cfRule type="expression" dxfId="9836" priority="2027">
      <formula>AND($A29&lt;&gt;"",MOD(ROW(),2))</formula>
    </cfRule>
  </conditionalFormatting>
  <conditionalFormatting sqref="D29">
    <cfRule type="cellIs" dxfId="9835" priority="2024" operator="equal">
      <formula>$C29</formula>
    </cfRule>
    <cfRule type="cellIs" dxfId="9834" priority="2025" operator="greaterThan">
      <formula>$C29</formula>
    </cfRule>
    <cfRule type="cellIs" dxfId="9833" priority="2026" operator="lessThan">
      <formula>$C29</formula>
    </cfRule>
  </conditionalFormatting>
  <conditionalFormatting sqref="D30:E30">
    <cfRule type="expression" dxfId="9832" priority="2023">
      <formula>AND($A30&lt;&gt;"",MOD(ROW(),2))</formula>
    </cfRule>
  </conditionalFormatting>
  <conditionalFormatting sqref="D30">
    <cfRule type="cellIs" dxfId="9831" priority="2020" operator="equal">
      <formula>$C30</formula>
    </cfRule>
    <cfRule type="cellIs" dxfId="9830" priority="2021" operator="greaterThan">
      <formula>$C30</formula>
    </cfRule>
    <cfRule type="cellIs" dxfId="9829" priority="2022" operator="lessThan">
      <formula>$C30</formula>
    </cfRule>
  </conditionalFormatting>
  <conditionalFormatting sqref="D31:E31">
    <cfRule type="expression" dxfId="9828" priority="2019">
      <formula>AND($A31&lt;&gt;"",MOD(ROW(),2))</formula>
    </cfRule>
  </conditionalFormatting>
  <conditionalFormatting sqref="D31">
    <cfRule type="cellIs" dxfId="9827" priority="2016" operator="equal">
      <formula>$C31</formula>
    </cfRule>
    <cfRule type="cellIs" dxfId="9826" priority="2017" operator="greaterThan">
      <formula>$C31</formula>
    </cfRule>
    <cfRule type="cellIs" dxfId="9825" priority="2018" operator="lessThan">
      <formula>$C31</formula>
    </cfRule>
  </conditionalFormatting>
  <conditionalFormatting sqref="D32:E32">
    <cfRule type="expression" dxfId="9824" priority="2015">
      <formula>AND($A32&lt;&gt;"",MOD(ROW(),2))</formula>
    </cfRule>
  </conditionalFormatting>
  <conditionalFormatting sqref="D32">
    <cfRule type="cellIs" dxfId="9823" priority="2012" operator="equal">
      <formula>$C32</formula>
    </cfRule>
    <cfRule type="cellIs" dxfId="9822" priority="2013" operator="greaterThan">
      <formula>$C32</formula>
    </cfRule>
    <cfRule type="cellIs" dxfId="9821" priority="2014" operator="lessThan">
      <formula>$C32</formula>
    </cfRule>
  </conditionalFormatting>
  <conditionalFormatting sqref="D33:E33">
    <cfRule type="expression" dxfId="9820" priority="2011">
      <formula>AND($A33&lt;&gt;"",MOD(ROW(),2))</formula>
    </cfRule>
  </conditionalFormatting>
  <conditionalFormatting sqref="D33">
    <cfRule type="cellIs" dxfId="9819" priority="2008" operator="equal">
      <formula>$C33</formula>
    </cfRule>
    <cfRule type="cellIs" dxfId="9818" priority="2009" operator="greaterThan">
      <formula>$C33</formula>
    </cfRule>
    <cfRule type="cellIs" dxfId="9817" priority="2010" operator="lessThan">
      <formula>$C33</formula>
    </cfRule>
  </conditionalFormatting>
  <conditionalFormatting sqref="D34:E34">
    <cfRule type="expression" dxfId="9816" priority="2007">
      <formula>AND($A34&lt;&gt;"",MOD(ROW(),2))</formula>
    </cfRule>
  </conditionalFormatting>
  <conditionalFormatting sqref="D34">
    <cfRule type="cellIs" dxfId="9815" priority="2004" operator="equal">
      <formula>$C34</formula>
    </cfRule>
    <cfRule type="cellIs" dxfId="9814" priority="2005" operator="greaterThan">
      <formula>$C34</formula>
    </cfRule>
    <cfRule type="cellIs" dxfId="9813" priority="2006" operator="lessThan">
      <formula>$C34</formula>
    </cfRule>
  </conditionalFormatting>
  <conditionalFormatting sqref="D35:E35">
    <cfRule type="expression" dxfId="9812" priority="2003">
      <formula>AND($A35&lt;&gt;"",MOD(ROW(),2))</formula>
    </cfRule>
  </conditionalFormatting>
  <conditionalFormatting sqref="D35">
    <cfRule type="cellIs" dxfId="9811" priority="2000" operator="equal">
      <formula>$C35</formula>
    </cfRule>
    <cfRule type="cellIs" dxfId="9810" priority="2001" operator="greaterThan">
      <formula>$C35</formula>
    </cfRule>
    <cfRule type="cellIs" dxfId="9809" priority="2002" operator="lessThan">
      <formula>$C35</formula>
    </cfRule>
  </conditionalFormatting>
  <conditionalFormatting sqref="D36:E36">
    <cfRule type="expression" dxfId="9808" priority="1999">
      <formula>AND($A36&lt;&gt;"",MOD(ROW(),2))</formula>
    </cfRule>
  </conditionalFormatting>
  <conditionalFormatting sqref="D36">
    <cfRule type="cellIs" dxfId="9807" priority="1996" operator="equal">
      <formula>$C36</formula>
    </cfRule>
    <cfRule type="cellIs" dxfId="9806" priority="1997" operator="greaterThan">
      <formula>$C36</formula>
    </cfRule>
    <cfRule type="cellIs" dxfId="9805" priority="1998" operator="lessThan">
      <formula>$C36</formula>
    </cfRule>
  </conditionalFormatting>
  <conditionalFormatting sqref="D37:E37">
    <cfRule type="expression" dxfId="9804" priority="1995">
      <formula>AND($A37&lt;&gt;"",MOD(ROW(),2))</formula>
    </cfRule>
  </conditionalFormatting>
  <conditionalFormatting sqref="D37">
    <cfRule type="cellIs" dxfId="9803" priority="1992" operator="equal">
      <formula>$C37</formula>
    </cfRule>
    <cfRule type="cellIs" dxfId="9802" priority="1993" operator="greaterThan">
      <formula>$C37</formula>
    </cfRule>
    <cfRule type="cellIs" dxfId="9801" priority="1994" operator="lessThan">
      <formula>$C37</formula>
    </cfRule>
  </conditionalFormatting>
  <conditionalFormatting sqref="D38:E38">
    <cfRule type="expression" dxfId="9800" priority="1991">
      <formula>AND($A38&lt;&gt;"",MOD(ROW(),2))</formula>
    </cfRule>
  </conditionalFormatting>
  <conditionalFormatting sqref="D38">
    <cfRule type="cellIs" dxfId="9799" priority="1988" operator="equal">
      <formula>$C38</formula>
    </cfRule>
    <cfRule type="cellIs" dxfId="9798" priority="1989" operator="greaterThan">
      <formula>$C38</formula>
    </cfRule>
    <cfRule type="cellIs" dxfId="9797" priority="1990" operator="lessThan">
      <formula>$C38</formula>
    </cfRule>
  </conditionalFormatting>
  <conditionalFormatting sqref="D39:E39">
    <cfRule type="expression" dxfId="9796" priority="1987">
      <formula>AND($A39&lt;&gt;"",MOD(ROW(),2))</formula>
    </cfRule>
  </conditionalFormatting>
  <conditionalFormatting sqref="D39">
    <cfRule type="cellIs" dxfId="9795" priority="1984" operator="equal">
      <formula>$C39</formula>
    </cfRule>
    <cfRule type="cellIs" dxfId="9794" priority="1985" operator="greaterThan">
      <formula>$C39</formula>
    </cfRule>
    <cfRule type="cellIs" dxfId="9793" priority="1986" operator="lessThan">
      <formula>$C39</formula>
    </cfRule>
  </conditionalFormatting>
  <conditionalFormatting sqref="D40:E40">
    <cfRule type="expression" dxfId="9792" priority="1983">
      <formula>AND($A40&lt;&gt;"",MOD(ROW(),2))</formula>
    </cfRule>
  </conditionalFormatting>
  <conditionalFormatting sqref="D40">
    <cfRule type="cellIs" dxfId="9791" priority="1980" operator="equal">
      <formula>$C40</formula>
    </cfRule>
    <cfRule type="cellIs" dxfId="9790" priority="1981" operator="greaterThan">
      <formula>$C40</formula>
    </cfRule>
    <cfRule type="cellIs" dxfId="9789" priority="1982" operator="lessThan">
      <formula>$C40</formula>
    </cfRule>
  </conditionalFormatting>
  <conditionalFormatting sqref="D41:E41">
    <cfRule type="expression" dxfId="9788" priority="1979">
      <formula>AND($A41&lt;&gt;"",MOD(ROW(),2))</formula>
    </cfRule>
  </conditionalFormatting>
  <conditionalFormatting sqref="D41">
    <cfRule type="cellIs" dxfId="9787" priority="1976" operator="equal">
      <formula>$C41</formula>
    </cfRule>
    <cfRule type="cellIs" dxfId="9786" priority="1977" operator="greaterThan">
      <formula>$C41</formula>
    </cfRule>
    <cfRule type="cellIs" dxfId="9785" priority="1978" operator="lessThan">
      <formula>$C41</formula>
    </cfRule>
  </conditionalFormatting>
  <conditionalFormatting sqref="D42:E42">
    <cfRule type="expression" dxfId="9784" priority="1975">
      <formula>AND($A42&lt;&gt;"",MOD(ROW(),2))</formula>
    </cfRule>
  </conditionalFormatting>
  <conditionalFormatting sqref="D42">
    <cfRule type="cellIs" dxfId="9783" priority="1972" operator="equal">
      <formula>$C42</formula>
    </cfRule>
    <cfRule type="cellIs" dxfId="9782" priority="1973" operator="greaterThan">
      <formula>$C42</formula>
    </cfRule>
    <cfRule type="cellIs" dxfId="9781" priority="1974" operator="lessThan">
      <formula>$C42</formula>
    </cfRule>
  </conditionalFormatting>
  <conditionalFormatting sqref="D43:E43">
    <cfRule type="expression" dxfId="9780" priority="1971">
      <formula>AND($A43&lt;&gt;"",MOD(ROW(),2))</formula>
    </cfRule>
  </conditionalFormatting>
  <conditionalFormatting sqref="D43">
    <cfRule type="cellIs" dxfId="9779" priority="1968" operator="equal">
      <formula>$C43</formula>
    </cfRule>
    <cfRule type="cellIs" dxfId="9778" priority="1969" operator="greaterThan">
      <formula>$C43</formula>
    </cfRule>
    <cfRule type="cellIs" dxfId="9777" priority="1970" operator="lessThan">
      <formula>$C43</formula>
    </cfRule>
  </conditionalFormatting>
  <conditionalFormatting sqref="D44:E44">
    <cfRule type="expression" dxfId="9776" priority="1967">
      <formula>AND($A44&lt;&gt;"",MOD(ROW(),2))</formula>
    </cfRule>
  </conditionalFormatting>
  <conditionalFormatting sqref="D44">
    <cfRule type="cellIs" dxfId="9775" priority="1964" operator="equal">
      <formula>$C44</formula>
    </cfRule>
    <cfRule type="cellIs" dxfId="9774" priority="1965" operator="greaterThan">
      <formula>$C44</formula>
    </cfRule>
    <cfRule type="cellIs" dxfId="9773" priority="1966" operator="lessThan">
      <formula>$C44</formula>
    </cfRule>
  </conditionalFormatting>
  <conditionalFormatting sqref="D45:E45">
    <cfRule type="expression" dxfId="9772" priority="1963">
      <formula>AND($A45&lt;&gt;"",MOD(ROW(),2))</formula>
    </cfRule>
  </conditionalFormatting>
  <conditionalFormatting sqref="D45">
    <cfRule type="cellIs" dxfId="9771" priority="1960" operator="equal">
      <formula>$C45</formula>
    </cfRule>
    <cfRule type="cellIs" dxfId="9770" priority="1961" operator="greaterThan">
      <formula>$C45</formula>
    </cfRule>
    <cfRule type="cellIs" dxfId="9769" priority="1962" operator="lessThan">
      <formula>$C45</formula>
    </cfRule>
  </conditionalFormatting>
  <conditionalFormatting sqref="D46:E46">
    <cfRule type="expression" dxfId="9768" priority="1959">
      <formula>AND($A46&lt;&gt;"",MOD(ROW(),2))</formula>
    </cfRule>
  </conditionalFormatting>
  <conditionalFormatting sqref="D46">
    <cfRule type="cellIs" dxfId="9767" priority="1956" operator="equal">
      <formula>$C46</formula>
    </cfRule>
    <cfRule type="cellIs" dxfId="9766" priority="1957" operator="greaterThan">
      <formula>$C46</formula>
    </cfRule>
    <cfRule type="cellIs" dxfId="9765" priority="1958" operator="lessThan">
      <formula>$C46</formula>
    </cfRule>
  </conditionalFormatting>
  <conditionalFormatting sqref="D47:E47">
    <cfRule type="expression" dxfId="9764" priority="1955">
      <formula>AND($A47&lt;&gt;"",MOD(ROW(),2))</formula>
    </cfRule>
  </conditionalFormatting>
  <conditionalFormatting sqref="D47">
    <cfRule type="cellIs" dxfId="9763" priority="1952" operator="equal">
      <formula>$C47</formula>
    </cfRule>
    <cfRule type="cellIs" dxfId="9762" priority="1953" operator="greaterThan">
      <formula>$C47</formula>
    </cfRule>
    <cfRule type="cellIs" dxfId="9761" priority="1954" operator="lessThan">
      <formula>$C47</formula>
    </cfRule>
  </conditionalFormatting>
  <conditionalFormatting sqref="D48:E48">
    <cfRule type="expression" dxfId="9760" priority="1951">
      <formula>AND($A48&lt;&gt;"",MOD(ROW(),2))</formula>
    </cfRule>
  </conditionalFormatting>
  <conditionalFormatting sqref="D48">
    <cfRule type="cellIs" dxfId="9759" priority="1948" operator="equal">
      <formula>$C48</formula>
    </cfRule>
    <cfRule type="cellIs" dxfId="9758" priority="1949" operator="greaterThan">
      <formula>$C48</formula>
    </cfRule>
    <cfRule type="cellIs" dxfId="9757" priority="1950" operator="lessThan">
      <formula>$C48</formula>
    </cfRule>
  </conditionalFormatting>
  <conditionalFormatting sqref="D49:E49">
    <cfRule type="expression" dxfId="9756" priority="1947">
      <formula>AND($A49&lt;&gt;"",MOD(ROW(),2))</formula>
    </cfRule>
  </conditionalFormatting>
  <conditionalFormatting sqref="D49">
    <cfRule type="cellIs" dxfId="9755" priority="1944" operator="equal">
      <formula>$C49</formula>
    </cfRule>
    <cfRule type="cellIs" dxfId="9754" priority="1945" operator="greaterThan">
      <formula>$C49</formula>
    </cfRule>
    <cfRule type="cellIs" dxfId="9753" priority="1946" operator="lessThan">
      <formula>$C49</formula>
    </cfRule>
  </conditionalFormatting>
  <conditionalFormatting sqref="D29:E29">
    <cfRule type="expression" dxfId="9752" priority="1943">
      <formula>AND($A29&lt;&gt;"",MOD(ROW(),2))</formula>
    </cfRule>
  </conditionalFormatting>
  <conditionalFormatting sqref="D29">
    <cfRule type="cellIs" dxfId="9751" priority="1940" operator="equal">
      <formula>$C29</formula>
    </cfRule>
    <cfRule type="cellIs" dxfId="9750" priority="1941" operator="greaterThan">
      <formula>$C29</formula>
    </cfRule>
    <cfRule type="cellIs" dxfId="9749" priority="1942" operator="lessThan">
      <formula>$C29</formula>
    </cfRule>
  </conditionalFormatting>
  <conditionalFormatting sqref="D30:E30">
    <cfRule type="expression" dxfId="9748" priority="1939">
      <formula>AND($A30&lt;&gt;"",MOD(ROW(),2))</formula>
    </cfRule>
  </conditionalFormatting>
  <conditionalFormatting sqref="D30">
    <cfRule type="cellIs" dxfId="9747" priority="1936" operator="equal">
      <formula>$C30</formula>
    </cfRule>
    <cfRule type="cellIs" dxfId="9746" priority="1937" operator="greaterThan">
      <formula>$C30</formula>
    </cfRule>
    <cfRule type="cellIs" dxfId="9745" priority="1938" operator="lessThan">
      <formula>$C30</formula>
    </cfRule>
  </conditionalFormatting>
  <conditionalFormatting sqref="D31:E31">
    <cfRule type="expression" dxfId="9744" priority="1935">
      <formula>AND($A31&lt;&gt;"",MOD(ROW(),2))</formula>
    </cfRule>
  </conditionalFormatting>
  <conditionalFormatting sqref="D31">
    <cfRule type="cellIs" dxfId="9743" priority="1932" operator="equal">
      <formula>$C31</formula>
    </cfRule>
    <cfRule type="cellIs" dxfId="9742" priority="1933" operator="greaterThan">
      <formula>$C31</formula>
    </cfRule>
    <cfRule type="cellIs" dxfId="9741" priority="1934" operator="lessThan">
      <formula>$C31</formula>
    </cfRule>
  </conditionalFormatting>
  <conditionalFormatting sqref="D32:E32">
    <cfRule type="expression" dxfId="9740" priority="1931">
      <formula>AND($A32&lt;&gt;"",MOD(ROW(),2))</formula>
    </cfRule>
  </conditionalFormatting>
  <conditionalFormatting sqref="D32">
    <cfRule type="cellIs" dxfId="9739" priority="1928" operator="equal">
      <formula>$C32</formula>
    </cfRule>
    <cfRule type="cellIs" dxfId="9738" priority="1929" operator="greaterThan">
      <formula>$C32</formula>
    </cfRule>
    <cfRule type="cellIs" dxfId="9737" priority="1930" operator="lessThan">
      <formula>$C32</formula>
    </cfRule>
  </conditionalFormatting>
  <conditionalFormatting sqref="D33:E33">
    <cfRule type="expression" dxfId="9736" priority="1927">
      <formula>AND($A33&lt;&gt;"",MOD(ROW(),2))</formula>
    </cfRule>
  </conditionalFormatting>
  <conditionalFormatting sqref="D33">
    <cfRule type="cellIs" dxfId="9735" priority="1924" operator="equal">
      <formula>$C33</formula>
    </cfRule>
    <cfRule type="cellIs" dxfId="9734" priority="1925" operator="greaterThan">
      <formula>$C33</formula>
    </cfRule>
    <cfRule type="cellIs" dxfId="9733" priority="1926" operator="lessThan">
      <formula>$C33</formula>
    </cfRule>
  </conditionalFormatting>
  <conditionalFormatting sqref="D34:E34">
    <cfRule type="expression" dxfId="9732" priority="1923">
      <formula>AND($A34&lt;&gt;"",MOD(ROW(),2))</formula>
    </cfRule>
  </conditionalFormatting>
  <conditionalFormatting sqref="D34">
    <cfRule type="cellIs" dxfId="9731" priority="1920" operator="equal">
      <formula>$C34</formula>
    </cfRule>
    <cfRule type="cellIs" dxfId="9730" priority="1921" operator="greaterThan">
      <formula>$C34</formula>
    </cfRule>
    <cfRule type="cellIs" dxfId="9729" priority="1922" operator="lessThan">
      <formula>$C34</formula>
    </cfRule>
  </conditionalFormatting>
  <conditionalFormatting sqref="D35:E35">
    <cfRule type="expression" dxfId="9728" priority="1919">
      <formula>AND($A35&lt;&gt;"",MOD(ROW(),2))</formula>
    </cfRule>
  </conditionalFormatting>
  <conditionalFormatting sqref="D35">
    <cfRule type="cellIs" dxfId="9727" priority="1916" operator="equal">
      <formula>$C35</formula>
    </cfRule>
    <cfRule type="cellIs" dxfId="9726" priority="1917" operator="greaterThan">
      <formula>$C35</formula>
    </cfRule>
    <cfRule type="cellIs" dxfId="9725" priority="1918" operator="lessThan">
      <formula>$C35</formula>
    </cfRule>
  </conditionalFormatting>
  <conditionalFormatting sqref="D36:E36">
    <cfRule type="expression" dxfId="9724" priority="1915">
      <formula>AND($A36&lt;&gt;"",MOD(ROW(),2))</formula>
    </cfRule>
  </conditionalFormatting>
  <conditionalFormatting sqref="D36">
    <cfRule type="cellIs" dxfId="9723" priority="1912" operator="equal">
      <formula>$C36</formula>
    </cfRule>
    <cfRule type="cellIs" dxfId="9722" priority="1913" operator="greaterThan">
      <formula>$C36</formula>
    </cfRule>
    <cfRule type="cellIs" dxfId="9721" priority="1914" operator="lessThan">
      <formula>$C36</formula>
    </cfRule>
  </conditionalFormatting>
  <conditionalFormatting sqref="D37:E37">
    <cfRule type="expression" dxfId="9720" priority="1911">
      <formula>AND($A37&lt;&gt;"",MOD(ROW(),2))</formula>
    </cfRule>
  </conditionalFormatting>
  <conditionalFormatting sqref="D37">
    <cfRule type="cellIs" dxfId="9719" priority="1908" operator="equal">
      <formula>$C37</formula>
    </cfRule>
    <cfRule type="cellIs" dxfId="9718" priority="1909" operator="greaterThan">
      <formula>$C37</formula>
    </cfRule>
    <cfRule type="cellIs" dxfId="9717" priority="1910" operator="lessThan">
      <formula>$C37</formula>
    </cfRule>
  </conditionalFormatting>
  <conditionalFormatting sqref="D38:E38">
    <cfRule type="expression" dxfId="9716" priority="1907">
      <formula>AND($A38&lt;&gt;"",MOD(ROW(),2))</formula>
    </cfRule>
  </conditionalFormatting>
  <conditionalFormatting sqref="D38">
    <cfRule type="cellIs" dxfId="9715" priority="1904" operator="equal">
      <formula>$C38</formula>
    </cfRule>
    <cfRule type="cellIs" dxfId="9714" priority="1905" operator="greaterThan">
      <formula>$C38</formula>
    </cfRule>
    <cfRule type="cellIs" dxfId="9713" priority="1906" operator="lessThan">
      <formula>$C38</formula>
    </cfRule>
  </conditionalFormatting>
  <conditionalFormatting sqref="D39:E39">
    <cfRule type="expression" dxfId="9712" priority="1903">
      <formula>AND($A39&lt;&gt;"",MOD(ROW(),2))</formula>
    </cfRule>
  </conditionalFormatting>
  <conditionalFormatting sqref="D39">
    <cfRule type="cellIs" dxfId="9711" priority="1900" operator="equal">
      <formula>$C39</formula>
    </cfRule>
    <cfRule type="cellIs" dxfId="9710" priority="1901" operator="greaterThan">
      <formula>$C39</formula>
    </cfRule>
    <cfRule type="cellIs" dxfId="9709" priority="1902" operator="lessThan">
      <formula>$C39</formula>
    </cfRule>
  </conditionalFormatting>
  <conditionalFormatting sqref="D40:E40">
    <cfRule type="expression" dxfId="9708" priority="1899">
      <formula>AND($A40&lt;&gt;"",MOD(ROW(),2))</formula>
    </cfRule>
  </conditionalFormatting>
  <conditionalFormatting sqref="D40">
    <cfRule type="cellIs" dxfId="9707" priority="1896" operator="equal">
      <formula>$C40</formula>
    </cfRule>
    <cfRule type="cellIs" dxfId="9706" priority="1897" operator="greaterThan">
      <formula>$C40</formula>
    </cfRule>
    <cfRule type="cellIs" dxfId="9705" priority="1898" operator="lessThan">
      <formula>$C40</formula>
    </cfRule>
  </conditionalFormatting>
  <conditionalFormatting sqref="D41:E41">
    <cfRule type="expression" dxfId="9704" priority="1895">
      <formula>AND($A41&lt;&gt;"",MOD(ROW(),2))</formula>
    </cfRule>
  </conditionalFormatting>
  <conditionalFormatting sqref="D41">
    <cfRule type="cellIs" dxfId="9703" priority="1892" operator="equal">
      <formula>$C41</formula>
    </cfRule>
    <cfRule type="cellIs" dxfId="9702" priority="1893" operator="greaterThan">
      <formula>$C41</formula>
    </cfRule>
    <cfRule type="cellIs" dxfId="9701" priority="1894" operator="lessThan">
      <formula>$C41</formula>
    </cfRule>
  </conditionalFormatting>
  <conditionalFormatting sqref="D42:E42">
    <cfRule type="expression" dxfId="9700" priority="1891">
      <formula>AND($A42&lt;&gt;"",MOD(ROW(),2))</formula>
    </cfRule>
  </conditionalFormatting>
  <conditionalFormatting sqref="D42">
    <cfRule type="cellIs" dxfId="9699" priority="1888" operator="equal">
      <formula>$C42</formula>
    </cfRule>
    <cfRule type="cellIs" dxfId="9698" priority="1889" operator="greaterThan">
      <formula>$C42</formula>
    </cfRule>
    <cfRule type="cellIs" dxfId="9697" priority="1890" operator="lessThan">
      <formula>$C42</formula>
    </cfRule>
  </conditionalFormatting>
  <conditionalFormatting sqref="D43:E43">
    <cfRule type="expression" dxfId="9696" priority="1887">
      <formula>AND($A43&lt;&gt;"",MOD(ROW(),2))</formula>
    </cfRule>
  </conditionalFormatting>
  <conditionalFormatting sqref="D43">
    <cfRule type="cellIs" dxfId="9695" priority="1884" operator="equal">
      <formula>$C43</formula>
    </cfRule>
    <cfRule type="cellIs" dxfId="9694" priority="1885" operator="greaterThan">
      <formula>$C43</formula>
    </cfRule>
    <cfRule type="cellIs" dxfId="9693" priority="1886" operator="lessThan">
      <formula>$C43</formula>
    </cfRule>
  </conditionalFormatting>
  <conditionalFormatting sqref="D44:E44">
    <cfRule type="expression" dxfId="9692" priority="1883">
      <formula>AND($A44&lt;&gt;"",MOD(ROW(),2))</formula>
    </cfRule>
  </conditionalFormatting>
  <conditionalFormatting sqref="D44">
    <cfRule type="cellIs" dxfId="9691" priority="1880" operator="equal">
      <formula>$C44</formula>
    </cfRule>
    <cfRule type="cellIs" dxfId="9690" priority="1881" operator="greaterThan">
      <formula>$C44</formula>
    </cfRule>
    <cfRule type="cellIs" dxfId="9689" priority="1882" operator="lessThan">
      <formula>$C44</formula>
    </cfRule>
  </conditionalFormatting>
  <conditionalFormatting sqref="D45:E45">
    <cfRule type="expression" dxfId="9688" priority="1879">
      <formula>AND($A45&lt;&gt;"",MOD(ROW(),2))</formula>
    </cfRule>
  </conditionalFormatting>
  <conditionalFormatting sqref="D45">
    <cfRule type="cellIs" dxfId="9687" priority="1876" operator="equal">
      <formula>$C45</formula>
    </cfRule>
    <cfRule type="cellIs" dxfId="9686" priority="1877" operator="greaterThan">
      <formula>$C45</formula>
    </cfRule>
    <cfRule type="cellIs" dxfId="9685" priority="1878" operator="lessThan">
      <formula>$C45</formula>
    </cfRule>
  </conditionalFormatting>
  <conditionalFormatting sqref="D46:E46">
    <cfRule type="expression" dxfId="9684" priority="1875">
      <formula>AND($A46&lt;&gt;"",MOD(ROW(),2))</formula>
    </cfRule>
  </conditionalFormatting>
  <conditionalFormatting sqref="D46">
    <cfRule type="cellIs" dxfId="9683" priority="1872" operator="equal">
      <formula>$C46</formula>
    </cfRule>
    <cfRule type="cellIs" dxfId="9682" priority="1873" operator="greaterThan">
      <formula>$C46</formula>
    </cfRule>
    <cfRule type="cellIs" dxfId="9681" priority="1874" operator="lessThan">
      <formula>$C46</formula>
    </cfRule>
  </conditionalFormatting>
  <conditionalFormatting sqref="D47:E47">
    <cfRule type="expression" dxfId="9680" priority="1871">
      <formula>AND($A47&lt;&gt;"",MOD(ROW(),2))</formula>
    </cfRule>
  </conditionalFormatting>
  <conditionalFormatting sqref="D47">
    <cfRule type="cellIs" dxfId="9679" priority="1868" operator="equal">
      <formula>$C47</formula>
    </cfRule>
    <cfRule type="cellIs" dxfId="9678" priority="1869" operator="greaterThan">
      <formula>$C47</formula>
    </cfRule>
    <cfRule type="cellIs" dxfId="9677" priority="1870" operator="lessThan">
      <formula>$C47</formula>
    </cfRule>
  </conditionalFormatting>
  <conditionalFormatting sqref="D48:E48">
    <cfRule type="expression" dxfId="9676" priority="1867">
      <formula>AND($A48&lt;&gt;"",MOD(ROW(),2))</formula>
    </cfRule>
  </conditionalFormatting>
  <conditionalFormatting sqref="D48">
    <cfRule type="cellIs" dxfId="9675" priority="1864" operator="equal">
      <formula>$C48</formula>
    </cfRule>
    <cfRule type="cellIs" dxfId="9674" priority="1865" operator="greaterThan">
      <formula>$C48</formula>
    </cfRule>
    <cfRule type="cellIs" dxfId="9673" priority="1866" operator="lessThan">
      <formula>$C48</formula>
    </cfRule>
  </conditionalFormatting>
  <conditionalFormatting sqref="D49:E49">
    <cfRule type="expression" dxfId="9672" priority="1863">
      <formula>AND($A49&lt;&gt;"",MOD(ROW(),2))</formula>
    </cfRule>
  </conditionalFormatting>
  <conditionalFormatting sqref="D49">
    <cfRule type="cellIs" dxfId="9671" priority="1860" operator="equal">
      <formula>$C49</formula>
    </cfRule>
    <cfRule type="cellIs" dxfId="9670" priority="1861" operator="greaterThan">
      <formula>$C49</formula>
    </cfRule>
    <cfRule type="cellIs" dxfId="9669" priority="1862" operator="lessThan">
      <formula>$C49</formula>
    </cfRule>
  </conditionalFormatting>
  <conditionalFormatting sqref="D28:E28">
    <cfRule type="expression" dxfId="9668" priority="1859">
      <formula>AND($A28&lt;&gt;"",MOD(ROW(),2))</formula>
    </cfRule>
  </conditionalFormatting>
  <conditionalFormatting sqref="D28">
    <cfRule type="cellIs" dxfId="9667" priority="1856" operator="equal">
      <formula>$C28</formula>
    </cfRule>
    <cfRule type="cellIs" dxfId="9666" priority="1857" operator="greaterThan">
      <formula>$C28</formula>
    </cfRule>
    <cfRule type="cellIs" dxfId="9665" priority="1858" operator="lessThan">
      <formula>$C28</formula>
    </cfRule>
  </conditionalFormatting>
  <conditionalFormatting sqref="D29:E29">
    <cfRule type="expression" dxfId="9664" priority="1855">
      <formula>AND($A29&lt;&gt;"",MOD(ROW(),2))</formula>
    </cfRule>
  </conditionalFormatting>
  <conditionalFormatting sqref="D29">
    <cfRule type="cellIs" dxfId="9663" priority="1852" operator="equal">
      <formula>$C29</formula>
    </cfRule>
    <cfRule type="cellIs" dxfId="9662" priority="1853" operator="greaterThan">
      <formula>$C29</formula>
    </cfRule>
    <cfRule type="cellIs" dxfId="9661" priority="1854" operator="lessThan">
      <formula>$C29</formula>
    </cfRule>
  </conditionalFormatting>
  <conditionalFormatting sqref="D30:E30">
    <cfRule type="expression" dxfId="9660" priority="1851">
      <formula>AND($A30&lt;&gt;"",MOD(ROW(),2))</formula>
    </cfRule>
  </conditionalFormatting>
  <conditionalFormatting sqref="D30">
    <cfRule type="cellIs" dxfId="9659" priority="1848" operator="equal">
      <formula>$C30</formula>
    </cfRule>
    <cfRule type="cellIs" dxfId="9658" priority="1849" operator="greaterThan">
      <formula>$C30</formula>
    </cfRule>
    <cfRule type="cellIs" dxfId="9657" priority="1850" operator="lessThan">
      <formula>$C30</formula>
    </cfRule>
  </conditionalFormatting>
  <conditionalFormatting sqref="D31:E31">
    <cfRule type="expression" dxfId="9656" priority="1847">
      <formula>AND($A31&lt;&gt;"",MOD(ROW(),2))</formula>
    </cfRule>
  </conditionalFormatting>
  <conditionalFormatting sqref="D31">
    <cfRule type="cellIs" dxfId="9655" priority="1844" operator="equal">
      <formula>$C31</formula>
    </cfRule>
    <cfRule type="cellIs" dxfId="9654" priority="1845" operator="greaterThan">
      <formula>$C31</formula>
    </cfRule>
    <cfRule type="cellIs" dxfId="9653" priority="1846" operator="lessThan">
      <formula>$C31</formula>
    </cfRule>
  </conditionalFormatting>
  <conditionalFormatting sqref="D32:E32">
    <cfRule type="expression" dxfId="9652" priority="1843">
      <formula>AND($A32&lt;&gt;"",MOD(ROW(),2))</formula>
    </cfRule>
  </conditionalFormatting>
  <conditionalFormatting sqref="D32">
    <cfRule type="cellIs" dxfId="9651" priority="1840" operator="equal">
      <formula>$C32</formula>
    </cfRule>
    <cfRule type="cellIs" dxfId="9650" priority="1841" operator="greaterThan">
      <formula>$C32</formula>
    </cfRule>
    <cfRule type="cellIs" dxfId="9649" priority="1842" operator="lessThan">
      <formula>$C32</formula>
    </cfRule>
  </conditionalFormatting>
  <conditionalFormatting sqref="D33:E33">
    <cfRule type="expression" dxfId="9648" priority="1839">
      <formula>AND($A33&lt;&gt;"",MOD(ROW(),2))</formula>
    </cfRule>
  </conditionalFormatting>
  <conditionalFormatting sqref="D33">
    <cfRule type="cellIs" dxfId="9647" priority="1836" operator="equal">
      <formula>$C33</formula>
    </cfRule>
    <cfRule type="cellIs" dxfId="9646" priority="1837" operator="greaterThan">
      <formula>$C33</formula>
    </cfRule>
    <cfRule type="cellIs" dxfId="9645" priority="1838" operator="lessThan">
      <formula>$C33</formula>
    </cfRule>
  </conditionalFormatting>
  <conditionalFormatting sqref="D34:E34">
    <cfRule type="expression" dxfId="9644" priority="1835">
      <formula>AND($A34&lt;&gt;"",MOD(ROW(),2))</formula>
    </cfRule>
  </conditionalFormatting>
  <conditionalFormatting sqref="D34">
    <cfRule type="cellIs" dxfId="9643" priority="1832" operator="equal">
      <formula>$C34</formula>
    </cfRule>
    <cfRule type="cellIs" dxfId="9642" priority="1833" operator="greaterThan">
      <formula>$C34</formula>
    </cfRule>
    <cfRule type="cellIs" dxfId="9641" priority="1834" operator="lessThan">
      <formula>$C34</formula>
    </cfRule>
  </conditionalFormatting>
  <conditionalFormatting sqref="D35:E35">
    <cfRule type="expression" dxfId="9640" priority="1831">
      <formula>AND($A35&lt;&gt;"",MOD(ROW(),2))</formula>
    </cfRule>
  </conditionalFormatting>
  <conditionalFormatting sqref="D35">
    <cfRule type="cellIs" dxfId="9639" priority="1828" operator="equal">
      <formula>$C35</formula>
    </cfRule>
    <cfRule type="cellIs" dxfId="9638" priority="1829" operator="greaterThan">
      <formula>$C35</formula>
    </cfRule>
    <cfRule type="cellIs" dxfId="9637" priority="1830" operator="lessThan">
      <formula>$C35</formula>
    </cfRule>
  </conditionalFormatting>
  <conditionalFormatting sqref="D36:E36">
    <cfRule type="expression" dxfId="9636" priority="1827">
      <formula>AND($A36&lt;&gt;"",MOD(ROW(),2))</formula>
    </cfRule>
  </conditionalFormatting>
  <conditionalFormatting sqref="D36">
    <cfRule type="cellIs" dxfId="9635" priority="1824" operator="equal">
      <formula>$C36</formula>
    </cfRule>
    <cfRule type="cellIs" dxfId="9634" priority="1825" operator="greaterThan">
      <formula>$C36</formula>
    </cfRule>
    <cfRule type="cellIs" dxfId="9633" priority="1826" operator="lessThan">
      <formula>$C36</formula>
    </cfRule>
  </conditionalFormatting>
  <conditionalFormatting sqref="D37:E37">
    <cfRule type="expression" dxfId="9632" priority="1823">
      <formula>AND($A37&lt;&gt;"",MOD(ROW(),2))</formula>
    </cfRule>
  </conditionalFormatting>
  <conditionalFormatting sqref="D37">
    <cfRule type="cellIs" dxfId="9631" priority="1820" operator="equal">
      <formula>$C37</formula>
    </cfRule>
    <cfRule type="cellIs" dxfId="9630" priority="1821" operator="greaterThan">
      <formula>$C37</formula>
    </cfRule>
    <cfRule type="cellIs" dxfId="9629" priority="1822" operator="lessThan">
      <formula>$C37</formula>
    </cfRule>
  </conditionalFormatting>
  <conditionalFormatting sqref="D38:E38">
    <cfRule type="expression" dxfId="9628" priority="1819">
      <formula>AND($A38&lt;&gt;"",MOD(ROW(),2))</formula>
    </cfRule>
  </conditionalFormatting>
  <conditionalFormatting sqref="D38">
    <cfRule type="cellIs" dxfId="9627" priority="1816" operator="equal">
      <formula>$C38</formula>
    </cfRule>
    <cfRule type="cellIs" dxfId="9626" priority="1817" operator="greaterThan">
      <formula>$C38</formula>
    </cfRule>
    <cfRule type="cellIs" dxfId="9625" priority="1818" operator="lessThan">
      <formula>$C38</formula>
    </cfRule>
  </conditionalFormatting>
  <conditionalFormatting sqref="D39:E39">
    <cfRule type="expression" dxfId="9624" priority="1815">
      <formula>AND($A39&lt;&gt;"",MOD(ROW(),2))</formula>
    </cfRule>
  </conditionalFormatting>
  <conditionalFormatting sqref="D39">
    <cfRule type="cellIs" dxfId="9623" priority="1812" operator="equal">
      <formula>$C39</formula>
    </cfRule>
    <cfRule type="cellIs" dxfId="9622" priority="1813" operator="greaterThan">
      <formula>$C39</formula>
    </cfRule>
    <cfRule type="cellIs" dxfId="9621" priority="1814" operator="lessThan">
      <formula>$C39</formula>
    </cfRule>
  </conditionalFormatting>
  <conditionalFormatting sqref="D40:E40">
    <cfRule type="expression" dxfId="9620" priority="1811">
      <formula>AND($A40&lt;&gt;"",MOD(ROW(),2))</formula>
    </cfRule>
  </conditionalFormatting>
  <conditionalFormatting sqref="D40">
    <cfRule type="cellIs" dxfId="9619" priority="1808" operator="equal">
      <formula>$C40</formula>
    </cfRule>
    <cfRule type="cellIs" dxfId="9618" priority="1809" operator="greaterThan">
      <formula>$C40</formula>
    </cfRule>
    <cfRule type="cellIs" dxfId="9617" priority="1810" operator="lessThan">
      <formula>$C40</formula>
    </cfRule>
  </conditionalFormatting>
  <conditionalFormatting sqref="D41:E41">
    <cfRule type="expression" dxfId="9616" priority="1807">
      <formula>AND($A41&lt;&gt;"",MOD(ROW(),2))</formula>
    </cfRule>
  </conditionalFormatting>
  <conditionalFormatting sqref="D41">
    <cfRule type="cellIs" dxfId="9615" priority="1804" operator="equal">
      <formula>$C41</formula>
    </cfRule>
    <cfRule type="cellIs" dxfId="9614" priority="1805" operator="greaterThan">
      <formula>$C41</formula>
    </cfRule>
    <cfRule type="cellIs" dxfId="9613" priority="1806" operator="lessThan">
      <formula>$C41</formula>
    </cfRule>
  </conditionalFormatting>
  <conditionalFormatting sqref="D42:E42">
    <cfRule type="expression" dxfId="9612" priority="1803">
      <formula>AND($A42&lt;&gt;"",MOD(ROW(),2))</formula>
    </cfRule>
  </conditionalFormatting>
  <conditionalFormatting sqref="D42">
    <cfRule type="cellIs" dxfId="9611" priority="1800" operator="equal">
      <formula>$C42</formula>
    </cfRule>
    <cfRule type="cellIs" dxfId="9610" priority="1801" operator="greaterThan">
      <formula>$C42</formula>
    </cfRule>
    <cfRule type="cellIs" dxfId="9609" priority="1802" operator="lessThan">
      <formula>$C42</formula>
    </cfRule>
  </conditionalFormatting>
  <conditionalFormatting sqref="D43:E43">
    <cfRule type="expression" dxfId="9608" priority="1799">
      <formula>AND($A43&lt;&gt;"",MOD(ROW(),2))</formula>
    </cfRule>
  </conditionalFormatting>
  <conditionalFormatting sqref="D43">
    <cfRule type="cellIs" dxfId="9607" priority="1796" operator="equal">
      <formula>$C43</formula>
    </cfRule>
    <cfRule type="cellIs" dxfId="9606" priority="1797" operator="greaterThan">
      <formula>$C43</formula>
    </cfRule>
    <cfRule type="cellIs" dxfId="9605" priority="1798" operator="lessThan">
      <formula>$C43</formula>
    </cfRule>
  </conditionalFormatting>
  <conditionalFormatting sqref="D44:E44">
    <cfRule type="expression" dxfId="9604" priority="1795">
      <formula>AND($A44&lt;&gt;"",MOD(ROW(),2))</formula>
    </cfRule>
  </conditionalFormatting>
  <conditionalFormatting sqref="D44">
    <cfRule type="cellIs" dxfId="9603" priority="1792" operator="equal">
      <formula>$C44</formula>
    </cfRule>
    <cfRule type="cellIs" dxfId="9602" priority="1793" operator="greaterThan">
      <formula>$C44</formula>
    </cfRule>
    <cfRule type="cellIs" dxfId="9601" priority="1794" operator="lessThan">
      <formula>$C44</formula>
    </cfRule>
  </conditionalFormatting>
  <conditionalFormatting sqref="D45:E45">
    <cfRule type="expression" dxfId="9600" priority="1791">
      <formula>AND($A45&lt;&gt;"",MOD(ROW(),2))</formula>
    </cfRule>
  </conditionalFormatting>
  <conditionalFormatting sqref="D45">
    <cfRule type="cellIs" dxfId="9599" priority="1788" operator="equal">
      <formula>$C45</formula>
    </cfRule>
    <cfRule type="cellIs" dxfId="9598" priority="1789" operator="greaterThan">
      <formula>$C45</formula>
    </cfRule>
    <cfRule type="cellIs" dxfId="9597" priority="1790" operator="lessThan">
      <formula>$C45</formula>
    </cfRule>
  </conditionalFormatting>
  <conditionalFormatting sqref="D46:E46">
    <cfRule type="expression" dxfId="9596" priority="1787">
      <formula>AND($A46&lt;&gt;"",MOD(ROW(),2))</formula>
    </cfRule>
  </conditionalFormatting>
  <conditionalFormatting sqref="D46">
    <cfRule type="cellIs" dxfId="9595" priority="1784" operator="equal">
      <formula>$C46</formula>
    </cfRule>
    <cfRule type="cellIs" dxfId="9594" priority="1785" operator="greaterThan">
      <formula>$C46</formula>
    </cfRule>
    <cfRule type="cellIs" dxfId="9593" priority="1786" operator="lessThan">
      <formula>$C46</formula>
    </cfRule>
  </conditionalFormatting>
  <conditionalFormatting sqref="D47:E47">
    <cfRule type="expression" dxfId="9592" priority="1783">
      <formula>AND($A47&lt;&gt;"",MOD(ROW(),2))</formula>
    </cfRule>
  </conditionalFormatting>
  <conditionalFormatting sqref="D47">
    <cfRule type="cellIs" dxfId="9591" priority="1780" operator="equal">
      <formula>$C47</formula>
    </cfRule>
    <cfRule type="cellIs" dxfId="9590" priority="1781" operator="greaterThan">
      <formula>$C47</formula>
    </cfRule>
    <cfRule type="cellIs" dxfId="9589" priority="1782" operator="lessThan">
      <formula>$C47</formula>
    </cfRule>
  </conditionalFormatting>
  <conditionalFormatting sqref="D28:E28">
    <cfRule type="expression" dxfId="9588" priority="1779">
      <formula>AND($A28&lt;&gt;"",MOD(ROW(),2))</formula>
    </cfRule>
  </conditionalFormatting>
  <conditionalFormatting sqref="D28">
    <cfRule type="cellIs" dxfId="9587" priority="1776" operator="equal">
      <formula>$C28</formula>
    </cfRule>
    <cfRule type="cellIs" dxfId="9586" priority="1777" operator="greaterThan">
      <formula>$C28</formula>
    </cfRule>
    <cfRule type="cellIs" dxfId="9585" priority="1778" operator="lessThan">
      <formula>$C28</formula>
    </cfRule>
  </conditionalFormatting>
  <conditionalFormatting sqref="D29:E29">
    <cfRule type="expression" dxfId="9584" priority="1775">
      <formula>AND($A29&lt;&gt;"",MOD(ROW(),2))</formula>
    </cfRule>
  </conditionalFormatting>
  <conditionalFormatting sqref="D29">
    <cfRule type="cellIs" dxfId="9583" priority="1772" operator="equal">
      <formula>$C29</formula>
    </cfRule>
    <cfRule type="cellIs" dxfId="9582" priority="1773" operator="greaterThan">
      <formula>$C29</formula>
    </cfRule>
    <cfRule type="cellIs" dxfId="9581" priority="1774" operator="lessThan">
      <formula>$C29</formula>
    </cfRule>
  </conditionalFormatting>
  <conditionalFormatting sqref="D30:E30">
    <cfRule type="expression" dxfId="9580" priority="1771">
      <formula>AND($A30&lt;&gt;"",MOD(ROW(),2))</formula>
    </cfRule>
  </conditionalFormatting>
  <conditionalFormatting sqref="D30">
    <cfRule type="cellIs" dxfId="9579" priority="1768" operator="equal">
      <formula>$C30</formula>
    </cfRule>
    <cfRule type="cellIs" dxfId="9578" priority="1769" operator="greaterThan">
      <formula>$C30</formula>
    </cfRule>
    <cfRule type="cellIs" dxfId="9577" priority="1770" operator="lessThan">
      <formula>$C30</formula>
    </cfRule>
  </conditionalFormatting>
  <conditionalFormatting sqref="D31:E31">
    <cfRule type="expression" dxfId="9576" priority="1767">
      <formula>AND($A31&lt;&gt;"",MOD(ROW(),2))</formula>
    </cfRule>
  </conditionalFormatting>
  <conditionalFormatting sqref="D31">
    <cfRule type="cellIs" dxfId="9575" priority="1764" operator="equal">
      <formula>$C31</formula>
    </cfRule>
    <cfRule type="cellIs" dxfId="9574" priority="1765" operator="greaterThan">
      <formula>$C31</formula>
    </cfRule>
    <cfRule type="cellIs" dxfId="9573" priority="1766" operator="lessThan">
      <formula>$C31</formula>
    </cfRule>
  </conditionalFormatting>
  <conditionalFormatting sqref="D32:E32">
    <cfRule type="expression" dxfId="9572" priority="1763">
      <formula>AND($A32&lt;&gt;"",MOD(ROW(),2))</formula>
    </cfRule>
  </conditionalFormatting>
  <conditionalFormatting sqref="D32">
    <cfRule type="cellIs" dxfId="9571" priority="1760" operator="equal">
      <formula>$C32</formula>
    </cfRule>
    <cfRule type="cellIs" dxfId="9570" priority="1761" operator="greaterThan">
      <formula>$C32</formula>
    </cfRule>
    <cfRule type="cellIs" dxfId="9569" priority="1762" operator="lessThan">
      <formula>$C32</formula>
    </cfRule>
  </conditionalFormatting>
  <conditionalFormatting sqref="D33:E33">
    <cfRule type="expression" dxfId="9568" priority="1759">
      <formula>AND($A33&lt;&gt;"",MOD(ROW(),2))</formula>
    </cfRule>
  </conditionalFormatting>
  <conditionalFormatting sqref="D33">
    <cfRule type="cellIs" dxfId="9567" priority="1756" operator="equal">
      <formula>$C33</formula>
    </cfRule>
    <cfRule type="cellIs" dxfId="9566" priority="1757" operator="greaterThan">
      <formula>$C33</formula>
    </cfRule>
    <cfRule type="cellIs" dxfId="9565" priority="1758" operator="lessThan">
      <formula>$C33</formula>
    </cfRule>
  </conditionalFormatting>
  <conditionalFormatting sqref="D34:E34">
    <cfRule type="expression" dxfId="9564" priority="1755">
      <formula>AND($A34&lt;&gt;"",MOD(ROW(),2))</formula>
    </cfRule>
  </conditionalFormatting>
  <conditionalFormatting sqref="D34">
    <cfRule type="cellIs" dxfId="9563" priority="1752" operator="equal">
      <formula>$C34</formula>
    </cfRule>
    <cfRule type="cellIs" dxfId="9562" priority="1753" operator="greaterThan">
      <formula>$C34</formula>
    </cfRule>
    <cfRule type="cellIs" dxfId="9561" priority="1754" operator="lessThan">
      <formula>$C34</formula>
    </cfRule>
  </conditionalFormatting>
  <conditionalFormatting sqref="D35:E35">
    <cfRule type="expression" dxfId="9560" priority="1751">
      <formula>AND($A35&lt;&gt;"",MOD(ROW(),2))</formula>
    </cfRule>
  </conditionalFormatting>
  <conditionalFormatting sqref="D35">
    <cfRule type="cellIs" dxfId="9559" priority="1748" operator="equal">
      <formula>$C35</formula>
    </cfRule>
    <cfRule type="cellIs" dxfId="9558" priority="1749" operator="greaterThan">
      <formula>$C35</formula>
    </cfRule>
    <cfRule type="cellIs" dxfId="9557" priority="1750" operator="lessThan">
      <formula>$C35</formula>
    </cfRule>
  </conditionalFormatting>
  <conditionalFormatting sqref="D36:E36">
    <cfRule type="expression" dxfId="9556" priority="1747">
      <formula>AND($A36&lt;&gt;"",MOD(ROW(),2))</formula>
    </cfRule>
  </conditionalFormatting>
  <conditionalFormatting sqref="D36">
    <cfRule type="cellIs" dxfId="9555" priority="1744" operator="equal">
      <formula>$C36</formula>
    </cfRule>
    <cfRule type="cellIs" dxfId="9554" priority="1745" operator="greaterThan">
      <formula>$C36</formula>
    </cfRule>
    <cfRule type="cellIs" dxfId="9553" priority="1746" operator="lessThan">
      <formula>$C36</formula>
    </cfRule>
  </conditionalFormatting>
  <conditionalFormatting sqref="D37:E37">
    <cfRule type="expression" dxfId="9552" priority="1743">
      <formula>AND($A37&lt;&gt;"",MOD(ROW(),2))</formula>
    </cfRule>
  </conditionalFormatting>
  <conditionalFormatting sqref="D37">
    <cfRule type="cellIs" dxfId="9551" priority="1740" operator="equal">
      <formula>$C37</formula>
    </cfRule>
    <cfRule type="cellIs" dxfId="9550" priority="1741" operator="greaterThan">
      <formula>$C37</formula>
    </cfRule>
    <cfRule type="cellIs" dxfId="9549" priority="1742" operator="lessThan">
      <formula>$C37</formula>
    </cfRule>
  </conditionalFormatting>
  <conditionalFormatting sqref="D38:E38">
    <cfRule type="expression" dxfId="9548" priority="1739">
      <formula>AND($A38&lt;&gt;"",MOD(ROW(),2))</formula>
    </cfRule>
  </conditionalFormatting>
  <conditionalFormatting sqref="D38">
    <cfRule type="cellIs" dxfId="9547" priority="1736" operator="equal">
      <formula>$C38</formula>
    </cfRule>
    <cfRule type="cellIs" dxfId="9546" priority="1737" operator="greaterThan">
      <formula>$C38</formula>
    </cfRule>
    <cfRule type="cellIs" dxfId="9545" priority="1738" operator="lessThan">
      <formula>$C38</formula>
    </cfRule>
  </conditionalFormatting>
  <conditionalFormatting sqref="D39:E39">
    <cfRule type="expression" dxfId="9544" priority="1735">
      <formula>AND($A39&lt;&gt;"",MOD(ROW(),2))</formula>
    </cfRule>
  </conditionalFormatting>
  <conditionalFormatting sqref="D39">
    <cfRule type="cellIs" dxfId="9543" priority="1732" operator="equal">
      <formula>$C39</formula>
    </cfRule>
    <cfRule type="cellIs" dxfId="9542" priority="1733" operator="greaterThan">
      <formula>$C39</formula>
    </cfRule>
    <cfRule type="cellIs" dxfId="9541" priority="1734" operator="lessThan">
      <formula>$C39</formula>
    </cfRule>
  </conditionalFormatting>
  <conditionalFormatting sqref="D40:E40">
    <cfRule type="expression" dxfId="9540" priority="1731">
      <formula>AND($A40&lt;&gt;"",MOD(ROW(),2))</formula>
    </cfRule>
  </conditionalFormatting>
  <conditionalFormatting sqref="D40">
    <cfRule type="cellIs" dxfId="9539" priority="1728" operator="equal">
      <formula>$C40</formula>
    </cfRule>
    <cfRule type="cellIs" dxfId="9538" priority="1729" operator="greaterThan">
      <formula>$C40</formula>
    </cfRule>
    <cfRule type="cellIs" dxfId="9537" priority="1730" operator="lessThan">
      <formula>$C40</formula>
    </cfRule>
  </conditionalFormatting>
  <conditionalFormatting sqref="D41:E41">
    <cfRule type="expression" dxfId="9536" priority="1727">
      <formula>AND($A41&lt;&gt;"",MOD(ROW(),2))</formula>
    </cfRule>
  </conditionalFormatting>
  <conditionalFormatting sqref="D41">
    <cfRule type="cellIs" dxfId="9535" priority="1724" operator="equal">
      <formula>$C41</formula>
    </cfRule>
    <cfRule type="cellIs" dxfId="9534" priority="1725" operator="greaterThan">
      <formula>$C41</formula>
    </cfRule>
    <cfRule type="cellIs" dxfId="9533" priority="1726" operator="lessThan">
      <formula>$C41</formula>
    </cfRule>
  </conditionalFormatting>
  <conditionalFormatting sqref="D42:E42">
    <cfRule type="expression" dxfId="9532" priority="1723">
      <formula>AND($A42&lt;&gt;"",MOD(ROW(),2))</formula>
    </cfRule>
  </conditionalFormatting>
  <conditionalFormatting sqref="D42">
    <cfRule type="cellIs" dxfId="9531" priority="1720" operator="equal">
      <formula>$C42</formula>
    </cfRule>
    <cfRule type="cellIs" dxfId="9530" priority="1721" operator="greaterThan">
      <formula>$C42</formula>
    </cfRule>
    <cfRule type="cellIs" dxfId="9529" priority="1722" operator="lessThan">
      <formula>$C42</formula>
    </cfRule>
  </conditionalFormatting>
  <conditionalFormatting sqref="D43:E43">
    <cfRule type="expression" dxfId="9528" priority="1719">
      <formula>AND($A43&lt;&gt;"",MOD(ROW(),2))</formula>
    </cfRule>
  </conditionalFormatting>
  <conditionalFormatting sqref="D43">
    <cfRule type="cellIs" dxfId="9527" priority="1716" operator="equal">
      <formula>$C43</formula>
    </cfRule>
    <cfRule type="cellIs" dxfId="9526" priority="1717" operator="greaterThan">
      <formula>$C43</formula>
    </cfRule>
    <cfRule type="cellIs" dxfId="9525" priority="1718" operator="lessThan">
      <formula>$C43</formula>
    </cfRule>
  </conditionalFormatting>
  <conditionalFormatting sqref="D44:E44">
    <cfRule type="expression" dxfId="9524" priority="1715">
      <formula>AND($A44&lt;&gt;"",MOD(ROW(),2))</formula>
    </cfRule>
  </conditionalFormatting>
  <conditionalFormatting sqref="D44">
    <cfRule type="cellIs" dxfId="9523" priority="1712" operator="equal">
      <formula>$C44</formula>
    </cfRule>
    <cfRule type="cellIs" dxfId="9522" priority="1713" operator="greaterThan">
      <formula>$C44</formula>
    </cfRule>
    <cfRule type="cellIs" dxfId="9521" priority="1714" operator="lessThan">
      <formula>$C44</formula>
    </cfRule>
  </conditionalFormatting>
  <conditionalFormatting sqref="D45:E45">
    <cfRule type="expression" dxfId="9520" priority="1711">
      <formula>AND($A45&lt;&gt;"",MOD(ROW(),2))</formula>
    </cfRule>
  </conditionalFormatting>
  <conditionalFormatting sqref="D45">
    <cfRule type="cellIs" dxfId="9519" priority="1708" operator="equal">
      <formula>$C45</formula>
    </cfRule>
    <cfRule type="cellIs" dxfId="9518" priority="1709" operator="greaterThan">
      <formula>$C45</formula>
    </cfRule>
    <cfRule type="cellIs" dxfId="9517" priority="1710" operator="lessThan">
      <formula>$C45</formula>
    </cfRule>
  </conditionalFormatting>
  <conditionalFormatting sqref="D46:E46">
    <cfRule type="expression" dxfId="9516" priority="1707">
      <formula>AND($A46&lt;&gt;"",MOD(ROW(),2))</formula>
    </cfRule>
  </conditionalFormatting>
  <conditionalFormatting sqref="D46">
    <cfRule type="cellIs" dxfId="9515" priority="1704" operator="equal">
      <formula>$C46</formula>
    </cfRule>
    <cfRule type="cellIs" dxfId="9514" priority="1705" operator="greaterThan">
      <formula>$C46</formula>
    </cfRule>
    <cfRule type="cellIs" dxfId="9513" priority="1706" operator="lessThan">
      <formula>$C46</formula>
    </cfRule>
  </conditionalFormatting>
  <conditionalFormatting sqref="D47:E47">
    <cfRule type="expression" dxfId="9512" priority="1703">
      <formula>AND($A47&lt;&gt;"",MOD(ROW(),2))</formula>
    </cfRule>
  </conditionalFormatting>
  <conditionalFormatting sqref="D47">
    <cfRule type="cellIs" dxfId="9511" priority="1700" operator="equal">
      <formula>$C47</formula>
    </cfRule>
    <cfRule type="cellIs" dxfId="9510" priority="1701" operator="greaterThan">
      <formula>$C47</formula>
    </cfRule>
    <cfRule type="cellIs" dxfId="9509" priority="1702" operator="lessThan">
      <formula>$C47</formula>
    </cfRule>
  </conditionalFormatting>
  <conditionalFormatting sqref="D28:E28">
    <cfRule type="expression" dxfId="9508" priority="1699">
      <formula>AND($A28&lt;&gt;"",MOD(ROW(),2))</formula>
    </cfRule>
  </conditionalFormatting>
  <conditionalFormatting sqref="D28">
    <cfRule type="cellIs" dxfId="9507" priority="1696" operator="equal">
      <formula>$C28</formula>
    </cfRule>
    <cfRule type="cellIs" dxfId="9506" priority="1697" operator="greaterThan">
      <formula>$C28</formula>
    </cfRule>
    <cfRule type="cellIs" dxfId="9505" priority="1698" operator="lessThan">
      <formula>$C28</formula>
    </cfRule>
  </conditionalFormatting>
  <conditionalFormatting sqref="D29:E29">
    <cfRule type="expression" dxfId="9504" priority="1695">
      <formula>AND($A29&lt;&gt;"",MOD(ROW(),2))</formula>
    </cfRule>
  </conditionalFormatting>
  <conditionalFormatting sqref="D29">
    <cfRule type="cellIs" dxfId="9503" priority="1692" operator="equal">
      <formula>$C29</formula>
    </cfRule>
    <cfRule type="cellIs" dxfId="9502" priority="1693" operator="greaterThan">
      <formula>$C29</formula>
    </cfRule>
    <cfRule type="cellIs" dxfId="9501" priority="1694" operator="lessThan">
      <formula>$C29</formula>
    </cfRule>
  </conditionalFormatting>
  <conditionalFormatting sqref="D30:E30">
    <cfRule type="expression" dxfId="9500" priority="1691">
      <formula>AND($A30&lt;&gt;"",MOD(ROW(),2))</formula>
    </cfRule>
  </conditionalFormatting>
  <conditionalFormatting sqref="D30">
    <cfRule type="cellIs" dxfId="9499" priority="1688" operator="equal">
      <formula>$C30</formula>
    </cfRule>
    <cfRule type="cellIs" dxfId="9498" priority="1689" operator="greaterThan">
      <formula>$C30</formula>
    </cfRule>
    <cfRule type="cellIs" dxfId="9497" priority="1690" operator="lessThan">
      <formula>$C30</formula>
    </cfRule>
  </conditionalFormatting>
  <conditionalFormatting sqref="D31:E31">
    <cfRule type="expression" dxfId="9496" priority="1687">
      <formula>AND($A31&lt;&gt;"",MOD(ROW(),2))</formula>
    </cfRule>
  </conditionalFormatting>
  <conditionalFormatting sqref="D31">
    <cfRule type="cellIs" dxfId="9495" priority="1684" operator="equal">
      <formula>$C31</formula>
    </cfRule>
    <cfRule type="cellIs" dxfId="9494" priority="1685" operator="greaterThan">
      <formula>$C31</formula>
    </cfRule>
    <cfRule type="cellIs" dxfId="9493" priority="1686" operator="lessThan">
      <formula>$C31</formula>
    </cfRule>
  </conditionalFormatting>
  <conditionalFormatting sqref="D32:E32">
    <cfRule type="expression" dxfId="9492" priority="1683">
      <formula>AND($A32&lt;&gt;"",MOD(ROW(),2))</formula>
    </cfRule>
  </conditionalFormatting>
  <conditionalFormatting sqref="D32">
    <cfRule type="cellIs" dxfId="9491" priority="1680" operator="equal">
      <formula>$C32</formula>
    </cfRule>
    <cfRule type="cellIs" dxfId="9490" priority="1681" operator="greaterThan">
      <formula>$C32</formula>
    </cfRule>
    <cfRule type="cellIs" dxfId="9489" priority="1682" operator="lessThan">
      <formula>$C32</formula>
    </cfRule>
  </conditionalFormatting>
  <conditionalFormatting sqref="D33:E33">
    <cfRule type="expression" dxfId="9488" priority="1679">
      <formula>AND($A33&lt;&gt;"",MOD(ROW(),2))</formula>
    </cfRule>
  </conditionalFormatting>
  <conditionalFormatting sqref="D33">
    <cfRule type="cellIs" dxfId="9487" priority="1676" operator="equal">
      <formula>$C33</formula>
    </cfRule>
    <cfRule type="cellIs" dxfId="9486" priority="1677" operator="greaterThan">
      <formula>$C33</formula>
    </cfRule>
    <cfRule type="cellIs" dxfId="9485" priority="1678" operator="lessThan">
      <formula>$C33</formula>
    </cfRule>
  </conditionalFormatting>
  <conditionalFormatting sqref="D34:E34">
    <cfRule type="expression" dxfId="9484" priority="1675">
      <formula>AND($A34&lt;&gt;"",MOD(ROW(),2))</formula>
    </cfRule>
  </conditionalFormatting>
  <conditionalFormatting sqref="D34">
    <cfRule type="cellIs" dxfId="9483" priority="1672" operator="equal">
      <formula>$C34</formula>
    </cfRule>
    <cfRule type="cellIs" dxfId="9482" priority="1673" operator="greaterThan">
      <formula>$C34</formula>
    </cfRule>
    <cfRule type="cellIs" dxfId="9481" priority="1674" operator="lessThan">
      <formula>$C34</formula>
    </cfRule>
  </conditionalFormatting>
  <conditionalFormatting sqref="D35:E35">
    <cfRule type="expression" dxfId="9480" priority="1671">
      <formula>AND($A35&lt;&gt;"",MOD(ROW(),2))</formula>
    </cfRule>
  </conditionalFormatting>
  <conditionalFormatting sqref="D35">
    <cfRule type="cellIs" dxfId="9479" priority="1668" operator="equal">
      <formula>$C35</formula>
    </cfRule>
    <cfRule type="cellIs" dxfId="9478" priority="1669" operator="greaterThan">
      <formula>$C35</formula>
    </cfRule>
    <cfRule type="cellIs" dxfId="9477" priority="1670" operator="lessThan">
      <formula>$C35</formula>
    </cfRule>
  </conditionalFormatting>
  <conditionalFormatting sqref="D36:E36">
    <cfRule type="expression" dxfId="9476" priority="1667">
      <formula>AND($A36&lt;&gt;"",MOD(ROW(),2))</formula>
    </cfRule>
  </conditionalFormatting>
  <conditionalFormatting sqref="D36">
    <cfRule type="cellIs" dxfId="9475" priority="1664" operator="equal">
      <formula>$C36</formula>
    </cfRule>
    <cfRule type="cellIs" dxfId="9474" priority="1665" operator="greaterThan">
      <formula>$C36</formula>
    </cfRule>
    <cfRule type="cellIs" dxfId="9473" priority="1666" operator="lessThan">
      <formula>$C36</formula>
    </cfRule>
  </conditionalFormatting>
  <conditionalFormatting sqref="D37:E37">
    <cfRule type="expression" dxfId="9472" priority="1663">
      <formula>AND($A37&lt;&gt;"",MOD(ROW(),2))</formula>
    </cfRule>
  </conditionalFormatting>
  <conditionalFormatting sqref="D37">
    <cfRule type="cellIs" dxfId="9471" priority="1660" operator="equal">
      <formula>$C37</formula>
    </cfRule>
    <cfRule type="cellIs" dxfId="9470" priority="1661" operator="greaterThan">
      <formula>$C37</formula>
    </cfRule>
    <cfRule type="cellIs" dxfId="9469" priority="1662" operator="lessThan">
      <formula>$C37</formula>
    </cfRule>
  </conditionalFormatting>
  <conditionalFormatting sqref="D38:E38">
    <cfRule type="expression" dxfId="9468" priority="1659">
      <formula>AND($A38&lt;&gt;"",MOD(ROW(),2))</formula>
    </cfRule>
  </conditionalFormatting>
  <conditionalFormatting sqref="D38">
    <cfRule type="cellIs" dxfId="9467" priority="1656" operator="equal">
      <formula>$C38</formula>
    </cfRule>
    <cfRule type="cellIs" dxfId="9466" priority="1657" operator="greaterThan">
      <formula>$C38</formula>
    </cfRule>
    <cfRule type="cellIs" dxfId="9465" priority="1658" operator="lessThan">
      <formula>$C38</formula>
    </cfRule>
  </conditionalFormatting>
  <conditionalFormatting sqref="D39:E39">
    <cfRule type="expression" dxfId="9464" priority="1655">
      <formula>AND($A39&lt;&gt;"",MOD(ROW(),2))</formula>
    </cfRule>
  </conditionalFormatting>
  <conditionalFormatting sqref="D39">
    <cfRule type="cellIs" dxfId="9463" priority="1652" operator="equal">
      <formula>$C39</formula>
    </cfRule>
    <cfRule type="cellIs" dxfId="9462" priority="1653" operator="greaterThan">
      <formula>$C39</formula>
    </cfRule>
    <cfRule type="cellIs" dxfId="9461" priority="1654" operator="lessThan">
      <formula>$C39</formula>
    </cfRule>
  </conditionalFormatting>
  <conditionalFormatting sqref="D40:E40">
    <cfRule type="expression" dxfId="9460" priority="1651">
      <formula>AND($A40&lt;&gt;"",MOD(ROW(),2))</formula>
    </cfRule>
  </conditionalFormatting>
  <conditionalFormatting sqref="D40">
    <cfRule type="cellIs" dxfId="9459" priority="1648" operator="equal">
      <formula>$C40</formula>
    </cfRule>
    <cfRule type="cellIs" dxfId="9458" priority="1649" operator="greaterThan">
      <formula>$C40</formula>
    </cfRule>
    <cfRule type="cellIs" dxfId="9457" priority="1650" operator="lessThan">
      <formula>$C40</formula>
    </cfRule>
  </conditionalFormatting>
  <conditionalFormatting sqref="D41:E41">
    <cfRule type="expression" dxfId="9456" priority="1647">
      <formula>AND($A41&lt;&gt;"",MOD(ROW(),2))</formula>
    </cfRule>
  </conditionalFormatting>
  <conditionalFormatting sqref="D41">
    <cfRule type="cellIs" dxfId="9455" priority="1644" operator="equal">
      <formula>$C41</formula>
    </cfRule>
    <cfRule type="cellIs" dxfId="9454" priority="1645" operator="greaterThan">
      <formula>$C41</formula>
    </cfRule>
    <cfRule type="cellIs" dxfId="9453" priority="1646" operator="lessThan">
      <formula>$C41</formula>
    </cfRule>
  </conditionalFormatting>
  <conditionalFormatting sqref="D42:E42">
    <cfRule type="expression" dxfId="9452" priority="1643">
      <formula>AND($A42&lt;&gt;"",MOD(ROW(),2))</formula>
    </cfRule>
  </conditionalFormatting>
  <conditionalFormatting sqref="D42">
    <cfRule type="cellIs" dxfId="9451" priority="1640" operator="equal">
      <formula>$C42</formula>
    </cfRule>
    <cfRule type="cellIs" dxfId="9450" priority="1641" operator="greaterThan">
      <formula>$C42</formula>
    </cfRule>
    <cfRule type="cellIs" dxfId="9449" priority="1642" operator="lessThan">
      <formula>$C42</formula>
    </cfRule>
  </conditionalFormatting>
  <conditionalFormatting sqref="D43:E43">
    <cfRule type="expression" dxfId="9448" priority="1639">
      <formula>AND($A43&lt;&gt;"",MOD(ROW(),2))</formula>
    </cfRule>
  </conditionalFormatting>
  <conditionalFormatting sqref="D43">
    <cfRule type="cellIs" dxfId="9447" priority="1636" operator="equal">
      <formula>$C43</formula>
    </cfRule>
    <cfRule type="cellIs" dxfId="9446" priority="1637" operator="greaterThan">
      <formula>$C43</formula>
    </cfRule>
    <cfRule type="cellIs" dxfId="9445" priority="1638" operator="lessThan">
      <formula>$C43</formula>
    </cfRule>
  </conditionalFormatting>
  <conditionalFormatting sqref="D44:E44">
    <cfRule type="expression" dxfId="9444" priority="1635">
      <formula>AND($A44&lt;&gt;"",MOD(ROW(),2))</formula>
    </cfRule>
  </conditionalFormatting>
  <conditionalFormatting sqref="D44">
    <cfRule type="cellIs" dxfId="9443" priority="1632" operator="equal">
      <formula>$C44</formula>
    </cfRule>
    <cfRule type="cellIs" dxfId="9442" priority="1633" operator="greaterThan">
      <formula>$C44</formula>
    </cfRule>
    <cfRule type="cellIs" dxfId="9441" priority="1634" operator="lessThan">
      <formula>$C44</formula>
    </cfRule>
  </conditionalFormatting>
  <conditionalFormatting sqref="D45:E45">
    <cfRule type="expression" dxfId="9440" priority="1631">
      <formula>AND($A45&lt;&gt;"",MOD(ROW(),2))</formula>
    </cfRule>
  </conditionalFormatting>
  <conditionalFormatting sqref="D45">
    <cfRule type="cellIs" dxfId="9439" priority="1628" operator="equal">
      <formula>$C45</formula>
    </cfRule>
    <cfRule type="cellIs" dxfId="9438" priority="1629" operator="greaterThan">
      <formula>$C45</formula>
    </cfRule>
    <cfRule type="cellIs" dxfId="9437" priority="1630" operator="lessThan">
      <formula>$C45</formula>
    </cfRule>
  </conditionalFormatting>
  <conditionalFormatting sqref="D46:E46">
    <cfRule type="expression" dxfId="9436" priority="1627">
      <formula>AND($A46&lt;&gt;"",MOD(ROW(),2))</formula>
    </cfRule>
  </conditionalFormatting>
  <conditionalFormatting sqref="D46">
    <cfRule type="cellIs" dxfId="9435" priority="1624" operator="equal">
      <formula>$C46</formula>
    </cfRule>
    <cfRule type="cellIs" dxfId="9434" priority="1625" operator="greaterThan">
      <formula>$C46</formula>
    </cfRule>
    <cfRule type="cellIs" dxfId="9433" priority="1626" operator="lessThan">
      <formula>$C46</formula>
    </cfRule>
  </conditionalFormatting>
  <conditionalFormatting sqref="D47:E47">
    <cfRule type="expression" dxfId="9432" priority="1623">
      <formula>AND($A47&lt;&gt;"",MOD(ROW(),2))</formula>
    </cfRule>
  </conditionalFormatting>
  <conditionalFormatting sqref="D47">
    <cfRule type="cellIs" dxfId="9431" priority="1620" operator="equal">
      <formula>$C47</formula>
    </cfRule>
    <cfRule type="cellIs" dxfId="9430" priority="1621" operator="greaterThan">
      <formula>$C47</formula>
    </cfRule>
    <cfRule type="cellIs" dxfId="9429" priority="1622" operator="lessThan">
      <formula>$C47</formula>
    </cfRule>
  </conditionalFormatting>
  <conditionalFormatting sqref="D48:E48">
    <cfRule type="expression" dxfId="9428" priority="1619">
      <formula>AND($A48&lt;&gt;"",MOD(ROW(),2))</formula>
    </cfRule>
  </conditionalFormatting>
  <conditionalFormatting sqref="D48">
    <cfRule type="cellIs" dxfId="9427" priority="1616" operator="equal">
      <formula>$C48</formula>
    </cfRule>
    <cfRule type="cellIs" dxfId="9426" priority="1617" operator="greaterThan">
      <formula>$C48</formula>
    </cfRule>
    <cfRule type="cellIs" dxfId="9425" priority="1618" operator="lessThan">
      <formula>$C48</formula>
    </cfRule>
  </conditionalFormatting>
  <conditionalFormatting sqref="D28:E28">
    <cfRule type="expression" dxfId="9424" priority="1615">
      <formula>AND($A28&lt;&gt;"",MOD(ROW(),2))</formula>
    </cfRule>
  </conditionalFormatting>
  <conditionalFormatting sqref="D28">
    <cfRule type="cellIs" dxfId="9423" priority="1612" operator="equal">
      <formula>$C28</formula>
    </cfRule>
    <cfRule type="cellIs" dxfId="9422" priority="1613" operator="greaterThan">
      <formula>$C28</formula>
    </cfRule>
    <cfRule type="cellIs" dxfId="9421" priority="1614" operator="lessThan">
      <formula>$C28</formula>
    </cfRule>
  </conditionalFormatting>
  <conditionalFormatting sqref="D29:E29">
    <cfRule type="expression" dxfId="9420" priority="1611">
      <formula>AND($A29&lt;&gt;"",MOD(ROW(),2))</formula>
    </cfRule>
  </conditionalFormatting>
  <conditionalFormatting sqref="D29">
    <cfRule type="cellIs" dxfId="9419" priority="1608" operator="equal">
      <formula>$C29</formula>
    </cfRule>
    <cfRule type="cellIs" dxfId="9418" priority="1609" operator="greaterThan">
      <formula>$C29</formula>
    </cfRule>
    <cfRule type="cellIs" dxfId="9417" priority="1610" operator="lessThan">
      <formula>$C29</formula>
    </cfRule>
  </conditionalFormatting>
  <conditionalFormatting sqref="D30:E30">
    <cfRule type="expression" dxfId="9416" priority="1607">
      <formula>AND($A30&lt;&gt;"",MOD(ROW(),2))</formula>
    </cfRule>
  </conditionalFormatting>
  <conditionalFormatting sqref="D30">
    <cfRule type="cellIs" dxfId="9415" priority="1604" operator="equal">
      <formula>$C30</formula>
    </cfRule>
    <cfRule type="cellIs" dxfId="9414" priority="1605" operator="greaterThan">
      <formula>$C30</formula>
    </cfRule>
    <cfRule type="cellIs" dxfId="9413" priority="1606" operator="lessThan">
      <formula>$C30</formula>
    </cfRule>
  </conditionalFormatting>
  <conditionalFormatting sqref="D31:E31">
    <cfRule type="expression" dxfId="9412" priority="1603">
      <formula>AND($A31&lt;&gt;"",MOD(ROW(),2))</formula>
    </cfRule>
  </conditionalFormatting>
  <conditionalFormatting sqref="D31">
    <cfRule type="cellIs" dxfId="9411" priority="1600" operator="equal">
      <formula>$C31</formula>
    </cfRule>
    <cfRule type="cellIs" dxfId="9410" priority="1601" operator="greaterThan">
      <formula>$C31</formula>
    </cfRule>
    <cfRule type="cellIs" dxfId="9409" priority="1602" operator="lessThan">
      <formula>$C31</formula>
    </cfRule>
  </conditionalFormatting>
  <conditionalFormatting sqref="D32:E32">
    <cfRule type="expression" dxfId="9408" priority="1599">
      <formula>AND($A32&lt;&gt;"",MOD(ROW(),2))</formula>
    </cfRule>
  </conditionalFormatting>
  <conditionalFormatting sqref="D32">
    <cfRule type="cellIs" dxfId="9407" priority="1596" operator="equal">
      <formula>$C32</formula>
    </cfRule>
    <cfRule type="cellIs" dxfId="9406" priority="1597" operator="greaterThan">
      <formula>$C32</formula>
    </cfRule>
    <cfRule type="cellIs" dxfId="9405" priority="1598" operator="lessThan">
      <formula>$C32</formula>
    </cfRule>
  </conditionalFormatting>
  <conditionalFormatting sqref="D33:E33">
    <cfRule type="expression" dxfId="9404" priority="1595">
      <formula>AND($A33&lt;&gt;"",MOD(ROW(),2))</formula>
    </cfRule>
  </conditionalFormatting>
  <conditionalFormatting sqref="D33">
    <cfRule type="cellIs" dxfId="9403" priority="1592" operator="equal">
      <formula>$C33</formula>
    </cfRule>
    <cfRule type="cellIs" dxfId="9402" priority="1593" operator="greaterThan">
      <formula>$C33</formula>
    </cfRule>
    <cfRule type="cellIs" dxfId="9401" priority="1594" operator="lessThan">
      <formula>$C33</formula>
    </cfRule>
  </conditionalFormatting>
  <conditionalFormatting sqref="D34:E34">
    <cfRule type="expression" dxfId="9400" priority="1591">
      <formula>AND($A34&lt;&gt;"",MOD(ROW(),2))</formula>
    </cfRule>
  </conditionalFormatting>
  <conditionalFormatting sqref="D34">
    <cfRule type="cellIs" dxfId="9399" priority="1588" operator="equal">
      <formula>$C34</formula>
    </cfRule>
    <cfRule type="cellIs" dxfId="9398" priority="1589" operator="greaterThan">
      <formula>$C34</formula>
    </cfRule>
    <cfRule type="cellIs" dxfId="9397" priority="1590" operator="lessThan">
      <formula>$C34</formula>
    </cfRule>
  </conditionalFormatting>
  <conditionalFormatting sqref="D35:E35">
    <cfRule type="expression" dxfId="9396" priority="1587">
      <formula>AND($A35&lt;&gt;"",MOD(ROW(),2))</formula>
    </cfRule>
  </conditionalFormatting>
  <conditionalFormatting sqref="D35">
    <cfRule type="cellIs" dxfId="9395" priority="1584" operator="equal">
      <formula>$C35</formula>
    </cfRule>
    <cfRule type="cellIs" dxfId="9394" priority="1585" operator="greaterThan">
      <formula>$C35</formula>
    </cfRule>
    <cfRule type="cellIs" dxfId="9393" priority="1586" operator="lessThan">
      <formula>$C35</formula>
    </cfRule>
  </conditionalFormatting>
  <conditionalFormatting sqref="D36:E36">
    <cfRule type="expression" dxfId="9392" priority="1583">
      <formula>AND($A36&lt;&gt;"",MOD(ROW(),2))</formula>
    </cfRule>
  </conditionalFormatting>
  <conditionalFormatting sqref="D36">
    <cfRule type="cellIs" dxfId="9391" priority="1580" operator="equal">
      <formula>$C36</formula>
    </cfRule>
    <cfRule type="cellIs" dxfId="9390" priority="1581" operator="greaterThan">
      <formula>$C36</formula>
    </cfRule>
    <cfRule type="cellIs" dxfId="9389" priority="1582" operator="lessThan">
      <formula>$C36</formula>
    </cfRule>
  </conditionalFormatting>
  <conditionalFormatting sqref="D37:E37">
    <cfRule type="expression" dxfId="9388" priority="1579">
      <formula>AND($A37&lt;&gt;"",MOD(ROW(),2))</formula>
    </cfRule>
  </conditionalFormatting>
  <conditionalFormatting sqref="D37">
    <cfRule type="cellIs" dxfId="9387" priority="1576" operator="equal">
      <formula>$C37</formula>
    </cfRule>
    <cfRule type="cellIs" dxfId="9386" priority="1577" operator="greaterThan">
      <formula>$C37</formula>
    </cfRule>
    <cfRule type="cellIs" dxfId="9385" priority="1578" operator="lessThan">
      <formula>$C37</formula>
    </cfRule>
  </conditionalFormatting>
  <conditionalFormatting sqref="D38:E38">
    <cfRule type="expression" dxfId="9384" priority="1575">
      <formula>AND($A38&lt;&gt;"",MOD(ROW(),2))</formula>
    </cfRule>
  </conditionalFormatting>
  <conditionalFormatting sqref="D38">
    <cfRule type="cellIs" dxfId="9383" priority="1572" operator="equal">
      <formula>$C38</formula>
    </cfRule>
    <cfRule type="cellIs" dxfId="9382" priority="1573" operator="greaterThan">
      <formula>$C38</formula>
    </cfRule>
    <cfRule type="cellIs" dxfId="9381" priority="1574" operator="lessThan">
      <formula>$C38</formula>
    </cfRule>
  </conditionalFormatting>
  <conditionalFormatting sqref="D39:E39">
    <cfRule type="expression" dxfId="9380" priority="1571">
      <formula>AND($A39&lt;&gt;"",MOD(ROW(),2))</formula>
    </cfRule>
  </conditionalFormatting>
  <conditionalFormatting sqref="D39">
    <cfRule type="cellIs" dxfId="9379" priority="1568" operator="equal">
      <formula>$C39</formula>
    </cfRule>
    <cfRule type="cellIs" dxfId="9378" priority="1569" operator="greaterThan">
      <formula>$C39</formula>
    </cfRule>
    <cfRule type="cellIs" dxfId="9377" priority="1570" operator="lessThan">
      <formula>$C39</formula>
    </cfRule>
  </conditionalFormatting>
  <conditionalFormatting sqref="D40:E40">
    <cfRule type="expression" dxfId="9376" priority="1567">
      <formula>AND($A40&lt;&gt;"",MOD(ROW(),2))</formula>
    </cfRule>
  </conditionalFormatting>
  <conditionalFormatting sqref="D40">
    <cfRule type="cellIs" dxfId="9375" priority="1564" operator="equal">
      <formula>$C40</formula>
    </cfRule>
    <cfRule type="cellIs" dxfId="9374" priority="1565" operator="greaterThan">
      <formula>$C40</formula>
    </cfRule>
    <cfRule type="cellIs" dxfId="9373" priority="1566" operator="lessThan">
      <formula>$C40</formula>
    </cfRule>
  </conditionalFormatting>
  <conditionalFormatting sqref="D41:E41">
    <cfRule type="expression" dxfId="9372" priority="1563">
      <formula>AND($A41&lt;&gt;"",MOD(ROW(),2))</formula>
    </cfRule>
  </conditionalFormatting>
  <conditionalFormatting sqref="D41">
    <cfRule type="cellIs" dxfId="9371" priority="1560" operator="equal">
      <formula>$C41</formula>
    </cfRule>
    <cfRule type="cellIs" dxfId="9370" priority="1561" operator="greaterThan">
      <formula>$C41</formula>
    </cfRule>
    <cfRule type="cellIs" dxfId="9369" priority="1562" operator="lessThan">
      <formula>$C41</formula>
    </cfRule>
  </conditionalFormatting>
  <conditionalFormatting sqref="D42:E42">
    <cfRule type="expression" dxfId="9368" priority="1559">
      <formula>AND($A42&lt;&gt;"",MOD(ROW(),2))</formula>
    </cfRule>
  </conditionalFormatting>
  <conditionalFormatting sqref="D42">
    <cfRule type="cellIs" dxfId="9367" priority="1556" operator="equal">
      <formula>$C42</formula>
    </cfRule>
    <cfRule type="cellIs" dxfId="9366" priority="1557" operator="greaterThan">
      <formula>$C42</formula>
    </cfRule>
    <cfRule type="cellIs" dxfId="9365" priority="1558" operator="lessThan">
      <formula>$C42</formula>
    </cfRule>
  </conditionalFormatting>
  <conditionalFormatting sqref="D43:E43">
    <cfRule type="expression" dxfId="9364" priority="1555">
      <formula>AND($A43&lt;&gt;"",MOD(ROW(),2))</formula>
    </cfRule>
  </conditionalFormatting>
  <conditionalFormatting sqref="D43">
    <cfRule type="cellIs" dxfId="9363" priority="1552" operator="equal">
      <formula>$C43</formula>
    </cfRule>
    <cfRule type="cellIs" dxfId="9362" priority="1553" operator="greaterThan">
      <formula>$C43</formula>
    </cfRule>
    <cfRule type="cellIs" dxfId="9361" priority="1554" operator="lessThan">
      <formula>$C43</formula>
    </cfRule>
  </conditionalFormatting>
  <conditionalFormatting sqref="D44:E44">
    <cfRule type="expression" dxfId="9360" priority="1551">
      <formula>AND($A44&lt;&gt;"",MOD(ROW(),2))</formula>
    </cfRule>
  </conditionalFormatting>
  <conditionalFormatting sqref="D44">
    <cfRule type="cellIs" dxfId="9359" priority="1548" operator="equal">
      <formula>$C44</formula>
    </cfRule>
    <cfRule type="cellIs" dxfId="9358" priority="1549" operator="greaterThan">
      <formula>$C44</formula>
    </cfRule>
    <cfRule type="cellIs" dxfId="9357" priority="1550" operator="lessThan">
      <formula>$C44</formula>
    </cfRule>
  </conditionalFormatting>
  <conditionalFormatting sqref="D45:E45">
    <cfRule type="expression" dxfId="9356" priority="1547">
      <formula>AND($A45&lt;&gt;"",MOD(ROW(),2))</formula>
    </cfRule>
  </conditionalFormatting>
  <conditionalFormatting sqref="D45">
    <cfRule type="cellIs" dxfId="9355" priority="1544" operator="equal">
      <formula>$C45</formula>
    </cfRule>
    <cfRule type="cellIs" dxfId="9354" priority="1545" operator="greaterThan">
      <formula>$C45</formula>
    </cfRule>
    <cfRule type="cellIs" dxfId="9353" priority="1546" operator="lessThan">
      <formula>$C45</formula>
    </cfRule>
  </conditionalFormatting>
  <conditionalFormatting sqref="D46:E46">
    <cfRule type="expression" dxfId="9352" priority="1543">
      <formula>AND($A46&lt;&gt;"",MOD(ROW(),2))</formula>
    </cfRule>
  </conditionalFormatting>
  <conditionalFormatting sqref="D46">
    <cfRule type="cellIs" dxfId="9351" priority="1540" operator="equal">
      <formula>$C46</formula>
    </cfRule>
    <cfRule type="cellIs" dxfId="9350" priority="1541" operator="greaterThan">
      <formula>$C46</formula>
    </cfRule>
    <cfRule type="cellIs" dxfId="9349" priority="1542" operator="lessThan">
      <formula>$C46</formula>
    </cfRule>
  </conditionalFormatting>
  <conditionalFormatting sqref="D47:E47">
    <cfRule type="expression" dxfId="9348" priority="1539">
      <formula>AND($A47&lt;&gt;"",MOD(ROW(),2))</formula>
    </cfRule>
  </conditionalFormatting>
  <conditionalFormatting sqref="D47">
    <cfRule type="cellIs" dxfId="9347" priority="1536" operator="equal">
      <formula>$C47</formula>
    </cfRule>
    <cfRule type="cellIs" dxfId="9346" priority="1537" operator="greaterThan">
      <formula>$C47</formula>
    </cfRule>
    <cfRule type="cellIs" dxfId="9345" priority="1538" operator="lessThan">
      <formula>$C47</formula>
    </cfRule>
  </conditionalFormatting>
  <conditionalFormatting sqref="D48:E48">
    <cfRule type="expression" dxfId="9344" priority="1535">
      <formula>AND($A48&lt;&gt;"",MOD(ROW(),2))</formula>
    </cfRule>
  </conditionalFormatting>
  <conditionalFormatting sqref="D48">
    <cfRule type="cellIs" dxfId="9343" priority="1532" operator="equal">
      <formula>$C48</formula>
    </cfRule>
    <cfRule type="cellIs" dxfId="9342" priority="1533" operator="greaterThan">
      <formula>$C48</formula>
    </cfRule>
    <cfRule type="cellIs" dxfId="9341" priority="1534" operator="lessThan">
      <formula>$C48</formula>
    </cfRule>
  </conditionalFormatting>
  <conditionalFormatting sqref="D28:E28">
    <cfRule type="expression" dxfId="9340" priority="1531">
      <formula>AND($A28&lt;&gt;"",MOD(ROW(),2))</formula>
    </cfRule>
  </conditionalFormatting>
  <conditionalFormatting sqref="D28">
    <cfRule type="cellIs" dxfId="9339" priority="1528" operator="equal">
      <formula>$C28</formula>
    </cfRule>
    <cfRule type="cellIs" dxfId="9338" priority="1529" operator="greaterThan">
      <formula>$C28</formula>
    </cfRule>
    <cfRule type="cellIs" dxfId="9337" priority="1530" operator="lessThan">
      <formula>$C28</formula>
    </cfRule>
  </conditionalFormatting>
  <conditionalFormatting sqref="D29:E29">
    <cfRule type="expression" dxfId="9336" priority="1527">
      <formula>AND($A29&lt;&gt;"",MOD(ROW(),2))</formula>
    </cfRule>
  </conditionalFormatting>
  <conditionalFormatting sqref="D29">
    <cfRule type="cellIs" dxfId="9335" priority="1524" operator="equal">
      <formula>$C29</formula>
    </cfRule>
    <cfRule type="cellIs" dxfId="9334" priority="1525" operator="greaterThan">
      <formula>$C29</formula>
    </cfRule>
    <cfRule type="cellIs" dxfId="9333" priority="1526" operator="lessThan">
      <formula>$C29</formula>
    </cfRule>
  </conditionalFormatting>
  <conditionalFormatting sqref="D30:E30">
    <cfRule type="expression" dxfId="9332" priority="1523">
      <formula>AND($A30&lt;&gt;"",MOD(ROW(),2))</formula>
    </cfRule>
  </conditionalFormatting>
  <conditionalFormatting sqref="D30">
    <cfRule type="cellIs" dxfId="9331" priority="1520" operator="equal">
      <formula>$C30</formula>
    </cfRule>
    <cfRule type="cellIs" dxfId="9330" priority="1521" operator="greaterThan">
      <formula>$C30</formula>
    </cfRule>
    <cfRule type="cellIs" dxfId="9329" priority="1522" operator="lessThan">
      <formula>$C30</formula>
    </cfRule>
  </conditionalFormatting>
  <conditionalFormatting sqref="D31:E31">
    <cfRule type="expression" dxfId="9328" priority="1519">
      <formula>AND($A31&lt;&gt;"",MOD(ROW(),2))</formula>
    </cfRule>
  </conditionalFormatting>
  <conditionalFormatting sqref="D31">
    <cfRule type="cellIs" dxfId="9327" priority="1516" operator="equal">
      <formula>$C31</formula>
    </cfRule>
    <cfRule type="cellIs" dxfId="9326" priority="1517" operator="greaterThan">
      <formula>$C31</formula>
    </cfRule>
    <cfRule type="cellIs" dxfId="9325" priority="1518" operator="lessThan">
      <formula>$C31</formula>
    </cfRule>
  </conditionalFormatting>
  <conditionalFormatting sqref="D32:E32">
    <cfRule type="expression" dxfId="9324" priority="1515">
      <formula>AND($A32&lt;&gt;"",MOD(ROW(),2))</formula>
    </cfRule>
  </conditionalFormatting>
  <conditionalFormatting sqref="D32">
    <cfRule type="cellIs" dxfId="9323" priority="1512" operator="equal">
      <formula>$C32</formula>
    </cfRule>
    <cfRule type="cellIs" dxfId="9322" priority="1513" operator="greaterThan">
      <formula>$C32</formula>
    </cfRule>
    <cfRule type="cellIs" dxfId="9321" priority="1514" operator="lessThan">
      <formula>$C32</formula>
    </cfRule>
  </conditionalFormatting>
  <conditionalFormatting sqref="D33:E33">
    <cfRule type="expression" dxfId="9320" priority="1511">
      <formula>AND($A33&lt;&gt;"",MOD(ROW(),2))</formula>
    </cfRule>
  </conditionalFormatting>
  <conditionalFormatting sqref="D33">
    <cfRule type="cellIs" dxfId="9319" priority="1508" operator="equal">
      <formula>$C33</formula>
    </cfRule>
    <cfRule type="cellIs" dxfId="9318" priority="1509" operator="greaterThan">
      <formula>$C33</formula>
    </cfRule>
    <cfRule type="cellIs" dxfId="9317" priority="1510" operator="lessThan">
      <formula>$C33</formula>
    </cfRule>
  </conditionalFormatting>
  <conditionalFormatting sqref="D34:E34">
    <cfRule type="expression" dxfId="9316" priority="1507">
      <formula>AND($A34&lt;&gt;"",MOD(ROW(),2))</formula>
    </cfRule>
  </conditionalFormatting>
  <conditionalFormatting sqref="D34">
    <cfRule type="cellIs" dxfId="9315" priority="1504" operator="equal">
      <formula>$C34</formula>
    </cfRule>
    <cfRule type="cellIs" dxfId="9314" priority="1505" operator="greaterThan">
      <formula>$C34</formula>
    </cfRule>
    <cfRule type="cellIs" dxfId="9313" priority="1506" operator="lessThan">
      <formula>$C34</formula>
    </cfRule>
  </conditionalFormatting>
  <conditionalFormatting sqref="D35:E35">
    <cfRule type="expression" dxfId="9312" priority="1503">
      <formula>AND($A35&lt;&gt;"",MOD(ROW(),2))</formula>
    </cfRule>
  </conditionalFormatting>
  <conditionalFormatting sqref="D35">
    <cfRule type="cellIs" dxfId="9311" priority="1500" operator="equal">
      <formula>$C35</formula>
    </cfRule>
    <cfRule type="cellIs" dxfId="9310" priority="1501" operator="greaterThan">
      <formula>$C35</formula>
    </cfRule>
    <cfRule type="cellIs" dxfId="9309" priority="1502" operator="lessThan">
      <formula>$C35</formula>
    </cfRule>
  </conditionalFormatting>
  <conditionalFormatting sqref="D36:E36">
    <cfRule type="expression" dxfId="9308" priority="1499">
      <formula>AND($A36&lt;&gt;"",MOD(ROW(),2))</formula>
    </cfRule>
  </conditionalFormatting>
  <conditionalFormatting sqref="D36">
    <cfRule type="cellIs" dxfId="9307" priority="1496" operator="equal">
      <formula>$C36</formula>
    </cfRule>
    <cfRule type="cellIs" dxfId="9306" priority="1497" operator="greaterThan">
      <formula>$C36</formula>
    </cfRule>
    <cfRule type="cellIs" dxfId="9305" priority="1498" operator="lessThan">
      <formula>$C36</formula>
    </cfRule>
  </conditionalFormatting>
  <conditionalFormatting sqref="D37:E37">
    <cfRule type="expression" dxfId="9304" priority="1495">
      <formula>AND($A37&lt;&gt;"",MOD(ROW(),2))</formula>
    </cfRule>
  </conditionalFormatting>
  <conditionalFormatting sqref="D37">
    <cfRule type="cellIs" dxfId="9303" priority="1492" operator="equal">
      <formula>$C37</formula>
    </cfRule>
    <cfRule type="cellIs" dxfId="9302" priority="1493" operator="greaterThan">
      <formula>$C37</formula>
    </cfRule>
    <cfRule type="cellIs" dxfId="9301" priority="1494" operator="lessThan">
      <formula>$C37</formula>
    </cfRule>
  </conditionalFormatting>
  <conditionalFormatting sqref="D38:E38">
    <cfRule type="expression" dxfId="9300" priority="1491">
      <formula>AND($A38&lt;&gt;"",MOD(ROW(),2))</formula>
    </cfRule>
  </conditionalFormatting>
  <conditionalFormatting sqref="D38">
    <cfRule type="cellIs" dxfId="9299" priority="1488" operator="equal">
      <formula>$C38</formula>
    </cfRule>
    <cfRule type="cellIs" dxfId="9298" priority="1489" operator="greaterThan">
      <formula>$C38</formula>
    </cfRule>
    <cfRule type="cellIs" dxfId="9297" priority="1490" operator="lessThan">
      <formula>$C38</formula>
    </cfRule>
  </conditionalFormatting>
  <conditionalFormatting sqref="D39:E39">
    <cfRule type="expression" dxfId="9296" priority="1487">
      <formula>AND($A39&lt;&gt;"",MOD(ROW(),2))</formula>
    </cfRule>
  </conditionalFormatting>
  <conditionalFormatting sqref="D39">
    <cfRule type="cellIs" dxfId="9295" priority="1484" operator="equal">
      <formula>$C39</formula>
    </cfRule>
    <cfRule type="cellIs" dxfId="9294" priority="1485" operator="greaterThan">
      <formula>$C39</formula>
    </cfRule>
    <cfRule type="cellIs" dxfId="9293" priority="1486" operator="lessThan">
      <formula>$C39</formula>
    </cfRule>
  </conditionalFormatting>
  <conditionalFormatting sqref="D40:E40">
    <cfRule type="expression" dxfId="9292" priority="1483">
      <formula>AND($A40&lt;&gt;"",MOD(ROW(),2))</formula>
    </cfRule>
  </conditionalFormatting>
  <conditionalFormatting sqref="D40">
    <cfRule type="cellIs" dxfId="9291" priority="1480" operator="equal">
      <formula>$C40</formula>
    </cfRule>
    <cfRule type="cellIs" dxfId="9290" priority="1481" operator="greaterThan">
      <formula>$C40</formula>
    </cfRule>
    <cfRule type="cellIs" dxfId="9289" priority="1482" operator="lessThan">
      <formula>$C40</formula>
    </cfRule>
  </conditionalFormatting>
  <conditionalFormatting sqref="D41:E41">
    <cfRule type="expression" dxfId="9288" priority="1479">
      <formula>AND($A41&lt;&gt;"",MOD(ROW(),2))</formula>
    </cfRule>
  </conditionalFormatting>
  <conditionalFormatting sqref="D41">
    <cfRule type="cellIs" dxfId="9287" priority="1476" operator="equal">
      <formula>$C41</formula>
    </cfRule>
    <cfRule type="cellIs" dxfId="9286" priority="1477" operator="greaterThan">
      <formula>$C41</formula>
    </cfRule>
    <cfRule type="cellIs" dxfId="9285" priority="1478" operator="lessThan">
      <formula>$C41</formula>
    </cfRule>
  </conditionalFormatting>
  <conditionalFormatting sqref="D42:E42">
    <cfRule type="expression" dxfId="9284" priority="1475">
      <formula>AND($A42&lt;&gt;"",MOD(ROW(),2))</formula>
    </cfRule>
  </conditionalFormatting>
  <conditionalFormatting sqref="D42">
    <cfRule type="cellIs" dxfId="9283" priority="1472" operator="equal">
      <formula>$C42</formula>
    </cfRule>
    <cfRule type="cellIs" dxfId="9282" priority="1473" operator="greaterThan">
      <formula>$C42</formula>
    </cfRule>
    <cfRule type="cellIs" dxfId="9281" priority="1474" operator="lessThan">
      <formula>$C42</formula>
    </cfRule>
  </conditionalFormatting>
  <conditionalFormatting sqref="D43:E43">
    <cfRule type="expression" dxfId="9280" priority="1471">
      <formula>AND($A43&lt;&gt;"",MOD(ROW(),2))</formula>
    </cfRule>
  </conditionalFormatting>
  <conditionalFormatting sqref="D43">
    <cfRule type="cellIs" dxfId="9279" priority="1468" operator="equal">
      <formula>$C43</formula>
    </cfRule>
    <cfRule type="cellIs" dxfId="9278" priority="1469" operator="greaterThan">
      <formula>$C43</formula>
    </cfRule>
    <cfRule type="cellIs" dxfId="9277" priority="1470" operator="lessThan">
      <formula>$C43</formula>
    </cfRule>
  </conditionalFormatting>
  <conditionalFormatting sqref="D44:E44">
    <cfRule type="expression" dxfId="9276" priority="1467">
      <formula>AND($A44&lt;&gt;"",MOD(ROW(),2))</formula>
    </cfRule>
  </conditionalFormatting>
  <conditionalFormatting sqref="D44">
    <cfRule type="cellIs" dxfId="9275" priority="1464" operator="equal">
      <formula>$C44</formula>
    </cfRule>
    <cfRule type="cellIs" dxfId="9274" priority="1465" operator="greaterThan">
      <formula>$C44</formula>
    </cfRule>
    <cfRule type="cellIs" dxfId="9273" priority="1466" operator="lessThan">
      <formula>$C44</formula>
    </cfRule>
  </conditionalFormatting>
  <conditionalFormatting sqref="D45:E45">
    <cfRule type="expression" dxfId="9272" priority="1463">
      <formula>AND($A45&lt;&gt;"",MOD(ROW(),2))</formula>
    </cfRule>
  </conditionalFormatting>
  <conditionalFormatting sqref="D45">
    <cfRule type="cellIs" dxfId="9271" priority="1460" operator="equal">
      <formula>$C45</formula>
    </cfRule>
    <cfRule type="cellIs" dxfId="9270" priority="1461" operator="greaterThan">
      <formula>$C45</formula>
    </cfRule>
    <cfRule type="cellIs" dxfId="9269" priority="1462" operator="lessThan">
      <formula>$C45</formula>
    </cfRule>
  </conditionalFormatting>
  <conditionalFormatting sqref="D46:E46">
    <cfRule type="expression" dxfId="9268" priority="1459">
      <formula>AND($A46&lt;&gt;"",MOD(ROW(),2))</formula>
    </cfRule>
  </conditionalFormatting>
  <conditionalFormatting sqref="D46">
    <cfRule type="cellIs" dxfId="9267" priority="1456" operator="equal">
      <formula>$C46</formula>
    </cfRule>
    <cfRule type="cellIs" dxfId="9266" priority="1457" operator="greaterThan">
      <formula>$C46</formula>
    </cfRule>
    <cfRule type="cellIs" dxfId="9265" priority="1458" operator="lessThan">
      <formula>$C46</formula>
    </cfRule>
  </conditionalFormatting>
  <conditionalFormatting sqref="D47:E47">
    <cfRule type="expression" dxfId="9264" priority="1455">
      <formula>AND($A47&lt;&gt;"",MOD(ROW(),2))</formula>
    </cfRule>
  </conditionalFormatting>
  <conditionalFormatting sqref="D47">
    <cfRule type="cellIs" dxfId="9263" priority="1452" operator="equal">
      <formula>$C47</formula>
    </cfRule>
    <cfRule type="cellIs" dxfId="9262" priority="1453" operator="greaterThan">
      <formula>$C47</formula>
    </cfRule>
    <cfRule type="cellIs" dxfId="9261" priority="1454" operator="lessThan">
      <formula>$C47</formula>
    </cfRule>
  </conditionalFormatting>
  <conditionalFormatting sqref="D48:E48">
    <cfRule type="expression" dxfId="9260" priority="1451">
      <formula>AND($A48&lt;&gt;"",MOD(ROW(),2))</formula>
    </cfRule>
  </conditionalFormatting>
  <conditionalFormatting sqref="D48">
    <cfRule type="cellIs" dxfId="9259" priority="1448" operator="equal">
      <formula>$C48</formula>
    </cfRule>
    <cfRule type="cellIs" dxfId="9258" priority="1449" operator="greaterThan">
      <formula>$C48</formula>
    </cfRule>
    <cfRule type="cellIs" dxfId="9257" priority="1450" operator="lessThan">
      <formula>$C48</formula>
    </cfRule>
  </conditionalFormatting>
  <conditionalFormatting sqref="D28:E28">
    <cfRule type="expression" dxfId="9256" priority="1447">
      <formula>AND($A28&lt;&gt;"",MOD(ROW(),2))</formula>
    </cfRule>
  </conditionalFormatting>
  <conditionalFormatting sqref="D28">
    <cfRule type="cellIs" dxfId="9255" priority="1444" operator="equal">
      <formula>$C28</formula>
    </cfRule>
    <cfRule type="cellIs" dxfId="9254" priority="1445" operator="greaterThan">
      <formula>$C28</formula>
    </cfRule>
    <cfRule type="cellIs" dxfId="9253" priority="1446" operator="lessThan">
      <formula>$C28</formula>
    </cfRule>
  </conditionalFormatting>
  <conditionalFormatting sqref="D29:E29">
    <cfRule type="expression" dxfId="9252" priority="1443">
      <formula>AND($A29&lt;&gt;"",MOD(ROW(),2))</formula>
    </cfRule>
  </conditionalFormatting>
  <conditionalFormatting sqref="D29">
    <cfRule type="cellIs" dxfId="9251" priority="1440" operator="equal">
      <formula>$C29</formula>
    </cfRule>
    <cfRule type="cellIs" dxfId="9250" priority="1441" operator="greaterThan">
      <formula>$C29</formula>
    </cfRule>
    <cfRule type="cellIs" dxfId="9249" priority="1442" operator="lessThan">
      <formula>$C29</formula>
    </cfRule>
  </conditionalFormatting>
  <conditionalFormatting sqref="D30:E30">
    <cfRule type="expression" dxfId="9248" priority="1439">
      <formula>AND($A30&lt;&gt;"",MOD(ROW(),2))</formula>
    </cfRule>
  </conditionalFormatting>
  <conditionalFormatting sqref="D30">
    <cfRule type="cellIs" dxfId="9247" priority="1436" operator="equal">
      <formula>$C30</formula>
    </cfRule>
    <cfRule type="cellIs" dxfId="9246" priority="1437" operator="greaterThan">
      <formula>$C30</formula>
    </cfRule>
    <cfRule type="cellIs" dxfId="9245" priority="1438" operator="lessThan">
      <formula>$C30</formula>
    </cfRule>
  </conditionalFormatting>
  <conditionalFormatting sqref="D31:E31">
    <cfRule type="expression" dxfId="9244" priority="1435">
      <formula>AND($A31&lt;&gt;"",MOD(ROW(),2))</formula>
    </cfRule>
  </conditionalFormatting>
  <conditionalFormatting sqref="D31">
    <cfRule type="cellIs" dxfId="9243" priority="1432" operator="equal">
      <formula>$C31</formula>
    </cfRule>
    <cfRule type="cellIs" dxfId="9242" priority="1433" operator="greaterThan">
      <formula>$C31</formula>
    </cfRule>
    <cfRule type="cellIs" dxfId="9241" priority="1434" operator="lessThan">
      <formula>$C31</formula>
    </cfRule>
  </conditionalFormatting>
  <conditionalFormatting sqref="D32:E32">
    <cfRule type="expression" dxfId="9240" priority="1431">
      <formula>AND($A32&lt;&gt;"",MOD(ROW(),2))</formula>
    </cfRule>
  </conditionalFormatting>
  <conditionalFormatting sqref="D32">
    <cfRule type="cellIs" dxfId="9239" priority="1428" operator="equal">
      <formula>$C32</formula>
    </cfRule>
    <cfRule type="cellIs" dxfId="9238" priority="1429" operator="greaterThan">
      <formula>$C32</formula>
    </cfRule>
    <cfRule type="cellIs" dxfId="9237" priority="1430" operator="lessThan">
      <formula>$C32</formula>
    </cfRule>
  </conditionalFormatting>
  <conditionalFormatting sqref="D33:E33">
    <cfRule type="expression" dxfId="9236" priority="1427">
      <formula>AND($A33&lt;&gt;"",MOD(ROW(),2))</formula>
    </cfRule>
  </conditionalFormatting>
  <conditionalFormatting sqref="D33">
    <cfRule type="cellIs" dxfId="9235" priority="1424" operator="equal">
      <formula>$C33</formula>
    </cfRule>
    <cfRule type="cellIs" dxfId="9234" priority="1425" operator="greaterThan">
      <formula>$C33</formula>
    </cfRule>
    <cfRule type="cellIs" dxfId="9233" priority="1426" operator="lessThan">
      <formula>$C33</formula>
    </cfRule>
  </conditionalFormatting>
  <conditionalFormatting sqref="D34:E34">
    <cfRule type="expression" dxfId="9232" priority="1423">
      <formula>AND($A34&lt;&gt;"",MOD(ROW(),2))</formula>
    </cfRule>
  </conditionalFormatting>
  <conditionalFormatting sqref="D34">
    <cfRule type="cellIs" dxfId="9231" priority="1420" operator="equal">
      <formula>$C34</formula>
    </cfRule>
    <cfRule type="cellIs" dxfId="9230" priority="1421" operator="greaterThan">
      <formula>$C34</formula>
    </cfRule>
    <cfRule type="cellIs" dxfId="9229" priority="1422" operator="lessThan">
      <formula>$C34</formula>
    </cfRule>
  </conditionalFormatting>
  <conditionalFormatting sqref="D35:E35">
    <cfRule type="expression" dxfId="9228" priority="1419">
      <formula>AND($A35&lt;&gt;"",MOD(ROW(),2))</formula>
    </cfRule>
  </conditionalFormatting>
  <conditionalFormatting sqref="D35">
    <cfRule type="cellIs" dxfId="9227" priority="1416" operator="equal">
      <formula>$C35</formula>
    </cfRule>
    <cfRule type="cellIs" dxfId="9226" priority="1417" operator="greaterThan">
      <formula>$C35</formula>
    </cfRule>
    <cfRule type="cellIs" dxfId="9225" priority="1418" operator="lessThan">
      <formula>$C35</formula>
    </cfRule>
  </conditionalFormatting>
  <conditionalFormatting sqref="D36:E36">
    <cfRule type="expression" dxfId="9224" priority="1415">
      <formula>AND($A36&lt;&gt;"",MOD(ROW(),2))</formula>
    </cfRule>
  </conditionalFormatting>
  <conditionalFormatting sqref="D36">
    <cfRule type="cellIs" dxfId="9223" priority="1412" operator="equal">
      <formula>$C36</formula>
    </cfRule>
    <cfRule type="cellIs" dxfId="9222" priority="1413" operator="greaterThan">
      <formula>$C36</formula>
    </cfRule>
    <cfRule type="cellIs" dxfId="9221" priority="1414" operator="lessThan">
      <formula>$C36</formula>
    </cfRule>
  </conditionalFormatting>
  <conditionalFormatting sqref="D37:E37">
    <cfRule type="expression" dxfId="9220" priority="1411">
      <formula>AND($A37&lt;&gt;"",MOD(ROW(),2))</formula>
    </cfRule>
  </conditionalFormatting>
  <conditionalFormatting sqref="D37">
    <cfRule type="cellIs" dxfId="9219" priority="1408" operator="equal">
      <formula>$C37</formula>
    </cfRule>
    <cfRule type="cellIs" dxfId="9218" priority="1409" operator="greaterThan">
      <formula>$C37</formula>
    </cfRule>
    <cfRule type="cellIs" dxfId="9217" priority="1410" operator="lessThan">
      <formula>$C37</formula>
    </cfRule>
  </conditionalFormatting>
  <conditionalFormatting sqref="D38:E38">
    <cfRule type="expression" dxfId="9216" priority="1407">
      <formula>AND($A38&lt;&gt;"",MOD(ROW(),2))</formula>
    </cfRule>
  </conditionalFormatting>
  <conditionalFormatting sqref="D38">
    <cfRule type="cellIs" dxfId="9215" priority="1404" operator="equal">
      <formula>$C38</formula>
    </cfRule>
    <cfRule type="cellIs" dxfId="9214" priority="1405" operator="greaterThan">
      <formula>$C38</formula>
    </cfRule>
    <cfRule type="cellIs" dxfId="9213" priority="1406" operator="lessThan">
      <formula>$C38</formula>
    </cfRule>
  </conditionalFormatting>
  <conditionalFormatting sqref="D39:E39">
    <cfRule type="expression" dxfId="9212" priority="1403">
      <formula>AND($A39&lt;&gt;"",MOD(ROW(),2))</formula>
    </cfRule>
  </conditionalFormatting>
  <conditionalFormatting sqref="D39">
    <cfRule type="cellIs" dxfId="9211" priority="1400" operator="equal">
      <formula>$C39</formula>
    </cfRule>
    <cfRule type="cellIs" dxfId="9210" priority="1401" operator="greaterThan">
      <formula>$C39</formula>
    </cfRule>
    <cfRule type="cellIs" dxfId="9209" priority="1402" operator="lessThan">
      <formula>$C39</formula>
    </cfRule>
  </conditionalFormatting>
  <conditionalFormatting sqref="D40:E40">
    <cfRule type="expression" dxfId="9208" priority="1399">
      <formula>AND($A40&lt;&gt;"",MOD(ROW(),2))</formula>
    </cfRule>
  </conditionalFormatting>
  <conditionalFormatting sqref="D40">
    <cfRule type="cellIs" dxfId="9207" priority="1396" operator="equal">
      <formula>$C40</formula>
    </cfRule>
    <cfRule type="cellIs" dxfId="9206" priority="1397" operator="greaterThan">
      <formula>$C40</formula>
    </cfRule>
    <cfRule type="cellIs" dxfId="9205" priority="1398" operator="lessThan">
      <formula>$C40</formula>
    </cfRule>
  </conditionalFormatting>
  <conditionalFormatting sqref="D41:E41">
    <cfRule type="expression" dxfId="9204" priority="1395">
      <formula>AND($A41&lt;&gt;"",MOD(ROW(),2))</formula>
    </cfRule>
  </conditionalFormatting>
  <conditionalFormatting sqref="D41">
    <cfRule type="cellIs" dxfId="9203" priority="1392" operator="equal">
      <formula>$C41</formula>
    </cfRule>
    <cfRule type="cellIs" dxfId="9202" priority="1393" operator="greaterThan">
      <formula>$C41</formula>
    </cfRule>
    <cfRule type="cellIs" dxfId="9201" priority="1394" operator="lessThan">
      <formula>$C41</formula>
    </cfRule>
  </conditionalFormatting>
  <conditionalFormatting sqref="D42:E42">
    <cfRule type="expression" dxfId="9200" priority="1391">
      <formula>AND($A42&lt;&gt;"",MOD(ROW(),2))</formula>
    </cfRule>
  </conditionalFormatting>
  <conditionalFormatting sqref="D42">
    <cfRule type="cellIs" dxfId="9199" priority="1388" operator="equal">
      <formula>$C42</formula>
    </cfRule>
    <cfRule type="cellIs" dxfId="9198" priority="1389" operator="greaterThan">
      <formula>$C42</formula>
    </cfRule>
    <cfRule type="cellIs" dxfId="9197" priority="1390" operator="lessThan">
      <formula>$C42</formula>
    </cfRule>
  </conditionalFormatting>
  <conditionalFormatting sqref="D43:E43">
    <cfRule type="expression" dxfId="9196" priority="1387">
      <formula>AND($A43&lt;&gt;"",MOD(ROW(),2))</formula>
    </cfRule>
  </conditionalFormatting>
  <conditionalFormatting sqref="D43">
    <cfRule type="cellIs" dxfId="9195" priority="1384" operator="equal">
      <formula>$C43</formula>
    </cfRule>
    <cfRule type="cellIs" dxfId="9194" priority="1385" operator="greaterThan">
      <formula>$C43</formula>
    </cfRule>
    <cfRule type="cellIs" dxfId="9193" priority="1386" operator="lessThan">
      <formula>$C43</formula>
    </cfRule>
  </conditionalFormatting>
  <conditionalFormatting sqref="D44:E44">
    <cfRule type="expression" dxfId="9192" priority="1383">
      <formula>AND($A44&lt;&gt;"",MOD(ROW(),2))</formula>
    </cfRule>
  </conditionalFormatting>
  <conditionalFormatting sqref="D44">
    <cfRule type="cellIs" dxfId="9191" priority="1380" operator="equal">
      <formula>$C44</formula>
    </cfRule>
    <cfRule type="cellIs" dxfId="9190" priority="1381" operator="greaterThan">
      <formula>$C44</formula>
    </cfRule>
    <cfRule type="cellIs" dxfId="9189" priority="1382" operator="lessThan">
      <formula>$C44</formula>
    </cfRule>
  </conditionalFormatting>
  <conditionalFormatting sqref="D45:E45">
    <cfRule type="expression" dxfId="9188" priority="1379">
      <formula>AND($A45&lt;&gt;"",MOD(ROW(),2))</formula>
    </cfRule>
  </conditionalFormatting>
  <conditionalFormatting sqref="D45">
    <cfRule type="cellIs" dxfId="9187" priority="1376" operator="equal">
      <formula>$C45</formula>
    </cfRule>
    <cfRule type="cellIs" dxfId="9186" priority="1377" operator="greaterThan">
      <formula>$C45</formula>
    </cfRule>
    <cfRule type="cellIs" dxfId="9185" priority="1378" operator="lessThan">
      <formula>$C45</formula>
    </cfRule>
  </conditionalFormatting>
  <conditionalFormatting sqref="D46:E46">
    <cfRule type="expression" dxfId="9184" priority="1375">
      <formula>AND($A46&lt;&gt;"",MOD(ROW(),2))</formula>
    </cfRule>
  </conditionalFormatting>
  <conditionalFormatting sqref="D46">
    <cfRule type="cellIs" dxfId="9183" priority="1372" operator="equal">
      <formula>$C46</formula>
    </cfRule>
    <cfRule type="cellIs" dxfId="9182" priority="1373" operator="greaterThan">
      <formula>$C46</formula>
    </cfRule>
    <cfRule type="cellIs" dxfId="9181" priority="1374" operator="lessThan">
      <formula>$C46</formula>
    </cfRule>
  </conditionalFormatting>
  <conditionalFormatting sqref="D47:E47">
    <cfRule type="expression" dxfId="9180" priority="1371">
      <formula>AND($A47&lt;&gt;"",MOD(ROW(),2))</formula>
    </cfRule>
  </conditionalFormatting>
  <conditionalFormatting sqref="D47">
    <cfRule type="cellIs" dxfId="9179" priority="1368" operator="equal">
      <formula>$C47</formula>
    </cfRule>
    <cfRule type="cellIs" dxfId="9178" priority="1369" operator="greaterThan">
      <formula>$C47</formula>
    </cfRule>
    <cfRule type="cellIs" dxfId="9177" priority="1370" operator="lessThan">
      <formula>$C47</formula>
    </cfRule>
  </conditionalFormatting>
  <conditionalFormatting sqref="D48:E48">
    <cfRule type="expression" dxfId="9176" priority="1367">
      <formula>AND($A48&lt;&gt;"",MOD(ROW(),2))</formula>
    </cfRule>
  </conditionalFormatting>
  <conditionalFormatting sqref="D48">
    <cfRule type="cellIs" dxfId="9175" priority="1364" operator="equal">
      <formula>$C48</formula>
    </cfRule>
    <cfRule type="cellIs" dxfId="9174" priority="1365" operator="greaterThan">
      <formula>$C48</formula>
    </cfRule>
    <cfRule type="cellIs" dxfId="9173" priority="1366" operator="lessThan">
      <formula>$C48</formula>
    </cfRule>
  </conditionalFormatting>
  <conditionalFormatting sqref="D28:E28">
    <cfRule type="expression" dxfId="9172" priority="1363">
      <formula>AND($A28&lt;&gt;"",MOD(ROW(),2))</formula>
    </cfRule>
  </conditionalFormatting>
  <conditionalFormatting sqref="D28">
    <cfRule type="cellIs" dxfId="9171" priority="1360" operator="equal">
      <formula>$C28</formula>
    </cfRule>
    <cfRule type="cellIs" dxfId="9170" priority="1361" operator="greaterThan">
      <formula>$C28</formula>
    </cfRule>
    <cfRule type="cellIs" dxfId="9169" priority="1362" operator="lessThan">
      <formula>$C28</formula>
    </cfRule>
  </conditionalFormatting>
  <conditionalFormatting sqref="D29:E29">
    <cfRule type="expression" dxfId="9168" priority="1359">
      <formula>AND($A29&lt;&gt;"",MOD(ROW(),2))</formula>
    </cfRule>
  </conditionalFormatting>
  <conditionalFormatting sqref="D29">
    <cfRule type="cellIs" dxfId="9167" priority="1356" operator="equal">
      <formula>$C29</formula>
    </cfRule>
    <cfRule type="cellIs" dxfId="9166" priority="1357" operator="greaterThan">
      <formula>$C29</formula>
    </cfRule>
    <cfRule type="cellIs" dxfId="9165" priority="1358" operator="lessThan">
      <formula>$C29</formula>
    </cfRule>
  </conditionalFormatting>
  <conditionalFormatting sqref="D30:E30">
    <cfRule type="expression" dxfId="9164" priority="1355">
      <formula>AND($A30&lt;&gt;"",MOD(ROW(),2))</formula>
    </cfRule>
  </conditionalFormatting>
  <conditionalFormatting sqref="D30">
    <cfRule type="cellIs" dxfId="9163" priority="1352" operator="equal">
      <formula>$C30</formula>
    </cfRule>
    <cfRule type="cellIs" dxfId="9162" priority="1353" operator="greaterThan">
      <formula>$C30</formula>
    </cfRule>
    <cfRule type="cellIs" dxfId="9161" priority="1354" operator="lessThan">
      <formula>$C30</formula>
    </cfRule>
  </conditionalFormatting>
  <conditionalFormatting sqref="D31:E31">
    <cfRule type="expression" dxfId="9160" priority="1351">
      <formula>AND($A31&lt;&gt;"",MOD(ROW(),2))</formula>
    </cfRule>
  </conditionalFormatting>
  <conditionalFormatting sqref="D31">
    <cfRule type="cellIs" dxfId="9159" priority="1348" operator="equal">
      <formula>$C31</formula>
    </cfRule>
    <cfRule type="cellIs" dxfId="9158" priority="1349" operator="greaterThan">
      <formula>$C31</formula>
    </cfRule>
    <cfRule type="cellIs" dxfId="9157" priority="1350" operator="lessThan">
      <formula>$C31</formula>
    </cfRule>
  </conditionalFormatting>
  <conditionalFormatting sqref="D32:E32">
    <cfRule type="expression" dxfId="9156" priority="1347">
      <formula>AND($A32&lt;&gt;"",MOD(ROW(),2))</formula>
    </cfRule>
  </conditionalFormatting>
  <conditionalFormatting sqref="D32">
    <cfRule type="cellIs" dxfId="9155" priority="1344" operator="equal">
      <formula>$C32</formula>
    </cfRule>
    <cfRule type="cellIs" dxfId="9154" priority="1345" operator="greaterThan">
      <formula>$C32</formula>
    </cfRule>
    <cfRule type="cellIs" dxfId="9153" priority="1346" operator="lessThan">
      <formula>$C32</formula>
    </cfRule>
  </conditionalFormatting>
  <conditionalFormatting sqref="D33:E33">
    <cfRule type="expression" dxfId="9152" priority="1343">
      <formula>AND($A33&lt;&gt;"",MOD(ROW(),2))</formula>
    </cfRule>
  </conditionalFormatting>
  <conditionalFormatting sqref="D33">
    <cfRule type="cellIs" dxfId="9151" priority="1340" operator="equal">
      <formula>$C33</formula>
    </cfRule>
    <cfRule type="cellIs" dxfId="9150" priority="1341" operator="greaterThan">
      <formula>$C33</formula>
    </cfRule>
    <cfRule type="cellIs" dxfId="9149" priority="1342" operator="lessThan">
      <formula>$C33</formula>
    </cfRule>
  </conditionalFormatting>
  <conditionalFormatting sqref="D34:E34">
    <cfRule type="expression" dxfId="9148" priority="1339">
      <formula>AND($A34&lt;&gt;"",MOD(ROW(),2))</formula>
    </cfRule>
  </conditionalFormatting>
  <conditionalFormatting sqref="D34">
    <cfRule type="cellIs" dxfId="9147" priority="1336" operator="equal">
      <formula>$C34</formula>
    </cfRule>
    <cfRule type="cellIs" dxfId="9146" priority="1337" operator="greaterThan">
      <formula>$C34</formula>
    </cfRule>
    <cfRule type="cellIs" dxfId="9145" priority="1338" operator="lessThan">
      <formula>$C34</formula>
    </cfRule>
  </conditionalFormatting>
  <conditionalFormatting sqref="D35:E35">
    <cfRule type="expression" dxfId="9144" priority="1335">
      <formula>AND($A35&lt;&gt;"",MOD(ROW(),2))</formula>
    </cfRule>
  </conditionalFormatting>
  <conditionalFormatting sqref="D35">
    <cfRule type="cellIs" dxfId="9143" priority="1332" operator="equal">
      <formula>$C35</formula>
    </cfRule>
    <cfRule type="cellIs" dxfId="9142" priority="1333" operator="greaterThan">
      <formula>$C35</formula>
    </cfRule>
    <cfRule type="cellIs" dxfId="9141" priority="1334" operator="lessThan">
      <formula>$C35</formula>
    </cfRule>
  </conditionalFormatting>
  <conditionalFormatting sqref="D36:E36">
    <cfRule type="expression" dxfId="9140" priority="1331">
      <formula>AND($A36&lt;&gt;"",MOD(ROW(),2))</formula>
    </cfRule>
  </conditionalFormatting>
  <conditionalFormatting sqref="D36">
    <cfRule type="cellIs" dxfId="9139" priority="1328" operator="equal">
      <formula>$C36</formula>
    </cfRule>
    <cfRule type="cellIs" dxfId="9138" priority="1329" operator="greaterThan">
      <formula>$C36</formula>
    </cfRule>
    <cfRule type="cellIs" dxfId="9137" priority="1330" operator="lessThan">
      <formula>$C36</formula>
    </cfRule>
  </conditionalFormatting>
  <conditionalFormatting sqref="D37:E37">
    <cfRule type="expression" dxfId="9136" priority="1327">
      <formula>AND($A37&lt;&gt;"",MOD(ROW(),2))</formula>
    </cfRule>
  </conditionalFormatting>
  <conditionalFormatting sqref="D37">
    <cfRule type="cellIs" dxfId="9135" priority="1324" operator="equal">
      <formula>$C37</formula>
    </cfRule>
    <cfRule type="cellIs" dxfId="9134" priority="1325" operator="greaterThan">
      <formula>$C37</formula>
    </cfRule>
    <cfRule type="cellIs" dxfId="9133" priority="1326" operator="lessThan">
      <formula>$C37</formula>
    </cfRule>
  </conditionalFormatting>
  <conditionalFormatting sqref="D38:E38">
    <cfRule type="expression" dxfId="9132" priority="1323">
      <formula>AND($A38&lt;&gt;"",MOD(ROW(),2))</formula>
    </cfRule>
  </conditionalFormatting>
  <conditionalFormatting sqref="D38">
    <cfRule type="cellIs" dxfId="9131" priority="1320" operator="equal">
      <formula>$C38</formula>
    </cfRule>
    <cfRule type="cellIs" dxfId="9130" priority="1321" operator="greaterThan">
      <formula>$C38</formula>
    </cfRule>
    <cfRule type="cellIs" dxfId="9129" priority="1322" operator="lessThan">
      <formula>$C38</formula>
    </cfRule>
  </conditionalFormatting>
  <conditionalFormatting sqref="D39:E39">
    <cfRule type="expression" dxfId="9128" priority="1319">
      <formula>AND($A39&lt;&gt;"",MOD(ROW(),2))</formula>
    </cfRule>
  </conditionalFormatting>
  <conditionalFormatting sqref="D39">
    <cfRule type="cellIs" dxfId="9127" priority="1316" operator="equal">
      <formula>$C39</formula>
    </cfRule>
    <cfRule type="cellIs" dxfId="9126" priority="1317" operator="greaterThan">
      <formula>$C39</formula>
    </cfRule>
    <cfRule type="cellIs" dxfId="9125" priority="1318" operator="lessThan">
      <formula>$C39</formula>
    </cfRule>
  </conditionalFormatting>
  <conditionalFormatting sqref="D40:E40">
    <cfRule type="expression" dxfId="9124" priority="1315">
      <formula>AND($A40&lt;&gt;"",MOD(ROW(),2))</formula>
    </cfRule>
  </conditionalFormatting>
  <conditionalFormatting sqref="D40">
    <cfRule type="cellIs" dxfId="9123" priority="1312" operator="equal">
      <formula>$C40</formula>
    </cfRule>
    <cfRule type="cellIs" dxfId="9122" priority="1313" operator="greaterThan">
      <formula>$C40</formula>
    </cfRule>
    <cfRule type="cellIs" dxfId="9121" priority="1314" operator="lessThan">
      <formula>$C40</formula>
    </cfRule>
  </conditionalFormatting>
  <conditionalFormatting sqref="D41:E41">
    <cfRule type="expression" dxfId="9120" priority="1311">
      <formula>AND($A41&lt;&gt;"",MOD(ROW(),2))</formula>
    </cfRule>
  </conditionalFormatting>
  <conditionalFormatting sqref="D41">
    <cfRule type="cellIs" dxfId="9119" priority="1308" operator="equal">
      <formula>$C41</formula>
    </cfRule>
    <cfRule type="cellIs" dxfId="9118" priority="1309" operator="greaterThan">
      <formula>$C41</formula>
    </cfRule>
    <cfRule type="cellIs" dxfId="9117" priority="1310" operator="lessThan">
      <formula>$C41</formula>
    </cfRule>
  </conditionalFormatting>
  <conditionalFormatting sqref="D42:E42">
    <cfRule type="expression" dxfId="9116" priority="1307">
      <formula>AND($A42&lt;&gt;"",MOD(ROW(),2))</formula>
    </cfRule>
  </conditionalFormatting>
  <conditionalFormatting sqref="D42">
    <cfRule type="cellIs" dxfId="9115" priority="1304" operator="equal">
      <formula>$C42</formula>
    </cfRule>
    <cfRule type="cellIs" dxfId="9114" priority="1305" operator="greaterThan">
      <formula>$C42</formula>
    </cfRule>
    <cfRule type="cellIs" dxfId="9113" priority="1306" operator="lessThan">
      <formula>$C42</formula>
    </cfRule>
  </conditionalFormatting>
  <conditionalFormatting sqref="D43:E43">
    <cfRule type="expression" dxfId="9112" priority="1303">
      <formula>AND($A43&lt;&gt;"",MOD(ROW(),2))</formula>
    </cfRule>
  </conditionalFormatting>
  <conditionalFormatting sqref="D43">
    <cfRule type="cellIs" dxfId="9111" priority="1300" operator="equal">
      <formula>$C43</formula>
    </cfRule>
    <cfRule type="cellIs" dxfId="9110" priority="1301" operator="greaterThan">
      <formula>$C43</formula>
    </cfRule>
    <cfRule type="cellIs" dxfId="9109" priority="1302" operator="lessThan">
      <formula>$C43</formula>
    </cfRule>
  </conditionalFormatting>
  <conditionalFormatting sqref="D44:E44">
    <cfRule type="expression" dxfId="9108" priority="1299">
      <formula>AND($A44&lt;&gt;"",MOD(ROW(),2))</formula>
    </cfRule>
  </conditionalFormatting>
  <conditionalFormatting sqref="D44">
    <cfRule type="cellIs" dxfId="9107" priority="1296" operator="equal">
      <formula>$C44</formula>
    </cfRule>
    <cfRule type="cellIs" dxfId="9106" priority="1297" operator="greaterThan">
      <formula>$C44</formula>
    </cfRule>
    <cfRule type="cellIs" dxfId="9105" priority="1298" operator="lessThan">
      <formula>$C44</formula>
    </cfRule>
  </conditionalFormatting>
  <conditionalFormatting sqref="D45:E45">
    <cfRule type="expression" dxfId="9104" priority="1295">
      <formula>AND($A45&lt;&gt;"",MOD(ROW(),2))</formula>
    </cfRule>
  </conditionalFormatting>
  <conditionalFormatting sqref="D45">
    <cfRule type="cellIs" dxfId="9103" priority="1292" operator="equal">
      <formula>$C45</formula>
    </cfRule>
    <cfRule type="cellIs" dxfId="9102" priority="1293" operator="greaterThan">
      <formula>$C45</formula>
    </cfRule>
    <cfRule type="cellIs" dxfId="9101" priority="1294" operator="lessThan">
      <formula>$C45</formula>
    </cfRule>
  </conditionalFormatting>
  <conditionalFormatting sqref="D46:E46">
    <cfRule type="expression" dxfId="9100" priority="1291">
      <formula>AND($A46&lt;&gt;"",MOD(ROW(),2))</formula>
    </cfRule>
  </conditionalFormatting>
  <conditionalFormatting sqref="D46">
    <cfRule type="cellIs" dxfId="9099" priority="1288" operator="equal">
      <formula>$C46</formula>
    </cfRule>
    <cfRule type="cellIs" dxfId="9098" priority="1289" operator="greaterThan">
      <formula>$C46</formula>
    </cfRule>
    <cfRule type="cellIs" dxfId="9097" priority="1290" operator="lessThan">
      <formula>$C46</formula>
    </cfRule>
  </conditionalFormatting>
  <conditionalFormatting sqref="D47:E47">
    <cfRule type="expression" dxfId="9096" priority="1287">
      <formula>AND($A47&lt;&gt;"",MOD(ROW(),2))</formula>
    </cfRule>
  </conditionalFormatting>
  <conditionalFormatting sqref="D47">
    <cfRule type="cellIs" dxfId="9095" priority="1284" operator="equal">
      <formula>$C47</formula>
    </cfRule>
    <cfRule type="cellIs" dxfId="9094" priority="1285" operator="greaterThan">
      <formula>$C47</formula>
    </cfRule>
    <cfRule type="cellIs" dxfId="9093" priority="1286" operator="lessThan">
      <formula>$C47</formula>
    </cfRule>
  </conditionalFormatting>
  <conditionalFormatting sqref="D48:E48">
    <cfRule type="expression" dxfId="9092" priority="1283">
      <formula>AND($A48&lt;&gt;"",MOD(ROW(),2))</formula>
    </cfRule>
  </conditionalFormatting>
  <conditionalFormatting sqref="D48">
    <cfRule type="cellIs" dxfId="9091" priority="1280" operator="equal">
      <formula>$C48</formula>
    </cfRule>
    <cfRule type="cellIs" dxfId="9090" priority="1281" operator="greaterThan">
      <formula>$C48</formula>
    </cfRule>
    <cfRule type="cellIs" dxfId="9089" priority="1282" operator="lessThan">
      <formula>$C48</formula>
    </cfRule>
  </conditionalFormatting>
  <conditionalFormatting sqref="D49:E49">
    <cfRule type="expression" dxfId="9088" priority="1279">
      <formula>AND($A49&lt;&gt;"",MOD(ROW(),2))</formula>
    </cfRule>
  </conditionalFormatting>
  <conditionalFormatting sqref="D49">
    <cfRule type="cellIs" dxfId="9087" priority="1276" operator="equal">
      <formula>$C49</formula>
    </cfRule>
    <cfRule type="cellIs" dxfId="9086" priority="1277" operator="greaterThan">
      <formula>$C49</formula>
    </cfRule>
    <cfRule type="cellIs" dxfId="9085" priority="1278" operator="lessThan">
      <formula>$C49</formula>
    </cfRule>
  </conditionalFormatting>
  <conditionalFormatting sqref="D28:E28">
    <cfRule type="expression" dxfId="9084" priority="1275">
      <formula>AND($A28&lt;&gt;"",MOD(ROW(),2))</formula>
    </cfRule>
  </conditionalFormatting>
  <conditionalFormatting sqref="D28">
    <cfRule type="cellIs" dxfId="9083" priority="1272" operator="equal">
      <formula>$C28</formula>
    </cfRule>
    <cfRule type="cellIs" dxfId="9082" priority="1273" operator="greaterThan">
      <formula>$C28</formula>
    </cfRule>
    <cfRule type="cellIs" dxfId="9081" priority="1274" operator="lessThan">
      <formula>$C28</formula>
    </cfRule>
  </conditionalFormatting>
  <conditionalFormatting sqref="D29:E29">
    <cfRule type="expression" dxfId="9080" priority="1271">
      <formula>AND($A29&lt;&gt;"",MOD(ROW(),2))</formula>
    </cfRule>
  </conditionalFormatting>
  <conditionalFormatting sqref="D29">
    <cfRule type="cellIs" dxfId="9079" priority="1268" operator="equal">
      <formula>$C29</formula>
    </cfRule>
    <cfRule type="cellIs" dxfId="9078" priority="1269" operator="greaterThan">
      <formula>$C29</formula>
    </cfRule>
    <cfRule type="cellIs" dxfId="9077" priority="1270" operator="lessThan">
      <formula>$C29</formula>
    </cfRule>
  </conditionalFormatting>
  <conditionalFormatting sqref="D30:E30">
    <cfRule type="expression" dxfId="9076" priority="1267">
      <formula>AND($A30&lt;&gt;"",MOD(ROW(),2))</formula>
    </cfRule>
  </conditionalFormatting>
  <conditionalFormatting sqref="D30">
    <cfRule type="cellIs" dxfId="9075" priority="1264" operator="equal">
      <formula>$C30</formula>
    </cfRule>
    <cfRule type="cellIs" dxfId="9074" priority="1265" operator="greaterThan">
      <formula>$C30</formula>
    </cfRule>
    <cfRule type="cellIs" dxfId="9073" priority="1266" operator="lessThan">
      <formula>$C30</formula>
    </cfRule>
  </conditionalFormatting>
  <conditionalFormatting sqref="D31:E31">
    <cfRule type="expression" dxfId="9072" priority="1263">
      <formula>AND($A31&lt;&gt;"",MOD(ROW(),2))</formula>
    </cfRule>
  </conditionalFormatting>
  <conditionalFormatting sqref="D31">
    <cfRule type="cellIs" dxfId="9071" priority="1260" operator="equal">
      <formula>$C31</formula>
    </cfRule>
    <cfRule type="cellIs" dxfId="9070" priority="1261" operator="greaterThan">
      <formula>$C31</formula>
    </cfRule>
    <cfRule type="cellIs" dxfId="9069" priority="1262" operator="lessThan">
      <formula>$C31</formula>
    </cfRule>
  </conditionalFormatting>
  <conditionalFormatting sqref="D32:E32">
    <cfRule type="expression" dxfId="9068" priority="1259">
      <formula>AND($A32&lt;&gt;"",MOD(ROW(),2))</formula>
    </cfRule>
  </conditionalFormatting>
  <conditionalFormatting sqref="D32">
    <cfRule type="cellIs" dxfId="9067" priority="1256" operator="equal">
      <formula>$C32</formula>
    </cfRule>
    <cfRule type="cellIs" dxfId="9066" priority="1257" operator="greaterThan">
      <formula>$C32</formula>
    </cfRule>
    <cfRule type="cellIs" dxfId="9065" priority="1258" operator="lessThan">
      <formula>$C32</formula>
    </cfRule>
  </conditionalFormatting>
  <conditionalFormatting sqref="D33:E33">
    <cfRule type="expression" dxfId="9064" priority="1255">
      <formula>AND($A33&lt;&gt;"",MOD(ROW(),2))</formula>
    </cfRule>
  </conditionalFormatting>
  <conditionalFormatting sqref="D33">
    <cfRule type="cellIs" dxfId="9063" priority="1252" operator="equal">
      <formula>$C33</formula>
    </cfRule>
    <cfRule type="cellIs" dxfId="9062" priority="1253" operator="greaterThan">
      <formula>$C33</formula>
    </cfRule>
    <cfRule type="cellIs" dxfId="9061" priority="1254" operator="lessThan">
      <formula>$C33</formula>
    </cfRule>
  </conditionalFormatting>
  <conditionalFormatting sqref="D34:E34">
    <cfRule type="expression" dxfId="9060" priority="1251">
      <formula>AND($A34&lt;&gt;"",MOD(ROW(),2))</formula>
    </cfRule>
  </conditionalFormatting>
  <conditionalFormatting sqref="D34">
    <cfRule type="cellIs" dxfId="9059" priority="1248" operator="equal">
      <formula>$C34</formula>
    </cfRule>
    <cfRule type="cellIs" dxfId="9058" priority="1249" operator="greaterThan">
      <formula>$C34</formula>
    </cfRule>
    <cfRule type="cellIs" dxfId="9057" priority="1250" operator="lessThan">
      <formula>$C34</formula>
    </cfRule>
  </conditionalFormatting>
  <conditionalFormatting sqref="D35:E35">
    <cfRule type="expression" dxfId="9056" priority="1247">
      <formula>AND($A35&lt;&gt;"",MOD(ROW(),2))</formula>
    </cfRule>
  </conditionalFormatting>
  <conditionalFormatting sqref="D35">
    <cfRule type="cellIs" dxfId="9055" priority="1244" operator="equal">
      <formula>$C35</formula>
    </cfRule>
    <cfRule type="cellIs" dxfId="9054" priority="1245" operator="greaterThan">
      <formula>$C35</formula>
    </cfRule>
    <cfRule type="cellIs" dxfId="9053" priority="1246" operator="lessThan">
      <formula>$C35</formula>
    </cfRule>
  </conditionalFormatting>
  <conditionalFormatting sqref="D36:E36">
    <cfRule type="expression" dxfId="9052" priority="1243">
      <formula>AND($A36&lt;&gt;"",MOD(ROW(),2))</formula>
    </cfRule>
  </conditionalFormatting>
  <conditionalFormatting sqref="D36">
    <cfRule type="cellIs" dxfId="9051" priority="1240" operator="equal">
      <formula>$C36</formula>
    </cfRule>
    <cfRule type="cellIs" dxfId="9050" priority="1241" operator="greaterThan">
      <formula>$C36</formula>
    </cfRule>
    <cfRule type="cellIs" dxfId="9049" priority="1242" operator="lessThan">
      <formula>$C36</formula>
    </cfRule>
  </conditionalFormatting>
  <conditionalFormatting sqref="D37:E37">
    <cfRule type="expression" dxfId="9048" priority="1239">
      <formula>AND($A37&lt;&gt;"",MOD(ROW(),2))</formula>
    </cfRule>
  </conditionalFormatting>
  <conditionalFormatting sqref="D37">
    <cfRule type="cellIs" dxfId="9047" priority="1236" operator="equal">
      <formula>$C37</formula>
    </cfRule>
    <cfRule type="cellIs" dxfId="9046" priority="1237" operator="greaterThan">
      <formula>$C37</formula>
    </cfRule>
    <cfRule type="cellIs" dxfId="9045" priority="1238" operator="lessThan">
      <formula>$C37</formula>
    </cfRule>
  </conditionalFormatting>
  <conditionalFormatting sqref="D38:E38">
    <cfRule type="expression" dxfId="9044" priority="1235">
      <formula>AND($A38&lt;&gt;"",MOD(ROW(),2))</formula>
    </cfRule>
  </conditionalFormatting>
  <conditionalFormatting sqref="D38">
    <cfRule type="cellIs" dxfId="9043" priority="1232" operator="equal">
      <formula>$C38</formula>
    </cfRule>
    <cfRule type="cellIs" dxfId="9042" priority="1233" operator="greaterThan">
      <formula>$C38</formula>
    </cfRule>
    <cfRule type="cellIs" dxfId="9041" priority="1234" operator="lessThan">
      <formula>$C38</formula>
    </cfRule>
  </conditionalFormatting>
  <conditionalFormatting sqref="D39:E39">
    <cfRule type="expression" dxfId="9040" priority="1231">
      <formula>AND($A39&lt;&gt;"",MOD(ROW(),2))</formula>
    </cfRule>
  </conditionalFormatting>
  <conditionalFormatting sqref="D39">
    <cfRule type="cellIs" dxfId="9039" priority="1228" operator="equal">
      <formula>$C39</formula>
    </cfRule>
    <cfRule type="cellIs" dxfId="9038" priority="1229" operator="greaterThan">
      <formula>$C39</formula>
    </cfRule>
    <cfRule type="cellIs" dxfId="9037" priority="1230" operator="lessThan">
      <formula>$C39</formula>
    </cfRule>
  </conditionalFormatting>
  <conditionalFormatting sqref="D40:E40">
    <cfRule type="expression" dxfId="9036" priority="1227">
      <formula>AND($A40&lt;&gt;"",MOD(ROW(),2))</formula>
    </cfRule>
  </conditionalFormatting>
  <conditionalFormatting sqref="D40">
    <cfRule type="cellIs" dxfId="9035" priority="1224" operator="equal">
      <formula>$C40</formula>
    </cfRule>
    <cfRule type="cellIs" dxfId="9034" priority="1225" operator="greaterThan">
      <formula>$C40</formula>
    </cfRule>
    <cfRule type="cellIs" dxfId="9033" priority="1226" operator="lessThan">
      <formula>$C40</formula>
    </cfRule>
  </conditionalFormatting>
  <conditionalFormatting sqref="D41:E41">
    <cfRule type="expression" dxfId="9032" priority="1223">
      <formula>AND($A41&lt;&gt;"",MOD(ROW(),2))</formula>
    </cfRule>
  </conditionalFormatting>
  <conditionalFormatting sqref="D41">
    <cfRule type="cellIs" dxfId="9031" priority="1220" operator="equal">
      <formula>$C41</formula>
    </cfRule>
    <cfRule type="cellIs" dxfId="9030" priority="1221" operator="greaterThan">
      <formula>$C41</formula>
    </cfRule>
    <cfRule type="cellIs" dxfId="9029" priority="1222" operator="lessThan">
      <formula>$C41</formula>
    </cfRule>
  </conditionalFormatting>
  <conditionalFormatting sqref="D42:E42">
    <cfRule type="expression" dxfId="9028" priority="1219">
      <formula>AND($A42&lt;&gt;"",MOD(ROW(),2))</formula>
    </cfRule>
  </conditionalFormatting>
  <conditionalFormatting sqref="D42">
    <cfRule type="cellIs" dxfId="9027" priority="1216" operator="equal">
      <formula>$C42</formula>
    </cfRule>
    <cfRule type="cellIs" dxfId="9026" priority="1217" operator="greaterThan">
      <formula>$C42</formula>
    </cfRule>
    <cfRule type="cellIs" dxfId="9025" priority="1218" operator="lessThan">
      <formula>$C42</formula>
    </cfRule>
  </conditionalFormatting>
  <conditionalFormatting sqref="D43:E43">
    <cfRule type="expression" dxfId="9024" priority="1215">
      <formula>AND($A43&lt;&gt;"",MOD(ROW(),2))</formula>
    </cfRule>
  </conditionalFormatting>
  <conditionalFormatting sqref="D43">
    <cfRule type="cellIs" dxfId="9023" priority="1212" operator="equal">
      <formula>$C43</formula>
    </cfRule>
    <cfRule type="cellIs" dxfId="9022" priority="1213" operator="greaterThan">
      <formula>$C43</formula>
    </cfRule>
    <cfRule type="cellIs" dxfId="9021" priority="1214" operator="lessThan">
      <formula>$C43</formula>
    </cfRule>
  </conditionalFormatting>
  <conditionalFormatting sqref="D44:E44">
    <cfRule type="expression" dxfId="9020" priority="1211">
      <formula>AND($A44&lt;&gt;"",MOD(ROW(),2))</formula>
    </cfRule>
  </conditionalFormatting>
  <conditionalFormatting sqref="D44">
    <cfRule type="cellIs" dxfId="9019" priority="1208" operator="equal">
      <formula>$C44</formula>
    </cfRule>
    <cfRule type="cellIs" dxfId="9018" priority="1209" operator="greaterThan">
      <formula>$C44</formula>
    </cfRule>
    <cfRule type="cellIs" dxfId="9017" priority="1210" operator="lessThan">
      <formula>$C44</formula>
    </cfRule>
  </conditionalFormatting>
  <conditionalFormatting sqref="D45:E45">
    <cfRule type="expression" dxfId="9016" priority="1207">
      <formula>AND($A45&lt;&gt;"",MOD(ROW(),2))</formula>
    </cfRule>
  </conditionalFormatting>
  <conditionalFormatting sqref="D45">
    <cfRule type="cellIs" dxfId="9015" priority="1204" operator="equal">
      <formula>$C45</formula>
    </cfRule>
    <cfRule type="cellIs" dxfId="9014" priority="1205" operator="greaterThan">
      <formula>$C45</formula>
    </cfRule>
    <cfRule type="cellIs" dxfId="9013" priority="1206" operator="lessThan">
      <formula>$C45</formula>
    </cfRule>
  </conditionalFormatting>
  <conditionalFormatting sqref="D46:E46">
    <cfRule type="expression" dxfId="9012" priority="1203">
      <formula>AND($A46&lt;&gt;"",MOD(ROW(),2))</formula>
    </cfRule>
  </conditionalFormatting>
  <conditionalFormatting sqref="D46">
    <cfRule type="cellIs" dxfId="9011" priority="1200" operator="equal">
      <formula>$C46</formula>
    </cfRule>
    <cfRule type="cellIs" dxfId="9010" priority="1201" operator="greaterThan">
      <formula>$C46</formula>
    </cfRule>
    <cfRule type="cellIs" dxfId="9009" priority="1202" operator="lessThan">
      <formula>$C46</formula>
    </cfRule>
  </conditionalFormatting>
  <conditionalFormatting sqref="D47:E47">
    <cfRule type="expression" dxfId="9008" priority="1199">
      <formula>AND($A47&lt;&gt;"",MOD(ROW(),2))</formula>
    </cfRule>
  </conditionalFormatting>
  <conditionalFormatting sqref="D47">
    <cfRule type="cellIs" dxfId="9007" priority="1196" operator="equal">
      <formula>$C47</formula>
    </cfRule>
    <cfRule type="cellIs" dxfId="9006" priority="1197" operator="greaterThan">
      <formula>$C47</formula>
    </cfRule>
    <cfRule type="cellIs" dxfId="9005" priority="1198" operator="lessThan">
      <formula>$C47</formula>
    </cfRule>
  </conditionalFormatting>
  <conditionalFormatting sqref="D48:E48">
    <cfRule type="expression" dxfId="9004" priority="1195">
      <formula>AND($A48&lt;&gt;"",MOD(ROW(),2))</formula>
    </cfRule>
  </conditionalFormatting>
  <conditionalFormatting sqref="D48">
    <cfRule type="cellIs" dxfId="9003" priority="1192" operator="equal">
      <formula>$C48</formula>
    </cfRule>
    <cfRule type="cellIs" dxfId="9002" priority="1193" operator="greaterThan">
      <formula>$C48</formula>
    </cfRule>
    <cfRule type="cellIs" dxfId="9001" priority="1194" operator="lessThan">
      <formula>$C48</formula>
    </cfRule>
  </conditionalFormatting>
  <conditionalFormatting sqref="D49:E49">
    <cfRule type="expression" dxfId="9000" priority="1191">
      <formula>AND($A49&lt;&gt;"",MOD(ROW(),2))</formula>
    </cfRule>
  </conditionalFormatting>
  <conditionalFormatting sqref="D49">
    <cfRule type="cellIs" dxfId="8999" priority="1188" operator="equal">
      <formula>$C49</formula>
    </cfRule>
    <cfRule type="cellIs" dxfId="8998" priority="1189" operator="greaterThan">
      <formula>$C49</formula>
    </cfRule>
    <cfRule type="cellIs" dxfId="8997" priority="1190" operator="lessThan">
      <formula>$C49</formula>
    </cfRule>
  </conditionalFormatting>
  <conditionalFormatting sqref="D28:E28">
    <cfRule type="expression" dxfId="8996" priority="1187">
      <formula>AND($A28&lt;&gt;"",MOD(ROW(),2))</formula>
    </cfRule>
  </conditionalFormatting>
  <conditionalFormatting sqref="D28">
    <cfRule type="cellIs" dxfId="8995" priority="1184" operator="equal">
      <formula>$C28</formula>
    </cfRule>
    <cfRule type="cellIs" dxfId="8994" priority="1185" operator="greaterThan">
      <formula>$C28</formula>
    </cfRule>
    <cfRule type="cellIs" dxfId="8993" priority="1186" operator="lessThan">
      <formula>$C28</formula>
    </cfRule>
  </conditionalFormatting>
  <conditionalFormatting sqref="D29:E29">
    <cfRule type="expression" dxfId="8992" priority="1183">
      <formula>AND($A29&lt;&gt;"",MOD(ROW(),2))</formula>
    </cfRule>
  </conditionalFormatting>
  <conditionalFormatting sqref="D29">
    <cfRule type="cellIs" dxfId="8991" priority="1180" operator="equal">
      <formula>$C29</formula>
    </cfRule>
    <cfRule type="cellIs" dxfId="8990" priority="1181" operator="greaterThan">
      <formula>$C29</formula>
    </cfRule>
    <cfRule type="cellIs" dxfId="8989" priority="1182" operator="lessThan">
      <formula>$C29</formula>
    </cfRule>
  </conditionalFormatting>
  <conditionalFormatting sqref="D30:E30">
    <cfRule type="expression" dxfId="8988" priority="1179">
      <formula>AND($A30&lt;&gt;"",MOD(ROW(),2))</formula>
    </cfRule>
  </conditionalFormatting>
  <conditionalFormatting sqref="D30">
    <cfRule type="cellIs" dxfId="8987" priority="1176" operator="equal">
      <formula>$C30</formula>
    </cfRule>
    <cfRule type="cellIs" dxfId="8986" priority="1177" operator="greaterThan">
      <formula>$C30</formula>
    </cfRule>
    <cfRule type="cellIs" dxfId="8985" priority="1178" operator="lessThan">
      <formula>$C30</formula>
    </cfRule>
  </conditionalFormatting>
  <conditionalFormatting sqref="D31:E31">
    <cfRule type="expression" dxfId="8984" priority="1175">
      <formula>AND($A31&lt;&gt;"",MOD(ROW(),2))</formula>
    </cfRule>
  </conditionalFormatting>
  <conditionalFormatting sqref="D31">
    <cfRule type="cellIs" dxfId="8983" priority="1172" operator="equal">
      <formula>$C31</formula>
    </cfRule>
    <cfRule type="cellIs" dxfId="8982" priority="1173" operator="greaterThan">
      <formula>$C31</formula>
    </cfRule>
    <cfRule type="cellIs" dxfId="8981" priority="1174" operator="lessThan">
      <formula>$C31</formula>
    </cfRule>
  </conditionalFormatting>
  <conditionalFormatting sqref="D32:E32">
    <cfRule type="expression" dxfId="8980" priority="1171">
      <formula>AND($A32&lt;&gt;"",MOD(ROW(),2))</formula>
    </cfRule>
  </conditionalFormatting>
  <conditionalFormatting sqref="D32">
    <cfRule type="cellIs" dxfId="8979" priority="1168" operator="equal">
      <formula>$C32</formula>
    </cfRule>
    <cfRule type="cellIs" dxfId="8978" priority="1169" operator="greaterThan">
      <formula>$C32</formula>
    </cfRule>
    <cfRule type="cellIs" dxfId="8977" priority="1170" operator="lessThan">
      <formula>$C32</formula>
    </cfRule>
  </conditionalFormatting>
  <conditionalFormatting sqref="D33:E33">
    <cfRule type="expression" dxfId="8976" priority="1167">
      <formula>AND($A33&lt;&gt;"",MOD(ROW(),2))</formula>
    </cfRule>
  </conditionalFormatting>
  <conditionalFormatting sqref="D33">
    <cfRule type="cellIs" dxfId="8975" priority="1164" operator="equal">
      <formula>$C33</formula>
    </cfRule>
    <cfRule type="cellIs" dxfId="8974" priority="1165" operator="greaterThan">
      <formula>$C33</formula>
    </cfRule>
    <cfRule type="cellIs" dxfId="8973" priority="1166" operator="lessThan">
      <formula>$C33</formula>
    </cfRule>
  </conditionalFormatting>
  <conditionalFormatting sqref="D34:E34">
    <cfRule type="expression" dxfId="8972" priority="1163">
      <formula>AND($A34&lt;&gt;"",MOD(ROW(),2))</formula>
    </cfRule>
  </conditionalFormatting>
  <conditionalFormatting sqref="D34">
    <cfRule type="cellIs" dxfId="8971" priority="1160" operator="equal">
      <formula>$C34</formula>
    </cfRule>
    <cfRule type="cellIs" dxfId="8970" priority="1161" operator="greaterThan">
      <formula>$C34</formula>
    </cfRule>
    <cfRule type="cellIs" dxfId="8969" priority="1162" operator="lessThan">
      <formula>$C34</formula>
    </cfRule>
  </conditionalFormatting>
  <conditionalFormatting sqref="D35:E35">
    <cfRule type="expression" dxfId="8968" priority="1159">
      <formula>AND($A35&lt;&gt;"",MOD(ROW(),2))</formula>
    </cfRule>
  </conditionalFormatting>
  <conditionalFormatting sqref="D35">
    <cfRule type="cellIs" dxfId="8967" priority="1156" operator="equal">
      <formula>$C35</formula>
    </cfRule>
    <cfRule type="cellIs" dxfId="8966" priority="1157" operator="greaterThan">
      <formula>$C35</formula>
    </cfRule>
    <cfRule type="cellIs" dxfId="8965" priority="1158" operator="lessThan">
      <formula>$C35</formula>
    </cfRule>
  </conditionalFormatting>
  <conditionalFormatting sqref="D36:E36">
    <cfRule type="expression" dxfId="8964" priority="1155">
      <formula>AND($A36&lt;&gt;"",MOD(ROW(),2))</formula>
    </cfRule>
  </conditionalFormatting>
  <conditionalFormatting sqref="D36">
    <cfRule type="cellIs" dxfId="8963" priority="1152" operator="equal">
      <formula>$C36</formula>
    </cfRule>
    <cfRule type="cellIs" dxfId="8962" priority="1153" operator="greaterThan">
      <formula>$C36</formula>
    </cfRule>
    <cfRule type="cellIs" dxfId="8961" priority="1154" operator="lessThan">
      <formula>$C36</formula>
    </cfRule>
  </conditionalFormatting>
  <conditionalFormatting sqref="D37:E37">
    <cfRule type="expression" dxfId="8960" priority="1151">
      <formula>AND($A37&lt;&gt;"",MOD(ROW(),2))</formula>
    </cfRule>
  </conditionalFormatting>
  <conditionalFormatting sqref="D37">
    <cfRule type="cellIs" dxfId="8959" priority="1148" operator="equal">
      <formula>$C37</formula>
    </cfRule>
    <cfRule type="cellIs" dxfId="8958" priority="1149" operator="greaterThan">
      <formula>$C37</formula>
    </cfRule>
    <cfRule type="cellIs" dxfId="8957" priority="1150" operator="lessThan">
      <formula>$C37</formula>
    </cfRule>
  </conditionalFormatting>
  <conditionalFormatting sqref="D38:E38">
    <cfRule type="expression" dxfId="8956" priority="1147">
      <formula>AND($A38&lt;&gt;"",MOD(ROW(),2))</formula>
    </cfRule>
  </conditionalFormatting>
  <conditionalFormatting sqref="D38">
    <cfRule type="cellIs" dxfId="8955" priority="1144" operator="equal">
      <formula>$C38</formula>
    </cfRule>
    <cfRule type="cellIs" dxfId="8954" priority="1145" operator="greaterThan">
      <formula>$C38</formula>
    </cfRule>
    <cfRule type="cellIs" dxfId="8953" priority="1146" operator="lessThan">
      <formula>$C38</formula>
    </cfRule>
  </conditionalFormatting>
  <conditionalFormatting sqref="D39:E39">
    <cfRule type="expression" dxfId="8952" priority="1143">
      <formula>AND($A39&lt;&gt;"",MOD(ROW(),2))</formula>
    </cfRule>
  </conditionalFormatting>
  <conditionalFormatting sqref="D39">
    <cfRule type="cellIs" dxfId="8951" priority="1140" operator="equal">
      <formula>$C39</formula>
    </cfRule>
    <cfRule type="cellIs" dxfId="8950" priority="1141" operator="greaterThan">
      <formula>$C39</formula>
    </cfRule>
    <cfRule type="cellIs" dxfId="8949" priority="1142" operator="lessThan">
      <formula>$C39</formula>
    </cfRule>
  </conditionalFormatting>
  <conditionalFormatting sqref="D40:E40">
    <cfRule type="expression" dxfId="8948" priority="1139">
      <formula>AND($A40&lt;&gt;"",MOD(ROW(),2))</formula>
    </cfRule>
  </conditionalFormatting>
  <conditionalFormatting sqref="D40">
    <cfRule type="cellIs" dxfId="8947" priority="1136" operator="equal">
      <formula>$C40</formula>
    </cfRule>
    <cfRule type="cellIs" dxfId="8946" priority="1137" operator="greaterThan">
      <formula>$C40</formula>
    </cfRule>
    <cfRule type="cellIs" dxfId="8945" priority="1138" operator="lessThan">
      <formula>$C40</formula>
    </cfRule>
  </conditionalFormatting>
  <conditionalFormatting sqref="D41:E41">
    <cfRule type="expression" dxfId="8944" priority="1135">
      <formula>AND($A41&lt;&gt;"",MOD(ROW(),2))</formula>
    </cfRule>
  </conditionalFormatting>
  <conditionalFormatting sqref="D41">
    <cfRule type="cellIs" dxfId="8943" priority="1132" operator="equal">
      <formula>$C41</formula>
    </cfRule>
    <cfRule type="cellIs" dxfId="8942" priority="1133" operator="greaterThan">
      <formula>$C41</formula>
    </cfRule>
    <cfRule type="cellIs" dxfId="8941" priority="1134" operator="lessThan">
      <formula>$C41</formula>
    </cfRule>
  </conditionalFormatting>
  <conditionalFormatting sqref="D42:E42">
    <cfRule type="expression" dxfId="8940" priority="1131">
      <formula>AND($A42&lt;&gt;"",MOD(ROW(),2))</formula>
    </cfRule>
  </conditionalFormatting>
  <conditionalFormatting sqref="D42">
    <cfRule type="cellIs" dxfId="8939" priority="1128" operator="equal">
      <formula>$C42</formula>
    </cfRule>
    <cfRule type="cellIs" dxfId="8938" priority="1129" operator="greaterThan">
      <formula>$C42</formula>
    </cfRule>
    <cfRule type="cellIs" dxfId="8937" priority="1130" operator="lessThan">
      <formula>$C42</formula>
    </cfRule>
  </conditionalFormatting>
  <conditionalFormatting sqref="D43:E43">
    <cfRule type="expression" dxfId="8936" priority="1127">
      <formula>AND($A43&lt;&gt;"",MOD(ROW(),2))</formula>
    </cfRule>
  </conditionalFormatting>
  <conditionalFormatting sqref="D43">
    <cfRule type="cellIs" dxfId="8935" priority="1124" operator="equal">
      <formula>$C43</formula>
    </cfRule>
    <cfRule type="cellIs" dxfId="8934" priority="1125" operator="greaterThan">
      <formula>$C43</formula>
    </cfRule>
    <cfRule type="cellIs" dxfId="8933" priority="1126" operator="lessThan">
      <formula>$C43</formula>
    </cfRule>
  </conditionalFormatting>
  <conditionalFormatting sqref="D44:E44">
    <cfRule type="expression" dxfId="8932" priority="1123">
      <formula>AND($A44&lt;&gt;"",MOD(ROW(),2))</formula>
    </cfRule>
  </conditionalFormatting>
  <conditionalFormatting sqref="D44">
    <cfRule type="cellIs" dxfId="8931" priority="1120" operator="equal">
      <formula>$C44</formula>
    </cfRule>
    <cfRule type="cellIs" dxfId="8930" priority="1121" operator="greaterThan">
      <formula>$C44</formula>
    </cfRule>
    <cfRule type="cellIs" dxfId="8929" priority="1122" operator="lessThan">
      <formula>$C44</formula>
    </cfRule>
  </conditionalFormatting>
  <conditionalFormatting sqref="D45:E45">
    <cfRule type="expression" dxfId="8928" priority="1119">
      <formula>AND($A45&lt;&gt;"",MOD(ROW(),2))</formula>
    </cfRule>
  </conditionalFormatting>
  <conditionalFormatting sqref="D45">
    <cfRule type="cellIs" dxfId="8927" priority="1116" operator="equal">
      <formula>$C45</formula>
    </cfRule>
    <cfRule type="cellIs" dxfId="8926" priority="1117" operator="greaterThan">
      <formula>$C45</formula>
    </cfRule>
    <cfRule type="cellIs" dxfId="8925" priority="1118" operator="lessThan">
      <formula>$C45</formula>
    </cfRule>
  </conditionalFormatting>
  <conditionalFormatting sqref="D46:E46">
    <cfRule type="expression" dxfId="8924" priority="1115">
      <formula>AND($A46&lt;&gt;"",MOD(ROW(),2))</formula>
    </cfRule>
  </conditionalFormatting>
  <conditionalFormatting sqref="D46">
    <cfRule type="cellIs" dxfId="8923" priority="1112" operator="equal">
      <formula>$C46</formula>
    </cfRule>
    <cfRule type="cellIs" dxfId="8922" priority="1113" operator="greaterThan">
      <formula>$C46</formula>
    </cfRule>
    <cfRule type="cellIs" dxfId="8921" priority="1114" operator="lessThan">
      <formula>$C46</formula>
    </cfRule>
  </conditionalFormatting>
  <conditionalFormatting sqref="D47:E47">
    <cfRule type="expression" dxfId="8920" priority="1111">
      <formula>AND($A47&lt;&gt;"",MOD(ROW(),2))</formula>
    </cfRule>
  </conditionalFormatting>
  <conditionalFormatting sqref="D47">
    <cfRule type="cellIs" dxfId="8919" priority="1108" operator="equal">
      <formula>$C47</formula>
    </cfRule>
    <cfRule type="cellIs" dxfId="8918" priority="1109" operator="greaterThan">
      <formula>$C47</formula>
    </cfRule>
    <cfRule type="cellIs" dxfId="8917" priority="1110" operator="lessThan">
      <formula>$C47</formula>
    </cfRule>
  </conditionalFormatting>
  <conditionalFormatting sqref="D48:E48">
    <cfRule type="expression" dxfId="8916" priority="1107">
      <formula>AND($A48&lt;&gt;"",MOD(ROW(),2))</formula>
    </cfRule>
  </conditionalFormatting>
  <conditionalFormatting sqref="D48">
    <cfRule type="cellIs" dxfId="8915" priority="1104" operator="equal">
      <formula>$C48</formula>
    </cfRule>
    <cfRule type="cellIs" dxfId="8914" priority="1105" operator="greaterThan">
      <formula>$C48</formula>
    </cfRule>
    <cfRule type="cellIs" dxfId="8913" priority="1106" operator="lessThan">
      <formula>$C48</formula>
    </cfRule>
  </conditionalFormatting>
  <conditionalFormatting sqref="D28:E28">
    <cfRule type="expression" dxfId="8912" priority="1103">
      <formula>AND($A28&lt;&gt;"",MOD(ROW(),2))</formula>
    </cfRule>
  </conditionalFormatting>
  <conditionalFormatting sqref="D28">
    <cfRule type="cellIs" dxfId="8911" priority="1100" operator="equal">
      <formula>$C28</formula>
    </cfRule>
    <cfRule type="cellIs" dxfId="8910" priority="1101" operator="greaterThan">
      <formula>$C28</formula>
    </cfRule>
    <cfRule type="cellIs" dxfId="8909" priority="1102" operator="lessThan">
      <formula>$C28</formula>
    </cfRule>
  </conditionalFormatting>
  <conditionalFormatting sqref="D29:E29">
    <cfRule type="expression" dxfId="8908" priority="1099">
      <formula>AND($A29&lt;&gt;"",MOD(ROW(),2))</formula>
    </cfRule>
  </conditionalFormatting>
  <conditionalFormatting sqref="D29">
    <cfRule type="cellIs" dxfId="8907" priority="1096" operator="equal">
      <formula>$C29</formula>
    </cfRule>
    <cfRule type="cellIs" dxfId="8906" priority="1097" operator="greaterThan">
      <formula>$C29</formula>
    </cfRule>
    <cfRule type="cellIs" dxfId="8905" priority="1098" operator="lessThan">
      <formula>$C29</formula>
    </cfRule>
  </conditionalFormatting>
  <conditionalFormatting sqref="D30:E30">
    <cfRule type="expression" dxfId="8904" priority="1095">
      <formula>AND($A30&lt;&gt;"",MOD(ROW(),2))</formula>
    </cfRule>
  </conditionalFormatting>
  <conditionalFormatting sqref="D30">
    <cfRule type="cellIs" dxfId="8903" priority="1092" operator="equal">
      <formula>$C30</formula>
    </cfRule>
    <cfRule type="cellIs" dxfId="8902" priority="1093" operator="greaterThan">
      <formula>$C30</formula>
    </cfRule>
    <cfRule type="cellIs" dxfId="8901" priority="1094" operator="lessThan">
      <formula>$C30</formula>
    </cfRule>
  </conditionalFormatting>
  <conditionalFormatting sqref="D31:E31">
    <cfRule type="expression" dxfId="8900" priority="1091">
      <formula>AND($A31&lt;&gt;"",MOD(ROW(),2))</formula>
    </cfRule>
  </conditionalFormatting>
  <conditionalFormatting sqref="D31">
    <cfRule type="cellIs" dxfId="8899" priority="1088" operator="equal">
      <formula>$C31</formula>
    </cfRule>
    <cfRule type="cellIs" dxfId="8898" priority="1089" operator="greaterThan">
      <formula>$C31</formula>
    </cfRule>
    <cfRule type="cellIs" dxfId="8897" priority="1090" operator="lessThan">
      <formula>$C31</formula>
    </cfRule>
  </conditionalFormatting>
  <conditionalFormatting sqref="D32:E32">
    <cfRule type="expression" dxfId="8896" priority="1087">
      <formula>AND($A32&lt;&gt;"",MOD(ROW(),2))</formula>
    </cfRule>
  </conditionalFormatting>
  <conditionalFormatting sqref="D32">
    <cfRule type="cellIs" dxfId="8895" priority="1084" operator="equal">
      <formula>$C32</formula>
    </cfRule>
    <cfRule type="cellIs" dxfId="8894" priority="1085" operator="greaterThan">
      <formula>$C32</formula>
    </cfRule>
    <cfRule type="cellIs" dxfId="8893" priority="1086" operator="lessThan">
      <formula>$C32</formula>
    </cfRule>
  </conditionalFormatting>
  <conditionalFormatting sqref="D33:E33">
    <cfRule type="expression" dxfId="8892" priority="1083">
      <formula>AND($A33&lt;&gt;"",MOD(ROW(),2))</formula>
    </cfRule>
  </conditionalFormatting>
  <conditionalFormatting sqref="D33">
    <cfRule type="cellIs" dxfId="8891" priority="1080" operator="equal">
      <formula>$C33</formula>
    </cfRule>
    <cfRule type="cellIs" dxfId="8890" priority="1081" operator="greaterThan">
      <formula>$C33</formula>
    </cfRule>
    <cfRule type="cellIs" dxfId="8889" priority="1082" operator="lessThan">
      <formula>$C33</formula>
    </cfRule>
  </conditionalFormatting>
  <conditionalFormatting sqref="D34:E34">
    <cfRule type="expression" dxfId="8888" priority="1079">
      <formula>AND($A34&lt;&gt;"",MOD(ROW(),2))</formula>
    </cfRule>
  </conditionalFormatting>
  <conditionalFormatting sqref="D34">
    <cfRule type="cellIs" dxfId="8887" priority="1076" operator="equal">
      <formula>$C34</formula>
    </cfRule>
    <cfRule type="cellIs" dxfId="8886" priority="1077" operator="greaterThan">
      <formula>$C34</formula>
    </cfRule>
    <cfRule type="cellIs" dxfId="8885" priority="1078" operator="lessThan">
      <formula>$C34</formula>
    </cfRule>
  </conditionalFormatting>
  <conditionalFormatting sqref="D35:E35">
    <cfRule type="expression" dxfId="8884" priority="1075">
      <formula>AND($A35&lt;&gt;"",MOD(ROW(),2))</formula>
    </cfRule>
  </conditionalFormatting>
  <conditionalFormatting sqref="D35">
    <cfRule type="cellIs" dxfId="8883" priority="1072" operator="equal">
      <formula>$C35</formula>
    </cfRule>
    <cfRule type="cellIs" dxfId="8882" priority="1073" operator="greaterThan">
      <formula>$C35</formula>
    </cfRule>
    <cfRule type="cellIs" dxfId="8881" priority="1074" operator="lessThan">
      <formula>$C35</formula>
    </cfRule>
  </conditionalFormatting>
  <conditionalFormatting sqref="D36:E36">
    <cfRule type="expression" dxfId="8880" priority="1071">
      <formula>AND($A36&lt;&gt;"",MOD(ROW(),2))</formula>
    </cfRule>
  </conditionalFormatting>
  <conditionalFormatting sqref="D36">
    <cfRule type="cellIs" dxfId="8879" priority="1068" operator="equal">
      <formula>$C36</formula>
    </cfRule>
    <cfRule type="cellIs" dxfId="8878" priority="1069" operator="greaterThan">
      <formula>$C36</formula>
    </cfRule>
    <cfRule type="cellIs" dxfId="8877" priority="1070" operator="lessThan">
      <formula>$C36</formula>
    </cfRule>
  </conditionalFormatting>
  <conditionalFormatting sqref="D37:E37">
    <cfRule type="expression" dxfId="8876" priority="1067">
      <formula>AND($A37&lt;&gt;"",MOD(ROW(),2))</formula>
    </cfRule>
  </conditionalFormatting>
  <conditionalFormatting sqref="D37">
    <cfRule type="cellIs" dxfId="8875" priority="1064" operator="equal">
      <formula>$C37</formula>
    </cfRule>
    <cfRule type="cellIs" dxfId="8874" priority="1065" operator="greaterThan">
      <formula>$C37</formula>
    </cfRule>
    <cfRule type="cellIs" dxfId="8873" priority="1066" operator="lessThan">
      <formula>$C37</formula>
    </cfRule>
  </conditionalFormatting>
  <conditionalFormatting sqref="D38:E38">
    <cfRule type="expression" dxfId="8872" priority="1063">
      <formula>AND($A38&lt;&gt;"",MOD(ROW(),2))</formula>
    </cfRule>
  </conditionalFormatting>
  <conditionalFormatting sqref="D38">
    <cfRule type="cellIs" dxfId="8871" priority="1060" operator="equal">
      <formula>$C38</formula>
    </cfRule>
    <cfRule type="cellIs" dxfId="8870" priority="1061" operator="greaterThan">
      <formula>$C38</formula>
    </cfRule>
    <cfRule type="cellIs" dxfId="8869" priority="1062" operator="lessThan">
      <formula>$C38</formula>
    </cfRule>
  </conditionalFormatting>
  <conditionalFormatting sqref="D39:E39">
    <cfRule type="expression" dxfId="8868" priority="1059">
      <formula>AND($A39&lt;&gt;"",MOD(ROW(),2))</formula>
    </cfRule>
  </conditionalFormatting>
  <conditionalFormatting sqref="D39">
    <cfRule type="cellIs" dxfId="8867" priority="1056" operator="equal">
      <formula>$C39</formula>
    </cfRule>
    <cfRule type="cellIs" dxfId="8866" priority="1057" operator="greaterThan">
      <formula>$C39</formula>
    </cfRule>
    <cfRule type="cellIs" dxfId="8865" priority="1058" operator="lessThan">
      <formula>$C39</formula>
    </cfRule>
  </conditionalFormatting>
  <conditionalFormatting sqref="D40:E40">
    <cfRule type="expression" dxfId="8864" priority="1055">
      <formula>AND($A40&lt;&gt;"",MOD(ROW(),2))</formula>
    </cfRule>
  </conditionalFormatting>
  <conditionalFormatting sqref="D40">
    <cfRule type="cellIs" dxfId="8863" priority="1052" operator="equal">
      <formula>$C40</formula>
    </cfRule>
    <cfRule type="cellIs" dxfId="8862" priority="1053" operator="greaterThan">
      <formula>$C40</formula>
    </cfRule>
    <cfRule type="cellIs" dxfId="8861" priority="1054" operator="lessThan">
      <formula>$C40</formula>
    </cfRule>
  </conditionalFormatting>
  <conditionalFormatting sqref="D41:E41">
    <cfRule type="expression" dxfId="8860" priority="1051">
      <formula>AND($A41&lt;&gt;"",MOD(ROW(),2))</formula>
    </cfRule>
  </conditionalFormatting>
  <conditionalFormatting sqref="D41">
    <cfRule type="cellIs" dxfId="8859" priority="1048" operator="equal">
      <formula>$C41</formula>
    </cfRule>
    <cfRule type="cellIs" dxfId="8858" priority="1049" operator="greaterThan">
      <formula>$C41</formula>
    </cfRule>
    <cfRule type="cellIs" dxfId="8857" priority="1050" operator="lessThan">
      <formula>$C41</formula>
    </cfRule>
  </conditionalFormatting>
  <conditionalFormatting sqref="D42:E42">
    <cfRule type="expression" dxfId="8856" priority="1047">
      <formula>AND($A42&lt;&gt;"",MOD(ROW(),2))</formula>
    </cfRule>
  </conditionalFormatting>
  <conditionalFormatting sqref="D42">
    <cfRule type="cellIs" dxfId="8855" priority="1044" operator="equal">
      <formula>$C42</formula>
    </cfRule>
    <cfRule type="cellIs" dxfId="8854" priority="1045" operator="greaterThan">
      <formula>$C42</formula>
    </cfRule>
    <cfRule type="cellIs" dxfId="8853" priority="1046" operator="lessThan">
      <formula>$C42</formula>
    </cfRule>
  </conditionalFormatting>
  <conditionalFormatting sqref="D43:E43">
    <cfRule type="expression" dxfId="8852" priority="1043">
      <formula>AND($A43&lt;&gt;"",MOD(ROW(),2))</formula>
    </cfRule>
  </conditionalFormatting>
  <conditionalFormatting sqref="D43">
    <cfRule type="cellIs" dxfId="8851" priority="1040" operator="equal">
      <formula>$C43</formula>
    </cfRule>
    <cfRule type="cellIs" dxfId="8850" priority="1041" operator="greaterThan">
      <formula>$C43</formula>
    </cfRule>
    <cfRule type="cellIs" dxfId="8849" priority="1042" operator="lessThan">
      <formula>$C43</formula>
    </cfRule>
  </conditionalFormatting>
  <conditionalFormatting sqref="D44:E44">
    <cfRule type="expression" dxfId="8848" priority="1039">
      <formula>AND($A44&lt;&gt;"",MOD(ROW(),2))</formula>
    </cfRule>
  </conditionalFormatting>
  <conditionalFormatting sqref="D44">
    <cfRule type="cellIs" dxfId="8847" priority="1036" operator="equal">
      <formula>$C44</formula>
    </cfRule>
    <cfRule type="cellIs" dxfId="8846" priority="1037" operator="greaterThan">
      <formula>$C44</formula>
    </cfRule>
    <cfRule type="cellIs" dxfId="8845" priority="1038" operator="lessThan">
      <formula>$C44</formula>
    </cfRule>
  </conditionalFormatting>
  <conditionalFormatting sqref="D45:E45">
    <cfRule type="expression" dxfId="8844" priority="1035">
      <formula>AND($A45&lt;&gt;"",MOD(ROW(),2))</formula>
    </cfRule>
  </conditionalFormatting>
  <conditionalFormatting sqref="D45">
    <cfRule type="cellIs" dxfId="8843" priority="1032" operator="equal">
      <formula>$C45</formula>
    </cfRule>
    <cfRule type="cellIs" dxfId="8842" priority="1033" operator="greaterThan">
      <formula>$C45</formula>
    </cfRule>
    <cfRule type="cellIs" dxfId="8841" priority="1034" operator="lessThan">
      <formula>$C45</formula>
    </cfRule>
  </conditionalFormatting>
  <conditionalFormatting sqref="D46:E46">
    <cfRule type="expression" dxfId="8840" priority="1031">
      <formula>AND($A46&lt;&gt;"",MOD(ROW(),2))</formula>
    </cfRule>
  </conditionalFormatting>
  <conditionalFormatting sqref="D46">
    <cfRule type="cellIs" dxfId="8839" priority="1028" operator="equal">
      <formula>$C46</formula>
    </cfRule>
    <cfRule type="cellIs" dxfId="8838" priority="1029" operator="greaterThan">
      <formula>$C46</formula>
    </cfRule>
    <cfRule type="cellIs" dxfId="8837" priority="1030" operator="lessThan">
      <formula>$C46</formula>
    </cfRule>
  </conditionalFormatting>
  <conditionalFormatting sqref="D47:E47">
    <cfRule type="expression" dxfId="8836" priority="1027">
      <formula>AND($A47&lt;&gt;"",MOD(ROW(),2))</formula>
    </cfRule>
  </conditionalFormatting>
  <conditionalFormatting sqref="D47">
    <cfRule type="cellIs" dxfId="8835" priority="1024" operator="equal">
      <formula>$C47</formula>
    </cfRule>
    <cfRule type="cellIs" dxfId="8834" priority="1025" operator="greaterThan">
      <formula>$C47</formula>
    </cfRule>
    <cfRule type="cellIs" dxfId="8833" priority="1026" operator="lessThan">
      <formula>$C47</formula>
    </cfRule>
  </conditionalFormatting>
  <conditionalFormatting sqref="D48:E48">
    <cfRule type="expression" dxfId="8832" priority="1023">
      <formula>AND($A48&lt;&gt;"",MOD(ROW(),2))</formula>
    </cfRule>
  </conditionalFormatting>
  <conditionalFormatting sqref="D48">
    <cfRule type="cellIs" dxfId="8831" priority="1020" operator="equal">
      <formula>$C48</formula>
    </cfRule>
    <cfRule type="cellIs" dxfId="8830" priority="1021" operator="greaterThan">
      <formula>$C48</formula>
    </cfRule>
    <cfRule type="cellIs" dxfId="8829" priority="1022" operator="lessThan">
      <formula>$C48</formula>
    </cfRule>
  </conditionalFormatting>
  <conditionalFormatting sqref="D28:E28">
    <cfRule type="expression" dxfId="8828" priority="1019">
      <formula>AND($A28&lt;&gt;"",MOD(ROW(),2))</formula>
    </cfRule>
  </conditionalFormatting>
  <conditionalFormatting sqref="D28">
    <cfRule type="cellIs" dxfId="8827" priority="1016" operator="equal">
      <formula>$C28</formula>
    </cfRule>
    <cfRule type="cellIs" dxfId="8826" priority="1017" operator="greaterThan">
      <formula>$C28</formula>
    </cfRule>
    <cfRule type="cellIs" dxfId="8825" priority="1018" operator="lessThan">
      <formula>$C28</formula>
    </cfRule>
  </conditionalFormatting>
  <conditionalFormatting sqref="D29:E29">
    <cfRule type="expression" dxfId="8824" priority="1015">
      <formula>AND($A29&lt;&gt;"",MOD(ROW(),2))</formula>
    </cfRule>
  </conditionalFormatting>
  <conditionalFormatting sqref="D29">
    <cfRule type="cellIs" dxfId="8823" priority="1012" operator="equal">
      <formula>$C29</formula>
    </cfRule>
    <cfRule type="cellIs" dxfId="8822" priority="1013" operator="greaterThan">
      <formula>$C29</formula>
    </cfRule>
    <cfRule type="cellIs" dxfId="8821" priority="1014" operator="lessThan">
      <formula>$C29</formula>
    </cfRule>
  </conditionalFormatting>
  <conditionalFormatting sqref="D30:E30">
    <cfRule type="expression" dxfId="8820" priority="1011">
      <formula>AND($A30&lt;&gt;"",MOD(ROW(),2))</formula>
    </cfRule>
  </conditionalFormatting>
  <conditionalFormatting sqref="D30">
    <cfRule type="cellIs" dxfId="8819" priority="1008" operator="equal">
      <formula>$C30</formula>
    </cfRule>
    <cfRule type="cellIs" dxfId="8818" priority="1009" operator="greaterThan">
      <formula>$C30</formula>
    </cfRule>
    <cfRule type="cellIs" dxfId="8817" priority="1010" operator="lessThan">
      <formula>$C30</formula>
    </cfRule>
  </conditionalFormatting>
  <conditionalFormatting sqref="D31:E31">
    <cfRule type="expression" dxfId="8816" priority="1007">
      <formula>AND($A31&lt;&gt;"",MOD(ROW(),2))</formula>
    </cfRule>
  </conditionalFormatting>
  <conditionalFormatting sqref="D31">
    <cfRule type="cellIs" dxfId="8815" priority="1004" operator="equal">
      <formula>$C31</formula>
    </cfRule>
    <cfRule type="cellIs" dxfId="8814" priority="1005" operator="greaterThan">
      <formula>$C31</formula>
    </cfRule>
    <cfRule type="cellIs" dxfId="8813" priority="1006" operator="lessThan">
      <formula>$C31</formula>
    </cfRule>
  </conditionalFormatting>
  <conditionalFormatting sqref="D32:E32">
    <cfRule type="expression" dxfId="8812" priority="1003">
      <formula>AND($A32&lt;&gt;"",MOD(ROW(),2))</formula>
    </cfRule>
  </conditionalFormatting>
  <conditionalFormatting sqref="D32">
    <cfRule type="cellIs" dxfId="8811" priority="1000" operator="equal">
      <formula>$C32</formula>
    </cfRule>
    <cfRule type="cellIs" dxfId="8810" priority="1001" operator="greaterThan">
      <formula>$C32</formula>
    </cfRule>
    <cfRule type="cellIs" dxfId="8809" priority="1002" operator="lessThan">
      <formula>$C32</formula>
    </cfRule>
  </conditionalFormatting>
  <conditionalFormatting sqref="D33:E33">
    <cfRule type="expression" dxfId="8808" priority="999">
      <formula>AND($A33&lt;&gt;"",MOD(ROW(),2))</formula>
    </cfRule>
  </conditionalFormatting>
  <conditionalFormatting sqref="D33">
    <cfRule type="cellIs" dxfId="8807" priority="996" operator="equal">
      <formula>$C33</formula>
    </cfRule>
    <cfRule type="cellIs" dxfId="8806" priority="997" operator="greaterThan">
      <formula>$C33</formula>
    </cfRule>
    <cfRule type="cellIs" dxfId="8805" priority="998" operator="lessThan">
      <formula>$C33</formula>
    </cfRule>
  </conditionalFormatting>
  <conditionalFormatting sqref="D34:E34">
    <cfRule type="expression" dxfId="8804" priority="995">
      <formula>AND($A34&lt;&gt;"",MOD(ROW(),2))</formula>
    </cfRule>
  </conditionalFormatting>
  <conditionalFormatting sqref="D34">
    <cfRule type="cellIs" dxfId="8803" priority="992" operator="equal">
      <formula>$C34</formula>
    </cfRule>
    <cfRule type="cellIs" dxfId="8802" priority="993" operator="greaterThan">
      <formula>$C34</formula>
    </cfRule>
    <cfRule type="cellIs" dxfId="8801" priority="994" operator="lessThan">
      <formula>$C34</formula>
    </cfRule>
  </conditionalFormatting>
  <conditionalFormatting sqref="D35:E35">
    <cfRule type="expression" dxfId="8800" priority="991">
      <formula>AND($A35&lt;&gt;"",MOD(ROW(),2))</formula>
    </cfRule>
  </conditionalFormatting>
  <conditionalFormatting sqref="D35">
    <cfRule type="cellIs" dxfId="8799" priority="988" operator="equal">
      <formula>$C35</formula>
    </cfRule>
    <cfRule type="cellIs" dxfId="8798" priority="989" operator="greaterThan">
      <formula>$C35</formula>
    </cfRule>
    <cfRule type="cellIs" dxfId="8797" priority="990" operator="lessThan">
      <formula>$C35</formula>
    </cfRule>
  </conditionalFormatting>
  <conditionalFormatting sqref="D36:E36">
    <cfRule type="expression" dxfId="8796" priority="987">
      <formula>AND($A36&lt;&gt;"",MOD(ROW(),2))</formula>
    </cfRule>
  </conditionalFormatting>
  <conditionalFormatting sqref="D36">
    <cfRule type="cellIs" dxfId="8795" priority="984" operator="equal">
      <formula>$C36</formula>
    </cfRule>
    <cfRule type="cellIs" dxfId="8794" priority="985" operator="greaterThan">
      <formula>$C36</formula>
    </cfRule>
    <cfRule type="cellIs" dxfId="8793" priority="986" operator="lessThan">
      <formula>$C36</formula>
    </cfRule>
  </conditionalFormatting>
  <conditionalFormatting sqref="D37:E37">
    <cfRule type="expression" dxfId="8792" priority="983">
      <formula>AND($A37&lt;&gt;"",MOD(ROW(),2))</formula>
    </cfRule>
  </conditionalFormatting>
  <conditionalFormatting sqref="D37">
    <cfRule type="cellIs" dxfId="8791" priority="980" operator="equal">
      <formula>$C37</formula>
    </cfRule>
    <cfRule type="cellIs" dxfId="8790" priority="981" operator="greaterThan">
      <formula>$C37</formula>
    </cfRule>
    <cfRule type="cellIs" dxfId="8789" priority="982" operator="lessThan">
      <formula>$C37</formula>
    </cfRule>
  </conditionalFormatting>
  <conditionalFormatting sqref="D38:E38">
    <cfRule type="expression" dxfId="8788" priority="979">
      <formula>AND($A38&lt;&gt;"",MOD(ROW(),2))</formula>
    </cfRule>
  </conditionalFormatting>
  <conditionalFormatting sqref="D38">
    <cfRule type="cellIs" dxfId="8787" priority="976" operator="equal">
      <formula>$C38</formula>
    </cfRule>
    <cfRule type="cellIs" dxfId="8786" priority="977" operator="greaterThan">
      <formula>$C38</formula>
    </cfRule>
    <cfRule type="cellIs" dxfId="8785" priority="978" operator="lessThan">
      <formula>$C38</formula>
    </cfRule>
  </conditionalFormatting>
  <conditionalFormatting sqref="D39:E39">
    <cfRule type="expression" dxfId="8784" priority="975">
      <formula>AND($A39&lt;&gt;"",MOD(ROW(),2))</formula>
    </cfRule>
  </conditionalFormatting>
  <conditionalFormatting sqref="D39">
    <cfRule type="cellIs" dxfId="8783" priority="972" operator="equal">
      <formula>$C39</formula>
    </cfRule>
    <cfRule type="cellIs" dxfId="8782" priority="973" operator="greaterThan">
      <formula>$C39</formula>
    </cfRule>
    <cfRule type="cellIs" dxfId="8781" priority="974" operator="lessThan">
      <formula>$C39</formula>
    </cfRule>
  </conditionalFormatting>
  <conditionalFormatting sqref="D40:E40">
    <cfRule type="expression" dxfId="8780" priority="971">
      <formula>AND($A40&lt;&gt;"",MOD(ROW(),2))</formula>
    </cfRule>
  </conditionalFormatting>
  <conditionalFormatting sqref="D40">
    <cfRule type="cellIs" dxfId="8779" priority="968" operator="equal">
      <formula>$C40</formula>
    </cfRule>
    <cfRule type="cellIs" dxfId="8778" priority="969" operator="greaterThan">
      <formula>$C40</formula>
    </cfRule>
    <cfRule type="cellIs" dxfId="8777" priority="970" operator="lessThan">
      <formula>$C40</formula>
    </cfRule>
  </conditionalFormatting>
  <conditionalFormatting sqref="D41:E41">
    <cfRule type="expression" dxfId="8776" priority="967">
      <formula>AND($A41&lt;&gt;"",MOD(ROW(),2))</formula>
    </cfRule>
  </conditionalFormatting>
  <conditionalFormatting sqref="D41">
    <cfRule type="cellIs" dxfId="8775" priority="964" operator="equal">
      <formula>$C41</formula>
    </cfRule>
    <cfRule type="cellIs" dxfId="8774" priority="965" operator="greaterThan">
      <formula>$C41</formula>
    </cfRule>
    <cfRule type="cellIs" dxfId="8773" priority="966" operator="lessThan">
      <formula>$C41</formula>
    </cfRule>
  </conditionalFormatting>
  <conditionalFormatting sqref="D42:E42">
    <cfRule type="expression" dxfId="8772" priority="963">
      <formula>AND($A42&lt;&gt;"",MOD(ROW(),2))</formula>
    </cfRule>
  </conditionalFormatting>
  <conditionalFormatting sqref="D42">
    <cfRule type="cellIs" dxfId="8771" priority="960" operator="equal">
      <formula>$C42</formula>
    </cfRule>
    <cfRule type="cellIs" dxfId="8770" priority="961" operator="greaterThan">
      <formula>$C42</formula>
    </cfRule>
    <cfRule type="cellIs" dxfId="8769" priority="962" operator="lessThan">
      <formula>$C42</formula>
    </cfRule>
  </conditionalFormatting>
  <conditionalFormatting sqref="D43:E43">
    <cfRule type="expression" dxfId="8768" priority="959">
      <formula>AND($A43&lt;&gt;"",MOD(ROW(),2))</formula>
    </cfRule>
  </conditionalFormatting>
  <conditionalFormatting sqref="D43">
    <cfRule type="cellIs" dxfId="8767" priority="956" operator="equal">
      <formula>$C43</formula>
    </cfRule>
    <cfRule type="cellIs" dxfId="8766" priority="957" operator="greaterThan">
      <formula>$C43</formula>
    </cfRule>
    <cfRule type="cellIs" dxfId="8765" priority="958" operator="lessThan">
      <formula>$C43</formula>
    </cfRule>
  </conditionalFormatting>
  <conditionalFormatting sqref="D44:E44">
    <cfRule type="expression" dxfId="8764" priority="955">
      <formula>AND($A44&lt;&gt;"",MOD(ROW(),2))</formula>
    </cfRule>
  </conditionalFormatting>
  <conditionalFormatting sqref="D44">
    <cfRule type="cellIs" dxfId="8763" priority="952" operator="equal">
      <formula>$C44</formula>
    </cfRule>
    <cfRule type="cellIs" dxfId="8762" priority="953" operator="greaterThan">
      <formula>$C44</formula>
    </cfRule>
    <cfRule type="cellIs" dxfId="8761" priority="954" operator="lessThan">
      <formula>$C44</formula>
    </cfRule>
  </conditionalFormatting>
  <conditionalFormatting sqref="D45:E45">
    <cfRule type="expression" dxfId="8760" priority="951">
      <formula>AND($A45&lt;&gt;"",MOD(ROW(),2))</formula>
    </cfRule>
  </conditionalFormatting>
  <conditionalFormatting sqref="D45">
    <cfRule type="cellIs" dxfId="8759" priority="948" operator="equal">
      <formula>$C45</formula>
    </cfRule>
    <cfRule type="cellIs" dxfId="8758" priority="949" operator="greaterThan">
      <formula>$C45</formula>
    </cfRule>
    <cfRule type="cellIs" dxfId="8757" priority="950" operator="lessThan">
      <formula>$C45</formula>
    </cfRule>
  </conditionalFormatting>
  <conditionalFormatting sqref="D46:E46">
    <cfRule type="expression" dxfId="8756" priority="947">
      <formula>AND($A46&lt;&gt;"",MOD(ROW(),2))</formula>
    </cfRule>
  </conditionalFormatting>
  <conditionalFormatting sqref="D46">
    <cfRule type="cellIs" dxfId="8755" priority="944" operator="equal">
      <formula>$C46</formula>
    </cfRule>
    <cfRule type="cellIs" dxfId="8754" priority="945" operator="greaterThan">
      <formula>$C46</formula>
    </cfRule>
    <cfRule type="cellIs" dxfId="8753" priority="946" operator="lessThan">
      <formula>$C46</formula>
    </cfRule>
  </conditionalFormatting>
  <conditionalFormatting sqref="D47:E47">
    <cfRule type="expression" dxfId="8752" priority="943">
      <formula>AND($A47&lt;&gt;"",MOD(ROW(),2))</formula>
    </cfRule>
  </conditionalFormatting>
  <conditionalFormatting sqref="D47">
    <cfRule type="cellIs" dxfId="8751" priority="940" operator="equal">
      <formula>$C47</formula>
    </cfRule>
    <cfRule type="cellIs" dxfId="8750" priority="941" operator="greaterThan">
      <formula>$C47</formula>
    </cfRule>
    <cfRule type="cellIs" dxfId="8749" priority="942" operator="lessThan">
      <formula>$C47</formula>
    </cfRule>
  </conditionalFormatting>
  <conditionalFormatting sqref="D48:E48">
    <cfRule type="expression" dxfId="8748" priority="939">
      <formula>AND($A48&lt;&gt;"",MOD(ROW(),2))</formula>
    </cfRule>
  </conditionalFormatting>
  <conditionalFormatting sqref="D48">
    <cfRule type="cellIs" dxfId="8747" priority="936" operator="equal">
      <formula>$C48</formula>
    </cfRule>
    <cfRule type="cellIs" dxfId="8746" priority="937" operator="greaterThan">
      <formula>$C48</formula>
    </cfRule>
    <cfRule type="cellIs" dxfId="8745" priority="938" operator="lessThan">
      <formula>$C48</formula>
    </cfRule>
  </conditionalFormatting>
  <conditionalFormatting sqref="D49:E49">
    <cfRule type="expression" dxfId="8744" priority="935">
      <formula>AND($A49&lt;&gt;"",MOD(ROW(),2))</formula>
    </cfRule>
  </conditionalFormatting>
  <conditionalFormatting sqref="D49">
    <cfRule type="cellIs" dxfId="8743" priority="932" operator="equal">
      <formula>$C49</formula>
    </cfRule>
    <cfRule type="cellIs" dxfId="8742" priority="933" operator="greaterThan">
      <formula>$C49</formula>
    </cfRule>
    <cfRule type="cellIs" dxfId="8741" priority="934" operator="lessThan">
      <formula>$C49</formula>
    </cfRule>
  </conditionalFormatting>
  <conditionalFormatting sqref="D28:E28">
    <cfRule type="expression" dxfId="8740" priority="931">
      <formula>AND($A28&lt;&gt;"",MOD(ROW(),2))</formula>
    </cfRule>
  </conditionalFormatting>
  <conditionalFormatting sqref="D28">
    <cfRule type="cellIs" dxfId="8739" priority="928" operator="equal">
      <formula>$C28</formula>
    </cfRule>
    <cfRule type="cellIs" dxfId="8738" priority="929" operator="greaterThan">
      <formula>$C28</formula>
    </cfRule>
    <cfRule type="cellIs" dxfId="8737" priority="930" operator="lessThan">
      <formula>$C28</formula>
    </cfRule>
  </conditionalFormatting>
  <conditionalFormatting sqref="D29:E29">
    <cfRule type="expression" dxfId="8736" priority="927">
      <formula>AND($A29&lt;&gt;"",MOD(ROW(),2))</formula>
    </cfRule>
  </conditionalFormatting>
  <conditionalFormatting sqref="D29">
    <cfRule type="cellIs" dxfId="8735" priority="924" operator="equal">
      <formula>$C29</formula>
    </cfRule>
    <cfRule type="cellIs" dxfId="8734" priority="925" operator="greaterThan">
      <formula>$C29</formula>
    </cfRule>
    <cfRule type="cellIs" dxfId="8733" priority="926" operator="lessThan">
      <formula>$C29</formula>
    </cfRule>
  </conditionalFormatting>
  <conditionalFormatting sqref="D30:E30">
    <cfRule type="expression" dxfId="8732" priority="923">
      <formula>AND($A30&lt;&gt;"",MOD(ROW(),2))</formula>
    </cfRule>
  </conditionalFormatting>
  <conditionalFormatting sqref="D30">
    <cfRule type="cellIs" dxfId="8731" priority="920" operator="equal">
      <formula>$C30</formula>
    </cfRule>
    <cfRule type="cellIs" dxfId="8730" priority="921" operator="greaterThan">
      <formula>$C30</formula>
    </cfRule>
    <cfRule type="cellIs" dxfId="8729" priority="922" operator="lessThan">
      <formula>$C30</formula>
    </cfRule>
  </conditionalFormatting>
  <conditionalFormatting sqref="D31:E31">
    <cfRule type="expression" dxfId="8728" priority="919">
      <formula>AND($A31&lt;&gt;"",MOD(ROW(),2))</formula>
    </cfRule>
  </conditionalFormatting>
  <conditionalFormatting sqref="D31">
    <cfRule type="cellIs" dxfId="8727" priority="916" operator="equal">
      <formula>$C31</formula>
    </cfRule>
    <cfRule type="cellIs" dxfId="8726" priority="917" operator="greaterThan">
      <formula>$C31</formula>
    </cfRule>
    <cfRule type="cellIs" dxfId="8725" priority="918" operator="lessThan">
      <formula>$C31</formula>
    </cfRule>
  </conditionalFormatting>
  <conditionalFormatting sqref="D32:E32">
    <cfRule type="expression" dxfId="8724" priority="915">
      <formula>AND($A32&lt;&gt;"",MOD(ROW(),2))</formula>
    </cfRule>
  </conditionalFormatting>
  <conditionalFormatting sqref="D32">
    <cfRule type="cellIs" dxfId="8723" priority="912" operator="equal">
      <formula>$C32</formula>
    </cfRule>
    <cfRule type="cellIs" dxfId="8722" priority="913" operator="greaterThan">
      <formula>$C32</formula>
    </cfRule>
    <cfRule type="cellIs" dxfId="8721" priority="914" operator="lessThan">
      <formula>$C32</formula>
    </cfRule>
  </conditionalFormatting>
  <conditionalFormatting sqref="D33:E33">
    <cfRule type="expression" dxfId="8720" priority="911">
      <formula>AND($A33&lt;&gt;"",MOD(ROW(),2))</formula>
    </cfRule>
  </conditionalFormatting>
  <conditionalFormatting sqref="D33">
    <cfRule type="cellIs" dxfId="8719" priority="908" operator="equal">
      <formula>$C33</formula>
    </cfRule>
    <cfRule type="cellIs" dxfId="8718" priority="909" operator="greaterThan">
      <formula>$C33</formula>
    </cfRule>
    <cfRule type="cellIs" dxfId="8717" priority="910" operator="lessThan">
      <formula>$C33</formula>
    </cfRule>
  </conditionalFormatting>
  <conditionalFormatting sqref="D34:E34">
    <cfRule type="expression" dxfId="8716" priority="907">
      <formula>AND($A34&lt;&gt;"",MOD(ROW(),2))</formula>
    </cfRule>
  </conditionalFormatting>
  <conditionalFormatting sqref="D34">
    <cfRule type="cellIs" dxfId="8715" priority="904" operator="equal">
      <formula>$C34</formula>
    </cfRule>
    <cfRule type="cellIs" dxfId="8714" priority="905" operator="greaterThan">
      <formula>$C34</formula>
    </cfRule>
    <cfRule type="cellIs" dxfId="8713" priority="906" operator="lessThan">
      <formula>$C34</formula>
    </cfRule>
  </conditionalFormatting>
  <conditionalFormatting sqref="D35:E35">
    <cfRule type="expression" dxfId="8712" priority="903">
      <formula>AND($A35&lt;&gt;"",MOD(ROW(),2))</formula>
    </cfRule>
  </conditionalFormatting>
  <conditionalFormatting sqref="D35">
    <cfRule type="cellIs" dxfId="8711" priority="900" operator="equal">
      <formula>$C35</formula>
    </cfRule>
    <cfRule type="cellIs" dxfId="8710" priority="901" operator="greaterThan">
      <formula>$C35</formula>
    </cfRule>
    <cfRule type="cellIs" dxfId="8709" priority="902" operator="lessThan">
      <formula>$C35</formula>
    </cfRule>
  </conditionalFormatting>
  <conditionalFormatting sqref="D36:E36">
    <cfRule type="expression" dxfId="8708" priority="899">
      <formula>AND($A36&lt;&gt;"",MOD(ROW(),2))</formula>
    </cfRule>
  </conditionalFormatting>
  <conditionalFormatting sqref="D36">
    <cfRule type="cellIs" dxfId="8707" priority="896" operator="equal">
      <formula>$C36</formula>
    </cfRule>
    <cfRule type="cellIs" dxfId="8706" priority="897" operator="greaterThan">
      <formula>$C36</formula>
    </cfRule>
    <cfRule type="cellIs" dxfId="8705" priority="898" operator="lessThan">
      <formula>$C36</formula>
    </cfRule>
  </conditionalFormatting>
  <conditionalFormatting sqref="D37:E37">
    <cfRule type="expression" dxfId="8704" priority="895">
      <formula>AND($A37&lt;&gt;"",MOD(ROW(),2))</formula>
    </cfRule>
  </conditionalFormatting>
  <conditionalFormatting sqref="D37">
    <cfRule type="cellIs" dxfId="8703" priority="892" operator="equal">
      <formula>$C37</formula>
    </cfRule>
    <cfRule type="cellIs" dxfId="8702" priority="893" operator="greaterThan">
      <formula>$C37</formula>
    </cfRule>
    <cfRule type="cellIs" dxfId="8701" priority="894" operator="lessThan">
      <formula>$C37</formula>
    </cfRule>
  </conditionalFormatting>
  <conditionalFormatting sqref="D38:E38">
    <cfRule type="expression" dxfId="8700" priority="891">
      <formula>AND($A38&lt;&gt;"",MOD(ROW(),2))</formula>
    </cfRule>
  </conditionalFormatting>
  <conditionalFormatting sqref="D38">
    <cfRule type="cellIs" dxfId="8699" priority="888" operator="equal">
      <formula>$C38</formula>
    </cfRule>
    <cfRule type="cellIs" dxfId="8698" priority="889" operator="greaterThan">
      <formula>$C38</formula>
    </cfRule>
    <cfRule type="cellIs" dxfId="8697" priority="890" operator="lessThan">
      <formula>$C38</formula>
    </cfRule>
  </conditionalFormatting>
  <conditionalFormatting sqref="D39:E39">
    <cfRule type="expression" dxfId="8696" priority="887">
      <formula>AND($A39&lt;&gt;"",MOD(ROW(),2))</formula>
    </cfRule>
  </conditionalFormatting>
  <conditionalFormatting sqref="D39">
    <cfRule type="cellIs" dxfId="8695" priority="884" operator="equal">
      <formula>$C39</formula>
    </cfRule>
    <cfRule type="cellIs" dxfId="8694" priority="885" operator="greaterThan">
      <formula>$C39</formula>
    </cfRule>
    <cfRule type="cellIs" dxfId="8693" priority="886" operator="lessThan">
      <formula>$C39</formula>
    </cfRule>
  </conditionalFormatting>
  <conditionalFormatting sqref="D40:E40">
    <cfRule type="expression" dxfId="8692" priority="883">
      <formula>AND($A40&lt;&gt;"",MOD(ROW(),2))</formula>
    </cfRule>
  </conditionalFormatting>
  <conditionalFormatting sqref="D40">
    <cfRule type="cellIs" dxfId="8691" priority="880" operator="equal">
      <formula>$C40</formula>
    </cfRule>
    <cfRule type="cellIs" dxfId="8690" priority="881" operator="greaterThan">
      <formula>$C40</formula>
    </cfRule>
    <cfRule type="cellIs" dxfId="8689" priority="882" operator="lessThan">
      <formula>$C40</formula>
    </cfRule>
  </conditionalFormatting>
  <conditionalFormatting sqref="D41:E41">
    <cfRule type="expression" dxfId="8688" priority="879">
      <formula>AND($A41&lt;&gt;"",MOD(ROW(),2))</formula>
    </cfRule>
  </conditionalFormatting>
  <conditionalFormatting sqref="D41">
    <cfRule type="cellIs" dxfId="8687" priority="876" operator="equal">
      <formula>$C41</formula>
    </cfRule>
    <cfRule type="cellIs" dxfId="8686" priority="877" operator="greaterThan">
      <formula>$C41</formula>
    </cfRule>
    <cfRule type="cellIs" dxfId="8685" priority="878" operator="lessThan">
      <formula>$C41</formula>
    </cfRule>
  </conditionalFormatting>
  <conditionalFormatting sqref="D42:E42">
    <cfRule type="expression" dxfId="8684" priority="875">
      <formula>AND($A42&lt;&gt;"",MOD(ROW(),2))</formula>
    </cfRule>
  </conditionalFormatting>
  <conditionalFormatting sqref="D42">
    <cfRule type="cellIs" dxfId="8683" priority="872" operator="equal">
      <formula>$C42</formula>
    </cfRule>
    <cfRule type="cellIs" dxfId="8682" priority="873" operator="greaterThan">
      <formula>$C42</formula>
    </cfRule>
    <cfRule type="cellIs" dxfId="8681" priority="874" operator="lessThan">
      <formula>$C42</formula>
    </cfRule>
  </conditionalFormatting>
  <conditionalFormatting sqref="D43:E43">
    <cfRule type="expression" dxfId="8680" priority="871">
      <formula>AND($A43&lt;&gt;"",MOD(ROW(),2))</formula>
    </cfRule>
  </conditionalFormatting>
  <conditionalFormatting sqref="D43">
    <cfRule type="cellIs" dxfId="8679" priority="868" operator="equal">
      <formula>$C43</formula>
    </cfRule>
    <cfRule type="cellIs" dxfId="8678" priority="869" operator="greaterThan">
      <formula>$C43</formula>
    </cfRule>
    <cfRule type="cellIs" dxfId="8677" priority="870" operator="lessThan">
      <formula>$C43</formula>
    </cfRule>
  </conditionalFormatting>
  <conditionalFormatting sqref="D44:E44">
    <cfRule type="expression" dxfId="8676" priority="867">
      <formula>AND($A44&lt;&gt;"",MOD(ROW(),2))</formula>
    </cfRule>
  </conditionalFormatting>
  <conditionalFormatting sqref="D44">
    <cfRule type="cellIs" dxfId="8675" priority="864" operator="equal">
      <formula>$C44</formula>
    </cfRule>
    <cfRule type="cellIs" dxfId="8674" priority="865" operator="greaterThan">
      <formula>$C44</formula>
    </cfRule>
    <cfRule type="cellIs" dxfId="8673" priority="866" operator="lessThan">
      <formula>$C44</formula>
    </cfRule>
  </conditionalFormatting>
  <conditionalFormatting sqref="D45:E45">
    <cfRule type="expression" dxfId="8672" priority="863">
      <formula>AND($A45&lt;&gt;"",MOD(ROW(),2))</formula>
    </cfRule>
  </conditionalFormatting>
  <conditionalFormatting sqref="D45">
    <cfRule type="cellIs" dxfId="8671" priority="860" operator="equal">
      <formula>$C45</formula>
    </cfRule>
    <cfRule type="cellIs" dxfId="8670" priority="861" operator="greaterThan">
      <formula>$C45</formula>
    </cfRule>
    <cfRule type="cellIs" dxfId="8669" priority="862" operator="lessThan">
      <formula>$C45</formula>
    </cfRule>
  </conditionalFormatting>
  <conditionalFormatting sqref="D46:E46">
    <cfRule type="expression" dxfId="8668" priority="859">
      <formula>AND($A46&lt;&gt;"",MOD(ROW(),2))</formula>
    </cfRule>
  </conditionalFormatting>
  <conditionalFormatting sqref="D46">
    <cfRule type="cellIs" dxfId="8667" priority="856" operator="equal">
      <formula>$C46</formula>
    </cfRule>
    <cfRule type="cellIs" dxfId="8666" priority="857" operator="greaterThan">
      <formula>$C46</formula>
    </cfRule>
    <cfRule type="cellIs" dxfId="8665" priority="858" operator="lessThan">
      <formula>$C46</formula>
    </cfRule>
  </conditionalFormatting>
  <conditionalFormatting sqref="D47:E47">
    <cfRule type="expression" dxfId="8664" priority="855">
      <formula>AND($A47&lt;&gt;"",MOD(ROW(),2))</formula>
    </cfRule>
  </conditionalFormatting>
  <conditionalFormatting sqref="D47">
    <cfRule type="cellIs" dxfId="8663" priority="852" operator="equal">
      <formula>$C47</formula>
    </cfRule>
    <cfRule type="cellIs" dxfId="8662" priority="853" operator="greaterThan">
      <formula>$C47</formula>
    </cfRule>
    <cfRule type="cellIs" dxfId="8661" priority="854" operator="lessThan">
      <formula>$C47</formula>
    </cfRule>
  </conditionalFormatting>
  <conditionalFormatting sqref="D48:E48">
    <cfRule type="expression" dxfId="8660" priority="851">
      <formula>AND($A48&lt;&gt;"",MOD(ROW(),2))</formula>
    </cfRule>
  </conditionalFormatting>
  <conditionalFormatting sqref="D48">
    <cfRule type="cellIs" dxfId="8659" priority="848" operator="equal">
      <formula>$C48</formula>
    </cfRule>
    <cfRule type="cellIs" dxfId="8658" priority="849" operator="greaterThan">
      <formula>$C48</formula>
    </cfRule>
    <cfRule type="cellIs" dxfId="8657" priority="850" operator="lessThan">
      <formula>$C48</formula>
    </cfRule>
  </conditionalFormatting>
  <conditionalFormatting sqref="D49:E49">
    <cfRule type="expression" dxfId="8656" priority="847">
      <formula>AND($A49&lt;&gt;"",MOD(ROW(),2))</formula>
    </cfRule>
  </conditionalFormatting>
  <conditionalFormatting sqref="D49">
    <cfRule type="cellIs" dxfId="8655" priority="844" operator="equal">
      <formula>$C49</formula>
    </cfRule>
    <cfRule type="cellIs" dxfId="8654" priority="845" operator="greaterThan">
      <formula>$C49</formula>
    </cfRule>
    <cfRule type="cellIs" dxfId="8653" priority="846" operator="lessThan">
      <formula>$C49</formula>
    </cfRule>
  </conditionalFormatting>
  <conditionalFormatting sqref="D28:E28">
    <cfRule type="expression" dxfId="8652" priority="843">
      <formula>AND($A28&lt;&gt;"",MOD(ROW(),2))</formula>
    </cfRule>
  </conditionalFormatting>
  <conditionalFormatting sqref="D28">
    <cfRule type="cellIs" dxfId="8651" priority="840" operator="equal">
      <formula>$C28</formula>
    </cfRule>
    <cfRule type="cellIs" dxfId="8650" priority="841" operator="greaterThan">
      <formula>$C28</formula>
    </cfRule>
    <cfRule type="cellIs" dxfId="8649" priority="842" operator="lessThan">
      <formula>$C28</formula>
    </cfRule>
  </conditionalFormatting>
  <conditionalFormatting sqref="D29:E29">
    <cfRule type="expression" dxfId="8648" priority="839">
      <formula>AND($A29&lt;&gt;"",MOD(ROW(),2))</formula>
    </cfRule>
  </conditionalFormatting>
  <conditionalFormatting sqref="D29">
    <cfRule type="cellIs" dxfId="8647" priority="836" operator="equal">
      <formula>$C29</formula>
    </cfRule>
    <cfRule type="cellIs" dxfId="8646" priority="837" operator="greaterThan">
      <formula>$C29</formula>
    </cfRule>
    <cfRule type="cellIs" dxfId="8645" priority="838" operator="lessThan">
      <formula>$C29</formula>
    </cfRule>
  </conditionalFormatting>
  <conditionalFormatting sqref="D30:E30">
    <cfRule type="expression" dxfId="8644" priority="835">
      <formula>AND($A30&lt;&gt;"",MOD(ROW(),2))</formula>
    </cfRule>
  </conditionalFormatting>
  <conditionalFormatting sqref="D30">
    <cfRule type="cellIs" dxfId="8643" priority="832" operator="equal">
      <formula>$C30</formula>
    </cfRule>
    <cfRule type="cellIs" dxfId="8642" priority="833" operator="greaterThan">
      <formula>$C30</formula>
    </cfRule>
    <cfRule type="cellIs" dxfId="8641" priority="834" operator="lessThan">
      <formula>$C30</formula>
    </cfRule>
  </conditionalFormatting>
  <conditionalFormatting sqref="D31:E31">
    <cfRule type="expression" dxfId="8640" priority="831">
      <formula>AND($A31&lt;&gt;"",MOD(ROW(),2))</formula>
    </cfRule>
  </conditionalFormatting>
  <conditionalFormatting sqref="D31">
    <cfRule type="cellIs" dxfId="8639" priority="828" operator="equal">
      <formula>$C31</formula>
    </cfRule>
    <cfRule type="cellIs" dxfId="8638" priority="829" operator="greaterThan">
      <formula>$C31</formula>
    </cfRule>
    <cfRule type="cellIs" dxfId="8637" priority="830" operator="lessThan">
      <formula>$C31</formula>
    </cfRule>
  </conditionalFormatting>
  <conditionalFormatting sqref="D32:E32">
    <cfRule type="expression" dxfId="8636" priority="827">
      <formula>AND($A32&lt;&gt;"",MOD(ROW(),2))</formula>
    </cfRule>
  </conditionalFormatting>
  <conditionalFormatting sqref="D32">
    <cfRule type="cellIs" dxfId="8635" priority="824" operator="equal">
      <formula>$C32</formula>
    </cfRule>
    <cfRule type="cellIs" dxfId="8634" priority="825" operator="greaterThan">
      <formula>$C32</formula>
    </cfRule>
    <cfRule type="cellIs" dxfId="8633" priority="826" operator="lessThan">
      <formula>$C32</formula>
    </cfRule>
  </conditionalFormatting>
  <conditionalFormatting sqref="D33:E33">
    <cfRule type="expression" dxfId="8632" priority="823">
      <formula>AND($A33&lt;&gt;"",MOD(ROW(),2))</formula>
    </cfRule>
  </conditionalFormatting>
  <conditionalFormatting sqref="D33">
    <cfRule type="cellIs" dxfId="8631" priority="820" operator="equal">
      <formula>$C33</formula>
    </cfRule>
    <cfRule type="cellIs" dxfId="8630" priority="821" operator="greaterThan">
      <formula>$C33</formula>
    </cfRule>
    <cfRule type="cellIs" dxfId="8629" priority="822" operator="lessThan">
      <formula>$C33</formula>
    </cfRule>
  </conditionalFormatting>
  <conditionalFormatting sqref="D34:E34">
    <cfRule type="expression" dxfId="8628" priority="819">
      <formula>AND($A34&lt;&gt;"",MOD(ROW(),2))</formula>
    </cfRule>
  </conditionalFormatting>
  <conditionalFormatting sqref="D34">
    <cfRule type="cellIs" dxfId="8627" priority="816" operator="equal">
      <formula>$C34</formula>
    </cfRule>
    <cfRule type="cellIs" dxfId="8626" priority="817" operator="greaterThan">
      <formula>$C34</formula>
    </cfRule>
    <cfRule type="cellIs" dxfId="8625" priority="818" operator="lessThan">
      <formula>$C34</formula>
    </cfRule>
  </conditionalFormatting>
  <conditionalFormatting sqref="D35:E35">
    <cfRule type="expression" dxfId="8624" priority="815">
      <formula>AND($A35&lt;&gt;"",MOD(ROW(),2))</formula>
    </cfRule>
  </conditionalFormatting>
  <conditionalFormatting sqref="D35">
    <cfRule type="cellIs" dxfId="8623" priority="812" operator="equal">
      <formula>$C35</formula>
    </cfRule>
    <cfRule type="cellIs" dxfId="8622" priority="813" operator="greaterThan">
      <formula>$C35</formula>
    </cfRule>
    <cfRule type="cellIs" dxfId="8621" priority="814" operator="lessThan">
      <formula>$C35</formula>
    </cfRule>
  </conditionalFormatting>
  <conditionalFormatting sqref="D36:E36">
    <cfRule type="expression" dxfId="8620" priority="811">
      <formula>AND($A36&lt;&gt;"",MOD(ROW(),2))</formula>
    </cfRule>
  </conditionalFormatting>
  <conditionalFormatting sqref="D36">
    <cfRule type="cellIs" dxfId="8619" priority="808" operator="equal">
      <formula>$C36</formula>
    </cfRule>
    <cfRule type="cellIs" dxfId="8618" priority="809" operator="greaterThan">
      <formula>$C36</formula>
    </cfRule>
    <cfRule type="cellIs" dxfId="8617" priority="810" operator="lessThan">
      <formula>$C36</formula>
    </cfRule>
  </conditionalFormatting>
  <conditionalFormatting sqref="D37:E37">
    <cfRule type="expression" dxfId="8616" priority="807">
      <formula>AND($A37&lt;&gt;"",MOD(ROW(),2))</formula>
    </cfRule>
  </conditionalFormatting>
  <conditionalFormatting sqref="D37">
    <cfRule type="cellIs" dxfId="8615" priority="804" operator="equal">
      <formula>$C37</formula>
    </cfRule>
    <cfRule type="cellIs" dxfId="8614" priority="805" operator="greaterThan">
      <formula>$C37</formula>
    </cfRule>
    <cfRule type="cellIs" dxfId="8613" priority="806" operator="lessThan">
      <formula>$C37</formula>
    </cfRule>
  </conditionalFormatting>
  <conditionalFormatting sqref="D38:E38">
    <cfRule type="expression" dxfId="8612" priority="803">
      <formula>AND($A38&lt;&gt;"",MOD(ROW(),2))</formula>
    </cfRule>
  </conditionalFormatting>
  <conditionalFormatting sqref="D38">
    <cfRule type="cellIs" dxfId="8611" priority="800" operator="equal">
      <formula>$C38</formula>
    </cfRule>
    <cfRule type="cellIs" dxfId="8610" priority="801" operator="greaterThan">
      <formula>$C38</formula>
    </cfRule>
    <cfRule type="cellIs" dxfId="8609" priority="802" operator="lessThan">
      <formula>$C38</formula>
    </cfRule>
  </conditionalFormatting>
  <conditionalFormatting sqref="D39:E39">
    <cfRule type="expression" dxfId="8608" priority="799">
      <formula>AND($A39&lt;&gt;"",MOD(ROW(),2))</formula>
    </cfRule>
  </conditionalFormatting>
  <conditionalFormatting sqref="D39">
    <cfRule type="cellIs" dxfId="8607" priority="796" operator="equal">
      <formula>$C39</formula>
    </cfRule>
    <cfRule type="cellIs" dxfId="8606" priority="797" operator="greaterThan">
      <formula>$C39</formula>
    </cfRule>
    <cfRule type="cellIs" dxfId="8605" priority="798" operator="lessThan">
      <formula>$C39</formula>
    </cfRule>
  </conditionalFormatting>
  <conditionalFormatting sqref="D40:E40">
    <cfRule type="expression" dxfId="8604" priority="795">
      <formula>AND($A40&lt;&gt;"",MOD(ROW(),2))</formula>
    </cfRule>
  </conditionalFormatting>
  <conditionalFormatting sqref="D40">
    <cfRule type="cellIs" dxfId="8603" priority="792" operator="equal">
      <formula>$C40</formula>
    </cfRule>
    <cfRule type="cellIs" dxfId="8602" priority="793" operator="greaterThan">
      <formula>$C40</formula>
    </cfRule>
    <cfRule type="cellIs" dxfId="8601" priority="794" operator="lessThan">
      <formula>$C40</formula>
    </cfRule>
  </conditionalFormatting>
  <conditionalFormatting sqref="D41:E41">
    <cfRule type="expression" dxfId="8600" priority="791">
      <formula>AND($A41&lt;&gt;"",MOD(ROW(),2))</formula>
    </cfRule>
  </conditionalFormatting>
  <conditionalFormatting sqref="D41">
    <cfRule type="cellIs" dxfId="8599" priority="788" operator="equal">
      <formula>$C41</formula>
    </cfRule>
    <cfRule type="cellIs" dxfId="8598" priority="789" operator="greaterThan">
      <formula>$C41</formula>
    </cfRule>
    <cfRule type="cellIs" dxfId="8597" priority="790" operator="lessThan">
      <formula>$C41</formula>
    </cfRule>
  </conditionalFormatting>
  <conditionalFormatting sqref="D42:E42">
    <cfRule type="expression" dxfId="8596" priority="787">
      <formula>AND($A42&lt;&gt;"",MOD(ROW(),2))</formula>
    </cfRule>
  </conditionalFormatting>
  <conditionalFormatting sqref="D42">
    <cfRule type="cellIs" dxfId="8595" priority="784" operator="equal">
      <formula>$C42</formula>
    </cfRule>
    <cfRule type="cellIs" dxfId="8594" priority="785" operator="greaterThan">
      <formula>$C42</formula>
    </cfRule>
    <cfRule type="cellIs" dxfId="8593" priority="786" operator="lessThan">
      <formula>$C42</formula>
    </cfRule>
  </conditionalFormatting>
  <conditionalFormatting sqref="D43:E43">
    <cfRule type="expression" dxfId="8592" priority="783">
      <formula>AND($A43&lt;&gt;"",MOD(ROW(),2))</formula>
    </cfRule>
  </conditionalFormatting>
  <conditionalFormatting sqref="D43">
    <cfRule type="cellIs" dxfId="8591" priority="780" operator="equal">
      <formula>$C43</formula>
    </cfRule>
    <cfRule type="cellIs" dxfId="8590" priority="781" operator="greaterThan">
      <formula>$C43</formula>
    </cfRule>
    <cfRule type="cellIs" dxfId="8589" priority="782" operator="lessThan">
      <formula>$C43</formula>
    </cfRule>
  </conditionalFormatting>
  <conditionalFormatting sqref="D44:E44">
    <cfRule type="expression" dxfId="8588" priority="779">
      <formula>AND($A44&lt;&gt;"",MOD(ROW(),2))</formula>
    </cfRule>
  </conditionalFormatting>
  <conditionalFormatting sqref="D44">
    <cfRule type="cellIs" dxfId="8587" priority="776" operator="equal">
      <formula>$C44</formula>
    </cfRule>
    <cfRule type="cellIs" dxfId="8586" priority="777" operator="greaterThan">
      <formula>$C44</formula>
    </cfRule>
    <cfRule type="cellIs" dxfId="8585" priority="778" operator="lessThan">
      <formula>$C44</formula>
    </cfRule>
  </conditionalFormatting>
  <conditionalFormatting sqref="D45:E45">
    <cfRule type="expression" dxfId="8584" priority="775">
      <formula>AND($A45&lt;&gt;"",MOD(ROW(),2))</formula>
    </cfRule>
  </conditionalFormatting>
  <conditionalFormatting sqref="D45">
    <cfRule type="cellIs" dxfId="8583" priority="772" operator="equal">
      <formula>$C45</formula>
    </cfRule>
    <cfRule type="cellIs" dxfId="8582" priority="773" operator="greaterThan">
      <formula>$C45</formula>
    </cfRule>
    <cfRule type="cellIs" dxfId="8581" priority="774" operator="lessThan">
      <formula>$C45</formula>
    </cfRule>
  </conditionalFormatting>
  <conditionalFormatting sqref="D46:E46">
    <cfRule type="expression" dxfId="8580" priority="771">
      <formula>AND($A46&lt;&gt;"",MOD(ROW(),2))</formula>
    </cfRule>
  </conditionalFormatting>
  <conditionalFormatting sqref="D46">
    <cfRule type="cellIs" dxfId="8579" priority="768" operator="equal">
      <formula>$C46</formula>
    </cfRule>
    <cfRule type="cellIs" dxfId="8578" priority="769" operator="greaterThan">
      <formula>$C46</formula>
    </cfRule>
    <cfRule type="cellIs" dxfId="8577" priority="770" operator="lessThan">
      <formula>$C46</formula>
    </cfRule>
  </conditionalFormatting>
  <conditionalFormatting sqref="D47:E47">
    <cfRule type="expression" dxfId="8576" priority="767">
      <formula>AND($A47&lt;&gt;"",MOD(ROW(),2))</formula>
    </cfRule>
  </conditionalFormatting>
  <conditionalFormatting sqref="D47">
    <cfRule type="cellIs" dxfId="8575" priority="764" operator="equal">
      <formula>$C47</formula>
    </cfRule>
    <cfRule type="cellIs" dxfId="8574" priority="765" operator="greaterThan">
      <formula>$C47</formula>
    </cfRule>
    <cfRule type="cellIs" dxfId="8573" priority="766" operator="lessThan">
      <formula>$C47</formula>
    </cfRule>
  </conditionalFormatting>
  <conditionalFormatting sqref="D48:E48">
    <cfRule type="expression" dxfId="8572" priority="763">
      <formula>AND($A48&lt;&gt;"",MOD(ROW(),2))</formula>
    </cfRule>
  </conditionalFormatting>
  <conditionalFormatting sqref="D48">
    <cfRule type="cellIs" dxfId="8571" priority="760" operator="equal">
      <formula>$C48</formula>
    </cfRule>
    <cfRule type="cellIs" dxfId="8570" priority="761" operator="greaterThan">
      <formula>$C48</formula>
    </cfRule>
    <cfRule type="cellIs" dxfId="8569" priority="762" operator="lessThan">
      <formula>$C48</formula>
    </cfRule>
  </conditionalFormatting>
  <conditionalFormatting sqref="D49:E49">
    <cfRule type="expression" dxfId="8568" priority="759">
      <formula>AND($A49&lt;&gt;"",MOD(ROW(),2))</formula>
    </cfRule>
  </conditionalFormatting>
  <conditionalFormatting sqref="D49">
    <cfRule type="cellIs" dxfId="8567" priority="756" operator="equal">
      <formula>$C49</formula>
    </cfRule>
    <cfRule type="cellIs" dxfId="8566" priority="757" operator="greaterThan">
      <formula>$C49</formula>
    </cfRule>
    <cfRule type="cellIs" dxfId="8565" priority="758" operator="lessThan">
      <formula>$C49</formula>
    </cfRule>
  </conditionalFormatting>
  <conditionalFormatting sqref="D28:E28">
    <cfRule type="expression" dxfId="8564" priority="755">
      <formula>AND($A28&lt;&gt;"",MOD(ROW(),2))</formula>
    </cfRule>
  </conditionalFormatting>
  <conditionalFormatting sqref="D28">
    <cfRule type="cellIs" dxfId="8563" priority="752" operator="equal">
      <formula>$C28</formula>
    </cfRule>
    <cfRule type="cellIs" dxfId="8562" priority="753" operator="greaterThan">
      <formula>$C28</formula>
    </cfRule>
    <cfRule type="cellIs" dxfId="8561" priority="754" operator="lessThan">
      <formula>$C28</formula>
    </cfRule>
  </conditionalFormatting>
  <conditionalFormatting sqref="D29:E29">
    <cfRule type="expression" dxfId="8560" priority="751">
      <formula>AND($A29&lt;&gt;"",MOD(ROW(),2))</formula>
    </cfRule>
  </conditionalFormatting>
  <conditionalFormatting sqref="D29">
    <cfRule type="cellIs" dxfId="8559" priority="748" operator="equal">
      <formula>$C29</formula>
    </cfRule>
    <cfRule type="cellIs" dxfId="8558" priority="749" operator="greaterThan">
      <formula>$C29</formula>
    </cfRule>
    <cfRule type="cellIs" dxfId="8557" priority="750" operator="lessThan">
      <formula>$C29</formula>
    </cfRule>
  </conditionalFormatting>
  <conditionalFormatting sqref="D30:E30">
    <cfRule type="expression" dxfId="8556" priority="747">
      <formula>AND($A30&lt;&gt;"",MOD(ROW(),2))</formula>
    </cfRule>
  </conditionalFormatting>
  <conditionalFormatting sqref="D30">
    <cfRule type="cellIs" dxfId="8555" priority="744" operator="equal">
      <formula>$C30</formula>
    </cfRule>
    <cfRule type="cellIs" dxfId="8554" priority="745" operator="greaterThan">
      <formula>$C30</formula>
    </cfRule>
    <cfRule type="cellIs" dxfId="8553" priority="746" operator="lessThan">
      <formula>$C30</formula>
    </cfRule>
  </conditionalFormatting>
  <conditionalFormatting sqref="D31:E31">
    <cfRule type="expression" dxfId="8552" priority="743">
      <formula>AND($A31&lt;&gt;"",MOD(ROW(),2))</formula>
    </cfRule>
  </conditionalFormatting>
  <conditionalFormatting sqref="D31">
    <cfRule type="cellIs" dxfId="8551" priority="740" operator="equal">
      <formula>$C31</formula>
    </cfRule>
    <cfRule type="cellIs" dxfId="8550" priority="741" operator="greaterThan">
      <formula>$C31</formula>
    </cfRule>
    <cfRule type="cellIs" dxfId="8549" priority="742" operator="lessThan">
      <formula>$C31</formula>
    </cfRule>
  </conditionalFormatting>
  <conditionalFormatting sqref="D32:E32">
    <cfRule type="expression" dxfId="8548" priority="739">
      <formula>AND($A32&lt;&gt;"",MOD(ROW(),2))</formula>
    </cfRule>
  </conditionalFormatting>
  <conditionalFormatting sqref="D32">
    <cfRule type="cellIs" dxfId="8547" priority="736" operator="equal">
      <formula>$C32</formula>
    </cfRule>
    <cfRule type="cellIs" dxfId="8546" priority="737" operator="greaterThan">
      <formula>$C32</formula>
    </cfRule>
    <cfRule type="cellIs" dxfId="8545" priority="738" operator="lessThan">
      <formula>$C32</formula>
    </cfRule>
  </conditionalFormatting>
  <conditionalFormatting sqref="D33:E33">
    <cfRule type="expression" dxfId="8544" priority="735">
      <formula>AND($A33&lt;&gt;"",MOD(ROW(),2))</formula>
    </cfRule>
  </conditionalFormatting>
  <conditionalFormatting sqref="D33">
    <cfRule type="cellIs" dxfId="8543" priority="732" operator="equal">
      <formula>$C33</formula>
    </cfRule>
    <cfRule type="cellIs" dxfId="8542" priority="733" operator="greaterThan">
      <formula>$C33</formula>
    </cfRule>
    <cfRule type="cellIs" dxfId="8541" priority="734" operator="lessThan">
      <formula>$C33</formula>
    </cfRule>
  </conditionalFormatting>
  <conditionalFormatting sqref="D34:E34">
    <cfRule type="expression" dxfId="8540" priority="731">
      <formula>AND($A34&lt;&gt;"",MOD(ROW(),2))</formula>
    </cfRule>
  </conditionalFormatting>
  <conditionalFormatting sqref="D34">
    <cfRule type="cellIs" dxfId="8539" priority="728" operator="equal">
      <formula>$C34</formula>
    </cfRule>
    <cfRule type="cellIs" dxfId="8538" priority="729" operator="greaterThan">
      <formula>$C34</formula>
    </cfRule>
    <cfRule type="cellIs" dxfId="8537" priority="730" operator="lessThan">
      <formula>$C34</formula>
    </cfRule>
  </conditionalFormatting>
  <conditionalFormatting sqref="D35:E35">
    <cfRule type="expression" dxfId="8536" priority="727">
      <formula>AND($A35&lt;&gt;"",MOD(ROW(),2))</formula>
    </cfRule>
  </conditionalFormatting>
  <conditionalFormatting sqref="D35">
    <cfRule type="cellIs" dxfId="8535" priority="724" operator="equal">
      <formula>$C35</formula>
    </cfRule>
    <cfRule type="cellIs" dxfId="8534" priority="725" operator="greaterThan">
      <formula>$C35</formula>
    </cfRule>
    <cfRule type="cellIs" dxfId="8533" priority="726" operator="lessThan">
      <formula>$C35</formula>
    </cfRule>
  </conditionalFormatting>
  <conditionalFormatting sqref="D36:E36">
    <cfRule type="expression" dxfId="8532" priority="723">
      <formula>AND($A36&lt;&gt;"",MOD(ROW(),2))</formula>
    </cfRule>
  </conditionalFormatting>
  <conditionalFormatting sqref="D36">
    <cfRule type="cellIs" dxfId="8531" priority="720" operator="equal">
      <formula>$C36</formula>
    </cfRule>
    <cfRule type="cellIs" dxfId="8530" priority="721" operator="greaterThan">
      <formula>$C36</formula>
    </cfRule>
    <cfRule type="cellIs" dxfId="8529" priority="722" operator="lessThan">
      <formula>$C36</formula>
    </cfRule>
  </conditionalFormatting>
  <conditionalFormatting sqref="D37:E37">
    <cfRule type="expression" dxfId="8528" priority="719">
      <formula>AND($A37&lt;&gt;"",MOD(ROW(),2))</formula>
    </cfRule>
  </conditionalFormatting>
  <conditionalFormatting sqref="D37">
    <cfRule type="cellIs" dxfId="8527" priority="716" operator="equal">
      <formula>$C37</formula>
    </cfRule>
    <cfRule type="cellIs" dxfId="8526" priority="717" operator="greaterThan">
      <formula>$C37</formula>
    </cfRule>
    <cfRule type="cellIs" dxfId="8525" priority="718" operator="lessThan">
      <formula>$C37</formula>
    </cfRule>
  </conditionalFormatting>
  <conditionalFormatting sqref="D38:E38">
    <cfRule type="expression" dxfId="8524" priority="715">
      <formula>AND($A38&lt;&gt;"",MOD(ROW(),2))</formula>
    </cfRule>
  </conditionalFormatting>
  <conditionalFormatting sqref="D38">
    <cfRule type="cellIs" dxfId="8523" priority="712" operator="equal">
      <formula>$C38</formula>
    </cfRule>
    <cfRule type="cellIs" dxfId="8522" priority="713" operator="greaterThan">
      <formula>$C38</formula>
    </cfRule>
    <cfRule type="cellIs" dxfId="8521" priority="714" operator="lessThan">
      <formula>$C38</formula>
    </cfRule>
  </conditionalFormatting>
  <conditionalFormatting sqref="D39:E39">
    <cfRule type="expression" dxfId="8520" priority="711">
      <formula>AND($A39&lt;&gt;"",MOD(ROW(),2))</formula>
    </cfRule>
  </conditionalFormatting>
  <conditionalFormatting sqref="D39">
    <cfRule type="cellIs" dxfId="8519" priority="708" operator="equal">
      <formula>$C39</formula>
    </cfRule>
    <cfRule type="cellIs" dxfId="8518" priority="709" operator="greaterThan">
      <formula>$C39</formula>
    </cfRule>
    <cfRule type="cellIs" dxfId="8517" priority="710" operator="lessThan">
      <formula>$C39</formula>
    </cfRule>
  </conditionalFormatting>
  <conditionalFormatting sqref="D40:E40">
    <cfRule type="expression" dxfId="8516" priority="707">
      <formula>AND($A40&lt;&gt;"",MOD(ROW(),2))</formula>
    </cfRule>
  </conditionalFormatting>
  <conditionalFormatting sqref="D40">
    <cfRule type="cellIs" dxfId="8515" priority="704" operator="equal">
      <formula>$C40</formula>
    </cfRule>
    <cfRule type="cellIs" dxfId="8514" priority="705" operator="greaterThan">
      <formula>$C40</formula>
    </cfRule>
    <cfRule type="cellIs" dxfId="8513" priority="706" operator="lessThan">
      <formula>$C40</formula>
    </cfRule>
  </conditionalFormatting>
  <conditionalFormatting sqref="D41:E41">
    <cfRule type="expression" dxfId="8512" priority="703">
      <formula>AND($A41&lt;&gt;"",MOD(ROW(),2))</formula>
    </cfRule>
  </conditionalFormatting>
  <conditionalFormatting sqref="D41">
    <cfRule type="cellIs" dxfId="8511" priority="700" operator="equal">
      <formula>$C41</formula>
    </cfRule>
    <cfRule type="cellIs" dxfId="8510" priority="701" operator="greaterThan">
      <formula>$C41</formula>
    </cfRule>
    <cfRule type="cellIs" dxfId="8509" priority="702" operator="lessThan">
      <formula>$C41</formula>
    </cfRule>
  </conditionalFormatting>
  <conditionalFormatting sqref="D42:E42">
    <cfRule type="expression" dxfId="8508" priority="699">
      <formula>AND($A42&lt;&gt;"",MOD(ROW(),2))</formula>
    </cfRule>
  </conditionalFormatting>
  <conditionalFormatting sqref="D42">
    <cfRule type="cellIs" dxfId="8507" priority="696" operator="equal">
      <formula>$C42</formula>
    </cfRule>
    <cfRule type="cellIs" dxfId="8506" priority="697" operator="greaterThan">
      <formula>$C42</formula>
    </cfRule>
    <cfRule type="cellIs" dxfId="8505" priority="698" operator="lessThan">
      <formula>$C42</formula>
    </cfRule>
  </conditionalFormatting>
  <conditionalFormatting sqref="D43:E43">
    <cfRule type="expression" dxfId="8504" priority="695">
      <formula>AND($A43&lt;&gt;"",MOD(ROW(),2))</formula>
    </cfRule>
  </conditionalFormatting>
  <conditionalFormatting sqref="D43">
    <cfRule type="cellIs" dxfId="8503" priority="692" operator="equal">
      <formula>$C43</formula>
    </cfRule>
    <cfRule type="cellIs" dxfId="8502" priority="693" operator="greaterThan">
      <formula>$C43</formula>
    </cfRule>
    <cfRule type="cellIs" dxfId="8501" priority="694" operator="lessThan">
      <formula>$C43</formula>
    </cfRule>
  </conditionalFormatting>
  <conditionalFormatting sqref="D44:E44">
    <cfRule type="expression" dxfId="8500" priority="691">
      <formula>AND($A44&lt;&gt;"",MOD(ROW(),2))</formula>
    </cfRule>
  </conditionalFormatting>
  <conditionalFormatting sqref="D44">
    <cfRule type="cellIs" dxfId="8499" priority="688" operator="equal">
      <formula>$C44</formula>
    </cfRule>
    <cfRule type="cellIs" dxfId="8498" priority="689" operator="greaterThan">
      <formula>$C44</formula>
    </cfRule>
    <cfRule type="cellIs" dxfId="8497" priority="690" operator="lessThan">
      <formula>$C44</formula>
    </cfRule>
  </conditionalFormatting>
  <conditionalFormatting sqref="D45:E45">
    <cfRule type="expression" dxfId="8496" priority="687">
      <formula>AND($A45&lt;&gt;"",MOD(ROW(),2))</formula>
    </cfRule>
  </conditionalFormatting>
  <conditionalFormatting sqref="D45">
    <cfRule type="cellIs" dxfId="8495" priority="684" operator="equal">
      <formula>$C45</formula>
    </cfRule>
    <cfRule type="cellIs" dxfId="8494" priority="685" operator="greaterThan">
      <formula>$C45</formula>
    </cfRule>
    <cfRule type="cellIs" dxfId="8493" priority="686" operator="lessThan">
      <formula>$C45</formula>
    </cfRule>
  </conditionalFormatting>
  <conditionalFormatting sqref="D46:E46">
    <cfRule type="expression" dxfId="8492" priority="683">
      <formula>AND($A46&lt;&gt;"",MOD(ROW(),2))</formula>
    </cfRule>
  </conditionalFormatting>
  <conditionalFormatting sqref="D46">
    <cfRule type="cellIs" dxfId="8491" priority="680" operator="equal">
      <formula>$C46</formula>
    </cfRule>
    <cfRule type="cellIs" dxfId="8490" priority="681" operator="greaterThan">
      <formula>$C46</formula>
    </cfRule>
    <cfRule type="cellIs" dxfId="8489" priority="682" operator="lessThan">
      <formula>$C46</formula>
    </cfRule>
  </conditionalFormatting>
  <conditionalFormatting sqref="D47:E47">
    <cfRule type="expression" dxfId="8488" priority="679">
      <formula>AND($A47&lt;&gt;"",MOD(ROW(),2))</formula>
    </cfRule>
  </conditionalFormatting>
  <conditionalFormatting sqref="D47">
    <cfRule type="cellIs" dxfId="8487" priority="676" operator="equal">
      <formula>$C47</formula>
    </cfRule>
    <cfRule type="cellIs" dxfId="8486" priority="677" operator="greaterThan">
      <formula>$C47</formula>
    </cfRule>
    <cfRule type="cellIs" dxfId="8485" priority="678" operator="lessThan">
      <formula>$C47</formula>
    </cfRule>
  </conditionalFormatting>
  <conditionalFormatting sqref="D48:E48">
    <cfRule type="expression" dxfId="8484" priority="675">
      <formula>AND($A48&lt;&gt;"",MOD(ROW(),2))</formula>
    </cfRule>
  </conditionalFormatting>
  <conditionalFormatting sqref="D48">
    <cfRule type="cellIs" dxfId="8483" priority="672" operator="equal">
      <formula>$C48</formula>
    </cfRule>
    <cfRule type="cellIs" dxfId="8482" priority="673" operator="greaterThan">
      <formula>$C48</formula>
    </cfRule>
    <cfRule type="cellIs" dxfId="8481" priority="674" operator="lessThan">
      <formula>$C48</formula>
    </cfRule>
  </conditionalFormatting>
  <conditionalFormatting sqref="D49:E49">
    <cfRule type="expression" dxfId="8480" priority="671">
      <formula>AND($A49&lt;&gt;"",MOD(ROW(),2))</formula>
    </cfRule>
  </conditionalFormatting>
  <conditionalFormatting sqref="D49">
    <cfRule type="cellIs" dxfId="8479" priority="668" operator="equal">
      <formula>$C49</formula>
    </cfRule>
    <cfRule type="cellIs" dxfId="8478" priority="669" operator="greaterThan">
      <formula>$C49</formula>
    </cfRule>
    <cfRule type="cellIs" dxfId="8477" priority="670" operator="lessThan">
      <formula>$C49</formula>
    </cfRule>
  </conditionalFormatting>
  <conditionalFormatting sqref="D28:E28">
    <cfRule type="expression" dxfId="8476" priority="667">
      <formula>AND($A28&lt;&gt;"",MOD(ROW(),2))</formula>
    </cfRule>
  </conditionalFormatting>
  <conditionalFormatting sqref="D28">
    <cfRule type="cellIs" dxfId="8475" priority="664" operator="equal">
      <formula>$C28</formula>
    </cfRule>
    <cfRule type="cellIs" dxfId="8474" priority="665" operator="greaterThan">
      <formula>$C28</formula>
    </cfRule>
    <cfRule type="cellIs" dxfId="8473" priority="666" operator="lessThan">
      <formula>$C28</formula>
    </cfRule>
  </conditionalFormatting>
  <conditionalFormatting sqref="D29:E29">
    <cfRule type="expression" dxfId="8472" priority="663">
      <formula>AND($A29&lt;&gt;"",MOD(ROW(),2))</formula>
    </cfRule>
  </conditionalFormatting>
  <conditionalFormatting sqref="D29">
    <cfRule type="cellIs" dxfId="8471" priority="660" operator="equal">
      <formula>$C29</formula>
    </cfRule>
    <cfRule type="cellIs" dxfId="8470" priority="661" operator="greaterThan">
      <formula>$C29</formula>
    </cfRule>
    <cfRule type="cellIs" dxfId="8469" priority="662" operator="lessThan">
      <formula>$C29</formula>
    </cfRule>
  </conditionalFormatting>
  <conditionalFormatting sqref="D30:E30">
    <cfRule type="expression" dxfId="8468" priority="659">
      <formula>AND($A30&lt;&gt;"",MOD(ROW(),2))</formula>
    </cfRule>
  </conditionalFormatting>
  <conditionalFormatting sqref="D30">
    <cfRule type="cellIs" dxfId="8467" priority="656" operator="equal">
      <formula>$C30</formula>
    </cfRule>
    <cfRule type="cellIs" dxfId="8466" priority="657" operator="greaterThan">
      <formula>$C30</formula>
    </cfRule>
    <cfRule type="cellIs" dxfId="8465" priority="658" operator="lessThan">
      <formula>$C30</formula>
    </cfRule>
  </conditionalFormatting>
  <conditionalFormatting sqref="D31:E31">
    <cfRule type="expression" dxfId="8464" priority="655">
      <formula>AND($A31&lt;&gt;"",MOD(ROW(),2))</formula>
    </cfRule>
  </conditionalFormatting>
  <conditionalFormatting sqref="D31">
    <cfRule type="cellIs" dxfId="8463" priority="652" operator="equal">
      <formula>$C31</formula>
    </cfRule>
    <cfRule type="cellIs" dxfId="8462" priority="653" operator="greaterThan">
      <formula>$C31</formula>
    </cfRule>
    <cfRule type="cellIs" dxfId="8461" priority="654" operator="lessThan">
      <formula>$C31</formula>
    </cfRule>
  </conditionalFormatting>
  <conditionalFormatting sqref="D32:E32">
    <cfRule type="expression" dxfId="8460" priority="651">
      <formula>AND($A32&lt;&gt;"",MOD(ROW(),2))</formula>
    </cfRule>
  </conditionalFormatting>
  <conditionalFormatting sqref="D32">
    <cfRule type="cellIs" dxfId="8459" priority="648" operator="equal">
      <formula>$C32</formula>
    </cfRule>
    <cfRule type="cellIs" dxfId="8458" priority="649" operator="greaterThan">
      <formula>$C32</formula>
    </cfRule>
    <cfRule type="cellIs" dxfId="8457" priority="650" operator="lessThan">
      <formula>$C32</formula>
    </cfRule>
  </conditionalFormatting>
  <conditionalFormatting sqref="D33:E33">
    <cfRule type="expression" dxfId="8456" priority="647">
      <formula>AND($A33&lt;&gt;"",MOD(ROW(),2))</formula>
    </cfRule>
  </conditionalFormatting>
  <conditionalFormatting sqref="D33">
    <cfRule type="cellIs" dxfId="8455" priority="644" operator="equal">
      <formula>$C33</formula>
    </cfRule>
    <cfRule type="cellIs" dxfId="8454" priority="645" operator="greaterThan">
      <formula>$C33</formula>
    </cfRule>
    <cfRule type="cellIs" dxfId="8453" priority="646" operator="lessThan">
      <formula>$C33</formula>
    </cfRule>
  </conditionalFormatting>
  <conditionalFormatting sqref="D34:E34">
    <cfRule type="expression" dxfId="8452" priority="643">
      <formula>AND($A34&lt;&gt;"",MOD(ROW(),2))</formula>
    </cfRule>
  </conditionalFormatting>
  <conditionalFormatting sqref="D34">
    <cfRule type="cellIs" dxfId="8451" priority="640" operator="equal">
      <formula>$C34</formula>
    </cfRule>
    <cfRule type="cellIs" dxfId="8450" priority="641" operator="greaterThan">
      <formula>$C34</formula>
    </cfRule>
    <cfRule type="cellIs" dxfId="8449" priority="642" operator="lessThan">
      <formula>$C34</formula>
    </cfRule>
  </conditionalFormatting>
  <conditionalFormatting sqref="D35:E35">
    <cfRule type="expression" dxfId="8448" priority="639">
      <formula>AND($A35&lt;&gt;"",MOD(ROW(),2))</formula>
    </cfRule>
  </conditionalFormatting>
  <conditionalFormatting sqref="D35">
    <cfRule type="cellIs" dxfId="8447" priority="636" operator="equal">
      <formula>$C35</formula>
    </cfRule>
    <cfRule type="cellIs" dxfId="8446" priority="637" operator="greaterThan">
      <formula>$C35</formula>
    </cfRule>
    <cfRule type="cellIs" dxfId="8445" priority="638" operator="lessThan">
      <formula>$C35</formula>
    </cfRule>
  </conditionalFormatting>
  <conditionalFormatting sqref="D36:E36">
    <cfRule type="expression" dxfId="8444" priority="635">
      <formula>AND($A36&lt;&gt;"",MOD(ROW(),2))</formula>
    </cfRule>
  </conditionalFormatting>
  <conditionalFormatting sqref="D36">
    <cfRule type="cellIs" dxfId="8443" priority="632" operator="equal">
      <formula>$C36</formula>
    </cfRule>
    <cfRule type="cellIs" dxfId="8442" priority="633" operator="greaterThan">
      <formula>$C36</formula>
    </cfRule>
    <cfRule type="cellIs" dxfId="8441" priority="634" operator="lessThan">
      <formula>$C36</formula>
    </cfRule>
  </conditionalFormatting>
  <conditionalFormatting sqref="D37:E37">
    <cfRule type="expression" dxfId="8440" priority="631">
      <formula>AND($A37&lt;&gt;"",MOD(ROW(),2))</formula>
    </cfRule>
  </conditionalFormatting>
  <conditionalFormatting sqref="D37">
    <cfRule type="cellIs" dxfId="8439" priority="628" operator="equal">
      <formula>$C37</formula>
    </cfRule>
    <cfRule type="cellIs" dxfId="8438" priority="629" operator="greaterThan">
      <formula>$C37</formula>
    </cfRule>
    <cfRule type="cellIs" dxfId="8437" priority="630" operator="lessThan">
      <formula>$C37</formula>
    </cfRule>
  </conditionalFormatting>
  <conditionalFormatting sqref="D38:E38">
    <cfRule type="expression" dxfId="8436" priority="627">
      <formula>AND($A38&lt;&gt;"",MOD(ROW(),2))</formula>
    </cfRule>
  </conditionalFormatting>
  <conditionalFormatting sqref="D38">
    <cfRule type="cellIs" dxfId="8435" priority="624" operator="equal">
      <formula>$C38</formula>
    </cfRule>
    <cfRule type="cellIs" dxfId="8434" priority="625" operator="greaterThan">
      <formula>$C38</formula>
    </cfRule>
    <cfRule type="cellIs" dxfId="8433" priority="626" operator="lessThan">
      <formula>$C38</formula>
    </cfRule>
  </conditionalFormatting>
  <conditionalFormatting sqref="D39:E39">
    <cfRule type="expression" dxfId="8432" priority="623">
      <formula>AND($A39&lt;&gt;"",MOD(ROW(),2))</formula>
    </cfRule>
  </conditionalFormatting>
  <conditionalFormatting sqref="D39">
    <cfRule type="cellIs" dxfId="8431" priority="620" operator="equal">
      <formula>$C39</formula>
    </cfRule>
    <cfRule type="cellIs" dxfId="8430" priority="621" operator="greaterThan">
      <formula>$C39</formula>
    </cfRule>
    <cfRule type="cellIs" dxfId="8429" priority="622" operator="lessThan">
      <formula>$C39</formula>
    </cfRule>
  </conditionalFormatting>
  <conditionalFormatting sqref="D40:E40">
    <cfRule type="expression" dxfId="8428" priority="619">
      <formula>AND($A40&lt;&gt;"",MOD(ROW(),2))</formula>
    </cfRule>
  </conditionalFormatting>
  <conditionalFormatting sqref="D40">
    <cfRule type="cellIs" dxfId="8427" priority="616" operator="equal">
      <formula>$C40</formula>
    </cfRule>
    <cfRule type="cellIs" dxfId="8426" priority="617" operator="greaterThan">
      <formula>$C40</formula>
    </cfRule>
    <cfRule type="cellIs" dxfId="8425" priority="618" operator="lessThan">
      <formula>$C40</formula>
    </cfRule>
  </conditionalFormatting>
  <conditionalFormatting sqref="D41:E41">
    <cfRule type="expression" dxfId="8424" priority="615">
      <formula>AND($A41&lt;&gt;"",MOD(ROW(),2))</formula>
    </cfRule>
  </conditionalFormatting>
  <conditionalFormatting sqref="D41">
    <cfRule type="cellIs" dxfId="8423" priority="612" operator="equal">
      <formula>$C41</formula>
    </cfRule>
    <cfRule type="cellIs" dxfId="8422" priority="613" operator="greaterThan">
      <formula>$C41</formula>
    </cfRule>
    <cfRule type="cellIs" dxfId="8421" priority="614" operator="lessThan">
      <formula>$C41</formula>
    </cfRule>
  </conditionalFormatting>
  <conditionalFormatting sqref="D42:E42">
    <cfRule type="expression" dxfId="8420" priority="611">
      <formula>AND($A42&lt;&gt;"",MOD(ROW(),2))</formula>
    </cfRule>
  </conditionalFormatting>
  <conditionalFormatting sqref="D42">
    <cfRule type="cellIs" dxfId="8419" priority="608" operator="equal">
      <formula>$C42</formula>
    </cfRule>
    <cfRule type="cellIs" dxfId="8418" priority="609" operator="greaterThan">
      <formula>$C42</formula>
    </cfRule>
    <cfRule type="cellIs" dxfId="8417" priority="610" operator="lessThan">
      <formula>$C42</formula>
    </cfRule>
  </conditionalFormatting>
  <conditionalFormatting sqref="D43:E43">
    <cfRule type="expression" dxfId="8416" priority="607">
      <formula>AND($A43&lt;&gt;"",MOD(ROW(),2))</formula>
    </cfRule>
  </conditionalFormatting>
  <conditionalFormatting sqref="D43">
    <cfRule type="cellIs" dxfId="8415" priority="604" operator="equal">
      <formula>$C43</formula>
    </cfRule>
    <cfRule type="cellIs" dxfId="8414" priority="605" operator="greaterThan">
      <formula>$C43</formula>
    </cfRule>
    <cfRule type="cellIs" dxfId="8413" priority="606" operator="lessThan">
      <formula>$C43</formula>
    </cfRule>
  </conditionalFormatting>
  <conditionalFormatting sqref="D44:E44">
    <cfRule type="expression" dxfId="8412" priority="603">
      <formula>AND($A44&lt;&gt;"",MOD(ROW(),2))</formula>
    </cfRule>
  </conditionalFormatting>
  <conditionalFormatting sqref="D44">
    <cfRule type="cellIs" dxfId="8411" priority="600" operator="equal">
      <formula>$C44</formula>
    </cfRule>
    <cfRule type="cellIs" dxfId="8410" priority="601" operator="greaterThan">
      <formula>$C44</formula>
    </cfRule>
    <cfRule type="cellIs" dxfId="8409" priority="602" operator="lessThan">
      <formula>$C44</formula>
    </cfRule>
  </conditionalFormatting>
  <conditionalFormatting sqref="D45:E45">
    <cfRule type="expression" dxfId="8408" priority="599">
      <formula>AND($A45&lt;&gt;"",MOD(ROW(),2))</formula>
    </cfRule>
  </conditionalFormatting>
  <conditionalFormatting sqref="D45">
    <cfRule type="cellIs" dxfId="8407" priority="596" operator="equal">
      <formula>$C45</formula>
    </cfRule>
    <cfRule type="cellIs" dxfId="8406" priority="597" operator="greaterThan">
      <formula>$C45</formula>
    </cfRule>
    <cfRule type="cellIs" dxfId="8405" priority="598" operator="lessThan">
      <formula>$C45</formula>
    </cfRule>
  </conditionalFormatting>
  <conditionalFormatting sqref="D46:E46">
    <cfRule type="expression" dxfId="8404" priority="595">
      <formula>AND($A46&lt;&gt;"",MOD(ROW(),2))</formula>
    </cfRule>
  </conditionalFormatting>
  <conditionalFormatting sqref="D46">
    <cfRule type="cellIs" dxfId="8403" priority="592" operator="equal">
      <formula>$C46</formula>
    </cfRule>
    <cfRule type="cellIs" dxfId="8402" priority="593" operator="greaterThan">
      <formula>$C46</formula>
    </cfRule>
    <cfRule type="cellIs" dxfId="8401" priority="594" operator="lessThan">
      <formula>$C46</formula>
    </cfRule>
  </conditionalFormatting>
  <conditionalFormatting sqref="D47:E47">
    <cfRule type="expression" dxfId="8400" priority="591">
      <formula>AND($A47&lt;&gt;"",MOD(ROW(),2))</formula>
    </cfRule>
  </conditionalFormatting>
  <conditionalFormatting sqref="D47">
    <cfRule type="cellIs" dxfId="8399" priority="588" operator="equal">
      <formula>$C47</formula>
    </cfRule>
    <cfRule type="cellIs" dxfId="8398" priority="589" operator="greaterThan">
      <formula>$C47</formula>
    </cfRule>
    <cfRule type="cellIs" dxfId="8397" priority="590" operator="lessThan">
      <formula>$C47</formula>
    </cfRule>
  </conditionalFormatting>
  <conditionalFormatting sqref="D48:E48">
    <cfRule type="expression" dxfId="8396" priority="587">
      <formula>AND($A48&lt;&gt;"",MOD(ROW(),2))</formula>
    </cfRule>
  </conditionalFormatting>
  <conditionalFormatting sqref="D48">
    <cfRule type="cellIs" dxfId="8395" priority="584" operator="equal">
      <formula>$C48</formula>
    </cfRule>
    <cfRule type="cellIs" dxfId="8394" priority="585" operator="greaterThan">
      <formula>$C48</formula>
    </cfRule>
    <cfRule type="cellIs" dxfId="8393" priority="586" operator="lessThan">
      <formula>$C48</formula>
    </cfRule>
  </conditionalFormatting>
  <conditionalFormatting sqref="D49:E49">
    <cfRule type="expression" dxfId="8392" priority="583">
      <formula>AND($A49&lt;&gt;"",MOD(ROW(),2))</formula>
    </cfRule>
  </conditionalFormatting>
  <conditionalFormatting sqref="D49">
    <cfRule type="cellIs" dxfId="8391" priority="580" operator="equal">
      <formula>$C49</formula>
    </cfRule>
    <cfRule type="cellIs" dxfId="8390" priority="581" operator="greaterThan">
      <formula>$C49</formula>
    </cfRule>
    <cfRule type="cellIs" dxfId="8389" priority="582" operator="lessThan">
      <formula>$C49</formula>
    </cfRule>
  </conditionalFormatting>
  <conditionalFormatting sqref="D28:E28">
    <cfRule type="expression" dxfId="8388" priority="579">
      <formula>AND($A28&lt;&gt;"",MOD(ROW(),2))</formula>
    </cfRule>
  </conditionalFormatting>
  <conditionalFormatting sqref="D28">
    <cfRule type="cellIs" dxfId="8387" priority="576" operator="equal">
      <formula>$C28</formula>
    </cfRule>
    <cfRule type="cellIs" dxfId="8386" priority="577" operator="greaterThan">
      <formula>$C28</formula>
    </cfRule>
    <cfRule type="cellIs" dxfId="8385" priority="578" operator="lessThan">
      <formula>$C28</formula>
    </cfRule>
  </conditionalFormatting>
  <conditionalFormatting sqref="D29:E29">
    <cfRule type="expression" dxfId="8384" priority="575">
      <formula>AND($A29&lt;&gt;"",MOD(ROW(),2))</formula>
    </cfRule>
  </conditionalFormatting>
  <conditionalFormatting sqref="D29">
    <cfRule type="cellIs" dxfId="8383" priority="572" operator="equal">
      <formula>$C29</formula>
    </cfRule>
    <cfRule type="cellIs" dxfId="8382" priority="573" operator="greaterThan">
      <formula>$C29</formula>
    </cfRule>
    <cfRule type="cellIs" dxfId="8381" priority="574" operator="lessThan">
      <formula>$C29</formula>
    </cfRule>
  </conditionalFormatting>
  <conditionalFormatting sqref="D30:E30">
    <cfRule type="expression" dxfId="8380" priority="571">
      <formula>AND($A30&lt;&gt;"",MOD(ROW(),2))</formula>
    </cfRule>
  </conditionalFormatting>
  <conditionalFormatting sqref="D30">
    <cfRule type="cellIs" dxfId="8379" priority="568" operator="equal">
      <formula>$C30</formula>
    </cfRule>
    <cfRule type="cellIs" dxfId="8378" priority="569" operator="greaterThan">
      <formula>$C30</formula>
    </cfRule>
    <cfRule type="cellIs" dxfId="8377" priority="570" operator="lessThan">
      <formula>$C30</formula>
    </cfRule>
  </conditionalFormatting>
  <conditionalFormatting sqref="D31:E31">
    <cfRule type="expression" dxfId="8376" priority="567">
      <formula>AND($A31&lt;&gt;"",MOD(ROW(),2))</formula>
    </cfRule>
  </conditionalFormatting>
  <conditionalFormatting sqref="D31">
    <cfRule type="cellIs" dxfId="8375" priority="564" operator="equal">
      <formula>$C31</formula>
    </cfRule>
    <cfRule type="cellIs" dxfId="8374" priority="565" operator="greaterThan">
      <formula>$C31</formula>
    </cfRule>
    <cfRule type="cellIs" dxfId="8373" priority="566" operator="lessThan">
      <formula>$C31</formula>
    </cfRule>
  </conditionalFormatting>
  <conditionalFormatting sqref="D32:E32">
    <cfRule type="expression" dxfId="8372" priority="563">
      <formula>AND($A32&lt;&gt;"",MOD(ROW(),2))</formula>
    </cfRule>
  </conditionalFormatting>
  <conditionalFormatting sqref="D32">
    <cfRule type="cellIs" dxfId="8371" priority="560" operator="equal">
      <formula>$C32</formula>
    </cfRule>
    <cfRule type="cellIs" dxfId="8370" priority="561" operator="greaterThan">
      <formula>$C32</formula>
    </cfRule>
    <cfRule type="cellIs" dxfId="8369" priority="562" operator="lessThan">
      <formula>$C32</formula>
    </cfRule>
  </conditionalFormatting>
  <conditionalFormatting sqref="D33:E33">
    <cfRule type="expression" dxfId="8368" priority="559">
      <formula>AND($A33&lt;&gt;"",MOD(ROW(),2))</formula>
    </cfRule>
  </conditionalFormatting>
  <conditionalFormatting sqref="D33">
    <cfRule type="cellIs" dxfId="8367" priority="556" operator="equal">
      <formula>$C33</formula>
    </cfRule>
    <cfRule type="cellIs" dxfId="8366" priority="557" operator="greaterThan">
      <formula>$C33</formula>
    </cfRule>
    <cfRule type="cellIs" dxfId="8365" priority="558" operator="lessThan">
      <formula>$C33</formula>
    </cfRule>
  </conditionalFormatting>
  <conditionalFormatting sqref="D34:E34">
    <cfRule type="expression" dxfId="8364" priority="555">
      <formula>AND($A34&lt;&gt;"",MOD(ROW(),2))</formula>
    </cfRule>
  </conditionalFormatting>
  <conditionalFormatting sqref="D34">
    <cfRule type="cellIs" dxfId="8363" priority="552" operator="equal">
      <formula>$C34</formula>
    </cfRule>
    <cfRule type="cellIs" dxfId="8362" priority="553" operator="greaterThan">
      <formula>$C34</formula>
    </cfRule>
    <cfRule type="cellIs" dxfId="8361" priority="554" operator="lessThan">
      <formula>$C34</formula>
    </cfRule>
  </conditionalFormatting>
  <conditionalFormatting sqref="D35:E35">
    <cfRule type="expression" dxfId="8360" priority="551">
      <formula>AND($A35&lt;&gt;"",MOD(ROW(),2))</formula>
    </cfRule>
  </conditionalFormatting>
  <conditionalFormatting sqref="D35">
    <cfRule type="cellIs" dxfId="8359" priority="548" operator="equal">
      <formula>$C35</formula>
    </cfRule>
    <cfRule type="cellIs" dxfId="8358" priority="549" operator="greaterThan">
      <formula>$C35</formula>
    </cfRule>
    <cfRule type="cellIs" dxfId="8357" priority="550" operator="lessThan">
      <formula>$C35</formula>
    </cfRule>
  </conditionalFormatting>
  <conditionalFormatting sqref="D36:E36">
    <cfRule type="expression" dxfId="8356" priority="547">
      <formula>AND($A36&lt;&gt;"",MOD(ROW(),2))</formula>
    </cfRule>
  </conditionalFormatting>
  <conditionalFormatting sqref="D36">
    <cfRule type="cellIs" dxfId="8355" priority="544" operator="equal">
      <formula>$C36</formula>
    </cfRule>
    <cfRule type="cellIs" dxfId="8354" priority="545" operator="greaterThan">
      <formula>$C36</formula>
    </cfRule>
    <cfRule type="cellIs" dxfId="8353" priority="546" operator="lessThan">
      <formula>$C36</formula>
    </cfRule>
  </conditionalFormatting>
  <conditionalFormatting sqref="D37:E37">
    <cfRule type="expression" dxfId="8352" priority="543">
      <formula>AND($A37&lt;&gt;"",MOD(ROW(),2))</formula>
    </cfRule>
  </conditionalFormatting>
  <conditionalFormatting sqref="D37">
    <cfRule type="cellIs" dxfId="8351" priority="540" operator="equal">
      <formula>$C37</formula>
    </cfRule>
    <cfRule type="cellIs" dxfId="8350" priority="541" operator="greaterThan">
      <formula>$C37</formula>
    </cfRule>
    <cfRule type="cellIs" dxfId="8349" priority="542" operator="lessThan">
      <formula>$C37</formula>
    </cfRule>
  </conditionalFormatting>
  <conditionalFormatting sqref="D38:E38">
    <cfRule type="expression" dxfId="8348" priority="539">
      <formula>AND($A38&lt;&gt;"",MOD(ROW(),2))</formula>
    </cfRule>
  </conditionalFormatting>
  <conditionalFormatting sqref="D38">
    <cfRule type="cellIs" dxfId="8347" priority="536" operator="equal">
      <formula>$C38</formula>
    </cfRule>
    <cfRule type="cellIs" dxfId="8346" priority="537" operator="greaterThan">
      <formula>$C38</formula>
    </cfRule>
    <cfRule type="cellIs" dxfId="8345" priority="538" operator="lessThan">
      <formula>$C38</formula>
    </cfRule>
  </conditionalFormatting>
  <conditionalFormatting sqref="D39:E39">
    <cfRule type="expression" dxfId="8344" priority="535">
      <formula>AND($A39&lt;&gt;"",MOD(ROW(),2))</formula>
    </cfRule>
  </conditionalFormatting>
  <conditionalFormatting sqref="D39">
    <cfRule type="cellIs" dxfId="8343" priority="532" operator="equal">
      <formula>$C39</formula>
    </cfRule>
    <cfRule type="cellIs" dxfId="8342" priority="533" operator="greaterThan">
      <formula>$C39</formula>
    </cfRule>
    <cfRule type="cellIs" dxfId="8341" priority="534" operator="lessThan">
      <formula>$C39</formula>
    </cfRule>
  </conditionalFormatting>
  <conditionalFormatting sqref="D40:E40">
    <cfRule type="expression" dxfId="8340" priority="531">
      <formula>AND($A40&lt;&gt;"",MOD(ROW(),2))</formula>
    </cfRule>
  </conditionalFormatting>
  <conditionalFormatting sqref="D40">
    <cfRule type="cellIs" dxfId="8339" priority="528" operator="equal">
      <formula>$C40</formula>
    </cfRule>
    <cfRule type="cellIs" dxfId="8338" priority="529" operator="greaterThan">
      <formula>$C40</formula>
    </cfRule>
    <cfRule type="cellIs" dxfId="8337" priority="530" operator="lessThan">
      <formula>$C40</formula>
    </cfRule>
  </conditionalFormatting>
  <conditionalFormatting sqref="D41:E41">
    <cfRule type="expression" dxfId="8336" priority="527">
      <formula>AND($A41&lt;&gt;"",MOD(ROW(),2))</formula>
    </cfRule>
  </conditionalFormatting>
  <conditionalFormatting sqref="D41">
    <cfRule type="cellIs" dxfId="8335" priority="524" operator="equal">
      <formula>$C41</formula>
    </cfRule>
    <cfRule type="cellIs" dxfId="8334" priority="525" operator="greaterThan">
      <formula>$C41</formula>
    </cfRule>
    <cfRule type="cellIs" dxfId="8333" priority="526" operator="lessThan">
      <formula>$C41</formula>
    </cfRule>
  </conditionalFormatting>
  <conditionalFormatting sqref="D42:E42">
    <cfRule type="expression" dxfId="8332" priority="523">
      <formula>AND($A42&lt;&gt;"",MOD(ROW(),2))</formula>
    </cfRule>
  </conditionalFormatting>
  <conditionalFormatting sqref="D42">
    <cfRule type="cellIs" dxfId="8331" priority="520" operator="equal">
      <formula>$C42</formula>
    </cfRule>
    <cfRule type="cellIs" dxfId="8330" priority="521" operator="greaterThan">
      <formula>$C42</formula>
    </cfRule>
    <cfRule type="cellIs" dxfId="8329" priority="522" operator="lessThan">
      <formula>$C42</formula>
    </cfRule>
  </conditionalFormatting>
  <conditionalFormatting sqref="D43:E43">
    <cfRule type="expression" dxfId="8328" priority="519">
      <formula>AND($A43&lt;&gt;"",MOD(ROW(),2))</formula>
    </cfRule>
  </conditionalFormatting>
  <conditionalFormatting sqref="D43">
    <cfRule type="cellIs" dxfId="8327" priority="516" operator="equal">
      <formula>$C43</formula>
    </cfRule>
    <cfRule type="cellIs" dxfId="8326" priority="517" operator="greaterThan">
      <formula>$C43</formula>
    </cfRule>
    <cfRule type="cellIs" dxfId="8325" priority="518" operator="lessThan">
      <formula>$C43</formula>
    </cfRule>
  </conditionalFormatting>
  <conditionalFormatting sqref="D44:E44">
    <cfRule type="expression" dxfId="8324" priority="515">
      <formula>AND($A44&lt;&gt;"",MOD(ROW(),2))</formula>
    </cfRule>
  </conditionalFormatting>
  <conditionalFormatting sqref="D44">
    <cfRule type="cellIs" dxfId="8323" priority="512" operator="equal">
      <formula>$C44</formula>
    </cfRule>
    <cfRule type="cellIs" dxfId="8322" priority="513" operator="greaterThan">
      <formula>$C44</formula>
    </cfRule>
    <cfRule type="cellIs" dxfId="8321" priority="514" operator="lessThan">
      <formula>$C44</formula>
    </cfRule>
  </conditionalFormatting>
  <conditionalFormatting sqref="D45:E45">
    <cfRule type="expression" dxfId="8320" priority="511">
      <formula>AND($A45&lt;&gt;"",MOD(ROW(),2))</formula>
    </cfRule>
  </conditionalFormatting>
  <conditionalFormatting sqref="D45">
    <cfRule type="cellIs" dxfId="8319" priority="508" operator="equal">
      <formula>$C45</formula>
    </cfRule>
    <cfRule type="cellIs" dxfId="8318" priority="509" operator="greaterThan">
      <formula>$C45</formula>
    </cfRule>
    <cfRule type="cellIs" dxfId="8317" priority="510" operator="lessThan">
      <formula>$C45</formula>
    </cfRule>
  </conditionalFormatting>
  <conditionalFormatting sqref="D46:E46">
    <cfRule type="expression" dxfId="8316" priority="507">
      <formula>AND($A46&lt;&gt;"",MOD(ROW(),2))</formula>
    </cfRule>
  </conditionalFormatting>
  <conditionalFormatting sqref="D46">
    <cfRule type="cellIs" dxfId="8315" priority="504" operator="equal">
      <formula>$C46</formula>
    </cfRule>
    <cfRule type="cellIs" dxfId="8314" priority="505" operator="greaterThan">
      <formula>$C46</formula>
    </cfRule>
    <cfRule type="cellIs" dxfId="8313" priority="506" operator="lessThan">
      <formula>$C46</formula>
    </cfRule>
  </conditionalFormatting>
  <conditionalFormatting sqref="D47:E47">
    <cfRule type="expression" dxfId="8312" priority="503">
      <formula>AND($A47&lt;&gt;"",MOD(ROW(),2))</formula>
    </cfRule>
  </conditionalFormatting>
  <conditionalFormatting sqref="D47">
    <cfRule type="cellIs" dxfId="8311" priority="500" operator="equal">
      <formula>$C47</formula>
    </cfRule>
    <cfRule type="cellIs" dxfId="8310" priority="501" operator="greaterThan">
      <formula>$C47</formula>
    </cfRule>
    <cfRule type="cellIs" dxfId="8309" priority="502" operator="lessThan">
      <formula>$C47</formula>
    </cfRule>
  </conditionalFormatting>
  <conditionalFormatting sqref="D48:E48">
    <cfRule type="expression" dxfId="8308" priority="499">
      <formula>AND($A48&lt;&gt;"",MOD(ROW(),2))</formula>
    </cfRule>
  </conditionalFormatting>
  <conditionalFormatting sqref="D48">
    <cfRule type="cellIs" dxfId="8307" priority="496" operator="equal">
      <formula>$C48</formula>
    </cfRule>
    <cfRule type="cellIs" dxfId="8306" priority="497" operator="greaterThan">
      <formula>$C48</formula>
    </cfRule>
    <cfRule type="cellIs" dxfId="8305" priority="498" operator="lessThan">
      <formula>$C48</formula>
    </cfRule>
  </conditionalFormatting>
  <conditionalFormatting sqref="D49:E49">
    <cfRule type="expression" dxfId="8304" priority="495">
      <formula>AND($A49&lt;&gt;"",MOD(ROW(),2))</formula>
    </cfRule>
  </conditionalFormatting>
  <conditionalFormatting sqref="D49">
    <cfRule type="cellIs" dxfId="8303" priority="492" operator="equal">
      <formula>$C49</formula>
    </cfRule>
    <cfRule type="cellIs" dxfId="8302" priority="493" operator="greaterThan">
      <formula>$C49</formula>
    </cfRule>
    <cfRule type="cellIs" dxfId="8301" priority="494" operator="lessThan">
      <formula>$C49</formula>
    </cfRule>
  </conditionalFormatting>
  <conditionalFormatting sqref="K28:M28">
    <cfRule type="expression" dxfId="8300" priority="486">
      <formula>AND($A28&lt;&gt;"",MOD(ROW(),2))</formula>
    </cfRule>
  </conditionalFormatting>
  <conditionalFormatting sqref="K28">
    <cfRule type="cellIs" dxfId="8299" priority="483" operator="equal">
      <formula>$C28</formula>
    </cfRule>
    <cfRule type="cellIs" dxfId="8298" priority="484" operator="greaterThan">
      <formula>$C28</formula>
    </cfRule>
    <cfRule type="cellIs" dxfId="8297" priority="485" operator="lessThan">
      <formula>$C28</formula>
    </cfRule>
  </conditionalFormatting>
  <conditionalFormatting sqref="L28:M28">
    <cfRule type="expression" dxfId="8296" priority="491">
      <formula>AND(#REF!&lt;&gt;"",MOD(ROW(),2))</formula>
    </cfRule>
  </conditionalFormatting>
  <conditionalFormatting sqref="L28:M28">
    <cfRule type="expression" dxfId="8295" priority="490">
      <formula>AND(#REF!&lt;&gt;"",MOD(ROW(),2))</formula>
    </cfRule>
  </conditionalFormatting>
  <conditionalFormatting sqref="M28">
    <cfRule type="cellIs" dxfId="8294" priority="487" operator="equal">
      <formula>#REF!</formula>
    </cfRule>
    <cfRule type="cellIs" dxfId="8293" priority="488" operator="greaterThan">
      <formula>#REF!</formula>
    </cfRule>
    <cfRule type="cellIs" dxfId="8292" priority="489" operator="lessThan">
      <formula>#REF!</formula>
    </cfRule>
  </conditionalFormatting>
  <conditionalFormatting sqref="K27:M27">
    <cfRule type="expression" dxfId="8291" priority="477">
      <formula>AND($A27&lt;&gt;"",MOD(ROW(),2))</formula>
    </cfRule>
  </conditionalFormatting>
  <conditionalFormatting sqref="K27">
    <cfRule type="cellIs" dxfId="8290" priority="474" operator="equal">
      <formula>$C27</formula>
    </cfRule>
    <cfRule type="cellIs" dxfId="8289" priority="475" operator="greaterThan">
      <formula>$C27</formula>
    </cfRule>
    <cfRule type="cellIs" dxfId="8288" priority="476" operator="lessThan">
      <formula>$C27</formula>
    </cfRule>
  </conditionalFormatting>
  <conditionalFormatting sqref="L27:M27">
    <cfRule type="expression" dxfId="8287" priority="482">
      <formula>AND(#REF!&lt;&gt;"",MOD(ROW(),2))</formula>
    </cfRule>
  </conditionalFormatting>
  <conditionalFormatting sqref="L27:M27">
    <cfRule type="expression" dxfId="8286" priority="481">
      <formula>AND(#REF!&lt;&gt;"",MOD(ROW(),2))</formula>
    </cfRule>
  </conditionalFormatting>
  <conditionalFormatting sqref="M27">
    <cfRule type="cellIs" dxfId="8285" priority="478" operator="equal">
      <formula>#REF!</formula>
    </cfRule>
    <cfRule type="cellIs" dxfId="8284" priority="479" operator="greaterThan">
      <formula>#REF!</formula>
    </cfRule>
    <cfRule type="cellIs" dxfId="8283" priority="480" operator="lessThan">
      <formula>#REF!</formula>
    </cfRule>
  </conditionalFormatting>
  <conditionalFormatting sqref="D52:E52">
    <cfRule type="expression" dxfId="8282" priority="473">
      <formula>AND($A52&lt;&gt;"",MOD(ROW(),2))</formula>
    </cfRule>
  </conditionalFormatting>
  <conditionalFormatting sqref="D52">
    <cfRule type="cellIs" dxfId="8281" priority="470" operator="equal">
      <formula>$C52</formula>
    </cfRule>
    <cfRule type="cellIs" dxfId="8280" priority="471" operator="greaterThan">
      <formula>$C52</formula>
    </cfRule>
    <cfRule type="cellIs" dxfId="8279" priority="472" operator="lessThan">
      <formula>$C52</formula>
    </cfRule>
  </conditionalFormatting>
  <conditionalFormatting sqref="D52:E52">
    <cfRule type="expression" dxfId="8278" priority="469">
      <formula>AND($A52&lt;&gt;"",MOD(ROW(),2))</formula>
    </cfRule>
  </conditionalFormatting>
  <conditionalFormatting sqref="D52">
    <cfRule type="cellIs" dxfId="8277" priority="466" operator="equal">
      <formula>$C52</formula>
    </cfRule>
    <cfRule type="cellIs" dxfId="8276" priority="467" operator="greaterThan">
      <formula>$C52</formula>
    </cfRule>
    <cfRule type="cellIs" dxfId="8275" priority="468" operator="lessThan">
      <formula>$C52</formula>
    </cfRule>
  </conditionalFormatting>
  <conditionalFormatting sqref="D52:E52">
    <cfRule type="expression" dxfId="8274" priority="465">
      <formula>AND($A52&lt;&gt;"",MOD(ROW(),2))</formula>
    </cfRule>
  </conditionalFormatting>
  <conditionalFormatting sqref="D52">
    <cfRule type="cellIs" dxfId="8273" priority="462" operator="equal">
      <formula>$C52</formula>
    </cfRule>
    <cfRule type="cellIs" dxfId="8272" priority="463" operator="greaterThan">
      <formula>$C52</formula>
    </cfRule>
    <cfRule type="cellIs" dxfId="8271" priority="464" operator="lessThan">
      <formula>$C52</formula>
    </cfRule>
  </conditionalFormatting>
  <conditionalFormatting sqref="D52:E52">
    <cfRule type="expression" dxfId="8270" priority="461">
      <formula>AND($A52&lt;&gt;"",MOD(ROW(),2))</formula>
    </cfRule>
  </conditionalFormatting>
  <conditionalFormatting sqref="D52">
    <cfRule type="cellIs" dxfId="8269" priority="458" operator="equal">
      <formula>$C52</formula>
    </cfRule>
    <cfRule type="cellIs" dxfId="8268" priority="459" operator="greaterThan">
      <formula>$C52</formula>
    </cfRule>
    <cfRule type="cellIs" dxfId="8267" priority="460" operator="lessThan">
      <formula>$C52</formula>
    </cfRule>
  </conditionalFormatting>
  <conditionalFormatting sqref="D52:E52">
    <cfRule type="expression" dxfId="8266" priority="457">
      <formula>AND($A52&lt;&gt;"",MOD(ROW(),2))</formula>
    </cfRule>
  </conditionalFormatting>
  <conditionalFormatting sqref="D52">
    <cfRule type="cellIs" dxfId="8265" priority="454" operator="equal">
      <formula>$C52</formula>
    </cfRule>
    <cfRule type="cellIs" dxfId="8264" priority="455" operator="greaterThan">
      <formula>$C52</formula>
    </cfRule>
    <cfRule type="cellIs" dxfId="8263" priority="456" operator="lessThan">
      <formula>$C52</formula>
    </cfRule>
  </conditionalFormatting>
  <conditionalFormatting sqref="D52:E52">
    <cfRule type="expression" dxfId="8262" priority="453">
      <formula>AND($A52&lt;&gt;"",MOD(ROW(),2))</formula>
    </cfRule>
  </conditionalFormatting>
  <conditionalFormatting sqref="D52">
    <cfRule type="cellIs" dxfId="8261" priority="450" operator="equal">
      <formula>$C52</formula>
    </cfRule>
    <cfRule type="cellIs" dxfId="8260" priority="451" operator="greaterThan">
      <formula>$C52</formula>
    </cfRule>
    <cfRule type="cellIs" dxfId="8259" priority="452" operator="lessThan">
      <formula>$C52</formula>
    </cfRule>
  </conditionalFormatting>
  <conditionalFormatting sqref="D52:E52">
    <cfRule type="expression" dxfId="8258" priority="449">
      <formula>AND($A52&lt;&gt;"",MOD(ROW(),2))</formula>
    </cfRule>
  </conditionalFormatting>
  <conditionalFormatting sqref="D52">
    <cfRule type="cellIs" dxfId="8257" priority="446" operator="equal">
      <formula>$C52</formula>
    </cfRule>
    <cfRule type="cellIs" dxfId="8256" priority="447" operator="greaterThan">
      <formula>$C52</formula>
    </cfRule>
    <cfRule type="cellIs" dxfId="8255" priority="448" operator="lessThan">
      <formula>$C52</formula>
    </cfRule>
  </conditionalFormatting>
  <conditionalFormatting sqref="D53:E53">
    <cfRule type="expression" dxfId="8254" priority="445">
      <formula>AND($A53&lt;&gt;"",MOD(ROW(),2))</formula>
    </cfRule>
  </conditionalFormatting>
  <conditionalFormatting sqref="D53">
    <cfRule type="cellIs" dxfId="8253" priority="442" operator="equal">
      <formula>$C53</formula>
    </cfRule>
    <cfRule type="cellIs" dxfId="8252" priority="443" operator="greaterThan">
      <formula>$C53</formula>
    </cfRule>
    <cfRule type="cellIs" dxfId="8251" priority="444" operator="lessThan">
      <formula>$C53</formula>
    </cfRule>
  </conditionalFormatting>
  <conditionalFormatting sqref="D52:E52">
    <cfRule type="expression" dxfId="8250" priority="441">
      <formula>AND($A52&lt;&gt;"",MOD(ROW(),2))</formula>
    </cfRule>
  </conditionalFormatting>
  <conditionalFormatting sqref="D52">
    <cfRule type="cellIs" dxfId="8249" priority="438" operator="equal">
      <formula>$C52</formula>
    </cfRule>
    <cfRule type="cellIs" dxfId="8248" priority="439" operator="greaterThan">
      <formula>$C52</formula>
    </cfRule>
    <cfRule type="cellIs" dxfId="8247" priority="440" operator="lessThan">
      <formula>$C52</formula>
    </cfRule>
  </conditionalFormatting>
  <conditionalFormatting sqref="D53:E53">
    <cfRule type="expression" dxfId="8246" priority="437">
      <formula>AND($A53&lt;&gt;"",MOD(ROW(),2))</formula>
    </cfRule>
  </conditionalFormatting>
  <conditionalFormatting sqref="D53">
    <cfRule type="cellIs" dxfId="8245" priority="434" operator="equal">
      <formula>$C53</formula>
    </cfRule>
    <cfRule type="cellIs" dxfId="8244" priority="435" operator="greaterThan">
      <formula>$C53</formula>
    </cfRule>
    <cfRule type="cellIs" dxfId="8243" priority="436" operator="lessThan">
      <formula>$C53</formula>
    </cfRule>
  </conditionalFormatting>
  <conditionalFormatting sqref="D52:E52">
    <cfRule type="expression" dxfId="8242" priority="433">
      <formula>AND($A52&lt;&gt;"",MOD(ROW(),2))</formula>
    </cfRule>
  </conditionalFormatting>
  <conditionalFormatting sqref="D52">
    <cfRule type="cellIs" dxfId="8241" priority="430" operator="equal">
      <formula>$C52</formula>
    </cfRule>
    <cfRule type="cellIs" dxfId="8240" priority="431" operator="greaterThan">
      <formula>$C52</formula>
    </cfRule>
    <cfRule type="cellIs" dxfId="8239" priority="432" operator="lessThan">
      <formula>$C52</formula>
    </cfRule>
  </conditionalFormatting>
  <conditionalFormatting sqref="D52:E52">
    <cfRule type="expression" dxfId="8238" priority="429">
      <formula>AND($A52&lt;&gt;"",MOD(ROW(),2))</formula>
    </cfRule>
  </conditionalFormatting>
  <conditionalFormatting sqref="D52">
    <cfRule type="cellIs" dxfId="8237" priority="426" operator="equal">
      <formula>$C52</formula>
    </cfRule>
    <cfRule type="cellIs" dxfId="8236" priority="427" operator="greaterThan">
      <formula>$C52</formula>
    </cfRule>
    <cfRule type="cellIs" dxfId="8235" priority="428" operator="lessThan">
      <formula>$C52</formula>
    </cfRule>
  </conditionalFormatting>
  <conditionalFormatting sqref="H59">
    <cfRule type="expression" dxfId="8234" priority="425">
      <formula>AND($A59&lt;&gt;"",MOD(ROW(),2))</formula>
    </cfRule>
  </conditionalFormatting>
  <conditionalFormatting sqref="D59">
    <cfRule type="expression" dxfId="8233" priority="424">
      <formula>AND($A59&lt;&gt;"",MOD(ROW(),2))</formula>
    </cfRule>
  </conditionalFormatting>
  <conditionalFormatting sqref="D59">
    <cfRule type="cellIs" dxfId="8232" priority="421" operator="equal">
      <formula>$C59</formula>
    </cfRule>
    <cfRule type="cellIs" dxfId="8231" priority="422" operator="greaterThan">
      <formula>$C59</formula>
    </cfRule>
    <cfRule type="cellIs" dxfId="8230" priority="423" operator="lessThan">
      <formula>$C59</formula>
    </cfRule>
  </conditionalFormatting>
  <conditionalFormatting sqref="H60">
    <cfRule type="expression" dxfId="8229" priority="420">
      <formula>AND($A60&lt;&gt;"",MOD(ROW(),2))</formula>
    </cfRule>
  </conditionalFormatting>
  <conditionalFormatting sqref="D62">
    <cfRule type="expression" dxfId="8228" priority="415">
      <formula>AND($A62&lt;&gt;"",MOD(ROW(),2))</formula>
    </cfRule>
  </conditionalFormatting>
  <conditionalFormatting sqref="D62">
    <cfRule type="cellIs" dxfId="8227" priority="412" operator="equal">
      <formula>$C62</formula>
    </cfRule>
    <cfRule type="cellIs" dxfId="8226" priority="413" operator="greaterThan">
      <formula>$C62</formula>
    </cfRule>
    <cfRule type="cellIs" dxfId="8225" priority="414" operator="lessThan">
      <formula>$C62</formula>
    </cfRule>
  </conditionalFormatting>
  <conditionalFormatting sqref="D63">
    <cfRule type="expression" dxfId="8224" priority="411">
      <formula>AND($A63&lt;&gt;"",MOD(ROW(),2))</formula>
    </cfRule>
  </conditionalFormatting>
  <conditionalFormatting sqref="D63">
    <cfRule type="cellIs" dxfId="8223" priority="408" operator="equal">
      <formula>$C63</formula>
    </cfRule>
    <cfRule type="cellIs" dxfId="8222" priority="409" operator="greaterThan">
      <formula>$C63</formula>
    </cfRule>
    <cfRule type="cellIs" dxfId="8221" priority="410" operator="lessThan">
      <formula>$C63</formula>
    </cfRule>
  </conditionalFormatting>
  <conditionalFormatting sqref="D64">
    <cfRule type="expression" dxfId="8220" priority="407">
      <formula>AND($A64&lt;&gt;"",MOD(ROW(),2))</formula>
    </cfRule>
  </conditionalFormatting>
  <conditionalFormatting sqref="D64">
    <cfRule type="cellIs" dxfId="8219" priority="404" operator="equal">
      <formula>$C64</formula>
    </cfRule>
    <cfRule type="cellIs" dxfId="8218" priority="405" operator="greaterThan">
      <formula>$C64</formula>
    </cfRule>
    <cfRule type="cellIs" dxfId="8217" priority="406" operator="lessThan">
      <formula>$C64</formula>
    </cfRule>
  </conditionalFormatting>
  <conditionalFormatting sqref="D65">
    <cfRule type="expression" dxfId="8216" priority="403">
      <formula>AND($A65&lt;&gt;"",MOD(ROW(),2))</formula>
    </cfRule>
  </conditionalFormatting>
  <conditionalFormatting sqref="D65">
    <cfRule type="cellIs" dxfId="8215" priority="400" operator="equal">
      <formula>$C65</formula>
    </cfRule>
    <cfRule type="cellIs" dxfId="8214" priority="401" operator="greaterThan">
      <formula>$C65</formula>
    </cfRule>
    <cfRule type="cellIs" dxfId="8213" priority="402" operator="lessThan">
      <formula>$C65</formula>
    </cfRule>
  </conditionalFormatting>
  <conditionalFormatting sqref="C66">
    <cfRule type="expression" dxfId="8212" priority="399">
      <formula>AND($A66&lt;&gt;"",MOD(ROW(),2))</formula>
    </cfRule>
  </conditionalFormatting>
  <conditionalFormatting sqref="C67">
    <cfRule type="expression" dxfId="8211" priority="398">
      <formula>AND($A67&lt;&gt;"",MOD(ROW(),2))</formula>
    </cfRule>
  </conditionalFormatting>
  <conditionalFormatting sqref="D66">
    <cfRule type="expression" dxfId="8210" priority="397">
      <formula>AND($A66&lt;&gt;"",MOD(ROW(),2))</formula>
    </cfRule>
  </conditionalFormatting>
  <conditionalFormatting sqref="D66">
    <cfRule type="cellIs" dxfId="8209" priority="394" operator="equal">
      <formula>$C66</formula>
    </cfRule>
    <cfRule type="cellIs" dxfId="8208" priority="395" operator="greaterThan">
      <formula>$C66</formula>
    </cfRule>
    <cfRule type="cellIs" dxfId="8207" priority="396" operator="lessThan">
      <formula>$C66</formula>
    </cfRule>
  </conditionalFormatting>
  <conditionalFormatting sqref="D67">
    <cfRule type="expression" dxfId="8206" priority="393">
      <formula>AND($A67&lt;&gt;"",MOD(ROW(),2))</formula>
    </cfRule>
  </conditionalFormatting>
  <conditionalFormatting sqref="D67">
    <cfRule type="cellIs" dxfId="8205" priority="390" operator="equal">
      <formula>$C67</formula>
    </cfRule>
    <cfRule type="cellIs" dxfId="8204" priority="391" operator="greaterThan">
      <formula>$C67</formula>
    </cfRule>
    <cfRule type="cellIs" dxfId="8203" priority="392" operator="lessThan">
      <formula>$C67</formula>
    </cfRule>
  </conditionalFormatting>
  <conditionalFormatting sqref="D69">
    <cfRule type="expression" dxfId="8202" priority="389">
      <formula>AND($A69&lt;&gt;"",MOD(ROW(),2))</formula>
    </cfRule>
  </conditionalFormatting>
  <conditionalFormatting sqref="D69">
    <cfRule type="cellIs" dxfId="8201" priority="386" operator="equal">
      <formula>$C69</formula>
    </cfRule>
    <cfRule type="cellIs" dxfId="8200" priority="387" operator="greaterThan">
      <formula>$C69</formula>
    </cfRule>
    <cfRule type="cellIs" dxfId="8199" priority="388" operator="lessThan">
      <formula>$C69</formula>
    </cfRule>
  </conditionalFormatting>
  <conditionalFormatting sqref="D68">
    <cfRule type="expression" dxfId="8198" priority="385">
      <formula>AND($A68&lt;&gt;"",MOD(ROW(),2))</formula>
    </cfRule>
  </conditionalFormatting>
  <conditionalFormatting sqref="D68">
    <cfRule type="cellIs" dxfId="8197" priority="382" operator="equal">
      <formula>$C68</formula>
    </cfRule>
    <cfRule type="cellIs" dxfId="8196" priority="383" operator="greaterThan">
      <formula>$C68</formula>
    </cfRule>
    <cfRule type="cellIs" dxfId="8195" priority="384" operator="lessThan">
      <formula>$C68</formula>
    </cfRule>
  </conditionalFormatting>
  <conditionalFormatting sqref="H61">
    <cfRule type="expression" dxfId="8194" priority="381">
      <formula>AND($A61&lt;&gt;"",MOD(ROW(),2))</formula>
    </cfRule>
  </conditionalFormatting>
  <conditionalFormatting sqref="H62">
    <cfRule type="expression" dxfId="8193" priority="380">
      <formula>AND($A62&lt;&gt;"",MOD(ROW(),2))</formula>
    </cfRule>
  </conditionalFormatting>
  <conditionalFormatting sqref="H63">
    <cfRule type="expression" dxfId="8192" priority="379">
      <formula>AND($A63&lt;&gt;"",MOD(ROW(),2))</formula>
    </cfRule>
  </conditionalFormatting>
  <conditionalFormatting sqref="H64">
    <cfRule type="expression" dxfId="8191" priority="378">
      <formula>AND($A64&lt;&gt;"",MOD(ROW(),2))</formula>
    </cfRule>
  </conditionalFormatting>
  <conditionalFormatting sqref="H65">
    <cfRule type="expression" dxfId="8190" priority="377">
      <formula>AND($A65&lt;&gt;"",MOD(ROW(),2))</formula>
    </cfRule>
  </conditionalFormatting>
  <conditionalFormatting sqref="H66">
    <cfRule type="expression" dxfId="8189" priority="376">
      <formula>AND($A66&lt;&gt;"",MOD(ROW(),2))</formula>
    </cfRule>
  </conditionalFormatting>
  <conditionalFormatting sqref="H67">
    <cfRule type="expression" dxfId="8188" priority="375">
      <formula>AND($A67&lt;&gt;"",MOD(ROW(),2))</formula>
    </cfRule>
  </conditionalFormatting>
  <conditionalFormatting sqref="H68">
    <cfRule type="expression" dxfId="8187" priority="374">
      <formula>AND($A68&lt;&gt;"",MOD(ROW(),2))</formula>
    </cfRule>
  </conditionalFormatting>
  <conditionalFormatting sqref="H69">
    <cfRule type="expression" dxfId="8186" priority="373">
      <formula>AND($A69&lt;&gt;"",MOD(ROW(),2))</formula>
    </cfRule>
  </conditionalFormatting>
  <conditionalFormatting sqref="H70">
    <cfRule type="expression" dxfId="8185" priority="372">
      <formula>AND($A70&lt;&gt;"",MOD(ROW(),2))</formula>
    </cfRule>
  </conditionalFormatting>
  <conditionalFormatting sqref="H71">
    <cfRule type="expression" dxfId="8184" priority="371">
      <formula>AND($A71&lt;&gt;"",MOD(ROW(),2))</formula>
    </cfRule>
  </conditionalFormatting>
  <conditionalFormatting sqref="H72:H73">
    <cfRule type="expression" dxfId="8183" priority="370">
      <formula>AND($A72&lt;&gt;"",MOD(ROW(),2))</formula>
    </cfRule>
  </conditionalFormatting>
  <conditionalFormatting sqref="D70">
    <cfRule type="expression" dxfId="8182" priority="369">
      <formula>AND($A70&lt;&gt;"",MOD(ROW(),2))</formula>
    </cfRule>
  </conditionalFormatting>
  <conditionalFormatting sqref="D70">
    <cfRule type="cellIs" dxfId="8181" priority="366" operator="equal">
      <formula>$C70</formula>
    </cfRule>
    <cfRule type="cellIs" dxfId="8180" priority="367" operator="greaterThan">
      <formula>$C70</formula>
    </cfRule>
    <cfRule type="cellIs" dxfId="8179" priority="368" operator="lessThan">
      <formula>$C70</formula>
    </cfRule>
  </conditionalFormatting>
  <conditionalFormatting sqref="D71">
    <cfRule type="expression" dxfId="8178" priority="365">
      <formula>AND($A71&lt;&gt;"",MOD(ROW(),2))</formula>
    </cfRule>
  </conditionalFormatting>
  <conditionalFormatting sqref="D71">
    <cfRule type="cellIs" dxfId="8177" priority="362" operator="equal">
      <formula>$C71</formula>
    </cfRule>
    <cfRule type="cellIs" dxfId="8176" priority="363" operator="greaterThan">
      <formula>$C71</formula>
    </cfRule>
    <cfRule type="cellIs" dxfId="8175" priority="364" operator="lessThan">
      <formula>$C71</formula>
    </cfRule>
  </conditionalFormatting>
  <conditionalFormatting sqref="D72">
    <cfRule type="expression" dxfId="8174" priority="361">
      <formula>AND($A72&lt;&gt;"",MOD(ROW(),2))</formula>
    </cfRule>
  </conditionalFormatting>
  <conditionalFormatting sqref="D72">
    <cfRule type="cellIs" dxfId="8173" priority="358" operator="equal">
      <formula>$C72</formula>
    </cfRule>
    <cfRule type="cellIs" dxfId="8172" priority="359" operator="greaterThan">
      <formula>$C72</formula>
    </cfRule>
    <cfRule type="cellIs" dxfId="8171" priority="360" operator="lessThan">
      <formula>$C72</formula>
    </cfRule>
  </conditionalFormatting>
  <conditionalFormatting sqref="D73">
    <cfRule type="expression" dxfId="8170" priority="357">
      <formula>AND($A73&lt;&gt;"",MOD(ROW(),2))</formula>
    </cfRule>
  </conditionalFormatting>
  <conditionalFormatting sqref="D73">
    <cfRule type="cellIs" dxfId="8169" priority="354" operator="equal">
      <formula>$C73</formula>
    </cfRule>
    <cfRule type="cellIs" dxfId="8168" priority="355" operator="greaterThan">
      <formula>$C73</formula>
    </cfRule>
    <cfRule type="cellIs" dxfId="8167" priority="356" operator="lessThan">
      <formula>$C73</formula>
    </cfRule>
  </conditionalFormatting>
  <conditionalFormatting sqref="H74">
    <cfRule type="expression" dxfId="8166" priority="353">
      <formula>AND($A74&lt;&gt;"",MOD(ROW(),2))</formula>
    </cfRule>
  </conditionalFormatting>
  <conditionalFormatting sqref="D74">
    <cfRule type="expression" dxfId="8165" priority="352">
      <formula>AND($A74&lt;&gt;"",MOD(ROW(),2))</formula>
    </cfRule>
  </conditionalFormatting>
  <conditionalFormatting sqref="D74">
    <cfRule type="cellIs" dxfId="8164" priority="349" operator="equal">
      <formula>$C74</formula>
    </cfRule>
    <cfRule type="cellIs" dxfId="8163" priority="350" operator="greaterThan">
      <formula>$C74</formula>
    </cfRule>
    <cfRule type="cellIs" dxfId="8162" priority="351" operator="lessThan">
      <formula>$C74</formula>
    </cfRule>
  </conditionalFormatting>
  <conditionalFormatting sqref="C75">
    <cfRule type="expression" dxfId="8161" priority="348">
      <formula>AND($A75&lt;&gt;"",MOD(ROW(),2))</formula>
    </cfRule>
  </conditionalFormatting>
  <conditionalFormatting sqref="H75:H77">
    <cfRule type="expression" dxfId="8160" priority="347">
      <formula>AND($A75&lt;&gt;"",MOD(ROW(),2))</formula>
    </cfRule>
  </conditionalFormatting>
  <conditionalFormatting sqref="D75">
    <cfRule type="expression" dxfId="8159" priority="346">
      <formula>AND($A75&lt;&gt;"",MOD(ROW(),2))</formula>
    </cfRule>
  </conditionalFormatting>
  <conditionalFormatting sqref="D75">
    <cfRule type="cellIs" dxfId="8158" priority="343" operator="equal">
      <formula>$C75</formula>
    </cfRule>
    <cfRule type="cellIs" dxfId="8157" priority="344" operator="greaterThan">
      <formula>$C75</formula>
    </cfRule>
    <cfRule type="cellIs" dxfId="8156" priority="345" operator="lessThan">
      <formula>$C75</formula>
    </cfRule>
  </conditionalFormatting>
  <conditionalFormatting sqref="H78">
    <cfRule type="expression" dxfId="8155" priority="342">
      <formula>AND($A78&lt;&gt;"",MOD(ROW(),2))</formula>
    </cfRule>
  </conditionalFormatting>
  <conditionalFormatting sqref="D76">
    <cfRule type="expression" dxfId="8154" priority="341">
      <formula>AND($A76&lt;&gt;"",MOD(ROW(),2))</formula>
    </cfRule>
  </conditionalFormatting>
  <conditionalFormatting sqref="D76">
    <cfRule type="cellIs" dxfId="8153" priority="338" operator="equal">
      <formula>$C76</formula>
    </cfRule>
    <cfRule type="cellIs" dxfId="8152" priority="339" operator="greaterThan">
      <formula>$C76</formula>
    </cfRule>
    <cfRule type="cellIs" dxfId="8151" priority="340" operator="lessThan">
      <formula>$C76</formula>
    </cfRule>
  </conditionalFormatting>
  <conditionalFormatting sqref="D77">
    <cfRule type="expression" dxfId="8150" priority="337">
      <formula>AND($A77&lt;&gt;"",MOD(ROW(),2))</formula>
    </cfRule>
  </conditionalFormatting>
  <conditionalFormatting sqref="D77">
    <cfRule type="cellIs" dxfId="8149" priority="334" operator="equal">
      <formula>$C77</formula>
    </cfRule>
    <cfRule type="cellIs" dxfId="8148" priority="335" operator="greaterThan">
      <formula>$C77</formula>
    </cfRule>
    <cfRule type="cellIs" dxfId="8147" priority="336" operator="lessThan">
      <formula>$C77</formula>
    </cfRule>
  </conditionalFormatting>
  <conditionalFormatting sqref="D78">
    <cfRule type="expression" dxfId="8146" priority="333">
      <formula>AND($A78&lt;&gt;"",MOD(ROW(),2))</formula>
    </cfRule>
  </conditionalFormatting>
  <conditionalFormatting sqref="D78">
    <cfRule type="cellIs" dxfId="8145" priority="330" operator="equal">
      <formula>$C78</formula>
    </cfRule>
    <cfRule type="cellIs" dxfId="8144" priority="331" operator="greaterThan">
      <formula>$C78</formula>
    </cfRule>
    <cfRule type="cellIs" dxfId="8143" priority="332" operator="lessThan">
      <formula>$C78</formula>
    </cfRule>
  </conditionalFormatting>
  <conditionalFormatting sqref="H78">
    <cfRule type="expression" dxfId="8142" priority="329">
      <formula>AND($A78&lt;&gt;"",MOD(ROW(),2))</formula>
    </cfRule>
  </conditionalFormatting>
  <conditionalFormatting sqref="H79">
    <cfRule type="expression" dxfId="8141" priority="328">
      <formula>AND($A79&lt;&gt;"",MOD(ROW(),2))</formula>
    </cfRule>
  </conditionalFormatting>
  <conditionalFormatting sqref="D78">
    <cfRule type="expression" dxfId="8140" priority="327">
      <formula>AND($A78&lt;&gt;"",MOD(ROW(),2))</formula>
    </cfRule>
  </conditionalFormatting>
  <conditionalFormatting sqref="D78">
    <cfRule type="cellIs" dxfId="8139" priority="324" operator="equal">
      <formula>$C78</formula>
    </cfRule>
    <cfRule type="cellIs" dxfId="8138" priority="325" operator="greaterThan">
      <formula>$C78</formula>
    </cfRule>
    <cfRule type="cellIs" dxfId="8137" priority="326" operator="lessThan">
      <formula>$C78</formula>
    </cfRule>
  </conditionalFormatting>
  <conditionalFormatting sqref="D79">
    <cfRule type="expression" dxfId="8136" priority="323">
      <formula>AND($A79&lt;&gt;"",MOD(ROW(),2))</formula>
    </cfRule>
  </conditionalFormatting>
  <conditionalFormatting sqref="D79">
    <cfRule type="cellIs" dxfId="8135" priority="320" operator="equal">
      <formula>$C79</formula>
    </cfRule>
    <cfRule type="cellIs" dxfId="8134" priority="321" operator="greaterThan">
      <formula>$C79</formula>
    </cfRule>
    <cfRule type="cellIs" dxfId="8133" priority="322" operator="lessThan">
      <formula>$C79</formula>
    </cfRule>
  </conditionalFormatting>
  <conditionalFormatting sqref="D76">
    <cfRule type="expression" dxfId="8132" priority="319">
      <formula>AND($A76&lt;&gt;"",MOD(ROW(),2))</formula>
    </cfRule>
  </conditionalFormatting>
  <conditionalFormatting sqref="D76">
    <cfRule type="cellIs" dxfId="8131" priority="316" operator="equal">
      <formula>$C76</formula>
    </cfRule>
    <cfRule type="cellIs" dxfId="8130" priority="317" operator="greaterThan">
      <formula>$C76</formula>
    </cfRule>
    <cfRule type="cellIs" dxfId="8129" priority="318" operator="lessThan">
      <formula>$C76</formula>
    </cfRule>
  </conditionalFormatting>
  <conditionalFormatting sqref="D77">
    <cfRule type="expression" dxfId="8128" priority="315">
      <formula>AND($A77&lt;&gt;"",MOD(ROW(),2))</formula>
    </cfRule>
  </conditionalFormatting>
  <conditionalFormatting sqref="D77">
    <cfRule type="cellIs" dxfId="8127" priority="312" operator="equal">
      <formula>$C77</formula>
    </cfRule>
    <cfRule type="cellIs" dxfId="8126" priority="313" operator="greaterThan">
      <formula>$C77</formula>
    </cfRule>
    <cfRule type="cellIs" dxfId="8125" priority="314" operator="lessThan">
      <formula>$C77</formula>
    </cfRule>
  </conditionalFormatting>
  <conditionalFormatting sqref="D80">
    <cfRule type="expression" dxfId="8124" priority="311">
      <formula>AND($A80&lt;&gt;"",MOD(ROW(),2))</formula>
    </cfRule>
  </conditionalFormatting>
  <conditionalFormatting sqref="D80">
    <cfRule type="cellIs" dxfId="8123" priority="308" operator="equal">
      <formula>$C80</formula>
    </cfRule>
    <cfRule type="cellIs" dxfId="8122" priority="309" operator="greaterThan">
      <formula>$C80</formula>
    </cfRule>
    <cfRule type="cellIs" dxfId="8121" priority="310" operator="lessThan">
      <formula>$C80</formula>
    </cfRule>
  </conditionalFormatting>
  <conditionalFormatting sqref="H80">
    <cfRule type="expression" dxfId="8120" priority="307">
      <formula>AND($A80&lt;&gt;"",MOD(ROW(),2))</formula>
    </cfRule>
  </conditionalFormatting>
  <conditionalFormatting sqref="H81">
    <cfRule type="expression" dxfId="8119" priority="306">
      <formula>AND($A81&lt;&gt;"",MOD(ROW(),2))</formula>
    </cfRule>
  </conditionalFormatting>
  <conditionalFormatting sqref="D81">
    <cfRule type="expression" dxfId="8118" priority="305">
      <formula>AND($A81&lt;&gt;"",MOD(ROW(),2))</formula>
    </cfRule>
  </conditionalFormatting>
  <conditionalFormatting sqref="D81">
    <cfRule type="cellIs" dxfId="8117" priority="302" operator="equal">
      <formula>$C81</formula>
    </cfRule>
    <cfRule type="cellIs" dxfId="8116" priority="303" operator="greaterThan">
      <formula>$C81</formula>
    </cfRule>
    <cfRule type="cellIs" dxfId="8115" priority="304" operator="lessThan">
      <formula>$C81</formula>
    </cfRule>
  </conditionalFormatting>
  <conditionalFormatting sqref="H82:H84">
    <cfRule type="expression" dxfId="8114" priority="301">
      <formula>AND($A82&lt;&gt;"",MOD(ROW(),2))</formula>
    </cfRule>
  </conditionalFormatting>
  <conditionalFormatting sqref="D82">
    <cfRule type="expression" dxfId="8113" priority="300">
      <formula>AND($A82&lt;&gt;"",MOD(ROW(),2))</formula>
    </cfRule>
  </conditionalFormatting>
  <conditionalFormatting sqref="D82">
    <cfRule type="cellIs" dxfId="8112" priority="297" operator="equal">
      <formula>$C82</formula>
    </cfRule>
    <cfRule type="cellIs" dxfId="8111" priority="298" operator="greaterThan">
      <formula>$C82</formula>
    </cfRule>
    <cfRule type="cellIs" dxfId="8110" priority="299" operator="lessThan">
      <formula>$C82</formula>
    </cfRule>
  </conditionalFormatting>
  <conditionalFormatting sqref="D83">
    <cfRule type="expression" dxfId="8109" priority="296">
      <formula>AND($A83&lt;&gt;"",MOD(ROW(),2))</formula>
    </cfRule>
  </conditionalFormatting>
  <conditionalFormatting sqref="D83">
    <cfRule type="cellIs" dxfId="8108" priority="293" operator="equal">
      <formula>$C83</formula>
    </cfRule>
    <cfRule type="cellIs" dxfId="8107" priority="294" operator="greaterThan">
      <formula>$C83</formula>
    </cfRule>
    <cfRule type="cellIs" dxfId="8106" priority="295" operator="lessThan">
      <formula>$C83</formula>
    </cfRule>
  </conditionalFormatting>
  <conditionalFormatting sqref="H85">
    <cfRule type="expression" dxfId="8105" priority="292">
      <formula>AND($A85&lt;&gt;"",MOD(ROW(),2))</formula>
    </cfRule>
  </conditionalFormatting>
  <conditionalFormatting sqref="D84">
    <cfRule type="expression" dxfId="8104" priority="291">
      <formula>AND($A84&lt;&gt;"",MOD(ROW(),2))</formula>
    </cfRule>
  </conditionalFormatting>
  <conditionalFormatting sqref="D84">
    <cfRule type="cellIs" dxfId="8103" priority="288" operator="equal">
      <formula>$C84</formula>
    </cfRule>
    <cfRule type="cellIs" dxfId="8102" priority="289" operator="greaterThan">
      <formula>$C84</formula>
    </cfRule>
    <cfRule type="cellIs" dxfId="8101" priority="290" operator="lessThan">
      <formula>$C84</formula>
    </cfRule>
  </conditionalFormatting>
  <conditionalFormatting sqref="D85">
    <cfRule type="expression" dxfId="8100" priority="287">
      <formula>AND($A85&lt;&gt;"",MOD(ROW(),2))</formula>
    </cfRule>
  </conditionalFormatting>
  <conditionalFormatting sqref="D85">
    <cfRule type="cellIs" dxfId="8099" priority="284" operator="equal">
      <formula>$C85</formula>
    </cfRule>
    <cfRule type="cellIs" dxfId="8098" priority="285" operator="greaterThan">
      <formula>$C85</formula>
    </cfRule>
    <cfRule type="cellIs" dxfId="8097" priority="286" operator="lessThan">
      <formula>$C85</formula>
    </cfRule>
  </conditionalFormatting>
  <conditionalFormatting sqref="H86">
    <cfRule type="expression" dxfId="8096" priority="283">
      <formula>AND($A86&lt;&gt;"",MOD(ROW(),2))</formula>
    </cfRule>
  </conditionalFormatting>
  <conditionalFormatting sqref="D86">
    <cfRule type="expression" dxfId="8095" priority="282">
      <formula>AND($A86&lt;&gt;"",MOD(ROW(),2))</formula>
    </cfRule>
  </conditionalFormatting>
  <conditionalFormatting sqref="D86">
    <cfRule type="cellIs" dxfId="8094" priority="279" operator="equal">
      <formula>$C86</formula>
    </cfRule>
    <cfRule type="cellIs" dxfId="8093" priority="280" operator="greaterThan">
      <formula>$C86</formula>
    </cfRule>
    <cfRule type="cellIs" dxfId="8092" priority="281" operator="lessThan">
      <formula>$C86</formula>
    </cfRule>
  </conditionalFormatting>
  <conditionalFormatting sqref="D87">
    <cfRule type="expression" dxfId="8091" priority="278">
      <formula>AND($A87&lt;&gt;"",MOD(ROW(),2))</formula>
    </cfRule>
  </conditionalFormatting>
  <conditionalFormatting sqref="D87">
    <cfRule type="cellIs" dxfId="8090" priority="275" operator="equal">
      <formula>$C87</formula>
    </cfRule>
    <cfRule type="cellIs" dxfId="8089" priority="276" operator="greaterThan">
      <formula>$C87</formula>
    </cfRule>
    <cfRule type="cellIs" dxfId="8088" priority="277" operator="lessThan">
      <formula>$C87</formula>
    </cfRule>
  </conditionalFormatting>
  <conditionalFormatting sqref="H87">
    <cfRule type="expression" dxfId="8087" priority="274">
      <formula>AND($A87&lt;&gt;"",MOD(ROW(),2))</formula>
    </cfRule>
  </conditionalFormatting>
  <conditionalFormatting sqref="H88:H90">
    <cfRule type="expression" dxfId="8086" priority="273">
      <formula>AND($A88&lt;&gt;"",MOD(ROW(),2))</formula>
    </cfRule>
  </conditionalFormatting>
  <conditionalFormatting sqref="D88">
    <cfRule type="expression" dxfId="8085" priority="272">
      <formula>AND($A88&lt;&gt;"",MOD(ROW(),2))</formula>
    </cfRule>
  </conditionalFormatting>
  <conditionalFormatting sqref="D88">
    <cfRule type="cellIs" dxfId="8084" priority="269" operator="equal">
      <formula>$C88</formula>
    </cfRule>
    <cfRule type="cellIs" dxfId="8083" priority="270" operator="greaterThan">
      <formula>$C88</formula>
    </cfRule>
    <cfRule type="cellIs" dxfId="8082" priority="271" operator="lessThan">
      <formula>$C88</formula>
    </cfRule>
  </conditionalFormatting>
  <conditionalFormatting sqref="D89">
    <cfRule type="expression" dxfId="8081" priority="268">
      <formula>AND($A89&lt;&gt;"",MOD(ROW(),2))</formula>
    </cfRule>
  </conditionalFormatting>
  <conditionalFormatting sqref="D89">
    <cfRule type="cellIs" dxfId="8080" priority="265" operator="equal">
      <formula>$C89</formula>
    </cfRule>
    <cfRule type="cellIs" dxfId="8079" priority="266" operator="greaterThan">
      <formula>$C89</formula>
    </cfRule>
    <cfRule type="cellIs" dxfId="8078" priority="267" operator="lessThan">
      <formula>$C89</formula>
    </cfRule>
  </conditionalFormatting>
  <conditionalFormatting sqref="D90">
    <cfRule type="expression" dxfId="8077" priority="264">
      <formula>AND($A90&lt;&gt;"",MOD(ROW(),2))</formula>
    </cfRule>
  </conditionalFormatting>
  <conditionalFormatting sqref="D90">
    <cfRule type="cellIs" dxfId="8076" priority="261" operator="equal">
      <formula>$C90</formula>
    </cfRule>
    <cfRule type="cellIs" dxfId="8075" priority="262" operator="greaterThan">
      <formula>$C90</formula>
    </cfRule>
    <cfRule type="cellIs" dxfId="8074" priority="263" operator="lessThan">
      <formula>$C90</formula>
    </cfRule>
  </conditionalFormatting>
  <conditionalFormatting sqref="H91">
    <cfRule type="expression" dxfId="8073" priority="260">
      <formula>AND($A91&lt;&gt;"",MOD(ROW(),2))</formula>
    </cfRule>
  </conditionalFormatting>
  <conditionalFormatting sqref="D91">
    <cfRule type="expression" dxfId="8072" priority="259">
      <formula>AND($A91&lt;&gt;"",MOD(ROW(),2))</formula>
    </cfRule>
  </conditionalFormatting>
  <conditionalFormatting sqref="D91">
    <cfRule type="cellIs" dxfId="8071" priority="256" operator="equal">
      <formula>$C91</formula>
    </cfRule>
    <cfRule type="cellIs" dxfId="8070" priority="257" operator="greaterThan">
      <formula>$C91</formula>
    </cfRule>
    <cfRule type="cellIs" dxfId="8069" priority="258" operator="lessThan">
      <formula>$C91</formula>
    </cfRule>
  </conditionalFormatting>
  <conditionalFormatting sqref="D92">
    <cfRule type="expression" dxfId="8068" priority="255">
      <formula>AND($A92&lt;&gt;"",MOD(ROW(),2))</formula>
    </cfRule>
  </conditionalFormatting>
  <conditionalFormatting sqref="D92">
    <cfRule type="cellIs" dxfId="8067" priority="252" operator="equal">
      <formula>$C92</formula>
    </cfRule>
    <cfRule type="cellIs" dxfId="8066" priority="253" operator="greaterThan">
      <formula>$C92</formula>
    </cfRule>
    <cfRule type="cellIs" dxfId="8065" priority="254" operator="lessThan">
      <formula>$C92</formula>
    </cfRule>
  </conditionalFormatting>
  <conditionalFormatting sqref="H92">
    <cfRule type="expression" dxfId="8064" priority="251">
      <formula>AND($A92&lt;&gt;"",MOD(ROW(),2))</formula>
    </cfRule>
  </conditionalFormatting>
  <conditionalFormatting sqref="D93">
    <cfRule type="expression" dxfId="8063" priority="250">
      <formula>AND($A93&lt;&gt;"",MOD(ROW(),2))</formula>
    </cfRule>
  </conditionalFormatting>
  <conditionalFormatting sqref="D93">
    <cfRule type="cellIs" dxfId="8062" priority="247" operator="equal">
      <formula>$C93</formula>
    </cfRule>
    <cfRule type="cellIs" dxfId="8061" priority="248" operator="greaterThan">
      <formula>$C93</formula>
    </cfRule>
    <cfRule type="cellIs" dxfId="8060" priority="249" operator="lessThan">
      <formula>$C93</formula>
    </cfRule>
  </conditionalFormatting>
  <conditionalFormatting sqref="D94">
    <cfRule type="expression" dxfId="8059" priority="246">
      <formula>AND($A94&lt;&gt;"",MOD(ROW(),2))</formula>
    </cfRule>
  </conditionalFormatting>
  <conditionalFormatting sqref="D94">
    <cfRule type="cellIs" dxfId="8058" priority="243" operator="equal">
      <formula>$C94</formula>
    </cfRule>
    <cfRule type="cellIs" dxfId="8057" priority="244" operator="greaterThan">
      <formula>$C94</formula>
    </cfRule>
    <cfRule type="cellIs" dxfId="8056" priority="245" operator="lessThan">
      <formula>$C94</formula>
    </cfRule>
  </conditionalFormatting>
  <conditionalFormatting sqref="H93">
    <cfRule type="expression" dxfId="8055" priority="242">
      <formula>AND($A93&lt;&gt;"",MOD(ROW(),2))</formula>
    </cfRule>
  </conditionalFormatting>
  <conditionalFormatting sqref="H94">
    <cfRule type="expression" dxfId="8054" priority="241">
      <formula>AND($A94&lt;&gt;"",MOD(ROW(),2))</formula>
    </cfRule>
  </conditionalFormatting>
  <conditionalFormatting sqref="D95">
    <cfRule type="expression" dxfId="8053" priority="240">
      <formula>AND($A95&lt;&gt;"",MOD(ROW(),2))</formula>
    </cfRule>
  </conditionalFormatting>
  <conditionalFormatting sqref="D95">
    <cfRule type="cellIs" dxfId="8052" priority="237" operator="equal">
      <formula>$C95</formula>
    </cfRule>
    <cfRule type="cellIs" dxfId="8051" priority="238" operator="greaterThan">
      <formula>$C95</formula>
    </cfRule>
    <cfRule type="cellIs" dxfId="8050" priority="239" operator="lessThan">
      <formula>$C95</formula>
    </cfRule>
  </conditionalFormatting>
  <conditionalFormatting sqref="H95">
    <cfRule type="expression" dxfId="8049" priority="236">
      <formula>AND($A95&lt;&gt;"",MOD(ROW(),2))</formula>
    </cfRule>
  </conditionalFormatting>
  <conditionalFormatting sqref="H96">
    <cfRule type="expression" dxfId="8048" priority="227">
      <formula>AND($A96&lt;&gt;"",MOD(ROW(),2))</formula>
    </cfRule>
  </conditionalFormatting>
  <conditionalFormatting sqref="H97:H99">
    <cfRule type="expression" dxfId="8047" priority="226">
      <formula>AND($A97&lt;&gt;"",MOD(ROW(),2))</formula>
    </cfRule>
  </conditionalFormatting>
  <conditionalFormatting sqref="C96">
    <cfRule type="expression" dxfId="8046" priority="217">
      <formula>AND($A96&lt;&gt;"",MOD(ROW(),2))</formula>
    </cfRule>
  </conditionalFormatting>
  <conditionalFormatting sqref="C97">
    <cfRule type="expression" dxfId="8045" priority="212">
      <formula>AND($A97&lt;&gt;"",MOD(ROW(),2))</formula>
    </cfRule>
  </conditionalFormatting>
  <conditionalFormatting sqref="C98">
    <cfRule type="expression" dxfId="8044" priority="207">
      <formula>AND($A98&lt;&gt;"",MOD(ROW(),2))</formula>
    </cfRule>
  </conditionalFormatting>
  <conditionalFormatting sqref="C99">
    <cfRule type="expression" dxfId="8043" priority="202">
      <formula>AND($A99&lt;&gt;"",MOD(ROW(),2))</formula>
    </cfRule>
  </conditionalFormatting>
  <conditionalFormatting sqref="C100">
    <cfRule type="expression" dxfId="8042" priority="197">
      <formula>AND($A100&lt;&gt;"",MOD(ROW(),2))</formula>
    </cfRule>
  </conditionalFormatting>
  <conditionalFormatting sqref="H100">
    <cfRule type="expression" dxfId="8041" priority="192">
      <formula>AND($A100&lt;&gt;"",MOD(ROW(),2))</formula>
    </cfRule>
  </conditionalFormatting>
  <conditionalFormatting sqref="C101">
    <cfRule type="expression" dxfId="8040" priority="191">
      <formula>AND($A101&lt;&gt;"",MOD(ROW(),2))</formula>
    </cfRule>
  </conditionalFormatting>
  <conditionalFormatting sqref="D96">
    <cfRule type="expression" dxfId="8039" priority="190">
      <formula>AND($A96&lt;&gt;"",MOD(ROW(),2))</formula>
    </cfRule>
  </conditionalFormatting>
  <conditionalFormatting sqref="D96">
    <cfRule type="cellIs" dxfId="8038" priority="187" operator="equal">
      <formula>$C96</formula>
    </cfRule>
    <cfRule type="cellIs" dxfId="8037" priority="188" operator="greaterThan">
      <formula>$C96</formula>
    </cfRule>
    <cfRule type="cellIs" dxfId="8036" priority="189" operator="lessThan">
      <formula>$C96</formula>
    </cfRule>
  </conditionalFormatting>
  <conditionalFormatting sqref="D97">
    <cfRule type="expression" dxfId="8035" priority="186">
      <formula>AND($A97&lt;&gt;"",MOD(ROW(),2))</formula>
    </cfRule>
  </conditionalFormatting>
  <conditionalFormatting sqref="D97">
    <cfRule type="cellIs" dxfId="8034" priority="183" operator="equal">
      <formula>$C97</formula>
    </cfRule>
    <cfRule type="cellIs" dxfId="8033" priority="184" operator="greaterThan">
      <formula>$C97</formula>
    </cfRule>
    <cfRule type="cellIs" dxfId="8032" priority="185" operator="lessThan">
      <formula>$C97</formula>
    </cfRule>
  </conditionalFormatting>
  <conditionalFormatting sqref="D98">
    <cfRule type="expression" dxfId="8031" priority="182">
      <formula>AND($A98&lt;&gt;"",MOD(ROW(),2))</formula>
    </cfRule>
  </conditionalFormatting>
  <conditionalFormatting sqref="D98">
    <cfRule type="cellIs" dxfId="8030" priority="179" operator="equal">
      <formula>$C98</formula>
    </cfRule>
    <cfRule type="cellIs" dxfId="8029" priority="180" operator="greaterThan">
      <formula>$C98</formula>
    </cfRule>
    <cfRule type="cellIs" dxfId="8028" priority="181" operator="lessThan">
      <formula>$C98</formula>
    </cfRule>
  </conditionalFormatting>
  <conditionalFormatting sqref="D99">
    <cfRule type="expression" dxfId="8027" priority="178">
      <formula>AND($A99&lt;&gt;"",MOD(ROW(),2))</formula>
    </cfRule>
  </conditionalFormatting>
  <conditionalFormatting sqref="D99">
    <cfRule type="cellIs" dxfId="8026" priority="175" operator="equal">
      <formula>$C99</formula>
    </cfRule>
    <cfRule type="cellIs" dxfId="8025" priority="176" operator="greaterThan">
      <formula>$C99</formula>
    </cfRule>
    <cfRule type="cellIs" dxfId="8024" priority="177" operator="lessThan">
      <formula>$C99</formula>
    </cfRule>
  </conditionalFormatting>
  <conditionalFormatting sqref="D100">
    <cfRule type="expression" dxfId="8023" priority="174">
      <formula>AND($A100&lt;&gt;"",MOD(ROW(),2))</formula>
    </cfRule>
  </conditionalFormatting>
  <conditionalFormatting sqref="D100">
    <cfRule type="cellIs" dxfId="8022" priority="171" operator="equal">
      <formula>$C100</formula>
    </cfRule>
    <cfRule type="cellIs" dxfId="8021" priority="172" operator="greaterThan">
      <formula>$C100</formula>
    </cfRule>
    <cfRule type="cellIs" dxfId="8020" priority="173" operator="lessThan">
      <formula>$C100</formula>
    </cfRule>
  </conditionalFormatting>
  <conditionalFormatting sqref="D101">
    <cfRule type="expression" dxfId="8019" priority="170">
      <formula>AND($A101&lt;&gt;"",MOD(ROW(),2))</formula>
    </cfRule>
  </conditionalFormatting>
  <conditionalFormatting sqref="D101">
    <cfRule type="cellIs" dxfId="8018" priority="167" operator="equal">
      <formula>$C101</formula>
    </cfRule>
    <cfRule type="cellIs" dxfId="8017" priority="168" operator="greaterThan">
      <formula>$C101</formula>
    </cfRule>
    <cfRule type="cellIs" dxfId="8016" priority="169" operator="lessThan">
      <formula>$C101</formula>
    </cfRule>
  </conditionalFormatting>
  <conditionalFormatting sqref="H101">
    <cfRule type="expression" dxfId="8015" priority="166">
      <formula>AND($A101&lt;&gt;"",MOD(ROW(),2))</formula>
    </cfRule>
  </conditionalFormatting>
  <conditionalFormatting sqref="C102">
    <cfRule type="expression" dxfId="8014" priority="165">
      <formula>AND($A102&lt;&gt;"",MOD(ROW(),2))</formula>
    </cfRule>
  </conditionalFormatting>
  <conditionalFormatting sqref="D102">
    <cfRule type="expression" dxfId="8013" priority="164">
      <formula>AND($A102&lt;&gt;"",MOD(ROW(),2))</formula>
    </cfRule>
  </conditionalFormatting>
  <conditionalFormatting sqref="D102">
    <cfRule type="cellIs" dxfId="8012" priority="161" operator="equal">
      <formula>$C102</formula>
    </cfRule>
    <cfRule type="cellIs" dxfId="8011" priority="162" operator="greaterThan">
      <formula>$C102</formula>
    </cfRule>
    <cfRule type="cellIs" dxfId="8010" priority="163" operator="lessThan">
      <formula>$C102</formula>
    </cfRule>
  </conditionalFormatting>
  <conditionalFormatting sqref="H102">
    <cfRule type="expression" dxfId="8009" priority="160">
      <formula>AND($A102&lt;&gt;"",MOD(ROW(),2))</formula>
    </cfRule>
  </conditionalFormatting>
  <conditionalFormatting sqref="C103">
    <cfRule type="expression" dxfId="8008" priority="159">
      <formula>AND($A103&lt;&gt;"",MOD(ROW(),2))</formula>
    </cfRule>
  </conditionalFormatting>
  <conditionalFormatting sqref="C104">
    <cfRule type="expression" dxfId="8007" priority="158">
      <formula>AND($A104&lt;&gt;"",MOD(ROW(),2))</formula>
    </cfRule>
  </conditionalFormatting>
  <conditionalFormatting sqref="D103">
    <cfRule type="expression" dxfId="8006" priority="157">
      <formula>AND($A103&lt;&gt;"",MOD(ROW(),2))</formula>
    </cfRule>
  </conditionalFormatting>
  <conditionalFormatting sqref="D103">
    <cfRule type="cellIs" dxfId="8005" priority="154" operator="equal">
      <formula>$C103</formula>
    </cfRule>
    <cfRule type="cellIs" dxfId="8004" priority="155" operator="greaterThan">
      <formula>$C103</formula>
    </cfRule>
    <cfRule type="cellIs" dxfId="8003" priority="156" operator="lessThan">
      <formula>$C103</formula>
    </cfRule>
  </conditionalFormatting>
  <conditionalFormatting sqref="D104">
    <cfRule type="expression" dxfId="8002" priority="153">
      <formula>AND($A104&lt;&gt;"",MOD(ROW(),2))</formula>
    </cfRule>
  </conditionalFormatting>
  <conditionalFormatting sqref="D104">
    <cfRule type="cellIs" dxfId="8001" priority="150" operator="equal">
      <formula>$C104</formula>
    </cfRule>
    <cfRule type="cellIs" dxfId="8000" priority="151" operator="greaterThan">
      <formula>$C104</formula>
    </cfRule>
    <cfRule type="cellIs" dxfId="7999" priority="152" operator="lessThan">
      <formula>$C104</formula>
    </cfRule>
  </conditionalFormatting>
  <conditionalFormatting sqref="H103">
    <cfRule type="expression" dxfId="7998" priority="149">
      <formula>AND($A103&lt;&gt;"",MOD(ROW(),2))</formula>
    </cfRule>
  </conditionalFormatting>
  <conditionalFormatting sqref="H104">
    <cfRule type="expression" dxfId="7997" priority="148">
      <formula>AND($A104&lt;&gt;"",MOD(ROW(),2))</formula>
    </cfRule>
  </conditionalFormatting>
  <conditionalFormatting sqref="C105">
    <cfRule type="expression" dxfId="7996" priority="147">
      <formula>AND($A105&lt;&gt;"",MOD(ROW(),2))</formula>
    </cfRule>
  </conditionalFormatting>
  <conditionalFormatting sqref="D105">
    <cfRule type="expression" dxfId="7995" priority="146">
      <formula>AND($A105&lt;&gt;"",MOD(ROW(),2))</formula>
    </cfRule>
  </conditionalFormatting>
  <conditionalFormatting sqref="D105">
    <cfRule type="cellIs" dxfId="7994" priority="143" operator="equal">
      <formula>$C105</formula>
    </cfRule>
    <cfRule type="cellIs" dxfId="7993" priority="144" operator="greaterThan">
      <formula>$C105</formula>
    </cfRule>
    <cfRule type="cellIs" dxfId="7992" priority="145" operator="lessThan">
      <formula>$C105</formula>
    </cfRule>
  </conditionalFormatting>
  <conditionalFormatting sqref="H105">
    <cfRule type="expression" dxfId="7991" priority="142">
      <formula>AND($A105&lt;&gt;"",MOD(ROW(),2))</formula>
    </cfRule>
  </conditionalFormatting>
  <conditionalFormatting sqref="C106">
    <cfRule type="expression" dxfId="7990" priority="141">
      <formula>AND($A106&lt;&gt;"",MOD(ROW(),2))</formula>
    </cfRule>
  </conditionalFormatting>
  <conditionalFormatting sqref="D106">
    <cfRule type="expression" dxfId="7989" priority="140">
      <formula>AND($A106&lt;&gt;"",MOD(ROW(),2))</formula>
    </cfRule>
  </conditionalFormatting>
  <conditionalFormatting sqref="D106">
    <cfRule type="cellIs" dxfId="7988" priority="137" operator="equal">
      <formula>$C106</formula>
    </cfRule>
    <cfRule type="cellIs" dxfId="7987" priority="138" operator="greaterThan">
      <formula>$C106</formula>
    </cfRule>
    <cfRule type="cellIs" dxfId="7986" priority="139" operator="lessThan">
      <formula>$C106</formula>
    </cfRule>
  </conditionalFormatting>
  <conditionalFormatting sqref="H106">
    <cfRule type="expression" dxfId="7985" priority="136">
      <formula>AND($A106&lt;&gt;"",MOD(ROW(),2))</formula>
    </cfRule>
  </conditionalFormatting>
  <conditionalFormatting sqref="H107">
    <cfRule type="expression" dxfId="7984" priority="135">
      <formula>AND($A107&lt;&gt;"",MOD(ROW(),2))</formula>
    </cfRule>
  </conditionalFormatting>
  <conditionalFormatting sqref="C107">
    <cfRule type="expression" dxfId="7983" priority="134">
      <formula>AND($A107&lt;&gt;"",MOD(ROW(),2))</formula>
    </cfRule>
  </conditionalFormatting>
  <conditionalFormatting sqref="D107">
    <cfRule type="expression" dxfId="7982" priority="133">
      <formula>AND($A107&lt;&gt;"",MOD(ROW(),2))</formula>
    </cfRule>
  </conditionalFormatting>
  <conditionalFormatting sqref="D107">
    <cfRule type="cellIs" dxfId="7981" priority="130" operator="equal">
      <formula>$C107</formula>
    </cfRule>
    <cfRule type="cellIs" dxfId="7980" priority="131" operator="greaterThan">
      <formula>$C107</formula>
    </cfRule>
    <cfRule type="cellIs" dxfId="7979" priority="132" operator="lessThan">
      <formula>$C107</formula>
    </cfRule>
  </conditionalFormatting>
  <conditionalFormatting sqref="H108">
    <cfRule type="expression" dxfId="7978" priority="129">
      <formula>AND($A108&lt;&gt;"",MOD(ROW(),2))</formula>
    </cfRule>
  </conditionalFormatting>
  <conditionalFormatting sqref="C108">
    <cfRule type="expression" dxfId="7977" priority="128">
      <formula>AND($A108&lt;&gt;"",MOD(ROW(),2))</formula>
    </cfRule>
  </conditionalFormatting>
  <conditionalFormatting sqref="D108">
    <cfRule type="expression" dxfId="7976" priority="127">
      <formula>AND($A108&lt;&gt;"",MOD(ROW(),2))</formula>
    </cfRule>
  </conditionalFormatting>
  <conditionalFormatting sqref="D108">
    <cfRule type="cellIs" dxfId="7975" priority="124" operator="equal">
      <formula>$C108</formula>
    </cfRule>
    <cfRule type="cellIs" dxfId="7974" priority="125" operator="greaterThan">
      <formula>$C108</formula>
    </cfRule>
    <cfRule type="cellIs" dxfId="7973" priority="126" operator="lessThan">
      <formula>$C108</formula>
    </cfRule>
  </conditionalFormatting>
  <conditionalFormatting sqref="H109">
    <cfRule type="expression" dxfId="7972" priority="123">
      <formula>AND($A109&lt;&gt;"",MOD(ROW(),2))</formula>
    </cfRule>
  </conditionalFormatting>
  <conditionalFormatting sqref="C109">
    <cfRule type="expression" dxfId="7971" priority="122">
      <formula>AND($A109&lt;&gt;"",MOD(ROW(),2))</formula>
    </cfRule>
  </conditionalFormatting>
  <conditionalFormatting sqref="D109">
    <cfRule type="expression" dxfId="7970" priority="121">
      <formula>AND($A109&lt;&gt;"",MOD(ROW(),2))</formula>
    </cfRule>
  </conditionalFormatting>
  <conditionalFormatting sqref="D109">
    <cfRule type="cellIs" dxfId="7969" priority="118" operator="equal">
      <formula>$C109</formula>
    </cfRule>
    <cfRule type="cellIs" dxfId="7968" priority="119" operator="greaterThan">
      <formula>$C109</formula>
    </cfRule>
    <cfRule type="cellIs" dxfId="7967" priority="120" operator="lessThan">
      <formula>$C109</formula>
    </cfRule>
  </conditionalFormatting>
  <conditionalFormatting sqref="H110">
    <cfRule type="expression" dxfId="7966" priority="117">
      <formula>AND($A110&lt;&gt;"",MOD(ROW(),2))</formula>
    </cfRule>
  </conditionalFormatting>
  <conditionalFormatting sqref="C110">
    <cfRule type="expression" dxfId="7965" priority="116">
      <formula>AND($A110&lt;&gt;"",MOD(ROW(),2))</formula>
    </cfRule>
  </conditionalFormatting>
  <conditionalFormatting sqref="D110">
    <cfRule type="expression" dxfId="7964" priority="115">
      <formula>AND($A110&lt;&gt;"",MOD(ROW(),2))</formula>
    </cfRule>
  </conditionalFormatting>
  <conditionalFormatting sqref="D110">
    <cfRule type="cellIs" dxfId="7963" priority="112" operator="equal">
      <formula>$C110</formula>
    </cfRule>
    <cfRule type="cellIs" dxfId="7962" priority="113" operator="greaterThan">
      <formula>$C110</formula>
    </cfRule>
    <cfRule type="cellIs" dxfId="7961" priority="114" operator="lessThan">
      <formula>$C110</formula>
    </cfRule>
  </conditionalFormatting>
  <conditionalFormatting sqref="H111">
    <cfRule type="expression" dxfId="7960" priority="111">
      <formula>AND($A111&lt;&gt;"",MOD(ROW(),2))</formula>
    </cfRule>
  </conditionalFormatting>
  <conditionalFormatting sqref="C111">
    <cfRule type="expression" dxfId="7959" priority="110">
      <formula>AND($A111&lt;&gt;"",MOD(ROW(),2))</formula>
    </cfRule>
  </conditionalFormatting>
  <conditionalFormatting sqref="D111">
    <cfRule type="expression" dxfId="7958" priority="109">
      <formula>AND($A111&lt;&gt;"",MOD(ROW(),2))</formula>
    </cfRule>
  </conditionalFormatting>
  <conditionalFormatting sqref="D111">
    <cfRule type="cellIs" dxfId="7957" priority="106" operator="equal">
      <formula>$C111</formula>
    </cfRule>
    <cfRule type="cellIs" dxfId="7956" priority="107" operator="greaterThan">
      <formula>$C111</formula>
    </cfRule>
    <cfRule type="cellIs" dxfId="7955" priority="108" operator="lessThan">
      <formula>$C111</formula>
    </cfRule>
  </conditionalFormatting>
  <conditionalFormatting sqref="H112">
    <cfRule type="expression" dxfId="7954" priority="105">
      <formula>AND($A112&lt;&gt;"",MOD(ROW(),2))</formula>
    </cfRule>
  </conditionalFormatting>
  <conditionalFormatting sqref="C112">
    <cfRule type="expression" dxfId="7953" priority="104">
      <formula>AND($A112&lt;&gt;"",MOD(ROW(),2))</formula>
    </cfRule>
  </conditionalFormatting>
  <conditionalFormatting sqref="D112">
    <cfRule type="expression" dxfId="7952" priority="103">
      <formula>AND($A112&lt;&gt;"",MOD(ROW(),2))</formula>
    </cfRule>
  </conditionalFormatting>
  <conditionalFormatting sqref="D112">
    <cfRule type="cellIs" dxfId="7951" priority="100" operator="equal">
      <formula>$C112</formula>
    </cfRule>
    <cfRule type="cellIs" dxfId="7950" priority="101" operator="greaterThan">
      <formula>$C112</formula>
    </cfRule>
    <cfRule type="cellIs" dxfId="7949" priority="102" operator="lessThan">
      <formula>$C112</formula>
    </cfRule>
  </conditionalFormatting>
  <conditionalFormatting sqref="H113">
    <cfRule type="expression" dxfId="7948" priority="99">
      <formula>AND($A113&lt;&gt;"",MOD(ROW(),2))</formula>
    </cfRule>
  </conditionalFormatting>
  <conditionalFormatting sqref="C113">
    <cfRule type="expression" dxfId="7947" priority="98">
      <formula>AND($A113&lt;&gt;"",MOD(ROW(),2))</formula>
    </cfRule>
  </conditionalFormatting>
  <conditionalFormatting sqref="D113">
    <cfRule type="expression" dxfId="7946" priority="97">
      <formula>AND($A113&lt;&gt;"",MOD(ROW(),2))</formula>
    </cfRule>
  </conditionalFormatting>
  <conditionalFormatting sqref="D113">
    <cfRule type="cellIs" dxfId="7945" priority="94" operator="equal">
      <formula>$C113</formula>
    </cfRule>
    <cfRule type="cellIs" dxfId="7944" priority="95" operator="greaterThan">
      <formula>$C113</formula>
    </cfRule>
    <cfRule type="cellIs" dxfId="7943" priority="96" operator="lessThan">
      <formula>$C113</formula>
    </cfRule>
  </conditionalFormatting>
  <conditionalFormatting sqref="H114">
    <cfRule type="expression" dxfId="7942" priority="93">
      <formula>AND($A114&lt;&gt;"",MOD(ROW(),2))</formula>
    </cfRule>
  </conditionalFormatting>
  <conditionalFormatting sqref="C114">
    <cfRule type="expression" dxfId="7941" priority="92">
      <formula>AND($A114&lt;&gt;"",MOD(ROW(),2))</formula>
    </cfRule>
  </conditionalFormatting>
  <conditionalFormatting sqref="D114">
    <cfRule type="expression" dxfId="7940" priority="91">
      <formula>AND($A114&lt;&gt;"",MOD(ROW(),2))</formula>
    </cfRule>
  </conditionalFormatting>
  <conditionalFormatting sqref="D114">
    <cfRule type="cellIs" dxfId="7939" priority="88" operator="equal">
      <formula>$C114</formula>
    </cfRule>
    <cfRule type="cellIs" dxfId="7938" priority="89" operator="greaterThan">
      <formula>$C114</formula>
    </cfRule>
    <cfRule type="cellIs" dxfId="7937" priority="90" operator="lessThan">
      <formula>$C114</formula>
    </cfRule>
  </conditionalFormatting>
  <conditionalFormatting sqref="H115">
    <cfRule type="expression" dxfId="7936" priority="87">
      <formula>AND($A115&lt;&gt;"",MOD(ROW(),2))</formula>
    </cfRule>
  </conditionalFormatting>
  <conditionalFormatting sqref="C115">
    <cfRule type="expression" dxfId="7935" priority="86">
      <formula>AND($A115&lt;&gt;"",MOD(ROW(),2))</formula>
    </cfRule>
  </conditionalFormatting>
  <conditionalFormatting sqref="D115">
    <cfRule type="expression" dxfId="7934" priority="85">
      <formula>AND($A115&lt;&gt;"",MOD(ROW(),2))</formula>
    </cfRule>
  </conditionalFormatting>
  <conditionalFormatting sqref="D115">
    <cfRule type="cellIs" dxfId="7933" priority="82" operator="equal">
      <formula>$C115</formula>
    </cfRule>
    <cfRule type="cellIs" dxfId="7932" priority="83" operator="greaterThan">
      <formula>$C115</formula>
    </cfRule>
    <cfRule type="cellIs" dxfId="7931" priority="84" operator="lessThan">
      <formula>$C115</formula>
    </cfRule>
  </conditionalFormatting>
  <conditionalFormatting sqref="H116">
    <cfRule type="expression" dxfId="7930" priority="81">
      <formula>AND($A116&lt;&gt;"",MOD(ROW(),2))</formula>
    </cfRule>
  </conditionalFormatting>
  <conditionalFormatting sqref="C116">
    <cfRule type="expression" dxfId="7929" priority="80">
      <formula>AND($A116&lt;&gt;"",MOD(ROW(),2))</formula>
    </cfRule>
  </conditionalFormatting>
  <conditionalFormatting sqref="D116">
    <cfRule type="expression" dxfId="7928" priority="79">
      <formula>AND($A116&lt;&gt;"",MOD(ROW(),2))</formula>
    </cfRule>
  </conditionalFormatting>
  <conditionalFormatting sqref="D116">
    <cfRule type="cellIs" dxfId="7927" priority="76" operator="equal">
      <formula>$C116</formula>
    </cfRule>
    <cfRule type="cellIs" dxfId="7926" priority="77" operator="greaterThan">
      <formula>$C116</formula>
    </cfRule>
    <cfRule type="cellIs" dxfId="7925" priority="78" operator="lessThan">
      <formula>$C116</formula>
    </cfRule>
  </conditionalFormatting>
  <conditionalFormatting sqref="I117">
    <cfRule type="expression" dxfId="7924" priority="75">
      <formula>AND($A117&lt;&gt;"",MOD(ROW(),2))</formula>
    </cfRule>
  </conditionalFormatting>
  <conditionalFormatting sqref="H117">
    <cfRule type="expression" dxfId="7923" priority="74">
      <formula>AND($A117&lt;&gt;"",MOD(ROW(),2))</formula>
    </cfRule>
  </conditionalFormatting>
  <conditionalFormatting sqref="C117">
    <cfRule type="expression" dxfId="7922" priority="73">
      <formula>AND($A117&lt;&gt;"",MOD(ROW(),2))</formula>
    </cfRule>
  </conditionalFormatting>
  <conditionalFormatting sqref="D117">
    <cfRule type="expression" dxfId="7921" priority="72">
      <formula>AND($A117&lt;&gt;"",MOD(ROW(),2))</formula>
    </cfRule>
  </conditionalFormatting>
  <conditionalFormatting sqref="D117">
    <cfRule type="cellIs" dxfId="7920" priority="69" operator="equal">
      <formula>$C117</formula>
    </cfRule>
    <cfRule type="cellIs" dxfId="7919" priority="70" operator="greaterThan">
      <formula>$C117</formula>
    </cfRule>
    <cfRule type="cellIs" dxfId="7918" priority="71" operator="lessThan">
      <formula>$C117</formula>
    </cfRule>
  </conditionalFormatting>
  <conditionalFormatting sqref="I118:I127">
    <cfRule type="expression" dxfId="7917" priority="68">
      <formula>AND($A118&lt;&gt;"",MOD(ROW(),2))</formula>
    </cfRule>
  </conditionalFormatting>
  <conditionalFormatting sqref="H118:H127">
    <cfRule type="expression" dxfId="7916" priority="67">
      <formula>AND($A118&lt;&gt;"",MOD(ROW(),2))</formula>
    </cfRule>
  </conditionalFormatting>
  <conditionalFormatting sqref="C118">
    <cfRule type="expression" dxfId="7915" priority="66">
      <formula>AND($A118&lt;&gt;"",MOD(ROW(),2))</formula>
    </cfRule>
  </conditionalFormatting>
  <conditionalFormatting sqref="D118">
    <cfRule type="expression" dxfId="7914" priority="65">
      <formula>AND($A118&lt;&gt;"",MOD(ROW(),2))</formula>
    </cfRule>
  </conditionalFormatting>
  <conditionalFormatting sqref="D118">
    <cfRule type="cellIs" dxfId="7913" priority="62" operator="equal">
      <formula>$C118</formula>
    </cfRule>
    <cfRule type="cellIs" dxfId="7912" priority="63" operator="greaterThan">
      <formula>$C118</formula>
    </cfRule>
    <cfRule type="cellIs" dxfId="7911" priority="64" operator="lessThan">
      <formula>$C118</formula>
    </cfRule>
  </conditionalFormatting>
  <conditionalFormatting sqref="C119">
    <cfRule type="expression" dxfId="7910" priority="61">
      <formula>AND($A119&lt;&gt;"",MOD(ROW(),2))</formula>
    </cfRule>
  </conditionalFormatting>
  <conditionalFormatting sqref="D119">
    <cfRule type="expression" dxfId="7909" priority="60">
      <formula>AND($A119&lt;&gt;"",MOD(ROW(),2))</formula>
    </cfRule>
  </conditionalFormatting>
  <conditionalFormatting sqref="D119">
    <cfRule type="cellIs" dxfId="7908" priority="57" operator="equal">
      <formula>$C119</formula>
    </cfRule>
    <cfRule type="cellIs" dxfId="7907" priority="58" operator="greaterThan">
      <formula>$C119</formula>
    </cfRule>
    <cfRule type="cellIs" dxfId="7906" priority="59" operator="lessThan">
      <formula>$C119</formula>
    </cfRule>
  </conditionalFormatting>
  <conditionalFormatting sqref="C120">
    <cfRule type="expression" dxfId="7905" priority="56">
      <formula>AND($A120&lt;&gt;"",MOD(ROW(),2))</formula>
    </cfRule>
  </conditionalFormatting>
  <conditionalFormatting sqref="C121">
    <cfRule type="expression" dxfId="7904" priority="51">
      <formula>AND($A121&lt;&gt;"",MOD(ROW(),2))</formula>
    </cfRule>
  </conditionalFormatting>
  <conditionalFormatting sqref="D120">
    <cfRule type="expression" dxfId="7903" priority="50">
      <formula>AND($A120&lt;&gt;"",MOD(ROW(),2))</formula>
    </cfRule>
  </conditionalFormatting>
  <conditionalFormatting sqref="D120">
    <cfRule type="cellIs" dxfId="7902" priority="47" operator="equal">
      <formula>$C120</formula>
    </cfRule>
    <cfRule type="cellIs" dxfId="7901" priority="48" operator="greaterThan">
      <formula>$C120</formula>
    </cfRule>
    <cfRule type="cellIs" dxfId="7900" priority="49" operator="lessThan">
      <formula>$C120</formula>
    </cfRule>
  </conditionalFormatting>
  <conditionalFormatting sqref="D121">
    <cfRule type="expression" dxfId="7899" priority="46">
      <formula>AND($A121&lt;&gt;"",MOD(ROW(),2))</formula>
    </cfRule>
  </conditionalFormatting>
  <conditionalFormatting sqref="D121">
    <cfRule type="cellIs" dxfId="7898" priority="43" operator="equal">
      <formula>$C121</formula>
    </cfRule>
    <cfRule type="cellIs" dxfId="7897" priority="44" operator="greaterThan">
      <formula>$C121</formula>
    </cfRule>
    <cfRule type="cellIs" dxfId="7896" priority="45" operator="lessThan">
      <formula>$C121</formula>
    </cfRule>
  </conditionalFormatting>
  <conditionalFormatting sqref="C122">
    <cfRule type="expression" dxfId="7895" priority="42">
      <formula>AND($A122&lt;&gt;"",MOD(ROW(),2))</formula>
    </cfRule>
  </conditionalFormatting>
  <conditionalFormatting sqref="D122">
    <cfRule type="expression" dxfId="7894" priority="41">
      <formula>AND($A122&lt;&gt;"",MOD(ROW(),2))</formula>
    </cfRule>
  </conditionalFormatting>
  <conditionalFormatting sqref="D122">
    <cfRule type="cellIs" dxfId="7893" priority="38" operator="equal">
      <formula>$C122</formula>
    </cfRule>
    <cfRule type="cellIs" dxfId="7892" priority="39" operator="greaterThan">
      <formula>$C122</formula>
    </cfRule>
    <cfRule type="cellIs" dxfId="7891" priority="40" operator="lessThan">
      <formula>$C122</formula>
    </cfRule>
  </conditionalFormatting>
  <conditionalFormatting sqref="I119">
    <cfRule type="expression" dxfId="7890" priority="37">
      <formula>AND($A119&lt;&gt;"",MOD(ROW(),2))</formula>
    </cfRule>
  </conditionalFormatting>
  <conditionalFormatting sqref="H119">
    <cfRule type="expression" dxfId="7889" priority="36">
      <formula>AND($A119&lt;&gt;"",MOD(ROW(),2))</formula>
    </cfRule>
  </conditionalFormatting>
  <conditionalFormatting sqref="C119">
    <cfRule type="expression" dxfId="7888" priority="35">
      <formula>AND($A119&lt;&gt;"",MOD(ROW(),2))</formula>
    </cfRule>
  </conditionalFormatting>
  <conditionalFormatting sqref="D119">
    <cfRule type="expression" dxfId="7887" priority="34">
      <formula>AND($A119&lt;&gt;"",MOD(ROW(),2))</formula>
    </cfRule>
  </conditionalFormatting>
  <conditionalFormatting sqref="D119">
    <cfRule type="cellIs" dxfId="7886" priority="31" operator="equal">
      <formula>$C119</formula>
    </cfRule>
    <cfRule type="cellIs" dxfId="7885" priority="32" operator="greaterThan">
      <formula>$C119</formula>
    </cfRule>
    <cfRule type="cellIs" dxfId="7884" priority="33" operator="lessThan">
      <formula>$C119</formula>
    </cfRule>
  </conditionalFormatting>
  <conditionalFormatting sqref="C120">
    <cfRule type="expression" dxfId="7883" priority="30">
      <formula>AND($A120&lt;&gt;"",MOD(ROW(),2))</formula>
    </cfRule>
  </conditionalFormatting>
  <conditionalFormatting sqref="D120">
    <cfRule type="expression" dxfId="7882" priority="29">
      <formula>AND($A120&lt;&gt;"",MOD(ROW(),2))</formula>
    </cfRule>
  </conditionalFormatting>
  <conditionalFormatting sqref="D120">
    <cfRule type="cellIs" dxfId="7881" priority="26" operator="equal">
      <formula>$C120</formula>
    </cfRule>
    <cfRule type="cellIs" dxfId="7880" priority="27" operator="greaterThan">
      <formula>$C120</formula>
    </cfRule>
    <cfRule type="cellIs" dxfId="7879" priority="28" operator="lessThan">
      <formula>$C120</formula>
    </cfRule>
  </conditionalFormatting>
  <conditionalFormatting sqref="C121">
    <cfRule type="expression" dxfId="7878" priority="25">
      <formula>AND($A121&lt;&gt;"",MOD(ROW(),2))</formula>
    </cfRule>
  </conditionalFormatting>
  <conditionalFormatting sqref="D121">
    <cfRule type="expression" dxfId="7877" priority="24">
      <formula>AND($A121&lt;&gt;"",MOD(ROW(),2))</formula>
    </cfRule>
  </conditionalFormatting>
  <conditionalFormatting sqref="D121">
    <cfRule type="cellIs" dxfId="7876" priority="21" operator="equal">
      <formula>$C121</formula>
    </cfRule>
    <cfRule type="cellIs" dxfId="7875" priority="22" operator="greaterThan">
      <formula>$C121</formula>
    </cfRule>
    <cfRule type="cellIs" dxfId="7874" priority="23" operator="lessThan">
      <formula>$C121</formula>
    </cfRule>
  </conditionalFormatting>
  <conditionalFormatting sqref="C122">
    <cfRule type="expression" dxfId="7873" priority="20">
      <formula>AND($A122&lt;&gt;"",MOD(ROW(),2))</formula>
    </cfRule>
  </conditionalFormatting>
  <conditionalFormatting sqref="C123">
    <cfRule type="expression" dxfId="7872" priority="19">
      <formula>AND($A123&lt;&gt;"",MOD(ROW(),2))</formula>
    </cfRule>
  </conditionalFormatting>
  <conditionalFormatting sqref="D122">
    <cfRule type="expression" dxfId="7871" priority="18">
      <formula>AND($A122&lt;&gt;"",MOD(ROW(),2))</formula>
    </cfRule>
  </conditionalFormatting>
  <conditionalFormatting sqref="D122">
    <cfRule type="cellIs" dxfId="7870" priority="15" operator="equal">
      <formula>$C122</formula>
    </cfRule>
    <cfRule type="cellIs" dxfId="7869" priority="16" operator="greaterThan">
      <formula>$C122</formula>
    </cfRule>
    <cfRule type="cellIs" dxfId="7868" priority="17" operator="lessThan">
      <formula>$C122</formula>
    </cfRule>
  </conditionalFormatting>
  <conditionalFormatting sqref="D123">
    <cfRule type="expression" dxfId="7867" priority="14">
      <formula>AND($A123&lt;&gt;"",MOD(ROW(),2))</formula>
    </cfRule>
  </conditionalFormatting>
  <conditionalFormatting sqref="D123">
    <cfRule type="cellIs" dxfId="7866" priority="11" operator="equal">
      <formula>$C123</formula>
    </cfRule>
    <cfRule type="cellIs" dxfId="7865" priority="12" operator="greaterThan">
      <formula>$C123</formula>
    </cfRule>
    <cfRule type="cellIs" dxfId="7864" priority="13" operator="lessThan">
      <formula>$C123</formula>
    </cfRule>
  </conditionalFormatting>
  <conditionalFormatting sqref="C124">
    <cfRule type="expression" dxfId="7863" priority="10">
      <formula>AND($A124&lt;&gt;"",MOD(ROW(),2))</formula>
    </cfRule>
  </conditionalFormatting>
  <conditionalFormatting sqref="D124">
    <cfRule type="expression" dxfId="7862" priority="9">
      <formula>AND($A124&lt;&gt;"",MOD(ROW(),2))</formula>
    </cfRule>
  </conditionalFormatting>
  <conditionalFormatting sqref="D124">
    <cfRule type="cellIs" dxfId="7861" priority="6" operator="equal">
      <formula>$C124</formula>
    </cfRule>
    <cfRule type="cellIs" dxfId="7860" priority="7" operator="greaterThan">
      <formula>$C124</formula>
    </cfRule>
    <cfRule type="cellIs" dxfId="7859" priority="8" operator="lessThan">
      <formula>$C124</formula>
    </cfRule>
  </conditionalFormatting>
  <conditionalFormatting sqref="C125:C127">
    <cfRule type="expression" dxfId="7858" priority="5">
      <formula>AND($A125&lt;&gt;"",MOD(ROW(),2))</formula>
    </cfRule>
  </conditionalFormatting>
  <conditionalFormatting sqref="D125:D127">
    <cfRule type="expression" dxfId="7857" priority="4">
      <formula>AND($A125&lt;&gt;"",MOD(ROW(),2))</formula>
    </cfRule>
  </conditionalFormatting>
  <conditionalFormatting sqref="D125:D127">
    <cfRule type="cellIs" dxfId="7856" priority="1" operator="equal">
      <formula>$C125</formula>
    </cfRule>
    <cfRule type="cellIs" dxfId="7855" priority="2" operator="greaterThan">
      <formula>$C125</formula>
    </cfRule>
    <cfRule type="cellIs" dxfId="7854" priority="3" operator="lessThan">
      <formula>$C125</formula>
    </cfRule>
  </conditionalFormatting>
  <pageMargins left="0.75" right="0.75" top="1" bottom="1" header="0.5" footer="0.5"/>
  <pageSetup paperSize="9" orientation="portrait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C00-000000000000}">
          <x14:formula1>
            <xm:f>PullDownValues!$F$2:$F$14</xm:f>
          </x14:formula1>
          <xm:sqref>L7:L354</xm:sqref>
        </x14:dataValidation>
        <x14:dataValidation type="list" allowBlank="1" showInputMessage="1" showErrorMessage="1" prompt="Payment Method" xr:uid="{00000000-0002-0000-0C00-000001000000}">
          <x14:formula1>
            <xm:f>PullDownValues!$B$2:$B$12</xm:f>
          </x14:formula1>
          <xm:sqref>F7:F289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354"/>
  <sheetViews>
    <sheetView zoomScaleNormal="100" workbookViewId="0">
      <pane ySplit="5" topLeftCell="A100" activePane="bottomLeft" state="frozen"/>
      <selection pane="bottomLeft" activeCell="N122" sqref="N122"/>
    </sheetView>
  </sheetViews>
  <sheetFormatPr defaultColWidth="8.85546875" defaultRowHeight="15" customHeight="1" x14ac:dyDescent="0.25"/>
  <cols>
    <col min="1" max="1" width="3.28515625" style="10" bestFit="1" customWidth="1"/>
    <col min="2" max="3" width="12.5703125" bestFit="1" customWidth="1"/>
    <col min="4" max="4" width="12.85546875" bestFit="1" customWidth="1"/>
    <col min="5" max="5" width="15.28515625" bestFit="1" customWidth="1"/>
    <col min="6" max="6" width="15.28515625" customWidth="1"/>
    <col min="7" max="7" width="9.42578125" style="31" bestFit="1" customWidth="1"/>
    <col min="8" max="8" width="11.5703125" bestFit="1" customWidth="1"/>
    <col min="9" max="9" width="12.7109375" bestFit="1" customWidth="1"/>
    <col min="10" max="10" width="15.140625" customWidth="1"/>
    <col min="11" max="11" width="10.5703125" bestFit="1" customWidth="1"/>
    <col min="12" max="12" width="12.5703125" customWidth="1"/>
    <col min="13" max="13" width="10.7109375" customWidth="1"/>
    <col min="14" max="14" width="12.7109375" customWidth="1"/>
    <col min="15" max="16" width="10.5703125" customWidth="1"/>
  </cols>
  <sheetData>
    <row r="1" spans="1:18" ht="35.1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5">
        <f>SUM(P6:P90)-O4</f>
        <v>0</v>
      </c>
      <c r="P1" s="255"/>
      <c r="Q1" s="114"/>
      <c r="R1" s="114"/>
    </row>
    <row r="2" spans="1:18" s="9" customFormat="1" ht="15.95" customHeight="1" x14ac:dyDescent="0.25">
      <c r="A2" s="287" t="s">
        <v>4</v>
      </c>
      <c r="B2" s="287"/>
      <c r="C2" s="287"/>
      <c r="D2" s="287"/>
      <c r="E2" s="287"/>
      <c r="F2" s="287"/>
      <c r="G2" s="336">
        <f>SUM($D$6:$D$2990)-SUMIF($F$7:$F$290,"Bond Received",$D$7:$D$2990)-SUMIF($F$7:$F$290,"Unpaid Rent",$D$7:$D$2990)-(SUMIF($F$7:$F$290,"Discount Rent",$D$7:$D$2990)*2)</f>
        <v>22422</v>
      </c>
      <c r="H2" s="336"/>
      <c r="I2" s="336"/>
      <c r="J2" s="260" t="s">
        <v>5</v>
      </c>
      <c r="K2" s="260"/>
      <c r="L2" s="260"/>
      <c r="M2" s="262">
        <f>SUM($K$6:$K$2989)-SUMIF($L$6:$L$2989,"Bond Return",$K$6:$K$2989)</f>
        <v>12358.080000000002</v>
      </c>
      <c r="N2" s="263"/>
      <c r="O2" s="265"/>
      <c r="P2" s="265"/>
      <c r="Q2" s="35"/>
    </row>
    <row r="3" spans="1:18" s="9" customFormat="1" ht="15.95" customHeight="1" x14ac:dyDescent="0.25">
      <c r="A3" s="288"/>
      <c r="B3" s="288"/>
      <c r="C3" s="288"/>
      <c r="D3" s="288"/>
      <c r="E3" s="288"/>
      <c r="F3" s="288"/>
      <c r="G3" s="337"/>
      <c r="H3" s="337"/>
      <c r="I3" s="337"/>
      <c r="J3" s="261"/>
      <c r="K3" s="261"/>
      <c r="L3" s="261"/>
      <c r="M3" s="264"/>
      <c r="N3" s="264"/>
      <c r="O3" s="266"/>
      <c r="P3" s="266"/>
    </row>
    <row r="4" spans="1:18" s="9" customFormat="1" ht="15.95" customHeight="1" x14ac:dyDescent="0.25">
      <c r="A4" s="244" t="s">
        <v>6</v>
      </c>
      <c r="B4" s="244" t="s">
        <v>7</v>
      </c>
      <c r="C4" s="267" t="s">
        <v>8</v>
      </c>
      <c r="D4" s="269" t="s">
        <v>9</v>
      </c>
      <c r="E4" s="269" t="s">
        <v>10</v>
      </c>
      <c r="F4" s="252" t="s">
        <v>112</v>
      </c>
      <c r="G4" s="276" t="s">
        <v>11</v>
      </c>
      <c r="H4" s="244" t="s">
        <v>12</v>
      </c>
      <c r="I4" s="334" t="s">
        <v>113</v>
      </c>
      <c r="J4" s="246" t="s">
        <v>13</v>
      </c>
      <c r="K4" s="246" t="s">
        <v>14</v>
      </c>
      <c r="L4" s="248" t="s">
        <v>15</v>
      </c>
      <c r="M4" s="249"/>
      <c r="N4" s="271" t="s">
        <v>113</v>
      </c>
      <c r="O4" s="273">
        <f>G2-M2</f>
        <v>10063.919999999998</v>
      </c>
      <c r="P4" s="274">
        <f>SUM(P2:P3)</f>
        <v>0</v>
      </c>
      <c r="Q4" s="63">
        <f>SUM(Q2:Q3)</f>
        <v>0</v>
      </c>
    </row>
    <row r="5" spans="1:18" s="10" customFormat="1" x14ac:dyDescent="0.25">
      <c r="A5" s="245"/>
      <c r="B5" s="245"/>
      <c r="C5" s="268"/>
      <c r="D5" s="270"/>
      <c r="E5" s="270"/>
      <c r="F5" s="253"/>
      <c r="G5" s="277"/>
      <c r="H5" s="245"/>
      <c r="I5" s="335"/>
      <c r="J5" s="247"/>
      <c r="K5" s="247"/>
      <c r="L5" s="250"/>
      <c r="M5" s="251"/>
      <c r="N5" s="272"/>
      <c r="O5" s="275"/>
      <c r="P5" s="275"/>
      <c r="Q5" s="18"/>
      <c r="R5" s="64"/>
    </row>
    <row r="6" spans="1:18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1"/>
      <c r="K6" s="42"/>
      <c r="L6" s="43" t="s">
        <v>123</v>
      </c>
      <c r="M6" s="43"/>
      <c r="N6" s="43"/>
      <c r="O6"/>
    </row>
    <row r="7" spans="1:18" ht="15" customHeight="1" x14ac:dyDescent="0.25">
      <c r="A7" s="10">
        <v>1</v>
      </c>
      <c r="B7" s="48">
        <v>43808</v>
      </c>
      <c r="C7" s="17">
        <v>660</v>
      </c>
      <c r="D7" s="17">
        <v>660</v>
      </c>
      <c r="E7" s="16">
        <v>43809</v>
      </c>
      <c r="F7" s="16" t="s">
        <v>181</v>
      </c>
      <c r="G7" s="31">
        <v>110808</v>
      </c>
      <c r="H7" s="17">
        <f>IFERROR(IF(F6="Closed account",(IF(F7="Unpaid Rent",(C7),(C7-D7))),(IF(F7="Unpaid Rent",(C7+H6),(C7-D7+H6)))),"")</f>
        <v>0</v>
      </c>
      <c r="I7" s="17" t="s">
        <v>159</v>
      </c>
      <c r="J7" s="48">
        <v>43787</v>
      </c>
      <c r="K7" s="17">
        <v>60</v>
      </c>
      <c r="L7" s="49" t="s">
        <v>34</v>
      </c>
      <c r="N7" t="s">
        <v>159</v>
      </c>
      <c r="O7" t="s">
        <v>159</v>
      </c>
      <c r="P7" s="111">
        <f>SUMIF($I$6:$I$2992,O7,$D$6:$D$2992)-SUMIFS($D$6:$D$2992,$I$6:$I$2992,O7,$F$6:$F$2992,"Unpaid Rent")-(SUMIFS($D$6:$D$2992,$I$6:$I$2992,O7,$F$6:$F$2992,"Discount Rent")*2)-(SUMIFS($D$6:$D$2992,$I$6:$I$2992,O7,$F$6:$F$2992,"Bond Received"))-SUMIF($N$6:$N$2989,O7,$K$6:$K$2989)+SUMIFS($K$6:$K$2989,$N$6:$N$2989,O7,$L$6:$L$2989,"Bond Return")</f>
        <v>1150.77</v>
      </c>
    </row>
    <row r="8" spans="1:18" ht="15" customHeight="1" x14ac:dyDescent="0.25">
      <c r="A8" s="10">
        <v>1</v>
      </c>
      <c r="B8" s="48">
        <v>43808</v>
      </c>
      <c r="C8" s="17">
        <v>330</v>
      </c>
      <c r="D8" s="17">
        <v>330</v>
      </c>
      <c r="E8" s="16">
        <v>43809</v>
      </c>
      <c r="F8" s="16" t="s">
        <v>114</v>
      </c>
      <c r="H8" s="17">
        <f>IFERROR(IF(F7="Closed account",(IF(F8="Unpaid Rent",(C8),(C8-D8))),(IF(F8="Unpaid Rent",(C8+H7),(C8-D8+H7)))),"")</f>
        <v>0</v>
      </c>
      <c r="I8" s="17" t="s">
        <v>159</v>
      </c>
      <c r="J8" s="243">
        <v>43801</v>
      </c>
      <c r="K8" s="17">
        <v>77.47</v>
      </c>
      <c r="L8" s="49" t="s">
        <v>17</v>
      </c>
      <c r="M8" t="s">
        <v>170</v>
      </c>
      <c r="N8" t="s">
        <v>14</v>
      </c>
      <c r="O8" s="9" t="s">
        <v>95</v>
      </c>
      <c r="P8" s="111">
        <f t="shared" ref="P8:P17" si="0">SUMIF($I$6:$I$2992,O8,$D$6:$D$2992)-SUMIFS($D$6:$D$2992,$I$6:$I$2992,O8,$F$6:$F$2992,"Unpaid Rent")-(SUMIFS($D$6:$D$2992,$I$6:$I$2992,O8,$F$6:$F$2992,"Discount Rent")*2)-(SUMIFS($D$6:$D$2992,$I$6:$I$2992,O8,$F$6:$F$2992,"Bond Received"))-SUMIF($N$6:$N$2989,O8,$K$6:$K$2989)+SUMIFS($K$6:$K$2989,$N$6:$N$2989,O8,$L$6:$L$2989,"Bond Return")</f>
        <v>4378.9699999999993</v>
      </c>
    </row>
    <row r="9" spans="1:18" ht="15" customHeight="1" x14ac:dyDescent="0.25">
      <c r="A9" s="10">
        <v>2</v>
      </c>
      <c r="B9" s="48">
        <v>43815</v>
      </c>
      <c r="C9" s="17">
        <v>330</v>
      </c>
      <c r="D9" s="17"/>
      <c r="E9" s="16"/>
      <c r="F9" s="16"/>
      <c r="H9" s="17">
        <f t="shared" ref="H9:H72" si="1">IFERROR(IF(F8="Closed account",(IF(F9="Unpaid Rent",(C9),(C9-D9))),(IF(F9="Unpaid Rent",(C9+H8),(C9-D9+H8)))),"")</f>
        <v>330</v>
      </c>
      <c r="I9" s="17" t="s">
        <v>159</v>
      </c>
      <c r="J9" s="48">
        <v>43806</v>
      </c>
      <c r="K9" s="17">
        <v>22</v>
      </c>
      <c r="L9" s="49" t="s">
        <v>34</v>
      </c>
      <c r="N9" t="s">
        <v>159</v>
      </c>
      <c r="O9" s="13" t="s">
        <v>14</v>
      </c>
      <c r="P9" s="111">
        <f t="shared" si="0"/>
        <v>-6617.68</v>
      </c>
    </row>
    <row r="10" spans="1:18" ht="15" customHeight="1" x14ac:dyDescent="0.25">
      <c r="A10" s="10">
        <v>3</v>
      </c>
      <c r="B10" s="48">
        <v>43822</v>
      </c>
      <c r="C10" s="17">
        <v>330</v>
      </c>
      <c r="D10" s="17"/>
      <c r="E10" s="16"/>
      <c r="F10" s="16"/>
      <c r="H10" s="17">
        <f t="shared" si="1"/>
        <v>660</v>
      </c>
      <c r="I10" s="17" t="s">
        <v>159</v>
      </c>
      <c r="J10" s="48">
        <v>43810</v>
      </c>
      <c r="K10" s="17">
        <v>176.4</v>
      </c>
      <c r="L10" s="49" t="s">
        <v>16</v>
      </c>
      <c r="N10" t="s">
        <v>159</v>
      </c>
      <c r="O10" t="s">
        <v>413</v>
      </c>
      <c r="P10" s="111">
        <f t="shared" si="0"/>
        <v>1837.36</v>
      </c>
    </row>
    <row r="11" spans="1:18" ht="15" customHeight="1" x14ac:dyDescent="0.25">
      <c r="A11" s="10">
        <v>4</v>
      </c>
      <c r="B11" s="48">
        <v>43829</v>
      </c>
      <c r="C11" s="17">
        <v>330</v>
      </c>
      <c r="D11" s="17"/>
      <c r="E11" s="16"/>
      <c r="F11" s="16"/>
      <c r="H11" s="17">
        <f t="shared" si="1"/>
        <v>990</v>
      </c>
      <c r="I11" s="17" t="s">
        <v>159</v>
      </c>
      <c r="J11" s="48">
        <v>43812</v>
      </c>
      <c r="K11" s="17">
        <v>9.98</v>
      </c>
      <c r="L11" s="49" t="s">
        <v>17</v>
      </c>
      <c r="M11" t="s">
        <v>171</v>
      </c>
      <c r="N11" t="s">
        <v>14</v>
      </c>
      <c r="O11" t="s">
        <v>488</v>
      </c>
      <c r="P11" s="111">
        <f t="shared" si="0"/>
        <v>599.24</v>
      </c>
    </row>
    <row r="12" spans="1:18" ht="15" customHeight="1" x14ac:dyDescent="0.25">
      <c r="A12" s="10">
        <v>5</v>
      </c>
      <c r="B12" s="48">
        <v>43836</v>
      </c>
      <c r="C12" s="17">
        <v>330</v>
      </c>
      <c r="D12" s="17">
        <v>1320</v>
      </c>
      <c r="E12" s="16">
        <v>43836</v>
      </c>
      <c r="F12" s="16" t="s">
        <v>114</v>
      </c>
      <c r="H12" s="17">
        <f t="shared" si="1"/>
        <v>0</v>
      </c>
      <c r="I12" s="17" t="s">
        <v>159</v>
      </c>
      <c r="J12" s="48">
        <v>43845</v>
      </c>
      <c r="K12" s="17">
        <v>198.52</v>
      </c>
      <c r="L12" s="49" t="s">
        <v>20</v>
      </c>
      <c r="N12" t="s">
        <v>159</v>
      </c>
      <c r="O12" t="s">
        <v>560</v>
      </c>
      <c r="P12" s="111">
        <f t="shared" si="0"/>
        <v>-264.71000000000004</v>
      </c>
    </row>
    <row r="13" spans="1:18" ht="15" customHeight="1" x14ac:dyDescent="0.25">
      <c r="A13" s="10">
        <v>6</v>
      </c>
      <c r="B13" s="48">
        <v>43843</v>
      </c>
      <c r="C13" s="17">
        <f>330+50</f>
        <v>380</v>
      </c>
      <c r="D13" s="17">
        <f>330+50</f>
        <v>380</v>
      </c>
      <c r="E13" s="16">
        <v>43845</v>
      </c>
      <c r="F13" s="16" t="s">
        <v>124</v>
      </c>
      <c r="H13" s="17">
        <f t="shared" si="1"/>
        <v>0</v>
      </c>
      <c r="I13" s="17" t="s">
        <v>159</v>
      </c>
      <c r="J13" s="48">
        <v>43849</v>
      </c>
      <c r="K13" s="17">
        <v>660</v>
      </c>
      <c r="L13" s="49" t="s">
        <v>45</v>
      </c>
      <c r="N13" t="s">
        <v>159</v>
      </c>
      <c r="O13" t="s">
        <v>660</v>
      </c>
      <c r="P13" s="111">
        <f t="shared" si="0"/>
        <v>4793.47</v>
      </c>
    </row>
    <row r="14" spans="1:18" ht="15" customHeight="1" x14ac:dyDescent="0.25">
      <c r="A14" s="10">
        <v>1</v>
      </c>
      <c r="B14" s="48">
        <v>43854</v>
      </c>
      <c r="C14" s="17">
        <v>250</v>
      </c>
      <c r="D14" s="17">
        <v>250</v>
      </c>
      <c r="E14" s="16">
        <v>43854</v>
      </c>
      <c r="F14" t="s">
        <v>181</v>
      </c>
      <c r="H14" s="17">
        <f t="shared" si="1"/>
        <v>0</v>
      </c>
      <c r="I14" s="17" t="s">
        <v>95</v>
      </c>
      <c r="J14" s="48">
        <v>43849</v>
      </c>
      <c r="K14" s="17">
        <v>131.25</v>
      </c>
      <c r="L14" s="49" t="s">
        <v>32</v>
      </c>
      <c r="N14" t="s">
        <v>159</v>
      </c>
      <c r="O14" t="s">
        <v>760</v>
      </c>
      <c r="P14" s="111">
        <f t="shared" si="0"/>
        <v>474.5</v>
      </c>
    </row>
    <row r="15" spans="1:18" ht="15" customHeight="1" x14ac:dyDescent="0.25">
      <c r="A15" s="10">
        <v>1</v>
      </c>
      <c r="B15" s="48">
        <v>43854</v>
      </c>
      <c r="C15" s="17">
        <v>250</v>
      </c>
      <c r="D15" s="17">
        <v>250</v>
      </c>
      <c r="E15" s="16">
        <v>43854</v>
      </c>
      <c r="F15" s="16" t="s">
        <v>59</v>
      </c>
      <c r="H15" s="17">
        <f t="shared" si="1"/>
        <v>0</v>
      </c>
      <c r="I15" s="17" t="s">
        <v>95</v>
      </c>
      <c r="J15" s="48">
        <v>43843</v>
      </c>
      <c r="K15" s="17">
        <v>155.96</v>
      </c>
      <c r="L15" s="49" t="s">
        <v>16</v>
      </c>
      <c r="N15" t="s">
        <v>159</v>
      </c>
      <c r="O15" t="s">
        <v>498</v>
      </c>
      <c r="P15" s="111">
        <f t="shared" si="0"/>
        <v>0</v>
      </c>
    </row>
    <row r="16" spans="1:18" ht="15" customHeight="1" x14ac:dyDescent="0.25">
      <c r="A16" s="10">
        <v>2</v>
      </c>
      <c r="B16" s="48">
        <v>43861</v>
      </c>
      <c r="C16" s="17">
        <v>250</v>
      </c>
      <c r="D16" s="17">
        <v>250</v>
      </c>
      <c r="E16" s="16">
        <v>43864</v>
      </c>
      <c r="F16" s="16" t="s">
        <v>59</v>
      </c>
      <c r="H16" s="17">
        <f t="shared" si="1"/>
        <v>0</v>
      </c>
      <c r="I16" s="17" t="s">
        <v>95</v>
      </c>
      <c r="J16" s="48">
        <v>43851</v>
      </c>
      <c r="K16" s="17">
        <v>80</v>
      </c>
      <c r="L16" s="49" t="s">
        <v>26</v>
      </c>
      <c r="N16" t="s">
        <v>159</v>
      </c>
      <c r="O16" t="s">
        <v>934</v>
      </c>
      <c r="P16" s="111">
        <f t="shared" si="0"/>
        <v>3212</v>
      </c>
    </row>
    <row r="17" spans="1:16" ht="15" customHeight="1" x14ac:dyDescent="0.25">
      <c r="A17" s="10">
        <v>3</v>
      </c>
      <c r="B17" s="48">
        <v>43868</v>
      </c>
      <c r="C17" s="17">
        <v>250</v>
      </c>
      <c r="D17" s="17">
        <v>250</v>
      </c>
      <c r="E17" s="16">
        <v>43871</v>
      </c>
      <c r="F17" t="s">
        <v>59</v>
      </c>
      <c r="H17" s="17">
        <f t="shared" si="1"/>
        <v>0</v>
      </c>
      <c r="I17" s="17" t="s">
        <v>95</v>
      </c>
      <c r="J17" s="48">
        <v>43852</v>
      </c>
      <c r="K17" s="17">
        <v>55.1</v>
      </c>
      <c r="L17" s="49" t="s">
        <v>54</v>
      </c>
      <c r="N17" t="s">
        <v>159</v>
      </c>
      <c r="O17" t="s">
        <v>978</v>
      </c>
      <c r="P17" s="111">
        <f t="shared" si="0"/>
        <v>500</v>
      </c>
    </row>
    <row r="18" spans="1:16" ht="15" customHeight="1" x14ac:dyDescent="0.25">
      <c r="A18" s="10">
        <v>4</v>
      </c>
      <c r="B18" s="48">
        <v>43875</v>
      </c>
      <c r="C18" s="17">
        <v>250</v>
      </c>
      <c r="D18" s="17">
        <v>250</v>
      </c>
      <c r="E18" s="16">
        <v>43878</v>
      </c>
      <c r="F18" t="s">
        <v>59</v>
      </c>
      <c r="H18" s="17">
        <f t="shared" si="1"/>
        <v>0</v>
      </c>
      <c r="I18" s="17" t="s">
        <v>95</v>
      </c>
      <c r="J18" s="48">
        <v>43864</v>
      </c>
      <c r="K18" s="17">
        <v>5.5</v>
      </c>
      <c r="L18" s="49" t="s">
        <v>22</v>
      </c>
      <c r="N18" t="s">
        <v>95</v>
      </c>
    </row>
    <row r="19" spans="1:16" ht="15" customHeight="1" x14ac:dyDescent="0.25">
      <c r="A19" s="10">
        <v>5</v>
      </c>
      <c r="B19" s="48">
        <v>43882</v>
      </c>
      <c r="C19" s="17">
        <v>250</v>
      </c>
      <c r="D19" s="17">
        <v>250</v>
      </c>
      <c r="E19" s="16">
        <v>43885</v>
      </c>
      <c r="F19" t="s">
        <v>59</v>
      </c>
      <c r="H19" s="17">
        <f t="shared" si="1"/>
        <v>0</v>
      </c>
      <c r="I19" s="17" t="s">
        <v>95</v>
      </c>
      <c r="J19" s="48">
        <v>43887</v>
      </c>
      <c r="K19" s="17">
        <v>105.98</v>
      </c>
      <c r="L19" s="49" t="s">
        <v>26</v>
      </c>
      <c r="N19" t="s">
        <v>95</v>
      </c>
    </row>
    <row r="20" spans="1:16" ht="15" customHeight="1" x14ac:dyDescent="0.25">
      <c r="A20" s="10">
        <v>6</v>
      </c>
      <c r="B20" s="48">
        <v>43889</v>
      </c>
      <c r="C20" s="17">
        <v>250</v>
      </c>
      <c r="D20" s="17">
        <v>250</v>
      </c>
      <c r="E20" s="16">
        <v>43892</v>
      </c>
      <c r="F20" t="s">
        <v>59</v>
      </c>
      <c r="H20" s="17">
        <f t="shared" si="1"/>
        <v>0</v>
      </c>
      <c r="I20" s="17" t="s">
        <v>95</v>
      </c>
      <c r="J20" s="48">
        <v>43889</v>
      </c>
      <c r="K20" s="17">
        <v>55</v>
      </c>
      <c r="L20" s="49" t="s">
        <v>26</v>
      </c>
      <c r="N20" t="s">
        <v>95</v>
      </c>
    </row>
    <row r="21" spans="1:16" ht="15" customHeight="1" x14ac:dyDescent="0.25">
      <c r="A21" s="10">
        <v>7</v>
      </c>
      <c r="B21" s="48">
        <v>43896</v>
      </c>
      <c r="C21" s="17">
        <v>250</v>
      </c>
      <c r="D21" s="17"/>
      <c r="E21" s="16"/>
      <c r="H21" s="17">
        <f t="shared" si="1"/>
        <v>250</v>
      </c>
      <c r="I21" s="17" t="s">
        <v>95</v>
      </c>
      <c r="J21" s="48">
        <v>43872</v>
      </c>
      <c r="K21" s="17">
        <v>207.35</v>
      </c>
      <c r="L21" s="49" t="s">
        <v>16</v>
      </c>
      <c r="N21" t="s">
        <v>95</v>
      </c>
    </row>
    <row r="22" spans="1:16" ht="15" customHeight="1" x14ac:dyDescent="0.25">
      <c r="A22" s="10">
        <v>8</v>
      </c>
      <c r="B22" s="48">
        <v>43903</v>
      </c>
      <c r="C22" s="17">
        <v>250</v>
      </c>
      <c r="D22" s="17">
        <v>500</v>
      </c>
      <c r="E22" s="16">
        <v>43906</v>
      </c>
      <c r="F22" t="s">
        <v>59</v>
      </c>
      <c r="H22" s="17">
        <f t="shared" si="1"/>
        <v>0</v>
      </c>
      <c r="I22" s="17" t="s">
        <v>95</v>
      </c>
      <c r="J22" s="48">
        <v>43901</v>
      </c>
      <c r="K22" s="17">
        <v>207.35</v>
      </c>
      <c r="L22" s="49" t="s">
        <v>16</v>
      </c>
      <c r="N22" t="s">
        <v>95</v>
      </c>
    </row>
    <row r="23" spans="1:16" ht="15" customHeight="1" x14ac:dyDescent="0.25">
      <c r="A23" s="10">
        <v>9</v>
      </c>
      <c r="B23" s="48">
        <v>43910</v>
      </c>
      <c r="C23" s="17">
        <v>180</v>
      </c>
      <c r="D23" s="17">
        <v>180</v>
      </c>
      <c r="E23" s="16">
        <v>43913</v>
      </c>
      <c r="F23" t="s">
        <v>59</v>
      </c>
      <c r="H23" s="17">
        <f t="shared" si="1"/>
        <v>0</v>
      </c>
      <c r="I23" s="17" t="s">
        <v>95</v>
      </c>
      <c r="J23" s="48">
        <v>43927</v>
      </c>
      <c r="K23" s="17">
        <v>0.99</v>
      </c>
      <c r="L23" s="49" t="s">
        <v>22</v>
      </c>
      <c r="N23" t="s">
        <v>95</v>
      </c>
    </row>
    <row r="24" spans="1:16" ht="15" customHeight="1" x14ac:dyDescent="0.25">
      <c r="A24" s="10">
        <v>10</v>
      </c>
      <c r="B24" s="48">
        <v>43917</v>
      </c>
      <c r="C24" s="17">
        <v>180</v>
      </c>
      <c r="D24" s="17">
        <v>180</v>
      </c>
      <c r="E24" s="16">
        <v>43927</v>
      </c>
      <c r="F24" t="s">
        <v>59</v>
      </c>
      <c r="H24" s="17">
        <f t="shared" si="1"/>
        <v>0</v>
      </c>
      <c r="I24" s="17" t="s">
        <v>95</v>
      </c>
      <c r="J24" s="48">
        <v>43932</v>
      </c>
      <c r="K24" s="17">
        <v>198.52</v>
      </c>
      <c r="L24" s="49" t="s">
        <v>20</v>
      </c>
      <c r="N24" t="s">
        <v>95</v>
      </c>
    </row>
    <row r="25" spans="1:16" ht="15" customHeight="1" x14ac:dyDescent="0.25">
      <c r="A25" s="10">
        <v>11</v>
      </c>
      <c r="B25" s="48">
        <v>43924</v>
      </c>
      <c r="C25" s="17">
        <v>180</v>
      </c>
      <c r="D25" s="17">
        <v>180</v>
      </c>
      <c r="E25" s="16">
        <v>43927</v>
      </c>
      <c r="F25" t="s">
        <v>59</v>
      </c>
      <c r="H25" s="17">
        <f t="shared" si="1"/>
        <v>0</v>
      </c>
      <c r="I25" s="17" t="s">
        <v>95</v>
      </c>
      <c r="J25" s="48">
        <v>43939</v>
      </c>
      <c r="K25" s="17">
        <v>207.35</v>
      </c>
      <c r="L25" s="49" t="s">
        <v>16</v>
      </c>
      <c r="N25" t="s">
        <v>95</v>
      </c>
    </row>
    <row r="26" spans="1:16" ht="15" customHeight="1" x14ac:dyDescent="0.25">
      <c r="A26" s="10">
        <v>12</v>
      </c>
      <c r="B26" s="48">
        <v>43931</v>
      </c>
      <c r="C26" s="17">
        <v>180</v>
      </c>
      <c r="D26" s="17"/>
      <c r="E26" s="16"/>
      <c r="F26" t="s">
        <v>59</v>
      </c>
      <c r="H26" s="17">
        <f t="shared" si="1"/>
        <v>180</v>
      </c>
      <c r="I26" s="17" t="s">
        <v>95</v>
      </c>
      <c r="J26" s="48">
        <v>43948</v>
      </c>
      <c r="K26" s="17">
        <v>140</v>
      </c>
      <c r="L26" s="49" t="s">
        <v>17</v>
      </c>
      <c r="M26" t="s">
        <v>191</v>
      </c>
      <c r="N26" t="s">
        <v>14</v>
      </c>
    </row>
    <row r="27" spans="1:16" ht="15" customHeight="1" x14ac:dyDescent="0.25">
      <c r="A27" s="10">
        <v>13</v>
      </c>
      <c r="B27" s="48">
        <v>43938</v>
      </c>
      <c r="C27" s="17">
        <v>180</v>
      </c>
      <c r="D27" s="17"/>
      <c r="E27" s="16"/>
      <c r="F27" t="s">
        <v>59</v>
      </c>
      <c r="H27" s="17">
        <f t="shared" si="1"/>
        <v>360</v>
      </c>
      <c r="I27" s="17" t="s">
        <v>95</v>
      </c>
      <c r="J27" s="48">
        <v>43963</v>
      </c>
      <c r="K27" s="17">
        <v>134.57</v>
      </c>
      <c r="L27" s="49" t="s">
        <v>16</v>
      </c>
      <c r="N27" t="s">
        <v>95</v>
      </c>
    </row>
    <row r="28" spans="1:16" ht="15" customHeight="1" x14ac:dyDescent="0.25">
      <c r="A28" s="10">
        <v>14</v>
      </c>
      <c r="B28" s="48">
        <v>43945</v>
      </c>
      <c r="C28" s="17">
        <v>180</v>
      </c>
      <c r="D28" s="17"/>
      <c r="E28" s="16"/>
      <c r="F28" t="s">
        <v>59</v>
      </c>
      <c r="H28" s="17">
        <f t="shared" si="1"/>
        <v>540</v>
      </c>
      <c r="I28" s="17" t="s">
        <v>95</v>
      </c>
      <c r="J28" s="48">
        <v>44074</v>
      </c>
      <c r="K28" s="17">
        <v>198.52</v>
      </c>
      <c r="L28" s="49" t="s">
        <v>20</v>
      </c>
      <c r="N28" t="s">
        <v>95</v>
      </c>
    </row>
    <row r="29" spans="1:16" ht="15" customHeight="1" x14ac:dyDescent="0.25">
      <c r="A29" s="10">
        <v>15</v>
      </c>
      <c r="B29" s="48">
        <v>43952</v>
      </c>
      <c r="C29" s="17">
        <v>180</v>
      </c>
      <c r="D29" s="17"/>
      <c r="E29" s="16"/>
      <c r="F29" t="s">
        <v>59</v>
      </c>
      <c r="H29" s="17">
        <f t="shared" si="1"/>
        <v>720</v>
      </c>
      <c r="I29" s="17" t="s">
        <v>95</v>
      </c>
      <c r="J29" s="48">
        <v>44081</v>
      </c>
      <c r="K29" s="17">
        <v>250</v>
      </c>
      <c r="L29" s="49" t="s">
        <v>45</v>
      </c>
      <c r="N29" t="s">
        <v>95</v>
      </c>
    </row>
    <row r="30" spans="1:16" ht="15" customHeight="1" x14ac:dyDescent="0.25">
      <c r="A30" s="10">
        <v>16</v>
      </c>
      <c r="B30" s="48">
        <v>43959</v>
      </c>
      <c r="C30" s="17">
        <v>180</v>
      </c>
      <c r="D30" s="17">
        <v>180</v>
      </c>
      <c r="E30" s="16">
        <v>43962</v>
      </c>
      <c r="F30" t="s">
        <v>59</v>
      </c>
      <c r="H30" s="17">
        <f t="shared" si="1"/>
        <v>720</v>
      </c>
      <c r="I30" s="17" t="s">
        <v>95</v>
      </c>
      <c r="J30" s="48">
        <v>44082</v>
      </c>
      <c r="K30" s="17">
        <v>70</v>
      </c>
      <c r="L30" s="49" t="s">
        <v>26</v>
      </c>
      <c r="N30" t="s">
        <v>95</v>
      </c>
    </row>
    <row r="31" spans="1:16" ht="15" customHeight="1" x14ac:dyDescent="0.25">
      <c r="A31" s="10">
        <v>17</v>
      </c>
      <c r="B31" s="48">
        <v>43966</v>
      </c>
      <c r="C31" s="17">
        <v>150</v>
      </c>
      <c r="D31" s="17"/>
      <c r="E31" s="16"/>
      <c r="F31" t="s">
        <v>59</v>
      </c>
      <c r="H31" s="17">
        <f t="shared" si="1"/>
        <v>870</v>
      </c>
      <c r="I31" s="17" t="s">
        <v>95</v>
      </c>
      <c r="J31" s="48">
        <v>44082</v>
      </c>
      <c r="K31" s="17">
        <v>4.67</v>
      </c>
      <c r="L31" s="49" t="s">
        <v>32</v>
      </c>
      <c r="N31" t="s">
        <v>95</v>
      </c>
    </row>
    <row r="32" spans="1:16" ht="15" customHeight="1" x14ac:dyDescent="0.25">
      <c r="A32" s="10">
        <v>18</v>
      </c>
      <c r="B32" s="48">
        <v>43973</v>
      </c>
      <c r="C32" s="17">
        <v>150</v>
      </c>
      <c r="D32" s="17">
        <v>200</v>
      </c>
      <c r="E32" s="16">
        <v>43972</v>
      </c>
      <c r="F32" t="s">
        <v>59</v>
      </c>
      <c r="H32" s="17">
        <f t="shared" si="1"/>
        <v>820</v>
      </c>
      <c r="I32" s="17" t="s">
        <v>95</v>
      </c>
      <c r="J32" s="48">
        <v>44082</v>
      </c>
      <c r="K32" s="17">
        <v>8.31</v>
      </c>
      <c r="L32" s="49" t="s">
        <v>32</v>
      </c>
      <c r="N32" t="s">
        <v>95</v>
      </c>
    </row>
    <row r="33" spans="1:14" ht="15" customHeight="1" x14ac:dyDescent="0.25">
      <c r="A33" s="10">
        <v>19</v>
      </c>
      <c r="B33" s="48">
        <v>43980</v>
      </c>
      <c r="C33" s="17">
        <v>150</v>
      </c>
      <c r="D33" s="17">
        <v>200</v>
      </c>
      <c r="E33" s="16">
        <v>43979</v>
      </c>
      <c r="F33" t="s">
        <v>59</v>
      </c>
      <c r="H33" s="17">
        <f t="shared" si="1"/>
        <v>770</v>
      </c>
      <c r="I33" s="17" t="s">
        <v>95</v>
      </c>
      <c r="J33" s="48">
        <v>44082</v>
      </c>
      <c r="K33" s="17">
        <v>44.92</v>
      </c>
      <c r="L33" s="49" t="s">
        <v>32</v>
      </c>
      <c r="N33" t="s">
        <v>95</v>
      </c>
    </row>
    <row r="34" spans="1:14" ht="15" customHeight="1" x14ac:dyDescent="0.25">
      <c r="A34" s="10">
        <v>20</v>
      </c>
      <c r="B34" s="48">
        <v>43987</v>
      </c>
      <c r="C34" s="17">
        <v>150</v>
      </c>
      <c r="D34" s="17">
        <v>200</v>
      </c>
      <c r="E34" s="16">
        <v>43986</v>
      </c>
      <c r="F34" t="s">
        <v>59</v>
      </c>
      <c r="H34" s="17">
        <f t="shared" si="1"/>
        <v>720</v>
      </c>
      <c r="I34" s="17" t="s">
        <v>95</v>
      </c>
      <c r="J34" s="48">
        <v>44085</v>
      </c>
      <c r="K34" s="17">
        <v>125.32</v>
      </c>
      <c r="L34" s="49" t="s">
        <v>16</v>
      </c>
      <c r="N34" t="s">
        <v>413</v>
      </c>
    </row>
    <row r="35" spans="1:14" ht="15" customHeight="1" x14ac:dyDescent="0.25">
      <c r="A35" s="10">
        <v>21</v>
      </c>
      <c r="B35" s="48">
        <v>43994</v>
      </c>
      <c r="C35" s="17">
        <v>150</v>
      </c>
      <c r="D35" s="17">
        <v>200</v>
      </c>
      <c r="E35" s="16">
        <v>43993</v>
      </c>
      <c r="F35" t="s">
        <v>59</v>
      </c>
      <c r="H35" s="17">
        <f t="shared" si="1"/>
        <v>670</v>
      </c>
      <c r="I35" s="17" t="s">
        <v>95</v>
      </c>
      <c r="J35" s="48">
        <v>44089</v>
      </c>
      <c r="K35" s="17">
        <v>5.5</v>
      </c>
      <c r="L35" s="49" t="s">
        <v>22</v>
      </c>
      <c r="N35" t="s">
        <v>413</v>
      </c>
    </row>
    <row r="36" spans="1:14" ht="15" customHeight="1" x14ac:dyDescent="0.25">
      <c r="A36" s="10">
        <v>22</v>
      </c>
      <c r="B36" s="48">
        <v>44001</v>
      </c>
      <c r="C36" s="17">
        <v>150</v>
      </c>
      <c r="D36" s="17">
        <v>200</v>
      </c>
      <c r="E36" s="16">
        <v>44000</v>
      </c>
      <c r="F36" t="s">
        <v>59</v>
      </c>
      <c r="H36" s="17">
        <f t="shared" si="1"/>
        <v>620</v>
      </c>
      <c r="I36" s="17" t="s">
        <v>95</v>
      </c>
      <c r="J36" s="48">
        <v>44120</v>
      </c>
      <c r="K36" s="17">
        <v>125.32</v>
      </c>
      <c r="L36" s="49" t="s">
        <v>16</v>
      </c>
      <c r="N36" t="s">
        <v>413</v>
      </c>
    </row>
    <row r="37" spans="1:14" ht="15" customHeight="1" x14ac:dyDescent="0.25">
      <c r="A37" s="10">
        <v>23</v>
      </c>
      <c r="B37" s="48">
        <v>44008</v>
      </c>
      <c r="C37" s="17">
        <v>150</v>
      </c>
      <c r="D37" s="17">
        <v>200</v>
      </c>
      <c r="E37" s="16">
        <v>44007</v>
      </c>
      <c r="F37" t="s">
        <v>59</v>
      </c>
      <c r="H37" s="17">
        <f t="shared" si="1"/>
        <v>570</v>
      </c>
      <c r="I37" s="17" t="s">
        <v>95</v>
      </c>
      <c r="J37" s="48">
        <v>44124</v>
      </c>
      <c r="K37" s="17">
        <v>80.989999999999995</v>
      </c>
      <c r="L37" s="49" t="s">
        <v>26</v>
      </c>
      <c r="M37" t="s">
        <v>437</v>
      </c>
      <c r="N37" t="s">
        <v>413</v>
      </c>
    </row>
    <row r="38" spans="1:14" ht="15" customHeight="1" x14ac:dyDescent="0.25">
      <c r="A38" s="10">
        <v>24</v>
      </c>
      <c r="B38" s="48">
        <v>44015</v>
      </c>
      <c r="C38" s="17">
        <v>150</v>
      </c>
      <c r="D38" s="17">
        <v>200</v>
      </c>
      <c r="E38" s="16">
        <v>44014</v>
      </c>
      <c r="F38" t="s">
        <v>59</v>
      </c>
      <c r="H38" s="17">
        <f t="shared" si="1"/>
        <v>520</v>
      </c>
      <c r="I38" s="17" t="s">
        <v>95</v>
      </c>
      <c r="J38" s="48">
        <v>44117</v>
      </c>
      <c r="K38" s="17">
        <v>0.99</v>
      </c>
      <c r="L38" s="49" t="s">
        <v>22</v>
      </c>
      <c r="N38" t="s">
        <v>413</v>
      </c>
    </row>
    <row r="39" spans="1:14" ht="15" customHeight="1" x14ac:dyDescent="0.25">
      <c r="A39" s="10">
        <v>25</v>
      </c>
      <c r="B39" s="48">
        <v>44022</v>
      </c>
      <c r="C39" s="17">
        <v>150</v>
      </c>
      <c r="D39" s="17">
        <v>200</v>
      </c>
      <c r="E39" s="16">
        <v>44025</v>
      </c>
      <c r="F39" t="s">
        <v>59</v>
      </c>
      <c r="H39" s="17">
        <f t="shared" si="1"/>
        <v>470</v>
      </c>
      <c r="I39" s="17" t="s">
        <v>95</v>
      </c>
      <c r="J39" s="48">
        <v>44149</v>
      </c>
      <c r="K39" s="17">
        <v>125.32</v>
      </c>
      <c r="L39" s="49" t="s">
        <v>16</v>
      </c>
      <c r="N39" t="s">
        <v>413</v>
      </c>
    </row>
    <row r="40" spans="1:14" ht="15" customHeight="1" x14ac:dyDescent="0.25">
      <c r="A40" s="10">
        <v>26</v>
      </c>
      <c r="B40" s="48">
        <v>44029</v>
      </c>
      <c r="C40" s="17">
        <v>150</v>
      </c>
      <c r="D40" s="17">
        <v>200</v>
      </c>
      <c r="E40" s="16">
        <v>44028</v>
      </c>
      <c r="F40" t="s">
        <v>59</v>
      </c>
      <c r="H40" s="17">
        <f t="shared" si="1"/>
        <v>420</v>
      </c>
      <c r="I40" s="17" t="s">
        <v>95</v>
      </c>
      <c r="J40" s="48">
        <v>44145</v>
      </c>
      <c r="K40" s="17">
        <v>0.99</v>
      </c>
      <c r="L40" s="49" t="s">
        <v>22</v>
      </c>
      <c r="N40" t="s">
        <v>413</v>
      </c>
    </row>
    <row r="41" spans="1:14" ht="15" customHeight="1" x14ac:dyDescent="0.25">
      <c r="A41" s="10">
        <v>27</v>
      </c>
      <c r="B41" s="48">
        <v>44036</v>
      </c>
      <c r="C41" s="17">
        <v>150</v>
      </c>
      <c r="D41" s="17">
        <v>200</v>
      </c>
      <c r="E41" s="16">
        <v>44035</v>
      </c>
      <c r="F41" t="s">
        <v>59</v>
      </c>
      <c r="H41" s="17">
        <f t="shared" si="1"/>
        <v>370</v>
      </c>
      <c r="I41" s="17" t="s">
        <v>95</v>
      </c>
      <c r="J41" s="48">
        <v>44152</v>
      </c>
      <c r="K41" s="17">
        <v>0.99</v>
      </c>
      <c r="L41" s="49" t="s">
        <v>22</v>
      </c>
      <c r="N41" t="s">
        <v>413</v>
      </c>
    </row>
    <row r="42" spans="1:14" ht="15" customHeight="1" x14ac:dyDescent="0.25">
      <c r="A42" s="10">
        <v>28</v>
      </c>
      <c r="B42" s="48">
        <v>44043</v>
      </c>
      <c r="C42" s="17">
        <v>150</v>
      </c>
      <c r="D42" s="17">
        <v>200</v>
      </c>
      <c r="E42" s="16">
        <v>44042</v>
      </c>
      <c r="F42" t="s">
        <v>59</v>
      </c>
      <c r="H42" s="17">
        <f t="shared" si="1"/>
        <v>320</v>
      </c>
      <c r="I42" s="17" t="s">
        <v>95</v>
      </c>
      <c r="J42" s="48">
        <v>44152</v>
      </c>
      <c r="K42" s="17">
        <v>2.75</v>
      </c>
      <c r="L42" s="49" t="s">
        <v>22</v>
      </c>
      <c r="N42" t="s">
        <v>413</v>
      </c>
    </row>
    <row r="43" spans="1:14" ht="15" customHeight="1" x14ac:dyDescent="0.25">
      <c r="A43" s="10">
        <v>29</v>
      </c>
      <c r="B43" s="48">
        <v>44050</v>
      </c>
      <c r="C43" s="17">
        <v>150</v>
      </c>
      <c r="D43" s="17">
        <v>200</v>
      </c>
      <c r="E43" s="16">
        <v>44049</v>
      </c>
      <c r="F43" t="s">
        <v>59</v>
      </c>
      <c r="H43" s="17">
        <f t="shared" si="1"/>
        <v>270</v>
      </c>
      <c r="I43" s="17" t="s">
        <v>95</v>
      </c>
      <c r="J43" s="48">
        <v>44166</v>
      </c>
      <c r="K43" s="17">
        <v>0.99</v>
      </c>
      <c r="L43" s="49" t="s">
        <v>22</v>
      </c>
      <c r="N43" t="s">
        <v>413</v>
      </c>
    </row>
    <row r="44" spans="1:14" ht="15" customHeight="1" x14ac:dyDescent="0.25">
      <c r="A44" s="10">
        <v>30</v>
      </c>
      <c r="B44" s="48">
        <v>44057</v>
      </c>
      <c r="C44" s="17">
        <v>150</v>
      </c>
      <c r="D44" s="17">
        <v>150</v>
      </c>
      <c r="E44" s="16">
        <v>44057</v>
      </c>
      <c r="F44" t="s">
        <v>59</v>
      </c>
      <c r="H44" s="17">
        <f t="shared" si="1"/>
        <v>270</v>
      </c>
      <c r="I44" s="17" t="s">
        <v>95</v>
      </c>
      <c r="J44" s="48">
        <v>44173</v>
      </c>
      <c r="K44" s="17">
        <v>0.99</v>
      </c>
      <c r="L44" s="49" t="s">
        <v>22</v>
      </c>
      <c r="N44" t="s">
        <v>413</v>
      </c>
    </row>
    <row r="45" spans="1:14" ht="15" customHeight="1" x14ac:dyDescent="0.25">
      <c r="A45" s="10">
        <v>31</v>
      </c>
      <c r="B45" s="48">
        <v>44064</v>
      </c>
      <c r="C45" s="17">
        <v>150</v>
      </c>
      <c r="D45" s="17">
        <v>200</v>
      </c>
      <c r="E45" s="16">
        <v>44064</v>
      </c>
      <c r="F45" t="s">
        <v>59</v>
      </c>
      <c r="H45" s="17">
        <f t="shared" si="1"/>
        <v>220</v>
      </c>
      <c r="I45" s="17" t="s">
        <v>95</v>
      </c>
      <c r="J45" s="48">
        <v>44173</v>
      </c>
      <c r="K45" s="17">
        <v>2.75</v>
      </c>
      <c r="L45" s="49" t="s">
        <v>22</v>
      </c>
      <c r="N45" t="s">
        <v>413</v>
      </c>
    </row>
    <row r="46" spans="1:14" ht="15" customHeight="1" x14ac:dyDescent="0.25">
      <c r="A46" s="10">
        <v>32</v>
      </c>
      <c r="B46" s="48">
        <v>44071</v>
      </c>
      <c r="C46" s="17">
        <v>150</v>
      </c>
      <c r="D46" s="17">
        <v>200</v>
      </c>
      <c r="E46" s="16">
        <v>44071</v>
      </c>
      <c r="F46" t="s">
        <v>59</v>
      </c>
      <c r="H46" s="17">
        <f t="shared" si="1"/>
        <v>170</v>
      </c>
      <c r="I46" s="17" t="s">
        <v>95</v>
      </c>
      <c r="J46" s="48">
        <v>44180</v>
      </c>
      <c r="K46" s="17">
        <v>2.75</v>
      </c>
      <c r="L46" s="49" t="s">
        <v>22</v>
      </c>
      <c r="N46" t="s">
        <v>413</v>
      </c>
    </row>
    <row r="47" spans="1:14" ht="15" customHeight="1" x14ac:dyDescent="0.25">
      <c r="A47" s="10">
        <v>33</v>
      </c>
      <c r="B47" s="48">
        <v>44081</v>
      </c>
      <c r="C47" s="17">
        <v>80</v>
      </c>
      <c r="D47" s="17">
        <v>250</v>
      </c>
      <c r="E47" s="16">
        <v>44081</v>
      </c>
      <c r="F47" t="s">
        <v>124</v>
      </c>
      <c r="G47" s="31">
        <v>133190</v>
      </c>
      <c r="H47" s="17">
        <f t="shared" si="1"/>
        <v>0</v>
      </c>
      <c r="I47" s="17" t="s">
        <v>95</v>
      </c>
      <c r="J47" s="48">
        <v>44195</v>
      </c>
      <c r="K47" s="17">
        <v>66</v>
      </c>
      <c r="L47" s="49" t="s">
        <v>34</v>
      </c>
      <c r="N47" t="s">
        <v>413</v>
      </c>
    </row>
    <row r="48" spans="1:14" ht="15" customHeight="1" x14ac:dyDescent="0.25">
      <c r="A48" s="10">
        <v>1</v>
      </c>
      <c r="B48" s="48">
        <v>44082</v>
      </c>
      <c r="C48" s="17">
        <v>100</v>
      </c>
      <c r="D48" s="17">
        <v>100</v>
      </c>
      <c r="E48" s="16">
        <v>44082</v>
      </c>
      <c r="F48" t="s">
        <v>181</v>
      </c>
      <c r="H48" s="17">
        <f t="shared" si="1"/>
        <v>0</v>
      </c>
      <c r="I48" s="17" t="s">
        <v>413</v>
      </c>
      <c r="J48" s="48">
        <v>44201</v>
      </c>
      <c r="K48" s="17">
        <v>56</v>
      </c>
      <c r="L48" s="49" t="s">
        <v>45</v>
      </c>
      <c r="M48" t="s">
        <v>32</v>
      </c>
      <c r="N48" t="s">
        <v>413</v>
      </c>
    </row>
    <row r="49" spans="1:14" ht="15" customHeight="1" x14ac:dyDescent="0.25">
      <c r="A49" s="10">
        <v>1</v>
      </c>
      <c r="B49" s="48">
        <v>44083</v>
      </c>
      <c r="C49" s="17">
        <v>80</v>
      </c>
      <c r="D49" s="17">
        <v>80</v>
      </c>
      <c r="E49" s="16">
        <v>44083</v>
      </c>
      <c r="F49" t="s">
        <v>181</v>
      </c>
      <c r="H49" s="17">
        <f t="shared" si="1"/>
        <v>0</v>
      </c>
      <c r="I49" s="17" t="s">
        <v>413</v>
      </c>
      <c r="J49" s="48">
        <v>44187</v>
      </c>
      <c r="K49" s="17">
        <v>0.99</v>
      </c>
      <c r="L49" s="49" t="s">
        <v>22</v>
      </c>
      <c r="N49" t="s">
        <v>413</v>
      </c>
    </row>
    <row r="50" spans="1:14" ht="15" customHeight="1" x14ac:dyDescent="0.25">
      <c r="A50" s="10">
        <v>1</v>
      </c>
      <c r="B50" s="48">
        <v>44083</v>
      </c>
      <c r="C50" s="17">
        <v>180</v>
      </c>
      <c r="D50" s="17">
        <v>180</v>
      </c>
      <c r="E50" s="16">
        <v>44083</v>
      </c>
      <c r="F50" t="s">
        <v>117</v>
      </c>
      <c r="H50" s="17">
        <f t="shared" si="1"/>
        <v>0</v>
      </c>
      <c r="I50" s="17" t="s">
        <v>413</v>
      </c>
      <c r="J50" s="48">
        <v>44194</v>
      </c>
      <c r="K50" s="17">
        <v>0.99</v>
      </c>
      <c r="L50" s="49" t="s">
        <v>22</v>
      </c>
      <c r="N50" t="s">
        <v>413</v>
      </c>
    </row>
    <row r="51" spans="1:14" ht="15" customHeight="1" x14ac:dyDescent="0.25">
      <c r="A51" s="10">
        <v>2</v>
      </c>
      <c r="B51" s="48">
        <f t="shared" ref="B51:B56" si="2">B50+7</f>
        <v>44090</v>
      </c>
      <c r="C51" s="17">
        <v>180</v>
      </c>
      <c r="D51" s="17">
        <v>180</v>
      </c>
      <c r="E51" s="16">
        <v>44089</v>
      </c>
      <c r="F51" t="s">
        <v>59</v>
      </c>
      <c r="H51" s="17">
        <f t="shared" si="1"/>
        <v>0</v>
      </c>
      <c r="I51" s="17" t="s">
        <v>413</v>
      </c>
      <c r="J51" s="48">
        <v>44202</v>
      </c>
      <c r="K51" s="17">
        <v>2.75</v>
      </c>
      <c r="L51" s="49" t="s">
        <v>22</v>
      </c>
      <c r="N51" t="s">
        <v>413</v>
      </c>
    </row>
    <row r="52" spans="1:14" ht="15" customHeight="1" x14ac:dyDescent="0.25">
      <c r="A52" s="10">
        <v>3</v>
      </c>
      <c r="B52" s="48">
        <f t="shared" si="2"/>
        <v>44097</v>
      </c>
      <c r="C52" s="17">
        <v>180</v>
      </c>
      <c r="D52" s="17">
        <v>180</v>
      </c>
      <c r="E52" s="16">
        <v>44096</v>
      </c>
      <c r="F52" t="s">
        <v>59</v>
      </c>
      <c r="H52" s="17">
        <f t="shared" si="1"/>
        <v>0</v>
      </c>
      <c r="I52" s="17" t="s">
        <v>413</v>
      </c>
      <c r="J52" s="48">
        <v>44201</v>
      </c>
      <c r="K52" s="17">
        <v>0.99</v>
      </c>
      <c r="L52" s="49" t="s">
        <v>22</v>
      </c>
      <c r="N52" t="s">
        <v>413</v>
      </c>
    </row>
    <row r="53" spans="1:14" ht="15" customHeight="1" x14ac:dyDescent="0.25">
      <c r="A53" s="10">
        <v>4</v>
      </c>
      <c r="B53" s="48">
        <f t="shared" si="2"/>
        <v>44104</v>
      </c>
      <c r="C53" s="17">
        <v>180</v>
      </c>
      <c r="D53" s="17">
        <v>180</v>
      </c>
      <c r="E53" s="16">
        <v>44103</v>
      </c>
      <c r="F53" t="s">
        <v>59</v>
      </c>
      <c r="H53" s="17">
        <f t="shared" si="1"/>
        <v>0</v>
      </c>
      <c r="I53" s="17" t="s">
        <v>413</v>
      </c>
      <c r="J53" s="48">
        <v>44227</v>
      </c>
      <c r="K53" s="17">
        <v>2.75</v>
      </c>
      <c r="L53" s="49" t="s">
        <v>22</v>
      </c>
      <c r="N53" t="s">
        <v>413</v>
      </c>
    </row>
    <row r="54" spans="1:14" ht="15" customHeight="1" x14ac:dyDescent="0.25">
      <c r="A54" s="10">
        <v>5</v>
      </c>
      <c r="B54" s="48">
        <f t="shared" si="2"/>
        <v>44111</v>
      </c>
      <c r="C54" s="17">
        <v>180</v>
      </c>
      <c r="D54" s="17">
        <v>180</v>
      </c>
      <c r="E54" s="16">
        <v>44110</v>
      </c>
      <c r="F54" t="s">
        <v>59</v>
      </c>
      <c r="H54" s="17">
        <f t="shared" si="1"/>
        <v>0</v>
      </c>
      <c r="I54" s="17" t="s">
        <v>413</v>
      </c>
      <c r="J54" s="48">
        <v>44211</v>
      </c>
      <c r="K54" s="17">
        <v>530</v>
      </c>
      <c r="L54" s="49" t="s">
        <v>17</v>
      </c>
      <c r="M54" t="s">
        <v>198</v>
      </c>
      <c r="N54" t="s">
        <v>413</v>
      </c>
    </row>
    <row r="55" spans="1:14" ht="15" customHeight="1" x14ac:dyDescent="0.25">
      <c r="A55" s="10">
        <v>6</v>
      </c>
      <c r="B55" s="48">
        <f t="shared" si="2"/>
        <v>44118</v>
      </c>
      <c r="C55" s="17">
        <v>180</v>
      </c>
      <c r="D55" s="17"/>
      <c r="H55" s="17">
        <f t="shared" si="1"/>
        <v>180</v>
      </c>
      <c r="I55" s="17" t="s">
        <v>413</v>
      </c>
      <c r="J55" s="48">
        <v>44212</v>
      </c>
      <c r="K55" s="17">
        <v>198.52</v>
      </c>
      <c r="L55" s="49" t="s">
        <v>20</v>
      </c>
      <c r="N55" t="s">
        <v>413</v>
      </c>
    </row>
    <row r="56" spans="1:14" ht="15" customHeight="1" x14ac:dyDescent="0.25">
      <c r="A56" s="10">
        <v>7</v>
      </c>
      <c r="B56" s="48">
        <f t="shared" si="2"/>
        <v>44125</v>
      </c>
      <c r="C56" s="17">
        <v>180</v>
      </c>
      <c r="D56" s="17">
        <v>360</v>
      </c>
      <c r="E56" s="16">
        <v>44124</v>
      </c>
      <c r="F56" t="s">
        <v>59</v>
      </c>
      <c r="H56" s="17">
        <f t="shared" si="1"/>
        <v>0</v>
      </c>
      <c r="I56" s="17" t="s">
        <v>413</v>
      </c>
      <c r="J56" s="48">
        <v>44195</v>
      </c>
      <c r="K56" s="17">
        <v>124</v>
      </c>
      <c r="L56" s="49" t="s">
        <v>45</v>
      </c>
      <c r="N56" t="s">
        <v>413</v>
      </c>
    </row>
    <row r="57" spans="1:14" ht="15" customHeight="1" x14ac:dyDescent="0.25">
      <c r="A57" s="10">
        <v>8</v>
      </c>
      <c r="B57" s="48">
        <f t="shared" ref="B57:B62" si="3">B56+7</f>
        <v>44132</v>
      </c>
      <c r="C57" s="17">
        <v>180</v>
      </c>
      <c r="D57" s="17">
        <v>180</v>
      </c>
      <c r="E57" s="16">
        <v>44131</v>
      </c>
      <c r="F57" t="s">
        <v>59</v>
      </c>
      <c r="H57" s="17">
        <f t="shared" si="1"/>
        <v>0</v>
      </c>
      <c r="I57" s="17" t="s">
        <v>413</v>
      </c>
      <c r="J57" s="48">
        <v>44218</v>
      </c>
      <c r="K57" s="17">
        <v>550</v>
      </c>
      <c r="L57" s="49" t="s">
        <v>17</v>
      </c>
      <c r="M57" t="s">
        <v>487</v>
      </c>
      <c r="N57" t="s">
        <v>14</v>
      </c>
    </row>
    <row r="58" spans="1:14" ht="15" customHeight="1" x14ac:dyDescent="0.25">
      <c r="A58" s="10">
        <v>9</v>
      </c>
      <c r="B58" s="48">
        <f t="shared" si="3"/>
        <v>44139</v>
      </c>
      <c r="C58" s="17">
        <v>180</v>
      </c>
      <c r="D58" s="17">
        <v>180</v>
      </c>
      <c r="E58" s="16">
        <v>44138</v>
      </c>
      <c r="F58" t="s">
        <v>59</v>
      </c>
      <c r="H58" s="17">
        <f t="shared" si="1"/>
        <v>0</v>
      </c>
      <c r="I58" s="17" t="s">
        <v>413</v>
      </c>
      <c r="J58" s="48">
        <v>44230</v>
      </c>
      <c r="K58" s="17">
        <v>18.39</v>
      </c>
      <c r="L58" s="49" t="s">
        <v>32</v>
      </c>
      <c r="N58" t="s">
        <v>14</v>
      </c>
    </row>
    <row r="59" spans="1:14" ht="15" customHeight="1" x14ac:dyDescent="0.25">
      <c r="A59" s="10">
        <v>10</v>
      </c>
      <c r="B59" s="48">
        <f t="shared" si="3"/>
        <v>44146</v>
      </c>
      <c r="C59" s="17">
        <v>180</v>
      </c>
      <c r="D59" s="17"/>
      <c r="E59" s="16"/>
      <c r="H59" s="17">
        <f t="shared" si="1"/>
        <v>180</v>
      </c>
      <c r="I59" s="17" t="s">
        <v>413</v>
      </c>
      <c r="J59" s="48">
        <v>44243</v>
      </c>
      <c r="K59" s="17">
        <v>300</v>
      </c>
      <c r="L59" s="49" t="s">
        <v>17</v>
      </c>
      <c r="M59" t="s">
        <v>517</v>
      </c>
      <c r="N59" t="s">
        <v>14</v>
      </c>
    </row>
    <row r="60" spans="1:14" ht="15" customHeight="1" x14ac:dyDescent="0.25">
      <c r="A60" s="10">
        <v>11</v>
      </c>
      <c r="B60" s="48">
        <f t="shared" si="3"/>
        <v>44153</v>
      </c>
      <c r="C60" s="17">
        <v>180</v>
      </c>
      <c r="D60" s="17">
        <v>180</v>
      </c>
      <c r="E60" s="16">
        <v>44159</v>
      </c>
      <c r="F60" t="s">
        <v>59</v>
      </c>
      <c r="H60" s="17">
        <f t="shared" si="1"/>
        <v>180</v>
      </c>
      <c r="I60" s="17" t="s">
        <v>413</v>
      </c>
      <c r="J60" s="48">
        <v>44254</v>
      </c>
      <c r="K60" s="17">
        <v>17.29</v>
      </c>
      <c r="L60" s="49" t="s">
        <v>32</v>
      </c>
      <c r="N60" t="s">
        <v>14</v>
      </c>
    </row>
    <row r="61" spans="1:14" ht="15" customHeight="1" x14ac:dyDescent="0.25">
      <c r="A61" s="10">
        <v>12</v>
      </c>
      <c r="B61" s="48">
        <f t="shared" si="3"/>
        <v>44160</v>
      </c>
      <c r="C61" s="17">
        <v>180</v>
      </c>
      <c r="D61" s="17">
        <v>180</v>
      </c>
      <c r="E61" s="16">
        <v>44159</v>
      </c>
      <c r="F61" t="s">
        <v>59</v>
      </c>
      <c r="H61" s="17">
        <f t="shared" si="1"/>
        <v>180</v>
      </c>
      <c r="I61" s="17" t="s">
        <v>413</v>
      </c>
      <c r="J61" s="48">
        <v>44254</v>
      </c>
      <c r="K61" s="17">
        <v>86.6</v>
      </c>
      <c r="L61" s="49" t="s">
        <v>32</v>
      </c>
      <c r="N61" t="s">
        <v>14</v>
      </c>
    </row>
    <row r="62" spans="1:14" ht="15" customHeight="1" x14ac:dyDescent="0.25">
      <c r="A62" s="10">
        <v>13</v>
      </c>
      <c r="B62" s="48">
        <f t="shared" si="3"/>
        <v>44167</v>
      </c>
      <c r="C62" s="17">
        <v>180</v>
      </c>
      <c r="D62" s="17"/>
      <c r="E62" s="16"/>
      <c r="H62" s="17">
        <f t="shared" si="1"/>
        <v>360</v>
      </c>
      <c r="I62" s="17" t="s">
        <v>413</v>
      </c>
      <c r="J62" s="48">
        <v>44259</v>
      </c>
      <c r="K62" s="17">
        <v>173.8</v>
      </c>
      <c r="L62" s="49" t="s">
        <v>26</v>
      </c>
      <c r="N62" t="s">
        <v>488</v>
      </c>
    </row>
    <row r="63" spans="1:14" ht="15" customHeight="1" x14ac:dyDescent="0.25">
      <c r="A63" s="10">
        <v>14</v>
      </c>
      <c r="B63" s="48">
        <f>B62+7</f>
        <v>44174</v>
      </c>
      <c r="C63" s="17">
        <v>180</v>
      </c>
      <c r="D63" s="17">
        <v>180</v>
      </c>
      <c r="E63" s="16">
        <v>44180</v>
      </c>
      <c r="F63" t="s">
        <v>59</v>
      </c>
      <c r="H63" s="17">
        <f t="shared" si="1"/>
        <v>360</v>
      </c>
      <c r="I63" s="17" t="s">
        <v>413</v>
      </c>
      <c r="J63" s="48">
        <v>44269</v>
      </c>
      <c r="K63" s="17">
        <v>140</v>
      </c>
      <c r="L63" s="49" t="s">
        <v>26</v>
      </c>
      <c r="N63" t="s">
        <v>488</v>
      </c>
    </row>
    <row r="64" spans="1:14" ht="15" customHeight="1" x14ac:dyDescent="0.25">
      <c r="A64" s="10">
        <v>15</v>
      </c>
      <c r="B64" s="48">
        <f>B63+7</f>
        <v>44181</v>
      </c>
      <c r="C64" s="17">
        <v>180</v>
      </c>
      <c r="D64" s="17"/>
      <c r="H64" s="17">
        <f t="shared" si="1"/>
        <v>540</v>
      </c>
      <c r="I64" s="17" t="s">
        <v>413</v>
      </c>
      <c r="J64" s="48">
        <v>44280</v>
      </c>
      <c r="K64" s="17">
        <v>72.599999999999994</v>
      </c>
      <c r="L64" s="49" t="s">
        <v>34</v>
      </c>
      <c r="N64" t="s">
        <v>488</v>
      </c>
    </row>
    <row r="65" spans="1:14" ht="15" customHeight="1" x14ac:dyDescent="0.25">
      <c r="A65" s="10">
        <v>16</v>
      </c>
      <c r="B65" s="48">
        <f>B64+7</f>
        <v>44188</v>
      </c>
      <c r="C65" s="17">
        <v>180</v>
      </c>
      <c r="D65" s="17">
        <v>720</v>
      </c>
      <c r="E65" s="16">
        <v>44206</v>
      </c>
      <c r="F65" t="s">
        <v>124</v>
      </c>
      <c r="H65" s="17">
        <f t="shared" si="1"/>
        <v>0</v>
      </c>
      <c r="I65" s="17" t="s">
        <v>413</v>
      </c>
      <c r="J65" s="48">
        <v>44282</v>
      </c>
      <c r="K65" s="17">
        <v>-61.68</v>
      </c>
      <c r="L65" s="49" t="s">
        <v>32</v>
      </c>
      <c r="N65" t="s">
        <v>488</v>
      </c>
    </row>
    <row r="66" spans="1:14" ht="15" customHeight="1" x14ac:dyDescent="0.25">
      <c r="A66" s="10">
        <v>1</v>
      </c>
      <c r="B66" s="48">
        <v>44251</v>
      </c>
      <c r="C66" s="17"/>
      <c r="D66" s="17"/>
      <c r="H66" s="17">
        <f t="shared" si="1"/>
        <v>0</v>
      </c>
      <c r="I66" s="17"/>
      <c r="J66" s="48">
        <v>44285</v>
      </c>
      <c r="K66" s="17">
        <v>61.68</v>
      </c>
      <c r="L66" s="49" t="s">
        <v>32</v>
      </c>
      <c r="N66" t="s">
        <v>488</v>
      </c>
    </row>
    <row r="67" spans="1:14" ht="15" customHeight="1" x14ac:dyDescent="0.25">
      <c r="A67" s="10">
        <v>1</v>
      </c>
      <c r="B67" s="48">
        <v>44251</v>
      </c>
      <c r="C67" s="17">
        <v>200</v>
      </c>
      <c r="D67" s="17">
        <v>200</v>
      </c>
      <c r="E67" s="16">
        <v>44252</v>
      </c>
      <c r="F67" t="s">
        <v>117</v>
      </c>
      <c r="H67" s="17">
        <f t="shared" si="1"/>
        <v>0</v>
      </c>
      <c r="I67" s="17" t="s">
        <v>488</v>
      </c>
      <c r="J67" s="48">
        <v>44286</v>
      </c>
      <c r="K67" s="17">
        <v>14.36</v>
      </c>
      <c r="L67" s="49" t="s">
        <v>32</v>
      </c>
      <c r="N67" t="s">
        <v>488</v>
      </c>
    </row>
    <row r="68" spans="1:14" ht="15" customHeight="1" x14ac:dyDescent="0.25">
      <c r="A68" s="10">
        <v>2</v>
      </c>
      <c r="B68" s="48">
        <f>B67+7</f>
        <v>44258</v>
      </c>
      <c r="C68" s="17">
        <v>200</v>
      </c>
      <c r="D68" s="17">
        <v>200</v>
      </c>
      <c r="E68" s="16">
        <v>44262</v>
      </c>
      <c r="F68" t="s">
        <v>117</v>
      </c>
      <c r="H68" s="17">
        <f t="shared" si="1"/>
        <v>0</v>
      </c>
      <c r="I68" s="17" t="s">
        <v>488</v>
      </c>
      <c r="J68" s="48">
        <v>44287</v>
      </c>
      <c r="K68" s="17">
        <v>72.599999999999994</v>
      </c>
      <c r="L68" s="49" t="s">
        <v>34</v>
      </c>
      <c r="N68" t="s">
        <v>14</v>
      </c>
    </row>
    <row r="69" spans="1:14" ht="15" customHeight="1" x14ac:dyDescent="0.25">
      <c r="A69" s="10">
        <v>3</v>
      </c>
      <c r="B69" s="48">
        <f>B68+7</f>
        <v>44265</v>
      </c>
      <c r="C69" s="17">
        <v>200</v>
      </c>
      <c r="D69" s="17">
        <v>140</v>
      </c>
      <c r="E69" s="16">
        <v>44269</v>
      </c>
      <c r="F69" t="s">
        <v>117</v>
      </c>
      <c r="H69" s="17">
        <f t="shared" si="1"/>
        <v>60</v>
      </c>
      <c r="I69" s="17" t="s">
        <v>488</v>
      </c>
      <c r="J69" s="48">
        <v>44293</v>
      </c>
      <c r="K69" s="17">
        <v>150</v>
      </c>
      <c r="L69" s="49" t="s">
        <v>17</v>
      </c>
      <c r="M69" t="s">
        <v>436</v>
      </c>
      <c r="N69" t="s">
        <v>14</v>
      </c>
    </row>
    <row r="70" spans="1:14" ht="15" customHeight="1" x14ac:dyDescent="0.25">
      <c r="A70" s="10">
        <v>4</v>
      </c>
      <c r="B70" s="48">
        <f>B69+7</f>
        <v>44272</v>
      </c>
      <c r="C70" s="17">
        <v>200</v>
      </c>
      <c r="D70" s="17">
        <v>200</v>
      </c>
      <c r="E70" s="16">
        <v>44282</v>
      </c>
      <c r="F70" t="s">
        <v>117</v>
      </c>
      <c r="H70" s="17">
        <f t="shared" si="1"/>
        <v>60</v>
      </c>
      <c r="I70" s="17" t="s">
        <v>488</v>
      </c>
      <c r="J70" s="48">
        <v>44309</v>
      </c>
      <c r="K70" s="17">
        <v>50.51</v>
      </c>
      <c r="L70" s="49" t="s">
        <v>32</v>
      </c>
      <c r="N70" t="s">
        <v>560</v>
      </c>
    </row>
    <row r="71" spans="1:14" ht="15" customHeight="1" x14ac:dyDescent="0.25">
      <c r="A71" s="10">
        <v>5</v>
      </c>
      <c r="B71" s="48">
        <f>B70+7</f>
        <v>44279</v>
      </c>
      <c r="C71" s="17">
        <v>200</v>
      </c>
      <c r="D71" s="17">
        <v>260</v>
      </c>
      <c r="E71" s="16">
        <v>44280</v>
      </c>
      <c r="F71" t="s">
        <v>124</v>
      </c>
      <c r="H71" s="17">
        <f t="shared" si="1"/>
        <v>0</v>
      </c>
      <c r="I71" s="17" t="s">
        <v>488</v>
      </c>
      <c r="J71" s="48">
        <v>44309</v>
      </c>
      <c r="K71" s="17">
        <v>198.52</v>
      </c>
      <c r="L71" s="49" t="s">
        <v>20</v>
      </c>
      <c r="N71" t="s">
        <v>560</v>
      </c>
    </row>
    <row r="72" spans="1:14" ht="15" customHeight="1" x14ac:dyDescent="0.25">
      <c r="A72" s="10">
        <v>1</v>
      </c>
      <c r="B72" s="48">
        <v>44306</v>
      </c>
      <c r="C72" s="17">
        <v>400</v>
      </c>
      <c r="D72" s="17">
        <v>400</v>
      </c>
      <c r="E72" s="16">
        <v>44306</v>
      </c>
      <c r="F72" t="s">
        <v>181</v>
      </c>
      <c r="H72" s="17">
        <f t="shared" si="1"/>
        <v>0</v>
      </c>
      <c r="I72" s="17" t="s">
        <v>560</v>
      </c>
      <c r="J72" s="48">
        <v>44313</v>
      </c>
      <c r="K72" s="17">
        <v>5.5</v>
      </c>
      <c r="L72" s="49" t="s">
        <v>22</v>
      </c>
      <c r="N72" t="s">
        <v>560</v>
      </c>
    </row>
    <row r="73" spans="1:14" x14ac:dyDescent="0.25">
      <c r="A73" s="10">
        <v>1</v>
      </c>
      <c r="B73" s="48">
        <v>44306</v>
      </c>
      <c r="C73" s="17">
        <v>260</v>
      </c>
      <c r="D73" s="17">
        <v>260</v>
      </c>
      <c r="E73" s="16">
        <v>44306</v>
      </c>
      <c r="F73" t="s">
        <v>114</v>
      </c>
      <c r="H73" s="17">
        <f t="shared" ref="H73:H103" si="4">IFERROR(IF(F72="Closed account",(IF(F73="Unpaid Rent",(C73),(C73-D73))),(IF(F73="Unpaid Rent",(C73+H72),(C73-D73+H72)))),"")</f>
        <v>0</v>
      </c>
      <c r="I73" s="17" t="s">
        <v>560</v>
      </c>
      <c r="J73" s="48">
        <v>44321</v>
      </c>
      <c r="K73" s="17">
        <v>400</v>
      </c>
      <c r="L73" s="49" t="s">
        <v>45</v>
      </c>
      <c r="N73" t="s">
        <v>560</v>
      </c>
    </row>
    <row r="74" spans="1:14" x14ac:dyDescent="0.25">
      <c r="A74" s="10">
        <v>2</v>
      </c>
      <c r="B74" s="48">
        <f>B73+7</f>
        <v>44313</v>
      </c>
      <c r="C74" s="17">
        <v>260</v>
      </c>
      <c r="D74" s="17">
        <v>260</v>
      </c>
      <c r="E74" s="16">
        <v>44313</v>
      </c>
      <c r="F74" t="s">
        <v>124</v>
      </c>
      <c r="H74" s="17">
        <f t="shared" si="4"/>
        <v>0</v>
      </c>
      <c r="I74" s="17" t="s">
        <v>560</v>
      </c>
      <c r="J74" s="48">
        <v>44321</v>
      </c>
      <c r="K74" s="17">
        <v>88</v>
      </c>
      <c r="L74" s="49" t="s">
        <v>17</v>
      </c>
      <c r="M74" t="s">
        <v>438</v>
      </c>
      <c r="N74" t="s">
        <v>560</v>
      </c>
    </row>
    <row r="75" spans="1:14" x14ac:dyDescent="0.25">
      <c r="A75" s="10">
        <v>1</v>
      </c>
      <c r="B75" s="48">
        <v>44386</v>
      </c>
      <c r="C75" s="17">
        <v>200</v>
      </c>
      <c r="D75" s="17">
        <v>200</v>
      </c>
      <c r="E75" s="16">
        <v>44385</v>
      </c>
      <c r="F75" t="s">
        <v>181</v>
      </c>
      <c r="H75" s="17">
        <f t="shared" si="4"/>
        <v>0</v>
      </c>
      <c r="I75" s="17" t="s">
        <v>660</v>
      </c>
      <c r="J75" s="48">
        <v>44330</v>
      </c>
      <c r="K75" s="17">
        <v>162.63999999999999</v>
      </c>
      <c r="L75" s="49" t="s">
        <v>17</v>
      </c>
      <c r="M75" t="s">
        <v>583</v>
      </c>
      <c r="N75" t="s">
        <v>560</v>
      </c>
    </row>
    <row r="76" spans="1:14" x14ac:dyDescent="0.25">
      <c r="A76" s="10">
        <v>1</v>
      </c>
      <c r="B76" s="48">
        <v>44386</v>
      </c>
      <c r="C76" s="17">
        <v>240</v>
      </c>
      <c r="D76" s="17">
        <v>240</v>
      </c>
      <c r="E76" s="16">
        <v>44385</v>
      </c>
      <c r="F76" t="s">
        <v>117</v>
      </c>
      <c r="H76" s="17">
        <f t="shared" si="4"/>
        <v>0</v>
      </c>
      <c r="I76" s="17" t="s">
        <v>660</v>
      </c>
      <c r="J76" s="48">
        <v>44334</v>
      </c>
      <c r="K76" s="17">
        <v>279.54000000000002</v>
      </c>
      <c r="L76" s="49" t="s">
        <v>17</v>
      </c>
      <c r="M76" t="s">
        <v>583</v>
      </c>
      <c r="N76" t="s">
        <v>560</v>
      </c>
    </row>
    <row r="77" spans="1:14" x14ac:dyDescent="0.25">
      <c r="A77" s="10">
        <v>1</v>
      </c>
      <c r="B77" s="48">
        <v>44396</v>
      </c>
      <c r="C77" s="17">
        <v>100</v>
      </c>
      <c r="D77" s="17">
        <v>100</v>
      </c>
      <c r="E77" s="16">
        <v>44396</v>
      </c>
      <c r="F77" t="s">
        <v>181</v>
      </c>
      <c r="H77" s="17">
        <f t="shared" si="4"/>
        <v>0</v>
      </c>
      <c r="I77" s="17" t="s">
        <v>660</v>
      </c>
      <c r="J77" s="48">
        <v>44224</v>
      </c>
      <c r="K77" s="17">
        <v>-236</v>
      </c>
      <c r="L77" s="49" t="s">
        <v>17</v>
      </c>
      <c r="N77" t="s">
        <v>413</v>
      </c>
    </row>
    <row r="78" spans="1:14" x14ac:dyDescent="0.25">
      <c r="A78" s="10">
        <v>2</v>
      </c>
      <c r="B78" s="48">
        <f>B76+7</f>
        <v>44393</v>
      </c>
      <c r="C78" s="17">
        <v>240</v>
      </c>
      <c r="D78" s="17"/>
      <c r="H78" s="17">
        <f t="shared" si="4"/>
        <v>240</v>
      </c>
      <c r="I78" s="17" t="s">
        <v>660</v>
      </c>
      <c r="J78" s="48">
        <v>44377</v>
      </c>
      <c r="K78" s="17">
        <v>1056</v>
      </c>
      <c r="L78" s="49" t="s">
        <v>17</v>
      </c>
      <c r="N78" t="s">
        <v>14</v>
      </c>
    </row>
    <row r="79" spans="1:14" x14ac:dyDescent="0.25">
      <c r="A79" s="10">
        <v>3</v>
      </c>
      <c r="B79" s="48">
        <f t="shared" ref="B79:B87" si="5">B78+7</f>
        <v>44400</v>
      </c>
      <c r="C79" s="17">
        <v>240</v>
      </c>
      <c r="D79" s="17">
        <v>480</v>
      </c>
      <c r="E79" s="16">
        <v>44402</v>
      </c>
      <c r="F79" t="s">
        <v>117</v>
      </c>
      <c r="H79" s="17">
        <f t="shared" si="4"/>
        <v>0</v>
      </c>
      <c r="I79" s="17" t="s">
        <v>660</v>
      </c>
      <c r="J79" s="48">
        <v>44390</v>
      </c>
      <c r="K79" s="17">
        <v>215.14</v>
      </c>
      <c r="L79" s="49" t="s">
        <v>20</v>
      </c>
      <c r="N79" t="s">
        <v>14</v>
      </c>
    </row>
    <row r="80" spans="1:14" x14ac:dyDescent="0.25">
      <c r="A80" s="10">
        <v>4</v>
      </c>
      <c r="B80" s="48">
        <f t="shared" si="5"/>
        <v>44407</v>
      </c>
      <c r="C80" s="17">
        <v>240</v>
      </c>
      <c r="D80" s="17">
        <v>240</v>
      </c>
      <c r="E80" s="16">
        <v>44407</v>
      </c>
      <c r="F80" t="s">
        <v>59</v>
      </c>
      <c r="H80" s="17">
        <f t="shared" si="4"/>
        <v>0</v>
      </c>
      <c r="I80" s="17" t="s">
        <v>660</v>
      </c>
      <c r="J80" s="48">
        <v>44402</v>
      </c>
      <c r="K80" s="17">
        <v>9.3800000000000008</v>
      </c>
      <c r="L80" s="49" t="s">
        <v>32</v>
      </c>
      <c r="N80" t="s">
        <v>660</v>
      </c>
    </row>
    <row r="81" spans="1:14" x14ac:dyDescent="0.25">
      <c r="A81" s="10">
        <v>5</v>
      </c>
      <c r="B81" s="48">
        <f t="shared" si="5"/>
        <v>44414</v>
      </c>
      <c r="C81" s="17">
        <v>240</v>
      </c>
      <c r="D81" s="17">
        <v>240</v>
      </c>
      <c r="E81" s="16">
        <v>44414</v>
      </c>
      <c r="F81" t="s">
        <v>59</v>
      </c>
      <c r="H81" s="17">
        <f t="shared" si="4"/>
        <v>0</v>
      </c>
      <c r="I81" s="17" t="s">
        <v>660</v>
      </c>
      <c r="J81" s="48">
        <v>44398</v>
      </c>
      <c r="K81" s="17">
        <v>2.75</v>
      </c>
      <c r="L81" s="49" t="s">
        <v>22</v>
      </c>
      <c r="N81" t="s">
        <v>660</v>
      </c>
    </row>
    <row r="82" spans="1:14" x14ac:dyDescent="0.25">
      <c r="A82" s="10">
        <v>6</v>
      </c>
      <c r="B82" s="48">
        <f t="shared" si="5"/>
        <v>44421</v>
      </c>
      <c r="C82" s="17">
        <v>240</v>
      </c>
      <c r="D82" s="17">
        <v>240</v>
      </c>
      <c r="E82" s="16">
        <v>44421</v>
      </c>
      <c r="F82" t="s">
        <v>59</v>
      </c>
      <c r="H82" s="17">
        <f t="shared" si="4"/>
        <v>0</v>
      </c>
      <c r="I82" s="17" t="s">
        <v>660</v>
      </c>
      <c r="J82" s="48">
        <v>44393</v>
      </c>
      <c r="K82" s="17">
        <f>0.99*2</f>
        <v>1.98</v>
      </c>
      <c r="L82" s="49" t="s">
        <v>22</v>
      </c>
      <c r="N82" t="s">
        <v>660</v>
      </c>
    </row>
    <row r="83" spans="1:14" x14ac:dyDescent="0.25">
      <c r="A83" s="10">
        <v>7</v>
      </c>
      <c r="B83" s="48">
        <f t="shared" si="5"/>
        <v>44428</v>
      </c>
      <c r="C83" s="17">
        <v>240</v>
      </c>
      <c r="D83" s="17">
        <v>240</v>
      </c>
      <c r="E83" s="16">
        <v>44428</v>
      </c>
      <c r="F83" t="s">
        <v>59</v>
      </c>
      <c r="H83" s="17">
        <f t="shared" si="4"/>
        <v>0</v>
      </c>
      <c r="I83" s="17" t="s">
        <v>660</v>
      </c>
      <c r="J83" s="48">
        <v>44405</v>
      </c>
      <c r="K83" s="17">
        <v>2.75</v>
      </c>
      <c r="L83" s="49" t="s">
        <v>22</v>
      </c>
      <c r="N83" t="s">
        <v>660</v>
      </c>
    </row>
    <row r="84" spans="1:14" x14ac:dyDescent="0.25">
      <c r="A84" s="10">
        <v>8</v>
      </c>
      <c r="B84" s="48">
        <f t="shared" si="5"/>
        <v>44435</v>
      </c>
      <c r="C84" s="17">
        <v>240</v>
      </c>
      <c r="D84" s="17">
        <v>240</v>
      </c>
      <c r="E84" s="16">
        <v>44435</v>
      </c>
      <c r="F84" t="s">
        <v>59</v>
      </c>
      <c r="H84" s="17">
        <f t="shared" si="4"/>
        <v>0</v>
      </c>
      <c r="I84" s="17" t="s">
        <v>660</v>
      </c>
      <c r="J84" s="48">
        <v>44400</v>
      </c>
      <c r="K84" s="17">
        <v>0.99</v>
      </c>
      <c r="L84" s="49" t="s">
        <v>22</v>
      </c>
      <c r="N84" t="s">
        <v>660</v>
      </c>
    </row>
    <row r="85" spans="1:14" x14ac:dyDescent="0.25">
      <c r="A85" s="10">
        <v>9</v>
      </c>
      <c r="B85" s="48">
        <f t="shared" si="5"/>
        <v>44442</v>
      </c>
      <c r="C85" s="17">
        <v>240</v>
      </c>
      <c r="D85" s="17">
        <v>240</v>
      </c>
      <c r="E85" s="16">
        <v>44442</v>
      </c>
      <c r="F85" t="s">
        <v>59</v>
      </c>
      <c r="H85" s="17">
        <f t="shared" si="4"/>
        <v>0</v>
      </c>
      <c r="I85" s="17" t="s">
        <v>660</v>
      </c>
      <c r="J85" s="48">
        <v>44454</v>
      </c>
      <c r="K85" s="17">
        <v>209</v>
      </c>
      <c r="L85" s="49" t="s">
        <v>17</v>
      </c>
      <c r="N85" t="s">
        <v>660</v>
      </c>
    </row>
    <row r="86" spans="1:14" x14ac:dyDescent="0.25">
      <c r="A86" s="10">
        <v>10</v>
      </c>
      <c r="B86" s="48">
        <f t="shared" si="5"/>
        <v>44449</v>
      </c>
      <c r="C86" s="17">
        <v>240</v>
      </c>
      <c r="D86" s="17">
        <v>240</v>
      </c>
      <c r="E86" s="16">
        <v>44449</v>
      </c>
      <c r="F86" t="s">
        <v>59</v>
      </c>
      <c r="H86" s="17">
        <f t="shared" si="4"/>
        <v>0</v>
      </c>
      <c r="I86" s="17" t="s">
        <v>660</v>
      </c>
      <c r="J86" s="48">
        <v>44526</v>
      </c>
      <c r="K86" s="17">
        <v>0.99</v>
      </c>
      <c r="L86" s="49" t="s">
        <v>22</v>
      </c>
      <c r="N86" t="s">
        <v>660</v>
      </c>
    </row>
    <row r="87" spans="1:14" x14ac:dyDescent="0.25">
      <c r="A87" s="10">
        <v>11</v>
      </c>
      <c r="B87" s="48">
        <f t="shared" si="5"/>
        <v>44456</v>
      </c>
      <c r="C87" s="17">
        <v>240</v>
      </c>
      <c r="D87" s="17">
        <v>240</v>
      </c>
      <c r="E87" s="16">
        <v>44456</v>
      </c>
      <c r="F87" t="s">
        <v>59</v>
      </c>
      <c r="H87" s="17">
        <f t="shared" si="4"/>
        <v>0</v>
      </c>
      <c r="I87" s="17" t="s">
        <v>660</v>
      </c>
      <c r="J87" s="48">
        <v>44538</v>
      </c>
      <c r="K87" s="17">
        <v>69.290000000000006</v>
      </c>
      <c r="L87" s="49" t="s">
        <v>133</v>
      </c>
      <c r="N87" t="s">
        <v>660</v>
      </c>
    </row>
    <row r="88" spans="1:14" x14ac:dyDescent="0.25">
      <c r="A88" s="10">
        <v>12</v>
      </c>
      <c r="B88" s="48">
        <f t="shared" ref="B88:B98" si="6">B87+7</f>
        <v>44463</v>
      </c>
      <c r="C88" s="17">
        <v>240</v>
      </c>
      <c r="D88" s="17">
        <v>240</v>
      </c>
      <c r="E88" s="16">
        <v>44463</v>
      </c>
      <c r="F88" t="s">
        <v>59</v>
      </c>
      <c r="H88" s="17">
        <f t="shared" si="4"/>
        <v>0</v>
      </c>
      <c r="I88" s="17" t="s">
        <v>660</v>
      </c>
      <c r="J88" s="48">
        <v>44540</v>
      </c>
      <c r="K88" s="17">
        <v>117.2</v>
      </c>
      <c r="L88" s="49" t="s">
        <v>133</v>
      </c>
      <c r="M88" t="s">
        <v>758</v>
      </c>
      <c r="N88" t="s">
        <v>660</v>
      </c>
    </row>
    <row r="89" spans="1:14" x14ac:dyDescent="0.25">
      <c r="A89" s="10">
        <v>13</v>
      </c>
      <c r="B89" s="48">
        <f t="shared" si="6"/>
        <v>44470</v>
      </c>
      <c r="C89" s="17">
        <v>240</v>
      </c>
      <c r="D89" s="17">
        <v>240</v>
      </c>
      <c r="E89" s="16">
        <v>44470</v>
      </c>
      <c r="F89" t="s">
        <v>59</v>
      </c>
      <c r="H89" s="17">
        <f t="shared" si="4"/>
        <v>0</v>
      </c>
      <c r="I89" s="17" t="s">
        <v>660</v>
      </c>
      <c r="J89" s="48">
        <v>44540</v>
      </c>
      <c r="K89" s="17">
        <v>117.2</v>
      </c>
      <c r="L89" s="49" t="s">
        <v>133</v>
      </c>
      <c r="M89" t="s">
        <v>758</v>
      </c>
      <c r="N89" t="s">
        <v>660</v>
      </c>
    </row>
    <row r="90" spans="1:14" x14ac:dyDescent="0.25">
      <c r="A90" s="10">
        <v>14</v>
      </c>
      <c r="B90" s="48">
        <f t="shared" si="6"/>
        <v>44477</v>
      </c>
      <c r="C90" s="17">
        <v>240</v>
      </c>
      <c r="D90" s="17">
        <v>240</v>
      </c>
      <c r="E90" s="16">
        <v>44477</v>
      </c>
      <c r="F90" t="s">
        <v>59</v>
      </c>
      <c r="H90" s="17">
        <f t="shared" si="4"/>
        <v>0</v>
      </c>
      <c r="I90" s="17" t="s">
        <v>660</v>
      </c>
      <c r="J90" s="48">
        <v>44540</v>
      </c>
      <c r="K90" s="17">
        <v>208.2</v>
      </c>
      <c r="L90" s="49" t="s">
        <v>133</v>
      </c>
      <c r="M90" t="s">
        <v>758</v>
      </c>
      <c r="N90" t="s">
        <v>660</v>
      </c>
    </row>
    <row r="91" spans="1:14" x14ac:dyDescent="0.25">
      <c r="A91" s="10">
        <v>15</v>
      </c>
      <c r="B91" s="48">
        <f t="shared" si="6"/>
        <v>44484</v>
      </c>
      <c r="C91" s="17">
        <v>240</v>
      </c>
      <c r="D91" s="17">
        <v>240</v>
      </c>
      <c r="E91" s="16">
        <v>44484</v>
      </c>
      <c r="F91" t="s">
        <v>59</v>
      </c>
      <c r="H91" s="17">
        <f t="shared" si="4"/>
        <v>0</v>
      </c>
      <c r="I91" s="17" t="s">
        <v>660</v>
      </c>
      <c r="J91" s="48">
        <v>44541</v>
      </c>
      <c r="K91" s="17">
        <v>-253.2</v>
      </c>
      <c r="L91" s="49" t="s">
        <v>133</v>
      </c>
      <c r="M91" t="s">
        <v>758</v>
      </c>
      <c r="N91" t="s">
        <v>660</v>
      </c>
    </row>
    <row r="92" spans="1:14" x14ac:dyDescent="0.25">
      <c r="A92" s="10">
        <v>16</v>
      </c>
      <c r="B92" s="48">
        <f t="shared" si="6"/>
        <v>44491</v>
      </c>
      <c r="C92" s="17">
        <v>240</v>
      </c>
      <c r="D92" s="17">
        <v>240</v>
      </c>
      <c r="E92" s="16">
        <v>44491</v>
      </c>
      <c r="F92" t="s">
        <v>59</v>
      </c>
      <c r="H92" s="17">
        <f t="shared" si="4"/>
        <v>0</v>
      </c>
      <c r="I92" s="17" t="s">
        <v>660</v>
      </c>
      <c r="J92" s="48">
        <v>44540</v>
      </c>
      <c r="K92" s="17">
        <v>5.5</v>
      </c>
      <c r="L92" s="49" t="s">
        <v>22</v>
      </c>
      <c r="N92" t="s">
        <v>760</v>
      </c>
    </row>
    <row r="93" spans="1:14" x14ac:dyDescent="0.25">
      <c r="A93" s="10">
        <v>17</v>
      </c>
      <c r="B93" s="48">
        <f t="shared" si="6"/>
        <v>44498</v>
      </c>
      <c r="C93" s="17">
        <v>240</v>
      </c>
      <c r="D93" s="17">
        <v>240</v>
      </c>
      <c r="E93" s="16">
        <v>44498</v>
      </c>
      <c r="F93" t="s">
        <v>59</v>
      </c>
      <c r="H93" s="17">
        <f t="shared" si="4"/>
        <v>0</v>
      </c>
      <c r="I93" s="17" t="s">
        <v>660</v>
      </c>
      <c r="J93" s="48">
        <v>44563</v>
      </c>
      <c r="K93" s="17">
        <v>-94</v>
      </c>
      <c r="L93" s="49" t="s">
        <v>26</v>
      </c>
      <c r="M93" t="s">
        <v>437</v>
      </c>
      <c r="N93" t="s">
        <v>14</v>
      </c>
    </row>
    <row r="94" spans="1:14" x14ac:dyDescent="0.25">
      <c r="A94" s="10">
        <v>18</v>
      </c>
      <c r="B94" s="48">
        <f t="shared" si="6"/>
        <v>44505</v>
      </c>
      <c r="C94" s="17">
        <v>240</v>
      </c>
      <c r="D94" s="17">
        <v>240</v>
      </c>
      <c r="E94" s="16">
        <v>44505</v>
      </c>
      <c r="F94" t="s">
        <v>59</v>
      </c>
      <c r="H94" s="17">
        <f t="shared" si="4"/>
        <v>0</v>
      </c>
      <c r="I94" s="17" t="s">
        <v>660</v>
      </c>
      <c r="J94" s="48">
        <v>44563</v>
      </c>
      <c r="K94" s="17">
        <v>400</v>
      </c>
      <c r="L94" s="49" t="s">
        <v>45</v>
      </c>
      <c r="N94" t="s">
        <v>760</v>
      </c>
    </row>
    <row r="95" spans="1:14" x14ac:dyDescent="0.25">
      <c r="A95" s="10">
        <v>19</v>
      </c>
      <c r="B95" s="48">
        <f t="shared" si="6"/>
        <v>44512</v>
      </c>
      <c r="C95" s="17">
        <v>240</v>
      </c>
      <c r="D95" s="17">
        <v>240</v>
      </c>
      <c r="E95" s="16">
        <v>44512</v>
      </c>
      <c r="F95" t="s">
        <v>59</v>
      </c>
      <c r="H95" s="17">
        <f t="shared" si="4"/>
        <v>0</v>
      </c>
      <c r="I95" s="17" t="s">
        <v>660</v>
      </c>
      <c r="J95" s="48">
        <v>44566</v>
      </c>
      <c r="K95" s="17">
        <v>180</v>
      </c>
      <c r="L95" s="49" t="s">
        <v>26</v>
      </c>
      <c r="M95" t="s">
        <v>437</v>
      </c>
      <c r="N95" t="s">
        <v>14</v>
      </c>
    </row>
    <row r="96" spans="1:14" x14ac:dyDescent="0.25">
      <c r="A96" s="10">
        <v>20</v>
      </c>
      <c r="B96" s="48">
        <f t="shared" si="6"/>
        <v>44519</v>
      </c>
      <c r="C96" s="17">
        <v>240</v>
      </c>
      <c r="D96" s="17">
        <v>240</v>
      </c>
      <c r="E96" s="16">
        <v>44519</v>
      </c>
      <c r="F96" t="s">
        <v>59</v>
      </c>
      <c r="H96" s="17">
        <f t="shared" si="4"/>
        <v>0</v>
      </c>
      <c r="I96" s="17" t="s">
        <v>660</v>
      </c>
      <c r="J96" s="48">
        <v>44569</v>
      </c>
      <c r="K96" s="17">
        <v>935</v>
      </c>
      <c r="L96" s="49" t="s">
        <v>17</v>
      </c>
      <c r="M96" t="s">
        <v>675</v>
      </c>
      <c r="N96" t="s">
        <v>14</v>
      </c>
    </row>
    <row r="97" spans="1:14" x14ac:dyDescent="0.25">
      <c r="A97" s="10">
        <v>21</v>
      </c>
      <c r="B97" s="48">
        <f t="shared" si="6"/>
        <v>44526</v>
      </c>
      <c r="C97" s="17">
        <v>240</v>
      </c>
      <c r="D97" s="17">
        <v>240</v>
      </c>
      <c r="E97" s="16">
        <v>44533</v>
      </c>
      <c r="F97" t="s">
        <v>59</v>
      </c>
      <c r="H97" s="17">
        <f t="shared" si="4"/>
        <v>0</v>
      </c>
      <c r="I97" s="17" t="s">
        <v>660</v>
      </c>
      <c r="J97" s="48">
        <v>44590</v>
      </c>
      <c r="K97" s="17">
        <v>147.35</v>
      </c>
      <c r="L97" s="49" t="s">
        <v>26</v>
      </c>
      <c r="M97" t="s">
        <v>790</v>
      </c>
      <c r="N97" t="s">
        <v>14</v>
      </c>
    </row>
    <row r="98" spans="1:14" x14ac:dyDescent="0.25">
      <c r="A98" s="10">
        <v>22</v>
      </c>
      <c r="B98" s="48">
        <f t="shared" si="6"/>
        <v>44533</v>
      </c>
      <c r="C98" s="17"/>
      <c r="D98" s="17">
        <v>240</v>
      </c>
      <c r="E98" s="16">
        <v>44532</v>
      </c>
      <c r="F98" t="s">
        <v>124</v>
      </c>
      <c r="H98" s="17">
        <f t="shared" si="4"/>
        <v>-240</v>
      </c>
      <c r="I98" s="17" t="s">
        <v>660</v>
      </c>
      <c r="J98" s="48">
        <v>44637</v>
      </c>
      <c r="K98" s="17">
        <v>80</v>
      </c>
      <c r="L98" s="49" t="s">
        <v>34</v>
      </c>
      <c r="N98" t="s">
        <v>14</v>
      </c>
    </row>
    <row r="99" spans="1:14" x14ac:dyDescent="0.25">
      <c r="A99" s="10">
        <v>1</v>
      </c>
      <c r="B99" s="48">
        <v>44541</v>
      </c>
      <c r="C99" s="17">
        <v>400</v>
      </c>
      <c r="D99" s="17">
        <v>400</v>
      </c>
      <c r="E99" s="16">
        <v>44541</v>
      </c>
      <c r="F99" t="s">
        <v>181</v>
      </c>
      <c r="H99" s="17">
        <f t="shared" si="4"/>
        <v>0</v>
      </c>
      <c r="I99" s="17" t="s">
        <v>760</v>
      </c>
      <c r="J99" s="48">
        <v>44643</v>
      </c>
      <c r="K99" s="17">
        <v>67.989999999999995</v>
      </c>
      <c r="L99" s="49" t="s">
        <v>17</v>
      </c>
      <c r="M99" t="s">
        <v>813</v>
      </c>
      <c r="N99" t="s">
        <v>14</v>
      </c>
    </row>
    <row r="100" spans="1:14" x14ac:dyDescent="0.25">
      <c r="A100" s="10">
        <v>1</v>
      </c>
      <c r="B100" s="48">
        <v>44541</v>
      </c>
      <c r="C100" s="17">
        <v>240</v>
      </c>
      <c r="D100" s="17">
        <v>240</v>
      </c>
      <c r="E100" s="16">
        <v>44541</v>
      </c>
      <c r="F100" t="s">
        <v>117</v>
      </c>
      <c r="H100" s="17">
        <f t="shared" si="4"/>
        <v>0</v>
      </c>
      <c r="I100" s="17" t="s">
        <v>760</v>
      </c>
      <c r="J100" s="48">
        <v>44644</v>
      </c>
      <c r="K100" s="17">
        <v>140</v>
      </c>
      <c r="L100" s="49" t="s">
        <v>17</v>
      </c>
      <c r="M100" t="s">
        <v>156</v>
      </c>
      <c r="N100" t="s">
        <v>14</v>
      </c>
    </row>
    <row r="101" spans="1:14" x14ac:dyDescent="0.25">
      <c r="A101" s="10">
        <v>2</v>
      </c>
      <c r="B101" s="48">
        <f>B100+7</f>
        <v>44548</v>
      </c>
      <c r="C101" s="17">
        <v>240</v>
      </c>
      <c r="D101" s="17">
        <v>240</v>
      </c>
      <c r="E101" s="16">
        <v>44545</v>
      </c>
      <c r="F101" t="s">
        <v>59</v>
      </c>
      <c r="H101" s="17">
        <f t="shared" si="4"/>
        <v>0</v>
      </c>
      <c r="I101" s="17" t="s">
        <v>760</v>
      </c>
      <c r="J101" s="48">
        <v>44659</v>
      </c>
      <c r="K101" s="17">
        <v>201.31</v>
      </c>
      <c r="L101" s="49" t="s">
        <v>20</v>
      </c>
      <c r="N101" t="s">
        <v>14</v>
      </c>
    </row>
    <row r="102" spans="1:14" x14ac:dyDescent="0.25">
      <c r="A102" s="10">
        <v>3</v>
      </c>
      <c r="B102" s="48">
        <f>B101+7</f>
        <v>44555</v>
      </c>
      <c r="C102" s="17"/>
      <c r="D102" s="17">
        <f>240*4</f>
        <v>960</v>
      </c>
      <c r="E102" s="16">
        <v>44540</v>
      </c>
      <c r="F102" t="s">
        <v>59</v>
      </c>
      <c r="H102" s="17">
        <f t="shared" si="4"/>
        <v>-960</v>
      </c>
      <c r="I102" s="17" t="s">
        <v>760</v>
      </c>
      <c r="J102" s="48">
        <v>44741</v>
      </c>
      <c r="K102" s="17">
        <v>20.420000000000002</v>
      </c>
      <c r="L102" s="49" t="s">
        <v>32</v>
      </c>
      <c r="N102" t="s">
        <v>14</v>
      </c>
    </row>
    <row r="103" spans="1:14" x14ac:dyDescent="0.25">
      <c r="A103" s="10">
        <v>4</v>
      </c>
      <c r="B103" s="48">
        <v>44569</v>
      </c>
      <c r="C103" s="17"/>
      <c r="D103" s="17">
        <v>-960</v>
      </c>
      <c r="E103" s="16">
        <v>44569</v>
      </c>
      <c r="F103" t="s">
        <v>117</v>
      </c>
      <c r="H103" s="17">
        <f t="shared" si="4"/>
        <v>0</v>
      </c>
      <c r="I103" s="17" t="s">
        <v>760</v>
      </c>
      <c r="J103" s="48">
        <v>44747</v>
      </c>
      <c r="K103" s="17">
        <v>165</v>
      </c>
      <c r="L103" s="49" t="s">
        <v>26</v>
      </c>
      <c r="N103" t="s">
        <v>14</v>
      </c>
    </row>
    <row r="104" spans="1:14" x14ac:dyDescent="0.25">
      <c r="A104" s="10">
        <v>1</v>
      </c>
      <c r="B104" s="48">
        <v>44773</v>
      </c>
      <c r="C104" s="17">
        <v>300</v>
      </c>
      <c r="D104" s="17">
        <v>300</v>
      </c>
      <c r="E104" s="16">
        <v>44776</v>
      </c>
      <c r="F104" t="s">
        <v>181</v>
      </c>
      <c r="H104" s="17">
        <f t="shared" ref="H104:H121" si="7">IFERROR(IF(F103="Closed account",(IF(F104="Unpaid Rent",(C104),(C104-D104))),(IF(F104="Unpaid Rent",(C104+H103),(C104-D104+H103)))),"")</f>
        <v>0</v>
      </c>
      <c r="I104" s="17" t="s">
        <v>934</v>
      </c>
      <c r="J104" s="48">
        <v>44756</v>
      </c>
      <c r="K104" s="17">
        <v>205.68</v>
      </c>
      <c r="L104" s="49" t="s">
        <v>20</v>
      </c>
      <c r="N104" t="s">
        <v>14</v>
      </c>
    </row>
    <row r="105" spans="1:14" x14ac:dyDescent="0.25">
      <c r="A105" s="10">
        <v>1</v>
      </c>
      <c r="B105" s="48">
        <v>44773</v>
      </c>
      <c r="C105" s="17">
        <v>200</v>
      </c>
      <c r="D105" s="17">
        <v>200</v>
      </c>
      <c r="E105" s="16">
        <v>44776</v>
      </c>
      <c r="F105" t="s">
        <v>117</v>
      </c>
      <c r="H105" s="17">
        <f t="shared" si="7"/>
        <v>0</v>
      </c>
      <c r="I105" s="17" t="s">
        <v>934</v>
      </c>
      <c r="J105" s="48">
        <v>44761</v>
      </c>
      <c r="K105" s="17">
        <v>16.36</v>
      </c>
      <c r="L105" s="49" t="s">
        <v>133</v>
      </c>
      <c r="N105" t="s">
        <v>14</v>
      </c>
    </row>
    <row r="106" spans="1:14" x14ac:dyDescent="0.25">
      <c r="A106" s="10">
        <v>2</v>
      </c>
      <c r="B106" s="48">
        <f t="shared" ref="B106:B111" si="8">B105+7</f>
        <v>44780</v>
      </c>
      <c r="C106" s="17">
        <v>200</v>
      </c>
      <c r="D106" s="17"/>
      <c r="E106" s="16"/>
      <c r="H106" s="239">
        <v>200</v>
      </c>
      <c r="I106" s="17" t="s">
        <v>934</v>
      </c>
      <c r="J106" s="48">
        <v>44768</v>
      </c>
      <c r="K106" s="17">
        <v>25</v>
      </c>
      <c r="L106" s="49" t="s">
        <v>17</v>
      </c>
      <c r="M106" t="s">
        <v>869</v>
      </c>
      <c r="N106" t="s">
        <v>14</v>
      </c>
    </row>
    <row r="107" spans="1:14" x14ac:dyDescent="0.25">
      <c r="A107" s="10">
        <v>3</v>
      </c>
      <c r="B107" s="48">
        <f t="shared" si="8"/>
        <v>44787</v>
      </c>
      <c r="C107" s="17">
        <v>200</v>
      </c>
      <c r="D107" s="17"/>
      <c r="E107" s="16"/>
      <c r="H107" s="17">
        <f t="shared" si="7"/>
        <v>400</v>
      </c>
      <c r="I107" s="17" t="s">
        <v>934</v>
      </c>
      <c r="J107" s="48">
        <v>44796</v>
      </c>
      <c r="K107" s="17">
        <v>-15</v>
      </c>
      <c r="L107" s="49" t="s">
        <v>133</v>
      </c>
      <c r="M107" t="s">
        <v>206</v>
      </c>
      <c r="N107" t="s">
        <v>14</v>
      </c>
    </row>
    <row r="108" spans="1:14" x14ac:dyDescent="0.25">
      <c r="A108" s="10">
        <v>4</v>
      </c>
      <c r="B108" s="48">
        <f t="shared" si="8"/>
        <v>44794</v>
      </c>
      <c r="C108" s="17">
        <v>200</v>
      </c>
      <c r="D108" s="17">
        <v>400</v>
      </c>
      <c r="E108" s="16">
        <v>44735</v>
      </c>
      <c r="F108" t="s">
        <v>117</v>
      </c>
      <c r="H108" s="17">
        <f t="shared" si="7"/>
        <v>200</v>
      </c>
      <c r="I108" s="17" t="s">
        <v>934</v>
      </c>
      <c r="J108" s="48">
        <v>44798</v>
      </c>
      <c r="K108" s="17">
        <v>18.28</v>
      </c>
      <c r="L108" s="49" t="s">
        <v>133</v>
      </c>
      <c r="M108" t="s">
        <v>206</v>
      </c>
      <c r="N108" t="s">
        <v>14</v>
      </c>
    </row>
    <row r="109" spans="1:14" x14ac:dyDescent="0.25">
      <c r="A109" s="10">
        <v>5</v>
      </c>
      <c r="B109" s="48">
        <f t="shared" si="8"/>
        <v>44801</v>
      </c>
      <c r="C109" s="17">
        <v>200</v>
      </c>
      <c r="D109" s="17"/>
      <c r="E109" s="16"/>
      <c r="H109" s="17">
        <f t="shared" si="7"/>
        <v>400</v>
      </c>
      <c r="I109" s="17" t="s">
        <v>934</v>
      </c>
      <c r="J109" s="48">
        <v>44828</v>
      </c>
      <c r="K109" s="17">
        <v>147</v>
      </c>
      <c r="L109" s="49" t="s">
        <v>26</v>
      </c>
      <c r="M109" t="s">
        <v>896</v>
      </c>
      <c r="N109" t="s">
        <v>14</v>
      </c>
    </row>
    <row r="110" spans="1:14" x14ac:dyDescent="0.25">
      <c r="A110" s="10">
        <v>6</v>
      </c>
      <c r="B110" s="48">
        <f t="shared" si="8"/>
        <v>44808</v>
      </c>
      <c r="C110" s="17">
        <v>200</v>
      </c>
      <c r="D110" s="17"/>
      <c r="H110" s="17">
        <f t="shared" si="7"/>
        <v>600</v>
      </c>
      <c r="I110" s="17" t="s">
        <v>934</v>
      </c>
      <c r="J110" s="48">
        <v>44845</v>
      </c>
      <c r="K110" s="17">
        <v>80.459999999999994</v>
      </c>
      <c r="L110" s="49" t="s">
        <v>133</v>
      </c>
      <c r="N110" t="s">
        <v>14</v>
      </c>
    </row>
    <row r="111" spans="1:14" x14ac:dyDescent="0.25">
      <c r="A111" s="10">
        <v>7</v>
      </c>
      <c r="B111" s="48">
        <f t="shared" si="8"/>
        <v>44815</v>
      </c>
      <c r="C111" s="17">
        <v>200</v>
      </c>
      <c r="D111" s="17">
        <v>500</v>
      </c>
      <c r="E111" s="16">
        <v>44818</v>
      </c>
      <c r="F111" t="s">
        <v>117</v>
      </c>
      <c r="H111" s="17">
        <f t="shared" si="7"/>
        <v>300</v>
      </c>
      <c r="I111" s="17" t="s">
        <v>934</v>
      </c>
      <c r="J111" s="48">
        <v>44851</v>
      </c>
      <c r="K111" s="17">
        <v>205.68</v>
      </c>
      <c r="L111" s="49" t="s">
        <v>20</v>
      </c>
      <c r="N111" t="s">
        <v>14</v>
      </c>
    </row>
    <row r="112" spans="1:14" x14ac:dyDescent="0.25">
      <c r="A112" s="10">
        <v>8</v>
      </c>
      <c r="B112" s="48">
        <f>B111+7</f>
        <v>44822</v>
      </c>
      <c r="C112" s="17">
        <v>200</v>
      </c>
      <c r="D112" s="17"/>
      <c r="H112" s="17">
        <f t="shared" si="7"/>
        <v>500</v>
      </c>
      <c r="I112" s="17" t="s">
        <v>934</v>
      </c>
      <c r="J112" s="48">
        <v>44860</v>
      </c>
      <c r="K112" s="17">
        <v>1100</v>
      </c>
      <c r="L112" s="49" t="s">
        <v>17</v>
      </c>
      <c r="M112" t="s">
        <v>855</v>
      </c>
      <c r="N112" t="s">
        <v>14</v>
      </c>
    </row>
    <row r="113" spans="1:14" x14ac:dyDescent="0.25">
      <c r="A113" s="10">
        <v>9</v>
      </c>
      <c r="B113" s="48">
        <f>B112+7</f>
        <v>44829</v>
      </c>
      <c r="C113" s="17">
        <v>200</v>
      </c>
      <c r="D113" s="17">
        <v>500</v>
      </c>
      <c r="E113" s="16">
        <v>44833</v>
      </c>
      <c r="F113" t="s">
        <v>117</v>
      </c>
      <c r="H113" s="17">
        <f t="shared" si="7"/>
        <v>200</v>
      </c>
      <c r="I113" s="17" t="s">
        <v>934</v>
      </c>
      <c r="J113" s="48">
        <v>44927</v>
      </c>
      <c r="K113" s="17">
        <v>600</v>
      </c>
      <c r="L113" s="49" t="s">
        <v>26</v>
      </c>
      <c r="N113" t="s">
        <v>934</v>
      </c>
    </row>
    <row r="114" spans="1:14" x14ac:dyDescent="0.25">
      <c r="A114" s="10">
        <v>10</v>
      </c>
      <c r="B114" s="48">
        <f>B113+7</f>
        <v>44836</v>
      </c>
      <c r="C114" s="17">
        <v>200</v>
      </c>
      <c r="D114" s="17"/>
      <c r="H114" s="17">
        <f t="shared" si="7"/>
        <v>400</v>
      </c>
      <c r="I114" s="17" t="s">
        <v>934</v>
      </c>
      <c r="J114" s="48">
        <v>44992</v>
      </c>
      <c r="K114" s="17">
        <v>150</v>
      </c>
      <c r="L114" s="49" t="s">
        <v>45</v>
      </c>
      <c r="N114" t="s">
        <v>95</v>
      </c>
    </row>
    <row r="115" spans="1:14" x14ac:dyDescent="0.25">
      <c r="A115" s="10">
        <v>11</v>
      </c>
      <c r="B115" s="48">
        <f>B114+7</f>
        <v>44843</v>
      </c>
      <c r="C115" s="17">
        <v>200</v>
      </c>
      <c r="D115" s="17">
        <v>500</v>
      </c>
      <c r="E115" s="16">
        <v>44846</v>
      </c>
      <c r="F115" t="s">
        <v>117</v>
      </c>
      <c r="H115" s="17">
        <f t="shared" si="7"/>
        <v>100</v>
      </c>
      <c r="I115" s="17" t="s">
        <v>934</v>
      </c>
      <c r="J115" s="48">
        <v>45002</v>
      </c>
      <c r="K115" s="17">
        <v>92</v>
      </c>
      <c r="L115" s="49" t="s">
        <v>32</v>
      </c>
      <c r="N115" t="s">
        <v>95</v>
      </c>
    </row>
    <row r="116" spans="1:14" x14ac:dyDescent="0.25">
      <c r="A116" s="10">
        <v>12</v>
      </c>
      <c r="B116" s="48">
        <f t="shared" ref="B116:B126" si="9">B115+7</f>
        <v>44850</v>
      </c>
      <c r="C116" s="17">
        <v>200</v>
      </c>
      <c r="D116" s="17"/>
      <c r="H116" s="17">
        <f t="shared" si="7"/>
        <v>300</v>
      </c>
      <c r="I116" s="17" t="s">
        <v>934</v>
      </c>
      <c r="J116" s="48">
        <v>45066</v>
      </c>
      <c r="K116" s="17">
        <v>205.68</v>
      </c>
      <c r="L116" s="49" t="s">
        <v>20</v>
      </c>
      <c r="N116" t="s">
        <v>14</v>
      </c>
    </row>
    <row r="117" spans="1:14" x14ac:dyDescent="0.25">
      <c r="A117" s="10">
        <v>13</v>
      </c>
      <c r="B117" s="48">
        <f t="shared" si="9"/>
        <v>44857</v>
      </c>
      <c r="C117" s="17">
        <v>200</v>
      </c>
      <c r="D117" s="17"/>
      <c r="H117" s="17">
        <f t="shared" si="7"/>
        <v>500</v>
      </c>
      <c r="I117" s="17" t="s">
        <v>934</v>
      </c>
      <c r="J117" s="48">
        <v>45072</v>
      </c>
      <c r="K117" s="17">
        <v>92</v>
      </c>
      <c r="L117" s="49" t="s">
        <v>17</v>
      </c>
      <c r="M117" t="s">
        <v>1039</v>
      </c>
      <c r="N117" t="s">
        <v>14</v>
      </c>
    </row>
    <row r="118" spans="1:14" x14ac:dyDescent="0.25">
      <c r="A118" s="10">
        <v>14</v>
      </c>
      <c r="B118" s="48">
        <f t="shared" si="9"/>
        <v>44864</v>
      </c>
      <c r="C118" s="17">
        <v>200</v>
      </c>
      <c r="D118" s="17">
        <v>500</v>
      </c>
      <c r="E118" s="16">
        <v>44868</v>
      </c>
      <c r="F118" t="s">
        <v>117</v>
      </c>
      <c r="H118" s="17">
        <f t="shared" si="7"/>
        <v>200</v>
      </c>
      <c r="I118" s="17" t="s">
        <v>934</v>
      </c>
      <c r="J118" s="48"/>
      <c r="K118" s="17"/>
      <c r="L118" s="49"/>
    </row>
    <row r="119" spans="1:14" x14ac:dyDescent="0.25">
      <c r="A119" s="10">
        <v>15</v>
      </c>
      <c r="B119" s="48">
        <f t="shared" si="9"/>
        <v>44871</v>
      </c>
      <c r="C119" s="17">
        <v>200</v>
      </c>
      <c r="D119" s="17"/>
      <c r="H119" s="17">
        <f t="shared" si="7"/>
        <v>400</v>
      </c>
      <c r="I119" s="17" t="s">
        <v>934</v>
      </c>
      <c r="J119" s="48"/>
      <c r="K119" s="17"/>
      <c r="L119" s="49"/>
    </row>
    <row r="120" spans="1:14" x14ac:dyDescent="0.25">
      <c r="A120" s="10">
        <v>16</v>
      </c>
      <c r="B120" s="48">
        <f t="shared" si="9"/>
        <v>44878</v>
      </c>
      <c r="C120" s="17">
        <v>200</v>
      </c>
      <c r="D120" s="17"/>
      <c r="H120" s="17">
        <f t="shared" si="7"/>
        <v>600</v>
      </c>
      <c r="I120" s="17" t="s">
        <v>934</v>
      </c>
      <c r="J120" s="48"/>
      <c r="K120" s="17"/>
      <c r="L120" s="49"/>
    </row>
    <row r="121" spans="1:14" x14ac:dyDescent="0.25">
      <c r="A121" s="10">
        <v>17</v>
      </c>
      <c r="B121" s="48">
        <f t="shared" si="9"/>
        <v>44885</v>
      </c>
      <c r="C121" s="17">
        <v>200</v>
      </c>
      <c r="D121" s="17"/>
      <c r="H121" s="17">
        <f t="shared" si="7"/>
        <v>800</v>
      </c>
      <c r="I121" s="17" t="s">
        <v>934</v>
      </c>
      <c r="J121" s="48"/>
      <c r="K121" s="17"/>
      <c r="L121" s="49"/>
    </row>
    <row r="122" spans="1:14" x14ac:dyDescent="0.25">
      <c r="A122" s="10">
        <f>A121+1</f>
        <v>18</v>
      </c>
      <c r="B122" s="48">
        <f t="shared" si="9"/>
        <v>44892</v>
      </c>
      <c r="C122" s="17">
        <v>200</v>
      </c>
      <c r="D122" s="17"/>
      <c r="H122" s="17">
        <f t="shared" ref="H122:H128" si="10">IFERROR(IF(F121="Closed account",(IF(F122="Unpaid Rent",(C122),(C122-D122))),(IF(F122="Unpaid Rent",(C122+H121),(C122-D122+H121)))),"")</f>
        <v>1000</v>
      </c>
      <c r="I122" s="17" t="s">
        <v>934</v>
      </c>
      <c r="J122" s="48"/>
      <c r="K122" s="17"/>
      <c r="L122" s="49"/>
    </row>
    <row r="123" spans="1:14" x14ac:dyDescent="0.25">
      <c r="A123" s="10">
        <f>A122+1</f>
        <v>19</v>
      </c>
      <c r="B123" s="48">
        <f t="shared" si="9"/>
        <v>44899</v>
      </c>
      <c r="C123" s="17">
        <v>200</v>
      </c>
      <c r="D123" s="17">
        <v>600</v>
      </c>
      <c r="E123" s="16">
        <v>44927</v>
      </c>
      <c r="F123" t="s">
        <v>117</v>
      </c>
      <c r="G123" s="31" t="s">
        <v>526</v>
      </c>
      <c r="H123" s="17">
        <f t="shared" si="10"/>
        <v>600</v>
      </c>
      <c r="I123" s="17" t="s">
        <v>934</v>
      </c>
      <c r="J123" s="48"/>
      <c r="K123" s="17"/>
      <c r="L123" s="49"/>
    </row>
    <row r="124" spans="1:14" x14ac:dyDescent="0.25">
      <c r="A124" s="10">
        <f>A123+1</f>
        <v>20</v>
      </c>
      <c r="B124" s="48">
        <f t="shared" si="9"/>
        <v>44906</v>
      </c>
      <c r="C124" s="17">
        <v>200</v>
      </c>
      <c r="D124" s="17"/>
      <c r="H124" s="17">
        <f t="shared" si="10"/>
        <v>800</v>
      </c>
      <c r="I124" s="17" t="s">
        <v>934</v>
      </c>
      <c r="J124" s="48"/>
      <c r="K124" s="17"/>
      <c r="L124" s="49"/>
    </row>
    <row r="125" spans="1:14" x14ac:dyDescent="0.25">
      <c r="A125" s="10">
        <f>A124+1</f>
        <v>21</v>
      </c>
      <c r="B125" s="48">
        <f t="shared" si="9"/>
        <v>44913</v>
      </c>
      <c r="C125" s="17">
        <v>200</v>
      </c>
      <c r="D125" s="17">
        <v>612</v>
      </c>
      <c r="E125" s="16">
        <v>44965</v>
      </c>
      <c r="F125" t="s">
        <v>117</v>
      </c>
      <c r="H125" s="17">
        <f t="shared" si="10"/>
        <v>388</v>
      </c>
      <c r="I125" s="17" t="s">
        <v>934</v>
      </c>
      <c r="J125" s="48"/>
      <c r="K125" s="17"/>
      <c r="L125" s="49"/>
    </row>
    <row r="126" spans="1:14" x14ac:dyDescent="0.25">
      <c r="A126" s="10">
        <f>A125+1</f>
        <v>22</v>
      </c>
      <c r="B126" s="48">
        <f t="shared" si="9"/>
        <v>44920</v>
      </c>
      <c r="C126" s="17">
        <v>200</v>
      </c>
      <c r="D126" s="17"/>
      <c r="F126" t="s">
        <v>124</v>
      </c>
      <c r="H126" s="17">
        <f t="shared" si="10"/>
        <v>588</v>
      </c>
      <c r="I126" s="17" t="s">
        <v>934</v>
      </c>
      <c r="J126" s="48"/>
      <c r="K126" s="17"/>
      <c r="L126" s="49"/>
    </row>
    <row r="127" spans="1:14" x14ac:dyDescent="0.25">
      <c r="A127" s="10">
        <v>1</v>
      </c>
      <c r="B127" s="48">
        <v>44949</v>
      </c>
      <c r="C127" s="17">
        <v>400</v>
      </c>
      <c r="D127" s="17">
        <v>400</v>
      </c>
      <c r="E127" s="16">
        <v>44949</v>
      </c>
      <c r="F127" t="s">
        <v>181</v>
      </c>
      <c r="H127" s="17">
        <f t="shared" si="10"/>
        <v>0</v>
      </c>
      <c r="I127" s="17" t="s">
        <v>978</v>
      </c>
      <c r="J127" s="48"/>
      <c r="K127" s="17"/>
      <c r="L127" s="49"/>
    </row>
    <row r="128" spans="1:14" x14ac:dyDescent="0.25">
      <c r="A128" s="10">
        <v>1</v>
      </c>
      <c r="B128" s="48">
        <v>44949</v>
      </c>
      <c r="C128" s="17">
        <v>250</v>
      </c>
      <c r="D128" s="17">
        <v>250</v>
      </c>
      <c r="E128" s="16">
        <v>44949</v>
      </c>
      <c r="F128" t="s">
        <v>117</v>
      </c>
      <c r="H128" s="17">
        <f t="shared" si="10"/>
        <v>0</v>
      </c>
      <c r="I128" s="17" t="s">
        <v>978</v>
      </c>
      <c r="J128" s="48"/>
      <c r="K128" s="17"/>
      <c r="L128" s="49"/>
    </row>
    <row r="129" spans="1:12" x14ac:dyDescent="0.25">
      <c r="A129" s="10">
        <v>2</v>
      </c>
      <c r="B129" s="48">
        <f t="shared" ref="B129:B134" si="11">B128+7</f>
        <v>44956</v>
      </c>
      <c r="C129" s="17">
        <v>250</v>
      </c>
      <c r="D129" s="17"/>
      <c r="H129" s="17">
        <f t="shared" ref="H129:H134" si="12">IFERROR(IF(F128="Closed account",(IF(F129="Unpaid Rent",(C129),(C129-D129))),(IF(F129="Unpaid Rent",(C129+H128),(C129-D129+H128)))),"")</f>
        <v>250</v>
      </c>
      <c r="I129" s="17" t="s">
        <v>978</v>
      </c>
      <c r="J129" s="48"/>
      <c r="K129" s="17"/>
      <c r="L129" s="49"/>
    </row>
    <row r="130" spans="1:12" x14ac:dyDescent="0.25">
      <c r="A130" s="10">
        <v>3</v>
      </c>
      <c r="B130" s="48">
        <f t="shared" si="11"/>
        <v>44963</v>
      </c>
      <c r="C130" s="17">
        <v>250</v>
      </c>
      <c r="D130" s="17"/>
      <c r="H130" s="17">
        <f t="shared" si="12"/>
        <v>500</v>
      </c>
      <c r="I130" s="17" t="s">
        <v>978</v>
      </c>
      <c r="J130" s="48"/>
      <c r="K130" s="17"/>
      <c r="L130" s="49"/>
    </row>
    <row r="131" spans="1:12" x14ac:dyDescent="0.25">
      <c r="A131" s="10">
        <v>4</v>
      </c>
      <c r="B131" s="48">
        <f t="shared" si="11"/>
        <v>44970</v>
      </c>
      <c r="C131" s="17">
        <v>250</v>
      </c>
      <c r="D131" s="17"/>
      <c r="H131" s="17">
        <f t="shared" si="12"/>
        <v>750</v>
      </c>
      <c r="I131" s="17" t="s">
        <v>978</v>
      </c>
      <c r="J131" s="48"/>
      <c r="K131" s="17"/>
      <c r="L131" s="49"/>
    </row>
    <row r="132" spans="1:12" x14ac:dyDescent="0.25">
      <c r="A132" s="10">
        <v>5</v>
      </c>
      <c r="B132" s="48">
        <f t="shared" si="11"/>
        <v>44977</v>
      </c>
      <c r="C132" s="17">
        <v>250</v>
      </c>
      <c r="D132" s="17"/>
      <c r="H132" s="17">
        <f t="shared" si="12"/>
        <v>1000</v>
      </c>
      <c r="I132" s="17" t="s">
        <v>978</v>
      </c>
      <c r="J132" s="48"/>
      <c r="K132" s="17"/>
      <c r="L132" s="49"/>
    </row>
    <row r="133" spans="1:12" x14ac:dyDescent="0.25">
      <c r="A133" s="10">
        <v>6</v>
      </c>
      <c r="B133" s="48">
        <f t="shared" si="11"/>
        <v>44984</v>
      </c>
      <c r="C133" s="17">
        <v>250</v>
      </c>
      <c r="D133" s="17">
        <v>250</v>
      </c>
      <c r="E133" s="16">
        <v>44985</v>
      </c>
      <c r="F133" t="s">
        <v>117</v>
      </c>
      <c r="H133" s="17">
        <f t="shared" si="12"/>
        <v>1000</v>
      </c>
      <c r="I133" s="17" t="s">
        <v>978</v>
      </c>
      <c r="J133" s="48"/>
      <c r="K133" s="17"/>
      <c r="L133" s="49"/>
    </row>
    <row r="134" spans="1:12" x14ac:dyDescent="0.25">
      <c r="A134" s="10">
        <v>7</v>
      </c>
      <c r="B134" s="48">
        <f t="shared" si="11"/>
        <v>44991</v>
      </c>
      <c r="C134" s="17"/>
      <c r="D134" s="17"/>
      <c r="F134" t="s">
        <v>124</v>
      </c>
      <c r="H134" s="17">
        <f t="shared" si="12"/>
        <v>1000</v>
      </c>
      <c r="I134" s="17" t="s">
        <v>978</v>
      </c>
      <c r="J134" s="48"/>
      <c r="K134" s="17"/>
      <c r="L134" s="49"/>
    </row>
    <row r="135" spans="1:12" x14ac:dyDescent="0.25">
      <c r="B135" s="48"/>
      <c r="C135" s="17"/>
      <c r="D135" s="17"/>
      <c r="J135" s="48"/>
      <c r="K135" s="17"/>
      <c r="L135" s="49"/>
    </row>
    <row r="136" spans="1:12" x14ac:dyDescent="0.25">
      <c r="A136" s="10" t="s">
        <v>18</v>
      </c>
      <c r="B136" s="50" t="str">
        <f>IF($A136&lt;&gt;"",IF(_term=26,IF(A136=1,first_payment,B135+14),IF(_term=52,IF(A136=1,first_payment,B135+7),DATE(YEAR(first_payment),MONTH(first_payment)+(A136-1)*per_year,IF(_term=24,IF(1-MOD(A136,2)=1,DAY(first_payment)+14,DAY(first_payment)),DAY(first_payment))))),"")</f>
        <v/>
      </c>
      <c r="H136" t="str">
        <f>IF($A136&lt;&gt;"",$H135-$D136,"")</f>
        <v/>
      </c>
      <c r="J136" s="48"/>
      <c r="K136" s="17"/>
      <c r="L136" s="49"/>
    </row>
    <row r="137" spans="1:12" x14ac:dyDescent="0.25">
      <c r="A137" s="10" t="s">
        <v>18</v>
      </c>
      <c r="B137" s="50" t="str">
        <f>IF($A137&lt;&gt;"",IF(_term=26,IF(A137=1,first_payment,B136+14),IF(_term=52,IF(A137=1,first_payment,B136+7),DATE(YEAR(first_payment),MONTH(first_payment)+(A137-1)*per_year,IF(_term=24,IF(1-MOD(A137,2)=1,DAY(first_payment)+14,DAY(first_payment)),DAY(first_payment))))),"")</f>
        <v/>
      </c>
      <c r="H137" t="str">
        <f>IF($A137&lt;&gt;"",$H136-$D137,"")</f>
        <v/>
      </c>
      <c r="J137" s="48"/>
      <c r="K137" s="17"/>
      <c r="L137" s="49"/>
    </row>
    <row r="138" spans="1:12" x14ac:dyDescent="0.25">
      <c r="A138" s="10" t="s">
        <v>18</v>
      </c>
      <c r="B138" s="50" t="str">
        <f>IF($A138&lt;&gt;"",IF(_term=26,IF(A138=1,first_payment,B137+14),IF(_term=52,IF(A138=1,first_payment,B137+7),DATE(YEAR(first_payment),MONTH(first_payment)+(A138-1)*per_year,IF(_term=24,IF(1-MOD(A138,2)=1,DAY(first_payment)+14,DAY(first_payment)),DAY(first_payment))))),"")</f>
        <v/>
      </c>
      <c r="H138" t="str">
        <f>IF($A138&lt;&gt;"",$H137-$D138,"")</f>
        <v/>
      </c>
      <c r="J138" s="48"/>
      <c r="K138" s="17"/>
      <c r="L138" s="49"/>
    </row>
    <row r="139" spans="1:12" x14ac:dyDescent="0.25">
      <c r="A139" s="10" t="s">
        <v>18</v>
      </c>
      <c r="B139" s="50" t="str">
        <f>IF($A139&lt;&gt;"",IF(_term=26,IF(A139=1,first_payment,B138+14),IF(_term=52,IF(A139=1,first_payment,B138+7),DATE(YEAR(first_payment),MONTH(first_payment)+(A139-1)*per_year,IF(_term=24,IF(1-MOD(A139,2)=1,DAY(first_payment)+14,DAY(first_payment)),DAY(first_payment))))),"")</f>
        <v/>
      </c>
      <c r="H139" t="str">
        <f>IF($A139&lt;&gt;"",$H138-$D139,"")</f>
        <v/>
      </c>
      <c r="J139" s="48"/>
      <c r="K139" s="17"/>
      <c r="L139" s="49"/>
    </row>
    <row r="140" spans="1:12" ht="15" customHeight="1" x14ac:dyDescent="0.25">
      <c r="J140" s="48"/>
      <c r="K140" s="17"/>
      <c r="L140" s="49"/>
    </row>
    <row r="141" spans="1:12" ht="15" customHeight="1" x14ac:dyDescent="0.25">
      <c r="J141" s="48"/>
      <c r="K141" s="17"/>
      <c r="L141" s="49"/>
    </row>
    <row r="142" spans="1:12" ht="15" customHeight="1" x14ac:dyDescent="0.25">
      <c r="J142" s="48"/>
      <c r="K142" s="17"/>
      <c r="L142" s="49"/>
    </row>
    <row r="143" spans="1:12" ht="15" customHeight="1" x14ac:dyDescent="0.25">
      <c r="J143" s="48"/>
      <c r="K143" s="17"/>
      <c r="L143" s="49"/>
    </row>
    <row r="144" spans="1:12" ht="15" customHeight="1" x14ac:dyDescent="0.25">
      <c r="J144" s="48"/>
      <c r="K144" s="17"/>
      <c r="L144" s="49"/>
    </row>
    <row r="145" spans="10:12" ht="15" customHeight="1" x14ac:dyDescent="0.25">
      <c r="J145" s="48"/>
      <c r="K145" s="17"/>
      <c r="L145" s="49"/>
    </row>
    <row r="146" spans="10:12" ht="15" customHeight="1" x14ac:dyDescent="0.25">
      <c r="J146" s="48"/>
      <c r="K146" s="17"/>
      <c r="L146" s="49"/>
    </row>
    <row r="147" spans="10:12" ht="15" customHeight="1" x14ac:dyDescent="0.25">
      <c r="J147" s="48"/>
      <c r="K147" s="17"/>
      <c r="L147" s="49"/>
    </row>
    <row r="148" spans="10:12" ht="15" customHeight="1" x14ac:dyDescent="0.25">
      <c r="J148" s="48"/>
      <c r="K148" s="17"/>
      <c r="L148" s="49"/>
    </row>
    <row r="149" spans="10:12" ht="15" customHeight="1" x14ac:dyDescent="0.25">
      <c r="J149" s="48"/>
      <c r="K149" s="17"/>
      <c r="L149" s="49"/>
    </row>
    <row r="150" spans="10:12" ht="15" customHeight="1" x14ac:dyDescent="0.25">
      <c r="J150" s="48"/>
      <c r="K150" s="17"/>
      <c r="L150" s="49"/>
    </row>
    <row r="151" spans="10:12" ht="15" customHeight="1" x14ac:dyDescent="0.25">
      <c r="J151" s="48"/>
      <c r="K151" s="17"/>
      <c r="L151" s="49"/>
    </row>
    <row r="152" spans="10:12" ht="15" customHeight="1" x14ac:dyDescent="0.25">
      <c r="J152" s="48"/>
      <c r="K152" s="17"/>
      <c r="L152" s="49"/>
    </row>
    <row r="153" spans="10:12" ht="15" customHeight="1" x14ac:dyDescent="0.25">
      <c r="J153" s="48"/>
      <c r="K153" s="17"/>
      <c r="L153" s="49"/>
    </row>
    <row r="154" spans="10:12" ht="15" customHeight="1" x14ac:dyDescent="0.25">
      <c r="J154" s="48"/>
      <c r="K154" s="17"/>
      <c r="L154" s="49"/>
    </row>
    <row r="155" spans="10:12" ht="15" customHeight="1" x14ac:dyDescent="0.25">
      <c r="J155" s="48"/>
      <c r="K155" s="17"/>
      <c r="L155" s="49"/>
    </row>
    <row r="156" spans="10:12" ht="15" customHeight="1" x14ac:dyDescent="0.25">
      <c r="J156" s="48"/>
      <c r="K156" s="17"/>
      <c r="L156" s="49"/>
    </row>
    <row r="157" spans="10:12" ht="15" customHeight="1" x14ac:dyDescent="0.25">
      <c r="J157" s="48"/>
      <c r="K157" s="17"/>
      <c r="L157" s="49"/>
    </row>
    <row r="158" spans="10:12" ht="15" customHeight="1" x14ac:dyDescent="0.25">
      <c r="J158" s="48"/>
      <c r="K158" s="17"/>
      <c r="L158" s="49"/>
    </row>
    <row r="159" spans="10:12" ht="15" customHeight="1" x14ac:dyDescent="0.25">
      <c r="J159" s="48"/>
      <c r="K159" s="17"/>
      <c r="L159" s="49"/>
    </row>
    <row r="160" spans="10:12" ht="15" customHeight="1" x14ac:dyDescent="0.25">
      <c r="J160" s="48"/>
      <c r="K160" s="17"/>
      <c r="L160" s="49"/>
    </row>
    <row r="161" spans="10:12" ht="15" customHeight="1" x14ac:dyDescent="0.25">
      <c r="J161" s="48"/>
      <c r="K161" s="17"/>
      <c r="L161" s="49"/>
    </row>
    <row r="162" spans="10:12" ht="15" customHeight="1" x14ac:dyDescent="0.25">
      <c r="J162" s="48"/>
      <c r="K162" s="17"/>
      <c r="L162" s="49"/>
    </row>
    <row r="163" spans="10:12" ht="15" customHeight="1" x14ac:dyDescent="0.25">
      <c r="J163" s="48"/>
      <c r="K163" s="17"/>
      <c r="L163" s="49"/>
    </row>
    <row r="164" spans="10:12" ht="15" customHeight="1" x14ac:dyDescent="0.25">
      <c r="J164" s="48"/>
      <c r="K164" s="17"/>
      <c r="L164" s="49"/>
    </row>
    <row r="165" spans="10:12" ht="15" customHeight="1" x14ac:dyDescent="0.25">
      <c r="J165" s="48"/>
      <c r="K165" s="17"/>
      <c r="L165" s="49"/>
    </row>
    <row r="166" spans="10:12" ht="15" customHeight="1" x14ac:dyDescent="0.25">
      <c r="J166" s="48"/>
      <c r="K166" s="17"/>
      <c r="L166" s="49"/>
    </row>
    <row r="167" spans="10:12" ht="15" customHeight="1" x14ac:dyDescent="0.25">
      <c r="J167" s="48"/>
      <c r="K167" s="17"/>
      <c r="L167" s="49"/>
    </row>
    <row r="168" spans="10:12" ht="15" customHeight="1" x14ac:dyDescent="0.25">
      <c r="J168" s="48"/>
      <c r="K168" s="17"/>
      <c r="L168" s="49"/>
    </row>
    <row r="169" spans="10:12" ht="15" customHeight="1" x14ac:dyDescent="0.25">
      <c r="J169" s="48"/>
      <c r="K169" s="17"/>
      <c r="L169" s="49"/>
    </row>
    <row r="170" spans="10:12" ht="15" customHeight="1" x14ac:dyDescent="0.25">
      <c r="J170" s="48"/>
      <c r="K170" s="17"/>
      <c r="L170" s="49"/>
    </row>
    <row r="171" spans="10:12" ht="15" customHeight="1" x14ac:dyDescent="0.25">
      <c r="J171" s="48"/>
      <c r="K171" s="17"/>
      <c r="L171" s="49"/>
    </row>
    <row r="172" spans="10:12" ht="15" customHeight="1" x14ac:dyDescent="0.25">
      <c r="J172" s="48"/>
      <c r="K172" s="17"/>
      <c r="L172" s="49"/>
    </row>
    <row r="173" spans="10:12" ht="15" customHeight="1" x14ac:dyDescent="0.25">
      <c r="J173" s="48"/>
      <c r="K173" s="17"/>
      <c r="L173" s="49"/>
    </row>
    <row r="174" spans="10:12" ht="15" customHeight="1" x14ac:dyDescent="0.25">
      <c r="J174" s="48"/>
      <c r="K174" s="17"/>
      <c r="L174" s="49"/>
    </row>
    <row r="175" spans="10:12" ht="15" customHeight="1" x14ac:dyDescent="0.25">
      <c r="J175" s="48"/>
      <c r="K175" s="17"/>
      <c r="L175" s="49"/>
    </row>
    <row r="176" spans="10:12" ht="15" customHeight="1" x14ac:dyDescent="0.25">
      <c r="J176" s="48"/>
      <c r="K176" s="17"/>
      <c r="L176" s="49"/>
    </row>
    <row r="177" spans="10:12" ht="15" customHeight="1" x14ac:dyDescent="0.25">
      <c r="J177" s="48"/>
      <c r="K177" s="17"/>
      <c r="L177" s="49"/>
    </row>
    <row r="178" spans="10:12" ht="15" customHeight="1" x14ac:dyDescent="0.25">
      <c r="J178" s="48"/>
      <c r="K178" s="17"/>
      <c r="L178" s="49"/>
    </row>
    <row r="179" spans="10:12" ht="15" customHeight="1" x14ac:dyDescent="0.25">
      <c r="J179" s="48"/>
      <c r="K179" s="17"/>
      <c r="L179" s="49"/>
    </row>
    <row r="180" spans="10:12" ht="15" customHeight="1" x14ac:dyDescent="0.25">
      <c r="J180" s="48"/>
      <c r="K180" s="17"/>
      <c r="L180" s="49"/>
    </row>
    <row r="181" spans="10:12" ht="15" customHeight="1" x14ac:dyDescent="0.25">
      <c r="J181" s="48"/>
      <c r="K181" s="17"/>
      <c r="L181" s="49"/>
    </row>
    <row r="182" spans="10:12" ht="15" customHeight="1" x14ac:dyDescent="0.25">
      <c r="J182" s="48"/>
      <c r="K182" s="17"/>
      <c r="L182" s="49"/>
    </row>
    <row r="183" spans="10:12" ht="15" customHeight="1" x14ac:dyDescent="0.25">
      <c r="J183" s="48"/>
      <c r="K183" s="17"/>
      <c r="L183" s="49"/>
    </row>
    <row r="184" spans="10:12" ht="15" customHeight="1" x14ac:dyDescent="0.25">
      <c r="J184" s="48"/>
      <c r="K184" s="17"/>
      <c r="L184" s="49"/>
    </row>
    <row r="185" spans="10:12" ht="15" customHeight="1" x14ac:dyDescent="0.25">
      <c r="J185" s="48"/>
      <c r="K185" s="17"/>
      <c r="L185" s="49"/>
    </row>
    <row r="186" spans="10:12" ht="15" customHeight="1" x14ac:dyDescent="0.25">
      <c r="J186" s="48"/>
      <c r="K186" s="17"/>
      <c r="L186" s="49"/>
    </row>
    <row r="187" spans="10:12" ht="15" customHeight="1" x14ac:dyDescent="0.25">
      <c r="J187" s="48"/>
      <c r="K187" s="17"/>
      <c r="L187" s="49"/>
    </row>
    <row r="188" spans="10:12" ht="15" customHeight="1" x14ac:dyDescent="0.25">
      <c r="J188" s="48"/>
      <c r="K188" s="17"/>
      <c r="L188" s="49"/>
    </row>
    <row r="189" spans="10:12" ht="15" customHeight="1" x14ac:dyDescent="0.25">
      <c r="J189" s="48"/>
      <c r="K189" s="17"/>
      <c r="L189" s="49"/>
    </row>
    <row r="190" spans="10:12" ht="15" customHeight="1" x14ac:dyDescent="0.25">
      <c r="J190" s="48"/>
      <c r="K190" s="17"/>
      <c r="L190" s="49"/>
    </row>
    <row r="191" spans="10:12" ht="15" customHeight="1" x14ac:dyDescent="0.25">
      <c r="J191" s="48"/>
      <c r="K191" s="17"/>
      <c r="L191" s="49"/>
    </row>
    <row r="192" spans="10:12" ht="15" customHeight="1" x14ac:dyDescent="0.25">
      <c r="J192" s="48"/>
      <c r="K192" s="17"/>
      <c r="L192" s="49"/>
    </row>
    <row r="193" spans="10:12" ht="15" customHeight="1" x14ac:dyDescent="0.25">
      <c r="J193" s="48"/>
      <c r="K193" s="17"/>
      <c r="L193" s="49"/>
    </row>
    <row r="194" spans="10:12" ht="15" customHeight="1" x14ac:dyDescent="0.25">
      <c r="J194" s="48"/>
      <c r="K194" s="17"/>
      <c r="L194" s="49"/>
    </row>
    <row r="195" spans="10:12" ht="15" customHeight="1" x14ac:dyDescent="0.25">
      <c r="J195" s="48"/>
      <c r="K195" s="17"/>
      <c r="L195" s="49"/>
    </row>
    <row r="196" spans="10:12" ht="15" customHeight="1" x14ac:dyDescent="0.25">
      <c r="J196" s="48"/>
      <c r="K196" s="17"/>
      <c r="L196" s="49"/>
    </row>
    <row r="197" spans="10:12" ht="15" customHeight="1" x14ac:dyDescent="0.25">
      <c r="J197" s="48"/>
      <c r="K197" s="17"/>
      <c r="L197" s="49"/>
    </row>
    <row r="198" spans="10:12" ht="15" customHeight="1" x14ac:dyDescent="0.25">
      <c r="J198" s="48"/>
      <c r="K198" s="17"/>
      <c r="L198" s="49"/>
    </row>
    <row r="199" spans="10:12" ht="15" customHeight="1" x14ac:dyDescent="0.25">
      <c r="J199" s="48"/>
      <c r="K199" s="17"/>
      <c r="L199" s="49"/>
    </row>
    <row r="200" spans="10:12" ht="15" customHeight="1" x14ac:dyDescent="0.25">
      <c r="J200" s="48"/>
      <c r="K200" s="17"/>
      <c r="L200" s="49"/>
    </row>
    <row r="201" spans="10:12" ht="15" customHeight="1" x14ac:dyDescent="0.25">
      <c r="J201" s="48"/>
      <c r="K201" s="17"/>
      <c r="L201" s="49"/>
    </row>
    <row r="202" spans="10:12" ht="15" customHeight="1" x14ac:dyDescent="0.25">
      <c r="J202" s="48"/>
      <c r="K202" s="17"/>
      <c r="L202" s="49"/>
    </row>
    <row r="203" spans="10:12" ht="15" customHeight="1" x14ac:dyDescent="0.25">
      <c r="J203" s="48"/>
      <c r="K203" s="17"/>
      <c r="L203" s="49"/>
    </row>
    <row r="204" spans="10:12" ht="15" customHeight="1" x14ac:dyDescent="0.25">
      <c r="J204" s="48"/>
      <c r="K204" s="17"/>
      <c r="L204" s="49"/>
    </row>
    <row r="205" spans="10:12" ht="15" customHeight="1" x14ac:dyDescent="0.25">
      <c r="J205" s="48"/>
      <c r="K205" s="17"/>
      <c r="L205" s="49"/>
    </row>
    <row r="206" spans="10:12" ht="15" customHeight="1" x14ac:dyDescent="0.25">
      <c r="J206" s="48"/>
      <c r="K206" s="17"/>
      <c r="L206" s="49"/>
    </row>
    <row r="207" spans="10:12" ht="15" customHeight="1" x14ac:dyDescent="0.25">
      <c r="J207" s="48"/>
      <c r="K207" s="17"/>
      <c r="L207" s="49"/>
    </row>
    <row r="208" spans="10:12" ht="15" customHeight="1" x14ac:dyDescent="0.25">
      <c r="J208" s="48"/>
      <c r="K208" s="17"/>
      <c r="L208" s="49"/>
    </row>
    <row r="209" spans="10:12" ht="15" customHeight="1" x14ac:dyDescent="0.25">
      <c r="J209" s="48"/>
      <c r="K209" s="17"/>
      <c r="L209" s="49"/>
    </row>
    <row r="210" spans="10:12" ht="15" customHeight="1" x14ac:dyDescent="0.25">
      <c r="J210" s="48"/>
      <c r="K210" s="17"/>
      <c r="L210" s="49"/>
    </row>
    <row r="211" spans="10:12" ht="15" customHeight="1" x14ac:dyDescent="0.25">
      <c r="J211" s="48"/>
      <c r="K211" s="17"/>
      <c r="L211" s="49"/>
    </row>
    <row r="212" spans="10:12" ht="15" customHeight="1" x14ac:dyDescent="0.25">
      <c r="J212" s="48"/>
      <c r="K212" s="17"/>
      <c r="L212" s="49"/>
    </row>
    <row r="213" spans="10:12" ht="15" customHeight="1" x14ac:dyDescent="0.25">
      <c r="J213" s="48"/>
      <c r="K213" s="17"/>
      <c r="L213" s="49"/>
    </row>
    <row r="214" spans="10:12" ht="15" customHeight="1" x14ac:dyDescent="0.25">
      <c r="J214" s="48"/>
      <c r="K214" s="17"/>
      <c r="L214" s="49"/>
    </row>
    <row r="215" spans="10:12" ht="15" customHeight="1" x14ac:dyDescent="0.25">
      <c r="J215" s="48"/>
      <c r="K215" s="17"/>
      <c r="L215" s="49"/>
    </row>
    <row r="216" spans="10:12" ht="15" customHeight="1" x14ac:dyDescent="0.25">
      <c r="J216" s="48"/>
      <c r="K216" s="17"/>
      <c r="L216" s="49"/>
    </row>
    <row r="217" spans="10:12" ht="15" customHeight="1" x14ac:dyDescent="0.25">
      <c r="J217" s="48"/>
      <c r="K217" s="17"/>
      <c r="L217" s="49"/>
    </row>
    <row r="218" spans="10:12" ht="15" customHeight="1" x14ac:dyDescent="0.25">
      <c r="J218" s="48"/>
      <c r="K218" s="17"/>
      <c r="L218" s="49"/>
    </row>
    <row r="219" spans="10:12" ht="15" customHeight="1" x14ac:dyDescent="0.25">
      <c r="J219" s="48"/>
      <c r="K219" s="17"/>
      <c r="L219" s="49"/>
    </row>
    <row r="220" spans="10:12" ht="15" customHeight="1" x14ac:dyDescent="0.25">
      <c r="J220" s="48"/>
      <c r="K220" s="17"/>
      <c r="L220" s="49"/>
    </row>
    <row r="221" spans="10:12" ht="15" customHeight="1" x14ac:dyDescent="0.25">
      <c r="J221" s="48"/>
      <c r="K221" s="17"/>
      <c r="L221" s="49"/>
    </row>
    <row r="222" spans="10:12" ht="15" customHeight="1" x14ac:dyDescent="0.25">
      <c r="J222" s="48"/>
      <c r="K222" s="17"/>
      <c r="L222" s="49"/>
    </row>
    <row r="223" spans="10:12" ht="15" customHeight="1" x14ac:dyDescent="0.25">
      <c r="J223" s="48"/>
      <c r="K223" s="17"/>
      <c r="L223" s="49"/>
    </row>
    <row r="224" spans="10:12" ht="15" customHeight="1" x14ac:dyDescent="0.25">
      <c r="J224" s="48"/>
      <c r="K224" s="17"/>
      <c r="L224" s="49"/>
    </row>
    <row r="225" spans="10:12" ht="15" customHeight="1" x14ac:dyDescent="0.25">
      <c r="J225" s="48"/>
      <c r="K225" s="17"/>
      <c r="L225" s="49"/>
    </row>
    <row r="226" spans="10:12" ht="15" customHeight="1" x14ac:dyDescent="0.25">
      <c r="J226" s="48"/>
      <c r="K226" s="17"/>
      <c r="L226" s="49"/>
    </row>
    <row r="227" spans="10:12" ht="15" customHeight="1" x14ac:dyDescent="0.25">
      <c r="J227" s="48"/>
      <c r="K227" s="17"/>
      <c r="L227" s="49"/>
    </row>
    <row r="228" spans="10:12" ht="15" customHeight="1" x14ac:dyDescent="0.25">
      <c r="J228" s="48"/>
      <c r="K228" s="17"/>
      <c r="L228" s="49"/>
    </row>
    <row r="229" spans="10:12" ht="15" customHeight="1" x14ac:dyDescent="0.25">
      <c r="J229" s="48"/>
      <c r="K229" s="17"/>
      <c r="L229" s="49"/>
    </row>
    <row r="230" spans="10:12" ht="15" customHeight="1" x14ac:dyDescent="0.25">
      <c r="J230" s="48"/>
      <c r="K230" s="17"/>
      <c r="L230" s="49"/>
    </row>
    <row r="231" spans="10:12" ht="15" customHeight="1" x14ac:dyDescent="0.25">
      <c r="J231" s="48"/>
      <c r="K231" s="17"/>
      <c r="L231" s="49"/>
    </row>
    <row r="232" spans="10:12" ht="15" customHeight="1" x14ac:dyDescent="0.25">
      <c r="J232" s="48"/>
      <c r="K232" s="17"/>
      <c r="L232" s="49"/>
    </row>
    <row r="233" spans="10:12" ht="15" customHeight="1" x14ac:dyDescent="0.25">
      <c r="J233" s="48"/>
      <c r="K233" s="17"/>
      <c r="L233" s="49"/>
    </row>
    <row r="234" spans="10:12" ht="15" customHeight="1" x14ac:dyDescent="0.25">
      <c r="J234" s="48"/>
      <c r="K234" s="17"/>
      <c r="L234" s="49"/>
    </row>
    <row r="235" spans="10:12" ht="15" customHeight="1" x14ac:dyDescent="0.25">
      <c r="J235" s="48"/>
      <c r="K235" s="17"/>
      <c r="L235" s="49"/>
    </row>
    <row r="236" spans="10:12" ht="15" customHeight="1" x14ac:dyDescent="0.25">
      <c r="J236" s="48"/>
      <c r="K236" s="17"/>
      <c r="L236" s="49"/>
    </row>
    <row r="237" spans="10:12" ht="15" customHeight="1" x14ac:dyDescent="0.25">
      <c r="J237" s="48"/>
      <c r="K237" s="17"/>
      <c r="L237" s="49"/>
    </row>
    <row r="238" spans="10:12" ht="15" customHeight="1" x14ac:dyDescent="0.25">
      <c r="J238" s="48"/>
      <c r="K238" s="17"/>
      <c r="L238" s="49"/>
    </row>
    <row r="239" spans="10:12" ht="15" customHeight="1" x14ac:dyDescent="0.25">
      <c r="J239" s="48"/>
      <c r="K239" s="17"/>
      <c r="L239" s="49"/>
    </row>
    <row r="240" spans="10:12" ht="15" customHeight="1" x14ac:dyDescent="0.25">
      <c r="J240" s="48"/>
      <c r="K240" s="17"/>
      <c r="L240" s="49"/>
    </row>
    <row r="241" spans="10:12" ht="15" customHeight="1" x14ac:dyDescent="0.25">
      <c r="J241" s="48"/>
      <c r="K241" s="17"/>
      <c r="L241" s="49"/>
    </row>
    <row r="242" spans="10:12" ht="15" customHeight="1" x14ac:dyDescent="0.25">
      <c r="J242" s="48"/>
      <c r="K242" s="17"/>
      <c r="L242" s="49"/>
    </row>
    <row r="243" spans="10:12" ht="15" customHeight="1" x14ac:dyDescent="0.25">
      <c r="J243" s="48"/>
      <c r="K243" s="17"/>
      <c r="L243" s="49"/>
    </row>
    <row r="244" spans="10:12" ht="15" customHeight="1" x14ac:dyDescent="0.25">
      <c r="J244" s="48"/>
      <c r="K244" s="17"/>
      <c r="L244" s="49"/>
    </row>
    <row r="245" spans="10:12" ht="15" customHeight="1" x14ac:dyDescent="0.25">
      <c r="J245" s="48"/>
      <c r="K245" s="17"/>
      <c r="L245" s="49"/>
    </row>
    <row r="246" spans="10:12" ht="15" customHeight="1" x14ac:dyDescent="0.25">
      <c r="J246" s="48"/>
      <c r="K246" s="17"/>
      <c r="L246" s="49"/>
    </row>
    <row r="247" spans="10:12" ht="15" customHeight="1" x14ac:dyDescent="0.25">
      <c r="J247" s="48"/>
      <c r="K247" s="17"/>
      <c r="L247" s="49"/>
    </row>
    <row r="248" spans="10:12" ht="15" customHeight="1" x14ac:dyDescent="0.25">
      <c r="J248" s="48"/>
      <c r="K248" s="17"/>
      <c r="L248" s="49"/>
    </row>
    <row r="249" spans="10:12" ht="15" customHeight="1" x14ac:dyDescent="0.25">
      <c r="J249" s="48"/>
      <c r="K249" s="17"/>
      <c r="L249" s="49"/>
    </row>
    <row r="250" spans="10:12" ht="15" customHeight="1" x14ac:dyDescent="0.25">
      <c r="J250" s="48"/>
      <c r="K250" s="17"/>
      <c r="L250" s="49"/>
    </row>
    <row r="251" spans="10:12" ht="15" customHeight="1" x14ac:dyDescent="0.25">
      <c r="J251" s="48"/>
      <c r="K251" s="17"/>
      <c r="L251" s="49"/>
    </row>
    <row r="252" spans="10:12" ht="15" customHeight="1" x14ac:dyDescent="0.25">
      <c r="J252" s="48"/>
      <c r="K252" s="17"/>
      <c r="L252" s="49"/>
    </row>
    <row r="253" spans="10:12" ht="15" customHeight="1" x14ac:dyDescent="0.25">
      <c r="J253" s="48"/>
      <c r="K253" s="17"/>
      <c r="L253" s="49"/>
    </row>
    <row r="254" spans="10:12" ht="15" customHeight="1" x14ac:dyDescent="0.25">
      <c r="J254" s="48"/>
      <c r="K254" s="17"/>
      <c r="L254" s="49"/>
    </row>
    <row r="255" spans="10:12" ht="15" customHeight="1" x14ac:dyDescent="0.25">
      <c r="J255" s="48"/>
      <c r="K255" s="17"/>
      <c r="L255" s="49"/>
    </row>
    <row r="256" spans="10:12" ht="15" customHeight="1" x14ac:dyDescent="0.25">
      <c r="J256" s="48"/>
      <c r="K256" s="17"/>
      <c r="L256" s="49"/>
    </row>
    <row r="257" spans="10:12" ht="15" customHeight="1" x14ac:dyDescent="0.25">
      <c r="J257" s="48"/>
      <c r="K257" s="17"/>
      <c r="L257" s="49"/>
    </row>
    <row r="258" spans="10:12" ht="15" customHeight="1" x14ac:dyDescent="0.25">
      <c r="J258" s="48"/>
      <c r="K258" s="17"/>
      <c r="L258" s="49"/>
    </row>
    <row r="259" spans="10:12" ht="15" customHeight="1" x14ac:dyDescent="0.25">
      <c r="J259" s="48"/>
      <c r="K259" s="17"/>
      <c r="L259" s="49"/>
    </row>
    <row r="260" spans="10:12" ht="15" customHeight="1" x14ac:dyDescent="0.25">
      <c r="J260" s="48"/>
      <c r="K260" s="17"/>
      <c r="L260" s="49"/>
    </row>
    <row r="261" spans="10:12" ht="15" customHeight="1" x14ac:dyDescent="0.25">
      <c r="J261" s="48"/>
      <c r="K261" s="17"/>
      <c r="L261" s="49"/>
    </row>
    <row r="262" spans="10:12" ht="15" customHeight="1" x14ac:dyDescent="0.25">
      <c r="J262" s="48"/>
      <c r="K262" s="17"/>
      <c r="L262" s="49"/>
    </row>
    <row r="263" spans="10:12" ht="15" customHeight="1" x14ac:dyDescent="0.25">
      <c r="J263" s="48"/>
      <c r="K263" s="17"/>
      <c r="L263" s="49"/>
    </row>
    <row r="264" spans="10:12" ht="15" customHeight="1" x14ac:dyDescent="0.25">
      <c r="J264" s="48"/>
      <c r="K264" s="17"/>
      <c r="L264" s="49"/>
    </row>
    <row r="265" spans="10:12" ht="15" customHeight="1" x14ac:dyDescent="0.25">
      <c r="J265" s="48"/>
      <c r="K265" s="17"/>
      <c r="L265" s="49"/>
    </row>
    <row r="266" spans="10:12" ht="15" customHeight="1" x14ac:dyDescent="0.25">
      <c r="J266" s="48"/>
      <c r="K266" s="17"/>
      <c r="L266" s="49"/>
    </row>
    <row r="267" spans="10:12" ht="15" customHeight="1" x14ac:dyDescent="0.25">
      <c r="J267" s="48"/>
      <c r="K267" s="17"/>
      <c r="L267" s="49"/>
    </row>
    <row r="268" spans="10:12" ht="15" customHeight="1" x14ac:dyDescent="0.25">
      <c r="J268" s="48"/>
      <c r="K268" s="17"/>
      <c r="L268" s="49"/>
    </row>
    <row r="269" spans="10:12" ht="15" customHeight="1" x14ac:dyDescent="0.25">
      <c r="J269" s="48"/>
      <c r="K269" s="17"/>
      <c r="L269" s="49"/>
    </row>
    <row r="270" spans="10:12" ht="15" customHeight="1" x14ac:dyDescent="0.25">
      <c r="J270" s="48"/>
      <c r="K270" s="17"/>
      <c r="L270" s="49"/>
    </row>
    <row r="271" spans="10:12" ht="15" customHeight="1" x14ac:dyDescent="0.25">
      <c r="J271" s="48"/>
      <c r="K271" s="17"/>
      <c r="L271" s="49"/>
    </row>
    <row r="272" spans="10:12" ht="15" customHeight="1" x14ac:dyDescent="0.25">
      <c r="J272" s="48"/>
      <c r="K272" s="17"/>
      <c r="L272" s="49"/>
    </row>
    <row r="273" spans="10:12" ht="15" customHeight="1" x14ac:dyDescent="0.25">
      <c r="J273" s="48"/>
      <c r="K273" s="17"/>
      <c r="L273" s="49"/>
    </row>
    <row r="274" spans="10:12" ht="15" customHeight="1" x14ac:dyDescent="0.25">
      <c r="J274" s="48"/>
      <c r="K274" s="17"/>
      <c r="L274" s="49"/>
    </row>
    <row r="275" spans="10:12" ht="15" customHeight="1" x14ac:dyDescent="0.25">
      <c r="J275" s="48"/>
      <c r="K275" s="17"/>
      <c r="L275" s="49"/>
    </row>
    <row r="276" spans="10:12" ht="15" customHeight="1" x14ac:dyDescent="0.25">
      <c r="J276" s="48"/>
      <c r="K276" s="17"/>
      <c r="L276" s="49"/>
    </row>
    <row r="277" spans="10:12" ht="15" customHeight="1" x14ac:dyDescent="0.25">
      <c r="J277" s="48"/>
      <c r="K277" s="17"/>
      <c r="L277" s="49"/>
    </row>
    <row r="278" spans="10:12" ht="15" customHeight="1" x14ac:dyDescent="0.25">
      <c r="J278" s="48"/>
      <c r="K278" s="17"/>
      <c r="L278" s="49"/>
    </row>
    <row r="279" spans="10:12" ht="15" customHeight="1" x14ac:dyDescent="0.25">
      <c r="J279" s="48"/>
      <c r="K279" s="17"/>
      <c r="L279" s="49"/>
    </row>
    <row r="280" spans="10:12" ht="15" customHeight="1" x14ac:dyDescent="0.25">
      <c r="J280" s="48"/>
      <c r="K280" s="17"/>
      <c r="L280" s="49"/>
    </row>
    <row r="281" spans="10:12" ht="15" customHeight="1" x14ac:dyDescent="0.25">
      <c r="J281" s="48"/>
      <c r="K281" s="17"/>
      <c r="L281" s="49"/>
    </row>
    <row r="282" spans="10:12" ht="15" customHeight="1" x14ac:dyDescent="0.25">
      <c r="J282" s="48"/>
      <c r="K282" s="17"/>
      <c r="L282" s="49"/>
    </row>
    <row r="283" spans="10:12" ht="15" customHeight="1" x14ac:dyDescent="0.25">
      <c r="J283" s="48"/>
      <c r="K283" s="17"/>
      <c r="L283" s="49"/>
    </row>
    <row r="284" spans="10:12" ht="15" customHeight="1" x14ac:dyDescent="0.25">
      <c r="J284" s="48"/>
      <c r="K284" s="17"/>
      <c r="L284" s="49"/>
    </row>
    <row r="285" spans="10:12" ht="15" customHeight="1" x14ac:dyDescent="0.25">
      <c r="J285" s="48"/>
      <c r="K285" s="17"/>
      <c r="L285" s="49"/>
    </row>
    <row r="286" spans="10:12" ht="15" customHeight="1" x14ac:dyDescent="0.25">
      <c r="J286" s="48"/>
      <c r="K286" s="17"/>
      <c r="L286" s="49"/>
    </row>
    <row r="287" spans="10:12" ht="15" customHeight="1" x14ac:dyDescent="0.25">
      <c r="J287" s="48"/>
      <c r="K287" s="17"/>
      <c r="L287" s="49"/>
    </row>
    <row r="288" spans="10:12" ht="15" customHeight="1" x14ac:dyDescent="0.25">
      <c r="J288" s="48"/>
      <c r="K288" s="17"/>
      <c r="L288" s="49"/>
    </row>
    <row r="289" spans="10:12" ht="15" customHeight="1" x14ac:dyDescent="0.25">
      <c r="J289" s="48"/>
      <c r="K289" s="17"/>
      <c r="L289" s="49"/>
    </row>
    <row r="290" spans="10:12" ht="15" customHeight="1" x14ac:dyDescent="0.25">
      <c r="J290" s="48"/>
      <c r="K290" s="17"/>
      <c r="L290" s="49"/>
    </row>
    <row r="291" spans="10:12" ht="15" customHeight="1" x14ac:dyDescent="0.25">
      <c r="J291" s="48"/>
      <c r="K291" s="17"/>
      <c r="L291" s="49"/>
    </row>
    <row r="292" spans="10:12" ht="15" customHeight="1" x14ac:dyDescent="0.25">
      <c r="J292" s="48"/>
      <c r="K292" s="17"/>
      <c r="L292" s="49"/>
    </row>
    <row r="293" spans="10:12" ht="15" customHeight="1" x14ac:dyDescent="0.25">
      <c r="J293" s="48"/>
      <c r="K293" s="17"/>
      <c r="L293" s="49"/>
    </row>
    <row r="294" spans="10:12" ht="15" customHeight="1" x14ac:dyDescent="0.25">
      <c r="J294" s="48"/>
      <c r="K294" s="17"/>
      <c r="L294" s="49"/>
    </row>
    <row r="295" spans="10:12" ht="15" customHeight="1" x14ac:dyDescent="0.25">
      <c r="J295" s="48"/>
      <c r="K295" s="17"/>
      <c r="L295" s="49"/>
    </row>
    <row r="296" spans="10:12" ht="15" customHeight="1" x14ac:dyDescent="0.25">
      <c r="J296" s="48"/>
      <c r="K296" s="17"/>
      <c r="L296" s="49"/>
    </row>
    <row r="297" spans="10:12" ht="15" customHeight="1" x14ac:dyDescent="0.25">
      <c r="J297" s="48"/>
      <c r="K297" s="17"/>
      <c r="L297" s="49"/>
    </row>
    <row r="298" spans="10:12" ht="15" customHeight="1" x14ac:dyDescent="0.25">
      <c r="J298" s="48"/>
      <c r="K298" s="17"/>
      <c r="L298" s="49"/>
    </row>
    <row r="299" spans="10:12" ht="15" customHeight="1" x14ac:dyDescent="0.25">
      <c r="J299" s="48"/>
      <c r="K299" s="17"/>
      <c r="L299" s="49"/>
    </row>
    <row r="300" spans="10:12" ht="15" customHeight="1" x14ac:dyDescent="0.25">
      <c r="J300" s="48"/>
      <c r="K300" s="17"/>
      <c r="L300" s="49"/>
    </row>
    <row r="301" spans="10:12" ht="15" customHeight="1" x14ac:dyDescent="0.25">
      <c r="J301" s="48"/>
      <c r="K301" s="17"/>
      <c r="L301" s="49"/>
    </row>
    <row r="302" spans="10:12" ht="15" customHeight="1" x14ac:dyDescent="0.25">
      <c r="J302" s="48"/>
      <c r="K302" s="17"/>
      <c r="L302" s="49"/>
    </row>
    <row r="303" spans="10:12" ht="15" customHeight="1" x14ac:dyDescent="0.25">
      <c r="J303" s="48"/>
      <c r="K303" s="17"/>
      <c r="L303" s="49"/>
    </row>
    <row r="304" spans="10:12" ht="15" customHeight="1" x14ac:dyDescent="0.25">
      <c r="J304" s="48"/>
      <c r="K304" s="17"/>
      <c r="L304" s="49"/>
    </row>
    <row r="305" spans="10:12" ht="15" customHeight="1" x14ac:dyDescent="0.25">
      <c r="J305" s="48"/>
      <c r="K305" s="17"/>
      <c r="L305" s="49"/>
    </row>
    <row r="306" spans="10:12" ht="15" customHeight="1" x14ac:dyDescent="0.25">
      <c r="J306" s="48"/>
      <c r="K306" s="17"/>
      <c r="L306" s="49"/>
    </row>
    <row r="307" spans="10:12" ht="15" customHeight="1" x14ac:dyDescent="0.25">
      <c r="J307" s="48"/>
      <c r="K307" s="17"/>
      <c r="L307" s="49"/>
    </row>
    <row r="308" spans="10:12" ht="15" customHeight="1" x14ac:dyDescent="0.25">
      <c r="J308" s="48"/>
      <c r="K308" s="17"/>
      <c r="L308" s="49"/>
    </row>
    <row r="309" spans="10:12" ht="15" customHeight="1" x14ac:dyDescent="0.25">
      <c r="J309" s="48"/>
      <c r="K309" s="17"/>
      <c r="L309" s="49"/>
    </row>
    <row r="310" spans="10:12" ht="15" customHeight="1" x14ac:dyDescent="0.25">
      <c r="J310" s="48"/>
      <c r="K310" s="17"/>
      <c r="L310" s="49"/>
    </row>
    <row r="311" spans="10:12" ht="15" customHeight="1" x14ac:dyDescent="0.25">
      <c r="J311" s="48"/>
      <c r="K311" s="17"/>
      <c r="L311" s="49"/>
    </row>
    <row r="312" spans="10:12" ht="15" customHeight="1" x14ac:dyDescent="0.25">
      <c r="J312" s="48"/>
      <c r="K312" s="17"/>
      <c r="L312" s="49"/>
    </row>
    <row r="313" spans="10:12" ht="15" customHeight="1" x14ac:dyDescent="0.25">
      <c r="J313" s="48"/>
      <c r="K313" s="17"/>
      <c r="L313" s="49"/>
    </row>
    <row r="314" spans="10:12" ht="15" customHeight="1" x14ac:dyDescent="0.25">
      <c r="J314" s="48"/>
      <c r="K314" s="17"/>
      <c r="L314" s="49"/>
    </row>
    <row r="315" spans="10:12" ht="15" customHeight="1" x14ac:dyDescent="0.25">
      <c r="J315" s="48"/>
      <c r="K315" s="17"/>
      <c r="L315" s="49"/>
    </row>
    <row r="316" spans="10:12" ht="15" customHeight="1" x14ac:dyDescent="0.25">
      <c r="J316" s="48"/>
      <c r="K316" s="17"/>
      <c r="L316" s="49"/>
    </row>
    <row r="317" spans="10:12" ht="15" customHeight="1" x14ac:dyDescent="0.25">
      <c r="J317" s="48"/>
      <c r="K317" s="17"/>
      <c r="L317" s="49"/>
    </row>
    <row r="318" spans="10:12" ht="15" customHeight="1" x14ac:dyDescent="0.25">
      <c r="J318" s="48"/>
      <c r="K318" s="17"/>
      <c r="L318" s="49"/>
    </row>
    <row r="319" spans="10:12" ht="15" customHeight="1" x14ac:dyDescent="0.25">
      <c r="J319" s="16"/>
      <c r="K319" s="17"/>
      <c r="L319" s="49"/>
    </row>
    <row r="320" spans="10:12" ht="15" customHeight="1" x14ac:dyDescent="0.25">
      <c r="J320" s="16"/>
      <c r="K320" s="17"/>
      <c r="L320" s="49"/>
    </row>
    <row r="321" spans="10:12" ht="15" customHeight="1" x14ac:dyDescent="0.25">
      <c r="J321" s="16"/>
      <c r="K321" s="17"/>
      <c r="L321" s="49"/>
    </row>
    <row r="322" spans="10:12" ht="15" customHeight="1" x14ac:dyDescent="0.25">
      <c r="J322" s="16"/>
      <c r="K322" s="17"/>
      <c r="L322" s="49"/>
    </row>
    <row r="323" spans="10:12" ht="15" customHeight="1" x14ac:dyDescent="0.25">
      <c r="J323" s="16"/>
      <c r="K323" s="17"/>
      <c r="L323" s="49"/>
    </row>
    <row r="324" spans="10:12" ht="15" customHeight="1" x14ac:dyDescent="0.25">
      <c r="J324" s="16"/>
      <c r="K324" s="17"/>
      <c r="L324" s="49"/>
    </row>
    <row r="325" spans="10:12" ht="15" customHeight="1" x14ac:dyDescent="0.25">
      <c r="J325" s="16"/>
      <c r="K325" s="17"/>
      <c r="L325" s="49"/>
    </row>
    <row r="326" spans="10:12" ht="15" customHeight="1" x14ac:dyDescent="0.25">
      <c r="J326" s="16"/>
      <c r="K326" s="17"/>
      <c r="L326" s="49"/>
    </row>
    <row r="327" spans="10:12" ht="15" customHeight="1" x14ac:dyDescent="0.25">
      <c r="J327" s="16"/>
      <c r="K327" s="17"/>
      <c r="L327" s="49"/>
    </row>
    <row r="328" spans="10:12" ht="15" customHeight="1" x14ac:dyDescent="0.25">
      <c r="J328" s="16"/>
      <c r="K328" s="17"/>
      <c r="L328" s="49"/>
    </row>
    <row r="329" spans="10:12" ht="15" customHeight="1" x14ac:dyDescent="0.25">
      <c r="J329" s="16"/>
      <c r="K329" s="17"/>
      <c r="L329" s="49"/>
    </row>
    <row r="330" spans="10:12" ht="15" customHeight="1" x14ac:dyDescent="0.25">
      <c r="J330" s="16"/>
      <c r="K330" s="17"/>
      <c r="L330" s="49"/>
    </row>
    <row r="331" spans="10:12" ht="15" customHeight="1" x14ac:dyDescent="0.25">
      <c r="J331" s="16"/>
      <c r="K331" s="17"/>
      <c r="L331" s="49"/>
    </row>
    <row r="332" spans="10:12" ht="15" customHeight="1" x14ac:dyDescent="0.25">
      <c r="J332" s="16"/>
      <c r="K332" s="17"/>
      <c r="L332" s="49"/>
    </row>
    <row r="333" spans="10:12" ht="15" customHeight="1" x14ac:dyDescent="0.25">
      <c r="J333" s="16"/>
      <c r="K333" s="17"/>
      <c r="L333" s="49"/>
    </row>
    <row r="334" spans="10:12" ht="15" customHeight="1" x14ac:dyDescent="0.25">
      <c r="J334" s="16"/>
      <c r="K334" s="17"/>
      <c r="L334" s="49"/>
    </row>
    <row r="335" spans="10:12" ht="15" customHeight="1" x14ac:dyDescent="0.25">
      <c r="J335" s="16"/>
      <c r="K335" s="17"/>
      <c r="L335" s="49"/>
    </row>
    <row r="336" spans="10:12" ht="15" customHeight="1" x14ac:dyDescent="0.25">
      <c r="J336" s="16"/>
      <c r="K336" s="17"/>
      <c r="L336" s="49"/>
    </row>
    <row r="337" spans="10:12" ht="15" customHeight="1" x14ac:dyDescent="0.25">
      <c r="J337" s="16"/>
      <c r="K337" s="17"/>
      <c r="L337" s="49"/>
    </row>
    <row r="338" spans="10:12" ht="15" customHeight="1" x14ac:dyDescent="0.25">
      <c r="J338" s="16"/>
      <c r="K338" s="17"/>
      <c r="L338" s="49"/>
    </row>
    <row r="339" spans="10:12" ht="15" customHeight="1" x14ac:dyDescent="0.25">
      <c r="J339" s="16"/>
      <c r="K339" s="17"/>
      <c r="L339" s="49"/>
    </row>
    <row r="340" spans="10:12" ht="15" customHeight="1" x14ac:dyDescent="0.25">
      <c r="J340" s="16"/>
      <c r="K340" s="17"/>
      <c r="L340" s="49"/>
    </row>
    <row r="341" spans="10:12" ht="15" customHeight="1" x14ac:dyDescent="0.25">
      <c r="J341" s="16"/>
      <c r="K341" s="17"/>
      <c r="L341" s="49"/>
    </row>
    <row r="342" spans="10:12" ht="15" customHeight="1" x14ac:dyDescent="0.25">
      <c r="J342" s="16"/>
      <c r="K342" s="17"/>
      <c r="L342" s="49"/>
    </row>
    <row r="343" spans="10:12" ht="15" customHeight="1" x14ac:dyDescent="0.25">
      <c r="J343" s="16"/>
      <c r="K343" s="17"/>
      <c r="L343" s="49"/>
    </row>
    <row r="344" spans="10:12" ht="15" customHeight="1" x14ac:dyDescent="0.25">
      <c r="J344" s="16"/>
      <c r="K344" s="17"/>
      <c r="L344" s="49"/>
    </row>
    <row r="345" spans="10:12" ht="15" customHeight="1" x14ac:dyDescent="0.25">
      <c r="J345" s="16"/>
      <c r="K345" s="17"/>
      <c r="L345" s="49"/>
    </row>
    <row r="346" spans="10:12" ht="15" customHeight="1" x14ac:dyDescent="0.25">
      <c r="J346" s="16"/>
      <c r="K346" s="17"/>
      <c r="L346" s="49"/>
    </row>
    <row r="347" spans="10:12" ht="15" customHeight="1" x14ac:dyDescent="0.25">
      <c r="J347" s="16"/>
      <c r="K347" s="17"/>
      <c r="L347" s="49"/>
    </row>
    <row r="348" spans="10:12" ht="15" customHeight="1" x14ac:dyDescent="0.25">
      <c r="J348" s="16"/>
      <c r="K348" s="17"/>
      <c r="L348" s="49"/>
    </row>
    <row r="349" spans="10:12" ht="15" customHeight="1" x14ac:dyDescent="0.25">
      <c r="J349" s="16"/>
      <c r="K349" s="17"/>
      <c r="L349" s="49"/>
    </row>
    <row r="350" spans="10:12" ht="15" customHeight="1" x14ac:dyDescent="0.25">
      <c r="J350" s="16"/>
      <c r="K350" s="17"/>
      <c r="L350" s="49"/>
    </row>
    <row r="351" spans="10:12" ht="15" customHeight="1" x14ac:dyDescent="0.25">
      <c r="J351" s="16"/>
      <c r="K351" s="17"/>
      <c r="L351" s="49"/>
    </row>
    <row r="352" spans="10:12" ht="15" customHeight="1" x14ac:dyDescent="0.25">
      <c r="J352" s="16"/>
      <c r="K352" s="17"/>
      <c r="L352" s="49"/>
    </row>
    <row r="353" spans="10:12" ht="15" customHeight="1" x14ac:dyDescent="0.25">
      <c r="J353" s="16"/>
      <c r="K353" s="17"/>
      <c r="L353" s="49"/>
    </row>
    <row r="354" spans="10:12" ht="15" customHeight="1" x14ac:dyDescent="0.25">
      <c r="J354" s="16"/>
      <c r="K354" s="17"/>
      <c r="L354" s="49"/>
    </row>
  </sheetData>
  <autoFilter ref="A5:R134" xr:uid="{00000000-0009-0000-0000-00000D000000}">
    <filterColumn colId="11" showButton="0"/>
  </autoFilter>
  <mergeCells count="21">
    <mergeCell ref="A2:F3"/>
    <mergeCell ref="G2:I3"/>
    <mergeCell ref="J2:L3"/>
    <mergeCell ref="M2:N3"/>
    <mergeCell ref="A1:N1"/>
    <mergeCell ref="O1:P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M5"/>
    <mergeCell ref="O2:P3"/>
    <mergeCell ref="O4:P5"/>
    <mergeCell ref="N4:N5"/>
  </mergeCells>
  <conditionalFormatting sqref="C45:E58 A7:A58 C7:E13 C13:C37 C37:D44 K7:L27 K29:L32 C59:D60 D63 C61:C83 G7:I55 G56:G58 H56:I98 I99:I105 H103:H105 H106:I134">
    <cfRule type="expression" dxfId="7853" priority="840">
      <formula>AND($A7&lt;&gt;"",MOD(ROW(),2))</formula>
    </cfRule>
  </conditionalFormatting>
  <conditionalFormatting sqref="D7:D13 D37:D60 D63">
    <cfRule type="cellIs" dxfId="7852" priority="837" operator="equal">
      <formula>$C7</formula>
    </cfRule>
    <cfRule type="cellIs" dxfId="7851" priority="838" operator="greaterThan">
      <formula>$C7</formula>
    </cfRule>
    <cfRule type="cellIs" dxfId="7850" priority="839" operator="lessThan">
      <formula>$C7</formula>
    </cfRule>
  </conditionalFormatting>
  <conditionalFormatting sqref="M7:M27 M29:M58">
    <cfRule type="expression" dxfId="7849" priority="833">
      <formula>AND($A7&lt;&gt;"",MOD(ROW(),2))</formula>
    </cfRule>
  </conditionalFormatting>
  <conditionalFormatting sqref="K33:L58">
    <cfRule type="expression" dxfId="7848" priority="816">
      <formula>AND($A33&lt;&gt;"",MOD(ROW(),2))</formula>
    </cfRule>
  </conditionalFormatting>
  <conditionalFormatting sqref="K7:K27 K29:K58">
    <cfRule type="cellIs" dxfId="7847" priority="813" operator="equal">
      <formula>$C7</formula>
    </cfRule>
    <cfRule type="cellIs" dxfId="7846" priority="814" operator="greaterThan">
      <formula>$C7</formula>
    </cfRule>
    <cfRule type="cellIs" dxfId="7845" priority="815" operator="lessThan">
      <formula>$C7</formula>
    </cfRule>
  </conditionalFormatting>
  <conditionalFormatting sqref="K59:L84">
    <cfRule type="expression" dxfId="7844" priority="812">
      <formula>AND($A59&lt;&gt;"",MOD(ROW(),2))</formula>
    </cfRule>
  </conditionalFormatting>
  <conditionalFormatting sqref="K59:K84">
    <cfRule type="cellIs" dxfId="7843" priority="809" operator="equal">
      <formula>$C59</formula>
    </cfRule>
    <cfRule type="cellIs" dxfId="7842" priority="810" operator="greaterThan">
      <formula>$C59</formula>
    </cfRule>
    <cfRule type="cellIs" dxfId="7841" priority="811" operator="lessThan">
      <formula>$C59</formula>
    </cfRule>
  </conditionalFormatting>
  <conditionalFormatting sqref="K85:L110">
    <cfRule type="expression" dxfId="7840" priority="808">
      <formula>AND($A85&lt;&gt;"",MOD(ROW(),2))</formula>
    </cfRule>
  </conditionalFormatting>
  <conditionalFormatting sqref="K85:K110">
    <cfRule type="cellIs" dxfId="7839" priority="805" operator="equal">
      <formula>$C85</formula>
    </cfRule>
    <cfRule type="cellIs" dxfId="7838" priority="806" operator="greaterThan">
      <formula>$C85</formula>
    </cfRule>
    <cfRule type="cellIs" dxfId="7837" priority="807" operator="lessThan">
      <formula>$C85</formula>
    </cfRule>
  </conditionalFormatting>
  <conditionalFormatting sqref="K111:L136">
    <cfRule type="expression" dxfId="7836" priority="804">
      <formula>AND($A111&lt;&gt;"",MOD(ROW(),2))</formula>
    </cfRule>
  </conditionalFormatting>
  <conditionalFormatting sqref="K111:K136">
    <cfRule type="cellIs" dxfId="7835" priority="801" operator="equal">
      <formula>$C111</formula>
    </cfRule>
    <cfRule type="cellIs" dxfId="7834" priority="802" operator="greaterThan">
      <formula>$C111</formula>
    </cfRule>
    <cfRule type="cellIs" dxfId="7833" priority="803" operator="lessThan">
      <formula>$C111</formula>
    </cfRule>
  </conditionalFormatting>
  <conditionalFormatting sqref="K137:L162">
    <cfRule type="expression" dxfId="7832" priority="800">
      <formula>AND($A137&lt;&gt;"",MOD(ROW(),2))</formula>
    </cfRule>
  </conditionalFormatting>
  <conditionalFormatting sqref="K137:K162">
    <cfRule type="cellIs" dxfId="7831" priority="797" operator="equal">
      <formula>$C137</formula>
    </cfRule>
    <cfRule type="cellIs" dxfId="7830" priority="798" operator="greaterThan">
      <formula>$C137</formula>
    </cfRule>
    <cfRule type="cellIs" dxfId="7829" priority="799" operator="lessThan">
      <formula>$C137</formula>
    </cfRule>
  </conditionalFormatting>
  <conditionalFormatting sqref="K163:L188">
    <cfRule type="expression" dxfId="7828" priority="796">
      <formula>AND($A163&lt;&gt;"",MOD(ROW(),2))</formula>
    </cfRule>
  </conditionalFormatting>
  <conditionalFormatting sqref="K163:K188">
    <cfRule type="cellIs" dxfId="7827" priority="793" operator="equal">
      <formula>$C163</formula>
    </cfRule>
    <cfRule type="cellIs" dxfId="7826" priority="794" operator="greaterThan">
      <formula>$C163</formula>
    </cfRule>
    <cfRule type="cellIs" dxfId="7825" priority="795" operator="lessThan">
      <formula>$C163</formula>
    </cfRule>
  </conditionalFormatting>
  <conditionalFormatting sqref="K189:L214">
    <cfRule type="expression" dxfId="7824" priority="792">
      <formula>AND($A189&lt;&gt;"",MOD(ROW(),2))</formula>
    </cfRule>
  </conditionalFormatting>
  <conditionalFormatting sqref="K189:K214">
    <cfRule type="cellIs" dxfId="7823" priority="789" operator="equal">
      <formula>$C189</formula>
    </cfRule>
    <cfRule type="cellIs" dxfId="7822" priority="790" operator="greaterThan">
      <formula>$C189</formula>
    </cfRule>
    <cfRule type="cellIs" dxfId="7821" priority="791" operator="lessThan">
      <formula>$C189</formula>
    </cfRule>
  </conditionalFormatting>
  <conditionalFormatting sqref="K215:L240">
    <cfRule type="expression" dxfId="7820" priority="788">
      <formula>AND($A215&lt;&gt;"",MOD(ROW(),2))</formula>
    </cfRule>
  </conditionalFormatting>
  <conditionalFormatting sqref="K215:K240">
    <cfRule type="cellIs" dxfId="7819" priority="785" operator="equal">
      <formula>$C215</formula>
    </cfRule>
    <cfRule type="cellIs" dxfId="7818" priority="786" operator="greaterThan">
      <formula>$C215</formula>
    </cfRule>
    <cfRule type="cellIs" dxfId="7817" priority="787" operator="lessThan">
      <formula>$C215</formula>
    </cfRule>
  </conditionalFormatting>
  <conditionalFormatting sqref="K241:L266">
    <cfRule type="expression" dxfId="7816" priority="784">
      <formula>AND($A241&lt;&gt;"",MOD(ROW(),2))</formula>
    </cfRule>
  </conditionalFormatting>
  <conditionalFormatting sqref="K241:K266">
    <cfRule type="cellIs" dxfId="7815" priority="781" operator="equal">
      <formula>$C241</formula>
    </cfRule>
    <cfRule type="cellIs" dxfId="7814" priority="782" operator="greaterThan">
      <formula>$C241</formula>
    </cfRule>
    <cfRule type="cellIs" dxfId="7813" priority="783" operator="lessThan">
      <formula>$C241</formula>
    </cfRule>
  </conditionalFormatting>
  <conditionalFormatting sqref="K267:L292">
    <cfRule type="expression" dxfId="7812" priority="780">
      <formula>AND($A267&lt;&gt;"",MOD(ROW(),2))</formula>
    </cfRule>
  </conditionalFormatting>
  <conditionalFormatting sqref="K267:K292">
    <cfRule type="cellIs" dxfId="7811" priority="777" operator="equal">
      <formula>$C267</formula>
    </cfRule>
    <cfRule type="cellIs" dxfId="7810" priority="778" operator="greaterThan">
      <formula>$C267</formula>
    </cfRule>
    <cfRule type="cellIs" dxfId="7809" priority="779" operator="lessThan">
      <formula>$C267</formula>
    </cfRule>
  </conditionalFormatting>
  <conditionalFormatting sqref="K293:L318">
    <cfRule type="expression" dxfId="7808" priority="776">
      <formula>AND($A293&lt;&gt;"",MOD(ROW(),2))</formula>
    </cfRule>
  </conditionalFormatting>
  <conditionalFormatting sqref="K293:K318">
    <cfRule type="cellIs" dxfId="7807" priority="773" operator="equal">
      <formula>$C293</formula>
    </cfRule>
    <cfRule type="cellIs" dxfId="7806" priority="774" operator="greaterThan">
      <formula>$C293</formula>
    </cfRule>
    <cfRule type="cellIs" dxfId="7805" priority="775" operator="lessThan">
      <formula>$C293</formula>
    </cfRule>
  </conditionalFormatting>
  <conditionalFormatting sqref="F7:F13 F37:F60 F63:F2989">
    <cfRule type="containsText" dxfId="7804" priority="772" operator="containsText" text="Unpaid Rent">
      <formula>NOT(ISERROR(SEARCH("Unpaid Rent",F7)))</formula>
    </cfRule>
    <cfRule type="containsText" dxfId="7803" priority="817" stopIfTrue="1" operator="containsText" text="Closed Account">
      <formula>NOT(ISERROR(SEARCH("Closed Account",F7)))</formula>
    </cfRule>
  </conditionalFormatting>
  <conditionalFormatting sqref="M33:M58 L33:L318 L7:M27 L29:M32">
    <cfRule type="expression" dxfId="7802" priority="835">
      <formula>AND(#REF!&lt;&gt;"",MOD(ROW(),2))</formula>
    </cfRule>
  </conditionalFormatting>
  <conditionalFormatting sqref="M33:M58 L33:L318 L7:M27 L29:M32">
    <cfRule type="expression" dxfId="7801" priority="834">
      <formula>AND(#REF!&lt;&gt;"",MOD(ROW(),2))</formula>
    </cfRule>
  </conditionalFormatting>
  <conditionalFormatting sqref="M7:M27 M29:M58">
    <cfRule type="cellIs" dxfId="7800" priority="830" operator="equal">
      <formula>#REF!</formula>
    </cfRule>
    <cfRule type="cellIs" dxfId="7799" priority="831" operator="greaterThan">
      <formula>#REF!</formula>
    </cfRule>
    <cfRule type="cellIs" dxfId="7798" priority="832" operator="lessThan">
      <formula>#REF!</formula>
    </cfRule>
  </conditionalFormatting>
  <conditionalFormatting sqref="K319:L321">
    <cfRule type="expression" dxfId="7797" priority="766">
      <formula>AND($A319&lt;&gt;"",MOD(ROW(),2))</formula>
    </cfRule>
  </conditionalFormatting>
  <conditionalFormatting sqref="K319:K321">
    <cfRule type="cellIs" dxfId="7796" priority="763" operator="equal">
      <formula>$C319</formula>
    </cfRule>
    <cfRule type="cellIs" dxfId="7795" priority="764" operator="greaterThan">
      <formula>$C319</formula>
    </cfRule>
    <cfRule type="cellIs" dxfId="7794" priority="765" operator="lessThan">
      <formula>$C319</formula>
    </cfRule>
  </conditionalFormatting>
  <conditionalFormatting sqref="L319:L321">
    <cfRule type="expression" dxfId="7793" priority="768">
      <formula>AND(#REF!&lt;&gt;"",MOD(ROW(),2))</formula>
    </cfRule>
  </conditionalFormatting>
  <conditionalFormatting sqref="L319:L321">
    <cfRule type="expression" dxfId="7792" priority="767">
      <formula>AND(#REF!&lt;&gt;"",MOD(ROW(),2))</formula>
    </cfRule>
  </conditionalFormatting>
  <conditionalFormatting sqref="K322:L324">
    <cfRule type="expression" dxfId="7791" priority="760">
      <formula>AND($A322&lt;&gt;"",MOD(ROW(),2))</formula>
    </cfRule>
  </conditionalFormatting>
  <conditionalFormatting sqref="K322:K324">
    <cfRule type="cellIs" dxfId="7790" priority="757" operator="equal">
      <formula>$C322</formula>
    </cfRule>
    <cfRule type="cellIs" dxfId="7789" priority="758" operator="greaterThan">
      <formula>$C322</formula>
    </cfRule>
    <cfRule type="cellIs" dxfId="7788" priority="759" operator="lessThan">
      <formula>$C322</formula>
    </cfRule>
  </conditionalFormatting>
  <conditionalFormatting sqref="L322:L324">
    <cfRule type="expression" dxfId="7787" priority="762">
      <formula>AND(#REF!&lt;&gt;"",MOD(ROW(),2))</formula>
    </cfRule>
  </conditionalFormatting>
  <conditionalFormatting sqref="L322:L324">
    <cfRule type="expression" dxfId="7786" priority="761">
      <formula>AND(#REF!&lt;&gt;"",MOD(ROW(),2))</formula>
    </cfRule>
  </conditionalFormatting>
  <conditionalFormatting sqref="K325:L327">
    <cfRule type="expression" dxfId="7785" priority="754">
      <formula>AND($A325&lt;&gt;"",MOD(ROW(),2))</formula>
    </cfRule>
  </conditionalFormatting>
  <conditionalFormatting sqref="K325:K327">
    <cfRule type="cellIs" dxfId="7784" priority="751" operator="equal">
      <formula>$C325</formula>
    </cfRule>
    <cfRule type="cellIs" dxfId="7783" priority="752" operator="greaterThan">
      <formula>$C325</formula>
    </cfRule>
    <cfRule type="cellIs" dxfId="7782" priority="753" operator="lessThan">
      <formula>$C325</formula>
    </cfRule>
  </conditionalFormatting>
  <conditionalFormatting sqref="L325:L327">
    <cfRule type="expression" dxfId="7781" priority="756">
      <formula>AND(#REF!&lt;&gt;"",MOD(ROW(),2))</formula>
    </cfRule>
  </conditionalFormatting>
  <conditionalFormatting sqref="L325:L327">
    <cfRule type="expression" dxfId="7780" priority="755">
      <formula>AND(#REF!&lt;&gt;"",MOD(ROW(),2))</formula>
    </cfRule>
  </conditionalFormatting>
  <conditionalFormatting sqref="K328:L330">
    <cfRule type="expression" dxfId="7779" priority="748">
      <formula>AND($A328&lt;&gt;"",MOD(ROW(),2))</formula>
    </cfRule>
  </conditionalFormatting>
  <conditionalFormatting sqref="K328:K330">
    <cfRule type="cellIs" dxfId="7778" priority="745" operator="equal">
      <formula>$C328</formula>
    </cfRule>
    <cfRule type="cellIs" dxfId="7777" priority="746" operator="greaterThan">
      <formula>$C328</formula>
    </cfRule>
    <cfRule type="cellIs" dxfId="7776" priority="747" operator="lessThan">
      <formula>$C328</formula>
    </cfRule>
  </conditionalFormatting>
  <conditionalFormatting sqref="L328:L330">
    <cfRule type="expression" dxfId="7775" priority="750">
      <formula>AND(#REF!&lt;&gt;"",MOD(ROW(),2))</formula>
    </cfRule>
  </conditionalFormatting>
  <conditionalFormatting sqref="L328:L330">
    <cfRule type="expression" dxfId="7774" priority="749">
      <formula>AND(#REF!&lt;&gt;"",MOD(ROW(),2))</formula>
    </cfRule>
  </conditionalFormatting>
  <conditionalFormatting sqref="K331:L333">
    <cfRule type="expression" dxfId="7773" priority="742">
      <formula>AND($A331&lt;&gt;"",MOD(ROW(),2))</formula>
    </cfRule>
  </conditionalFormatting>
  <conditionalFormatting sqref="K331:K333">
    <cfRule type="cellIs" dxfId="7772" priority="739" operator="equal">
      <formula>$C331</formula>
    </cfRule>
    <cfRule type="cellIs" dxfId="7771" priority="740" operator="greaterThan">
      <formula>$C331</formula>
    </cfRule>
    <cfRule type="cellIs" dxfId="7770" priority="741" operator="lessThan">
      <formula>$C331</formula>
    </cfRule>
  </conditionalFormatting>
  <conditionalFormatting sqref="L331:L333">
    <cfRule type="expression" dxfId="7769" priority="744">
      <formula>AND(#REF!&lt;&gt;"",MOD(ROW(),2))</formula>
    </cfRule>
  </conditionalFormatting>
  <conditionalFormatting sqref="L331:L333">
    <cfRule type="expression" dxfId="7768" priority="743">
      <formula>AND(#REF!&lt;&gt;"",MOD(ROW(),2))</formula>
    </cfRule>
  </conditionalFormatting>
  <conditionalFormatting sqref="K334:L336">
    <cfRule type="expression" dxfId="7767" priority="736">
      <formula>AND($A334&lt;&gt;"",MOD(ROW(),2))</formula>
    </cfRule>
  </conditionalFormatting>
  <conditionalFormatting sqref="K334:K336">
    <cfRule type="cellIs" dxfId="7766" priority="733" operator="equal">
      <formula>$C334</formula>
    </cfRule>
    <cfRule type="cellIs" dxfId="7765" priority="734" operator="greaterThan">
      <formula>$C334</formula>
    </cfRule>
    <cfRule type="cellIs" dxfId="7764" priority="735" operator="lessThan">
      <formula>$C334</formula>
    </cfRule>
  </conditionalFormatting>
  <conditionalFormatting sqref="L334:L336">
    <cfRule type="expression" dxfId="7763" priority="738">
      <formula>AND(#REF!&lt;&gt;"",MOD(ROW(),2))</formula>
    </cfRule>
  </conditionalFormatting>
  <conditionalFormatting sqref="L334:L336">
    <cfRule type="expression" dxfId="7762" priority="737">
      <formula>AND(#REF!&lt;&gt;"",MOD(ROW(),2))</formula>
    </cfRule>
  </conditionalFormatting>
  <conditionalFormatting sqref="K337:L339">
    <cfRule type="expression" dxfId="7761" priority="730">
      <formula>AND($A337&lt;&gt;"",MOD(ROW(),2))</formula>
    </cfRule>
  </conditionalFormatting>
  <conditionalFormatting sqref="K337:K339">
    <cfRule type="cellIs" dxfId="7760" priority="727" operator="equal">
      <formula>$C337</formula>
    </cfRule>
    <cfRule type="cellIs" dxfId="7759" priority="728" operator="greaterThan">
      <formula>$C337</formula>
    </cfRule>
    <cfRule type="cellIs" dxfId="7758" priority="729" operator="lessThan">
      <formula>$C337</formula>
    </cfRule>
  </conditionalFormatting>
  <conditionalFormatting sqref="L337:L339">
    <cfRule type="expression" dxfId="7757" priority="732">
      <formula>AND(#REF!&lt;&gt;"",MOD(ROW(),2))</formula>
    </cfRule>
  </conditionalFormatting>
  <conditionalFormatting sqref="L337:L339">
    <cfRule type="expression" dxfId="7756" priority="731">
      <formula>AND(#REF!&lt;&gt;"",MOD(ROW(),2))</formula>
    </cfRule>
  </conditionalFormatting>
  <conditionalFormatting sqref="K340:L342">
    <cfRule type="expression" dxfId="7755" priority="724">
      <formula>AND($A340&lt;&gt;"",MOD(ROW(),2))</formula>
    </cfRule>
  </conditionalFormatting>
  <conditionalFormatting sqref="K340:K342">
    <cfRule type="cellIs" dxfId="7754" priority="721" operator="equal">
      <formula>$C340</formula>
    </cfRule>
    <cfRule type="cellIs" dxfId="7753" priority="722" operator="greaterThan">
      <formula>$C340</formula>
    </cfRule>
    <cfRule type="cellIs" dxfId="7752" priority="723" operator="lessThan">
      <formula>$C340</formula>
    </cfRule>
  </conditionalFormatting>
  <conditionalFormatting sqref="L340:L342">
    <cfRule type="expression" dxfId="7751" priority="726">
      <formula>AND(#REF!&lt;&gt;"",MOD(ROW(),2))</formula>
    </cfRule>
  </conditionalFormatting>
  <conditionalFormatting sqref="L340:L342">
    <cfRule type="expression" dxfId="7750" priority="725">
      <formula>AND(#REF!&lt;&gt;"",MOD(ROW(),2))</formula>
    </cfRule>
  </conditionalFormatting>
  <conditionalFormatting sqref="K343:L345">
    <cfRule type="expression" dxfId="7749" priority="718">
      <formula>AND($A343&lt;&gt;"",MOD(ROW(),2))</formula>
    </cfRule>
  </conditionalFormatting>
  <conditionalFormatting sqref="K343:K345">
    <cfRule type="cellIs" dxfId="7748" priority="715" operator="equal">
      <formula>$C343</formula>
    </cfRule>
    <cfRule type="cellIs" dxfId="7747" priority="716" operator="greaterThan">
      <formula>$C343</formula>
    </cfRule>
    <cfRule type="cellIs" dxfId="7746" priority="717" operator="lessThan">
      <formula>$C343</formula>
    </cfRule>
  </conditionalFormatting>
  <conditionalFormatting sqref="L343:L345">
    <cfRule type="expression" dxfId="7745" priority="720">
      <formula>AND(#REF!&lt;&gt;"",MOD(ROW(),2))</formula>
    </cfRule>
  </conditionalFormatting>
  <conditionalFormatting sqref="L343:L345">
    <cfRule type="expression" dxfId="7744" priority="719">
      <formula>AND(#REF!&lt;&gt;"",MOD(ROW(),2))</formula>
    </cfRule>
  </conditionalFormatting>
  <conditionalFormatting sqref="K346:L348">
    <cfRule type="expression" dxfId="7743" priority="712">
      <formula>AND($A346&lt;&gt;"",MOD(ROW(),2))</formula>
    </cfRule>
  </conditionalFormatting>
  <conditionalFormatting sqref="K346:K348">
    <cfRule type="cellIs" dxfId="7742" priority="709" operator="equal">
      <formula>$C346</formula>
    </cfRule>
    <cfRule type="cellIs" dxfId="7741" priority="710" operator="greaterThan">
      <formula>$C346</formula>
    </cfRule>
    <cfRule type="cellIs" dxfId="7740" priority="711" operator="lessThan">
      <formula>$C346</formula>
    </cfRule>
  </conditionalFormatting>
  <conditionalFormatting sqref="L346:L348">
    <cfRule type="expression" dxfId="7739" priority="714">
      <formula>AND(#REF!&lt;&gt;"",MOD(ROW(),2))</formula>
    </cfRule>
  </conditionalFormatting>
  <conditionalFormatting sqref="L346:L348">
    <cfRule type="expression" dxfId="7738" priority="713">
      <formula>AND(#REF!&lt;&gt;"",MOD(ROW(),2))</formula>
    </cfRule>
  </conditionalFormatting>
  <conditionalFormatting sqref="K349:L351">
    <cfRule type="expression" dxfId="7737" priority="706">
      <formula>AND($A349&lt;&gt;"",MOD(ROW(),2))</formula>
    </cfRule>
  </conditionalFormatting>
  <conditionalFormatting sqref="K349:K351">
    <cfRule type="cellIs" dxfId="7736" priority="703" operator="equal">
      <formula>$C349</formula>
    </cfRule>
    <cfRule type="cellIs" dxfId="7735" priority="704" operator="greaterThan">
      <formula>$C349</formula>
    </cfRule>
    <cfRule type="cellIs" dxfId="7734" priority="705" operator="lessThan">
      <formula>$C349</formula>
    </cfRule>
  </conditionalFormatting>
  <conditionalFormatting sqref="L349:L351">
    <cfRule type="expression" dxfId="7733" priority="708">
      <formula>AND(#REF!&lt;&gt;"",MOD(ROW(),2))</formula>
    </cfRule>
  </conditionalFormatting>
  <conditionalFormatting sqref="L349:L351">
    <cfRule type="expression" dxfId="7732" priority="707">
      <formula>AND(#REF!&lt;&gt;"",MOD(ROW(),2))</formula>
    </cfRule>
  </conditionalFormatting>
  <conditionalFormatting sqref="K352:L354">
    <cfRule type="expression" dxfId="7731" priority="700">
      <formula>AND($A352&lt;&gt;"",MOD(ROW(),2))</formula>
    </cfRule>
  </conditionalFormatting>
  <conditionalFormatting sqref="K352:K354">
    <cfRule type="cellIs" dxfId="7730" priority="697" operator="equal">
      <formula>$C352</formula>
    </cfRule>
    <cfRule type="cellIs" dxfId="7729" priority="698" operator="greaterThan">
      <formula>$C352</formula>
    </cfRule>
    <cfRule type="cellIs" dxfId="7728" priority="699" operator="lessThan">
      <formula>$C352</formula>
    </cfRule>
  </conditionalFormatting>
  <conditionalFormatting sqref="L352:L354">
    <cfRule type="expression" dxfId="7727" priority="702">
      <formula>AND(#REF!&lt;&gt;"",MOD(ROW(),2))</formula>
    </cfRule>
  </conditionalFormatting>
  <conditionalFormatting sqref="L352:L354">
    <cfRule type="expression" dxfId="7726" priority="701">
      <formula>AND(#REF!&lt;&gt;"",MOD(ROW(),2))</formula>
    </cfRule>
  </conditionalFormatting>
  <conditionalFormatting sqref="D13:E13">
    <cfRule type="expression" dxfId="7725" priority="537">
      <formula>AND($A13&lt;&gt;"",MOD(ROW(),2))</formula>
    </cfRule>
  </conditionalFormatting>
  <conditionalFormatting sqref="D13">
    <cfRule type="cellIs" dxfId="7724" priority="534" operator="equal">
      <formula>$C13</formula>
    </cfRule>
    <cfRule type="cellIs" dxfId="7723" priority="535" operator="greaterThan">
      <formula>$C13</formula>
    </cfRule>
    <cfRule type="cellIs" dxfId="7722" priority="536" operator="lessThan">
      <formula>$C13</formula>
    </cfRule>
  </conditionalFormatting>
  <conditionalFormatting sqref="D14:E14">
    <cfRule type="expression" dxfId="7721" priority="531">
      <formula>AND($A14&lt;&gt;"",MOD(ROW(),2))</formula>
    </cfRule>
  </conditionalFormatting>
  <conditionalFormatting sqref="D14">
    <cfRule type="cellIs" dxfId="7720" priority="528" operator="equal">
      <formula>$C14</formula>
    </cfRule>
    <cfRule type="cellIs" dxfId="7719" priority="529" operator="greaterThan">
      <formula>$C14</formula>
    </cfRule>
    <cfRule type="cellIs" dxfId="7718" priority="530" operator="lessThan">
      <formula>$C14</formula>
    </cfRule>
  </conditionalFormatting>
  <conditionalFormatting sqref="D15:E15">
    <cfRule type="expression" dxfId="7717" priority="527">
      <formula>AND($A15&lt;&gt;"",MOD(ROW(),2))</formula>
    </cfRule>
  </conditionalFormatting>
  <conditionalFormatting sqref="D15">
    <cfRule type="cellIs" dxfId="7716" priority="524" operator="equal">
      <formula>$C15</formula>
    </cfRule>
    <cfRule type="cellIs" dxfId="7715" priority="525" operator="greaterThan">
      <formula>$C15</formula>
    </cfRule>
    <cfRule type="cellIs" dxfId="7714" priority="526" operator="lessThan">
      <formula>$C15</formula>
    </cfRule>
  </conditionalFormatting>
  <conditionalFormatting sqref="D16:E16">
    <cfRule type="expression" dxfId="7713" priority="523">
      <formula>AND($A16&lt;&gt;"",MOD(ROW(),2))</formula>
    </cfRule>
  </conditionalFormatting>
  <conditionalFormatting sqref="D16">
    <cfRule type="cellIs" dxfId="7712" priority="520" operator="equal">
      <formula>$C16</formula>
    </cfRule>
    <cfRule type="cellIs" dxfId="7711" priority="521" operator="greaterThan">
      <formula>$C16</formula>
    </cfRule>
    <cfRule type="cellIs" dxfId="7710" priority="522" operator="lessThan">
      <formula>$C16</formula>
    </cfRule>
  </conditionalFormatting>
  <conditionalFormatting sqref="D17:E17">
    <cfRule type="expression" dxfId="7709" priority="519">
      <formula>AND($A17&lt;&gt;"",MOD(ROW(),2))</formula>
    </cfRule>
  </conditionalFormatting>
  <conditionalFormatting sqref="D17">
    <cfRule type="cellIs" dxfId="7708" priority="516" operator="equal">
      <formula>$C17</formula>
    </cfRule>
    <cfRule type="cellIs" dxfId="7707" priority="517" operator="greaterThan">
      <formula>$C17</formula>
    </cfRule>
    <cfRule type="cellIs" dxfId="7706" priority="518" operator="lessThan">
      <formula>$C17</formula>
    </cfRule>
  </conditionalFormatting>
  <conditionalFormatting sqref="D18:E18">
    <cfRule type="expression" dxfId="7705" priority="515">
      <formula>AND($A18&lt;&gt;"",MOD(ROW(),2))</formula>
    </cfRule>
  </conditionalFormatting>
  <conditionalFormatting sqref="D18">
    <cfRule type="cellIs" dxfId="7704" priority="512" operator="equal">
      <formula>$C18</formula>
    </cfRule>
    <cfRule type="cellIs" dxfId="7703" priority="513" operator="greaterThan">
      <formula>$C18</formula>
    </cfRule>
    <cfRule type="cellIs" dxfId="7702" priority="514" operator="lessThan">
      <formula>$C18</formula>
    </cfRule>
  </conditionalFormatting>
  <conditionalFormatting sqref="D19:E19">
    <cfRule type="expression" dxfId="7701" priority="511">
      <formula>AND($A19&lt;&gt;"",MOD(ROW(),2))</formula>
    </cfRule>
  </conditionalFormatting>
  <conditionalFormatting sqref="D19">
    <cfRule type="cellIs" dxfId="7700" priority="508" operator="equal">
      <formula>$C19</formula>
    </cfRule>
    <cfRule type="cellIs" dxfId="7699" priority="509" operator="greaterThan">
      <formula>$C19</formula>
    </cfRule>
    <cfRule type="cellIs" dxfId="7698" priority="510" operator="lessThan">
      <formula>$C19</formula>
    </cfRule>
  </conditionalFormatting>
  <conditionalFormatting sqref="D20:E20">
    <cfRule type="expression" dxfId="7697" priority="507">
      <formula>AND($A20&lt;&gt;"",MOD(ROW(),2))</formula>
    </cfRule>
  </conditionalFormatting>
  <conditionalFormatting sqref="D20">
    <cfRule type="cellIs" dxfId="7696" priority="504" operator="equal">
      <formula>$C20</formula>
    </cfRule>
    <cfRule type="cellIs" dxfId="7695" priority="505" operator="greaterThan">
      <formula>$C20</formula>
    </cfRule>
    <cfRule type="cellIs" dxfId="7694" priority="506" operator="lessThan">
      <formula>$C20</formula>
    </cfRule>
  </conditionalFormatting>
  <conditionalFormatting sqref="D21:E21">
    <cfRule type="expression" dxfId="7693" priority="503">
      <formula>AND($A21&lt;&gt;"",MOD(ROW(),2))</formula>
    </cfRule>
  </conditionalFormatting>
  <conditionalFormatting sqref="D21">
    <cfRule type="cellIs" dxfId="7692" priority="500" operator="equal">
      <formula>$C21</formula>
    </cfRule>
    <cfRule type="cellIs" dxfId="7691" priority="501" operator="greaterThan">
      <formula>$C21</formula>
    </cfRule>
    <cfRule type="cellIs" dxfId="7690" priority="502" operator="lessThan">
      <formula>$C21</formula>
    </cfRule>
  </conditionalFormatting>
  <conditionalFormatting sqref="D22:E22">
    <cfRule type="expression" dxfId="7689" priority="499">
      <formula>AND($A22&lt;&gt;"",MOD(ROW(),2))</formula>
    </cfRule>
  </conditionalFormatting>
  <conditionalFormatting sqref="D22">
    <cfRule type="cellIs" dxfId="7688" priority="496" operator="equal">
      <formula>$C22</formula>
    </cfRule>
    <cfRule type="cellIs" dxfId="7687" priority="497" operator="greaterThan">
      <formula>$C22</formula>
    </cfRule>
    <cfRule type="cellIs" dxfId="7686" priority="498" operator="lessThan">
      <formula>$C22</formula>
    </cfRule>
  </conditionalFormatting>
  <conditionalFormatting sqref="D23:E23">
    <cfRule type="expression" dxfId="7685" priority="495">
      <formula>AND($A23&lt;&gt;"",MOD(ROW(),2))</formula>
    </cfRule>
  </conditionalFormatting>
  <conditionalFormatting sqref="D23">
    <cfRule type="cellIs" dxfId="7684" priority="492" operator="equal">
      <formula>$C23</formula>
    </cfRule>
    <cfRule type="cellIs" dxfId="7683" priority="493" operator="greaterThan">
      <formula>$C23</formula>
    </cfRule>
    <cfRule type="cellIs" dxfId="7682" priority="494" operator="lessThan">
      <formula>$C23</formula>
    </cfRule>
  </conditionalFormatting>
  <conditionalFormatting sqref="D24:E24">
    <cfRule type="expression" dxfId="7681" priority="491">
      <formula>AND($A24&lt;&gt;"",MOD(ROW(),2))</formula>
    </cfRule>
  </conditionalFormatting>
  <conditionalFormatting sqref="D24">
    <cfRule type="cellIs" dxfId="7680" priority="488" operator="equal">
      <formula>$C24</formula>
    </cfRule>
    <cfRule type="cellIs" dxfId="7679" priority="489" operator="greaterThan">
      <formula>$C24</formula>
    </cfRule>
    <cfRule type="cellIs" dxfId="7678" priority="490" operator="lessThan">
      <formula>$C24</formula>
    </cfRule>
  </conditionalFormatting>
  <conditionalFormatting sqref="F13:F25">
    <cfRule type="containsText" dxfId="7677" priority="464" operator="containsText" text="Unpaid Rent">
      <formula>NOT(ISERROR(SEARCH("Unpaid Rent",F13)))</formula>
    </cfRule>
    <cfRule type="containsText" dxfId="7676" priority="465" stopIfTrue="1" operator="containsText" text="Closed Account">
      <formula>NOT(ISERROR(SEARCH("Closed Account",F13)))</formula>
    </cfRule>
  </conditionalFormatting>
  <conditionalFormatting sqref="F25:F37">
    <cfRule type="containsText" dxfId="7675" priority="462" operator="containsText" text="Unpaid Rent">
      <formula>NOT(ISERROR(SEARCH("Unpaid Rent",F25)))</formula>
    </cfRule>
    <cfRule type="containsText" dxfId="7674" priority="463" stopIfTrue="1" operator="containsText" text="Closed Account">
      <formula>NOT(ISERROR(SEARCH("Closed Account",F25)))</formula>
    </cfRule>
  </conditionalFormatting>
  <conditionalFormatting sqref="D25:E25">
    <cfRule type="expression" dxfId="7673" priority="461">
      <formula>AND($A25&lt;&gt;"",MOD(ROW(),2))</formula>
    </cfRule>
  </conditionalFormatting>
  <conditionalFormatting sqref="D25">
    <cfRule type="cellIs" dxfId="7672" priority="458" operator="equal">
      <formula>$C25</formula>
    </cfRule>
    <cfRule type="cellIs" dxfId="7671" priority="459" operator="greaterThan">
      <formula>$C25</formula>
    </cfRule>
    <cfRule type="cellIs" dxfId="7670" priority="460" operator="lessThan">
      <formula>$C25</formula>
    </cfRule>
  </conditionalFormatting>
  <conditionalFormatting sqref="D26:E26">
    <cfRule type="expression" dxfId="7669" priority="457">
      <formula>AND($A26&lt;&gt;"",MOD(ROW(),2))</formula>
    </cfRule>
  </conditionalFormatting>
  <conditionalFormatting sqref="D26">
    <cfRule type="cellIs" dxfId="7668" priority="454" operator="equal">
      <formula>$C26</formula>
    </cfRule>
    <cfRule type="cellIs" dxfId="7667" priority="455" operator="greaterThan">
      <formula>$C26</formula>
    </cfRule>
    <cfRule type="cellIs" dxfId="7666" priority="456" operator="lessThan">
      <formula>$C26</formula>
    </cfRule>
  </conditionalFormatting>
  <conditionalFormatting sqref="D27:E27">
    <cfRule type="expression" dxfId="7665" priority="453">
      <formula>AND($A27&lt;&gt;"",MOD(ROW(),2))</formula>
    </cfRule>
  </conditionalFormatting>
  <conditionalFormatting sqref="D27">
    <cfRule type="cellIs" dxfId="7664" priority="450" operator="equal">
      <formula>$C27</formula>
    </cfRule>
    <cfRule type="cellIs" dxfId="7663" priority="451" operator="greaterThan">
      <formula>$C27</formula>
    </cfRule>
    <cfRule type="cellIs" dxfId="7662" priority="452" operator="lessThan">
      <formula>$C27</formula>
    </cfRule>
  </conditionalFormatting>
  <conditionalFormatting sqref="D28:E28">
    <cfRule type="expression" dxfId="7661" priority="449">
      <formula>AND($A28&lt;&gt;"",MOD(ROW(),2))</formula>
    </cfRule>
  </conditionalFormatting>
  <conditionalFormatting sqref="D28">
    <cfRule type="cellIs" dxfId="7660" priority="446" operator="equal">
      <formula>$C28</formula>
    </cfRule>
    <cfRule type="cellIs" dxfId="7659" priority="447" operator="greaterThan">
      <formula>$C28</formula>
    </cfRule>
    <cfRule type="cellIs" dxfId="7658" priority="448" operator="lessThan">
      <formula>$C28</formula>
    </cfRule>
  </conditionalFormatting>
  <conditionalFormatting sqref="D29:E29">
    <cfRule type="expression" dxfId="7657" priority="445">
      <formula>AND($A29&lt;&gt;"",MOD(ROW(),2))</formula>
    </cfRule>
  </conditionalFormatting>
  <conditionalFormatting sqref="D29">
    <cfRule type="cellIs" dxfId="7656" priority="442" operator="equal">
      <formula>$C29</formula>
    </cfRule>
    <cfRule type="cellIs" dxfId="7655" priority="443" operator="greaterThan">
      <formula>$C29</formula>
    </cfRule>
    <cfRule type="cellIs" dxfId="7654" priority="444" operator="lessThan">
      <formula>$C29</formula>
    </cfRule>
  </conditionalFormatting>
  <conditionalFormatting sqref="D30:E30">
    <cfRule type="expression" dxfId="7653" priority="441">
      <formula>AND($A30&lt;&gt;"",MOD(ROW(),2))</formula>
    </cfRule>
  </conditionalFormatting>
  <conditionalFormatting sqref="D30">
    <cfRule type="cellIs" dxfId="7652" priority="438" operator="equal">
      <formula>$C30</formula>
    </cfRule>
    <cfRule type="cellIs" dxfId="7651" priority="439" operator="greaterThan">
      <formula>$C30</formula>
    </cfRule>
    <cfRule type="cellIs" dxfId="7650" priority="440" operator="lessThan">
      <formula>$C30</formula>
    </cfRule>
  </conditionalFormatting>
  <conditionalFormatting sqref="D31:E31">
    <cfRule type="expression" dxfId="7649" priority="437">
      <formula>AND($A31&lt;&gt;"",MOD(ROW(),2))</formula>
    </cfRule>
  </conditionalFormatting>
  <conditionalFormatting sqref="D31">
    <cfRule type="cellIs" dxfId="7648" priority="434" operator="equal">
      <formula>$C31</formula>
    </cfRule>
    <cfRule type="cellIs" dxfId="7647" priority="435" operator="greaterThan">
      <formula>$C31</formula>
    </cfRule>
    <cfRule type="cellIs" dxfId="7646" priority="436" operator="lessThan">
      <formula>$C31</formula>
    </cfRule>
  </conditionalFormatting>
  <conditionalFormatting sqref="D32:E32">
    <cfRule type="expression" dxfId="7645" priority="433">
      <formula>AND($A32&lt;&gt;"",MOD(ROW(),2))</formula>
    </cfRule>
  </conditionalFormatting>
  <conditionalFormatting sqref="D32">
    <cfRule type="cellIs" dxfId="7644" priority="430" operator="equal">
      <formula>$C32</formula>
    </cfRule>
    <cfRule type="cellIs" dxfId="7643" priority="431" operator="greaterThan">
      <formula>$C32</formula>
    </cfRule>
    <cfRule type="cellIs" dxfId="7642" priority="432" operator="lessThan">
      <formula>$C32</formula>
    </cfRule>
  </conditionalFormatting>
  <conditionalFormatting sqref="D33:E33">
    <cfRule type="expression" dxfId="7641" priority="429">
      <formula>AND($A33&lt;&gt;"",MOD(ROW(),2))</formula>
    </cfRule>
  </conditionalFormatting>
  <conditionalFormatting sqref="D33">
    <cfRule type="cellIs" dxfId="7640" priority="426" operator="equal">
      <formula>$C33</formula>
    </cfRule>
    <cfRule type="cellIs" dxfId="7639" priority="427" operator="greaterThan">
      <formula>$C33</formula>
    </cfRule>
    <cfRule type="cellIs" dxfId="7638" priority="428" operator="lessThan">
      <formula>$C33</formula>
    </cfRule>
  </conditionalFormatting>
  <conditionalFormatting sqref="D34:E34">
    <cfRule type="expression" dxfId="7637" priority="425">
      <formula>AND($A34&lt;&gt;"",MOD(ROW(),2))</formula>
    </cfRule>
  </conditionalFormatting>
  <conditionalFormatting sqref="D34">
    <cfRule type="cellIs" dxfId="7636" priority="422" operator="equal">
      <formula>$C34</formula>
    </cfRule>
    <cfRule type="cellIs" dxfId="7635" priority="423" operator="greaterThan">
      <formula>$C34</formula>
    </cfRule>
    <cfRule type="cellIs" dxfId="7634" priority="424" operator="lessThan">
      <formula>$C34</formula>
    </cfRule>
  </conditionalFormatting>
  <conditionalFormatting sqref="D35:E35">
    <cfRule type="expression" dxfId="7633" priority="421">
      <formula>AND($A35&lt;&gt;"",MOD(ROW(),2))</formula>
    </cfRule>
  </conditionalFormatting>
  <conditionalFormatting sqref="D35">
    <cfRule type="cellIs" dxfId="7632" priority="418" operator="equal">
      <formula>$C35</formula>
    </cfRule>
    <cfRule type="cellIs" dxfId="7631" priority="419" operator="greaterThan">
      <formula>$C35</formula>
    </cfRule>
    <cfRule type="cellIs" dxfId="7630" priority="420" operator="lessThan">
      <formula>$C35</formula>
    </cfRule>
  </conditionalFormatting>
  <conditionalFormatting sqref="D36:E36">
    <cfRule type="expression" dxfId="7629" priority="417">
      <formula>AND($A36&lt;&gt;"",MOD(ROW(),2))</formula>
    </cfRule>
  </conditionalFormatting>
  <conditionalFormatting sqref="D36">
    <cfRule type="cellIs" dxfId="7628" priority="414" operator="equal">
      <formula>$C36</formula>
    </cfRule>
    <cfRule type="cellIs" dxfId="7627" priority="415" operator="greaterThan">
      <formula>$C36</formula>
    </cfRule>
    <cfRule type="cellIs" dxfId="7626" priority="416" operator="lessThan">
      <formula>$C36</formula>
    </cfRule>
  </conditionalFormatting>
  <conditionalFormatting sqref="E37">
    <cfRule type="expression" dxfId="7625" priority="413">
      <formula>AND($A37&lt;&gt;"",MOD(ROW(),2))</formula>
    </cfRule>
  </conditionalFormatting>
  <conditionalFormatting sqref="E38">
    <cfRule type="expression" dxfId="7624" priority="412">
      <formula>AND($A38&lt;&gt;"",MOD(ROW(),2))</formula>
    </cfRule>
  </conditionalFormatting>
  <conditionalFormatting sqref="E39">
    <cfRule type="expression" dxfId="7623" priority="411">
      <formula>AND($A39&lt;&gt;"",MOD(ROW(),2))</formula>
    </cfRule>
  </conditionalFormatting>
  <conditionalFormatting sqref="E40">
    <cfRule type="expression" dxfId="7622" priority="410">
      <formula>AND($A40&lt;&gt;"",MOD(ROW(),2))</formula>
    </cfRule>
  </conditionalFormatting>
  <conditionalFormatting sqref="E41">
    <cfRule type="expression" dxfId="7621" priority="409">
      <formula>AND($A41&lt;&gt;"",MOD(ROW(),2))</formula>
    </cfRule>
  </conditionalFormatting>
  <conditionalFormatting sqref="E42">
    <cfRule type="expression" dxfId="7620" priority="408">
      <formula>AND($A42&lt;&gt;"",MOD(ROW(),2))</formula>
    </cfRule>
  </conditionalFormatting>
  <conditionalFormatting sqref="E43">
    <cfRule type="expression" dxfId="7619" priority="407">
      <formula>AND($A43&lt;&gt;"",MOD(ROW(),2))</formula>
    </cfRule>
  </conditionalFormatting>
  <conditionalFormatting sqref="C44:E44 A44">
    <cfRule type="expression" dxfId="7618" priority="398">
      <formula>AND($A44&lt;&gt;"",MOD(ROW(),2))</formula>
    </cfRule>
  </conditionalFormatting>
  <conditionalFormatting sqref="D44">
    <cfRule type="cellIs" dxfId="7617" priority="395" operator="equal">
      <formula>$C44</formula>
    </cfRule>
    <cfRule type="cellIs" dxfId="7616" priority="396" operator="greaterThan">
      <formula>$C44</formula>
    </cfRule>
    <cfRule type="cellIs" dxfId="7615" priority="397" operator="lessThan">
      <formula>$C44</formula>
    </cfRule>
  </conditionalFormatting>
  <conditionalFormatting sqref="F44">
    <cfRule type="containsText" dxfId="7614" priority="393" operator="containsText" text="Unpaid Rent">
      <formula>NOT(ISERROR(SEARCH("Unpaid Rent",F44)))</formula>
    </cfRule>
    <cfRule type="containsText" dxfId="7613" priority="394" stopIfTrue="1" operator="containsText" text="Closed Account">
      <formula>NOT(ISERROR(SEARCH("Closed Account",F44)))</formula>
    </cfRule>
  </conditionalFormatting>
  <conditionalFormatting sqref="D14:E14">
    <cfRule type="expression" dxfId="7612" priority="392">
      <formula>AND($A14&lt;&gt;"",MOD(ROW(),2))</formula>
    </cfRule>
  </conditionalFormatting>
  <conditionalFormatting sqref="D14">
    <cfRule type="cellIs" dxfId="7611" priority="389" operator="equal">
      <formula>$C14</formula>
    </cfRule>
    <cfRule type="cellIs" dxfId="7610" priority="390" operator="greaterThan">
      <formula>$C14</formula>
    </cfRule>
    <cfRule type="cellIs" dxfId="7609" priority="391" operator="lessThan">
      <formula>$C14</formula>
    </cfRule>
  </conditionalFormatting>
  <conditionalFormatting sqref="D15:E15">
    <cfRule type="expression" dxfId="7608" priority="388">
      <formula>AND($A15&lt;&gt;"",MOD(ROW(),2))</formula>
    </cfRule>
  </conditionalFormatting>
  <conditionalFormatting sqref="D15">
    <cfRule type="cellIs" dxfId="7607" priority="385" operator="equal">
      <formula>$C15</formula>
    </cfRule>
    <cfRule type="cellIs" dxfId="7606" priority="386" operator="greaterThan">
      <formula>$C15</formula>
    </cfRule>
    <cfRule type="cellIs" dxfId="7605" priority="387" operator="lessThan">
      <formula>$C15</formula>
    </cfRule>
  </conditionalFormatting>
  <conditionalFormatting sqref="D16:E16">
    <cfRule type="expression" dxfId="7604" priority="384">
      <formula>AND($A16&lt;&gt;"",MOD(ROW(),2))</formula>
    </cfRule>
  </conditionalFormatting>
  <conditionalFormatting sqref="D16">
    <cfRule type="cellIs" dxfId="7603" priority="381" operator="equal">
      <formula>$C16</formula>
    </cfRule>
    <cfRule type="cellIs" dxfId="7602" priority="382" operator="greaterThan">
      <formula>$C16</formula>
    </cfRule>
    <cfRule type="cellIs" dxfId="7601" priority="383" operator="lessThan">
      <formula>$C16</formula>
    </cfRule>
  </conditionalFormatting>
  <conditionalFormatting sqref="D17:E17">
    <cfRule type="expression" dxfId="7600" priority="380">
      <formula>AND($A17&lt;&gt;"",MOD(ROW(),2))</formula>
    </cfRule>
  </conditionalFormatting>
  <conditionalFormatting sqref="D17">
    <cfRule type="cellIs" dxfId="7599" priority="377" operator="equal">
      <formula>$C17</formula>
    </cfRule>
    <cfRule type="cellIs" dxfId="7598" priority="378" operator="greaterThan">
      <formula>$C17</formula>
    </cfRule>
    <cfRule type="cellIs" dxfId="7597" priority="379" operator="lessThan">
      <formula>$C17</formula>
    </cfRule>
  </conditionalFormatting>
  <conditionalFormatting sqref="D18:E18">
    <cfRule type="expression" dxfId="7596" priority="376">
      <formula>AND($A18&lt;&gt;"",MOD(ROW(),2))</formula>
    </cfRule>
  </conditionalFormatting>
  <conditionalFormatting sqref="D18">
    <cfRule type="cellIs" dxfId="7595" priority="373" operator="equal">
      <formula>$C18</formula>
    </cfRule>
    <cfRule type="cellIs" dxfId="7594" priority="374" operator="greaterThan">
      <formula>$C18</formula>
    </cfRule>
    <cfRule type="cellIs" dxfId="7593" priority="375" operator="lessThan">
      <formula>$C18</formula>
    </cfRule>
  </conditionalFormatting>
  <conditionalFormatting sqref="D19:E19">
    <cfRule type="expression" dxfId="7592" priority="372">
      <formula>AND($A19&lt;&gt;"",MOD(ROW(),2))</formula>
    </cfRule>
  </conditionalFormatting>
  <conditionalFormatting sqref="D19">
    <cfRule type="cellIs" dxfId="7591" priority="369" operator="equal">
      <formula>$C19</formula>
    </cfRule>
    <cfRule type="cellIs" dxfId="7590" priority="370" operator="greaterThan">
      <formula>$C19</formula>
    </cfRule>
    <cfRule type="cellIs" dxfId="7589" priority="371" operator="lessThan">
      <formula>$C19</formula>
    </cfRule>
  </conditionalFormatting>
  <conditionalFormatting sqref="D20:E20">
    <cfRule type="expression" dxfId="7588" priority="368">
      <formula>AND($A20&lt;&gt;"",MOD(ROW(),2))</formula>
    </cfRule>
  </conditionalFormatting>
  <conditionalFormatting sqref="D20">
    <cfRule type="cellIs" dxfId="7587" priority="365" operator="equal">
      <formula>$C20</formula>
    </cfRule>
    <cfRule type="cellIs" dxfId="7586" priority="366" operator="greaterThan">
      <formula>$C20</formula>
    </cfRule>
    <cfRule type="cellIs" dxfId="7585" priority="367" operator="lessThan">
      <formula>$C20</formula>
    </cfRule>
  </conditionalFormatting>
  <conditionalFormatting sqref="D21:E21">
    <cfRule type="expression" dxfId="7584" priority="364">
      <formula>AND($A21&lt;&gt;"",MOD(ROW(),2))</formula>
    </cfRule>
  </conditionalFormatting>
  <conditionalFormatting sqref="D21">
    <cfRule type="cellIs" dxfId="7583" priority="361" operator="equal">
      <formula>$C21</formula>
    </cfRule>
    <cfRule type="cellIs" dxfId="7582" priority="362" operator="greaterThan">
      <formula>$C21</formula>
    </cfRule>
    <cfRule type="cellIs" dxfId="7581" priority="363" operator="lessThan">
      <formula>$C21</formula>
    </cfRule>
  </conditionalFormatting>
  <conditionalFormatting sqref="D22:E22">
    <cfRule type="expression" dxfId="7580" priority="360">
      <formula>AND($A22&lt;&gt;"",MOD(ROW(),2))</formula>
    </cfRule>
  </conditionalFormatting>
  <conditionalFormatting sqref="D22">
    <cfRule type="cellIs" dxfId="7579" priority="357" operator="equal">
      <formula>$C22</formula>
    </cfRule>
    <cfRule type="cellIs" dxfId="7578" priority="358" operator="greaterThan">
      <formula>$C22</formula>
    </cfRule>
    <cfRule type="cellIs" dxfId="7577" priority="359" operator="lessThan">
      <formula>$C22</formula>
    </cfRule>
  </conditionalFormatting>
  <conditionalFormatting sqref="D23:E23">
    <cfRule type="expression" dxfId="7576" priority="356">
      <formula>AND($A23&lt;&gt;"",MOD(ROW(),2))</formula>
    </cfRule>
  </conditionalFormatting>
  <conditionalFormatting sqref="D23">
    <cfRule type="cellIs" dxfId="7575" priority="353" operator="equal">
      <formula>$C23</formula>
    </cfRule>
    <cfRule type="cellIs" dxfId="7574" priority="354" operator="greaterThan">
      <formula>$C23</formula>
    </cfRule>
    <cfRule type="cellIs" dxfId="7573" priority="355" operator="lessThan">
      <formula>$C23</formula>
    </cfRule>
  </conditionalFormatting>
  <conditionalFormatting sqref="D24:E24">
    <cfRule type="expression" dxfId="7572" priority="352">
      <formula>AND($A24&lt;&gt;"",MOD(ROW(),2))</formula>
    </cfRule>
  </conditionalFormatting>
  <conditionalFormatting sqref="D24">
    <cfRule type="cellIs" dxfId="7571" priority="349" operator="equal">
      <formula>$C24</formula>
    </cfRule>
    <cfRule type="cellIs" dxfId="7570" priority="350" operator="greaterThan">
      <formula>$C24</formula>
    </cfRule>
    <cfRule type="cellIs" dxfId="7569" priority="351" operator="lessThan">
      <formula>$C24</formula>
    </cfRule>
  </conditionalFormatting>
  <conditionalFormatting sqref="D25:E25">
    <cfRule type="expression" dxfId="7568" priority="348">
      <formula>AND($A25&lt;&gt;"",MOD(ROW(),2))</formula>
    </cfRule>
  </conditionalFormatting>
  <conditionalFormatting sqref="D25">
    <cfRule type="cellIs" dxfId="7567" priority="345" operator="equal">
      <formula>$C25</formula>
    </cfRule>
    <cfRule type="cellIs" dxfId="7566" priority="346" operator="greaterThan">
      <formula>$C25</formula>
    </cfRule>
    <cfRule type="cellIs" dxfId="7565" priority="347" operator="lessThan">
      <formula>$C25</formula>
    </cfRule>
  </conditionalFormatting>
  <conditionalFormatting sqref="D26:E26">
    <cfRule type="expression" dxfId="7564" priority="344">
      <formula>AND($A26&lt;&gt;"",MOD(ROW(),2))</formula>
    </cfRule>
  </conditionalFormatting>
  <conditionalFormatting sqref="D26">
    <cfRule type="cellIs" dxfId="7563" priority="341" operator="equal">
      <formula>$C26</formula>
    </cfRule>
    <cfRule type="cellIs" dxfId="7562" priority="342" operator="greaterThan">
      <formula>$C26</formula>
    </cfRule>
    <cfRule type="cellIs" dxfId="7561" priority="343" operator="lessThan">
      <formula>$C26</formula>
    </cfRule>
  </conditionalFormatting>
  <conditionalFormatting sqref="D27:E27">
    <cfRule type="expression" dxfId="7560" priority="340">
      <formula>AND($A27&lt;&gt;"",MOD(ROW(),2))</formula>
    </cfRule>
  </conditionalFormatting>
  <conditionalFormatting sqref="D27">
    <cfRule type="cellIs" dxfId="7559" priority="337" operator="equal">
      <formula>$C27</formula>
    </cfRule>
    <cfRule type="cellIs" dxfId="7558" priority="338" operator="greaterThan">
      <formula>$C27</formula>
    </cfRule>
    <cfRule type="cellIs" dxfId="7557" priority="339" operator="lessThan">
      <formula>$C27</formula>
    </cfRule>
  </conditionalFormatting>
  <conditionalFormatting sqref="D28:E28">
    <cfRule type="expression" dxfId="7556" priority="336">
      <formula>AND($A28&lt;&gt;"",MOD(ROW(),2))</formula>
    </cfRule>
  </conditionalFormatting>
  <conditionalFormatting sqref="D28">
    <cfRule type="cellIs" dxfId="7555" priority="333" operator="equal">
      <formula>$C28</formula>
    </cfRule>
    <cfRule type="cellIs" dxfId="7554" priority="334" operator="greaterThan">
      <formula>$C28</formula>
    </cfRule>
    <cfRule type="cellIs" dxfId="7553" priority="335" operator="lessThan">
      <formula>$C28</formula>
    </cfRule>
  </conditionalFormatting>
  <conditionalFormatting sqref="D29:E29">
    <cfRule type="expression" dxfId="7552" priority="332">
      <formula>AND($A29&lt;&gt;"",MOD(ROW(),2))</formula>
    </cfRule>
  </conditionalFormatting>
  <conditionalFormatting sqref="D29">
    <cfRule type="cellIs" dxfId="7551" priority="329" operator="equal">
      <formula>$C29</formula>
    </cfRule>
    <cfRule type="cellIs" dxfId="7550" priority="330" operator="greaterThan">
      <formula>$C29</formula>
    </cfRule>
    <cfRule type="cellIs" dxfId="7549" priority="331" operator="lessThan">
      <formula>$C29</formula>
    </cfRule>
  </conditionalFormatting>
  <conditionalFormatting sqref="D30:E30">
    <cfRule type="expression" dxfId="7548" priority="328">
      <formula>AND($A30&lt;&gt;"",MOD(ROW(),2))</formula>
    </cfRule>
  </conditionalFormatting>
  <conditionalFormatting sqref="D30">
    <cfRule type="cellIs" dxfId="7547" priority="325" operator="equal">
      <formula>$C30</formula>
    </cfRule>
    <cfRule type="cellIs" dxfId="7546" priority="326" operator="greaterThan">
      <formula>$C30</formula>
    </cfRule>
    <cfRule type="cellIs" dxfId="7545" priority="327" operator="lessThan">
      <formula>$C30</formula>
    </cfRule>
  </conditionalFormatting>
  <conditionalFormatting sqref="D31:E31">
    <cfRule type="expression" dxfId="7544" priority="324">
      <formula>AND($A31&lt;&gt;"",MOD(ROW(),2))</formula>
    </cfRule>
  </conditionalFormatting>
  <conditionalFormatting sqref="D31">
    <cfRule type="cellIs" dxfId="7543" priority="321" operator="equal">
      <formula>$C31</formula>
    </cfRule>
    <cfRule type="cellIs" dxfId="7542" priority="322" operator="greaterThan">
      <formula>$C31</formula>
    </cfRule>
    <cfRule type="cellIs" dxfId="7541" priority="323" operator="lessThan">
      <formula>$C31</formula>
    </cfRule>
  </conditionalFormatting>
  <conditionalFormatting sqref="D32:E32">
    <cfRule type="expression" dxfId="7540" priority="320">
      <formula>AND($A32&lt;&gt;"",MOD(ROW(),2))</formula>
    </cfRule>
  </conditionalFormatting>
  <conditionalFormatting sqref="D32">
    <cfRule type="cellIs" dxfId="7539" priority="317" operator="equal">
      <formula>$C32</formula>
    </cfRule>
    <cfRule type="cellIs" dxfId="7538" priority="318" operator="greaterThan">
      <formula>$C32</formula>
    </cfRule>
    <cfRule type="cellIs" dxfId="7537" priority="319" operator="lessThan">
      <formula>$C32</formula>
    </cfRule>
  </conditionalFormatting>
  <conditionalFormatting sqref="D33:E33">
    <cfRule type="expression" dxfId="7536" priority="316">
      <formula>AND($A33&lt;&gt;"",MOD(ROW(),2))</formula>
    </cfRule>
  </conditionalFormatting>
  <conditionalFormatting sqref="D33">
    <cfRule type="cellIs" dxfId="7535" priority="313" operator="equal">
      <formula>$C33</formula>
    </cfRule>
    <cfRule type="cellIs" dxfId="7534" priority="314" operator="greaterThan">
      <formula>$C33</formula>
    </cfRule>
    <cfRule type="cellIs" dxfId="7533" priority="315" operator="lessThan">
      <formula>$C33</formula>
    </cfRule>
  </conditionalFormatting>
  <conditionalFormatting sqref="D34:E34">
    <cfRule type="expression" dxfId="7532" priority="312">
      <formula>AND($A34&lt;&gt;"",MOD(ROW(),2))</formula>
    </cfRule>
  </conditionalFormatting>
  <conditionalFormatting sqref="D34">
    <cfRule type="cellIs" dxfId="7531" priority="309" operator="equal">
      <formula>$C34</formula>
    </cfRule>
    <cfRule type="cellIs" dxfId="7530" priority="310" operator="greaterThan">
      <formula>$C34</formula>
    </cfRule>
    <cfRule type="cellIs" dxfId="7529" priority="311" operator="lessThan">
      <formula>$C34</formula>
    </cfRule>
  </conditionalFormatting>
  <conditionalFormatting sqref="D35:E35">
    <cfRule type="expression" dxfId="7528" priority="308">
      <formula>AND($A35&lt;&gt;"",MOD(ROW(),2))</formula>
    </cfRule>
  </conditionalFormatting>
  <conditionalFormatting sqref="D35">
    <cfRule type="cellIs" dxfId="7527" priority="305" operator="equal">
      <formula>$C35</formula>
    </cfRule>
    <cfRule type="cellIs" dxfId="7526" priority="306" operator="greaterThan">
      <formula>$C35</formula>
    </cfRule>
    <cfRule type="cellIs" dxfId="7525" priority="307" operator="lessThan">
      <formula>$C35</formula>
    </cfRule>
  </conditionalFormatting>
  <conditionalFormatting sqref="D36:E36">
    <cfRule type="expression" dxfId="7524" priority="304">
      <formula>AND($A36&lt;&gt;"",MOD(ROW(),2))</formula>
    </cfRule>
  </conditionalFormatting>
  <conditionalFormatting sqref="D36">
    <cfRule type="cellIs" dxfId="7523" priority="301" operator="equal">
      <formula>$C36</formula>
    </cfRule>
    <cfRule type="cellIs" dxfId="7522" priority="302" operator="greaterThan">
      <formula>$C36</formula>
    </cfRule>
    <cfRule type="cellIs" dxfId="7521" priority="303" operator="lessThan">
      <formula>$C36</formula>
    </cfRule>
  </conditionalFormatting>
  <conditionalFormatting sqref="D37:E37">
    <cfRule type="expression" dxfId="7520" priority="300">
      <formula>AND($A37&lt;&gt;"",MOD(ROW(),2))</formula>
    </cfRule>
  </conditionalFormatting>
  <conditionalFormatting sqref="D37">
    <cfRule type="cellIs" dxfId="7519" priority="297" operator="equal">
      <formula>$C37</formula>
    </cfRule>
    <cfRule type="cellIs" dxfId="7518" priority="298" operator="greaterThan">
      <formula>$C37</formula>
    </cfRule>
    <cfRule type="cellIs" dxfId="7517" priority="299" operator="lessThan">
      <formula>$C37</formula>
    </cfRule>
  </conditionalFormatting>
  <conditionalFormatting sqref="E38">
    <cfRule type="expression" dxfId="7516" priority="296">
      <formula>AND($A38&lt;&gt;"",MOD(ROW(),2))</formula>
    </cfRule>
  </conditionalFormatting>
  <conditionalFormatting sqref="E39">
    <cfRule type="expression" dxfId="7515" priority="295">
      <formula>AND($A39&lt;&gt;"",MOD(ROW(),2))</formula>
    </cfRule>
  </conditionalFormatting>
  <conditionalFormatting sqref="E40">
    <cfRule type="expression" dxfId="7514" priority="294">
      <formula>AND($A40&lt;&gt;"",MOD(ROW(),2))</formula>
    </cfRule>
  </conditionalFormatting>
  <conditionalFormatting sqref="E41">
    <cfRule type="expression" dxfId="7513" priority="293">
      <formula>AND($A41&lt;&gt;"",MOD(ROW(),2))</formula>
    </cfRule>
  </conditionalFormatting>
  <conditionalFormatting sqref="E42">
    <cfRule type="expression" dxfId="7512" priority="292">
      <formula>AND($A42&lt;&gt;"",MOD(ROW(),2))</formula>
    </cfRule>
  </conditionalFormatting>
  <conditionalFormatting sqref="E43">
    <cfRule type="expression" dxfId="7511" priority="291">
      <formula>AND($A43&lt;&gt;"",MOD(ROW(),2))</formula>
    </cfRule>
  </conditionalFormatting>
  <conditionalFormatting sqref="E44">
    <cfRule type="expression" dxfId="7510" priority="290">
      <formula>AND($A44&lt;&gt;"",MOD(ROW(),2))</formula>
    </cfRule>
  </conditionalFormatting>
  <conditionalFormatting sqref="C45:E45 A45">
    <cfRule type="expression" dxfId="7509" priority="289">
      <formula>AND($A45&lt;&gt;"",MOD(ROW(),2))</formula>
    </cfRule>
  </conditionalFormatting>
  <conditionalFormatting sqref="D45">
    <cfRule type="cellIs" dxfId="7508" priority="286" operator="equal">
      <formula>$C45</formula>
    </cfRule>
    <cfRule type="cellIs" dxfId="7507" priority="287" operator="greaterThan">
      <formula>$C45</formula>
    </cfRule>
    <cfRule type="cellIs" dxfId="7506" priority="288" operator="lessThan">
      <formula>$C45</formula>
    </cfRule>
  </conditionalFormatting>
  <conditionalFormatting sqref="F45">
    <cfRule type="containsText" dxfId="7505" priority="284" operator="containsText" text="Unpaid Rent">
      <formula>NOT(ISERROR(SEARCH("Unpaid Rent",F45)))</formula>
    </cfRule>
    <cfRule type="containsText" dxfId="7504" priority="285" stopIfTrue="1" operator="containsText" text="Closed Account">
      <formula>NOT(ISERROR(SEARCH("Closed Account",F45)))</formula>
    </cfRule>
  </conditionalFormatting>
  <conditionalFormatting sqref="K28:L28">
    <cfRule type="expression" dxfId="7503" priority="283">
      <formula>AND($A28&lt;&gt;"",MOD(ROW(),2))</formula>
    </cfRule>
  </conditionalFormatting>
  <conditionalFormatting sqref="M28">
    <cfRule type="expression" dxfId="7502" priority="280">
      <formula>AND($A28&lt;&gt;"",MOD(ROW(),2))</formula>
    </cfRule>
  </conditionalFormatting>
  <conditionalFormatting sqref="K28">
    <cfRule type="cellIs" dxfId="7501" priority="274" operator="equal">
      <formula>$C28</formula>
    </cfRule>
    <cfRule type="cellIs" dxfId="7500" priority="275" operator="greaterThan">
      <formula>$C28</formula>
    </cfRule>
    <cfRule type="cellIs" dxfId="7499" priority="276" operator="lessThan">
      <formula>$C28</formula>
    </cfRule>
  </conditionalFormatting>
  <conditionalFormatting sqref="L28:M28">
    <cfRule type="expression" dxfId="7498" priority="282">
      <formula>AND(#REF!&lt;&gt;"",MOD(ROW(),2))</formula>
    </cfRule>
  </conditionalFormatting>
  <conditionalFormatting sqref="L28:M28">
    <cfRule type="expression" dxfId="7497" priority="281">
      <formula>AND(#REF!&lt;&gt;"",MOD(ROW(),2))</formula>
    </cfRule>
  </conditionalFormatting>
  <conditionalFormatting sqref="M28">
    <cfRule type="cellIs" dxfId="7496" priority="277" operator="equal">
      <formula>#REF!</formula>
    </cfRule>
    <cfRule type="cellIs" dxfId="7495" priority="278" operator="greaterThan">
      <formula>#REF!</formula>
    </cfRule>
    <cfRule type="cellIs" dxfId="7494" priority="279" operator="lessThan">
      <formula>#REF!</formula>
    </cfRule>
  </conditionalFormatting>
  <conditionalFormatting sqref="D60:D62">
    <cfRule type="expression" dxfId="7493" priority="264">
      <formula>AND($A60&lt;&gt;"",MOD(ROW(),2))</formula>
    </cfRule>
  </conditionalFormatting>
  <conditionalFormatting sqref="D60:D62">
    <cfRule type="cellIs" dxfId="7492" priority="261" operator="equal">
      <formula>$C60</formula>
    </cfRule>
    <cfRule type="cellIs" dxfId="7491" priority="262" operator="greaterThan">
      <formula>$C60</formula>
    </cfRule>
    <cfRule type="cellIs" dxfId="7490" priority="263" operator="lessThan">
      <formula>$C60</formula>
    </cfRule>
  </conditionalFormatting>
  <conditionalFormatting sqref="F60:F62">
    <cfRule type="containsText" dxfId="7489" priority="259" operator="containsText" text="Unpaid Rent">
      <formula>NOT(ISERROR(SEARCH("Unpaid Rent",F60)))</formula>
    </cfRule>
    <cfRule type="containsText" dxfId="7488" priority="260" stopIfTrue="1" operator="containsText" text="Closed Account">
      <formula>NOT(ISERROR(SEARCH("Closed Account",F60)))</formula>
    </cfRule>
  </conditionalFormatting>
  <conditionalFormatting sqref="D64">
    <cfRule type="expression" dxfId="7487" priority="258">
      <formula>AND($A64&lt;&gt;"",MOD(ROW(),2))</formula>
    </cfRule>
  </conditionalFormatting>
  <conditionalFormatting sqref="D64">
    <cfRule type="cellIs" dxfId="7486" priority="255" operator="equal">
      <formula>$C64</formula>
    </cfRule>
    <cfRule type="cellIs" dxfId="7485" priority="256" operator="greaterThan">
      <formula>$C64</formula>
    </cfRule>
    <cfRule type="cellIs" dxfId="7484" priority="257" operator="lessThan">
      <formula>$C64</formula>
    </cfRule>
  </conditionalFormatting>
  <conditionalFormatting sqref="D65">
    <cfRule type="expression" dxfId="7483" priority="254">
      <formula>AND($A65&lt;&gt;"",MOD(ROW(),2))</formula>
    </cfRule>
  </conditionalFormatting>
  <conditionalFormatting sqref="D65">
    <cfRule type="cellIs" dxfId="7482" priority="251" operator="equal">
      <formula>$C65</formula>
    </cfRule>
    <cfRule type="cellIs" dxfId="7481" priority="252" operator="greaterThan">
      <formula>$C65</formula>
    </cfRule>
    <cfRule type="cellIs" dxfId="7480" priority="253" operator="lessThan">
      <formula>$C65</formula>
    </cfRule>
  </conditionalFormatting>
  <conditionalFormatting sqref="D66">
    <cfRule type="expression" dxfId="7479" priority="250">
      <formula>AND($A66&lt;&gt;"",MOD(ROW(),2))</formula>
    </cfRule>
  </conditionalFormatting>
  <conditionalFormatting sqref="D66">
    <cfRule type="cellIs" dxfId="7478" priority="247" operator="equal">
      <formula>$C66</formula>
    </cfRule>
    <cfRule type="cellIs" dxfId="7477" priority="248" operator="greaterThan">
      <formula>$C66</formula>
    </cfRule>
    <cfRule type="cellIs" dxfId="7476" priority="249" operator="lessThan">
      <formula>$C66</formula>
    </cfRule>
  </conditionalFormatting>
  <conditionalFormatting sqref="D67">
    <cfRule type="expression" dxfId="7475" priority="246">
      <formula>AND($A67&lt;&gt;"",MOD(ROW(),2))</formula>
    </cfRule>
  </conditionalFormatting>
  <conditionalFormatting sqref="D67">
    <cfRule type="cellIs" dxfId="7474" priority="243" operator="equal">
      <formula>$C67</formula>
    </cfRule>
    <cfRule type="cellIs" dxfId="7473" priority="244" operator="greaterThan">
      <formula>$C67</formula>
    </cfRule>
    <cfRule type="cellIs" dxfId="7472" priority="245" operator="lessThan">
      <formula>$C67</formula>
    </cfRule>
  </conditionalFormatting>
  <conditionalFormatting sqref="D68">
    <cfRule type="expression" dxfId="7471" priority="241">
      <formula>AND($A68&lt;&gt;"",MOD(ROW(),2))</formula>
    </cfRule>
  </conditionalFormatting>
  <conditionalFormatting sqref="D68">
    <cfRule type="cellIs" dxfId="7470" priority="238" operator="equal">
      <formula>$C68</formula>
    </cfRule>
    <cfRule type="cellIs" dxfId="7469" priority="239" operator="greaterThan">
      <formula>$C68</formula>
    </cfRule>
    <cfRule type="cellIs" dxfId="7468" priority="240" operator="lessThan">
      <formula>$C68</formula>
    </cfRule>
  </conditionalFormatting>
  <conditionalFormatting sqref="D69">
    <cfRule type="expression" dxfId="7467" priority="237">
      <formula>AND($A69&lt;&gt;"",MOD(ROW(),2))</formula>
    </cfRule>
  </conditionalFormatting>
  <conditionalFormatting sqref="D69">
    <cfRule type="cellIs" dxfId="7466" priority="234" operator="equal">
      <formula>$C69</formula>
    </cfRule>
    <cfRule type="cellIs" dxfId="7465" priority="235" operator="greaterThan">
      <formula>$C69</formula>
    </cfRule>
    <cfRule type="cellIs" dxfId="7464" priority="236" operator="lessThan">
      <formula>$C69</formula>
    </cfRule>
  </conditionalFormatting>
  <conditionalFormatting sqref="D70">
    <cfRule type="expression" dxfId="7463" priority="232">
      <formula>AND($A70&lt;&gt;"",MOD(ROW(),2))</formula>
    </cfRule>
  </conditionalFormatting>
  <conditionalFormatting sqref="D70">
    <cfRule type="cellIs" dxfId="7462" priority="229" operator="equal">
      <formula>$C70</formula>
    </cfRule>
    <cfRule type="cellIs" dxfId="7461" priority="230" operator="greaterThan">
      <formula>$C70</formula>
    </cfRule>
    <cfRule type="cellIs" dxfId="7460" priority="231" operator="lessThan">
      <formula>$C70</formula>
    </cfRule>
  </conditionalFormatting>
  <conditionalFormatting sqref="D71">
    <cfRule type="expression" dxfId="7459" priority="228">
      <formula>AND($A71&lt;&gt;"",MOD(ROW(),2))</formula>
    </cfRule>
  </conditionalFormatting>
  <conditionalFormatting sqref="D71">
    <cfRule type="cellIs" dxfId="7458" priority="225" operator="equal">
      <formula>$C71</formula>
    </cfRule>
    <cfRule type="cellIs" dxfId="7457" priority="226" operator="greaterThan">
      <formula>$C71</formula>
    </cfRule>
    <cfRule type="cellIs" dxfId="7456" priority="227" operator="lessThan">
      <formula>$C71</formula>
    </cfRule>
  </conditionalFormatting>
  <conditionalFormatting sqref="D72">
    <cfRule type="expression" dxfId="7455" priority="224">
      <formula>AND($A72&lt;&gt;"",MOD(ROW(),2))</formula>
    </cfRule>
  </conditionalFormatting>
  <conditionalFormatting sqref="D72">
    <cfRule type="cellIs" dxfId="7454" priority="221" operator="equal">
      <formula>$C72</formula>
    </cfRule>
    <cfRule type="cellIs" dxfId="7453" priority="222" operator="greaterThan">
      <formula>$C72</formula>
    </cfRule>
    <cfRule type="cellIs" dxfId="7452" priority="223" operator="lessThan">
      <formula>$C72</formula>
    </cfRule>
  </conditionalFormatting>
  <conditionalFormatting sqref="D73">
    <cfRule type="expression" dxfId="7451" priority="220">
      <formula>AND($A73&lt;&gt;"",MOD(ROW(),2))</formula>
    </cfRule>
  </conditionalFormatting>
  <conditionalFormatting sqref="D73">
    <cfRule type="cellIs" dxfId="7450" priority="217" operator="equal">
      <formula>$C73</formula>
    </cfRule>
    <cfRule type="cellIs" dxfId="7449" priority="218" operator="greaterThan">
      <formula>$C73</formula>
    </cfRule>
    <cfRule type="cellIs" dxfId="7448" priority="219" operator="lessThan">
      <formula>$C73</formula>
    </cfRule>
  </conditionalFormatting>
  <conditionalFormatting sqref="D74">
    <cfRule type="expression" dxfId="7447" priority="214">
      <formula>AND($A74&lt;&gt;"",MOD(ROW(),2))</formula>
    </cfRule>
  </conditionalFormatting>
  <conditionalFormatting sqref="D74">
    <cfRule type="cellIs" dxfId="7446" priority="211" operator="equal">
      <formula>$C74</formula>
    </cfRule>
    <cfRule type="cellIs" dxfId="7445" priority="212" operator="greaterThan">
      <formula>$C74</formula>
    </cfRule>
    <cfRule type="cellIs" dxfId="7444" priority="213" operator="lessThan">
      <formula>$C74</formula>
    </cfRule>
  </conditionalFormatting>
  <conditionalFormatting sqref="D75">
    <cfRule type="expression" dxfId="7443" priority="210">
      <formula>AND($A75&lt;&gt;"",MOD(ROW(),2))</formula>
    </cfRule>
  </conditionalFormatting>
  <conditionalFormatting sqref="D75">
    <cfRule type="cellIs" dxfId="7442" priority="207" operator="equal">
      <formula>$C75</formula>
    </cfRule>
    <cfRule type="cellIs" dxfId="7441" priority="208" operator="greaterThan">
      <formula>$C75</formula>
    </cfRule>
    <cfRule type="cellIs" dxfId="7440" priority="209" operator="lessThan">
      <formula>$C75</formula>
    </cfRule>
  </conditionalFormatting>
  <conditionalFormatting sqref="D76">
    <cfRule type="expression" dxfId="7439" priority="206">
      <formula>AND($A76&lt;&gt;"",MOD(ROW(),2))</formula>
    </cfRule>
  </conditionalFormatting>
  <conditionalFormatting sqref="D76">
    <cfRule type="cellIs" dxfId="7438" priority="203" operator="equal">
      <formula>$C76</formula>
    </cfRule>
    <cfRule type="cellIs" dxfId="7437" priority="204" operator="greaterThan">
      <formula>$C76</formula>
    </cfRule>
    <cfRule type="cellIs" dxfId="7436" priority="205" operator="lessThan">
      <formula>$C76</formula>
    </cfRule>
  </conditionalFormatting>
  <conditionalFormatting sqref="D77">
    <cfRule type="expression" dxfId="7435" priority="200">
      <formula>AND($A77&lt;&gt;"",MOD(ROW(),2))</formula>
    </cfRule>
  </conditionalFormatting>
  <conditionalFormatting sqref="D77">
    <cfRule type="cellIs" dxfId="7434" priority="197" operator="equal">
      <formula>$C77</formula>
    </cfRule>
    <cfRule type="cellIs" dxfId="7433" priority="198" operator="greaterThan">
      <formula>$C77</formula>
    </cfRule>
    <cfRule type="cellIs" dxfId="7432" priority="199" operator="lessThan">
      <formula>$C77</formula>
    </cfRule>
  </conditionalFormatting>
  <conditionalFormatting sqref="D78">
    <cfRule type="expression" dxfId="7431" priority="193">
      <formula>AND($A78&lt;&gt;"",MOD(ROW(),2))</formula>
    </cfRule>
  </conditionalFormatting>
  <conditionalFormatting sqref="D78">
    <cfRule type="cellIs" dxfId="7430" priority="190" operator="equal">
      <formula>$C78</formula>
    </cfRule>
    <cfRule type="cellIs" dxfId="7429" priority="191" operator="greaterThan">
      <formula>$C78</formula>
    </cfRule>
    <cfRule type="cellIs" dxfId="7428" priority="192" operator="lessThan">
      <formula>$C78</formula>
    </cfRule>
  </conditionalFormatting>
  <conditionalFormatting sqref="D79">
    <cfRule type="expression" dxfId="7427" priority="189">
      <formula>AND($A79&lt;&gt;"",MOD(ROW(),2))</formula>
    </cfRule>
  </conditionalFormatting>
  <conditionalFormatting sqref="D79">
    <cfRule type="cellIs" dxfId="7426" priority="186" operator="equal">
      <formula>$C79</formula>
    </cfRule>
    <cfRule type="cellIs" dxfId="7425" priority="187" operator="greaterThan">
      <formula>$C79</formula>
    </cfRule>
    <cfRule type="cellIs" dxfId="7424" priority="188" operator="lessThan">
      <formula>$C79</formula>
    </cfRule>
  </conditionalFormatting>
  <conditionalFormatting sqref="D80">
    <cfRule type="expression" dxfId="7423" priority="185">
      <formula>AND($A80&lt;&gt;"",MOD(ROW(),2))</formula>
    </cfRule>
  </conditionalFormatting>
  <conditionalFormatting sqref="D80">
    <cfRule type="cellIs" dxfId="7422" priority="182" operator="equal">
      <formula>$C80</formula>
    </cfRule>
    <cfRule type="cellIs" dxfId="7421" priority="183" operator="greaterThan">
      <formula>$C80</formula>
    </cfRule>
    <cfRule type="cellIs" dxfId="7420" priority="184" operator="lessThan">
      <formula>$C80</formula>
    </cfRule>
  </conditionalFormatting>
  <conditionalFormatting sqref="D81">
    <cfRule type="expression" dxfId="7419" priority="180">
      <formula>AND($A81&lt;&gt;"",MOD(ROW(),2))</formula>
    </cfRule>
  </conditionalFormatting>
  <conditionalFormatting sqref="D81">
    <cfRule type="cellIs" dxfId="7418" priority="177" operator="equal">
      <formula>$C81</formula>
    </cfRule>
    <cfRule type="cellIs" dxfId="7417" priority="178" operator="greaterThan">
      <formula>$C81</formula>
    </cfRule>
    <cfRule type="cellIs" dxfId="7416" priority="179" operator="lessThan">
      <formula>$C81</formula>
    </cfRule>
  </conditionalFormatting>
  <conditionalFormatting sqref="D82">
    <cfRule type="expression" dxfId="7415" priority="174">
      <formula>AND($A82&lt;&gt;"",MOD(ROW(),2))</formula>
    </cfRule>
  </conditionalFormatting>
  <conditionalFormatting sqref="D82">
    <cfRule type="cellIs" dxfId="7414" priority="171" operator="equal">
      <formula>$C82</formula>
    </cfRule>
    <cfRule type="cellIs" dxfId="7413" priority="172" operator="greaterThan">
      <formula>$C82</formula>
    </cfRule>
    <cfRule type="cellIs" dxfId="7412" priority="173" operator="lessThan">
      <formula>$C82</formula>
    </cfRule>
  </conditionalFormatting>
  <conditionalFormatting sqref="D83">
    <cfRule type="expression" dxfId="7411" priority="170">
      <formula>AND($A83&lt;&gt;"",MOD(ROW(),2))</formula>
    </cfRule>
  </conditionalFormatting>
  <conditionalFormatting sqref="D83">
    <cfRule type="cellIs" dxfId="7410" priority="167" operator="equal">
      <formula>$C83</formula>
    </cfRule>
    <cfRule type="cellIs" dxfId="7409" priority="168" operator="greaterThan">
      <formula>$C83</formula>
    </cfRule>
    <cfRule type="cellIs" dxfId="7408" priority="169" operator="lessThan">
      <formula>$C83</formula>
    </cfRule>
  </conditionalFormatting>
  <conditionalFormatting sqref="C84">
    <cfRule type="expression" dxfId="7407" priority="164">
      <formula>AND($A84&lt;&gt;"",MOD(ROW(),2))</formula>
    </cfRule>
  </conditionalFormatting>
  <conditionalFormatting sqref="D84">
    <cfRule type="expression" dxfId="7406" priority="163">
      <formula>AND($A84&lt;&gt;"",MOD(ROW(),2))</formula>
    </cfRule>
  </conditionalFormatting>
  <conditionalFormatting sqref="D84">
    <cfRule type="cellIs" dxfId="7405" priority="160" operator="equal">
      <formula>$C84</formula>
    </cfRule>
    <cfRule type="cellIs" dxfId="7404" priority="161" operator="greaterThan">
      <formula>$C84</formula>
    </cfRule>
    <cfRule type="cellIs" dxfId="7403" priority="162" operator="lessThan">
      <formula>$C84</formula>
    </cfRule>
  </conditionalFormatting>
  <conditionalFormatting sqref="C85">
    <cfRule type="expression" dxfId="7402" priority="158">
      <formula>AND($A85&lt;&gt;"",MOD(ROW(),2))</formula>
    </cfRule>
  </conditionalFormatting>
  <conditionalFormatting sqref="D85">
    <cfRule type="expression" dxfId="7401" priority="157">
      <formula>AND($A85&lt;&gt;"",MOD(ROW(),2))</formula>
    </cfRule>
  </conditionalFormatting>
  <conditionalFormatting sqref="D85">
    <cfRule type="cellIs" dxfId="7400" priority="154" operator="equal">
      <formula>$C85</formula>
    </cfRule>
    <cfRule type="cellIs" dxfId="7399" priority="155" operator="greaterThan">
      <formula>$C85</formula>
    </cfRule>
    <cfRule type="cellIs" dxfId="7398" priority="156" operator="lessThan">
      <formula>$C85</formula>
    </cfRule>
  </conditionalFormatting>
  <conditionalFormatting sqref="C86">
    <cfRule type="expression" dxfId="7397" priority="152">
      <formula>AND($A86&lt;&gt;"",MOD(ROW(),2))</formula>
    </cfRule>
  </conditionalFormatting>
  <conditionalFormatting sqref="D86">
    <cfRule type="expression" dxfId="7396" priority="151">
      <formula>AND($A86&lt;&gt;"",MOD(ROW(),2))</formula>
    </cfRule>
  </conditionalFormatting>
  <conditionalFormatting sqref="D86">
    <cfRule type="cellIs" dxfId="7395" priority="148" operator="equal">
      <formula>$C86</formula>
    </cfRule>
    <cfRule type="cellIs" dxfId="7394" priority="149" operator="greaterThan">
      <formula>$C86</formula>
    </cfRule>
    <cfRule type="cellIs" dxfId="7393" priority="150" operator="lessThan">
      <formula>$C86</formula>
    </cfRule>
  </conditionalFormatting>
  <conditionalFormatting sqref="C87">
    <cfRule type="expression" dxfId="7392" priority="146">
      <formula>AND($A87&lt;&gt;"",MOD(ROW(),2))</formula>
    </cfRule>
  </conditionalFormatting>
  <conditionalFormatting sqref="D87">
    <cfRule type="expression" dxfId="7391" priority="145">
      <formula>AND($A87&lt;&gt;"",MOD(ROW(),2))</formula>
    </cfRule>
  </conditionalFormatting>
  <conditionalFormatting sqref="D87">
    <cfRule type="cellIs" dxfId="7390" priority="142" operator="equal">
      <formula>$C87</formula>
    </cfRule>
    <cfRule type="cellIs" dxfId="7389" priority="143" operator="greaterThan">
      <formula>$C87</formula>
    </cfRule>
    <cfRule type="cellIs" dxfId="7388" priority="144" operator="lessThan">
      <formula>$C87</formula>
    </cfRule>
  </conditionalFormatting>
  <conditionalFormatting sqref="C88">
    <cfRule type="expression" dxfId="7387" priority="140">
      <formula>AND($A88&lt;&gt;"",MOD(ROW(),2))</formula>
    </cfRule>
  </conditionalFormatting>
  <conditionalFormatting sqref="D88">
    <cfRule type="expression" dxfId="7386" priority="139">
      <formula>AND($A88&lt;&gt;"",MOD(ROW(),2))</formula>
    </cfRule>
  </conditionalFormatting>
  <conditionalFormatting sqref="D88">
    <cfRule type="cellIs" dxfId="7385" priority="136" operator="equal">
      <formula>$C88</formula>
    </cfRule>
    <cfRule type="cellIs" dxfId="7384" priority="137" operator="greaterThan">
      <formula>$C88</formula>
    </cfRule>
    <cfRule type="cellIs" dxfId="7383" priority="138" operator="lessThan">
      <formula>$C88</formula>
    </cfRule>
  </conditionalFormatting>
  <conditionalFormatting sqref="C89">
    <cfRule type="expression" dxfId="7382" priority="134">
      <formula>AND($A89&lt;&gt;"",MOD(ROW(),2))</formula>
    </cfRule>
  </conditionalFormatting>
  <conditionalFormatting sqref="D89">
    <cfRule type="expression" dxfId="7381" priority="133">
      <formula>AND($A89&lt;&gt;"",MOD(ROW(),2))</formula>
    </cfRule>
  </conditionalFormatting>
  <conditionalFormatting sqref="D89">
    <cfRule type="cellIs" dxfId="7380" priority="130" operator="equal">
      <formula>$C89</formula>
    </cfRule>
    <cfRule type="cellIs" dxfId="7379" priority="131" operator="greaterThan">
      <formula>$C89</formula>
    </cfRule>
    <cfRule type="cellIs" dxfId="7378" priority="132" operator="lessThan">
      <formula>$C89</formula>
    </cfRule>
  </conditionalFormatting>
  <conditionalFormatting sqref="C90">
    <cfRule type="expression" dxfId="7377" priority="128">
      <formula>AND($A90&lt;&gt;"",MOD(ROW(),2))</formula>
    </cfRule>
  </conditionalFormatting>
  <conditionalFormatting sqref="D90">
    <cfRule type="expression" dxfId="7376" priority="127">
      <formula>AND($A90&lt;&gt;"",MOD(ROW(),2))</formula>
    </cfRule>
  </conditionalFormatting>
  <conditionalFormatting sqref="D90">
    <cfRule type="cellIs" dxfId="7375" priority="124" operator="equal">
      <formula>$C90</formula>
    </cfRule>
    <cfRule type="cellIs" dxfId="7374" priority="125" operator="greaterThan">
      <formula>$C90</formula>
    </cfRule>
    <cfRule type="cellIs" dxfId="7373" priority="126" operator="lessThan">
      <formula>$C90</formula>
    </cfRule>
  </conditionalFormatting>
  <conditionalFormatting sqref="C91">
    <cfRule type="expression" dxfId="7372" priority="122">
      <formula>AND($A91&lt;&gt;"",MOD(ROW(),2))</formula>
    </cfRule>
  </conditionalFormatting>
  <conditionalFormatting sqref="D91">
    <cfRule type="expression" dxfId="7371" priority="121">
      <formula>AND($A91&lt;&gt;"",MOD(ROW(),2))</formula>
    </cfRule>
  </conditionalFormatting>
  <conditionalFormatting sqref="D91">
    <cfRule type="cellIs" dxfId="7370" priority="118" operator="equal">
      <formula>$C91</formula>
    </cfRule>
    <cfRule type="cellIs" dxfId="7369" priority="119" operator="greaterThan">
      <formula>$C91</formula>
    </cfRule>
    <cfRule type="cellIs" dxfId="7368" priority="120" operator="lessThan">
      <formula>$C91</formula>
    </cfRule>
  </conditionalFormatting>
  <conditionalFormatting sqref="C92">
    <cfRule type="expression" dxfId="7367" priority="116">
      <formula>AND($A92&lt;&gt;"",MOD(ROW(),2))</formula>
    </cfRule>
  </conditionalFormatting>
  <conditionalFormatting sqref="D92">
    <cfRule type="expression" dxfId="7366" priority="115">
      <formula>AND($A92&lt;&gt;"",MOD(ROW(),2))</formula>
    </cfRule>
  </conditionalFormatting>
  <conditionalFormatting sqref="D92">
    <cfRule type="cellIs" dxfId="7365" priority="112" operator="equal">
      <formula>$C92</formula>
    </cfRule>
    <cfRule type="cellIs" dxfId="7364" priority="113" operator="greaterThan">
      <formula>$C92</formula>
    </cfRule>
    <cfRule type="cellIs" dxfId="7363" priority="114" operator="lessThan">
      <formula>$C92</formula>
    </cfRule>
  </conditionalFormatting>
  <conditionalFormatting sqref="C93">
    <cfRule type="expression" dxfId="7362" priority="110">
      <formula>AND($A93&lt;&gt;"",MOD(ROW(),2))</formula>
    </cfRule>
  </conditionalFormatting>
  <conditionalFormatting sqref="D93">
    <cfRule type="expression" dxfId="7361" priority="109">
      <formula>AND($A93&lt;&gt;"",MOD(ROW(),2))</formula>
    </cfRule>
  </conditionalFormatting>
  <conditionalFormatting sqref="D93">
    <cfRule type="cellIs" dxfId="7360" priority="106" operator="equal">
      <formula>$C93</formula>
    </cfRule>
    <cfRule type="cellIs" dxfId="7359" priority="107" operator="greaterThan">
      <formula>$C93</formula>
    </cfRule>
    <cfRule type="cellIs" dxfId="7358" priority="108" operator="lessThan">
      <formula>$C93</formula>
    </cfRule>
  </conditionalFormatting>
  <conditionalFormatting sqref="C94">
    <cfRule type="expression" dxfId="7357" priority="104">
      <formula>AND($A94&lt;&gt;"",MOD(ROW(),2))</formula>
    </cfRule>
  </conditionalFormatting>
  <conditionalFormatting sqref="D94">
    <cfRule type="expression" dxfId="7356" priority="103">
      <formula>AND($A94&lt;&gt;"",MOD(ROW(),2))</formula>
    </cfRule>
  </conditionalFormatting>
  <conditionalFormatting sqref="D94">
    <cfRule type="cellIs" dxfId="7355" priority="100" operator="equal">
      <formula>$C94</formula>
    </cfRule>
    <cfRule type="cellIs" dxfId="7354" priority="101" operator="greaterThan">
      <formula>$C94</formula>
    </cfRule>
    <cfRule type="cellIs" dxfId="7353" priority="102" operator="lessThan">
      <formula>$C94</formula>
    </cfRule>
  </conditionalFormatting>
  <conditionalFormatting sqref="C95">
    <cfRule type="expression" dxfId="7352" priority="98">
      <formula>AND($A95&lt;&gt;"",MOD(ROW(),2))</formula>
    </cfRule>
  </conditionalFormatting>
  <conditionalFormatting sqref="D95">
    <cfRule type="expression" dxfId="7351" priority="97">
      <formula>AND($A95&lt;&gt;"",MOD(ROW(),2))</formula>
    </cfRule>
  </conditionalFormatting>
  <conditionalFormatting sqref="D95">
    <cfRule type="cellIs" dxfId="7350" priority="94" operator="equal">
      <formula>$C95</formula>
    </cfRule>
    <cfRule type="cellIs" dxfId="7349" priority="95" operator="greaterThan">
      <formula>$C95</formula>
    </cfRule>
    <cfRule type="cellIs" dxfId="7348" priority="96" operator="lessThan">
      <formula>$C95</formula>
    </cfRule>
  </conditionalFormatting>
  <conditionalFormatting sqref="C96">
    <cfRule type="expression" dxfId="7347" priority="92">
      <formula>AND($A96&lt;&gt;"",MOD(ROW(),2))</formula>
    </cfRule>
  </conditionalFormatting>
  <conditionalFormatting sqref="D96">
    <cfRule type="expression" dxfId="7346" priority="91">
      <formula>AND($A96&lt;&gt;"",MOD(ROW(),2))</formula>
    </cfRule>
  </conditionalFormatting>
  <conditionalFormatting sqref="D96">
    <cfRule type="cellIs" dxfId="7345" priority="88" operator="equal">
      <formula>$C96</formula>
    </cfRule>
    <cfRule type="cellIs" dxfId="7344" priority="89" operator="greaterThan">
      <formula>$C96</formula>
    </cfRule>
    <cfRule type="cellIs" dxfId="7343" priority="90" operator="lessThan">
      <formula>$C96</formula>
    </cfRule>
  </conditionalFormatting>
  <conditionalFormatting sqref="C97">
    <cfRule type="expression" dxfId="7342" priority="87">
      <formula>AND($A97&lt;&gt;"",MOD(ROW(),2))</formula>
    </cfRule>
  </conditionalFormatting>
  <conditionalFormatting sqref="C98">
    <cfRule type="expression" dxfId="7341" priority="86">
      <formula>AND($A98&lt;&gt;"",MOD(ROW(),2))</formula>
    </cfRule>
  </conditionalFormatting>
  <conditionalFormatting sqref="D97">
    <cfRule type="expression" dxfId="7340" priority="85">
      <formula>AND($A97&lt;&gt;"",MOD(ROW(),2))</formula>
    </cfRule>
  </conditionalFormatting>
  <conditionalFormatting sqref="D97">
    <cfRule type="cellIs" dxfId="7339" priority="82" operator="equal">
      <formula>$C97</formula>
    </cfRule>
    <cfRule type="cellIs" dxfId="7338" priority="83" operator="greaterThan">
      <formula>$C97</formula>
    </cfRule>
    <cfRule type="cellIs" dxfId="7337" priority="84" operator="lessThan">
      <formula>$C97</formula>
    </cfRule>
  </conditionalFormatting>
  <conditionalFormatting sqref="D98">
    <cfRule type="expression" dxfId="7336" priority="80">
      <formula>AND($A98&lt;&gt;"",MOD(ROW(),2))</formula>
    </cfRule>
  </conditionalFormatting>
  <conditionalFormatting sqref="D98">
    <cfRule type="cellIs" dxfId="7335" priority="77" operator="equal">
      <formula>$C98</formula>
    </cfRule>
    <cfRule type="cellIs" dxfId="7334" priority="78" operator="greaterThan">
      <formula>$C98</formula>
    </cfRule>
    <cfRule type="cellIs" dxfId="7333" priority="79" operator="lessThan">
      <formula>$C98</formula>
    </cfRule>
  </conditionalFormatting>
  <conditionalFormatting sqref="H99">
    <cfRule type="expression" dxfId="7332" priority="76">
      <formula>AND($A99&lt;&gt;"",MOD(ROW(),2))</formula>
    </cfRule>
  </conditionalFormatting>
  <conditionalFormatting sqref="H100">
    <cfRule type="expression" dxfId="7331" priority="75">
      <formula>AND($A100&lt;&gt;"",MOD(ROW(),2))</formula>
    </cfRule>
  </conditionalFormatting>
  <conditionalFormatting sqref="C99">
    <cfRule type="expression" dxfId="7330" priority="74">
      <formula>AND($A99&lt;&gt;"",MOD(ROW(),2))</formula>
    </cfRule>
  </conditionalFormatting>
  <conditionalFormatting sqref="D99">
    <cfRule type="expression" dxfId="7329" priority="73">
      <formula>AND($A99&lt;&gt;"",MOD(ROW(),2))</formula>
    </cfRule>
  </conditionalFormatting>
  <conditionalFormatting sqref="D99">
    <cfRule type="cellIs" dxfId="7328" priority="70" operator="equal">
      <formula>$C99</formula>
    </cfRule>
    <cfRule type="cellIs" dxfId="7327" priority="71" operator="greaterThan">
      <formula>$C99</formula>
    </cfRule>
    <cfRule type="cellIs" dxfId="7326" priority="72" operator="lessThan">
      <formula>$C99</formula>
    </cfRule>
  </conditionalFormatting>
  <conditionalFormatting sqref="C100">
    <cfRule type="expression" dxfId="7325" priority="69">
      <formula>AND($A100&lt;&gt;"",MOD(ROW(),2))</formula>
    </cfRule>
  </conditionalFormatting>
  <conditionalFormatting sqref="D100">
    <cfRule type="expression" dxfId="7324" priority="68">
      <formula>AND($A100&lt;&gt;"",MOD(ROW(),2))</formula>
    </cfRule>
  </conditionalFormatting>
  <conditionalFormatting sqref="D100">
    <cfRule type="cellIs" dxfId="7323" priority="65" operator="equal">
      <formula>$C100</formula>
    </cfRule>
    <cfRule type="cellIs" dxfId="7322" priority="66" operator="greaterThan">
      <formula>$C100</formula>
    </cfRule>
    <cfRule type="cellIs" dxfId="7321" priority="67" operator="lessThan">
      <formula>$C100</formula>
    </cfRule>
  </conditionalFormatting>
  <conditionalFormatting sqref="H101">
    <cfRule type="expression" dxfId="7320" priority="64">
      <formula>AND($A101&lt;&gt;"",MOD(ROW(),2))</formula>
    </cfRule>
  </conditionalFormatting>
  <conditionalFormatting sqref="C101">
    <cfRule type="expression" dxfId="7319" priority="63">
      <formula>AND($A101&lt;&gt;"",MOD(ROW(),2))</formula>
    </cfRule>
  </conditionalFormatting>
  <conditionalFormatting sqref="D101">
    <cfRule type="expression" dxfId="7318" priority="62">
      <formula>AND($A101&lt;&gt;"",MOD(ROW(),2))</formula>
    </cfRule>
  </conditionalFormatting>
  <conditionalFormatting sqref="D101">
    <cfRule type="cellIs" dxfId="7317" priority="59" operator="equal">
      <formula>$C101</formula>
    </cfRule>
    <cfRule type="cellIs" dxfId="7316" priority="60" operator="greaterThan">
      <formula>$C101</formula>
    </cfRule>
    <cfRule type="cellIs" dxfId="7315" priority="61" operator="lessThan">
      <formula>$C101</formula>
    </cfRule>
  </conditionalFormatting>
  <conditionalFormatting sqref="H102">
    <cfRule type="expression" dxfId="7314" priority="54">
      <formula>AND($A102&lt;&gt;"",MOD(ROW(),2))</formula>
    </cfRule>
  </conditionalFormatting>
  <conditionalFormatting sqref="C102">
    <cfRule type="expression" dxfId="7313" priority="40">
      <formula>AND($A102&lt;&gt;"",MOD(ROW(),2))</formula>
    </cfRule>
  </conditionalFormatting>
  <conditionalFormatting sqref="D102">
    <cfRule type="expression" dxfId="7312" priority="39">
      <formula>AND($A102&lt;&gt;"",MOD(ROW(),2))</formula>
    </cfRule>
  </conditionalFormatting>
  <conditionalFormatting sqref="D102">
    <cfRule type="cellIs" dxfId="7311" priority="36" operator="equal">
      <formula>$C102</formula>
    </cfRule>
    <cfRule type="cellIs" dxfId="7310" priority="37" operator="greaterThan">
      <formula>$C102</formula>
    </cfRule>
    <cfRule type="cellIs" dxfId="7309" priority="38" operator="lessThan">
      <formula>$C102</formula>
    </cfRule>
  </conditionalFormatting>
  <conditionalFormatting sqref="C103">
    <cfRule type="expression" dxfId="7308" priority="35">
      <formula>AND($A103&lt;&gt;"",MOD(ROW(),2))</formula>
    </cfRule>
  </conditionalFormatting>
  <conditionalFormatting sqref="D103">
    <cfRule type="expression" dxfId="7307" priority="34">
      <formula>AND($A103&lt;&gt;"",MOD(ROW(),2))</formula>
    </cfRule>
  </conditionalFormatting>
  <conditionalFormatting sqref="D103">
    <cfRule type="cellIs" dxfId="7306" priority="31" operator="equal">
      <formula>$C103</formula>
    </cfRule>
    <cfRule type="cellIs" dxfId="7305" priority="32" operator="greaterThan">
      <formula>$C103</formula>
    </cfRule>
    <cfRule type="cellIs" dxfId="7304" priority="33" operator="lessThan">
      <formula>$C103</formula>
    </cfRule>
  </conditionalFormatting>
  <conditionalFormatting sqref="C104">
    <cfRule type="expression" dxfId="7303" priority="30">
      <formula>AND($A104&lt;&gt;"",MOD(ROW(),2))</formula>
    </cfRule>
  </conditionalFormatting>
  <conditionalFormatting sqref="D104">
    <cfRule type="expression" dxfId="7302" priority="29">
      <formula>AND($A104&lt;&gt;"",MOD(ROW(),2))</formula>
    </cfRule>
  </conditionalFormatting>
  <conditionalFormatting sqref="D104">
    <cfRule type="cellIs" dxfId="7301" priority="26" operator="equal">
      <formula>$C104</formula>
    </cfRule>
    <cfRule type="cellIs" dxfId="7300" priority="27" operator="greaterThan">
      <formula>$C104</formula>
    </cfRule>
    <cfRule type="cellIs" dxfId="7299" priority="28" operator="lessThan">
      <formula>$C104</formula>
    </cfRule>
  </conditionalFormatting>
  <conditionalFormatting sqref="C105">
    <cfRule type="expression" dxfId="7298" priority="25">
      <formula>AND($A105&lt;&gt;"",MOD(ROW(),2))</formula>
    </cfRule>
  </conditionalFormatting>
  <conditionalFormatting sqref="D105">
    <cfRule type="expression" dxfId="7297" priority="24">
      <formula>AND($A105&lt;&gt;"",MOD(ROW(),2))</formula>
    </cfRule>
  </conditionalFormatting>
  <conditionalFormatting sqref="D105">
    <cfRule type="cellIs" dxfId="7296" priority="21" operator="equal">
      <formula>$C105</formula>
    </cfRule>
    <cfRule type="cellIs" dxfId="7295" priority="22" operator="greaterThan">
      <formula>$C105</formula>
    </cfRule>
    <cfRule type="cellIs" dxfId="7294" priority="23" operator="lessThan">
      <formula>$C105</formula>
    </cfRule>
  </conditionalFormatting>
  <conditionalFormatting sqref="C106">
    <cfRule type="expression" dxfId="7293" priority="20">
      <formula>AND($A106&lt;&gt;"",MOD(ROW(),2))</formula>
    </cfRule>
  </conditionalFormatting>
  <conditionalFormatting sqref="D106">
    <cfRule type="expression" dxfId="7292" priority="19">
      <formula>AND($A106&lt;&gt;"",MOD(ROW(),2))</formula>
    </cfRule>
  </conditionalFormatting>
  <conditionalFormatting sqref="D106">
    <cfRule type="cellIs" dxfId="7291" priority="16" operator="equal">
      <formula>$C106</formula>
    </cfRule>
    <cfRule type="cellIs" dxfId="7290" priority="17" operator="greaterThan">
      <formula>$C106</formula>
    </cfRule>
    <cfRule type="cellIs" dxfId="7289" priority="18" operator="lessThan">
      <formula>$C106</formula>
    </cfRule>
  </conditionalFormatting>
  <conditionalFormatting sqref="C107">
    <cfRule type="expression" dxfId="7288" priority="15">
      <formula>AND($A107&lt;&gt;"",MOD(ROW(),2))</formula>
    </cfRule>
  </conditionalFormatting>
  <conditionalFormatting sqref="D107">
    <cfRule type="expression" dxfId="7287" priority="14">
      <formula>AND($A107&lt;&gt;"",MOD(ROW(),2))</formula>
    </cfRule>
  </conditionalFormatting>
  <conditionalFormatting sqref="D107">
    <cfRule type="cellIs" dxfId="7286" priority="11" operator="equal">
      <formula>$C107</formula>
    </cfRule>
    <cfRule type="cellIs" dxfId="7285" priority="12" operator="greaterThan">
      <formula>$C107</formula>
    </cfRule>
    <cfRule type="cellIs" dxfId="7284" priority="13" operator="lessThan">
      <formula>$C107</formula>
    </cfRule>
  </conditionalFormatting>
  <conditionalFormatting sqref="C108">
    <cfRule type="expression" dxfId="7283" priority="10">
      <formula>AND($A108&lt;&gt;"",MOD(ROW(),2))</formula>
    </cfRule>
  </conditionalFormatting>
  <conditionalFormatting sqref="D108">
    <cfRule type="expression" dxfId="7282" priority="9">
      <formula>AND($A108&lt;&gt;"",MOD(ROW(),2))</formula>
    </cfRule>
  </conditionalFormatting>
  <conditionalFormatting sqref="D108">
    <cfRule type="cellIs" dxfId="7281" priority="6" operator="equal">
      <formula>$C108</formula>
    </cfRule>
    <cfRule type="cellIs" dxfId="7280" priority="7" operator="greaterThan">
      <formula>$C108</formula>
    </cfRule>
    <cfRule type="cellIs" dxfId="7279" priority="8" operator="lessThan">
      <formula>$C108</formula>
    </cfRule>
  </conditionalFormatting>
  <conditionalFormatting sqref="C109:C135">
    <cfRule type="expression" dxfId="7278" priority="5">
      <formula>AND($A109&lt;&gt;"",MOD(ROW(),2))</formula>
    </cfRule>
  </conditionalFormatting>
  <conditionalFormatting sqref="D109:D135">
    <cfRule type="expression" dxfId="7277" priority="4">
      <formula>AND($A109&lt;&gt;"",MOD(ROW(),2))</formula>
    </cfRule>
  </conditionalFormatting>
  <conditionalFormatting sqref="D109:D135">
    <cfRule type="cellIs" dxfId="7276" priority="1" operator="equal">
      <formula>$C109</formula>
    </cfRule>
    <cfRule type="cellIs" dxfId="7275" priority="2" operator="greaterThan">
      <formula>$C109</formula>
    </cfRule>
    <cfRule type="cellIs" dxfId="7274" priority="3" operator="lessThan">
      <formula>$C109</formula>
    </cfRule>
  </conditionalFormatting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D00-000000000000}">
          <x14:formula1>
            <xm:f>PullDownValues!$F$2:$F$14</xm:f>
          </x14:formula1>
          <xm:sqref>L7:L354</xm:sqref>
        </x14:dataValidation>
        <x14:dataValidation type="list" allowBlank="1" showInputMessage="1" showErrorMessage="1" prompt="Payment Method" xr:uid="{00000000-0002-0000-0D00-000001000000}">
          <x14:formula1>
            <xm:f>PullDownValues!$B$2:$B$12</xm:f>
          </x14:formula1>
          <xm:sqref>F7:F289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355"/>
  <sheetViews>
    <sheetView zoomScaleNormal="100" workbookViewId="0">
      <pane ySplit="5" topLeftCell="A34" activePane="bottomLeft" state="frozen"/>
      <selection pane="bottomLeft" activeCell="Q174" sqref="Q174"/>
    </sheetView>
  </sheetViews>
  <sheetFormatPr defaultColWidth="8.85546875" defaultRowHeight="15" customHeight="1" x14ac:dyDescent="0.25"/>
  <cols>
    <col min="1" max="1" width="3.28515625" style="10" bestFit="1" customWidth="1"/>
    <col min="2" max="3" width="12.5703125" bestFit="1" customWidth="1"/>
    <col min="4" max="4" width="12.85546875" bestFit="1" customWidth="1"/>
    <col min="5" max="5" width="15.28515625" bestFit="1" customWidth="1"/>
    <col min="6" max="6" width="15.28515625" customWidth="1"/>
    <col min="7" max="7" width="9.42578125" style="31" bestFit="1" customWidth="1"/>
    <col min="8" max="8" width="11.5703125" bestFit="1" customWidth="1"/>
    <col min="9" max="9" width="12.7109375" bestFit="1" customWidth="1"/>
    <col min="10" max="10" width="15.140625" bestFit="1" customWidth="1"/>
    <col min="11" max="11" width="10.5703125" bestFit="1" customWidth="1"/>
    <col min="12" max="12" width="12.5703125" bestFit="1" customWidth="1"/>
    <col min="13" max="13" width="10.7109375" bestFit="1" customWidth="1"/>
    <col min="14" max="14" width="12.7109375" bestFit="1" customWidth="1"/>
    <col min="15" max="16" width="10.5703125" bestFit="1" customWidth="1"/>
  </cols>
  <sheetData>
    <row r="1" spans="1:18" ht="35.1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5">
        <f>SUM(P6:P90)-O4</f>
        <v>0</v>
      </c>
      <c r="P1" s="255"/>
      <c r="Q1" s="114"/>
      <c r="R1" s="114"/>
    </row>
    <row r="2" spans="1:18" s="9" customFormat="1" ht="15.95" customHeight="1" x14ac:dyDescent="0.25">
      <c r="A2" s="287" t="s">
        <v>4</v>
      </c>
      <c r="B2" s="287"/>
      <c r="C2" s="287"/>
      <c r="D2" s="287"/>
      <c r="E2" s="287"/>
      <c r="F2" s="287"/>
      <c r="G2" s="336">
        <f>SUM($D$6:$D$2990)-SUMIF($F$7:$F$290,"Bond Received",$D$7:$D$2990)-SUMIF($F$7:$F$290,"Unpaid Rent",$D$7:$D$2990)-(SUMIF($F$7:$F$290,"Discount Rent",$D$7:$D$2990)*2)</f>
        <v>28870</v>
      </c>
      <c r="H2" s="336"/>
      <c r="I2" s="336"/>
      <c r="J2" s="260" t="s">
        <v>5</v>
      </c>
      <c r="K2" s="260"/>
      <c r="L2" s="260"/>
      <c r="M2" s="262">
        <f>SUM($K$6:$K$2990)-SUMIF($L$6:$L$2990,"Bond Return",$K$6:$K$2990)</f>
        <v>8884.8199999999961</v>
      </c>
      <c r="N2" s="263"/>
      <c r="O2" s="265"/>
      <c r="P2" s="265"/>
      <c r="Q2" s="35"/>
    </row>
    <row r="3" spans="1:18" s="9" customFormat="1" ht="15.95" customHeight="1" x14ac:dyDescent="0.25">
      <c r="A3" s="288"/>
      <c r="B3" s="288"/>
      <c r="C3" s="288"/>
      <c r="D3" s="288"/>
      <c r="E3" s="288"/>
      <c r="F3" s="288"/>
      <c r="G3" s="337"/>
      <c r="H3" s="337"/>
      <c r="I3" s="337"/>
      <c r="J3" s="261"/>
      <c r="K3" s="261"/>
      <c r="L3" s="261"/>
      <c r="M3" s="264"/>
      <c r="N3" s="264"/>
      <c r="O3" s="266"/>
      <c r="P3" s="266"/>
    </row>
    <row r="4" spans="1:18" s="9" customFormat="1" ht="15.95" customHeight="1" x14ac:dyDescent="0.25">
      <c r="A4" s="244" t="s">
        <v>6</v>
      </c>
      <c r="B4" s="244" t="s">
        <v>7</v>
      </c>
      <c r="C4" s="267" t="s">
        <v>8</v>
      </c>
      <c r="D4" s="269" t="s">
        <v>9</v>
      </c>
      <c r="E4" s="269" t="s">
        <v>10</v>
      </c>
      <c r="F4" s="252" t="s">
        <v>112</v>
      </c>
      <c r="G4" s="276" t="s">
        <v>11</v>
      </c>
      <c r="H4" s="244" t="s">
        <v>12</v>
      </c>
      <c r="I4" s="334" t="s">
        <v>113</v>
      </c>
      <c r="J4" s="246" t="s">
        <v>13</v>
      </c>
      <c r="K4" s="246" t="s">
        <v>14</v>
      </c>
      <c r="L4" s="248" t="s">
        <v>15</v>
      </c>
      <c r="M4" s="249"/>
      <c r="N4" s="271" t="s">
        <v>113</v>
      </c>
      <c r="O4" s="273">
        <f>G2-M2</f>
        <v>19985.180000000004</v>
      </c>
      <c r="P4" s="274">
        <f>SUM(P2:P3)</f>
        <v>0</v>
      </c>
      <c r="Q4" s="63">
        <f>SUM(Q2:Q3)</f>
        <v>0</v>
      </c>
    </row>
    <row r="5" spans="1:18" s="10" customFormat="1" x14ac:dyDescent="0.25">
      <c r="A5" s="245"/>
      <c r="B5" s="245"/>
      <c r="C5" s="268"/>
      <c r="D5" s="270"/>
      <c r="E5" s="270"/>
      <c r="F5" s="253"/>
      <c r="G5" s="277"/>
      <c r="H5" s="245"/>
      <c r="I5" s="335"/>
      <c r="J5" s="247"/>
      <c r="K5" s="247"/>
      <c r="L5" s="250"/>
      <c r="M5" s="251"/>
      <c r="N5" s="272"/>
      <c r="O5" s="275"/>
      <c r="P5" s="275"/>
      <c r="Q5" s="18"/>
      <c r="R5" s="64"/>
    </row>
    <row r="6" spans="1:18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1"/>
      <c r="K6" s="42"/>
      <c r="L6" s="43" t="s">
        <v>123</v>
      </c>
      <c r="M6" s="43"/>
      <c r="N6" s="43"/>
      <c r="O6"/>
    </row>
    <row r="7" spans="1:18" ht="15" customHeight="1" x14ac:dyDescent="0.25">
      <c r="A7" s="10">
        <v>1</v>
      </c>
      <c r="B7" s="48">
        <v>43859</v>
      </c>
      <c r="C7" s="17">
        <v>280</v>
      </c>
      <c r="D7" s="17">
        <v>280</v>
      </c>
      <c r="E7" s="16">
        <v>43859</v>
      </c>
      <c r="F7" s="16" t="s">
        <v>181</v>
      </c>
      <c r="G7" s="31">
        <v>106785</v>
      </c>
      <c r="H7" s="17">
        <f t="shared" ref="H7:H12" si="0">IFERROR(IF(F6="Closed account",(IF(F7="Unpaid Rent",(C7),(C7-D7))),(IF(F7="Unpaid Rent",(C7+H6),(C7-D7+H6)))),"")</f>
        <v>0</v>
      </c>
      <c r="I7" s="17" t="s">
        <v>175</v>
      </c>
      <c r="J7" s="48">
        <v>43858</v>
      </c>
      <c r="K7" s="17">
        <v>60</v>
      </c>
      <c r="L7" s="49" t="s">
        <v>34</v>
      </c>
      <c r="N7" t="s">
        <v>175</v>
      </c>
      <c r="O7" t="s">
        <v>175</v>
      </c>
      <c r="P7" s="111">
        <f>SUMIF($I$6:$I$2992,O7,$D$6:$D$2992)-SUMIFS($D$6:$D$2992,$I$6:$I$2992,O7,$F$6:$F$2992,"Unpaid Rent")-(SUMIFS($D$6:$D$2992,$I$6:$I$2992,O7,$F$6:$F$2992,"Discount Rent")*2)-(SUMIFS($D$6:$D$2992,$I$6:$I$2992,O7,$F$6:$F$2992,"Bond Received"))-SUMIF($N$6:$N$2989,O7,$K$6:$K$2989)+SUMIFS($K$6:$K$2989,$N$6:$N$2989,O7,$L$6:$L$2989,"Bond Return")</f>
        <v>923.21</v>
      </c>
    </row>
    <row r="8" spans="1:18" ht="15" customHeight="1" x14ac:dyDescent="0.25">
      <c r="A8" s="10">
        <v>1</v>
      </c>
      <c r="B8" s="48">
        <v>43859</v>
      </c>
      <c r="C8" s="17">
        <v>280</v>
      </c>
      <c r="D8" s="17">
        <v>280</v>
      </c>
      <c r="E8" s="16">
        <v>43859</v>
      </c>
      <c r="F8" s="16" t="s">
        <v>114</v>
      </c>
      <c r="G8" s="31">
        <v>106946</v>
      </c>
      <c r="H8" s="17">
        <f t="shared" si="0"/>
        <v>0</v>
      </c>
      <c r="I8" s="17" t="s">
        <v>175</v>
      </c>
      <c r="J8" s="48">
        <v>43858</v>
      </c>
      <c r="K8" s="17">
        <v>51.26</v>
      </c>
      <c r="L8" s="49" t="s">
        <v>32</v>
      </c>
      <c r="N8" t="s">
        <v>175</v>
      </c>
      <c r="O8" s="9" t="s">
        <v>176</v>
      </c>
      <c r="P8" s="111">
        <f t="shared" ref="P8:P18" si="1">SUMIF($I$6:$I$2992,O8,$D$6:$D$2992)-SUMIFS($D$6:$D$2992,$I$6:$I$2992,O8,$F$6:$F$2992,"Unpaid Rent")-(SUMIFS($D$6:$D$2992,$I$6:$I$2992,O8,$F$6:$F$2992,"Discount Rent")*2)-(SUMIFS($D$6:$D$2992,$I$6:$I$2992,O8,$F$6:$F$2992,"Bond Received"))-SUMIF($N$6:$N$2989,O8,$K$6:$K$2989)+SUMIFS($K$6:$K$2989,$N$6:$N$2989,O8,$L$6:$L$2989,"Bond Return")</f>
        <v>108.97000000000003</v>
      </c>
    </row>
    <row r="9" spans="1:18" ht="15" customHeight="1" x14ac:dyDescent="0.25">
      <c r="A9" s="10">
        <v>2</v>
      </c>
      <c r="B9" s="48">
        <v>43866</v>
      </c>
      <c r="C9" s="17">
        <v>280</v>
      </c>
      <c r="D9" s="17">
        <v>280</v>
      </c>
      <c r="E9" s="16">
        <v>43868</v>
      </c>
      <c r="F9" s="16" t="s">
        <v>59</v>
      </c>
      <c r="H9" s="17">
        <f t="shared" si="0"/>
        <v>0</v>
      </c>
      <c r="I9" s="17" t="s">
        <v>175</v>
      </c>
      <c r="J9" s="48">
        <v>43859</v>
      </c>
      <c r="K9" s="17">
        <v>85.53</v>
      </c>
      <c r="L9" s="49" t="s">
        <v>16</v>
      </c>
      <c r="N9" t="s">
        <v>175</v>
      </c>
      <c r="O9" s="13" t="s">
        <v>96</v>
      </c>
      <c r="P9" s="111">
        <f t="shared" si="1"/>
        <v>6629.0700000000015</v>
      </c>
    </row>
    <row r="10" spans="1:18" ht="15" customHeight="1" x14ac:dyDescent="0.25">
      <c r="A10" s="10">
        <v>3</v>
      </c>
      <c r="B10" s="48">
        <v>43873</v>
      </c>
      <c r="C10" s="17">
        <v>280</v>
      </c>
      <c r="D10" s="17">
        <v>280</v>
      </c>
      <c r="E10" s="16">
        <v>43873</v>
      </c>
      <c r="F10" s="16" t="s">
        <v>59</v>
      </c>
      <c r="H10" s="17">
        <f t="shared" si="0"/>
        <v>0</v>
      </c>
      <c r="I10" s="17" t="s">
        <v>175</v>
      </c>
      <c r="J10" s="48">
        <v>43887</v>
      </c>
      <c r="K10" s="17">
        <v>280</v>
      </c>
      <c r="L10" s="49" t="s">
        <v>45</v>
      </c>
      <c r="N10" t="s">
        <v>175</v>
      </c>
      <c r="O10" s="19" t="s">
        <v>14</v>
      </c>
      <c r="P10" s="111">
        <f t="shared" si="1"/>
        <v>-1132.3899999999999</v>
      </c>
    </row>
    <row r="11" spans="1:18" ht="15" customHeight="1" x14ac:dyDescent="0.25">
      <c r="A11" s="10">
        <v>4</v>
      </c>
      <c r="B11" s="48">
        <v>43880</v>
      </c>
      <c r="C11" s="17">
        <v>280</v>
      </c>
      <c r="D11" s="17">
        <v>280</v>
      </c>
      <c r="E11" s="16">
        <v>43880</v>
      </c>
      <c r="F11" s="16" t="s">
        <v>124</v>
      </c>
      <c r="G11" s="31">
        <v>113024</v>
      </c>
      <c r="H11" s="17">
        <f t="shared" si="0"/>
        <v>0</v>
      </c>
      <c r="I11" s="17" t="s">
        <v>175</v>
      </c>
      <c r="J11" s="48">
        <v>43889</v>
      </c>
      <c r="K11" s="17">
        <v>55</v>
      </c>
      <c r="L11" s="49" t="s">
        <v>26</v>
      </c>
      <c r="N11" t="s">
        <v>176</v>
      </c>
      <c r="O11" t="s">
        <v>578</v>
      </c>
      <c r="P11" s="111">
        <f t="shared" si="1"/>
        <v>270</v>
      </c>
    </row>
    <row r="12" spans="1:18" ht="15" customHeight="1" x14ac:dyDescent="0.25">
      <c r="A12" s="10">
        <v>1</v>
      </c>
      <c r="B12" s="48">
        <v>43900</v>
      </c>
      <c r="C12" s="17">
        <v>280</v>
      </c>
      <c r="D12" s="17">
        <v>280</v>
      </c>
      <c r="E12" s="16">
        <v>43899</v>
      </c>
      <c r="F12" s="16" t="s">
        <v>181</v>
      </c>
      <c r="H12" s="17">
        <f t="shared" si="0"/>
        <v>0</v>
      </c>
      <c r="I12" s="17" t="s">
        <v>176</v>
      </c>
      <c r="J12" s="48">
        <v>43889</v>
      </c>
      <c r="K12" s="17">
        <v>66.48</v>
      </c>
      <c r="L12" s="49" t="s">
        <v>26</v>
      </c>
      <c r="N12" t="s">
        <v>176</v>
      </c>
      <c r="O12" t="s">
        <v>553</v>
      </c>
      <c r="P12" s="111">
        <f t="shared" si="1"/>
        <v>245.89</v>
      </c>
    </row>
    <row r="13" spans="1:18" ht="15" customHeight="1" x14ac:dyDescent="0.25">
      <c r="A13" s="10">
        <v>1</v>
      </c>
      <c r="B13" s="48">
        <v>43900</v>
      </c>
      <c r="C13" s="17">
        <v>280</v>
      </c>
      <c r="D13" s="17">
        <v>260</v>
      </c>
      <c r="E13" s="16">
        <v>43899</v>
      </c>
      <c r="F13" s="16" t="s">
        <v>59</v>
      </c>
      <c r="H13" s="17">
        <f t="shared" ref="H13:H76" si="2">IFERROR(IF(F12="Closed account",(IF(F13="Unpaid Rent",(C13),(C13-D13))),(IF(F13="Unpaid Rent",(C13+H12),(C13-D13+H12)))),"")</f>
        <v>20</v>
      </c>
      <c r="I13" s="17" t="s">
        <v>176</v>
      </c>
      <c r="J13" s="48">
        <v>43893</v>
      </c>
      <c r="K13" s="17">
        <v>85.53</v>
      </c>
      <c r="L13" s="49" t="s">
        <v>16</v>
      </c>
      <c r="N13" t="s">
        <v>176</v>
      </c>
      <c r="O13" t="s">
        <v>612</v>
      </c>
      <c r="P13" s="111">
        <f t="shared" si="1"/>
        <v>489.62</v>
      </c>
    </row>
    <row r="14" spans="1:18" ht="15" customHeight="1" x14ac:dyDescent="0.25">
      <c r="A14" s="10">
        <v>2</v>
      </c>
      <c r="B14" s="48">
        <v>43907</v>
      </c>
      <c r="C14" s="17">
        <v>240</v>
      </c>
      <c r="D14" s="17">
        <v>260</v>
      </c>
      <c r="E14" s="16">
        <v>43907</v>
      </c>
      <c r="F14" s="16" t="s">
        <v>124</v>
      </c>
      <c r="H14" s="17">
        <f t="shared" si="2"/>
        <v>0</v>
      </c>
      <c r="I14" s="17" t="s">
        <v>176</v>
      </c>
      <c r="J14" s="48">
        <v>43893</v>
      </c>
      <c r="K14" s="17">
        <v>220</v>
      </c>
      <c r="L14" s="49" t="s">
        <v>17</v>
      </c>
      <c r="M14" t="s">
        <v>166</v>
      </c>
      <c r="N14" t="s">
        <v>14</v>
      </c>
      <c r="O14" t="s">
        <v>624</v>
      </c>
      <c r="P14" s="111">
        <f t="shared" si="1"/>
        <v>300</v>
      </c>
    </row>
    <row r="15" spans="1:18" ht="15" customHeight="1" x14ac:dyDescent="0.25">
      <c r="A15" s="10">
        <v>1</v>
      </c>
      <c r="B15" s="48">
        <v>43920</v>
      </c>
      <c r="C15" s="17">
        <v>181</v>
      </c>
      <c r="D15" s="17">
        <v>181</v>
      </c>
      <c r="E15" s="16">
        <v>43920</v>
      </c>
      <c r="F15" s="16" t="s">
        <v>181</v>
      </c>
      <c r="H15" s="17">
        <f t="shared" si="2"/>
        <v>0</v>
      </c>
      <c r="I15" s="17" t="s">
        <v>96</v>
      </c>
      <c r="J15" s="48">
        <v>43899</v>
      </c>
      <c r="K15" s="17">
        <v>198.52</v>
      </c>
      <c r="L15" s="49" t="s">
        <v>20</v>
      </c>
      <c r="N15" t="s">
        <v>176</v>
      </c>
      <c r="O15" t="s">
        <v>662</v>
      </c>
      <c r="P15" s="111">
        <f t="shared" si="1"/>
        <v>359.01</v>
      </c>
    </row>
    <row r="16" spans="1:18" ht="15" customHeight="1" x14ac:dyDescent="0.25">
      <c r="A16" s="10">
        <v>1</v>
      </c>
      <c r="B16" s="48">
        <v>43920</v>
      </c>
      <c r="C16" s="17">
        <v>180</v>
      </c>
      <c r="D16" s="17">
        <v>180</v>
      </c>
      <c r="E16" s="16">
        <v>43920</v>
      </c>
      <c r="F16" s="16" t="s">
        <v>59</v>
      </c>
      <c r="H16" s="17">
        <f t="shared" si="2"/>
        <v>0</v>
      </c>
      <c r="I16" s="17" t="s">
        <v>96</v>
      </c>
      <c r="J16" s="48">
        <v>43913</v>
      </c>
      <c r="K16" s="17">
        <v>5.5</v>
      </c>
      <c r="L16" s="49" t="s">
        <v>22</v>
      </c>
      <c r="N16" t="s">
        <v>176</v>
      </c>
      <c r="O16" t="s">
        <v>710</v>
      </c>
      <c r="P16" s="111">
        <f t="shared" si="1"/>
        <v>3546.3599999999997</v>
      </c>
    </row>
    <row r="17" spans="1:16" ht="15" customHeight="1" x14ac:dyDescent="0.25">
      <c r="A17" s="10">
        <v>2</v>
      </c>
      <c r="B17" s="48">
        <v>43927</v>
      </c>
      <c r="C17" s="17">
        <v>180</v>
      </c>
      <c r="D17" s="17">
        <v>180</v>
      </c>
      <c r="E17" s="16">
        <v>43928</v>
      </c>
      <c r="F17" s="16" t="s">
        <v>59</v>
      </c>
      <c r="H17" s="17">
        <f t="shared" si="2"/>
        <v>0</v>
      </c>
      <c r="I17" s="17" t="s">
        <v>96</v>
      </c>
      <c r="J17" s="48">
        <v>43913</v>
      </c>
      <c r="K17" s="17">
        <v>280</v>
      </c>
      <c r="L17" s="49" t="s">
        <v>45</v>
      </c>
      <c r="N17" t="s">
        <v>176</v>
      </c>
      <c r="O17" t="s">
        <v>670</v>
      </c>
      <c r="P17" s="111">
        <f t="shared" si="1"/>
        <v>1988.44</v>
      </c>
    </row>
    <row r="18" spans="1:16" ht="15" customHeight="1" x14ac:dyDescent="0.25">
      <c r="A18" s="10">
        <v>3</v>
      </c>
      <c r="B18" s="48">
        <v>43934</v>
      </c>
      <c r="C18" s="17">
        <v>180</v>
      </c>
      <c r="D18" s="17">
        <v>180</v>
      </c>
      <c r="E18" s="16">
        <v>43936</v>
      </c>
      <c r="F18" s="16" t="s">
        <v>59</v>
      </c>
      <c r="H18" s="17">
        <f t="shared" si="2"/>
        <v>0</v>
      </c>
      <c r="I18" s="17" t="s">
        <v>96</v>
      </c>
      <c r="J18" s="48">
        <v>43921</v>
      </c>
      <c r="K18" s="17">
        <v>89.57</v>
      </c>
      <c r="L18" s="49" t="s">
        <v>16</v>
      </c>
      <c r="N18" t="s">
        <v>96</v>
      </c>
      <c r="O18" t="s">
        <v>676</v>
      </c>
      <c r="P18" s="111">
        <f t="shared" si="1"/>
        <v>6257</v>
      </c>
    </row>
    <row r="19" spans="1:16" ht="15" customHeight="1" x14ac:dyDescent="0.25">
      <c r="A19" s="10">
        <v>4</v>
      </c>
      <c r="B19" s="48">
        <v>43941</v>
      </c>
      <c r="C19" s="17">
        <v>180</v>
      </c>
      <c r="D19" s="17">
        <v>180</v>
      </c>
      <c r="E19" s="16">
        <v>43941</v>
      </c>
      <c r="F19" s="16" t="s">
        <v>59</v>
      </c>
      <c r="H19" s="17">
        <f t="shared" si="2"/>
        <v>0</v>
      </c>
      <c r="I19" s="17" t="s">
        <v>96</v>
      </c>
      <c r="J19" s="48">
        <v>43941</v>
      </c>
      <c r="K19" s="17">
        <v>5.5</v>
      </c>
      <c r="L19" s="49" t="s">
        <v>22</v>
      </c>
      <c r="N19" t="s">
        <v>96</v>
      </c>
    </row>
    <row r="20" spans="1:16" ht="15" customHeight="1" x14ac:dyDescent="0.25">
      <c r="A20" s="10">
        <v>5</v>
      </c>
      <c r="B20" s="48">
        <v>43948</v>
      </c>
      <c r="C20" s="17">
        <v>180</v>
      </c>
      <c r="D20" s="17">
        <v>180</v>
      </c>
      <c r="E20" s="16">
        <v>43948</v>
      </c>
      <c r="F20" s="16" t="s">
        <v>59</v>
      </c>
      <c r="H20" s="17">
        <f t="shared" si="2"/>
        <v>0</v>
      </c>
      <c r="I20" s="17" t="s">
        <v>96</v>
      </c>
      <c r="J20" s="48">
        <v>43951</v>
      </c>
      <c r="K20" s="17">
        <v>89.57</v>
      </c>
      <c r="L20" s="49" t="s">
        <v>16</v>
      </c>
      <c r="N20" t="s">
        <v>96</v>
      </c>
    </row>
    <row r="21" spans="1:16" ht="15" customHeight="1" x14ac:dyDescent="0.25">
      <c r="A21" s="10">
        <v>6</v>
      </c>
      <c r="B21" s="48">
        <v>43955</v>
      </c>
      <c r="C21" s="17">
        <v>180</v>
      </c>
      <c r="D21" s="17"/>
      <c r="E21" s="16"/>
      <c r="F21" s="16" t="s">
        <v>59</v>
      </c>
      <c r="H21" s="17">
        <f t="shared" si="2"/>
        <v>180</v>
      </c>
      <c r="I21" s="17" t="s">
        <v>96</v>
      </c>
      <c r="J21" s="48">
        <v>43987</v>
      </c>
      <c r="K21" s="17">
        <v>198.52</v>
      </c>
      <c r="L21" s="49" t="s">
        <v>20</v>
      </c>
      <c r="N21" t="s">
        <v>96</v>
      </c>
    </row>
    <row r="22" spans="1:16" ht="15" customHeight="1" x14ac:dyDescent="0.25">
      <c r="A22" s="10">
        <v>7</v>
      </c>
      <c r="B22" s="48">
        <v>43962</v>
      </c>
      <c r="C22" s="17">
        <v>180</v>
      </c>
      <c r="D22" s="17">
        <v>180</v>
      </c>
      <c r="E22" s="16">
        <v>43962</v>
      </c>
      <c r="F22" s="16" t="s">
        <v>59</v>
      </c>
      <c r="H22" s="17">
        <f t="shared" si="2"/>
        <v>180</v>
      </c>
      <c r="I22" s="17" t="s">
        <v>96</v>
      </c>
      <c r="J22" s="67">
        <v>43852</v>
      </c>
      <c r="K22" s="77">
        <v>2</v>
      </c>
      <c r="L22" s="78" t="s">
        <v>43</v>
      </c>
      <c r="M22" s="14" t="s">
        <v>57</v>
      </c>
      <c r="N22" s="14" t="s">
        <v>14</v>
      </c>
    </row>
    <row r="23" spans="1:16" ht="15" customHeight="1" x14ac:dyDescent="0.25">
      <c r="A23" s="10">
        <v>8</v>
      </c>
      <c r="B23" s="48">
        <v>43969</v>
      </c>
      <c r="C23" s="17">
        <v>180</v>
      </c>
      <c r="D23" s="17">
        <v>180</v>
      </c>
      <c r="E23" s="16">
        <v>43969</v>
      </c>
      <c r="F23" t="s">
        <v>116</v>
      </c>
      <c r="H23" s="17">
        <f t="shared" si="2"/>
        <v>180</v>
      </c>
      <c r="I23" s="17" t="s">
        <v>96</v>
      </c>
      <c r="J23" s="72">
        <v>44074</v>
      </c>
      <c r="K23" s="17">
        <v>198.52</v>
      </c>
      <c r="L23" s="49" t="s">
        <v>20</v>
      </c>
      <c r="N23" t="s">
        <v>96</v>
      </c>
    </row>
    <row r="24" spans="1:16" ht="15" customHeight="1" x14ac:dyDescent="0.25">
      <c r="A24" s="10">
        <v>9</v>
      </c>
      <c r="B24" s="48">
        <v>43976</v>
      </c>
      <c r="C24" s="17">
        <v>180</v>
      </c>
      <c r="D24" s="17">
        <v>180</v>
      </c>
      <c r="E24" s="16">
        <v>43980</v>
      </c>
      <c r="F24" s="16" t="s">
        <v>59</v>
      </c>
      <c r="H24" s="17">
        <f t="shared" si="2"/>
        <v>180</v>
      </c>
      <c r="I24" s="17" t="s">
        <v>96</v>
      </c>
      <c r="J24" s="72">
        <v>44078</v>
      </c>
      <c r="K24" s="17">
        <v>84.78</v>
      </c>
      <c r="L24" s="49" t="s">
        <v>16</v>
      </c>
      <c r="N24" t="s">
        <v>96</v>
      </c>
    </row>
    <row r="25" spans="1:16" ht="15" customHeight="1" x14ac:dyDescent="0.25">
      <c r="A25" s="10">
        <v>10</v>
      </c>
      <c r="B25" s="48">
        <v>43983</v>
      </c>
      <c r="C25" s="17">
        <v>180</v>
      </c>
      <c r="D25" s="17">
        <v>180</v>
      </c>
      <c r="E25" s="16">
        <v>43983</v>
      </c>
      <c r="F25" s="16" t="s">
        <v>59</v>
      </c>
      <c r="H25" s="17">
        <f t="shared" si="2"/>
        <v>180</v>
      </c>
      <c r="I25" s="17" t="s">
        <v>96</v>
      </c>
      <c r="J25" s="72">
        <v>44074</v>
      </c>
      <c r="K25" s="17">
        <v>0.99</v>
      </c>
      <c r="L25" s="49" t="s">
        <v>22</v>
      </c>
      <c r="N25" t="s">
        <v>96</v>
      </c>
    </row>
    <row r="26" spans="1:16" ht="15" customHeight="1" x14ac:dyDescent="0.25">
      <c r="A26" s="10">
        <v>11</v>
      </c>
      <c r="B26" s="48">
        <v>43990</v>
      </c>
      <c r="C26" s="17">
        <v>180</v>
      </c>
      <c r="D26" s="17">
        <v>180</v>
      </c>
      <c r="E26" s="16">
        <v>43990</v>
      </c>
      <c r="F26" s="16" t="s">
        <v>59</v>
      </c>
      <c r="H26" s="17">
        <f t="shared" si="2"/>
        <v>180</v>
      </c>
      <c r="I26" s="17" t="s">
        <v>96</v>
      </c>
      <c r="J26" s="72">
        <v>44107</v>
      </c>
      <c r="K26" s="17">
        <v>84.78</v>
      </c>
      <c r="L26" s="49" t="s">
        <v>16</v>
      </c>
      <c r="N26" t="s">
        <v>96</v>
      </c>
    </row>
    <row r="27" spans="1:16" ht="15" customHeight="1" x14ac:dyDescent="0.25">
      <c r="A27" s="10">
        <v>12</v>
      </c>
      <c r="B27" s="48">
        <v>43997</v>
      </c>
      <c r="C27" s="17">
        <v>180</v>
      </c>
      <c r="D27" s="17">
        <v>180</v>
      </c>
      <c r="E27" s="16">
        <v>43997</v>
      </c>
      <c r="F27" s="16" t="s">
        <v>59</v>
      </c>
      <c r="H27" s="17">
        <f t="shared" si="2"/>
        <v>180</v>
      </c>
      <c r="I27" s="17" t="s">
        <v>96</v>
      </c>
      <c r="J27" s="72">
        <v>44135</v>
      </c>
      <c r="K27" s="17">
        <v>62.43</v>
      </c>
      <c r="L27" s="49" t="s">
        <v>26</v>
      </c>
      <c r="N27" t="s">
        <v>96</v>
      </c>
    </row>
    <row r="28" spans="1:16" ht="15" customHeight="1" x14ac:dyDescent="0.25">
      <c r="A28" s="10">
        <v>13</v>
      </c>
      <c r="B28" s="48">
        <v>44004</v>
      </c>
      <c r="C28" s="17">
        <v>180</v>
      </c>
      <c r="D28" s="17">
        <v>180</v>
      </c>
      <c r="E28" s="16">
        <v>44004</v>
      </c>
      <c r="F28" s="16" t="s">
        <v>59</v>
      </c>
      <c r="H28" s="17">
        <f t="shared" si="2"/>
        <v>180</v>
      </c>
      <c r="I28" s="17" t="s">
        <v>96</v>
      </c>
      <c r="J28" s="72">
        <v>44138</v>
      </c>
      <c r="K28" s="17">
        <v>84.78</v>
      </c>
      <c r="L28" s="49" t="s">
        <v>16</v>
      </c>
      <c r="N28" t="s">
        <v>96</v>
      </c>
    </row>
    <row r="29" spans="1:16" ht="15" customHeight="1" x14ac:dyDescent="0.25">
      <c r="A29" s="10">
        <v>14</v>
      </c>
      <c r="B29" s="48">
        <v>44011</v>
      </c>
      <c r="C29" s="17">
        <v>180</v>
      </c>
      <c r="D29" s="17">
        <v>180</v>
      </c>
      <c r="E29" s="16">
        <v>44011</v>
      </c>
      <c r="F29" s="16" t="s">
        <v>59</v>
      </c>
      <c r="H29" s="17">
        <f t="shared" si="2"/>
        <v>180</v>
      </c>
      <c r="I29" s="17" t="s">
        <v>96</v>
      </c>
      <c r="J29" s="72">
        <v>44144</v>
      </c>
      <c r="K29" s="17">
        <v>0.99</v>
      </c>
      <c r="L29" s="49" t="s">
        <v>22</v>
      </c>
      <c r="N29" t="s">
        <v>96</v>
      </c>
    </row>
    <row r="30" spans="1:16" ht="15" customHeight="1" x14ac:dyDescent="0.25">
      <c r="A30" s="10">
        <v>15</v>
      </c>
      <c r="B30" s="48">
        <v>44018</v>
      </c>
      <c r="C30" s="17">
        <v>180</v>
      </c>
      <c r="D30" s="17">
        <v>180</v>
      </c>
      <c r="E30" s="16">
        <v>44029</v>
      </c>
      <c r="F30" s="16" t="s">
        <v>59</v>
      </c>
      <c r="H30" s="17">
        <f t="shared" si="2"/>
        <v>180</v>
      </c>
      <c r="I30" s="17" t="s">
        <v>96</v>
      </c>
      <c r="J30" s="72">
        <v>44158</v>
      </c>
      <c r="K30" s="17">
        <v>0.99</v>
      </c>
      <c r="L30" s="49" t="s">
        <v>22</v>
      </c>
      <c r="N30" t="s">
        <v>96</v>
      </c>
    </row>
    <row r="31" spans="1:16" ht="15" customHeight="1" x14ac:dyDescent="0.25">
      <c r="A31" s="10">
        <v>16</v>
      </c>
      <c r="B31" s="48">
        <v>44025</v>
      </c>
      <c r="C31" s="17">
        <v>180</v>
      </c>
      <c r="D31" s="17">
        <v>180</v>
      </c>
      <c r="E31" s="16">
        <v>44025</v>
      </c>
      <c r="F31" s="16" t="s">
        <v>59</v>
      </c>
      <c r="H31" s="17">
        <f t="shared" si="2"/>
        <v>180</v>
      </c>
      <c r="I31" s="17" t="s">
        <v>96</v>
      </c>
      <c r="J31" s="48">
        <v>44169</v>
      </c>
      <c r="K31" s="17">
        <v>84.78</v>
      </c>
      <c r="L31" s="49" t="s">
        <v>16</v>
      </c>
      <c r="N31" t="s">
        <v>96</v>
      </c>
    </row>
    <row r="32" spans="1:16" ht="15" customHeight="1" x14ac:dyDescent="0.25">
      <c r="A32" s="10">
        <v>17</v>
      </c>
      <c r="B32" s="48">
        <v>44032</v>
      </c>
      <c r="C32" s="17">
        <v>180</v>
      </c>
      <c r="D32" s="17">
        <v>180</v>
      </c>
      <c r="E32" s="16">
        <v>44036</v>
      </c>
      <c r="F32" s="16" t="s">
        <v>59</v>
      </c>
      <c r="H32" s="17">
        <f t="shared" si="2"/>
        <v>180</v>
      </c>
      <c r="I32" s="17" t="s">
        <v>96</v>
      </c>
      <c r="J32" s="48">
        <v>44175</v>
      </c>
      <c r="K32" s="17">
        <v>198.52</v>
      </c>
      <c r="L32" s="49" t="s">
        <v>20</v>
      </c>
      <c r="N32" t="s">
        <v>96</v>
      </c>
    </row>
    <row r="33" spans="1:14" ht="15" customHeight="1" x14ac:dyDescent="0.25">
      <c r="A33" s="10">
        <v>18</v>
      </c>
      <c r="B33" s="48">
        <v>44039</v>
      </c>
      <c r="C33" s="17">
        <v>180</v>
      </c>
      <c r="D33" s="17">
        <v>180</v>
      </c>
      <c r="E33" s="16">
        <v>44043</v>
      </c>
      <c r="F33" s="16" t="s">
        <v>59</v>
      </c>
      <c r="H33" s="17">
        <f t="shared" si="2"/>
        <v>180</v>
      </c>
      <c r="I33" s="17" t="s">
        <v>96</v>
      </c>
      <c r="J33" s="48">
        <v>44172</v>
      </c>
      <c r="K33" s="17">
        <v>0.99</v>
      </c>
      <c r="L33" s="49" t="s">
        <v>22</v>
      </c>
      <c r="N33" t="s">
        <v>96</v>
      </c>
    </row>
    <row r="34" spans="1:14" ht="15" customHeight="1" x14ac:dyDescent="0.25">
      <c r="A34" s="10">
        <v>19</v>
      </c>
      <c r="B34" s="48">
        <v>44046</v>
      </c>
      <c r="C34" s="17">
        <v>180</v>
      </c>
      <c r="D34" s="17">
        <v>180</v>
      </c>
      <c r="E34" s="16">
        <v>44046</v>
      </c>
      <c r="F34" s="16" t="s">
        <v>59</v>
      </c>
      <c r="H34" s="17">
        <f t="shared" si="2"/>
        <v>180</v>
      </c>
      <c r="I34" s="17" t="s">
        <v>96</v>
      </c>
      <c r="J34" s="48">
        <v>44195</v>
      </c>
      <c r="K34" s="17">
        <v>2.75</v>
      </c>
      <c r="L34" s="49" t="s">
        <v>22</v>
      </c>
      <c r="N34" t="s">
        <v>96</v>
      </c>
    </row>
    <row r="35" spans="1:14" ht="15" customHeight="1" x14ac:dyDescent="0.25">
      <c r="A35" s="10">
        <v>20</v>
      </c>
      <c r="B35" s="48">
        <v>44053</v>
      </c>
      <c r="C35" s="17">
        <v>180</v>
      </c>
      <c r="D35" s="17">
        <v>180</v>
      </c>
      <c r="E35" s="16">
        <v>44053</v>
      </c>
      <c r="F35" s="16" t="s">
        <v>59</v>
      </c>
      <c r="H35" s="17">
        <f t="shared" si="2"/>
        <v>180</v>
      </c>
      <c r="I35" s="17" t="s">
        <v>96</v>
      </c>
      <c r="J35" s="48">
        <v>44186</v>
      </c>
      <c r="K35" s="17">
        <v>0.99</v>
      </c>
      <c r="L35" s="49" t="s">
        <v>22</v>
      </c>
      <c r="N35" t="s">
        <v>96</v>
      </c>
    </row>
    <row r="36" spans="1:14" ht="15" customHeight="1" x14ac:dyDescent="0.25">
      <c r="A36" s="10">
        <v>21</v>
      </c>
      <c r="B36" s="48">
        <v>44060</v>
      </c>
      <c r="C36" s="17">
        <v>180</v>
      </c>
      <c r="D36" s="17">
        <v>180</v>
      </c>
      <c r="E36" s="16">
        <v>44060</v>
      </c>
      <c r="F36" s="16" t="s">
        <v>59</v>
      </c>
      <c r="H36" s="17">
        <f t="shared" si="2"/>
        <v>180</v>
      </c>
      <c r="I36" s="17" t="s">
        <v>96</v>
      </c>
      <c r="J36" s="48">
        <v>44194</v>
      </c>
      <c r="K36" s="17">
        <v>0.99</v>
      </c>
      <c r="L36" s="49" t="s">
        <v>22</v>
      </c>
      <c r="N36" t="s">
        <v>96</v>
      </c>
    </row>
    <row r="37" spans="1:14" ht="15" customHeight="1" x14ac:dyDescent="0.25">
      <c r="A37" s="10">
        <v>22</v>
      </c>
      <c r="B37" s="48">
        <v>44067</v>
      </c>
      <c r="C37" s="17">
        <v>180</v>
      </c>
      <c r="D37" s="17">
        <v>180</v>
      </c>
      <c r="E37" s="16">
        <v>44067</v>
      </c>
      <c r="F37" s="16" t="s">
        <v>59</v>
      </c>
      <c r="H37" s="17">
        <f t="shared" si="2"/>
        <v>180</v>
      </c>
      <c r="I37" s="17" t="s">
        <v>96</v>
      </c>
      <c r="J37" s="48">
        <v>44214</v>
      </c>
      <c r="K37" s="17">
        <v>0.99</v>
      </c>
      <c r="L37" s="49" t="s">
        <v>22</v>
      </c>
      <c r="N37" t="s">
        <v>96</v>
      </c>
    </row>
    <row r="38" spans="1:14" ht="15" customHeight="1" x14ac:dyDescent="0.25">
      <c r="A38" s="10">
        <v>23</v>
      </c>
      <c r="B38" s="48">
        <f t="shared" ref="B38:B43" si="3">B37+7</f>
        <v>44074</v>
      </c>
      <c r="C38" s="17">
        <v>180</v>
      </c>
      <c r="D38" s="17">
        <v>180</v>
      </c>
      <c r="E38" s="16">
        <v>44078</v>
      </c>
      <c r="F38" s="16" t="s">
        <v>59</v>
      </c>
      <c r="H38" s="17">
        <f t="shared" si="2"/>
        <v>180</v>
      </c>
      <c r="I38" s="17" t="s">
        <v>96</v>
      </c>
      <c r="J38" s="48">
        <v>44228</v>
      </c>
      <c r="K38" s="17">
        <v>150</v>
      </c>
      <c r="L38" s="49" t="s">
        <v>17</v>
      </c>
      <c r="N38" t="s">
        <v>14</v>
      </c>
    </row>
    <row r="39" spans="1:14" ht="15" customHeight="1" x14ac:dyDescent="0.25">
      <c r="A39" s="10">
        <v>24</v>
      </c>
      <c r="B39" s="48">
        <f t="shared" si="3"/>
        <v>44081</v>
      </c>
      <c r="C39" s="17">
        <v>180</v>
      </c>
      <c r="D39" s="17">
        <v>180</v>
      </c>
      <c r="E39" s="16">
        <v>44081</v>
      </c>
      <c r="F39" s="16" t="s">
        <v>59</v>
      </c>
      <c r="H39" s="17">
        <f t="shared" si="2"/>
        <v>180</v>
      </c>
      <c r="I39" s="17" t="s">
        <v>96</v>
      </c>
      <c r="J39" s="48">
        <v>44218</v>
      </c>
      <c r="K39" s="17">
        <v>2.75</v>
      </c>
      <c r="L39" s="49" t="s">
        <v>22</v>
      </c>
      <c r="N39" t="s">
        <v>14</v>
      </c>
    </row>
    <row r="40" spans="1:14" ht="15" customHeight="1" x14ac:dyDescent="0.25">
      <c r="A40" s="10">
        <v>25</v>
      </c>
      <c r="B40" s="48">
        <f t="shared" si="3"/>
        <v>44088</v>
      </c>
      <c r="C40" s="17">
        <v>180</v>
      </c>
      <c r="D40" s="17">
        <v>180</v>
      </c>
      <c r="E40" s="16">
        <v>44088</v>
      </c>
      <c r="F40" s="16" t="s">
        <v>59</v>
      </c>
      <c r="H40" s="17">
        <f t="shared" si="2"/>
        <v>180</v>
      </c>
      <c r="I40" s="17" t="s">
        <v>96</v>
      </c>
      <c r="J40" s="48">
        <v>44221</v>
      </c>
      <c r="K40" s="17">
        <v>0.99</v>
      </c>
      <c r="L40" s="49" t="s">
        <v>22</v>
      </c>
      <c r="N40" t="s">
        <v>14</v>
      </c>
    </row>
    <row r="41" spans="1:14" ht="15" customHeight="1" x14ac:dyDescent="0.25">
      <c r="A41" s="10">
        <v>26</v>
      </c>
      <c r="B41" s="48">
        <f t="shared" si="3"/>
        <v>44095</v>
      </c>
      <c r="C41" s="17">
        <v>180</v>
      </c>
      <c r="D41" s="17">
        <v>180</v>
      </c>
      <c r="E41" s="16">
        <v>44095</v>
      </c>
      <c r="F41" s="16" t="s">
        <v>59</v>
      </c>
      <c r="H41" s="17">
        <f t="shared" si="2"/>
        <v>180</v>
      </c>
      <c r="I41" s="17" t="s">
        <v>96</v>
      </c>
      <c r="J41" s="48">
        <v>44231</v>
      </c>
      <c r="K41" s="17">
        <v>66</v>
      </c>
      <c r="L41" s="49" t="s">
        <v>34</v>
      </c>
      <c r="N41" t="s">
        <v>96</v>
      </c>
    </row>
    <row r="42" spans="1:14" ht="15" customHeight="1" x14ac:dyDescent="0.25">
      <c r="A42" s="10">
        <v>27</v>
      </c>
      <c r="B42" s="48">
        <f t="shared" si="3"/>
        <v>44102</v>
      </c>
      <c r="C42" s="17">
        <v>180</v>
      </c>
      <c r="D42" s="17">
        <v>180</v>
      </c>
      <c r="E42" s="16">
        <v>44102</v>
      </c>
      <c r="F42" s="16" t="s">
        <v>59</v>
      </c>
      <c r="H42" s="17">
        <f t="shared" si="2"/>
        <v>180</v>
      </c>
      <c r="I42" s="17" t="s">
        <v>96</v>
      </c>
      <c r="J42" s="48">
        <v>44232</v>
      </c>
      <c r="K42" s="17">
        <v>19.02</v>
      </c>
      <c r="L42" s="49" t="s">
        <v>32</v>
      </c>
      <c r="N42" t="s">
        <v>96</v>
      </c>
    </row>
    <row r="43" spans="1:14" ht="15" customHeight="1" x14ac:dyDescent="0.25">
      <c r="A43" s="10">
        <v>28</v>
      </c>
      <c r="B43" s="48">
        <f t="shared" si="3"/>
        <v>44109</v>
      </c>
      <c r="C43" s="17">
        <v>180</v>
      </c>
      <c r="D43" s="17">
        <v>180</v>
      </c>
      <c r="E43" s="16">
        <v>44109</v>
      </c>
      <c r="F43" s="16" t="s">
        <v>59</v>
      </c>
      <c r="H43" s="17">
        <f t="shared" si="2"/>
        <v>180</v>
      </c>
      <c r="I43" s="17" t="s">
        <v>96</v>
      </c>
      <c r="J43" s="48">
        <v>44228</v>
      </c>
      <c r="K43" s="17">
        <v>2.75</v>
      </c>
      <c r="L43" s="49" t="s">
        <v>22</v>
      </c>
      <c r="N43" t="s">
        <v>96</v>
      </c>
    </row>
    <row r="44" spans="1:14" ht="15" customHeight="1" x14ac:dyDescent="0.25">
      <c r="A44" s="10">
        <v>29</v>
      </c>
      <c r="B44" s="48">
        <f t="shared" ref="B44:B50" si="4">B43+7</f>
        <v>44116</v>
      </c>
      <c r="C44" s="17">
        <v>180</v>
      </c>
      <c r="D44" s="17">
        <v>180</v>
      </c>
      <c r="E44" s="16">
        <v>44116</v>
      </c>
      <c r="F44" s="16" t="s">
        <v>59</v>
      </c>
      <c r="H44" s="17">
        <f t="shared" si="2"/>
        <v>180</v>
      </c>
      <c r="I44" s="17" t="s">
        <v>96</v>
      </c>
      <c r="J44" s="48">
        <v>44228</v>
      </c>
      <c r="K44" s="17">
        <v>0.99</v>
      </c>
      <c r="L44" s="49" t="s">
        <v>22</v>
      </c>
      <c r="N44" t="s">
        <v>96</v>
      </c>
    </row>
    <row r="45" spans="1:14" ht="15" customHeight="1" x14ac:dyDescent="0.25">
      <c r="A45" s="10">
        <v>30</v>
      </c>
      <c r="B45" s="48">
        <f t="shared" si="4"/>
        <v>44123</v>
      </c>
      <c r="C45" s="17">
        <v>180</v>
      </c>
      <c r="D45" s="17">
        <v>180</v>
      </c>
      <c r="E45" s="16">
        <v>44123</v>
      </c>
      <c r="F45" s="16" t="s">
        <v>59</v>
      </c>
      <c r="H45" s="17">
        <f t="shared" si="2"/>
        <v>180</v>
      </c>
      <c r="I45" s="17" t="s">
        <v>96</v>
      </c>
      <c r="J45" s="48">
        <v>44237</v>
      </c>
      <c r="K45" s="17">
        <v>14.51</v>
      </c>
      <c r="L45" s="49" t="s">
        <v>32</v>
      </c>
      <c r="N45" t="s">
        <v>96</v>
      </c>
    </row>
    <row r="46" spans="1:14" ht="15" customHeight="1" x14ac:dyDescent="0.25">
      <c r="A46" s="10">
        <v>31</v>
      </c>
      <c r="B46" s="48">
        <f t="shared" si="4"/>
        <v>44130</v>
      </c>
      <c r="C46" s="17">
        <v>180</v>
      </c>
      <c r="D46" s="17">
        <v>180</v>
      </c>
      <c r="E46" s="16">
        <v>44130</v>
      </c>
      <c r="F46" s="16" t="s">
        <v>59</v>
      </c>
      <c r="H46" s="17">
        <f t="shared" si="2"/>
        <v>180</v>
      </c>
      <c r="I46" s="17" t="s">
        <v>96</v>
      </c>
      <c r="J46" s="48">
        <v>44237</v>
      </c>
      <c r="K46" s="17">
        <v>150</v>
      </c>
      <c r="L46" s="49" t="s">
        <v>17</v>
      </c>
      <c r="M46" t="s">
        <v>503</v>
      </c>
      <c r="N46" t="s">
        <v>14</v>
      </c>
    </row>
    <row r="47" spans="1:14" ht="15" customHeight="1" x14ac:dyDescent="0.25">
      <c r="A47" s="10">
        <v>32</v>
      </c>
      <c r="B47" s="48">
        <f t="shared" si="4"/>
        <v>44137</v>
      </c>
      <c r="C47" s="17">
        <v>180</v>
      </c>
      <c r="D47" s="17">
        <v>180</v>
      </c>
      <c r="E47" s="16">
        <v>44137</v>
      </c>
      <c r="F47" s="16" t="s">
        <v>59</v>
      </c>
      <c r="H47" s="17">
        <f t="shared" si="2"/>
        <v>180</v>
      </c>
      <c r="I47" s="17" t="s">
        <v>96</v>
      </c>
      <c r="J47" s="48">
        <v>44243</v>
      </c>
      <c r="K47" s="17">
        <v>151.02000000000001</v>
      </c>
      <c r="L47" s="49" t="s">
        <v>45</v>
      </c>
      <c r="M47" t="s">
        <v>206</v>
      </c>
      <c r="N47" t="s">
        <v>96</v>
      </c>
    </row>
    <row r="48" spans="1:14" ht="15" customHeight="1" x14ac:dyDescent="0.25">
      <c r="A48" s="10">
        <v>33</v>
      </c>
      <c r="B48" s="48">
        <f t="shared" si="4"/>
        <v>44144</v>
      </c>
      <c r="C48" s="17">
        <v>180</v>
      </c>
      <c r="D48" s="17">
        <v>180</v>
      </c>
      <c r="E48" s="16">
        <v>44148</v>
      </c>
      <c r="F48" s="16" t="s">
        <v>59</v>
      </c>
      <c r="H48" s="17">
        <f t="shared" si="2"/>
        <v>180</v>
      </c>
      <c r="I48" s="17" t="s">
        <v>96</v>
      </c>
      <c r="J48" s="48">
        <v>44235</v>
      </c>
      <c r="K48" s="17">
        <v>0.99</v>
      </c>
      <c r="L48" s="49" t="s">
        <v>22</v>
      </c>
      <c r="N48" t="s">
        <v>96</v>
      </c>
    </row>
    <row r="49" spans="1:14" ht="15" customHeight="1" x14ac:dyDescent="0.25">
      <c r="A49" s="10">
        <v>34</v>
      </c>
      <c r="B49" s="48">
        <f t="shared" si="4"/>
        <v>44151</v>
      </c>
      <c r="C49" s="17">
        <v>180</v>
      </c>
      <c r="D49" s="17">
        <v>180</v>
      </c>
      <c r="E49" s="16">
        <v>44151</v>
      </c>
      <c r="F49" s="16" t="s">
        <v>59</v>
      </c>
      <c r="H49" s="17">
        <f t="shared" si="2"/>
        <v>180</v>
      </c>
      <c r="I49" s="17" t="s">
        <v>96</v>
      </c>
      <c r="J49" s="48">
        <v>44232</v>
      </c>
      <c r="K49" s="17">
        <v>2.75</v>
      </c>
      <c r="L49" s="49" t="s">
        <v>22</v>
      </c>
      <c r="N49" t="s">
        <v>96</v>
      </c>
    </row>
    <row r="50" spans="1:14" ht="15" customHeight="1" x14ac:dyDescent="0.25">
      <c r="A50" s="10">
        <v>35</v>
      </c>
      <c r="B50" s="48">
        <f t="shared" si="4"/>
        <v>44158</v>
      </c>
      <c r="C50" s="17">
        <v>180</v>
      </c>
      <c r="D50" s="17">
        <v>180</v>
      </c>
      <c r="E50" s="16">
        <v>44162</v>
      </c>
      <c r="F50" s="16" t="s">
        <v>59</v>
      </c>
      <c r="H50" s="17">
        <f t="shared" si="2"/>
        <v>180</v>
      </c>
      <c r="I50" s="17" t="s">
        <v>96</v>
      </c>
      <c r="J50" s="48">
        <v>44245</v>
      </c>
      <c r="K50" s="17">
        <v>22.5</v>
      </c>
      <c r="L50" s="49" t="s">
        <v>45</v>
      </c>
      <c r="M50" t="s">
        <v>206</v>
      </c>
      <c r="N50" t="s">
        <v>96</v>
      </c>
    </row>
    <row r="51" spans="1:14" ht="15" customHeight="1" x14ac:dyDescent="0.25">
      <c r="A51" s="10">
        <v>36</v>
      </c>
      <c r="B51" s="48">
        <f t="shared" ref="B51:B56" si="5">B50+7</f>
        <v>44165</v>
      </c>
      <c r="C51" s="17">
        <v>180</v>
      </c>
      <c r="D51" s="17">
        <v>180</v>
      </c>
      <c r="E51" s="16">
        <v>44165</v>
      </c>
      <c r="F51" s="16" t="s">
        <v>59</v>
      </c>
      <c r="H51" s="17">
        <f t="shared" si="2"/>
        <v>180</v>
      </c>
      <c r="I51" s="17" t="s">
        <v>96</v>
      </c>
      <c r="J51" s="48">
        <v>44246</v>
      </c>
      <c r="K51" s="17">
        <v>242</v>
      </c>
      <c r="L51" s="49" t="s">
        <v>17</v>
      </c>
      <c r="N51" t="s">
        <v>96</v>
      </c>
    </row>
    <row r="52" spans="1:14" ht="15" customHeight="1" x14ac:dyDescent="0.25">
      <c r="A52" s="10">
        <v>37</v>
      </c>
      <c r="B52" s="48">
        <f t="shared" si="5"/>
        <v>44172</v>
      </c>
      <c r="C52" s="17">
        <v>180</v>
      </c>
      <c r="D52" s="17">
        <v>180</v>
      </c>
      <c r="E52" s="16">
        <v>44176</v>
      </c>
      <c r="F52" s="16" t="s">
        <v>59</v>
      </c>
      <c r="H52" s="17">
        <f t="shared" si="2"/>
        <v>180</v>
      </c>
      <c r="I52" s="17" t="s">
        <v>96</v>
      </c>
      <c r="J52" s="48">
        <v>44246</v>
      </c>
      <c r="K52" s="17">
        <v>528</v>
      </c>
      <c r="L52" s="49" t="s">
        <v>17</v>
      </c>
      <c r="M52" t="s">
        <v>523</v>
      </c>
      <c r="N52" t="s">
        <v>96</v>
      </c>
    </row>
    <row r="53" spans="1:14" ht="15" customHeight="1" x14ac:dyDescent="0.25">
      <c r="A53" s="10">
        <v>38</v>
      </c>
      <c r="B53" s="48">
        <f t="shared" si="5"/>
        <v>44179</v>
      </c>
      <c r="C53" s="17">
        <v>180</v>
      </c>
      <c r="D53" s="17">
        <v>180</v>
      </c>
      <c r="E53" s="16">
        <v>44179</v>
      </c>
      <c r="F53" s="16" t="s">
        <v>59</v>
      </c>
      <c r="H53" s="17">
        <f t="shared" si="2"/>
        <v>180</v>
      </c>
      <c r="I53" s="17" t="s">
        <v>96</v>
      </c>
      <c r="J53" s="48">
        <v>44239</v>
      </c>
      <c r="K53" s="17">
        <v>2.75</v>
      </c>
      <c r="L53" s="49" t="s">
        <v>22</v>
      </c>
      <c r="N53" t="s">
        <v>96</v>
      </c>
    </row>
    <row r="54" spans="1:14" ht="15" customHeight="1" x14ac:dyDescent="0.25">
      <c r="A54" s="10">
        <v>39</v>
      </c>
      <c r="B54" s="48">
        <f t="shared" si="5"/>
        <v>44186</v>
      </c>
      <c r="C54" s="17">
        <v>180</v>
      </c>
      <c r="D54" s="17"/>
      <c r="H54" s="17">
        <f t="shared" si="2"/>
        <v>360</v>
      </c>
      <c r="I54" s="17" t="s">
        <v>96</v>
      </c>
      <c r="J54" s="48">
        <v>44242</v>
      </c>
      <c r="K54" s="17">
        <v>0.99</v>
      </c>
      <c r="L54" s="49" t="s">
        <v>22</v>
      </c>
      <c r="N54" t="s">
        <v>96</v>
      </c>
    </row>
    <row r="55" spans="1:14" ht="15" customHeight="1" x14ac:dyDescent="0.25">
      <c r="A55" s="10">
        <v>40</v>
      </c>
      <c r="B55" s="48">
        <f t="shared" si="5"/>
        <v>44193</v>
      </c>
      <c r="C55" s="17">
        <v>200</v>
      </c>
      <c r="D55" s="17">
        <v>250</v>
      </c>
      <c r="E55" s="16">
        <v>44200</v>
      </c>
      <c r="F55" s="16" t="s">
        <v>59</v>
      </c>
      <c r="H55" s="17">
        <f t="shared" si="2"/>
        <v>310</v>
      </c>
      <c r="I55" s="17" t="s">
        <v>96</v>
      </c>
      <c r="J55" s="48">
        <v>44245</v>
      </c>
      <c r="K55" s="17">
        <v>2.75</v>
      </c>
      <c r="L55" s="49" t="s">
        <v>22</v>
      </c>
      <c r="N55" t="s">
        <v>96</v>
      </c>
    </row>
    <row r="56" spans="1:14" ht="15" customHeight="1" x14ac:dyDescent="0.25">
      <c r="A56" s="10">
        <v>41</v>
      </c>
      <c r="B56" s="48">
        <f t="shared" si="5"/>
        <v>44200</v>
      </c>
      <c r="C56" s="17">
        <v>200</v>
      </c>
      <c r="D56" s="17">
        <v>250</v>
      </c>
      <c r="E56" s="16">
        <v>44201</v>
      </c>
      <c r="F56" s="16" t="s">
        <v>59</v>
      </c>
      <c r="H56" s="17">
        <f t="shared" si="2"/>
        <v>260</v>
      </c>
      <c r="I56" s="17" t="s">
        <v>96</v>
      </c>
      <c r="J56" s="48">
        <v>44250</v>
      </c>
      <c r="K56" s="17">
        <v>198.52</v>
      </c>
      <c r="L56" s="49" t="s">
        <v>20</v>
      </c>
      <c r="N56" t="s">
        <v>96</v>
      </c>
    </row>
    <row r="57" spans="1:14" ht="15" customHeight="1" x14ac:dyDescent="0.25">
      <c r="A57" s="10">
        <v>42</v>
      </c>
      <c r="B57" s="48">
        <f t="shared" ref="B57:B62" si="6">B56+7</f>
        <v>44207</v>
      </c>
      <c r="C57" s="17">
        <v>200</v>
      </c>
      <c r="D57" s="17">
        <v>250</v>
      </c>
      <c r="E57" s="16">
        <v>44207</v>
      </c>
      <c r="F57" s="16" t="s">
        <v>59</v>
      </c>
      <c r="H57" s="17">
        <f t="shared" si="2"/>
        <v>210</v>
      </c>
      <c r="I57" s="17" t="s">
        <v>96</v>
      </c>
      <c r="J57" s="48">
        <v>44249</v>
      </c>
      <c r="K57" s="17">
        <v>0.99</v>
      </c>
      <c r="L57" s="49" t="s">
        <v>22</v>
      </c>
      <c r="N57" t="s">
        <v>96</v>
      </c>
    </row>
    <row r="58" spans="1:14" ht="15" customHeight="1" x14ac:dyDescent="0.25">
      <c r="A58" s="10">
        <v>43</v>
      </c>
      <c r="B58" s="48">
        <f t="shared" si="6"/>
        <v>44214</v>
      </c>
      <c r="C58" s="17">
        <v>200</v>
      </c>
      <c r="D58" s="17"/>
      <c r="H58" s="17">
        <f t="shared" si="2"/>
        <v>410</v>
      </c>
      <c r="I58" s="17" t="s">
        <v>96</v>
      </c>
      <c r="J58" s="48">
        <v>44252</v>
      </c>
      <c r="K58" s="17">
        <v>2.75</v>
      </c>
      <c r="L58" s="49" t="s">
        <v>22</v>
      </c>
      <c r="N58" t="s">
        <v>96</v>
      </c>
    </row>
    <row r="59" spans="1:14" ht="15" customHeight="1" x14ac:dyDescent="0.25">
      <c r="A59" s="10">
        <v>44</v>
      </c>
      <c r="B59" s="48">
        <f t="shared" si="6"/>
        <v>44221</v>
      </c>
      <c r="C59" s="17">
        <v>200</v>
      </c>
      <c r="H59" s="17">
        <f t="shared" si="2"/>
        <v>610</v>
      </c>
      <c r="I59" s="17" t="s">
        <v>96</v>
      </c>
      <c r="J59" s="48">
        <v>44258</v>
      </c>
      <c r="K59" s="17">
        <v>-200</v>
      </c>
      <c r="L59" s="49" t="s">
        <v>45</v>
      </c>
      <c r="M59" t="s">
        <v>206</v>
      </c>
      <c r="N59" t="s">
        <v>96</v>
      </c>
    </row>
    <row r="60" spans="1:14" ht="15" customHeight="1" x14ac:dyDescent="0.25">
      <c r="A60" s="10">
        <v>45</v>
      </c>
      <c r="B60" s="48">
        <f t="shared" si="6"/>
        <v>44228</v>
      </c>
      <c r="C60" s="17">
        <v>200</v>
      </c>
      <c r="D60" s="17">
        <v>500</v>
      </c>
      <c r="E60" s="16">
        <v>44234</v>
      </c>
      <c r="F60" s="16" t="s">
        <v>114</v>
      </c>
      <c r="H60" s="17">
        <f t="shared" si="2"/>
        <v>310</v>
      </c>
      <c r="I60" s="17" t="s">
        <v>96</v>
      </c>
      <c r="J60" s="48">
        <v>44259</v>
      </c>
      <c r="K60" s="17">
        <v>82.23</v>
      </c>
      <c r="L60" s="49" t="s">
        <v>45</v>
      </c>
      <c r="M60" t="s">
        <v>206</v>
      </c>
      <c r="N60" t="s">
        <v>96</v>
      </c>
    </row>
    <row r="61" spans="1:14" ht="15" customHeight="1" x14ac:dyDescent="0.25">
      <c r="A61" s="10">
        <v>46</v>
      </c>
      <c r="B61" s="48">
        <f t="shared" si="6"/>
        <v>44235</v>
      </c>
      <c r="C61" s="17">
        <v>200</v>
      </c>
      <c r="D61" s="17"/>
      <c r="H61" s="17">
        <f t="shared" si="2"/>
        <v>510</v>
      </c>
      <c r="I61" s="17" t="s">
        <v>96</v>
      </c>
      <c r="J61" s="48">
        <v>44256</v>
      </c>
      <c r="K61" s="17">
        <v>0.99</v>
      </c>
      <c r="L61" s="49" t="s">
        <v>22</v>
      </c>
      <c r="N61" t="s">
        <v>96</v>
      </c>
    </row>
    <row r="62" spans="1:14" ht="15" customHeight="1" x14ac:dyDescent="0.25">
      <c r="A62" s="10">
        <v>47</v>
      </c>
      <c r="B62" s="48">
        <f t="shared" si="6"/>
        <v>44242</v>
      </c>
      <c r="C62" s="17">
        <v>200</v>
      </c>
      <c r="D62" s="17"/>
      <c r="H62" s="17">
        <f t="shared" si="2"/>
        <v>710</v>
      </c>
      <c r="I62" s="17" t="s">
        <v>96</v>
      </c>
      <c r="J62" s="48">
        <v>44259</v>
      </c>
      <c r="K62" s="17">
        <v>2.75</v>
      </c>
      <c r="L62" s="49" t="s">
        <v>22</v>
      </c>
      <c r="N62" t="s">
        <v>96</v>
      </c>
    </row>
    <row r="63" spans="1:14" ht="15" customHeight="1" x14ac:dyDescent="0.25">
      <c r="A63" s="10">
        <v>48</v>
      </c>
      <c r="B63" s="48">
        <f t="shared" ref="B63:B68" si="7">B62+7</f>
        <v>44249</v>
      </c>
      <c r="C63" s="17">
        <v>200</v>
      </c>
      <c r="D63" s="17">
        <v>900</v>
      </c>
      <c r="E63" s="16">
        <v>44258</v>
      </c>
      <c r="F63" t="s">
        <v>117</v>
      </c>
      <c r="H63" s="17">
        <f t="shared" si="2"/>
        <v>10</v>
      </c>
      <c r="I63" s="17" t="s">
        <v>96</v>
      </c>
      <c r="J63" s="48">
        <v>44299</v>
      </c>
      <c r="K63" s="17">
        <v>101.19</v>
      </c>
      <c r="L63" s="49" t="s">
        <v>45</v>
      </c>
      <c r="M63" t="s">
        <v>206</v>
      </c>
      <c r="N63" t="s">
        <v>96</v>
      </c>
    </row>
    <row r="64" spans="1:14" ht="15" customHeight="1" x14ac:dyDescent="0.25">
      <c r="A64" s="10">
        <v>49</v>
      </c>
      <c r="B64" s="48">
        <f t="shared" si="7"/>
        <v>44256</v>
      </c>
      <c r="C64" s="17">
        <v>200</v>
      </c>
      <c r="D64" s="17">
        <v>100</v>
      </c>
      <c r="E64" s="16">
        <v>44258</v>
      </c>
      <c r="F64" t="s">
        <v>117</v>
      </c>
      <c r="H64" s="17">
        <f t="shared" si="2"/>
        <v>110</v>
      </c>
      <c r="I64" s="17" t="s">
        <v>96</v>
      </c>
      <c r="J64" s="48">
        <v>44302</v>
      </c>
      <c r="K64" s="17">
        <v>217.6</v>
      </c>
      <c r="L64" s="49" t="s">
        <v>45</v>
      </c>
      <c r="M64" t="s">
        <v>555</v>
      </c>
      <c r="N64" t="s">
        <v>96</v>
      </c>
    </row>
    <row r="65" spans="1:14" ht="15" customHeight="1" x14ac:dyDescent="0.25">
      <c r="A65" s="10">
        <v>50</v>
      </c>
      <c r="B65" s="48">
        <f t="shared" si="7"/>
        <v>44263</v>
      </c>
      <c r="C65" s="17">
        <v>200</v>
      </c>
      <c r="D65" s="17"/>
      <c r="H65" s="17">
        <f t="shared" si="2"/>
        <v>310</v>
      </c>
      <c r="I65" s="17" t="s">
        <v>96</v>
      </c>
      <c r="J65" s="48">
        <v>44306</v>
      </c>
      <c r="K65" s="17">
        <v>43.48</v>
      </c>
      <c r="L65" s="49" t="s">
        <v>45</v>
      </c>
      <c r="M65" t="s">
        <v>555</v>
      </c>
      <c r="N65" t="s">
        <v>96</v>
      </c>
    </row>
    <row r="66" spans="1:14" ht="15" customHeight="1" x14ac:dyDescent="0.25">
      <c r="A66" s="10">
        <v>51</v>
      </c>
      <c r="B66" s="48">
        <f t="shared" si="7"/>
        <v>44270</v>
      </c>
      <c r="C66" s="17">
        <v>200</v>
      </c>
      <c r="D66" s="17"/>
      <c r="H66" s="17">
        <f t="shared" si="2"/>
        <v>510</v>
      </c>
      <c r="I66" s="17" t="s">
        <v>96</v>
      </c>
      <c r="J66" s="48">
        <v>44326</v>
      </c>
      <c r="K66" s="17">
        <v>400</v>
      </c>
      <c r="L66" s="49" t="s">
        <v>45</v>
      </c>
      <c r="N66" t="s">
        <v>578</v>
      </c>
    </row>
    <row r="67" spans="1:14" ht="15" customHeight="1" x14ac:dyDescent="0.25">
      <c r="A67" s="10">
        <v>52</v>
      </c>
      <c r="B67" s="48">
        <f t="shared" si="7"/>
        <v>44277</v>
      </c>
      <c r="C67" s="17">
        <v>200</v>
      </c>
      <c r="D67" s="17"/>
      <c r="H67" s="17">
        <f t="shared" si="2"/>
        <v>710</v>
      </c>
      <c r="I67" s="17" t="s">
        <v>96</v>
      </c>
      <c r="J67" s="48">
        <v>44336</v>
      </c>
      <c r="K67" s="17">
        <v>30.11</v>
      </c>
      <c r="L67" s="49" t="s">
        <v>32</v>
      </c>
      <c r="N67" t="s">
        <v>553</v>
      </c>
    </row>
    <row r="68" spans="1:14" ht="15" customHeight="1" x14ac:dyDescent="0.25">
      <c r="A68" s="10">
        <v>53</v>
      </c>
      <c r="B68" s="48">
        <f t="shared" si="7"/>
        <v>44284</v>
      </c>
      <c r="C68" s="17">
        <v>200</v>
      </c>
      <c r="D68" s="17"/>
      <c r="F68" t="s">
        <v>124</v>
      </c>
      <c r="H68" s="17">
        <f t="shared" si="2"/>
        <v>910</v>
      </c>
      <c r="I68" s="17" t="s">
        <v>96</v>
      </c>
      <c r="J68" s="48">
        <v>44341</v>
      </c>
      <c r="K68" s="17">
        <v>14</v>
      </c>
      <c r="L68" s="49" t="s">
        <v>53</v>
      </c>
      <c r="N68" t="s">
        <v>553</v>
      </c>
    </row>
    <row r="69" spans="1:14" ht="15" customHeight="1" x14ac:dyDescent="0.25">
      <c r="A69" s="10">
        <v>54</v>
      </c>
      <c r="B69" s="48">
        <f>B68+7</f>
        <v>44291</v>
      </c>
      <c r="C69" s="17"/>
      <c r="D69" s="17"/>
      <c r="H69" s="17">
        <f t="shared" si="2"/>
        <v>0</v>
      </c>
      <c r="I69" s="17" t="s">
        <v>96</v>
      </c>
      <c r="J69" s="48">
        <v>44376</v>
      </c>
      <c r="K69" s="17">
        <v>10.38</v>
      </c>
      <c r="L69" s="49" t="s">
        <v>32</v>
      </c>
      <c r="N69" t="s">
        <v>612</v>
      </c>
    </row>
    <row r="70" spans="1:14" ht="15" customHeight="1" x14ac:dyDescent="0.25">
      <c r="A70" s="10">
        <v>1</v>
      </c>
      <c r="B70" s="48">
        <v>44311</v>
      </c>
      <c r="C70" s="17">
        <v>300</v>
      </c>
      <c r="D70" s="17">
        <v>300</v>
      </c>
      <c r="E70" s="16">
        <v>44311</v>
      </c>
      <c r="F70" t="s">
        <v>181</v>
      </c>
      <c r="H70" s="17">
        <f t="shared" si="2"/>
        <v>0</v>
      </c>
      <c r="I70" s="17" t="s">
        <v>578</v>
      </c>
      <c r="J70" s="48">
        <v>44388</v>
      </c>
      <c r="K70" s="17">
        <v>12.33</v>
      </c>
      <c r="L70" s="49" t="s">
        <v>32</v>
      </c>
      <c r="N70" t="s">
        <v>662</v>
      </c>
    </row>
    <row r="71" spans="1:14" ht="15" customHeight="1" x14ac:dyDescent="0.25">
      <c r="A71" s="10">
        <v>1</v>
      </c>
      <c r="B71" s="48">
        <v>44311</v>
      </c>
      <c r="C71" s="17">
        <v>270</v>
      </c>
      <c r="D71" s="17">
        <v>270</v>
      </c>
      <c r="E71" s="16">
        <v>44311</v>
      </c>
      <c r="F71" t="s">
        <v>124</v>
      </c>
      <c r="H71" s="17">
        <f t="shared" si="2"/>
        <v>0</v>
      </c>
      <c r="I71" s="17" t="s">
        <v>578</v>
      </c>
      <c r="J71" s="48">
        <v>44389</v>
      </c>
      <c r="K71" s="17">
        <v>100</v>
      </c>
      <c r="L71" s="49" t="s">
        <v>45</v>
      </c>
      <c r="N71" t="s">
        <v>624</v>
      </c>
    </row>
    <row r="72" spans="1:14" ht="15" customHeight="1" x14ac:dyDescent="0.25">
      <c r="A72" s="10">
        <v>1</v>
      </c>
      <c r="B72" s="48">
        <v>44311</v>
      </c>
      <c r="C72" s="17">
        <v>100</v>
      </c>
      <c r="D72" s="17">
        <v>100</v>
      </c>
      <c r="E72" s="16">
        <v>44315</v>
      </c>
      <c r="F72" t="s">
        <v>181</v>
      </c>
      <c r="H72" s="17">
        <f t="shared" si="2"/>
        <v>0</v>
      </c>
      <c r="I72" s="17" t="s">
        <v>578</v>
      </c>
      <c r="J72" s="48">
        <v>44402</v>
      </c>
      <c r="K72" s="17">
        <v>38.659999999999997</v>
      </c>
      <c r="L72" s="49" t="s">
        <v>32</v>
      </c>
      <c r="N72" t="s">
        <v>662</v>
      </c>
    </row>
    <row r="73" spans="1:14" x14ac:dyDescent="0.25">
      <c r="A73" s="10">
        <v>1</v>
      </c>
      <c r="B73" s="48">
        <v>44336</v>
      </c>
      <c r="C73" s="17">
        <v>400</v>
      </c>
      <c r="D73" s="17">
        <v>400</v>
      </c>
      <c r="E73" s="16">
        <v>44336</v>
      </c>
      <c r="F73" t="s">
        <v>181</v>
      </c>
      <c r="H73" s="17">
        <f t="shared" si="2"/>
        <v>0</v>
      </c>
      <c r="I73" s="17" t="s">
        <v>553</v>
      </c>
      <c r="J73" s="48">
        <v>44398</v>
      </c>
      <c r="K73" s="17">
        <v>5.5</v>
      </c>
      <c r="L73" s="49" t="s">
        <v>22</v>
      </c>
      <c r="N73" t="s">
        <v>662</v>
      </c>
    </row>
    <row r="74" spans="1:14" x14ac:dyDescent="0.25">
      <c r="A74" s="10">
        <v>1</v>
      </c>
      <c r="B74" s="48">
        <v>44336</v>
      </c>
      <c r="C74" s="17">
        <v>290</v>
      </c>
      <c r="D74" s="17">
        <v>290</v>
      </c>
      <c r="E74" s="16">
        <v>44336</v>
      </c>
      <c r="F74" t="s">
        <v>124</v>
      </c>
      <c r="H74" s="17">
        <f t="shared" si="2"/>
        <v>0</v>
      </c>
      <c r="I74" s="17" t="s">
        <v>553</v>
      </c>
      <c r="J74" s="48">
        <v>44421</v>
      </c>
      <c r="K74" s="17">
        <v>400</v>
      </c>
      <c r="L74" s="49" t="s">
        <v>45</v>
      </c>
      <c r="N74" t="s">
        <v>662</v>
      </c>
    </row>
    <row r="75" spans="1:14" x14ac:dyDescent="0.25">
      <c r="A75" s="10">
        <v>1</v>
      </c>
      <c r="B75" s="48">
        <v>44354</v>
      </c>
      <c r="C75" s="17">
        <v>250</v>
      </c>
      <c r="D75" s="17">
        <v>250</v>
      </c>
      <c r="E75" s="16">
        <v>44352</v>
      </c>
      <c r="F75" t="s">
        <v>117</v>
      </c>
      <c r="H75" s="17">
        <f t="shared" si="2"/>
        <v>0</v>
      </c>
      <c r="I75" s="17" t="s">
        <v>612</v>
      </c>
      <c r="J75" s="48">
        <v>44421</v>
      </c>
      <c r="K75" s="17">
        <v>-100</v>
      </c>
      <c r="L75" s="49" t="s">
        <v>32</v>
      </c>
      <c r="N75" t="s">
        <v>662</v>
      </c>
    </row>
    <row r="76" spans="1:14" x14ac:dyDescent="0.25">
      <c r="A76" s="10">
        <v>2</v>
      </c>
      <c r="B76" s="48">
        <f>B75+7</f>
        <v>44361</v>
      </c>
      <c r="C76" s="17">
        <v>250</v>
      </c>
      <c r="D76" s="17">
        <v>100</v>
      </c>
      <c r="E76" s="16">
        <v>44361</v>
      </c>
      <c r="F76" t="s">
        <v>117</v>
      </c>
      <c r="H76" s="17">
        <f t="shared" si="2"/>
        <v>150</v>
      </c>
      <c r="I76" s="17" t="s">
        <v>612</v>
      </c>
      <c r="J76" s="48">
        <v>44428</v>
      </c>
      <c r="K76" s="17">
        <v>52</v>
      </c>
      <c r="L76" s="49" t="s">
        <v>32</v>
      </c>
      <c r="N76" t="s">
        <v>662</v>
      </c>
    </row>
    <row r="77" spans="1:14" x14ac:dyDescent="0.25">
      <c r="A77" s="10">
        <v>3</v>
      </c>
      <c r="B77" s="48">
        <f>B76+7</f>
        <v>44368</v>
      </c>
      <c r="C77" s="17">
        <v>250</v>
      </c>
      <c r="D77" s="17">
        <v>150</v>
      </c>
      <c r="E77" s="16">
        <v>44362</v>
      </c>
      <c r="F77" t="s">
        <v>124</v>
      </c>
      <c r="H77" s="17">
        <f t="shared" ref="H77:H104" si="8">IFERROR(IF(F76="Closed account",(IF(F77="Unpaid Rent",(C77),(C77-D77))),(IF(F77="Unpaid Rent",(C77+H76),(C77-D77+H76)))),"")</f>
        <v>250</v>
      </c>
      <c r="I77" s="17" t="s">
        <v>612</v>
      </c>
      <c r="J77" s="48">
        <v>44444</v>
      </c>
      <c r="K77" s="17">
        <v>412.5</v>
      </c>
      <c r="L77" s="49" t="s">
        <v>17</v>
      </c>
      <c r="N77" t="s">
        <v>662</v>
      </c>
    </row>
    <row r="78" spans="1:14" x14ac:dyDescent="0.25">
      <c r="A78" s="10">
        <v>1</v>
      </c>
      <c r="B78" s="48">
        <v>44371</v>
      </c>
      <c r="C78" s="17">
        <v>400</v>
      </c>
      <c r="D78" s="17">
        <v>400</v>
      </c>
      <c r="E78" s="16">
        <v>44371</v>
      </c>
      <c r="F78" t="s">
        <v>181</v>
      </c>
      <c r="H78" s="17">
        <f t="shared" si="8"/>
        <v>0</v>
      </c>
      <c r="I78" s="17" t="s">
        <v>624</v>
      </c>
      <c r="J78" s="48">
        <v>44498</v>
      </c>
      <c r="K78" s="17">
        <v>5.5</v>
      </c>
      <c r="L78" s="49" t="s">
        <v>22</v>
      </c>
      <c r="N78" t="s">
        <v>710</v>
      </c>
    </row>
    <row r="79" spans="1:14" x14ac:dyDescent="0.25">
      <c r="A79" s="10">
        <v>1</v>
      </c>
      <c r="B79" s="48">
        <v>44371</v>
      </c>
      <c r="C79" s="17">
        <v>300</v>
      </c>
      <c r="D79" s="17">
        <v>300</v>
      </c>
      <c r="E79" s="16">
        <v>44371</v>
      </c>
      <c r="F79" t="s">
        <v>117</v>
      </c>
      <c r="H79" s="17">
        <f t="shared" si="8"/>
        <v>0</v>
      </c>
      <c r="I79" s="17" t="s">
        <v>624</v>
      </c>
      <c r="J79" s="48">
        <v>44538</v>
      </c>
      <c r="K79" s="17">
        <v>19.079999999999998</v>
      </c>
      <c r="L79" s="49" t="s">
        <v>133</v>
      </c>
      <c r="N79" t="s">
        <v>14</v>
      </c>
    </row>
    <row r="80" spans="1:14" x14ac:dyDescent="0.25">
      <c r="A80" s="10">
        <v>1</v>
      </c>
      <c r="B80" s="48">
        <v>44388</v>
      </c>
      <c r="C80" s="17">
        <v>400</v>
      </c>
      <c r="D80" s="17">
        <v>400</v>
      </c>
      <c r="E80" s="16">
        <v>44387</v>
      </c>
      <c r="F80" t="s">
        <v>181</v>
      </c>
      <c r="H80" s="17">
        <f t="shared" si="8"/>
        <v>0</v>
      </c>
      <c r="I80" s="17" t="s">
        <v>661</v>
      </c>
      <c r="J80" s="48">
        <v>44538</v>
      </c>
      <c r="K80" s="17">
        <v>64.739999999999995</v>
      </c>
      <c r="L80" s="49" t="s">
        <v>133</v>
      </c>
      <c r="N80" t="s">
        <v>14</v>
      </c>
    </row>
    <row r="81" spans="1:14" x14ac:dyDescent="0.25">
      <c r="A81" s="10">
        <v>1</v>
      </c>
      <c r="B81" s="48">
        <v>44389</v>
      </c>
      <c r="C81" s="17">
        <v>280</v>
      </c>
      <c r="D81" s="17">
        <v>280</v>
      </c>
      <c r="E81" s="16">
        <v>44388</v>
      </c>
      <c r="F81" t="s">
        <v>117</v>
      </c>
      <c r="H81" s="17">
        <f t="shared" si="8"/>
        <v>0</v>
      </c>
      <c r="I81" s="17" t="s">
        <v>662</v>
      </c>
      <c r="J81" s="48">
        <v>44538</v>
      </c>
      <c r="K81" s="17">
        <v>20</v>
      </c>
      <c r="L81" s="49" t="s">
        <v>17</v>
      </c>
      <c r="M81" t="s">
        <v>479</v>
      </c>
      <c r="N81" t="s">
        <v>710</v>
      </c>
    </row>
    <row r="82" spans="1:14" x14ac:dyDescent="0.25">
      <c r="A82" s="10">
        <v>2</v>
      </c>
      <c r="B82" s="48">
        <f>B81+7</f>
        <v>44396</v>
      </c>
      <c r="C82" s="17">
        <v>250</v>
      </c>
      <c r="D82" s="17">
        <v>250</v>
      </c>
      <c r="E82" s="16">
        <v>44398</v>
      </c>
      <c r="F82" t="s">
        <v>59</v>
      </c>
      <c r="H82" s="17">
        <f t="shared" si="8"/>
        <v>0</v>
      </c>
      <c r="I82" s="17" t="s">
        <v>661</v>
      </c>
      <c r="J82" s="48">
        <v>44546</v>
      </c>
      <c r="K82" s="17">
        <v>201.31</v>
      </c>
      <c r="L82" s="49" t="s">
        <v>20</v>
      </c>
      <c r="N82" t="s">
        <v>710</v>
      </c>
    </row>
    <row r="83" spans="1:14" x14ac:dyDescent="0.25">
      <c r="A83" s="10">
        <v>3</v>
      </c>
      <c r="B83" s="48">
        <f>B82+7</f>
        <v>44403</v>
      </c>
      <c r="C83" s="17">
        <v>250</v>
      </c>
      <c r="D83" s="17">
        <v>250</v>
      </c>
      <c r="E83" s="16">
        <v>44405</v>
      </c>
      <c r="F83" t="s">
        <v>124</v>
      </c>
      <c r="H83" s="17">
        <f t="shared" si="8"/>
        <v>0</v>
      </c>
      <c r="I83" s="17" t="s">
        <v>661</v>
      </c>
      <c r="J83" s="48">
        <v>44551</v>
      </c>
      <c r="K83" s="17">
        <v>20</v>
      </c>
      <c r="L83" s="49" t="s">
        <v>17</v>
      </c>
      <c r="M83" t="s">
        <v>437</v>
      </c>
      <c r="N83" t="s">
        <v>710</v>
      </c>
    </row>
    <row r="84" spans="1:14" x14ac:dyDescent="0.25">
      <c r="A84" s="10">
        <v>1</v>
      </c>
      <c r="B84" s="48">
        <v>44487</v>
      </c>
      <c r="C84" s="17">
        <v>400</v>
      </c>
      <c r="D84" s="17">
        <v>400</v>
      </c>
      <c r="E84" s="16">
        <v>44486</v>
      </c>
      <c r="F84" t="s">
        <v>181</v>
      </c>
      <c r="H84" s="17">
        <f t="shared" si="8"/>
        <v>0</v>
      </c>
      <c r="I84" s="17" t="s">
        <v>710</v>
      </c>
      <c r="J84" s="48">
        <v>44554</v>
      </c>
      <c r="K84" s="17">
        <v>202.97</v>
      </c>
      <c r="L84" s="49" t="s">
        <v>26</v>
      </c>
      <c r="M84" t="s">
        <v>141</v>
      </c>
      <c r="N84" t="s">
        <v>710</v>
      </c>
    </row>
    <row r="85" spans="1:14" x14ac:dyDescent="0.25">
      <c r="A85" s="10">
        <v>1</v>
      </c>
      <c r="B85" s="48">
        <v>44487</v>
      </c>
      <c r="C85" s="17">
        <v>200</v>
      </c>
      <c r="D85" s="17">
        <v>200</v>
      </c>
      <c r="E85" s="16">
        <v>44486</v>
      </c>
      <c r="F85" t="s">
        <v>117</v>
      </c>
      <c r="H85" s="17">
        <f t="shared" si="8"/>
        <v>0</v>
      </c>
      <c r="I85" s="17" t="s">
        <v>710</v>
      </c>
      <c r="J85" s="48">
        <v>44566</v>
      </c>
      <c r="K85" s="17">
        <v>30</v>
      </c>
      <c r="L85" s="49" t="s">
        <v>17</v>
      </c>
      <c r="M85" t="s">
        <v>773</v>
      </c>
      <c r="N85" t="s">
        <v>710</v>
      </c>
    </row>
    <row r="86" spans="1:14" x14ac:dyDescent="0.25">
      <c r="A86" s="10">
        <v>2</v>
      </c>
      <c r="B86" s="48">
        <f t="shared" ref="B86:B93" si="9">B85+7</f>
        <v>44494</v>
      </c>
      <c r="C86" s="17">
        <v>200</v>
      </c>
      <c r="D86" s="17">
        <v>200</v>
      </c>
      <c r="E86" s="16">
        <v>44494</v>
      </c>
      <c r="F86" t="s">
        <v>117</v>
      </c>
      <c r="H86" s="17">
        <f t="shared" si="8"/>
        <v>0</v>
      </c>
      <c r="I86" s="17" t="s">
        <v>710</v>
      </c>
      <c r="J86" s="48">
        <v>44595</v>
      </c>
      <c r="K86" s="17">
        <v>72.599999999999994</v>
      </c>
      <c r="L86" s="49" t="s">
        <v>34</v>
      </c>
      <c r="N86" t="s">
        <v>710</v>
      </c>
    </row>
    <row r="87" spans="1:14" x14ac:dyDescent="0.25">
      <c r="A87" s="10">
        <v>3</v>
      </c>
      <c r="B87" s="48">
        <f t="shared" si="9"/>
        <v>44501</v>
      </c>
      <c r="C87" s="17">
        <v>200</v>
      </c>
      <c r="D87" s="17">
        <v>200</v>
      </c>
      <c r="E87" s="16">
        <v>44498</v>
      </c>
      <c r="F87" t="s">
        <v>59</v>
      </c>
      <c r="H87" s="17">
        <f t="shared" si="8"/>
        <v>0</v>
      </c>
      <c r="I87" s="17" t="s">
        <v>710</v>
      </c>
      <c r="J87" s="48">
        <v>44602</v>
      </c>
      <c r="K87" s="17">
        <v>72.599999999999994</v>
      </c>
      <c r="L87" s="49" t="s">
        <v>34</v>
      </c>
      <c r="N87" t="s">
        <v>710</v>
      </c>
    </row>
    <row r="88" spans="1:14" x14ac:dyDescent="0.25">
      <c r="A88" s="10">
        <v>4</v>
      </c>
      <c r="B88" s="48">
        <f t="shared" si="9"/>
        <v>44508</v>
      </c>
      <c r="C88" s="17">
        <v>200</v>
      </c>
      <c r="D88" s="17">
        <v>200</v>
      </c>
      <c r="E88" s="16">
        <v>44505</v>
      </c>
      <c r="F88" t="s">
        <v>59</v>
      </c>
      <c r="H88" s="17">
        <f t="shared" si="8"/>
        <v>0</v>
      </c>
      <c r="I88" s="17" t="s">
        <v>710</v>
      </c>
      <c r="J88" s="48">
        <v>44607</v>
      </c>
      <c r="K88" s="17">
        <v>26.4</v>
      </c>
      <c r="L88" s="49" t="s">
        <v>34</v>
      </c>
      <c r="N88" t="s">
        <v>710</v>
      </c>
    </row>
    <row r="89" spans="1:14" x14ac:dyDescent="0.25">
      <c r="A89" s="10">
        <v>5</v>
      </c>
      <c r="B89" s="48">
        <f t="shared" si="9"/>
        <v>44515</v>
      </c>
      <c r="C89" s="17">
        <v>200</v>
      </c>
      <c r="D89" s="17">
        <v>200</v>
      </c>
      <c r="E89" s="16">
        <v>44512</v>
      </c>
      <c r="F89" t="s">
        <v>59</v>
      </c>
      <c r="H89" s="17">
        <f t="shared" si="8"/>
        <v>0</v>
      </c>
      <c r="I89" s="17" t="s">
        <v>710</v>
      </c>
      <c r="J89" s="48">
        <v>44615</v>
      </c>
      <c r="K89" s="17">
        <v>20.2</v>
      </c>
      <c r="L89" s="49" t="s">
        <v>32</v>
      </c>
      <c r="N89" t="s">
        <v>710</v>
      </c>
    </row>
    <row r="90" spans="1:14" x14ac:dyDescent="0.25">
      <c r="A90" s="10">
        <v>6</v>
      </c>
      <c r="B90" s="48">
        <f t="shared" si="9"/>
        <v>44522</v>
      </c>
      <c r="C90" s="17">
        <v>200</v>
      </c>
      <c r="D90" s="17">
        <v>200</v>
      </c>
      <c r="E90" s="16">
        <v>44519</v>
      </c>
      <c r="F90" t="s">
        <v>59</v>
      </c>
      <c r="H90" s="17">
        <f t="shared" si="8"/>
        <v>0</v>
      </c>
      <c r="I90" s="17" t="s">
        <v>710</v>
      </c>
      <c r="J90" s="48">
        <v>44623</v>
      </c>
      <c r="K90" s="17">
        <v>201.31</v>
      </c>
      <c r="L90" s="49" t="s">
        <v>20</v>
      </c>
      <c r="N90" t="s">
        <v>710</v>
      </c>
    </row>
    <row r="91" spans="1:14" x14ac:dyDescent="0.25">
      <c r="A91" s="10">
        <v>7</v>
      </c>
      <c r="B91" s="48">
        <f t="shared" si="9"/>
        <v>44529</v>
      </c>
      <c r="C91" s="17">
        <v>255</v>
      </c>
      <c r="D91" s="17">
        <v>255</v>
      </c>
      <c r="E91" s="16">
        <v>44526</v>
      </c>
      <c r="F91" t="s">
        <v>59</v>
      </c>
      <c r="H91" s="17">
        <f t="shared" si="8"/>
        <v>0</v>
      </c>
      <c r="I91" s="17" t="s">
        <v>710</v>
      </c>
      <c r="J91" s="48">
        <v>44624</v>
      </c>
      <c r="K91" s="17">
        <v>0.99</v>
      </c>
      <c r="L91" s="49" t="s">
        <v>22</v>
      </c>
      <c r="N91" t="s">
        <v>710</v>
      </c>
    </row>
    <row r="92" spans="1:14" x14ac:dyDescent="0.25">
      <c r="A92" s="10">
        <v>8</v>
      </c>
      <c r="B92" s="48">
        <f t="shared" si="9"/>
        <v>44536</v>
      </c>
      <c r="C92" s="17">
        <v>255</v>
      </c>
      <c r="D92" s="17">
        <v>255</v>
      </c>
      <c r="E92" s="16">
        <v>44533</v>
      </c>
      <c r="F92" t="s">
        <v>59</v>
      </c>
      <c r="H92" s="17">
        <f t="shared" si="8"/>
        <v>0</v>
      </c>
      <c r="I92" s="17" t="s">
        <v>710</v>
      </c>
      <c r="J92" s="48">
        <v>44670</v>
      </c>
      <c r="K92" s="17">
        <v>0.99</v>
      </c>
      <c r="L92" s="49" t="s">
        <v>22</v>
      </c>
      <c r="N92" t="s">
        <v>710</v>
      </c>
    </row>
    <row r="93" spans="1:14" x14ac:dyDescent="0.25">
      <c r="A93" s="10">
        <v>9</v>
      </c>
      <c r="B93" s="48">
        <f t="shared" si="9"/>
        <v>44543</v>
      </c>
      <c r="C93" s="17">
        <v>255</v>
      </c>
      <c r="D93" s="17">
        <v>255</v>
      </c>
      <c r="E93" s="16">
        <v>44540</v>
      </c>
      <c r="F93" t="s">
        <v>59</v>
      </c>
      <c r="H93" s="17">
        <f t="shared" si="8"/>
        <v>0</v>
      </c>
      <c r="I93" s="17" t="s">
        <v>710</v>
      </c>
      <c r="J93" s="48">
        <v>44677</v>
      </c>
      <c r="K93" s="17">
        <v>2.75</v>
      </c>
      <c r="L93" s="49" t="s">
        <v>22</v>
      </c>
      <c r="N93" t="s">
        <v>710</v>
      </c>
    </row>
    <row r="94" spans="1:14" x14ac:dyDescent="0.25">
      <c r="A94" s="10">
        <v>10</v>
      </c>
      <c r="B94" s="48">
        <f t="shared" ref="B94:B101" si="10">B93+7</f>
        <v>44550</v>
      </c>
      <c r="C94" s="17">
        <v>255</v>
      </c>
      <c r="D94" s="17">
        <v>255</v>
      </c>
      <c r="E94" s="16">
        <v>44547</v>
      </c>
      <c r="F94" t="s">
        <v>59</v>
      </c>
      <c r="H94" s="17">
        <f t="shared" si="8"/>
        <v>0</v>
      </c>
      <c r="I94" s="17" t="s">
        <v>710</v>
      </c>
      <c r="J94" s="48">
        <v>44673</v>
      </c>
      <c r="K94" s="17">
        <v>0.99</v>
      </c>
      <c r="L94" s="49" t="s">
        <v>22</v>
      </c>
      <c r="N94" t="s">
        <v>710</v>
      </c>
    </row>
    <row r="95" spans="1:14" x14ac:dyDescent="0.25">
      <c r="A95" s="10">
        <v>11</v>
      </c>
      <c r="B95" s="48">
        <f t="shared" si="10"/>
        <v>44557</v>
      </c>
      <c r="C95" s="17">
        <v>255</v>
      </c>
      <c r="D95" s="17">
        <v>255</v>
      </c>
      <c r="E95" s="16">
        <v>44554</v>
      </c>
      <c r="F95" t="s">
        <v>59</v>
      </c>
      <c r="H95" s="17">
        <f t="shared" si="8"/>
        <v>0</v>
      </c>
      <c r="I95" s="17" t="s">
        <v>710</v>
      </c>
      <c r="J95" s="48">
        <v>44665</v>
      </c>
      <c r="K95" s="17">
        <v>0.99</v>
      </c>
      <c r="L95" s="49" t="s">
        <v>22</v>
      </c>
      <c r="N95" t="s">
        <v>710</v>
      </c>
    </row>
    <row r="96" spans="1:14" x14ac:dyDescent="0.25">
      <c r="A96" s="10">
        <v>12</v>
      </c>
      <c r="B96" s="48">
        <f t="shared" si="10"/>
        <v>44564</v>
      </c>
      <c r="C96" s="17">
        <v>255</v>
      </c>
      <c r="D96" s="17">
        <v>255</v>
      </c>
      <c r="E96" s="16">
        <v>44561</v>
      </c>
      <c r="F96" t="s">
        <v>59</v>
      </c>
      <c r="H96" s="17">
        <f t="shared" si="8"/>
        <v>0</v>
      </c>
      <c r="I96" s="17" t="s">
        <v>710</v>
      </c>
      <c r="J96" s="48">
        <v>44686</v>
      </c>
      <c r="K96" s="17">
        <v>2.75</v>
      </c>
      <c r="L96" s="49" t="s">
        <v>22</v>
      </c>
      <c r="N96" t="s">
        <v>710</v>
      </c>
    </row>
    <row r="97" spans="1:14" x14ac:dyDescent="0.25">
      <c r="A97" s="10">
        <v>13</v>
      </c>
      <c r="B97" s="48">
        <f t="shared" si="10"/>
        <v>44571</v>
      </c>
      <c r="C97" s="17">
        <v>255</v>
      </c>
      <c r="D97" s="17">
        <v>255</v>
      </c>
      <c r="E97" s="16">
        <v>44568</v>
      </c>
      <c r="F97" t="s">
        <v>59</v>
      </c>
      <c r="H97" s="17">
        <f t="shared" si="8"/>
        <v>0</v>
      </c>
      <c r="I97" s="17" t="s">
        <v>710</v>
      </c>
      <c r="J97" s="48">
        <v>44680</v>
      </c>
      <c r="K97" s="17">
        <v>0.99</v>
      </c>
      <c r="L97" s="49" t="s">
        <v>22</v>
      </c>
      <c r="N97" t="s">
        <v>710</v>
      </c>
    </row>
    <row r="98" spans="1:14" x14ac:dyDescent="0.25">
      <c r="A98" s="10">
        <v>14</v>
      </c>
      <c r="B98" s="48">
        <f t="shared" si="10"/>
        <v>44578</v>
      </c>
      <c r="C98" s="17">
        <v>255</v>
      </c>
      <c r="D98" s="17">
        <v>255</v>
      </c>
      <c r="E98" s="16">
        <v>44575</v>
      </c>
      <c r="F98" t="s">
        <v>59</v>
      </c>
      <c r="H98" s="17">
        <f t="shared" si="8"/>
        <v>0</v>
      </c>
      <c r="I98" s="17" t="s">
        <v>710</v>
      </c>
      <c r="J98" s="48">
        <v>44720</v>
      </c>
      <c r="K98" s="17">
        <v>201.31</v>
      </c>
      <c r="L98" s="49" t="s">
        <v>20</v>
      </c>
      <c r="N98" t="s">
        <v>710</v>
      </c>
    </row>
    <row r="99" spans="1:14" x14ac:dyDescent="0.25">
      <c r="A99" s="10">
        <v>15</v>
      </c>
      <c r="B99" s="48">
        <f t="shared" si="10"/>
        <v>44585</v>
      </c>
      <c r="C99" s="17">
        <v>255</v>
      </c>
      <c r="D99" s="17">
        <v>255</v>
      </c>
      <c r="E99" s="16">
        <v>44582</v>
      </c>
      <c r="F99" t="s">
        <v>59</v>
      </c>
      <c r="H99" s="17">
        <f t="shared" si="8"/>
        <v>0</v>
      </c>
      <c r="I99" s="17" t="s">
        <v>710</v>
      </c>
      <c r="J99" s="48">
        <v>44726</v>
      </c>
      <c r="K99" s="17">
        <v>89.8</v>
      </c>
      <c r="L99" s="49" t="s">
        <v>32</v>
      </c>
      <c r="N99" t="s">
        <v>670</v>
      </c>
    </row>
    <row r="100" spans="1:14" x14ac:dyDescent="0.25">
      <c r="A100" s="10">
        <v>16</v>
      </c>
      <c r="B100" s="48">
        <f t="shared" si="10"/>
        <v>44592</v>
      </c>
      <c r="C100" s="17">
        <v>255</v>
      </c>
      <c r="D100" s="17">
        <v>255</v>
      </c>
      <c r="E100" s="16">
        <v>44620</v>
      </c>
      <c r="F100" t="s">
        <v>59</v>
      </c>
      <c r="H100" s="17">
        <f t="shared" si="8"/>
        <v>0</v>
      </c>
      <c r="I100" s="17" t="s">
        <v>710</v>
      </c>
      <c r="J100" s="48">
        <v>44687</v>
      </c>
      <c r="K100" s="17">
        <v>0.99</v>
      </c>
      <c r="L100" s="49" t="s">
        <v>22</v>
      </c>
      <c r="N100" t="s">
        <v>710</v>
      </c>
    </row>
    <row r="101" spans="1:14" x14ac:dyDescent="0.25">
      <c r="A101" s="10">
        <v>17</v>
      </c>
      <c r="B101" s="48">
        <f t="shared" si="10"/>
        <v>44599</v>
      </c>
      <c r="C101" s="17">
        <v>205</v>
      </c>
      <c r="D101" s="17">
        <v>205</v>
      </c>
      <c r="E101" s="16">
        <v>44596</v>
      </c>
      <c r="F101" t="s">
        <v>59</v>
      </c>
      <c r="H101" s="17">
        <f t="shared" si="8"/>
        <v>0</v>
      </c>
      <c r="I101" s="17" t="s">
        <v>710</v>
      </c>
      <c r="J101" s="48">
        <v>44741</v>
      </c>
      <c r="K101" s="17">
        <v>462</v>
      </c>
      <c r="L101" s="49" t="s">
        <v>17</v>
      </c>
      <c r="M101" t="s">
        <v>675</v>
      </c>
      <c r="N101" t="s">
        <v>710</v>
      </c>
    </row>
    <row r="102" spans="1:14" x14ac:dyDescent="0.25">
      <c r="A102" s="10">
        <v>18</v>
      </c>
      <c r="B102" s="48">
        <f t="shared" ref="B102:B109" si="11">B101+7</f>
        <v>44606</v>
      </c>
      <c r="C102" s="17">
        <v>205</v>
      </c>
      <c r="D102" s="17">
        <v>205</v>
      </c>
      <c r="E102" s="16">
        <v>44603</v>
      </c>
      <c r="F102" t="s">
        <v>59</v>
      </c>
      <c r="H102" s="17">
        <f t="shared" si="8"/>
        <v>0</v>
      </c>
      <c r="I102" s="17" t="s">
        <v>710</v>
      </c>
      <c r="J102" s="48">
        <v>44747</v>
      </c>
      <c r="K102" s="17">
        <v>1936</v>
      </c>
      <c r="L102" s="49" t="s">
        <v>17</v>
      </c>
      <c r="M102" t="s">
        <v>675</v>
      </c>
      <c r="N102" t="s">
        <v>710</v>
      </c>
    </row>
    <row r="103" spans="1:14" x14ac:dyDescent="0.25">
      <c r="A103" s="10">
        <v>19</v>
      </c>
      <c r="B103" s="48">
        <f t="shared" si="11"/>
        <v>44613</v>
      </c>
      <c r="C103" s="17">
        <v>205</v>
      </c>
      <c r="D103" s="17">
        <v>205</v>
      </c>
      <c r="E103" s="16">
        <v>44610</v>
      </c>
      <c r="F103" t="s">
        <v>59</v>
      </c>
      <c r="H103" s="17">
        <f t="shared" si="8"/>
        <v>0</v>
      </c>
      <c r="I103" s="17" t="s">
        <v>710</v>
      </c>
      <c r="J103" s="48">
        <v>44749</v>
      </c>
      <c r="K103" s="17">
        <v>126.17</v>
      </c>
      <c r="L103" s="49" t="s">
        <v>26</v>
      </c>
      <c r="M103" t="s">
        <v>861</v>
      </c>
      <c r="N103" t="s">
        <v>670</v>
      </c>
    </row>
    <row r="104" spans="1:14" x14ac:dyDescent="0.25">
      <c r="A104" s="10">
        <v>20</v>
      </c>
      <c r="B104" s="48">
        <f t="shared" si="11"/>
        <v>44620</v>
      </c>
      <c r="C104" s="17">
        <v>205</v>
      </c>
      <c r="D104" s="17">
        <v>205</v>
      </c>
      <c r="E104" s="16">
        <v>44617</v>
      </c>
      <c r="F104" t="s">
        <v>59</v>
      </c>
      <c r="H104" s="17">
        <f t="shared" si="8"/>
        <v>0</v>
      </c>
      <c r="I104" s="17" t="s">
        <v>710</v>
      </c>
      <c r="J104" s="48">
        <v>44762</v>
      </c>
      <c r="K104" s="17">
        <v>75.59</v>
      </c>
      <c r="L104" s="49" t="s">
        <v>17</v>
      </c>
      <c r="M104" t="s">
        <v>437</v>
      </c>
      <c r="N104" t="s">
        <v>670</v>
      </c>
    </row>
    <row r="105" spans="1:14" x14ac:dyDescent="0.25">
      <c r="A105" s="10">
        <v>21</v>
      </c>
      <c r="B105" s="48">
        <f t="shared" si="11"/>
        <v>44627</v>
      </c>
      <c r="C105" s="17">
        <v>205</v>
      </c>
      <c r="D105" s="17">
        <v>205</v>
      </c>
      <c r="E105" s="16">
        <v>44627</v>
      </c>
      <c r="F105" t="s">
        <v>59</v>
      </c>
      <c r="G105" s="31" t="s">
        <v>793</v>
      </c>
      <c r="H105" s="17">
        <f t="shared" ref="H105:H130" si="12">IFERROR(IF(F104="Closed account",(IF(F105="Unpaid Rent",(C105),(C105-D105))),(IF(F105="Unpaid Rent",(C105+H104),(C105-D105+H104)))),"")</f>
        <v>0</v>
      </c>
      <c r="I105" s="17" t="s">
        <v>710</v>
      </c>
      <c r="J105" s="48">
        <v>44711</v>
      </c>
      <c r="K105" s="17">
        <v>400</v>
      </c>
      <c r="L105" s="49" t="s">
        <v>45</v>
      </c>
      <c r="N105" t="s">
        <v>710</v>
      </c>
    </row>
    <row r="106" spans="1:14" x14ac:dyDescent="0.25">
      <c r="A106" s="10">
        <v>22</v>
      </c>
      <c r="B106" s="48">
        <f t="shared" si="11"/>
        <v>44634</v>
      </c>
      <c r="C106" s="17">
        <v>205</v>
      </c>
      <c r="D106" s="17">
        <v>205</v>
      </c>
      <c r="E106" s="16">
        <v>44631</v>
      </c>
      <c r="F106" t="s">
        <v>114</v>
      </c>
      <c r="H106" s="17">
        <f t="shared" si="12"/>
        <v>0</v>
      </c>
      <c r="I106" s="17" t="s">
        <v>710</v>
      </c>
      <c r="J106" s="48">
        <v>44795</v>
      </c>
      <c r="K106" s="17">
        <v>430</v>
      </c>
      <c r="L106" s="49" t="s">
        <v>45</v>
      </c>
      <c r="N106" t="s">
        <v>670</v>
      </c>
    </row>
    <row r="107" spans="1:14" x14ac:dyDescent="0.25">
      <c r="A107" s="10">
        <v>23</v>
      </c>
      <c r="B107" s="48">
        <f t="shared" si="11"/>
        <v>44641</v>
      </c>
      <c r="C107" s="17">
        <v>205</v>
      </c>
      <c r="D107" s="17">
        <v>205</v>
      </c>
      <c r="E107" s="16">
        <v>44638</v>
      </c>
      <c r="F107" t="s">
        <v>59</v>
      </c>
      <c r="H107" s="17">
        <f t="shared" si="12"/>
        <v>0</v>
      </c>
      <c r="I107" s="17" t="s">
        <v>710</v>
      </c>
      <c r="J107" s="48">
        <v>44810</v>
      </c>
      <c r="K107" s="17">
        <v>205.68</v>
      </c>
      <c r="L107" s="49" t="s">
        <v>20</v>
      </c>
      <c r="N107" t="s">
        <v>14</v>
      </c>
    </row>
    <row r="108" spans="1:14" x14ac:dyDescent="0.25">
      <c r="A108" s="10">
        <v>24</v>
      </c>
      <c r="B108" s="48">
        <f t="shared" si="11"/>
        <v>44648</v>
      </c>
      <c r="C108" s="17">
        <v>205</v>
      </c>
      <c r="D108" s="17">
        <v>205</v>
      </c>
      <c r="E108" s="16">
        <v>44645</v>
      </c>
      <c r="F108" t="s">
        <v>59</v>
      </c>
      <c r="H108" s="17">
        <f t="shared" si="12"/>
        <v>0</v>
      </c>
      <c r="I108" s="17" t="s">
        <v>710</v>
      </c>
      <c r="J108" s="48">
        <v>44808</v>
      </c>
      <c r="K108" s="17">
        <v>100</v>
      </c>
      <c r="L108" s="49" t="s">
        <v>26</v>
      </c>
      <c r="M108" t="s">
        <v>876</v>
      </c>
      <c r="N108" t="s">
        <v>14</v>
      </c>
    </row>
    <row r="109" spans="1:14" x14ac:dyDescent="0.25">
      <c r="A109" s="10">
        <v>25</v>
      </c>
      <c r="B109" s="48">
        <f t="shared" si="11"/>
        <v>44655</v>
      </c>
      <c r="C109" s="17">
        <v>205</v>
      </c>
      <c r="D109" s="17">
        <v>205</v>
      </c>
      <c r="E109" s="16">
        <v>44652</v>
      </c>
      <c r="F109" t="s">
        <v>59</v>
      </c>
      <c r="H109" s="17">
        <f t="shared" si="12"/>
        <v>0</v>
      </c>
      <c r="I109" s="17" t="s">
        <v>710</v>
      </c>
      <c r="J109" s="48">
        <v>44888</v>
      </c>
      <c r="K109" s="17">
        <v>44.15</v>
      </c>
      <c r="L109" s="49" t="s">
        <v>133</v>
      </c>
      <c r="N109" t="s">
        <v>14</v>
      </c>
    </row>
    <row r="110" spans="1:14" x14ac:dyDescent="0.25">
      <c r="A110" s="10">
        <v>26</v>
      </c>
      <c r="B110" s="48">
        <f t="shared" ref="B110:B116" si="13">B109+7</f>
        <v>44662</v>
      </c>
      <c r="C110" s="17">
        <v>205</v>
      </c>
      <c r="D110" s="17">
        <v>205</v>
      </c>
      <c r="E110" s="16">
        <v>44659</v>
      </c>
      <c r="F110" t="s">
        <v>59</v>
      </c>
      <c r="H110" s="17">
        <f t="shared" si="12"/>
        <v>0</v>
      </c>
      <c r="I110" s="17" t="s">
        <v>710</v>
      </c>
      <c r="J110" s="48">
        <v>44899</v>
      </c>
      <c r="K110" s="17">
        <v>173</v>
      </c>
      <c r="L110" s="49" t="s">
        <v>17</v>
      </c>
      <c r="M110" t="s">
        <v>943</v>
      </c>
      <c r="N110" t="s">
        <v>14</v>
      </c>
    </row>
    <row r="111" spans="1:14" x14ac:dyDescent="0.25">
      <c r="A111" s="10">
        <v>27</v>
      </c>
      <c r="B111" s="48">
        <f t="shared" si="13"/>
        <v>44669</v>
      </c>
      <c r="C111" s="17">
        <v>205</v>
      </c>
      <c r="D111" s="17">
        <v>205</v>
      </c>
      <c r="E111" s="16">
        <v>44701</v>
      </c>
      <c r="F111" t="s">
        <v>117</v>
      </c>
      <c r="H111" s="17">
        <f t="shared" si="12"/>
        <v>0</v>
      </c>
      <c r="I111" s="17" t="s">
        <v>710</v>
      </c>
      <c r="J111" s="48">
        <v>44903</v>
      </c>
      <c r="K111" s="17">
        <v>150</v>
      </c>
      <c r="L111" s="49" t="s">
        <v>26</v>
      </c>
      <c r="N111" t="s">
        <v>676</v>
      </c>
    </row>
    <row r="112" spans="1:14" x14ac:dyDescent="0.25">
      <c r="A112" s="10">
        <v>28</v>
      </c>
      <c r="B112" s="48">
        <f t="shared" si="13"/>
        <v>44676</v>
      </c>
      <c r="C112" s="17">
        <v>205</v>
      </c>
      <c r="D112" s="17">
        <v>205</v>
      </c>
      <c r="E112" s="16">
        <v>44672</v>
      </c>
      <c r="F112" t="s">
        <v>117</v>
      </c>
      <c r="H112" s="17">
        <f t="shared" si="12"/>
        <v>0</v>
      </c>
      <c r="I112" s="17" t="s">
        <v>710</v>
      </c>
      <c r="J112" s="48">
        <v>44953</v>
      </c>
      <c r="K112" s="17">
        <v>45</v>
      </c>
      <c r="L112" s="49" t="s">
        <v>17</v>
      </c>
      <c r="M112" t="s">
        <v>981</v>
      </c>
      <c r="N112" t="s">
        <v>676</v>
      </c>
    </row>
    <row r="113" spans="1:14" x14ac:dyDescent="0.25">
      <c r="A113" s="10">
        <v>29</v>
      </c>
      <c r="B113" s="48">
        <f t="shared" si="13"/>
        <v>44683</v>
      </c>
      <c r="C113" s="17">
        <v>205</v>
      </c>
      <c r="D113" s="17">
        <v>205</v>
      </c>
      <c r="E113" s="16">
        <v>44678</v>
      </c>
      <c r="F113" t="s">
        <v>117</v>
      </c>
      <c r="H113" s="17">
        <f t="shared" si="12"/>
        <v>0</v>
      </c>
      <c r="I113" s="17" t="s">
        <v>710</v>
      </c>
      <c r="J113" s="48">
        <v>44971</v>
      </c>
      <c r="K113" s="17">
        <v>180</v>
      </c>
      <c r="L113" s="49" t="s">
        <v>17</v>
      </c>
      <c r="M113" t="s">
        <v>996</v>
      </c>
      <c r="N113" t="s">
        <v>676</v>
      </c>
    </row>
    <row r="114" spans="1:14" x14ac:dyDescent="0.25">
      <c r="A114" s="10">
        <v>30</v>
      </c>
      <c r="B114" s="48">
        <f t="shared" si="13"/>
        <v>44690</v>
      </c>
      <c r="C114" s="17">
        <v>205</v>
      </c>
      <c r="D114" s="17">
        <v>205</v>
      </c>
      <c r="E114" s="16">
        <v>44685</v>
      </c>
      <c r="F114" t="s">
        <v>117</v>
      </c>
      <c r="H114" s="17">
        <f t="shared" si="12"/>
        <v>0</v>
      </c>
      <c r="I114" s="17" t="s">
        <v>710</v>
      </c>
      <c r="J114" s="48">
        <v>44984</v>
      </c>
      <c r="K114" s="17">
        <v>110</v>
      </c>
      <c r="L114" s="49" t="s">
        <v>17</v>
      </c>
      <c r="M114" t="s">
        <v>943</v>
      </c>
      <c r="N114" t="s">
        <v>676</v>
      </c>
    </row>
    <row r="115" spans="1:14" x14ac:dyDescent="0.25">
      <c r="A115" s="10">
        <v>31</v>
      </c>
      <c r="B115" s="48">
        <f t="shared" si="13"/>
        <v>44697</v>
      </c>
      <c r="C115" s="17">
        <v>205</v>
      </c>
      <c r="D115" s="17">
        <v>205</v>
      </c>
      <c r="E115" s="16">
        <v>44691</v>
      </c>
      <c r="F115" t="s">
        <v>117</v>
      </c>
      <c r="H115" s="17">
        <f t="shared" si="12"/>
        <v>0</v>
      </c>
      <c r="I115" s="17" t="s">
        <v>710</v>
      </c>
      <c r="J115" s="16">
        <v>44986</v>
      </c>
      <c r="K115" s="17">
        <v>85</v>
      </c>
      <c r="L115" s="49" t="s">
        <v>34</v>
      </c>
      <c r="M115" t="s">
        <v>34</v>
      </c>
      <c r="N115" t="s">
        <v>676</v>
      </c>
    </row>
    <row r="116" spans="1:14" x14ac:dyDescent="0.25">
      <c r="A116" s="10">
        <v>32</v>
      </c>
      <c r="B116" s="48">
        <f t="shared" si="13"/>
        <v>44704</v>
      </c>
      <c r="C116" s="17">
        <v>205</v>
      </c>
      <c r="D116" s="17">
        <v>205</v>
      </c>
      <c r="E116" s="16">
        <v>44697</v>
      </c>
      <c r="F116" t="s">
        <v>117</v>
      </c>
      <c r="H116" s="17">
        <f t="shared" si="12"/>
        <v>0</v>
      </c>
      <c r="I116" s="17" t="s">
        <v>710</v>
      </c>
      <c r="J116" s="48">
        <v>44992</v>
      </c>
      <c r="K116" s="17">
        <v>33</v>
      </c>
      <c r="L116" s="49" t="s">
        <v>34</v>
      </c>
      <c r="N116" t="s">
        <v>676</v>
      </c>
    </row>
    <row r="117" spans="1:14" x14ac:dyDescent="0.25">
      <c r="A117" s="10">
        <v>33</v>
      </c>
      <c r="B117" s="48">
        <f>B116+7</f>
        <v>44711</v>
      </c>
      <c r="C117" s="17"/>
      <c r="D117" s="17"/>
      <c r="F117" t="s">
        <v>124</v>
      </c>
      <c r="H117" s="17">
        <f t="shared" si="12"/>
        <v>0</v>
      </c>
      <c r="I117" s="17" t="s">
        <v>710</v>
      </c>
      <c r="J117" s="48">
        <v>44997</v>
      </c>
      <c r="K117" s="17">
        <v>10</v>
      </c>
      <c r="L117" s="49" t="s">
        <v>17</v>
      </c>
      <c r="M117" t="s">
        <v>479</v>
      </c>
      <c r="N117" t="s">
        <v>676</v>
      </c>
    </row>
    <row r="118" spans="1:14" x14ac:dyDescent="0.25">
      <c r="A118" s="10">
        <v>1</v>
      </c>
      <c r="B118" s="48">
        <v>44727</v>
      </c>
      <c r="C118" s="17">
        <v>400</v>
      </c>
      <c r="D118" s="17">
        <v>400</v>
      </c>
      <c r="E118" s="16">
        <v>44726</v>
      </c>
      <c r="F118" t="s">
        <v>181</v>
      </c>
      <c r="H118" s="17">
        <f t="shared" si="12"/>
        <v>0</v>
      </c>
      <c r="I118" s="17" t="s">
        <v>670</v>
      </c>
      <c r="J118" s="48"/>
      <c r="K118" s="17"/>
      <c r="L118" s="49"/>
    </row>
    <row r="119" spans="1:14" x14ac:dyDescent="0.25">
      <c r="A119" s="10">
        <v>1</v>
      </c>
      <c r="B119" s="48">
        <v>44727</v>
      </c>
      <c r="C119" s="17">
        <v>280</v>
      </c>
      <c r="D119" s="17">
        <v>280</v>
      </c>
      <c r="E119" s="16">
        <v>44726</v>
      </c>
      <c r="F119" t="s">
        <v>117</v>
      </c>
      <c r="H119" s="17">
        <f t="shared" si="12"/>
        <v>0</v>
      </c>
      <c r="I119" s="17" t="s">
        <v>670</v>
      </c>
      <c r="J119" s="48"/>
      <c r="K119" s="17"/>
      <c r="L119" s="49"/>
    </row>
    <row r="120" spans="1:14" x14ac:dyDescent="0.25">
      <c r="A120" s="10">
        <v>2</v>
      </c>
      <c r="B120" s="48">
        <f t="shared" ref="B120:B126" si="14">B119+7</f>
        <v>44734</v>
      </c>
      <c r="C120" s="17">
        <v>250</v>
      </c>
      <c r="D120" s="17">
        <v>250</v>
      </c>
      <c r="E120" s="16">
        <v>44734</v>
      </c>
      <c r="F120" t="s">
        <v>117</v>
      </c>
      <c r="H120" s="17">
        <f t="shared" si="12"/>
        <v>0</v>
      </c>
      <c r="I120" s="17" t="s">
        <v>670</v>
      </c>
      <c r="J120" s="48"/>
      <c r="K120" s="17"/>
      <c r="L120" s="49"/>
    </row>
    <row r="121" spans="1:14" x14ac:dyDescent="0.25">
      <c r="A121" s="10">
        <v>3</v>
      </c>
      <c r="B121" s="48">
        <f t="shared" si="14"/>
        <v>44741</v>
      </c>
      <c r="C121" s="17">
        <v>250</v>
      </c>
      <c r="D121" s="17">
        <v>250</v>
      </c>
      <c r="E121" s="16">
        <v>44741</v>
      </c>
      <c r="F121" t="s">
        <v>117</v>
      </c>
      <c r="H121" s="17">
        <f t="shared" si="12"/>
        <v>0</v>
      </c>
      <c r="I121" s="17" t="s">
        <v>670</v>
      </c>
      <c r="J121" s="48"/>
      <c r="K121" s="17"/>
      <c r="L121" s="49"/>
    </row>
    <row r="122" spans="1:14" x14ac:dyDescent="0.25">
      <c r="A122" s="10">
        <v>4</v>
      </c>
      <c r="B122" s="48">
        <f t="shared" si="14"/>
        <v>44748</v>
      </c>
      <c r="C122" s="17">
        <v>250</v>
      </c>
      <c r="D122" s="17">
        <v>250</v>
      </c>
      <c r="E122" s="16">
        <v>44748</v>
      </c>
      <c r="F122" t="s">
        <v>117</v>
      </c>
      <c r="H122" s="17">
        <f t="shared" si="12"/>
        <v>0</v>
      </c>
      <c r="I122" s="17" t="s">
        <v>670</v>
      </c>
      <c r="J122" s="48"/>
      <c r="K122" s="17"/>
      <c r="L122" s="49"/>
    </row>
    <row r="123" spans="1:14" x14ac:dyDescent="0.25">
      <c r="A123" s="10">
        <v>5</v>
      </c>
      <c r="B123" s="48">
        <f t="shared" si="14"/>
        <v>44755</v>
      </c>
      <c r="C123" s="17">
        <v>250</v>
      </c>
      <c r="D123" s="17">
        <v>250</v>
      </c>
      <c r="E123" s="16">
        <v>44755</v>
      </c>
      <c r="F123" t="s">
        <v>117</v>
      </c>
      <c r="H123" s="17">
        <f t="shared" si="12"/>
        <v>0</v>
      </c>
      <c r="I123" s="17" t="s">
        <v>670</v>
      </c>
      <c r="J123" s="48"/>
      <c r="K123" s="17"/>
      <c r="L123" s="49"/>
    </row>
    <row r="124" spans="1:14" x14ac:dyDescent="0.25">
      <c r="A124" s="10">
        <v>6</v>
      </c>
      <c r="B124" s="48">
        <f t="shared" si="14"/>
        <v>44762</v>
      </c>
      <c r="C124" s="17">
        <v>250</v>
      </c>
      <c r="D124" s="17">
        <v>250</v>
      </c>
      <c r="E124" s="16">
        <v>44762</v>
      </c>
      <c r="F124" t="s">
        <v>117</v>
      </c>
      <c r="H124" s="17">
        <f t="shared" si="12"/>
        <v>0</v>
      </c>
      <c r="I124" s="17" t="s">
        <v>670</v>
      </c>
      <c r="J124" s="48"/>
      <c r="K124" s="17"/>
      <c r="L124" s="49"/>
    </row>
    <row r="125" spans="1:14" x14ac:dyDescent="0.25">
      <c r="A125" s="10">
        <v>7</v>
      </c>
      <c r="B125" s="48">
        <f t="shared" si="14"/>
        <v>44769</v>
      </c>
      <c r="C125" s="17">
        <v>250</v>
      </c>
      <c r="D125" s="17">
        <v>250</v>
      </c>
      <c r="E125" s="16">
        <v>44771</v>
      </c>
      <c r="F125" t="s">
        <v>117</v>
      </c>
      <c r="H125" s="17">
        <f t="shared" si="12"/>
        <v>0</v>
      </c>
      <c r="I125" s="17" t="s">
        <v>670</v>
      </c>
      <c r="J125" s="48"/>
      <c r="K125" s="17"/>
      <c r="L125" s="49"/>
    </row>
    <row r="126" spans="1:14" x14ac:dyDescent="0.25">
      <c r="A126" s="10">
        <v>8</v>
      </c>
      <c r="B126" s="48">
        <f t="shared" si="14"/>
        <v>44776</v>
      </c>
      <c r="C126" s="17">
        <v>250</v>
      </c>
      <c r="D126" s="17">
        <v>250</v>
      </c>
      <c r="E126" s="16">
        <v>44776</v>
      </c>
      <c r="F126" t="s">
        <v>117</v>
      </c>
      <c r="H126" s="17">
        <f t="shared" si="12"/>
        <v>0</v>
      </c>
      <c r="I126" s="17" t="s">
        <v>670</v>
      </c>
      <c r="J126" s="48"/>
      <c r="K126" s="17"/>
      <c r="L126" s="49"/>
    </row>
    <row r="127" spans="1:14" x14ac:dyDescent="0.25">
      <c r="A127" s="10">
        <v>9</v>
      </c>
      <c r="B127" s="48">
        <f>B126+7</f>
        <v>44783</v>
      </c>
      <c r="C127" s="17">
        <v>250</v>
      </c>
      <c r="D127" s="17">
        <v>250</v>
      </c>
      <c r="E127" s="16">
        <v>44783</v>
      </c>
      <c r="F127" t="s">
        <v>117</v>
      </c>
      <c r="H127" s="17">
        <f t="shared" si="12"/>
        <v>0</v>
      </c>
      <c r="I127" s="17" t="s">
        <v>670</v>
      </c>
      <c r="J127" s="48"/>
      <c r="K127" s="17"/>
      <c r="L127" s="49"/>
    </row>
    <row r="128" spans="1:14" x14ac:dyDescent="0.25">
      <c r="A128" s="10">
        <v>43</v>
      </c>
      <c r="B128" s="48">
        <v>44790</v>
      </c>
      <c r="C128" s="17">
        <v>270</v>
      </c>
      <c r="D128" s="17">
        <v>270</v>
      </c>
      <c r="E128" s="16">
        <v>44799</v>
      </c>
      <c r="F128" t="s">
        <v>117</v>
      </c>
      <c r="G128" s="31" t="s">
        <v>534</v>
      </c>
      <c r="H128" s="17">
        <f t="shared" si="12"/>
        <v>0</v>
      </c>
      <c r="I128" s="17" t="s">
        <v>676</v>
      </c>
      <c r="J128" s="48"/>
      <c r="K128" s="17"/>
      <c r="L128" s="49"/>
    </row>
    <row r="129" spans="1:12" x14ac:dyDescent="0.25">
      <c r="A129" s="10">
        <f>A128+1</f>
        <v>44</v>
      </c>
      <c r="B129" s="48">
        <f>B128+7</f>
        <v>44797</v>
      </c>
      <c r="C129" s="17"/>
      <c r="D129" s="17"/>
      <c r="E129" s="16"/>
      <c r="H129" s="17">
        <f t="shared" si="12"/>
        <v>0</v>
      </c>
      <c r="I129" s="17" t="s">
        <v>676</v>
      </c>
      <c r="J129" s="48"/>
      <c r="K129" s="17"/>
      <c r="L129" s="49"/>
    </row>
    <row r="130" spans="1:12" x14ac:dyDescent="0.25">
      <c r="A130" s="10">
        <f t="shared" ref="A130:A142" si="15">A129+1</f>
        <v>45</v>
      </c>
      <c r="B130" s="48">
        <f>B129+7</f>
        <v>44804</v>
      </c>
      <c r="C130" s="17"/>
      <c r="D130" s="17"/>
      <c r="E130" s="16"/>
      <c r="H130" s="17">
        <f t="shared" si="12"/>
        <v>0</v>
      </c>
      <c r="I130" s="17" t="s">
        <v>676</v>
      </c>
      <c r="J130" s="48"/>
      <c r="K130" s="17"/>
      <c r="L130" s="49"/>
    </row>
    <row r="131" spans="1:12" x14ac:dyDescent="0.25">
      <c r="A131" s="10">
        <f t="shared" si="15"/>
        <v>46</v>
      </c>
      <c r="B131" s="48">
        <f>B130+7</f>
        <v>44811</v>
      </c>
      <c r="C131" s="17"/>
      <c r="D131" s="17"/>
      <c r="E131" s="16"/>
      <c r="H131" s="17">
        <f t="shared" ref="H131:H143" si="16">IFERROR(IF(F130="Closed account",(IF(F131="Unpaid Rent",(C131),(C131-D131))),(IF(F131="Unpaid Rent",(C131+H130),(C131-D131+H130)))),"")</f>
        <v>0</v>
      </c>
      <c r="I131" s="17" t="s">
        <v>676</v>
      </c>
      <c r="J131" s="48"/>
      <c r="K131" s="17"/>
      <c r="L131" s="49"/>
    </row>
    <row r="132" spans="1:12" x14ac:dyDescent="0.25">
      <c r="A132" s="10">
        <f t="shared" si="15"/>
        <v>47</v>
      </c>
      <c r="B132" s="48">
        <f>B131+7</f>
        <v>44818</v>
      </c>
      <c r="C132" s="17">
        <v>250</v>
      </c>
      <c r="D132" s="17">
        <v>250</v>
      </c>
      <c r="E132" s="16">
        <v>44824</v>
      </c>
      <c r="F132" t="s">
        <v>117</v>
      </c>
      <c r="H132" s="17">
        <f t="shared" si="16"/>
        <v>0</v>
      </c>
      <c r="I132" s="17" t="s">
        <v>676</v>
      </c>
      <c r="J132" s="48"/>
      <c r="K132" s="17"/>
      <c r="L132" s="49"/>
    </row>
    <row r="133" spans="1:12" x14ac:dyDescent="0.25">
      <c r="A133" s="10">
        <f t="shared" si="15"/>
        <v>48</v>
      </c>
      <c r="B133" s="48">
        <f t="shared" ref="B133:B166" si="17">B132+7</f>
        <v>44825</v>
      </c>
      <c r="C133" s="17">
        <v>250</v>
      </c>
      <c r="D133" s="17">
        <v>250</v>
      </c>
      <c r="E133" s="16">
        <v>44832</v>
      </c>
      <c r="F133" t="s">
        <v>117</v>
      </c>
      <c r="H133" s="17">
        <f t="shared" si="16"/>
        <v>0</v>
      </c>
      <c r="I133" s="17" t="s">
        <v>676</v>
      </c>
      <c r="J133" s="48"/>
      <c r="K133" s="17"/>
      <c r="L133" s="49"/>
    </row>
    <row r="134" spans="1:12" x14ac:dyDescent="0.25">
      <c r="A134" s="10">
        <f t="shared" si="15"/>
        <v>49</v>
      </c>
      <c r="B134" s="48">
        <f t="shared" si="17"/>
        <v>44832</v>
      </c>
      <c r="C134" s="17">
        <v>250</v>
      </c>
      <c r="D134" s="17">
        <v>250</v>
      </c>
      <c r="E134" s="16">
        <v>44840</v>
      </c>
      <c r="F134" t="s">
        <v>58</v>
      </c>
      <c r="H134" s="17">
        <f t="shared" si="16"/>
        <v>0</v>
      </c>
      <c r="I134" s="17" t="s">
        <v>676</v>
      </c>
      <c r="J134" s="48"/>
      <c r="K134" s="17"/>
      <c r="L134" s="49"/>
    </row>
    <row r="135" spans="1:12" x14ac:dyDescent="0.25">
      <c r="A135" s="10">
        <f t="shared" si="15"/>
        <v>50</v>
      </c>
      <c r="B135" s="48">
        <f t="shared" si="17"/>
        <v>44839</v>
      </c>
      <c r="C135" s="17">
        <v>250</v>
      </c>
      <c r="D135" s="17"/>
      <c r="E135" s="16"/>
      <c r="H135" s="17">
        <f t="shared" si="16"/>
        <v>250</v>
      </c>
      <c r="I135" s="17" t="s">
        <v>676</v>
      </c>
      <c r="J135" s="48"/>
      <c r="K135" s="17"/>
      <c r="L135" s="49"/>
    </row>
    <row r="136" spans="1:12" x14ac:dyDescent="0.25">
      <c r="A136" s="10">
        <f t="shared" si="15"/>
        <v>51</v>
      </c>
      <c r="B136" s="48">
        <f t="shared" si="17"/>
        <v>44846</v>
      </c>
      <c r="C136" s="17">
        <v>250</v>
      </c>
      <c r="D136" s="17"/>
      <c r="E136" s="16"/>
      <c r="H136" s="17">
        <f t="shared" si="16"/>
        <v>500</v>
      </c>
      <c r="I136" s="17" t="s">
        <v>676</v>
      </c>
      <c r="J136" s="48"/>
      <c r="K136" s="17"/>
      <c r="L136" s="49"/>
    </row>
    <row r="137" spans="1:12" x14ac:dyDescent="0.25">
      <c r="A137" s="10">
        <f t="shared" si="15"/>
        <v>52</v>
      </c>
      <c r="B137" s="48">
        <f t="shared" si="17"/>
        <v>44853</v>
      </c>
      <c r="C137" s="17">
        <v>250</v>
      </c>
      <c r="D137" s="17"/>
      <c r="E137" s="16"/>
      <c r="H137" s="17">
        <f t="shared" si="16"/>
        <v>750</v>
      </c>
      <c r="I137" s="17" t="s">
        <v>676</v>
      </c>
      <c r="J137" s="48"/>
      <c r="K137" s="17"/>
      <c r="L137" s="49"/>
    </row>
    <row r="138" spans="1:12" x14ac:dyDescent="0.25">
      <c r="A138" s="10">
        <f t="shared" si="15"/>
        <v>53</v>
      </c>
      <c r="B138" s="48">
        <f t="shared" si="17"/>
        <v>44860</v>
      </c>
      <c r="C138" s="17">
        <v>250</v>
      </c>
      <c r="D138" s="17"/>
      <c r="E138" s="16"/>
      <c r="H138" s="17">
        <f t="shared" si="16"/>
        <v>1000</v>
      </c>
      <c r="I138" s="17" t="s">
        <v>676</v>
      </c>
      <c r="J138" s="48"/>
      <c r="K138" s="17"/>
      <c r="L138" s="49"/>
    </row>
    <row r="139" spans="1:12" x14ac:dyDescent="0.25">
      <c r="A139" s="10">
        <f t="shared" si="15"/>
        <v>54</v>
      </c>
      <c r="B139" s="48">
        <f t="shared" si="17"/>
        <v>44867</v>
      </c>
      <c r="C139" s="17">
        <v>250</v>
      </c>
      <c r="D139" s="17"/>
      <c r="E139" s="16"/>
      <c r="H139" s="17">
        <f t="shared" si="16"/>
        <v>1250</v>
      </c>
      <c r="I139" s="17" t="s">
        <v>676</v>
      </c>
      <c r="J139" s="48"/>
      <c r="K139" s="17"/>
      <c r="L139" s="49"/>
    </row>
    <row r="140" spans="1:12" ht="15" customHeight="1" x14ac:dyDescent="0.25">
      <c r="A140" s="10">
        <f t="shared" si="15"/>
        <v>55</v>
      </c>
      <c r="B140" s="48">
        <f t="shared" si="17"/>
        <v>44874</v>
      </c>
      <c r="C140" s="17">
        <v>250</v>
      </c>
      <c r="D140" s="17"/>
      <c r="E140" s="16"/>
      <c r="H140" s="17">
        <f t="shared" si="16"/>
        <v>1500</v>
      </c>
      <c r="I140" s="17" t="s">
        <v>676</v>
      </c>
      <c r="J140" s="48"/>
      <c r="K140" s="17"/>
      <c r="L140" s="49"/>
    </row>
    <row r="141" spans="1:12" ht="15" customHeight="1" x14ac:dyDescent="0.25">
      <c r="A141" s="10">
        <f t="shared" si="15"/>
        <v>56</v>
      </c>
      <c r="B141" s="48">
        <f t="shared" si="17"/>
        <v>44881</v>
      </c>
      <c r="C141" s="17">
        <v>250</v>
      </c>
      <c r="D141" s="17"/>
      <c r="E141" s="16"/>
      <c r="H141" s="17">
        <f t="shared" si="16"/>
        <v>1750</v>
      </c>
      <c r="I141" s="17" t="s">
        <v>676</v>
      </c>
      <c r="J141" s="48"/>
      <c r="K141" s="17"/>
      <c r="L141" s="49"/>
    </row>
    <row r="142" spans="1:12" ht="15" customHeight="1" x14ac:dyDescent="0.25">
      <c r="A142" s="10">
        <f t="shared" si="15"/>
        <v>57</v>
      </c>
      <c r="B142" s="48">
        <f t="shared" si="17"/>
        <v>44888</v>
      </c>
      <c r="C142" s="17">
        <v>250</v>
      </c>
      <c r="D142" s="17">
        <v>1450</v>
      </c>
      <c r="E142" s="16">
        <v>44895</v>
      </c>
      <c r="F142" t="s">
        <v>117</v>
      </c>
      <c r="H142" s="17">
        <f t="shared" si="16"/>
        <v>550</v>
      </c>
      <c r="I142" s="17" t="s">
        <v>676</v>
      </c>
      <c r="J142" s="48"/>
      <c r="K142" s="17"/>
      <c r="L142" s="49"/>
    </row>
    <row r="143" spans="1:12" ht="15" customHeight="1" x14ac:dyDescent="0.25">
      <c r="A143" s="10">
        <f>A142+1</f>
        <v>58</v>
      </c>
      <c r="B143" s="48">
        <f t="shared" si="17"/>
        <v>44895</v>
      </c>
      <c r="C143" s="17">
        <v>250</v>
      </c>
      <c r="D143" s="17"/>
      <c r="E143" s="16"/>
      <c r="H143" s="17">
        <f t="shared" si="16"/>
        <v>800</v>
      </c>
      <c r="I143" s="17" t="s">
        <v>676</v>
      </c>
      <c r="J143" s="48"/>
      <c r="K143" s="17"/>
      <c r="L143" s="49"/>
    </row>
    <row r="144" spans="1:12" ht="15" customHeight="1" x14ac:dyDescent="0.25">
      <c r="A144" s="10">
        <f t="shared" ref="A144:A156" si="18">A143+1</f>
        <v>59</v>
      </c>
      <c r="B144" s="48">
        <f t="shared" si="17"/>
        <v>44902</v>
      </c>
      <c r="C144" s="17">
        <v>250</v>
      </c>
      <c r="D144" s="17"/>
      <c r="E144" s="16"/>
      <c r="H144" s="17">
        <f t="shared" ref="H144:H156" si="19">IFERROR(IF(F143="Closed account",(IF(F144="Unpaid Rent",(C144),(C144-D144))),(IF(F144="Unpaid Rent",(C144+H143),(C144-D144+H143)))),"")</f>
        <v>1050</v>
      </c>
      <c r="I144" s="17" t="s">
        <v>676</v>
      </c>
      <c r="J144" s="48"/>
      <c r="K144" s="17"/>
      <c r="L144" s="49"/>
    </row>
    <row r="145" spans="1:12" ht="15" customHeight="1" x14ac:dyDescent="0.25">
      <c r="A145" s="10">
        <f t="shared" si="18"/>
        <v>60</v>
      </c>
      <c r="B145" s="48">
        <f t="shared" si="17"/>
        <v>44909</v>
      </c>
      <c r="C145" s="17">
        <v>250</v>
      </c>
      <c r="D145" s="17"/>
      <c r="E145" s="16"/>
      <c r="H145" s="17">
        <f t="shared" si="19"/>
        <v>1300</v>
      </c>
      <c r="I145" s="17" t="s">
        <v>676</v>
      </c>
      <c r="J145" s="48"/>
      <c r="K145" s="17"/>
      <c r="L145" s="49"/>
    </row>
    <row r="146" spans="1:12" ht="15" customHeight="1" x14ac:dyDescent="0.25">
      <c r="A146" s="10">
        <f t="shared" si="18"/>
        <v>61</v>
      </c>
      <c r="B146" s="48">
        <f t="shared" si="17"/>
        <v>44916</v>
      </c>
      <c r="C146" s="17">
        <v>250</v>
      </c>
      <c r="D146" s="17"/>
      <c r="E146" s="16"/>
      <c r="H146" s="17">
        <f t="shared" si="19"/>
        <v>1550</v>
      </c>
      <c r="I146" s="17" t="s">
        <v>676</v>
      </c>
      <c r="J146" s="48"/>
      <c r="K146" s="17"/>
      <c r="L146" s="49"/>
    </row>
    <row r="147" spans="1:12" ht="15" customHeight="1" x14ac:dyDescent="0.25">
      <c r="A147" s="10">
        <f t="shared" si="18"/>
        <v>62</v>
      </c>
      <c r="B147" s="48">
        <f t="shared" si="17"/>
        <v>44923</v>
      </c>
      <c r="C147" s="17">
        <v>250</v>
      </c>
      <c r="D147" s="17"/>
      <c r="E147" s="16"/>
      <c r="H147" s="17">
        <f t="shared" si="19"/>
        <v>1800</v>
      </c>
      <c r="I147" s="17" t="s">
        <v>676</v>
      </c>
      <c r="J147" s="48"/>
      <c r="K147" s="17"/>
      <c r="L147" s="49"/>
    </row>
    <row r="148" spans="1:12" ht="15" customHeight="1" x14ac:dyDescent="0.25">
      <c r="A148" s="10">
        <f t="shared" si="18"/>
        <v>63</v>
      </c>
      <c r="B148" s="48">
        <f t="shared" si="17"/>
        <v>44930</v>
      </c>
      <c r="C148" s="17">
        <v>250</v>
      </c>
      <c r="D148" s="17"/>
      <c r="E148" s="16"/>
      <c r="H148" s="17">
        <f t="shared" si="19"/>
        <v>2050</v>
      </c>
      <c r="I148" s="17" t="s">
        <v>676</v>
      </c>
      <c r="J148" s="48"/>
      <c r="K148" s="17"/>
      <c r="L148" s="49"/>
    </row>
    <row r="149" spans="1:12" ht="15" customHeight="1" x14ac:dyDescent="0.25">
      <c r="A149" s="10">
        <f t="shared" si="18"/>
        <v>64</v>
      </c>
      <c r="B149" s="48">
        <f t="shared" si="17"/>
        <v>44937</v>
      </c>
      <c r="C149" s="17">
        <v>250</v>
      </c>
      <c r="D149" s="17">
        <v>1000</v>
      </c>
      <c r="E149" s="16">
        <v>44942</v>
      </c>
      <c r="F149" t="s">
        <v>117</v>
      </c>
      <c r="H149" s="17">
        <f t="shared" si="19"/>
        <v>1300</v>
      </c>
      <c r="I149" s="17" t="s">
        <v>676</v>
      </c>
      <c r="J149" s="48"/>
      <c r="K149" s="17"/>
      <c r="L149" s="49"/>
    </row>
    <row r="150" spans="1:12" ht="15" customHeight="1" x14ac:dyDescent="0.25">
      <c r="A150" s="10">
        <f t="shared" si="18"/>
        <v>65</v>
      </c>
      <c r="B150" s="48">
        <f t="shared" si="17"/>
        <v>44944</v>
      </c>
      <c r="C150" s="17">
        <v>250</v>
      </c>
      <c r="D150" s="17"/>
      <c r="E150" s="16"/>
      <c r="H150" s="17">
        <f t="shared" si="19"/>
        <v>1550</v>
      </c>
      <c r="I150" s="17" t="s">
        <v>676</v>
      </c>
      <c r="J150" s="48"/>
      <c r="K150" s="17"/>
      <c r="L150" s="49"/>
    </row>
    <row r="151" spans="1:12" ht="15" customHeight="1" x14ac:dyDescent="0.25">
      <c r="A151" s="10">
        <f t="shared" si="18"/>
        <v>66</v>
      </c>
      <c r="B151" s="48">
        <f t="shared" si="17"/>
        <v>44951</v>
      </c>
      <c r="C151" s="17">
        <v>250</v>
      </c>
      <c r="D151" s="17">
        <v>1400</v>
      </c>
      <c r="E151" s="16">
        <v>44952</v>
      </c>
      <c r="F151" t="s">
        <v>117</v>
      </c>
      <c r="H151" s="17">
        <f t="shared" si="19"/>
        <v>400</v>
      </c>
      <c r="I151" s="17" t="s">
        <v>676</v>
      </c>
      <c r="J151" s="48"/>
      <c r="K151" s="17"/>
      <c r="L151" s="49"/>
    </row>
    <row r="152" spans="1:12" ht="15" customHeight="1" x14ac:dyDescent="0.25">
      <c r="A152" s="10">
        <f t="shared" si="18"/>
        <v>67</v>
      </c>
      <c r="B152" s="48">
        <f t="shared" si="17"/>
        <v>44958</v>
      </c>
      <c r="C152" s="17">
        <v>250</v>
      </c>
      <c r="D152" s="17"/>
      <c r="E152" s="16"/>
      <c r="H152" s="17">
        <f t="shared" si="19"/>
        <v>650</v>
      </c>
      <c r="I152" s="17" t="s">
        <v>676</v>
      </c>
      <c r="J152" s="48"/>
      <c r="K152" s="17"/>
      <c r="L152" s="49"/>
    </row>
    <row r="153" spans="1:12" ht="15" customHeight="1" x14ac:dyDescent="0.25">
      <c r="A153" s="10">
        <f t="shared" si="18"/>
        <v>68</v>
      </c>
      <c r="B153" s="48">
        <f t="shared" si="17"/>
        <v>44965</v>
      </c>
      <c r="C153" s="17">
        <v>250</v>
      </c>
      <c r="D153" s="17"/>
      <c r="E153" s="16"/>
      <c r="H153" s="17">
        <f t="shared" si="19"/>
        <v>900</v>
      </c>
      <c r="I153" s="17" t="s">
        <v>676</v>
      </c>
      <c r="J153" s="48"/>
      <c r="K153" s="17"/>
      <c r="L153" s="49"/>
    </row>
    <row r="154" spans="1:12" ht="15" customHeight="1" x14ac:dyDescent="0.25">
      <c r="A154" s="10">
        <f t="shared" si="18"/>
        <v>69</v>
      </c>
      <c r="B154" s="48">
        <f t="shared" si="17"/>
        <v>44972</v>
      </c>
      <c r="C154" s="17">
        <v>250</v>
      </c>
      <c r="D154" s="17"/>
      <c r="E154" s="16"/>
      <c r="H154" s="17">
        <f t="shared" si="19"/>
        <v>1150</v>
      </c>
      <c r="I154" s="17" t="s">
        <v>676</v>
      </c>
      <c r="J154" s="48"/>
      <c r="K154" s="17"/>
      <c r="L154" s="49"/>
    </row>
    <row r="155" spans="1:12" ht="15" customHeight="1" x14ac:dyDescent="0.25">
      <c r="A155" s="10">
        <f t="shared" si="18"/>
        <v>70</v>
      </c>
      <c r="B155" s="48">
        <f t="shared" si="17"/>
        <v>44979</v>
      </c>
      <c r="C155" s="17">
        <v>250</v>
      </c>
      <c r="D155" s="17"/>
      <c r="E155" s="16"/>
      <c r="H155" s="17">
        <f t="shared" si="19"/>
        <v>1400</v>
      </c>
      <c r="I155" s="17" t="s">
        <v>676</v>
      </c>
      <c r="J155" s="48"/>
      <c r="K155" s="17"/>
      <c r="L155" s="49"/>
    </row>
    <row r="156" spans="1:12" ht="15" customHeight="1" x14ac:dyDescent="0.25">
      <c r="A156" s="10">
        <f t="shared" si="18"/>
        <v>71</v>
      </c>
      <c r="B156" s="48">
        <f t="shared" si="17"/>
        <v>44986</v>
      </c>
      <c r="C156" s="17">
        <v>250</v>
      </c>
      <c r="D156" s="17"/>
      <c r="E156" s="16"/>
      <c r="H156" s="17">
        <f t="shared" si="19"/>
        <v>1650</v>
      </c>
      <c r="I156" s="17" t="s">
        <v>676</v>
      </c>
      <c r="J156" s="48"/>
      <c r="K156" s="17"/>
      <c r="L156" s="49"/>
    </row>
    <row r="157" spans="1:12" ht="15" customHeight="1" x14ac:dyDescent="0.25">
      <c r="A157" s="10">
        <v>72</v>
      </c>
      <c r="B157" s="48">
        <f t="shared" si="17"/>
        <v>44993</v>
      </c>
      <c r="C157" s="17">
        <v>250</v>
      </c>
      <c r="D157" s="17"/>
      <c r="E157" s="16"/>
      <c r="H157" s="17">
        <f t="shared" ref="H157:H163" si="20">IFERROR(IF(F156="Closed account",(IF(F157="Unpaid Rent",(C157),(C157-D157))),(IF(F157="Unpaid Rent",(C157+H156),(C157-D157+H156)))),"")</f>
        <v>1900</v>
      </c>
      <c r="I157" s="17" t="s">
        <v>676</v>
      </c>
      <c r="J157" s="48"/>
      <c r="K157" s="17"/>
      <c r="L157" s="49"/>
    </row>
    <row r="158" spans="1:12" ht="15" customHeight="1" x14ac:dyDescent="0.25">
      <c r="A158" s="10">
        <v>73</v>
      </c>
      <c r="B158" s="48">
        <f t="shared" si="17"/>
        <v>45000</v>
      </c>
      <c r="C158" s="17">
        <v>250</v>
      </c>
      <c r="D158" s="17"/>
      <c r="E158" s="16"/>
      <c r="H158" s="17">
        <f t="shared" si="20"/>
        <v>2150</v>
      </c>
      <c r="I158" s="17" t="s">
        <v>676</v>
      </c>
      <c r="J158" s="48"/>
      <c r="K158" s="17"/>
      <c r="L158" s="49"/>
    </row>
    <row r="159" spans="1:12" ht="15" customHeight="1" x14ac:dyDescent="0.25">
      <c r="A159" s="10">
        <v>74</v>
      </c>
      <c r="B159" s="48">
        <f t="shared" si="17"/>
        <v>45007</v>
      </c>
      <c r="C159" s="17">
        <v>250</v>
      </c>
      <c r="D159" s="17"/>
      <c r="E159" s="16"/>
      <c r="H159" s="17">
        <f t="shared" si="20"/>
        <v>2400</v>
      </c>
      <c r="I159" s="17" t="s">
        <v>676</v>
      </c>
      <c r="J159" s="48"/>
      <c r="K159" s="17"/>
      <c r="L159" s="49"/>
    </row>
    <row r="160" spans="1:12" ht="15" customHeight="1" x14ac:dyDescent="0.25">
      <c r="A160" s="10">
        <v>75</v>
      </c>
      <c r="B160" s="48">
        <f t="shared" si="17"/>
        <v>45014</v>
      </c>
      <c r="C160" s="17">
        <v>250</v>
      </c>
      <c r="D160" s="17"/>
      <c r="E160" s="16"/>
      <c r="H160" s="17">
        <f t="shared" si="20"/>
        <v>2650</v>
      </c>
      <c r="I160" s="17" t="s">
        <v>676</v>
      </c>
      <c r="J160" s="48"/>
      <c r="K160" s="17"/>
      <c r="L160" s="49"/>
    </row>
    <row r="161" spans="1:14" ht="15" customHeight="1" x14ac:dyDescent="0.25">
      <c r="A161" s="10">
        <v>76</v>
      </c>
      <c r="B161" s="48">
        <f t="shared" si="17"/>
        <v>45021</v>
      </c>
      <c r="C161" s="17">
        <v>250</v>
      </c>
      <c r="D161" s="17"/>
      <c r="E161" s="16"/>
      <c r="H161" s="17">
        <f t="shared" si="20"/>
        <v>2900</v>
      </c>
      <c r="I161" s="17" t="s">
        <v>676</v>
      </c>
      <c r="J161" s="48"/>
      <c r="K161" s="17"/>
      <c r="L161" s="49"/>
    </row>
    <row r="162" spans="1:14" ht="15" customHeight="1" x14ac:dyDescent="0.25">
      <c r="A162" s="10">
        <v>77</v>
      </c>
      <c r="B162" s="48">
        <f t="shared" si="17"/>
        <v>45028</v>
      </c>
      <c r="C162" s="17">
        <v>250</v>
      </c>
      <c r="D162" s="17"/>
      <c r="E162" s="16"/>
      <c r="H162" s="17">
        <f t="shared" si="20"/>
        <v>3150</v>
      </c>
      <c r="I162" s="17" t="s">
        <v>676</v>
      </c>
      <c r="J162" s="48"/>
      <c r="K162" s="17"/>
      <c r="L162" s="49"/>
    </row>
    <row r="163" spans="1:14" ht="15" customHeight="1" x14ac:dyDescent="0.25">
      <c r="A163" s="10">
        <v>78</v>
      </c>
      <c r="B163" s="48">
        <f t="shared" si="17"/>
        <v>45035</v>
      </c>
      <c r="C163" s="17">
        <v>250</v>
      </c>
      <c r="D163" s="17">
        <v>2000</v>
      </c>
      <c r="E163" s="16">
        <v>45035</v>
      </c>
      <c r="F163" t="s">
        <v>117</v>
      </c>
      <c r="H163" s="17">
        <f t="shared" si="20"/>
        <v>1400</v>
      </c>
      <c r="I163" s="17" t="s">
        <v>676</v>
      </c>
      <c r="J163" s="48"/>
      <c r="K163" s="17"/>
      <c r="L163" s="49"/>
    </row>
    <row r="164" spans="1:14" ht="15" customHeight="1" x14ac:dyDescent="0.25">
      <c r="A164" s="10">
        <v>79</v>
      </c>
      <c r="B164" s="48">
        <f t="shared" si="17"/>
        <v>45042</v>
      </c>
      <c r="C164" s="17">
        <v>250</v>
      </c>
      <c r="H164" s="17">
        <f>IFERROR(IF(F163="Closed account",(IF(F164="Unpaid Rent",(C164),(C164-D164))),(IF(F164="Unpaid Rent",(C164+H163),(C164-D164+H163)))),"")</f>
        <v>1650</v>
      </c>
      <c r="I164" s="17" t="s">
        <v>676</v>
      </c>
      <c r="J164" s="48"/>
      <c r="K164" s="17"/>
      <c r="L164" s="49"/>
    </row>
    <row r="165" spans="1:14" ht="15" customHeight="1" x14ac:dyDescent="0.25">
      <c r="A165" s="10">
        <v>80</v>
      </c>
      <c r="B165" s="48">
        <f t="shared" si="17"/>
        <v>45049</v>
      </c>
      <c r="C165" s="17">
        <v>250</v>
      </c>
      <c r="H165" s="17">
        <f>IFERROR(IF(F164="Closed account",(IF(F165="Unpaid Rent",(C165),(C165-D165))),(IF(F165="Unpaid Rent",(C165+H164),(C165-D165+H164)))),"")</f>
        <v>1900</v>
      </c>
      <c r="I165" s="17" t="s">
        <v>676</v>
      </c>
      <c r="J165" s="48"/>
      <c r="K165" s="17"/>
      <c r="L165" s="49"/>
    </row>
    <row r="166" spans="1:14" ht="15" customHeight="1" x14ac:dyDescent="0.25">
      <c r="A166" s="10">
        <v>81</v>
      </c>
      <c r="B166" s="48">
        <f t="shared" si="17"/>
        <v>45056</v>
      </c>
      <c r="C166" s="17">
        <v>250</v>
      </c>
      <c r="H166" s="17">
        <f>IFERROR(IF(F165="Closed account",(IF(F166="Unpaid Rent",(C166),(C166-D166))),(IF(F166="Unpaid Rent",(C166+H165),(C166-D166+H165)))),"")</f>
        <v>2150</v>
      </c>
      <c r="I166" s="17" t="s">
        <v>676</v>
      </c>
      <c r="J166" s="48"/>
      <c r="K166" s="17"/>
      <c r="L166" s="49"/>
    </row>
    <row r="167" spans="1:14" ht="15" customHeight="1" x14ac:dyDescent="0.25">
      <c r="A167" s="10">
        <v>82</v>
      </c>
      <c r="B167" s="16">
        <f>B166+7</f>
        <v>45063</v>
      </c>
      <c r="C167" s="17">
        <v>250</v>
      </c>
      <c r="H167" s="17">
        <f>IFERROR(IF(F166="Closed account",(IF(F167="Unpaid Rent",(C167),(C167-D167))),(IF(F167="Unpaid Rent",(C167+H166),(C167-D167+H166)))),"")</f>
        <v>2400</v>
      </c>
      <c r="I167" s="17" t="s">
        <v>676</v>
      </c>
      <c r="J167" s="48"/>
      <c r="K167" s="17"/>
      <c r="L167" s="49"/>
    </row>
    <row r="168" spans="1:14" ht="15" customHeight="1" x14ac:dyDescent="0.25">
      <c r="J168" s="48"/>
      <c r="K168" s="17"/>
      <c r="L168" s="49"/>
      <c r="N168" s="1">
        <f>SUBTOTAL(9,K15:K69)</f>
        <v>3943.1999999999994</v>
      </c>
    </row>
    <row r="169" spans="1:14" ht="15" customHeight="1" x14ac:dyDescent="0.25">
      <c r="J169" s="48"/>
      <c r="K169" s="17"/>
      <c r="L169" s="49"/>
    </row>
    <row r="170" spans="1:14" ht="15" customHeight="1" x14ac:dyDescent="0.25">
      <c r="J170" s="48"/>
      <c r="K170" s="17"/>
      <c r="L170" s="49"/>
    </row>
    <row r="171" spans="1:14" ht="15" customHeight="1" x14ac:dyDescent="0.25">
      <c r="J171" s="48"/>
      <c r="K171" s="17"/>
      <c r="L171" s="49"/>
    </row>
    <row r="172" spans="1:14" ht="15" customHeight="1" x14ac:dyDescent="0.25">
      <c r="J172" s="48"/>
      <c r="K172" s="17"/>
      <c r="L172" s="49"/>
    </row>
    <row r="173" spans="1:14" ht="15" customHeight="1" x14ac:dyDescent="0.25">
      <c r="J173" s="48"/>
      <c r="K173" s="17"/>
      <c r="L173" s="49"/>
    </row>
    <row r="174" spans="1:14" ht="15" customHeight="1" x14ac:dyDescent="0.25">
      <c r="J174" s="48"/>
      <c r="K174" s="17"/>
      <c r="L174" s="49"/>
    </row>
    <row r="175" spans="1:14" ht="15" customHeight="1" x14ac:dyDescent="0.25">
      <c r="J175" s="48"/>
      <c r="K175" s="17"/>
      <c r="L175" s="49"/>
    </row>
    <row r="176" spans="1:14" ht="15" customHeight="1" x14ac:dyDescent="0.25">
      <c r="J176" s="48"/>
      <c r="K176" s="17"/>
      <c r="L176" s="49"/>
    </row>
    <row r="177" spans="10:12" ht="15" customHeight="1" x14ac:dyDescent="0.25">
      <c r="J177" s="48"/>
      <c r="K177" s="17"/>
      <c r="L177" s="49"/>
    </row>
    <row r="178" spans="10:12" ht="15" customHeight="1" x14ac:dyDescent="0.25">
      <c r="J178" s="48"/>
      <c r="K178" s="17"/>
      <c r="L178" s="49"/>
    </row>
    <row r="179" spans="10:12" ht="15" customHeight="1" x14ac:dyDescent="0.25">
      <c r="J179" s="48"/>
      <c r="K179" s="17"/>
      <c r="L179" s="49"/>
    </row>
    <row r="180" spans="10:12" ht="15" customHeight="1" x14ac:dyDescent="0.25">
      <c r="J180" s="48"/>
      <c r="K180" s="17"/>
      <c r="L180" s="49"/>
    </row>
    <row r="181" spans="10:12" ht="15" customHeight="1" x14ac:dyDescent="0.25">
      <c r="J181" s="48"/>
      <c r="K181" s="17"/>
      <c r="L181" s="49"/>
    </row>
    <row r="182" spans="10:12" ht="15" customHeight="1" x14ac:dyDescent="0.25">
      <c r="J182" s="48"/>
      <c r="K182" s="17"/>
      <c r="L182" s="49"/>
    </row>
    <row r="183" spans="10:12" ht="15" customHeight="1" x14ac:dyDescent="0.25">
      <c r="J183" s="48"/>
      <c r="K183" s="17"/>
      <c r="L183" s="49"/>
    </row>
    <row r="184" spans="10:12" ht="15" customHeight="1" x14ac:dyDescent="0.25">
      <c r="J184" s="48"/>
      <c r="K184" s="17"/>
      <c r="L184" s="49"/>
    </row>
    <row r="185" spans="10:12" ht="15" customHeight="1" x14ac:dyDescent="0.25">
      <c r="J185" s="48"/>
      <c r="K185" s="17"/>
      <c r="L185" s="49"/>
    </row>
    <row r="186" spans="10:12" ht="15" customHeight="1" x14ac:dyDescent="0.25">
      <c r="J186" s="48"/>
      <c r="K186" s="17"/>
      <c r="L186" s="49"/>
    </row>
    <row r="187" spans="10:12" ht="15" customHeight="1" x14ac:dyDescent="0.25">
      <c r="J187" s="48"/>
      <c r="K187" s="17"/>
      <c r="L187" s="49"/>
    </row>
    <row r="188" spans="10:12" ht="15" customHeight="1" x14ac:dyDescent="0.25">
      <c r="J188" s="48"/>
      <c r="K188" s="17"/>
      <c r="L188" s="49"/>
    </row>
    <row r="189" spans="10:12" ht="15" customHeight="1" x14ac:dyDescent="0.25">
      <c r="J189" s="48"/>
      <c r="K189" s="17"/>
      <c r="L189" s="49"/>
    </row>
    <row r="190" spans="10:12" ht="15" customHeight="1" x14ac:dyDescent="0.25">
      <c r="J190" s="48"/>
      <c r="K190" s="17"/>
      <c r="L190" s="49"/>
    </row>
    <row r="191" spans="10:12" ht="15" customHeight="1" x14ac:dyDescent="0.25">
      <c r="J191" s="48"/>
      <c r="K191" s="17"/>
      <c r="L191" s="49"/>
    </row>
    <row r="192" spans="10:12" ht="15" customHeight="1" x14ac:dyDescent="0.25">
      <c r="J192" s="48"/>
      <c r="K192" s="17"/>
      <c r="L192" s="49"/>
    </row>
    <row r="193" spans="10:12" ht="15" customHeight="1" x14ac:dyDescent="0.25">
      <c r="J193" s="48"/>
      <c r="K193" s="17"/>
      <c r="L193" s="49"/>
    </row>
    <row r="194" spans="10:12" ht="15" customHeight="1" x14ac:dyDescent="0.25">
      <c r="J194" s="48"/>
      <c r="K194" s="17"/>
      <c r="L194" s="49"/>
    </row>
    <row r="195" spans="10:12" ht="15" customHeight="1" x14ac:dyDescent="0.25">
      <c r="J195" s="48"/>
      <c r="K195" s="17"/>
      <c r="L195" s="49"/>
    </row>
    <row r="196" spans="10:12" ht="15" customHeight="1" x14ac:dyDescent="0.25">
      <c r="J196" s="48"/>
      <c r="K196" s="17"/>
      <c r="L196" s="49"/>
    </row>
    <row r="197" spans="10:12" ht="15" customHeight="1" x14ac:dyDescent="0.25">
      <c r="J197" s="48"/>
      <c r="K197" s="17"/>
      <c r="L197" s="49"/>
    </row>
    <row r="198" spans="10:12" ht="15" customHeight="1" x14ac:dyDescent="0.25">
      <c r="J198" s="48"/>
      <c r="K198" s="17"/>
      <c r="L198" s="49"/>
    </row>
    <row r="199" spans="10:12" ht="15" customHeight="1" x14ac:dyDescent="0.25">
      <c r="J199" s="48"/>
      <c r="K199" s="17"/>
      <c r="L199" s="49"/>
    </row>
    <row r="200" spans="10:12" ht="15" customHeight="1" x14ac:dyDescent="0.25">
      <c r="J200" s="48"/>
      <c r="K200" s="17"/>
      <c r="L200" s="49"/>
    </row>
    <row r="201" spans="10:12" ht="15" customHeight="1" x14ac:dyDescent="0.25">
      <c r="J201" s="48"/>
      <c r="K201" s="17"/>
      <c r="L201" s="49"/>
    </row>
    <row r="202" spans="10:12" ht="15" customHeight="1" x14ac:dyDescent="0.25">
      <c r="J202" s="48"/>
      <c r="K202" s="17"/>
      <c r="L202" s="49"/>
    </row>
    <row r="203" spans="10:12" ht="15" customHeight="1" x14ac:dyDescent="0.25">
      <c r="J203" s="48"/>
      <c r="K203" s="17"/>
      <c r="L203" s="49"/>
    </row>
    <row r="204" spans="10:12" ht="15" customHeight="1" x14ac:dyDescent="0.25">
      <c r="J204" s="48"/>
      <c r="K204" s="17"/>
      <c r="L204" s="49"/>
    </row>
    <row r="205" spans="10:12" ht="15" customHeight="1" x14ac:dyDescent="0.25">
      <c r="J205" s="48"/>
      <c r="K205" s="17"/>
      <c r="L205" s="49"/>
    </row>
    <row r="206" spans="10:12" ht="15" customHeight="1" x14ac:dyDescent="0.25">
      <c r="J206" s="48"/>
      <c r="K206" s="17"/>
      <c r="L206" s="49"/>
    </row>
    <row r="207" spans="10:12" ht="15" customHeight="1" x14ac:dyDescent="0.25">
      <c r="J207" s="48"/>
      <c r="K207" s="17"/>
      <c r="L207" s="49"/>
    </row>
    <row r="208" spans="10:12" ht="15" customHeight="1" x14ac:dyDescent="0.25">
      <c r="J208" s="48"/>
      <c r="K208" s="17"/>
      <c r="L208" s="49"/>
    </row>
    <row r="209" spans="10:12" ht="15" customHeight="1" x14ac:dyDescent="0.25">
      <c r="J209" s="48"/>
      <c r="K209" s="17"/>
      <c r="L209" s="49"/>
    </row>
    <row r="210" spans="10:12" ht="15" customHeight="1" x14ac:dyDescent="0.25">
      <c r="J210" s="48"/>
      <c r="K210" s="17"/>
      <c r="L210" s="49"/>
    </row>
    <row r="211" spans="10:12" ht="15" customHeight="1" x14ac:dyDescent="0.25">
      <c r="J211" s="48"/>
      <c r="K211" s="17"/>
      <c r="L211" s="49"/>
    </row>
    <row r="212" spans="10:12" ht="15" customHeight="1" x14ac:dyDescent="0.25">
      <c r="J212" s="48"/>
      <c r="K212" s="17"/>
      <c r="L212" s="49"/>
    </row>
    <row r="213" spans="10:12" ht="15" customHeight="1" x14ac:dyDescent="0.25">
      <c r="J213" s="48"/>
      <c r="K213" s="17"/>
      <c r="L213" s="49"/>
    </row>
    <row r="214" spans="10:12" ht="15" customHeight="1" x14ac:dyDescent="0.25">
      <c r="J214" s="48"/>
      <c r="K214" s="17"/>
      <c r="L214" s="49"/>
    </row>
    <row r="215" spans="10:12" ht="15" customHeight="1" x14ac:dyDescent="0.25">
      <c r="J215" s="48"/>
      <c r="K215" s="17"/>
      <c r="L215" s="49"/>
    </row>
    <row r="216" spans="10:12" ht="15" customHeight="1" x14ac:dyDescent="0.25">
      <c r="J216" s="48"/>
      <c r="K216" s="17"/>
      <c r="L216" s="49"/>
    </row>
    <row r="217" spans="10:12" ht="15" customHeight="1" x14ac:dyDescent="0.25">
      <c r="J217" s="48"/>
      <c r="K217" s="17"/>
      <c r="L217" s="49"/>
    </row>
    <row r="218" spans="10:12" ht="15" customHeight="1" x14ac:dyDescent="0.25">
      <c r="J218" s="48"/>
      <c r="K218" s="17"/>
      <c r="L218" s="49"/>
    </row>
    <row r="219" spans="10:12" ht="15" customHeight="1" x14ac:dyDescent="0.25">
      <c r="J219" s="48"/>
      <c r="K219" s="17"/>
      <c r="L219" s="49"/>
    </row>
    <row r="220" spans="10:12" ht="15" customHeight="1" x14ac:dyDescent="0.25">
      <c r="J220" s="48"/>
      <c r="K220" s="17"/>
      <c r="L220" s="49"/>
    </row>
    <row r="221" spans="10:12" ht="15" customHeight="1" x14ac:dyDescent="0.25">
      <c r="J221" s="48"/>
      <c r="K221" s="17"/>
      <c r="L221" s="49"/>
    </row>
    <row r="222" spans="10:12" ht="15" customHeight="1" x14ac:dyDescent="0.25">
      <c r="J222" s="48"/>
      <c r="K222" s="17"/>
      <c r="L222" s="49"/>
    </row>
    <row r="223" spans="10:12" ht="15" customHeight="1" x14ac:dyDescent="0.25">
      <c r="J223" s="48"/>
      <c r="K223" s="17"/>
      <c r="L223" s="49"/>
    </row>
    <row r="224" spans="10:12" ht="15" customHeight="1" x14ac:dyDescent="0.25">
      <c r="J224" s="48"/>
      <c r="K224" s="17"/>
      <c r="L224" s="49"/>
    </row>
    <row r="225" spans="10:12" ht="15" customHeight="1" x14ac:dyDescent="0.25">
      <c r="J225" s="48"/>
      <c r="K225" s="17"/>
      <c r="L225" s="49"/>
    </row>
    <row r="226" spans="10:12" ht="15" customHeight="1" x14ac:dyDescent="0.25">
      <c r="J226" s="48"/>
      <c r="K226" s="17"/>
      <c r="L226" s="49"/>
    </row>
    <row r="227" spans="10:12" ht="15" customHeight="1" x14ac:dyDescent="0.25">
      <c r="J227" s="48"/>
      <c r="K227" s="17"/>
      <c r="L227" s="49"/>
    </row>
    <row r="228" spans="10:12" ht="15" customHeight="1" x14ac:dyDescent="0.25">
      <c r="J228" s="48"/>
      <c r="K228" s="17"/>
      <c r="L228" s="49"/>
    </row>
    <row r="229" spans="10:12" ht="15" customHeight="1" x14ac:dyDescent="0.25">
      <c r="J229" s="48"/>
      <c r="K229" s="17"/>
      <c r="L229" s="49"/>
    </row>
    <row r="230" spans="10:12" ht="15" customHeight="1" x14ac:dyDescent="0.25">
      <c r="J230" s="48"/>
      <c r="K230" s="17"/>
      <c r="L230" s="49"/>
    </row>
    <row r="231" spans="10:12" ht="15" customHeight="1" x14ac:dyDescent="0.25">
      <c r="J231" s="48"/>
      <c r="K231" s="17"/>
      <c r="L231" s="49"/>
    </row>
    <row r="232" spans="10:12" ht="15" customHeight="1" x14ac:dyDescent="0.25">
      <c r="J232" s="48"/>
      <c r="K232" s="17"/>
      <c r="L232" s="49"/>
    </row>
    <row r="233" spans="10:12" ht="15" customHeight="1" x14ac:dyDescent="0.25">
      <c r="J233" s="48"/>
      <c r="K233" s="17"/>
      <c r="L233" s="49"/>
    </row>
    <row r="234" spans="10:12" ht="15" customHeight="1" x14ac:dyDescent="0.25">
      <c r="J234" s="48"/>
      <c r="K234" s="17"/>
      <c r="L234" s="49"/>
    </row>
    <row r="235" spans="10:12" ht="15" customHeight="1" x14ac:dyDescent="0.25">
      <c r="J235" s="48"/>
      <c r="K235" s="17"/>
      <c r="L235" s="49"/>
    </row>
    <row r="236" spans="10:12" ht="15" customHeight="1" x14ac:dyDescent="0.25">
      <c r="J236" s="48"/>
      <c r="K236" s="17"/>
      <c r="L236" s="49"/>
    </row>
    <row r="237" spans="10:12" ht="15" customHeight="1" x14ac:dyDescent="0.25">
      <c r="J237" s="48"/>
      <c r="K237" s="17"/>
      <c r="L237" s="49"/>
    </row>
    <row r="238" spans="10:12" ht="15" customHeight="1" x14ac:dyDescent="0.25">
      <c r="J238" s="48"/>
      <c r="K238" s="17"/>
      <c r="L238" s="49"/>
    </row>
    <row r="239" spans="10:12" ht="15" customHeight="1" x14ac:dyDescent="0.25">
      <c r="J239" s="48"/>
      <c r="K239" s="17"/>
      <c r="L239" s="49"/>
    </row>
    <row r="240" spans="10:12" ht="15" customHeight="1" x14ac:dyDescent="0.25">
      <c r="J240" s="48"/>
      <c r="K240" s="17"/>
      <c r="L240" s="49"/>
    </row>
    <row r="241" spans="10:12" ht="15" customHeight="1" x14ac:dyDescent="0.25">
      <c r="J241" s="48"/>
      <c r="K241" s="17"/>
      <c r="L241" s="49"/>
    </row>
    <row r="242" spans="10:12" ht="15" customHeight="1" x14ac:dyDescent="0.25">
      <c r="J242" s="48"/>
      <c r="K242" s="17"/>
      <c r="L242" s="49"/>
    </row>
    <row r="243" spans="10:12" ht="15" customHeight="1" x14ac:dyDescent="0.25">
      <c r="J243" s="48"/>
      <c r="K243" s="17"/>
      <c r="L243" s="49"/>
    </row>
    <row r="244" spans="10:12" ht="15" customHeight="1" x14ac:dyDescent="0.25">
      <c r="J244" s="48"/>
      <c r="K244" s="17"/>
      <c r="L244" s="49"/>
    </row>
    <row r="245" spans="10:12" ht="15" customHeight="1" x14ac:dyDescent="0.25">
      <c r="J245" s="48"/>
      <c r="K245" s="17"/>
      <c r="L245" s="49"/>
    </row>
    <row r="246" spans="10:12" ht="15" customHeight="1" x14ac:dyDescent="0.25">
      <c r="J246" s="48"/>
      <c r="K246" s="17"/>
      <c r="L246" s="49"/>
    </row>
    <row r="247" spans="10:12" ht="15" customHeight="1" x14ac:dyDescent="0.25">
      <c r="J247" s="48"/>
      <c r="K247" s="17"/>
      <c r="L247" s="49"/>
    </row>
    <row r="248" spans="10:12" ht="15" customHeight="1" x14ac:dyDescent="0.25">
      <c r="J248" s="48"/>
      <c r="K248" s="17"/>
      <c r="L248" s="49"/>
    </row>
    <row r="249" spans="10:12" ht="15" customHeight="1" x14ac:dyDescent="0.25">
      <c r="J249" s="48"/>
      <c r="K249" s="17"/>
      <c r="L249" s="49"/>
    </row>
    <row r="250" spans="10:12" ht="15" customHeight="1" x14ac:dyDescent="0.25">
      <c r="J250" s="48"/>
      <c r="K250" s="17"/>
      <c r="L250" s="49"/>
    </row>
    <row r="251" spans="10:12" ht="15" customHeight="1" x14ac:dyDescent="0.25">
      <c r="J251" s="48"/>
      <c r="K251" s="17"/>
      <c r="L251" s="49"/>
    </row>
    <row r="252" spans="10:12" ht="15" customHeight="1" x14ac:dyDescent="0.25">
      <c r="J252" s="48"/>
      <c r="K252" s="17"/>
      <c r="L252" s="49"/>
    </row>
    <row r="253" spans="10:12" ht="15" customHeight="1" x14ac:dyDescent="0.25">
      <c r="J253" s="48"/>
      <c r="K253" s="17"/>
      <c r="L253" s="49"/>
    </row>
    <row r="254" spans="10:12" ht="15" customHeight="1" x14ac:dyDescent="0.25">
      <c r="J254" s="48"/>
      <c r="K254" s="17"/>
      <c r="L254" s="49"/>
    </row>
    <row r="255" spans="10:12" ht="15" customHeight="1" x14ac:dyDescent="0.25">
      <c r="J255" s="48"/>
      <c r="K255" s="17"/>
      <c r="L255" s="49"/>
    </row>
    <row r="256" spans="10:12" ht="15" customHeight="1" x14ac:dyDescent="0.25">
      <c r="J256" s="48"/>
      <c r="K256" s="17"/>
      <c r="L256" s="49"/>
    </row>
    <row r="257" spans="10:12" ht="15" customHeight="1" x14ac:dyDescent="0.25">
      <c r="J257" s="48"/>
      <c r="K257" s="17"/>
      <c r="L257" s="49"/>
    </row>
    <row r="258" spans="10:12" ht="15" customHeight="1" x14ac:dyDescent="0.25">
      <c r="J258" s="48"/>
      <c r="K258" s="17"/>
      <c r="L258" s="49"/>
    </row>
    <row r="259" spans="10:12" ht="15" customHeight="1" x14ac:dyDescent="0.25">
      <c r="J259" s="48"/>
      <c r="K259" s="17"/>
      <c r="L259" s="49"/>
    </row>
    <row r="260" spans="10:12" ht="15" customHeight="1" x14ac:dyDescent="0.25">
      <c r="J260" s="48"/>
      <c r="K260" s="17"/>
      <c r="L260" s="49"/>
    </row>
    <row r="261" spans="10:12" ht="15" customHeight="1" x14ac:dyDescent="0.25">
      <c r="J261" s="48"/>
      <c r="K261" s="17"/>
      <c r="L261" s="49"/>
    </row>
    <row r="262" spans="10:12" ht="15" customHeight="1" x14ac:dyDescent="0.25">
      <c r="J262" s="48"/>
      <c r="K262" s="17"/>
      <c r="L262" s="49"/>
    </row>
    <row r="263" spans="10:12" ht="15" customHeight="1" x14ac:dyDescent="0.25">
      <c r="J263" s="48"/>
      <c r="K263" s="17"/>
      <c r="L263" s="49"/>
    </row>
    <row r="264" spans="10:12" ht="15" customHeight="1" x14ac:dyDescent="0.25">
      <c r="J264" s="48"/>
      <c r="K264" s="17"/>
      <c r="L264" s="49"/>
    </row>
    <row r="265" spans="10:12" ht="15" customHeight="1" x14ac:dyDescent="0.25">
      <c r="J265" s="48"/>
      <c r="K265" s="17"/>
      <c r="L265" s="49"/>
    </row>
    <row r="266" spans="10:12" ht="15" customHeight="1" x14ac:dyDescent="0.25">
      <c r="J266" s="48"/>
      <c r="K266" s="17"/>
      <c r="L266" s="49"/>
    </row>
    <row r="267" spans="10:12" ht="15" customHeight="1" x14ac:dyDescent="0.25">
      <c r="J267" s="48"/>
      <c r="K267" s="17"/>
      <c r="L267" s="49"/>
    </row>
    <row r="268" spans="10:12" ht="15" customHeight="1" x14ac:dyDescent="0.25">
      <c r="J268" s="48"/>
      <c r="K268" s="17"/>
      <c r="L268" s="49"/>
    </row>
    <row r="269" spans="10:12" ht="15" customHeight="1" x14ac:dyDescent="0.25">
      <c r="J269" s="48"/>
      <c r="K269" s="17"/>
      <c r="L269" s="49"/>
    </row>
    <row r="270" spans="10:12" ht="15" customHeight="1" x14ac:dyDescent="0.25">
      <c r="J270" s="48"/>
      <c r="K270" s="17"/>
      <c r="L270" s="49"/>
    </row>
    <row r="271" spans="10:12" ht="15" customHeight="1" x14ac:dyDescent="0.25">
      <c r="J271" s="48"/>
      <c r="K271" s="17"/>
      <c r="L271" s="49"/>
    </row>
    <row r="272" spans="10:12" ht="15" customHeight="1" x14ac:dyDescent="0.25">
      <c r="J272" s="48"/>
      <c r="K272" s="17"/>
      <c r="L272" s="49"/>
    </row>
    <row r="273" spans="10:12" ht="15" customHeight="1" x14ac:dyDescent="0.25">
      <c r="J273" s="48"/>
      <c r="K273" s="17"/>
      <c r="L273" s="49"/>
    </row>
    <row r="274" spans="10:12" ht="15" customHeight="1" x14ac:dyDescent="0.25">
      <c r="J274" s="48"/>
      <c r="K274" s="17"/>
      <c r="L274" s="49"/>
    </row>
    <row r="275" spans="10:12" ht="15" customHeight="1" x14ac:dyDescent="0.25">
      <c r="J275" s="48"/>
      <c r="K275" s="17"/>
      <c r="L275" s="49"/>
    </row>
    <row r="276" spans="10:12" ht="15" customHeight="1" x14ac:dyDescent="0.25">
      <c r="J276" s="48"/>
      <c r="K276" s="17"/>
      <c r="L276" s="49"/>
    </row>
    <row r="277" spans="10:12" ht="15" customHeight="1" x14ac:dyDescent="0.25">
      <c r="J277" s="48"/>
      <c r="K277" s="17"/>
      <c r="L277" s="49"/>
    </row>
    <row r="278" spans="10:12" ht="15" customHeight="1" x14ac:dyDescent="0.25">
      <c r="J278" s="48"/>
      <c r="K278" s="17"/>
      <c r="L278" s="49"/>
    </row>
    <row r="279" spans="10:12" ht="15" customHeight="1" x14ac:dyDescent="0.25">
      <c r="J279" s="48"/>
      <c r="K279" s="17"/>
      <c r="L279" s="49"/>
    </row>
    <row r="280" spans="10:12" ht="15" customHeight="1" x14ac:dyDescent="0.25">
      <c r="J280" s="48"/>
      <c r="K280" s="17"/>
      <c r="L280" s="49"/>
    </row>
    <row r="281" spans="10:12" ht="15" customHeight="1" x14ac:dyDescent="0.25">
      <c r="J281" s="48"/>
      <c r="K281" s="17"/>
      <c r="L281" s="49"/>
    </row>
    <row r="282" spans="10:12" ht="15" customHeight="1" x14ac:dyDescent="0.25">
      <c r="J282" s="48"/>
      <c r="K282" s="17"/>
      <c r="L282" s="49"/>
    </row>
    <row r="283" spans="10:12" ht="15" customHeight="1" x14ac:dyDescent="0.25">
      <c r="J283" s="48"/>
      <c r="K283" s="17"/>
      <c r="L283" s="49"/>
    </row>
    <row r="284" spans="10:12" ht="15" customHeight="1" x14ac:dyDescent="0.25">
      <c r="J284" s="48"/>
      <c r="K284" s="17"/>
      <c r="L284" s="49"/>
    </row>
    <row r="285" spans="10:12" ht="15" customHeight="1" x14ac:dyDescent="0.25">
      <c r="J285" s="48"/>
      <c r="K285" s="17"/>
      <c r="L285" s="49"/>
    </row>
    <row r="286" spans="10:12" ht="15" customHeight="1" x14ac:dyDescent="0.25">
      <c r="J286" s="48"/>
      <c r="K286" s="17"/>
      <c r="L286" s="49"/>
    </row>
    <row r="287" spans="10:12" ht="15" customHeight="1" x14ac:dyDescent="0.25">
      <c r="J287" s="48"/>
      <c r="K287" s="17"/>
      <c r="L287" s="49"/>
    </row>
    <row r="288" spans="10:12" ht="15" customHeight="1" x14ac:dyDescent="0.25">
      <c r="J288" s="48"/>
      <c r="K288" s="17"/>
      <c r="L288" s="49"/>
    </row>
    <row r="289" spans="10:12" ht="15" customHeight="1" x14ac:dyDescent="0.25">
      <c r="J289" s="48"/>
      <c r="K289" s="17"/>
      <c r="L289" s="49"/>
    </row>
    <row r="290" spans="10:12" ht="15" customHeight="1" x14ac:dyDescent="0.25">
      <c r="J290" s="48"/>
      <c r="K290" s="17"/>
      <c r="L290" s="49"/>
    </row>
    <row r="291" spans="10:12" ht="15" customHeight="1" x14ac:dyDescent="0.25">
      <c r="J291" s="48"/>
      <c r="K291" s="17"/>
      <c r="L291" s="49"/>
    </row>
    <row r="292" spans="10:12" ht="15" customHeight="1" x14ac:dyDescent="0.25">
      <c r="J292" s="48"/>
      <c r="K292" s="17"/>
      <c r="L292" s="49"/>
    </row>
    <row r="293" spans="10:12" ht="15" customHeight="1" x14ac:dyDescent="0.25">
      <c r="J293" s="48"/>
      <c r="K293" s="17"/>
      <c r="L293" s="49"/>
    </row>
    <row r="294" spans="10:12" ht="15" customHeight="1" x14ac:dyDescent="0.25">
      <c r="J294" s="48"/>
      <c r="K294" s="17"/>
      <c r="L294" s="49"/>
    </row>
    <row r="295" spans="10:12" ht="15" customHeight="1" x14ac:dyDescent="0.25">
      <c r="J295" s="48"/>
      <c r="K295" s="17"/>
      <c r="L295" s="49"/>
    </row>
    <row r="296" spans="10:12" ht="15" customHeight="1" x14ac:dyDescent="0.25">
      <c r="J296" s="48"/>
      <c r="K296" s="17"/>
      <c r="L296" s="49"/>
    </row>
    <row r="297" spans="10:12" ht="15" customHeight="1" x14ac:dyDescent="0.25">
      <c r="J297" s="48"/>
      <c r="K297" s="17"/>
      <c r="L297" s="49"/>
    </row>
    <row r="298" spans="10:12" ht="15" customHeight="1" x14ac:dyDescent="0.25">
      <c r="J298" s="48"/>
      <c r="K298" s="17"/>
      <c r="L298" s="49"/>
    </row>
    <row r="299" spans="10:12" ht="15" customHeight="1" x14ac:dyDescent="0.25">
      <c r="J299" s="48"/>
      <c r="K299" s="17"/>
      <c r="L299" s="49"/>
    </row>
    <row r="300" spans="10:12" ht="15" customHeight="1" x14ac:dyDescent="0.25">
      <c r="J300" s="48"/>
      <c r="K300" s="17"/>
      <c r="L300" s="49"/>
    </row>
    <row r="301" spans="10:12" ht="15" customHeight="1" x14ac:dyDescent="0.25">
      <c r="J301" s="48"/>
      <c r="K301" s="17"/>
      <c r="L301" s="49"/>
    </row>
    <row r="302" spans="10:12" ht="15" customHeight="1" x14ac:dyDescent="0.25">
      <c r="J302" s="48"/>
      <c r="K302" s="17"/>
      <c r="L302" s="49"/>
    </row>
    <row r="303" spans="10:12" ht="15" customHeight="1" x14ac:dyDescent="0.25">
      <c r="J303" s="48"/>
      <c r="K303" s="17"/>
      <c r="L303" s="49"/>
    </row>
    <row r="304" spans="10:12" ht="15" customHeight="1" x14ac:dyDescent="0.25">
      <c r="J304" s="48"/>
      <c r="K304" s="17"/>
      <c r="L304" s="49"/>
    </row>
    <row r="305" spans="10:12" ht="15" customHeight="1" x14ac:dyDescent="0.25">
      <c r="J305" s="48"/>
      <c r="K305" s="17"/>
      <c r="L305" s="49"/>
    </row>
    <row r="306" spans="10:12" ht="15" customHeight="1" x14ac:dyDescent="0.25">
      <c r="J306" s="48"/>
      <c r="K306" s="17"/>
      <c r="L306" s="49"/>
    </row>
    <row r="307" spans="10:12" ht="15" customHeight="1" x14ac:dyDescent="0.25">
      <c r="J307" s="48"/>
      <c r="K307" s="17"/>
      <c r="L307" s="49"/>
    </row>
    <row r="308" spans="10:12" ht="15" customHeight="1" x14ac:dyDescent="0.25">
      <c r="J308" s="48"/>
      <c r="K308" s="17"/>
      <c r="L308" s="49"/>
    </row>
    <row r="309" spans="10:12" ht="15" customHeight="1" x14ac:dyDescent="0.25">
      <c r="J309" s="48"/>
      <c r="K309" s="17"/>
      <c r="L309" s="49"/>
    </row>
    <row r="310" spans="10:12" ht="15" customHeight="1" x14ac:dyDescent="0.25">
      <c r="J310" s="48"/>
      <c r="K310" s="17"/>
      <c r="L310" s="49"/>
    </row>
    <row r="311" spans="10:12" ht="15" customHeight="1" x14ac:dyDescent="0.25">
      <c r="J311" s="48"/>
      <c r="K311" s="17"/>
      <c r="L311" s="49"/>
    </row>
    <row r="312" spans="10:12" ht="15" customHeight="1" x14ac:dyDescent="0.25">
      <c r="J312" s="48"/>
      <c r="K312" s="17"/>
      <c r="L312" s="49"/>
    </row>
    <row r="313" spans="10:12" ht="15" customHeight="1" x14ac:dyDescent="0.25">
      <c r="J313" s="48"/>
      <c r="K313" s="17"/>
      <c r="L313" s="49"/>
    </row>
    <row r="314" spans="10:12" ht="15" customHeight="1" x14ac:dyDescent="0.25">
      <c r="J314" s="48"/>
      <c r="K314" s="17"/>
      <c r="L314" s="49"/>
    </row>
    <row r="315" spans="10:12" ht="15" customHeight="1" x14ac:dyDescent="0.25">
      <c r="J315" s="48"/>
      <c r="K315" s="17"/>
      <c r="L315" s="49"/>
    </row>
    <row r="316" spans="10:12" ht="15" customHeight="1" x14ac:dyDescent="0.25">
      <c r="J316" s="48"/>
      <c r="K316" s="17"/>
      <c r="L316" s="49"/>
    </row>
    <row r="317" spans="10:12" ht="15" customHeight="1" x14ac:dyDescent="0.25">
      <c r="J317" s="48"/>
      <c r="K317" s="17"/>
      <c r="L317" s="49"/>
    </row>
    <row r="318" spans="10:12" ht="15" customHeight="1" x14ac:dyDescent="0.25">
      <c r="J318" s="48"/>
      <c r="K318" s="17"/>
      <c r="L318" s="49"/>
    </row>
    <row r="319" spans="10:12" ht="15" customHeight="1" x14ac:dyDescent="0.25">
      <c r="J319" s="48"/>
      <c r="K319" s="17"/>
      <c r="L319" s="49"/>
    </row>
    <row r="320" spans="10:12" ht="15" customHeight="1" x14ac:dyDescent="0.25">
      <c r="J320" s="16"/>
      <c r="K320" s="17"/>
      <c r="L320" s="49"/>
    </row>
    <row r="321" spans="10:12" ht="15" customHeight="1" x14ac:dyDescent="0.25">
      <c r="J321" s="16"/>
      <c r="K321" s="17"/>
      <c r="L321" s="49"/>
    </row>
    <row r="322" spans="10:12" ht="15" customHeight="1" x14ac:dyDescent="0.25">
      <c r="J322" s="16"/>
      <c r="K322" s="17"/>
      <c r="L322" s="49"/>
    </row>
    <row r="323" spans="10:12" ht="15" customHeight="1" x14ac:dyDescent="0.25">
      <c r="J323" s="16"/>
      <c r="K323" s="17"/>
      <c r="L323" s="49"/>
    </row>
    <row r="324" spans="10:12" ht="15" customHeight="1" x14ac:dyDescent="0.25">
      <c r="J324" s="16"/>
      <c r="K324" s="17"/>
      <c r="L324" s="49"/>
    </row>
    <row r="325" spans="10:12" ht="15" customHeight="1" x14ac:dyDescent="0.25">
      <c r="J325" s="16"/>
      <c r="K325" s="17"/>
      <c r="L325" s="49"/>
    </row>
    <row r="326" spans="10:12" ht="15" customHeight="1" x14ac:dyDescent="0.25">
      <c r="J326" s="16"/>
      <c r="K326" s="17"/>
      <c r="L326" s="49"/>
    </row>
    <row r="327" spans="10:12" ht="15" customHeight="1" x14ac:dyDescent="0.25">
      <c r="J327" s="16"/>
      <c r="K327" s="17"/>
      <c r="L327" s="49"/>
    </row>
    <row r="328" spans="10:12" ht="15" customHeight="1" x14ac:dyDescent="0.25">
      <c r="J328" s="16"/>
      <c r="K328" s="17"/>
      <c r="L328" s="49"/>
    </row>
    <row r="329" spans="10:12" ht="15" customHeight="1" x14ac:dyDescent="0.25">
      <c r="J329" s="16"/>
      <c r="K329" s="17"/>
      <c r="L329" s="49"/>
    </row>
    <row r="330" spans="10:12" ht="15" customHeight="1" x14ac:dyDescent="0.25">
      <c r="J330" s="16"/>
      <c r="K330" s="17"/>
      <c r="L330" s="49"/>
    </row>
    <row r="331" spans="10:12" ht="15" customHeight="1" x14ac:dyDescent="0.25">
      <c r="J331" s="16"/>
      <c r="K331" s="17"/>
      <c r="L331" s="49"/>
    </row>
    <row r="332" spans="10:12" ht="15" customHeight="1" x14ac:dyDescent="0.25">
      <c r="J332" s="16"/>
      <c r="K332" s="17"/>
      <c r="L332" s="49"/>
    </row>
    <row r="333" spans="10:12" ht="15" customHeight="1" x14ac:dyDescent="0.25">
      <c r="J333" s="16"/>
      <c r="K333" s="17"/>
      <c r="L333" s="49"/>
    </row>
    <row r="334" spans="10:12" ht="15" customHeight="1" x14ac:dyDescent="0.25">
      <c r="J334" s="16"/>
      <c r="K334" s="17"/>
      <c r="L334" s="49"/>
    </row>
    <row r="335" spans="10:12" ht="15" customHeight="1" x14ac:dyDescent="0.25">
      <c r="J335" s="16"/>
      <c r="K335" s="17"/>
      <c r="L335" s="49"/>
    </row>
    <row r="336" spans="10:12" ht="15" customHeight="1" x14ac:dyDescent="0.25">
      <c r="J336" s="16"/>
      <c r="K336" s="17"/>
      <c r="L336" s="49"/>
    </row>
    <row r="337" spans="10:12" ht="15" customHeight="1" x14ac:dyDescent="0.25">
      <c r="J337" s="16"/>
      <c r="K337" s="17"/>
      <c r="L337" s="49"/>
    </row>
    <row r="338" spans="10:12" ht="15" customHeight="1" x14ac:dyDescent="0.25">
      <c r="J338" s="16"/>
      <c r="K338" s="17"/>
      <c r="L338" s="49"/>
    </row>
    <row r="339" spans="10:12" ht="15" customHeight="1" x14ac:dyDescent="0.25">
      <c r="J339" s="16"/>
      <c r="K339" s="17"/>
      <c r="L339" s="49"/>
    </row>
    <row r="340" spans="10:12" ht="15" customHeight="1" x14ac:dyDescent="0.25">
      <c r="J340" s="16"/>
      <c r="K340" s="17"/>
      <c r="L340" s="49"/>
    </row>
    <row r="341" spans="10:12" ht="15" customHeight="1" x14ac:dyDescent="0.25">
      <c r="J341" s="16"/>
      <c r="K341" s="17"/>
      <c r="L341" s="49"/>
    </row>
    <row r="342" spans="10:12" ht="15" customHeight="1" x14ac:dyDescent="0.25">
      <c r="J342" s="16"/>
      <c r="K342" s="17"/>
      <c r="L342" s="49"/>
    </row>
    <row r="343" spans="10:12" ht="15" customHeight="1" x14ac:dyDescent="0.25">
      <c r="J343" s="16"/>
      <c r="K343" s="17"/>
      <c r="L343" s="49"/>
    </row>
    <row r="344" spans="10:12" ht="15" customHeight="1" x14ac:dyDescent="0.25">
      <c r="J344" s="16"/>
      <c r="K344" s="17"/>
      <c r="L344" s="49"/>
    </row>
    <row r="345" spans="10:12" ht="15" customHeight="1" x14ac:dyDescent="0.25">
      <c r="J345" s="16"/>
      <c r="K345" s="17"/>
      <c r="L345" s="49"/>
    </row>
    <row r="346" spans="10:12" ht="15" customHeight="1" x14ac:dyDescent="0.25">
      <c r="J346" s="16"/>
      <c r="K346" s="17"/>
      <c r="L346" s="49"/>
    </row>
    <row r="347" spans="10:12" ht="15" customHeight="1" x14ac:dyDescent="0.25">
      <c r="J347" s="16"/>
      <c r="K347" s="17"/>
      <c r="L347" s="49"/>
    </row>
    <row r="348" spans="10:12" ht="15" customHeight="1" x14ac:dyDescent="0.25">
      <c r="J348" s="16"/>
      <c r="K348" s="17"/>
      <c r="L348" s="49"/>
    </row>
    <row r="349" spans="10:12" ht="15" customHeight="1" x14ac:dyDescent="0.25">
      <c r="J349" s="16"/>
      <c r="K349" s="17"/>
      <c r="L349" s="49"/>
    </row>
    <row r="350" spans="10:12" ht="15" customHeight="1" x14ac:dyDescent="0.25">
      <c r="J350" s="16"/>
      <c r="K350" s="17"/>
      <c r="L350" s="49"/>
    </row>
    <row r="351" spans="10:12" ht="15" customHeight="1" x14ac:dyDescent="0.25">
      <c r="J351" s="16"/>
      <c r="K351" s="17"/>
      <c r="L351" s="49"/>
    </row>
    <row r="352" spans="10:12" ht="15" customHeight="1" x14ac:dyDescent="0.25">
      <c r="J352" s="16"/>
      <c r="K352" s="17"/>
      <c r="L352" s="49"/>
    </row>
    <row r="353" spans="10:12" ht="15" customHeight="1" x14ac:dyDescent="0.25">
      <c r="J353" s="16"/>
      <c r="K353" s="17"/>
      <c r="L353" s="49"/>
    </row>
    <row r="354" spans="10:12" ht="15" customHeight="1" x14ac:dyDescent="0.25">
      <c r="J354" s="16"/>
      <c r="K354" s="17"/>
      <c r="L354" s="49"/>
    </row>
    <row r="355" spans="10:12" ht="15" customHeight="1" x14ac:dyDescent="0.25">
      <c r="J355" s="16"/>
      <c r="K355" s="17"/>
      <c r="L355" s="49"/>
    </row>
  </sheetData>
  <autoFilter ref="A5:R167" xr:uid="{00000000-0009-0000-0000-00000F000000}">
    <filterColumn colId="11" showButton="0"/>
  </autoFilter>
  <mergeCells count="21">
    <mergeCell ref="A2:F3"/>
    <mergeCell ref="G2:I3"/>
    <mergeCell ref="J2:L3"/>
    <mergeCell ref="M2:N3"/>
    <mergeCell ref="A1:N1"/>
    <mergeCell ref="O1:P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M5"/>
    <mergeCell ref="O2:P3"/>
    <mergeCell ref="O4:P5"/>
    <mergeCell ref="N4:N5"/>
  </mergeCells>
  <conditionalFormatting sqref="C37:E58 A7:A58 C7:E14 C13:C36 G7:I35 K7:M14 D60 G36:G58 C59:C83 C86 H36:I127">
    <cfRule type="expression" dxfId="7273" priority="1473">
      <formula>AND($A7&lt;&gt;"",MOD(ROW(),2))</formula>
    </cfRule>
  </conditionalFormatting>
  <conditionalFormatting sqref="D37:D58 D7:D14 K7:K14 D60">
    <cfRule type="cellIs" dxfId="7272" priority="1470" operator="equal">
      <formula>$C7</formula>
    </cfRule>
    <cfRule type="cellIs" dxfId="7271" priority="1471" operator="greaterThan">
      <formula>$C7</formula>
    </cfRule>
    <cfRule type="cellIs" dxfId="7270" priority="1472" operator="lessThan">
      <formula>$C7</formula>
    </cfRule>
  </conditionalFormatting>
  <conditionalFormatting sqref="K20:L24 K30:M59 K27:M28 K14:L15 M14:M24 K19:M23">
    <cfRule type="expression" dxfId="7269" priority="1449">
      <formula>AND($A13&lt;&gt;"",MOD(ROW(),2))</formula>
    </cfRule>
  </conditionalFormatting>
  <conditionalFormatting sqref="K30:K59 K27:K28 K14:K15 K19:K24">
    <cfRule type="cellIs" dxfId="7268" priority="1446" operator="equal">
      <formula>$C13</formula>
    </cfRule>
    <cfRule type="cellIs" dxfId="7267" priority="1447" operator="greaterThan">
      <formula>$C13</formula>
    </cfRule>
    <cfRule type="cellIs" dxfId="7266" priority="1448" operator="lessThan">
      <formula>$C13</formula>
    </cfRule>
  </conditionalFormatting>
  <conditionalFormatting sqref="K60:L63 K65:L85">
    <cfRule type="expression" dxfId="7265" priority="1445">
      <formula>AND($A59&lt;&gt;"",MOD(ROW(),2))</formula>
    </cfRule>
  </conditionalFormatting>
  <conditionalFormatting sqref="K60:K63 K65:K85">
    <cfRule type="cellIs" dxfId="7264" priority="1442" operator="equal">
      <formula>$C59</formula>
    </cfRule>
    <cfRule type="cellIs" dxfId="7263" priority="1443" operator="greaterThan">
      <formula>$C59</formula>
    </cfRule>
    <cfRule type="cellIs" dxfId="7262" priority="1444" operator="lessThan">
      <formula>$C59</formula>
    </cfRule>
  </conditionalFormatting>
  <conditionalFormatting sqref="K86:L111">
    <cfRule type="expression" dxfId="7261" priority="1441">
      <formula>AND($A85&lt;&gt;"",MOD(ROW(),2))</formula>
    </cfRule>
  </conditionalFormatting>
  <conditionalFormatting sqref="K86:K111">
    <cfRule type="cellIs" dxfId="7260" priority="1438" operator="equal">
      <formula>$C85</formula>
    </cfRule>
    <cfRule type="cellIs" dxfId="7259" priority="1439" operator="greaterThan">
      <formula>$C85</formula>
    </cfRule>
    <cfRule type="cellIs" dxfId="7258" priority="1440" operator="lessThan">
      <formula>$C85</formula>
    </cfRule>
  </conditionalFormatting>
  <conditionalFormatting sqref="K112:L114 K116:L137">
    <cfRule type="expression" dxfId="7257" priority="1437">
      <formula>AND($A111&lt;&gt;"",MOD(ROW(),2))</formula>
    </cfRule>
  </conditionalFormatting>
  <conditionalFormatting sqref="K112:K114 K116:K137">
    <cfRule type="cellIs" dxfId="7256" priority="1434" operator="equal">
      <formula>$C111</formula>
    </cfRule>
    <cfRule type="cellIs" dxfId="7255" priority="1435" operator="greaterThan">
      <formula>$C111</formula>
    </cfRule>
    <cfRule type="cellIs" dxfId="7254" priority="1436" operator="lessThan">
      <formula>$C111</formula>
    </cfRule>
  </conditionalFormatting>
  <conditionalFormatting sqref="K138:L163">
    <cfRule type="expression" dxfId="7253" priority="1433">
      <formula>AND($A137&lt;&gt;"",MOD(ROW(),2))</formula>
    </cfRule>
  </conditionalFormatting>
  <conditionalFormatting sqref="K138:K163">
    <cfRule type="cellIs" dxfId="7252" priority="1430" operator="equal">
      <formula>$C137</formula>
    </cfRule>
    <cfRule type="cellIs" dxfId="7251" priority="1431" operator="greaterThan">
      <formula>$C137</formula>
    </cfRule>
    <cfRule type="cellIs" dxfId="7250" priority="1432" operator="lessThan">
      <formula>$C137</formula>
    </cfRule>
  </conditionalFormatting>
  <conditionalFormatting sqref="K164:L189">
    <cfRule type="expression" dxfId="7249" priority="1429">
      <formula>AND($A163&lt;&gt;"",MOD(ROW(),2))</formula>
    </cfRule>
  </conditionalFormatting>
  <conditionalFormatting sqref="K164:K189">
    <cfRule type="cellIs" dxfId="7248" priority="1426" operator="equal">
      <formula>$C163</formula>
    </cfRule>
    <cfRule type="cellIs" dxfId="7247" priority="1427" operator="greaterThan">
      <formula>$C163</formula>
    </cfRule>
    <cfRule type="cellIs" dxfId="7246" priority="1428" operator="lessThan">
      <formula>$C163</formula>
    </cfRule>
  </conditionalFormatting>
  <conditionalFormatting sqref="K190:L215">
    <cfRule type="expression" dxfId="7245" priority="1425">
      <formula>AND($A189&lt;&gt;"",MOD(ROW(),2))</formula>
    </cfRule>
  </conditionalFormatting>
  <conditionalFormatting sqref="K190:K215">
    <cfRule type="cellIs" dxfId="7244" priority="1422" operator="equal">
      <formula>$C189</formula>
    </cfRule>
    <cfRule type="cellIs" dxfId="7243" priority="1423" operator="greaterThan">
      <formula>$C189</formula>
    </cfRule>
    <cfRule type="cellIs" dxfId="7242" priority="1424" operator="lessThan">
      <formula>$C189</formula>
    </cfRule>
  </conditionalFormatting>
  <conditionalFormatting sqref="K216:L241">
    <cfRule type="expression" dxfId="7241" priority="1421">
      <formula>AND($A215&lt;&gt;"",MOD(ROW(),2))</formula>
    </cfRule>
  </conditionalFormatting>
  <conditionalFormatting sqref="K216:K241">
    <cfRule type="cellIs" dxfId="7240" priority="1418" operator="equal">
      <formula>$C215</formula>
    </cfRule>
    <cfRule type="cellIs" dxfId="7239" priority="1419" operator="greaterThan">
      <formula>$C215</formula>
    </cfRule>
    <cfRule type="cellIs" dxfId="7238" priority="1420" operator="lessThan">
      <formula>$C215</formula>
    </cfRule>
  </conditionalFormatting>
  <conditionalFormatting sqref="K242:L267">
    <cfRule type="expression" dxfId="7237" priority="1417">
      <formula>AND($A241&lt;&gt;"",MOD(ROW(),2))</formula>
    </cfRule>
  </conditionalFormatting>
  <conditionalFormatting sqref="K242:K267">
    <cfRule type="cellIs" dxfId="7236" priority="1414" operator="equal">
      <formula>$C241</formula>
    </cfRule>
    <cfRule type="cellIs" dxfId="7235" priority="1415" operator="greaterThan">
      <formula>$C241</formula>
    </cfRule>
    <cfRule type="cellIs" dxfId="7234" priority="1416" operator="lessThan">
      <formula>$C241</formula>
    </cfRule>
  </conditionalFormatting>
  <conditionalFormatting sqref="K268:L293">
    <cfRule type="expression" dxfId="7233" priority="1413">
      <formula>AND($A267&lt;&gt;"",MOD(ROW(),2))</formula>
    </cfRule>
  </conditionalFormatting>
  <conditionalFormatting sqref="K268:K293">
    <cfRule type="cellIs" dxfId="7232" priority="1410" operator="equal">
      <formula>$C267</formula>
    </cfRule>
    <cfRule type="cellIs" dxfId="7231" priority="1411" operator="greaterThan">
      <formula>$C267</formula>
    </cfRule>
    <cfRule type="cellIs" dxfId="7230" priority="1412" operator="lessThan">
      <formula>$C267</formula>
    </cfRule>
  </conditionalFormatting>
  <conditionalFormatting sqref="K294:L319">
    <cfRule type="expression" dxfId="7229" priority="1409">
      <formula>AND($A293&lt;&gt;"",MOD(ROW(),2))</formula>
    </cfRule>
  </conditionalFormatting>
  <conditionalFormatting sqref="K294:K319">
    <cfRule type="cellIs" dxfId="7228" priority="1406" operator="equal">
      <formula>$C293</formula>
    </cfRule>
    <cfRule type="cellIs" dxfId="7227" priority="1407" operator="greaterThan">
      <formula>$C293</formula>
    </cfRule>
    <cfRule type="cellIs" dxfId="7226" priority="1408" operator="lessThan">
      <formula>$C293</formula>
    </cfRule>
  </conditionalFormatting>
  <conditionalFormatting sqref="F7:F14 F37:F127 F164:F2989">
    <cfRule type="containsText" dxfId="7225" priority="1405" operator="containsText" text="Unpaid Rent">
      <formula>NOT(ISERROR(SEARCH("Unpaid Rent",F7)))</formula>
    </cfRule>
    <cfRule type="containsText" dxfId="7224" priority="1450" stopIfTrue="1" operator="containsText" text="Closed Account">
      <formula>NOT(ISERROR(SEARCH("Closed Account",F7)))</formula>
    </cfRule>
  </conditionalFormatting>
  <conditionalFormatting sqref="M34:M59 L34:L63 L30:M33 L27:M28 M15:M19 L7:M15 L19:M24 L65:L319">
    <cfRule type="expression" dxfId="7223" priority="1468">
      <formula>AND(#REF!&lt;&gt;"",MOD(ROW(),2))</formula>
    </cfRule>
  </conditionalFormatting>
  <conditionalFormatting sqref="M34:M59 L34:L63 L30:M33 L27:M28 M15:M19 L7:M15 L19:M24 L65:L319">
    <cfRule type="expression" dxfId="7222" priority="1467">
      <formula>AND(#REF!&lt;&gt;"",MOD(ROW(),2))</formula>
    </cfRule>
  </conditionalFormatting>
  <conditionalFormatting sqref="M30:M59 M27:M28 M7:M24">
    <cfRule type="cellIs" dxfId="7221" priority="1463" operator="equal">
      <formula>#REF!</formula>
    </cfRule>
    <cfRule type="cellIs" dxfId="7220" priority="1464" operator="greaterThan">
      <formula>#REF!</formula>
    </cfRule>
    <cfRule type="cellIs" dxfId="7219" priority="1465" operator="lessThan">
      <formula>#REF!</formula>
    </cfRule>
  </conditionalFormatting>
  <conditionalFormatting sqref="K320:L322">
    <cfRule type="expression" dxfId="7218" priority="1399">
      <formula>AND($A319&lt;&gt;"",MOD(ROW(),2))</formula>
    </cfRule>
  </conditionalFormatting>
  <conditionalFormatting sqref="K320:K322">
    <cfRule type="cellIs" dxfId="7217" priority="1396" operator="equal">
      <formula>$C319</formula>
    </cfRule>
    <cfRule type="cellIs" dxfId="7216" priority="1397" operator="greaterThan">
      <formula>$C319</formula>
    </cfRule>
    <cfRule type="cellIs" dxfId="7215" priority="1398" operator="lessThan">
      <formula>$C319</formula>
    </cfRule>
  </conditionalFormatting>
  <conditionalFormatting sqref="L320:L322">
    <cfRule type="expression" dxfId="7214" priority="1401">
      <formula>AND(#REF!&lt;&gt;"",MOD(ROW(),2))</formula>
    </cfRule>
  </conditionalFormatting>
  <conditionalFormatting sqref="L320:L322">
    <cfRule type="expression" dxfId="7213" priority="1400">
      <formula>AND(#REF!&lt;&gt;"",MOD(ROW(),2))</formula>
    </cfRule>
  </conditionalFormatting>
  <conditionalFormatting sqref="K323:L325">
    <cfRule type="expression" dxfId="7212" priority="1393">
      <formula>AND($A322&lt;&gt;"",MOD(ROW(),2))</formula>
    </cfRule>
  </conditionalFormatting>
  <conditionalFormatting sqref="K323:K325">
    <cfRule type="cellIs" dxfId="7211" priority="1390" operator="equal">
      <formula>$C322</formula>
    </cfRule>
    <cfRule type="cellIs" dxfId="7210" priority="1391" operator="greaterThan">
      <formula>$C322</formula>
    </cfRule>
    <cfRule type="cellIs" dxfId="7209" priority="1392" operator="lessThan">
      <formula>$C322</formula>
    </cfRule>
  </conditionalFormatting>
  <conditionalFormatting sqref="L323:L325">
    <cfRule type="expression" dxfId="7208" priority="1395">
      <formula>AND(#REF!&lt;&gt;"",MOD(ROW(),2))</formula>
    </cfRule>
  </conditionalFormatting>
  <conditionalFormatting sqref="L323:L325">
    <cfRule type="expression" dxfId="7207" priority="1394">
      <formula>AND(#REF!&lt;&gt;"",MOD(ROW(),2))</formula>
    </cfRule>
  </conditionalFormatting>
  <conditionalFormatting sqref="K326:L328">
    <cfRule type="expression" dxfId="7206" priority="1387">
      <formula>AND($A325&lt;&gt;"",MOD(ROW(),2))</formula>
    </cfRule>
  </conditionalFormatting>
  <conditionalFormatting sqref="K326:K328">
    <cfRule type="cellIs" dxfId="7205" priority="1384" operator="equal">
      <formula>$C325</formula>
    </cfRule>
    <cfRule type="cellIs" dxfId="7204" priority="1385" operator="greaterThan">
      <formula>$C325</formula>
    </cfRule>
    <cfRule type="cellIs" dxfId="7203" priority="1386" operator="lessThan">
      <formula>$C325</formula>
    </cfRule>
  </conditionalFormatting>
  <conditionalFormatting sqref="L326:L328">
    <cfRule type="expression" dxfId="7202" priority="1389">
      <formula>AND(#REF!&lt;&gt;"",MOD(ROW(),2))</formula>
    </cfRule>
  </conditionalFormatting>
  <conditionalFormatting sqref="L326:L328">
    <cfRule type="expression" dxfId="7201" priority="1388">
      <formula>AND(#REF!&lt;&gt;"",MOD(ROW(),2))</formula>
    </cfRule>
  </conditionalFormatting>
  <conditionalFormatting sqref="K329:L331">
    <cfRule type="expression" dxfId="7200" priority="1381">
      <formula>AND($A328&lt;&gt;"",MOD(ROW(),2))</formula>
    </cfRule>
  </conditionalFormatting>
  <conditionalFormatting sqref="K329:K331">
    <cfRule type="cellIs" dxfId="7199" priority="1378" operator="equal">
      <formula>$C328</formula>
    </cfRule>
    <cfRule type="cellIs" dxfId="7198" priority="1379" operator="greaterThan">
      <formula>$C328</formula>
    </cfRule>
    <cfRule type="cellIs" dxfId="7197" priority="1380" operator="lessThan">
      <formula>$C328</formula>
    </cfRule>
  </conditionalFormatting>
  <conditionalFormatting sqref="L329:L331">
    <cfRule type="expression" dxfId="7196" priority="1383">
      <formula>AND(#REF!&lt;&gt;"",MOD(ROW(),2))</formula>
    </cfRule>
  </conditionalFormatting>
  <conditionalFormatting sqref="L329:L331">
    <cfRule type="expression" dxfId="7195" priority="1382">
      <formula>AND(#REF!&lt;&gt;"",MOD(ROW(),2))</formula>
    </cfRule>
  </conditionalFormatting>
  <conditionalFormatting sqref="K332:L334">
    <cfRule type="expression" dxfId="7194" priority="1375">
      <formula>AND($A331&lt;&gt;"",MOD(ROW(),2))</formula>
    </cfRule>
  </conditionalFormatting>
  <conditionalFormatting sqref="K332:K334">
    <cfRule type="cellIs" dxfId="7193" priority="1372" operator="equal">
      <formula>$C331</formula>
    </cfRule>
    <cfRule type="cellIs" dxfId="7192" priority="1373" operator="greaterThan">
      <formula>$C331</formula>
    </cfRule>
    <cfRule type="cellIs" dxfId="7191" priority="1374" operator="lessThan">
      <formula>$C331</formula>
    </cfRule>
  </conditionalFormatting>
  <conditionalFormatting sqref="L332:L334">
    <cfRule type="expression" dxfId="7190" priority="1377">
      <formula>AND(#REF!&lt;&gt;"",MOD(ROW(),2))</formula>
    </cfRule>
  </conditionalFormatting>
  <conditionalFormatting sqref="L332:L334">
    <cfRule type="expression" dxfId="7189" priority="1376">
      <formula>AND(#REF!&lt;&gt;"",MOD(ROW(),2))</formula>
    </cfRule>
  </conditionalFormatting>
  <conditionalFormatting sqref="K335:L337">
    <cfRule type="expression" dxfId="7188" priority="1369">
      <formula>AND($A334&lt;&gt;"",MOD(ROW(),2))</formula>
    </cfRule>
  </conditionalFormatting>
  <conditionalFormatting sqref="K335:K337">
    <cfRule type="cellIs" dxfId="7187" priority="1366" operator="equal">
      <formula>$C334</formula>
    </cfRule>
    <cfRule type="cellIs" dxfId="7186" priority="1367" operator="greaterThan">
      <formula>$C334</formula>
    </cfRule>
    <cfRule type="cellIs" dxfId="7185" priority="1368" operator="lessThan">
      <formula>$C334</formula>
    </cfRule>
  </conditionalFormatting>
  <conditionalFormatting sqref="L335:L337">
    <cfRule type="expression" dxfId="7184" priority="1371">
      <formula>AND(#REF!&lt;&gt;"",MOD(ROW(),2))</formula>
    </cfRule>
  </conditionalFormatting>
  <conditionalFormatting sqref="L335:L337">
    <cfRule type="expression" dxfId="7183" priority="1370">
      <formula>AND(#REF!&lt;&gt;"",MOD(ROW(),2))</formula>
    </cfRule>
  </conditionalFormatting>
  <conditionalFormatting sqref="K338:L340">
    <cfRule type="expression" dxfId="7182" priority="1363">
      <formula>AND($A337&lt;&gt;"",MOD(ROW(),2))</formula>
    </cfRule>
  </conditionalFormatting>
  <conditionalFormatting sqref="K338:K340">
    <cfRule type="cellIs" dxfId="7181" priority="1360" operator="equal">
      <formula>$C337</formula>
    </cfRule>
    <cfRule type="cellIs" dxfId="7180" priority="1361" operator="greaterThan">
      <formula>$C337</formula>
    </cfRule>
    <cfRule type="cellIs" dxfId="7179" priority="1362" operator="lessThan">
      <formula>$C337</formula>
    </cfRule>
  </conditionalFormatting>
  <conditionalFormatting sqref="L338:L340">
    <cfRule type="expression" dxfId="7178" priority="1365">
      <formula>AND(#REF!&lt;&gt;"",MOD(ROW(),2))</formula>
    </cfRule>
  </conditionalFormatting>
  <conditionalFormatting sqref="L338:L340">
    <cfRule type="expression" dxfId="7177" priority="1364">
      <formula>AND(#REF!&lt;&gt;"",MOD(ROW(),2))</formula>
    </cfRule>
  </conditionalFormatting>
  <conditionalFormatting sqref="K341:L343">
    <cfRule type="expression" dxfId="7176" priority="1357">
      <formula>AND($A340&lt;&gt;"",MOD(ROW(),2))</formula>
    </cfRule>
  </conditionalFormatting>
  <conditionalFormatting sqref="K341:K343">
    <cfRule type="cellIs" dxfId="7175" priority="1354" operator="equal">
      <formula>$C340</formula>
    </cfRule>
    <cfRule type="cellIs" dxfId="7174" priority="1355" operator="greaterThan">
      <formula>$C340</formula>
    </cfRule>
    <cfRule type="cellIs" dxfId="7173" priority="1356" operator="lessThan">
      <formula>$C340</formula>
    </cfRule>
  </conditionalFormatting>
  <conditionalFormatting sqref="L341:L343">
    <cfRule type="expression" dxfId="7172" priority="1359">
      <formula>AND(#REF!&lt;&gt;"",MOD(ROW(),2))</formula>
    </cfRule>
  </conditionalFormatting>
  <conditionalFormatting sqref="L341:L343">
    <cfRule type="expression" dxfId="7171" priority="1358">
      <formula>AND(#REF!&lt;&gt;"",MOD(ROW(),2))</formula>
    </cfRule>
  </conditionalFormatting>
  <conditionalFormatting sqref="K344:L346">
    <cfRule type="expression" dxfId="7170" priority="1351">
      <formula>AND($A343&lt;&gt;"",MOD(ROW(),2))</formula>
    </cfRule>
  </conditionalFormatting>
  <conditionalFormatting sqref="K344:K346">
    <cfRule type="cellIs" dxfId="7169" priority="1348" operator="equal">
      <formula>$C343</formula>
    </cfRule>
    <cfRule type="cellIs" dxfId="7168" priority="1349" operator="greaterThan">
      <formula>$C343</formula>
    </cfRule>
    <cfRule type="cellIs" dxfId="7167" priority="1350" operator="lessThan">
      <formula>$C343</formula>
    </cfRule>
  </conditionalFormatting>
  <conditionalFormatting sqref="L344:L346">
    <cfRule type="expression" dxfId="7166" priority="1353">
      <formula>AND(#REF!&lt;&gt;"",MOD(ROW(),2))</formula>
    </cfRule>
  </conditionalFormatting>
  <conditionalFormatting sqref="L344:L346">
    <cfRule type="expression" dxfId="7165" priority="1352">
      <formula>AND(#REF!&lt;&gt;"",MOD(ROW(),2))</formula>
    </cfRule>
  </conditionalFormatting>
  <conditionalFormatting sqref="K347:L349">
    <cfRule type="expression" dxfId="7164" priority="1345">
      <formula>AND($A346&lt;&gt;"",MOD(ROW(),2))</formula>
    </cfRule>
  </conditionalFormatting>
  <conditionalFormatting sqref="K347:K349">
    <cfRule type="cellIs" dxfId="7163" priority="1342" operator="equal">
      <formula>$C346</formula>
    </cfRule>
    <cfRule type="cellIs" dxfId="7162" priority="1343" operator="greaterThan">
      <formula>$C346</formula>
    </cfRule>
    <cfRule type="cellIs" dxfId="7161" priority="1344" operator="lessThan">
      <formula>$C346</formula>
    </cfRule>
  </conditionalFormatting>
  <conditionalFormatting sqref="L347:L349">
    <cfRule type="expression" dxfId="7160" priority="1347">
      <formula>AND(#REF!&lt;&gt;"",MOD(ROW(),2))</formula>
    </cfRule>
  </conditionalFormatting>
  <conditionalFormatting sqref="L347:L349">
    <cfRule type="expression" dxfId="7159" priority="1346">
      <formula>AND(#REF!&lt;&gt;"",MOD(ROW(),2))</formula>
    </cfRule>
  </conditionalFormatting>
  <conditionalFormatting sqref="K350:L352">
    <cfRule type="expression" dxfId="7158" priority="1339">
      <formula>AND($A349&lt;&gt;"",MOD(ROW(),2))</formula>
    </cfRule>
  </conditionalFormatting>
  <conditionalFormatting sqref="K350:K352">
    <cfRule type="cellIs" dxfId="7157" priority="1336" operator="equal">
      <formula>$C349</formula>
    </cfRule>
    <cfRule type="cellIs" dxfId="7156" priority="1337" operator="greaterThan">
      <formula>$C349</formula>
    </cfRule>
    <cfRule type="cellIs" dxfId="7155" priority="1338" operator="lessThan">
      <formula>$C349</formula>
    </cfRule>
  </conditionalFormatting>
  <conditionalFormatting sqref="L350:L352">
    <cfRule type="expression" dxfId="7154" priority="1341">
      <formula>AND(#REF!&lt;&gt;"",MOD(ROW(),2))</formula>
    </cfRule>
  </conditionalFormatting>
  <conditionalFormatting sqref="L350:L352">
    <cfRule type="expression" dxfId="7153" priority="1340">
      <formula>AND(#REF!&lt;&gt;"",MOD(ROW(),2))</formula>
    </cfRule>
  </conditionalFormatting>
  <conditionalFormatting sqref="K353:L355">
    <cfRule type="expression" dxfId="7152" priority="1333">
      <formula>AND($A352&lt;&gt;"",MOD(ROW(),2))</formula>
    </cfRule>
  </conditionalFormatting>
  <conditionalFormatting sqref="K353:K355">
    <cfRule type="cellIs" dxfId="7151" priority="1330" operator="equal">
      <formula>$C352</formula>
    </cfRule>
    <cfRule type="cellIs" dxfId="7150" priority="1331" operator="greaterThan">
      <formula>$C352</formula>
    </cfRule>
    <cfRule type="cellIs" dxfId="7149" priority="1332" operator="lessThan">
      <formula>$C352</formula>
    </cfRule>
  </conditionalFormatting>
  <conditionalFormatting sqref="L353:L355">
    <cfRule type="expression" dxfId="7148" priority="1335">
      <formula>AND(#REF!&lt;&gt;"",MOD(ROW(),2))</formula>
    </cfRule>
  </conditionalFormatting>
  <conditionalFormatting sqref="L353:L355">
    <cfRule type="expression" dxfId="7147" priority="1334">
      <formula>AND(#REF!&lt;&gt;"",MOD(ROW(),2))</formula>
    </cfRule>
  </conditionalFormatting>
  <conditionalFormatting sqref="K15:L19">
    <cfRule type="expression" dxfId="7146" priority="1318">
      <formula>AND($A14&lt;&gt;"",MOD(ROW(),2))</formula>
    </cfRule>
  </conditionalFormatting>
  <conditionalFormatting sqref="K15:K19">
    <cfRule type="cellIs" dxfId="7145" priority="1313" operator="equal">
      <formula>$C14</formula>
    </cfRule>
    <cfRule type="cellIs" dxfId="7144" priority="1314" operator="greaterThan">
      <formula>$C14</formula>
    </cfRule>
    <cfRule type="cellIs" dxfId="7143" priority="1315" operator="lessThan">
      <formula>$C14</formula>
    </cfRule>
  </conditionalFormatting>
  <conditionalFormatting sqref="L15:L19">
    <cfRule type="expression" dxfId="7142" priority="1317">
      <formula>AND(#REF!&lt;&gt;"",MOD(ROW(),2))</formula>
    </cfRule>
  </conditionalFormatting>
  <conditionalFormatting sqref="L15:L19">
    <cfRule type="expression" dxfId="7141" priority="1316">
      <formula>AND(#REF!&lt;&gt;"",MOD(ROW(),2))</formula>
    </cfRule>
  </conditionalFormatting>
  <conditionalFormatting sqref="D13:E13">
    <cfRule type="expression" dxfId="7140" priority="1168">
      <formula>AND($A13&lt;&gt;"",MOD(ROW(),2))</formula>
    </cfRule>
  </conditionalFormatting>
  <conditionalFormatting sqref="D13">
    <cfRule type="cellIs" dxfId="7139" priority="1165" operator="equal">
      <formula>$C13</formula>
    </cfRule>
    <cfRule type="cellIs" dxfId="7138" priority="1166" operator="greaterThan">
      <formula>$C13</formula>
    </cfRule>
    <cfRule type="cellIs" dxfId="7137" priority="1167" operator="lessThan">
      <formula>$C13</formula>
    </cfRule>
  </conditionalFormatting>
  <conditionalFormatting sqref="D14:E14">
    <cfRule type="expression" dxfId="7136" priority="1162">
      <formula>AND($A14&lt;&gt;"",MOD(ROW(),2))</formula>
    </cfRule>
  </conditionalFormatting>
  <conditionalFormatting sqref="D14">
    <cfRule type="cellIs" dxfId="7135" priority="1159" operator="equal">
      <formula>$C14</formula>
    </cfRule>
    <cfRule type="cellIs" dxfId="7134" priority="1160" operator="greaterThan">
      <formula>$C14</formula>
    </cfRule>
    <cfRule type="cellIs" dxfId="7133" priority="1161" operator="lessThan">
      <formula>$C14</formula>
    </cfRule>
  </conditionalFormatting>
  <conditionalFormatting sqref="D15:E15">
    <cfRule type="expression" dxfId="7132" priority="1158">
      <formula>AND($A15&lt;&gt;"",MOD(ROW(),2))</formula>
    </cfRule>
  </conditionalFormatting>
  <conditionalFormatting sqref="D15">
    <cfRule type="cellIs" dxfId="7131" priority="1155" operator="equal">
      <formula>$C15</formula>
    </cfRule>
    <cfRule type="cellIs" dxfId="7130" priority="1156" operator="greaterThan">
      <formula>$C15</formula>
    </cfRule>
    <cfRule type="cellIs" dxfId="7129" priority="1157" operator="lessThan">
      <formula>$C15</formula>
    </cfRule>
  </conditionalFormatting>
  <conditionalFormatting sqref="D16:E16">
    <cfRule type="expression" dxfId="7128" priority="1154">
      <formula>AND($A16&lt;&gt;"",MOD(ROW(),2))</formula>
    </cfRule>
  </conditionalFormatting>
  <conditionalFormatting sqref="D16">
    <cfRule type="cellIs" dxfId="7127" priority="1151" operator="equal">
      <formula>$C16</formula>
    </cfRule>
    <cfRule type="cellIs" dxfId="7126" priority="1152" operator="greaterThan">
      <formula>$C16</formula>
    </cfRule>
    <cfRule type="cellIs" dxfId="7125" priority="1153" operator="lessThan">
      <formula>$C16</formula>
    </cfRule>
  </conditionalFormatting>
  <conditionalFormatting sqref="D17:E17">
    <cfRule type="expression" dxfId="7124" priority="1150">
      <formula>AND($A17&lt;&gt;"",MOD(ROW(),2))</formula>
    </cfRule>
  </conditionalFormatting>
  <conditionalFormatting sqref="D17">
    <cfRule type="cellIs" dxfId="7123" priority="1147" operator="equal">
      <formula>$C17</formula>
    </cfRule>
    <cfRule type="cellIs" dxfId="7122" priority="1148" operator="greaterThan">
      <formula>$C17</formula>
    </cfRule>
    <cfRule type="cellIs" dxfId="7121" priority="1149" operator="lessThan">
      <formula>$C17</formula>
    </cfRule>
  </conditionalFormatting>
  <conditionalFormatting sqref="D18:E18">
    <cfRule type="expression" dxfId="7120" priority="1146">
      <formula>AND($A18&lt;&gt;"",MOD(ROW(),2))</formula>
    </cfRule>
  </conditionalFormatting>
  <conditionalFormatting sqref="D18">
    <cfRule type="cellIs" dxfId="7119" priority="1143" operator="equal">
      <formula>$C18</formula>
    </cfRule>
    <cfRule type="cellIs" dxfId="7118" priority="1144" operator="greaterThan">
      <formula>$C18</formula>
    </cfRule>
    <cfRule type="cellIs" dxfId="7117" priority="1145" operator="lessThan">
      <formula>$C18</formula>
    </cfRule>
  </conditionalFormatting>
  <conditionalFormatting sqref="D19:E19">
    <cfRule type="expression" dxfId="7116" priority="1142">
      <formula>AND($A19&lt;&gt;"",MOD(ROW(),2))</formula>
    </cfRule>
  </conditionalFormatting>
  <conditionalFormatting sqref="D19">
    <cfRule type="cellIs" dxfId="7115" priority="1139" operator="equal">
      <formula>$C19</formula>
    </cfRule>
    <cfRule type="cellIs" dxfId="7114" priority="1140" operator="greaterThan">
      <formula>$C19</formula>
    </cfRule>
    <cfRule type="cellIs" dxfId="7113" priority="1141" operator="lessThan">
      <formula>$C19</formula>
    </cfRule>
  </conditionalFormatting>
  <conditionalFormatting sqref="D20:E20">
    <cfRule type="expression" dxfId="7112" priority="1138">
      <formula>AND($A20&lt;&gt;"",MOD(ROW(),2))</formula>
    </cfRule>
  </conditionalFormatting>
  <conditionalFormatting sqref="D20">
    <cfRule type="cellIs" dxfId="7111" priority="1135" operator="equal">
      <formula>$C20</formula>
    </cfRule>
    <cfRule type="cellIs" dxfId="7110" priority="1136" operator="greaterThan">
      <formula>$C20</formula>
    </cfRule>
    <cfRule type="cellIs" dxfId="7109" priority="1137" operator="lessThan">
      <formula>$C20</formula>
    </cfRule>
  </conditionalFormatting>
  <conditionalFormatting sqref="D21:E21">
    <cfRule type="expression" dxfId="7108" priority="1134">
      <formula>AND($A21&lt;&gt;"",MOD(ROW(),2))</formula>
    </cfRule>
  </conditionalFormatting>
  <conditionalFormatting sqref="D21">
    <cfRule type="cellIs" dxfId="7107" priority="1131" operator="equal">
      <formula>$C21</formula>
    </cfRule>
    <cfRule type="cellIs" dxfId="7106" priority="1132" operator="greaterThan">
      <formula>$C21</formula>
    </cfRule>
    <cfRule type="cellIs" dxfId="7105" priority="1133" operator="lessThan">
      <formula>$C21</formula>
    </cfRule>
  </conditionalFormatting>
  <conditionalFormatting sqref="D22:E22">
    <cfRule type="expression" dxfId="7104" priority="1130">
      <formula>AND($A22&lt;&gt;"",MOD(ROW(),2))</formula>
    </cfRule>
  </conditionalFormatting>
  <conditionalFormatting sqref="D22">
    <cfRule type="cellIs" dxfId="7103" priority="1127" operator="equal">
      <formula>$C22</formula>
    </cfRule>
    <cfRule type="cellIs" dxfId="7102" priority="1128" operator="greaterThan">
      <formula>$C22</formula>
    </cfRule>
    <cfRule type="cellIs" dxfId="7101" priority="1129" operator="lessThan">
      <formula>$C22</formula>
    </cfRule>
  </conditionalFormatting>
  <conditionalFormatting sqref="D23:E23">
    <cfRule type="expression" dxfId="7100" priority="1126">
      <formula>AND($A23&lt;&gt;"",MOD(ROW(),2))</formula>
    </cfRule>
  </conditionalFormatting>
  <conditionalFormatting sqref="D23">
    <cfRule type="cellIs" dxfId="7099" priority="1123" operator="equal">
      <formula>$C23</formula>
    </cfRule>
    <cfRule type="cellIs" dxfId="7098" priority="1124" operator="greaterThan">
      <formula>$C23</formula>
    </cfRule>
    <cfRule type="cellIs" dxfId="7097" priority="1125" operator="lessThan">
      <formula>$C23</formula>
    </cfRule>
  </conditionalFormatting>
  <conditionalFormatting sqref="D24:E24">
    <cfRule type="expression" dxfId="7096" priority="1122">
      <formula>AND($A24&lt;&gt;"",MOD(ROW(),2))</formula>
    </cfRule>
  </conditionalFormatting>
  <conditionalFormatting sqref="D24">
    <cfRule type="cellIs" dxfId="7095" priority="1119" operator="equal">
      <formula>$C24</formula>
    </cfRule>
    <cfRule type="cellIs" dxfId="7094" priority="1120" operator="greaterThan">
      <formula>$C24</formula>
    </cfRule>
    <cfRule type="cellIs" dxfId="7093" priority="1121" operator="lessThan">
      <formula>$C24</formula>
    </cfRule>
  </conditionalFormatting>
  <conditionalFormatting sqref="F13:F26">
    <cfRule type="containsText" dxfId="7092" priority="1095" operator="containsText" text="Unpaid Rent">
      <formula>NOT(ISERROR(SEARCH("Unpaid Rent",F13)))</formula>
    </cfRule>
    <cfRule type="containsText" dxfId="7091" priority="1096" stopIfTrue="1" operator="containsText" text="Closed Account">
      <formula>NOT(ISERROR(SEARCH("Closed Account",F13)))</formula>
    </cfRule>
  </conditionalFormatting>
  <conditionalFormatting sqref="F25:F36">
    <cfRule type="containsText" dxfId="7090" priority="1093" operator="containsText" text="Unpaid Rent">
      <formula>NOT(ISERROR(SEARCH("Unpaid Rent",F25)))</formula>
    </cfRule>
    <cfRule type="containsText" dxfId="7089" priority="1094" stopIfTrue="1" operator="containsText" text="Closed Account">
      <formula>NOT(ISERROR(SEARCH("Closed Account",F25)))</formula>
    </cfRule>
  </conditionalFormatting>
  <conditionalFormatting sqref="D25:E25">
    <cfRule type="expression" dxfId="7088" priority="1092">
      <formula>AND($A25&lt;&gt;"",MOD(ROW(),2))</formula>
    </cfRule>
  </conditionalFormatting>
  <conditionalFormatting sqref="D25">
    <cfRule type="cellIs" dxfId="7087" priority="1089" operator="equal">
      <formula>$C25</formula>
    </cfRule>
    <cfRule type="cellIs" dxfId="7086" priority="1090" operator="greaterThan">
      <formula>$C25</formula>
    </cfRule>
    <cfRule type="cellIs" dxfId="7085" priority="1091" operator="lessThan">
      <formula>$C25</formula>
    </cfRule>
  </conditionalFormatting>
  <conditionalFormatting sqref="D26:E26">
    <cfRule type="expression" dxfId="7084" priority="1088">
      <formula>AND($A26&lt;&gt;"",MOD(ROW(),2))</formula>
    </cfRule>
  </conditionalFormatting>
  <conditionalFormatting sqref="D26">
    <cfRule type="cellIs" dxfId="7083" priority="1085" operator="equal">
      <formula>$C26</formula>
    </cfRule>
    <cfRule type="cellIs" dxfId="7082" priority="1086" operator="greaterThan">
      <formula>$C26</formula>
    </cfRule>
    <cfRule type="cellIs" dxfId="7081" priority="1087" operator="lessThan">
      <formula>$C26</formula>
    </cfRule>
  </conditionalFormatting>
  <conditionalFormatting sqref="D27:E27">
    <cfRule type="expression" dxfId="7080" priority="1084">
      <formula>AND($A27&lt;&gt;"",MOD(ROW(),2))</formula>
    </cfRule>
  </conditionalFormatting>
  <conditionalFormatting sqref="D27">
    <cfRule type="cellIs" dxfId="7079" priority="1081" operator="equal">
      <formula>$C27</formula>
    </cfRule>
    <cfRule type="cellIs" dxfId="7078" priority="1082" operator="greaterThan">
      <formula>$C27</formula>
    </cfRule>
    <cfRule type="cellIs" dxfId="7077" priority="1083" operator="lessThan">
      <formula>$C27</formula>
    </cfRule>
  </conditionalFormatting>
  <conditionalFormatting sqref="D28:E28">
    <cfRule type="expression" dxfId="7076" priority="1080">
      <formula>AND($A28&lt;&gt;"",MOD(ROW(),2))</formula>
    </cfRule>
  </conditionalFormatting>
  <conditionalFormatting sqref="D28">
    <cfRule type="cellIs" dxfId="7075" priority="1077" operator="equal">
      <formula>$C28</formula>
    </cfRule>
    <cfRule type="cellIs" dxfId="7074" priority="1078" operator="greaterThan">
      <formula>$C28</formula>
    </cfRule>
    <cfRule type="cellIs" dxfId="7073" priority="1079" operator="lessThan">
      <formula>$C28</formula>
    </cfRule>
  </conditionalFormatting>
  <conditionalFormatting sqref="D29:E29">
    <cfRule type="expression" dxfId="7072" priority="1076">
      <formula>AND($A29&lt;&gt;"",MOD(ROW(),2))</formula>
    </cfRule>
  </conditionalFormatting>
  <conditionalFormatting sqref="D29">
    <cfRule type="cellIs" dxfId="7071" priority="1073" operator="equal">
      <formula>$C29</formula>
    </cfRule>
    <cfRule type="cellIs" dxfId="7070" priority="1074" operator="greaterThan">
      <formula>$C29</formula>
    </cfRule>
    <cfRule type="cellIs" dxfId="7069" priority="1075" operator="lessThan">
      <formula>$C29</formula>
    </cfRule>
  </conditionalFormatting>
  <conditionalFormatting sqref="D30:E30">
    <cfRule type="expression" dxfId="7068" priority="1072">
      <formula>AND($A30&lt;&gt;"",MOD(ROW(),2))</formula>
    </cfRule>
  </conditionalFormatting>
  <conditionalFormatting sqref="D30">
    <cfRule type="cellIs" dxfId="7067" priority="1069" operator="equal">
      <formula>$C30</formula>
    </cfRule>
    <cfRule type="cellIs" dxfId="7066" priority="1070" operator="greaterThan">
      <formula>$C30</formula>
    </cfRule>
    <cfRule type="cellIs" dxfId="7065" priority="1071" operator="lessThan">
      <formula>$C30</formula>
    </cfRule>
  </conditionalFormatting>
  <conditionalFormatting sqref="D31:E31">
    <cfRule type="expression" dxfId="7064" priority="1068">
      <formula>AND($A31&lt;&gt;"",MOD(ROW(),2))</formula>
    </cfRule>
  </conditionalFormatting>
  <conditionalFormatting sqref="D31">
    <cfRule type="cellIs" dxfId="7063" priority="1065" operator="equal">
      <formula>$C31</formula>
    </cfRule>
    <cfRule type="cellIs" dxfId="7062" priority="1066" operator="greaterThan">
      <formula>$C31</formula>
    </cfRule>
    <cfRule type="cellIs" dxfId="7061" priority="1067" operator="lessThan">
      <formula>$C31</formula>
    </cfRule>
  </conditionalFormatting>
  <conditionalFormatting sqref="D32:E32">
    <cfRule type="expression" dxfId="7060" priority="1064">
      <formula>AND($A32&lt;&gt;"",MOD(ROW(),2))</formula>
    </cfRule>
  </conditionalFormatting>
  <conditionalFormatting sqref="D32">
    <cfRule type="cellIs" dxfId="7059" priority="1061" operator="equal">
      <formula>$C32</formula>
    </cfRule>
    <cfRule type="cellIs" dxfId="7058" priority="1062" operator="greaterThan">
      <formula>$C32</formula>
    </cfRule>
    <cfRule type="cellIs" dxfId="7057" priority="1063" operator="lessThan">
      <formula>$C32</formula>
    </cfRule>
  </conditionalFormatting>
  <conditionalFormatting sqref="D33:E33">
    <cfRule type="expression" dxfId="7056" priority="1060">
      <formula>AND($A33&lt;&gt;"",MOD(ROW(),2))</formula>
    </cfRule>
  </conditionalFormatting>
  <conditionalFormatting sqref="D33">
    <cfRule type="cellIs" dxfId="7055" priority="1057" operator="equal">
      <formula>$C33</formula>
    </cfRule>
    <cfRule type="cellIs" dxfId="7054" priority="1058" operator="greaterThan">
      <formula>$C33</formula>
    </cfRule>
    <cfRule type="cellIs" dxfId="7053" priority="1059" operator="lessThan">
      <formula>$C33</formula>
    </cfRule>
  </conditionalFormatting>
  <conditionalFormatting sqref="D34:E34">
    <cfRule type="expression" dxfId="7052" priority="1056">
      <formula>AND($A34&lt;&gt;"",MOD(ROW(),2))</formula>
    </cfRule>
  </conditionalFormatting>
  <conditionalFormatting sqref="D34">
    <cfRule type="cellIs" dxfId="7051" priority="1053" operator="equal">
      <formula>$C34</formula>
    </cfRule>
    <cfRule type="cellIs" dxfId="7050" priority="1054" operator="greaterThan">
      <formula>$C34</formula>
    </cfRule>
    <cfRule type="cellIs" dxfId="7049" priority="1055" operator="lessThan">
      <formula>$C34</formula>
    </cfRule>
  </conditionalFormatting>
  <conditionalFormatting sqref="D35:E35">
    <cfRule type="expression" dxfId="7048" priority="1052">
      <formula>AND($A35&lt;&gt;"",MOD(ROW(),2))</formula>
    </cfRule>
  </conditionalFormatting>
  <conditionalFormatting sqref="D35">
    <cfRule type="cellIs" dxfId="7047" priority="1049" operator="equal">
      <formula>$C35</formula>
    </cfRule>
    <cfRule type="cellIs" dxfId="7046" priority="1050" operator="greaterThan">
      <formula>$C35</formula>
    </cfRule>
    <cfRule type="cellIs" dxfId="7045" priority="1051" operator="lessThan">
      <formula>$C35</formula>
    </cfRule>
  </conditionalFormatting>
  <conditionalFormatting sqref="D36:E36">
    <cfRule type="expression" dxfId="7044" priority="1048">
      <formula>AND($A36&lt;&gt;"",MOD(ROW(),2))</formula>
    </cfRule>
  </conditionalFormatting>
  <conditionalFormatting sqref="D36">
    <cfRule type="cellIs" dxfId="7043" priority="1045" operator="equal">
      <formula>$C36</formula>
    </cfRule>
    <cfRule type="cellIs" dxfId="7042" priority="1046" operator="greaterThan">
      <formula>$C36</formula>
    </cfRule>
    <cfRule type="cellIs" dxfId="7041" priority="1047" operator="lessThan">
      <formula>$C36</formula>
    </cfRule>
  </conditionalFormatting>
  <conditionalFormatting sqref="D14:E14">
    <cfRule type="expression" dxfId="7040" priority="1044">
      <formula>AND($A14&lt;&gt;"",MOD(ROW(),2))</formula>
    </cfRule>
  </conditionalFormatting>
  <conditionalFormatting sqref="D14">
    <cfRule type="cellIs" dxfId="7039" priority="1041" operator="equal">
      <formula>$C14</formula>
    </cfRule>
    <cfRule type="cellIs" dxfId="7038" priority="1042" operator="greaterThan">
      <formula>$C14</formula>
    </cfRule>
    <cfRule type="cellIs" dxfId="7037" priority="1043" operator="lessThan">
      <formula>$C14</formula>
    </cfRule>
  </conditionalFormatting>
  <conditionalFormatting sqref="D15:E15">
    <cfRule type="expression" dxfId="7036" priority="1040">
      <formula>AND($A15&lt;&gt;"",MOD(ROW(),2))</formula>
    </cfRule>
  </conditionalFormatting>
  <conditionalFormatting sqref="D15">
    <cfRule type="cellIs" dxfId="7035" priority="1037" operator="equal">
      <formula>$C15</formula>
    </cfRule>
    <cfRule type="cellIs" dxfId="7034" priority="1038" operator="greaterThan">
      <formula>$C15</formula>
    </cfRule>
    <cfRule type="cellIs" dxfId="7033" priority="1039" operator="lessThan">
      <formula>$C15</formula>
    </cfRule>
  </conditionalFormatting>
  <conditionalFormatting sqref="D16:E16">
    <cfRule type="expression" dxfId="7032" priority="1036">
      <formula>AND($A16&lt;&gt;"",MOD(ROW(),2))</formula>
    </cfRule>
  </conditionalFormatting>
  <conditionalFormatting sqref="D16">
    <cfRule type="cellIs" dxfId="7031" priority="1033" operator="equal">
      <formula>$C16</formula>
    </cfRule>
    <cfRule type="cellIs" dxfId="7030" priority="1034" operator="greaterThan">
      <formula>$C16</formula>
    </cfRule>
    <cfRule type="cellIs" dxfId="7029" priority="1035" operator="lessThan">
      <formula>$C16</formula>
    </cfRule>
  </conditionalFormatting>
  <conditionalFormatting sqref="D17:E17">
    <cfRule type="expression" dxfId="7028" priority="1032">
      <formula>AND($A17&lt;&gt;"",MOD(ROW(),2))</formula>
    </cfRule>
  </conditionalFormatting>
  <conditionalFormatting sqref="D17">
    <cfRule type="cellIs" dxfId="7027" priority="1029" operator="equal">
      <formula>$C17</formula>
    </cfRule>
    <cfRule type="cellIs" dxfId="7026" priority="1030" operator="greaterThan">
      <formula>$C17</formula>
    </cfRule>
    <cfRule type="cellIs" dxfId="7025" priority="1031" operator="lessThan">
      <formula>$C17</formula>
    </cfRule>
  </conditionalFormatting>
  <conditionalFormatting sqref="D18:E18">
    <cfRule type="expression" dxfId="7024" priority="1028">
      <formula>AND($A18&lt;&gt;"",MOD(ROW(),2))</formula>
    </cfRule>
  </conditionalFormatting>
  <conditionalFormatting sqref="D18">
    <cfRule type="cellIs" dxfId="7023" priority="1025" operator="equal">
      <formula>$C18</formula>
    </cfRule>
    <cfRule type="cellIs" dxfId="7022" priority="1026" operator="greaterThan">
      <formula>$C18</formula>
    </cfRule>
    <cfRule type="cellIs" dxfId="7021" priority="1027" operator="lessThan">
      <formula>$C18</formula>
    </cfRule>
  </conditionalFormatting>
  <conditionalFormatting sqref="D19:E19">
    <cfRule type="expression" dxfId="7020" priority="1024">
      <formula>AND($A19&lt;&gt;"",MOD(ROW(),2))</formula>
    </cfRule>
  </conditionalFormatting>
  <conditionalFormatting sqref="D19">
    <cfRule type="cellIs" dxfId="7019" priority="1021" operator="equal">
      <formula>$C19</formula>
    </cfRule>
    <cfRule type="cellIs" dxfId="7018" priority="1022" operator="greaterThan">
      <formula>$C19</formula>
    </cfRule>
    <cfRule type="cellIs" dxfId="7017" priority="1023" operator="lessThan">
      <formula>$C19</formula>
    </cfRule>
  </conditionalFormatting>
  <conditionalFormatting sqref="D20:E20">
    <cfRule type="expression" dxfId="7016" priority="1020">
      <formula>AND($A20&lt;&gt;"",MOD(ROW(),2))</formula>
    </cfRule>
  </conditionalFormatting>
  <conditionalFormatting sqref="D20">
    <cfRule type="cellIs" dxfId="7015" priority="1017" operator="equal">
      <formula>$C20</formula>
    </cfRule>
    <cfRule type="cellIs" dxfId="7014" priority="1018" operator="greaterThan">
      <formula>$C20</formula>
    </cfRule>
    <cfRule type="cellIs" dxfId="7013" priority="1019" operator="lessThan">
      <formula>$C20</formula>
    </cfRule>
  </conditionalFormatting>
  <conditionalFormatting sqref="D21:E21">
    <cfRule type="expression" dxfId="7012" priority="1016">
      <formula>AND($A21&lt;&gt;"",MOD(ROW(),2))</formula>
    </cfRule>
  </conditionalFormatting>
  <conditionalFormatting sqref="D21">
    <cfRule type="cellIs" dxfId="7011" priority="1013" operator="equal">
      <formula>$C21</formula>
    </cfRule>
    <cfRule type="cellIs" dxfId="7010" priority="1014" operator="greaterThan">
      <formula>$C21</formula>
    </cfRule>
    <cfRule type="cellIs" dxfId="7009" priority="1015" operator="lessThan">
      <formula>$C21</formula>
    </cfRule>
  </conditionalFormatting>
  <conditionalFormatting sqref="D22:E22">
    <cfRule type="expression" dxfId="7008" priority="1012">
      <formula>AND($A22&lt;&gt;"",MOD(ROW(),2))</formula>
    </cfRule>
  </conditionalFormatting>
  <conditionalFormatting sqref="D22">
    <cfRule type="cellIs" dxfId="7007" priority="1009" operator="equal">
      <formula>$C22</formula>
    </cfRule>
    <cfRule type="cellIs" dxfId="7006" priority="1010" operator="greaterThan">
      <formula>$C22</formula>
    </cfRule>
    <cfRule type="cellIs" dxfId="7005" priority="1011" operator="lessThan">
      <formula>$C22</formula>
    </cfRule>
  </conditionalFormatting>
  <conditionalFormatting sqref="D23:E23">
    <cfRule type="expression" dxfId="7004" priority="1008">
      <formula>AND($A23&lt;&gt;"",MOD(ROW(),2))</formula>
    </cfRule>
  </conditionalFormatting>
  <conditionalFormatting sqref="D23">
    <cfRule type="cellIs" dxfId="7003" priority="1005" operator="equal">
      <formula>$C23</formula>
    </cfRule>
    <cfRule type="cellIs" dxfId="7002" priority="1006" operator="greaterThan">
      <formula>$C23</formula>
    </cfRule>
    <cfRule type="cellIs" dxfId="7001" priority="1007" operator="lessThan">
      <formula>$C23</formula>
    </cfRule>
  </conditionalFormatting>
  <conditionalFormatting sqref="D24:E24">
    <cfRule type="expression" dxfId="7000" priority="1004">
      <formula>AND($A24&lt;&gt;"",MOD(ROW(),2))</formula>
    </cfRule>
  </conditionalFormatting>
  <conditionalFormatting sqref="D24">
    <cfRule type="cellIs" dxfId="6999" priority="1001" operator="equal">
      <formula>$C24</formula>
    </cfRule>
    <cfRule type="cellIs" dxfId="6998" priority="1002" operator="greaterThan">
      <formula>$C24</formula>
    </cfRule>
    <cfRule type="cellIs" dxfId="6997" priority="1003" operator="lessThan">
      <formula>$C24</formula>
    </cfRule>
  </conditionalFormatting>
  <conditionalFormatting sqref="D25:E25">
    <cfRule type="expression" dxfId="6996" priority="1000">
      <formula>AND($A25&lt;&gt;"",MOD(ROW(),2))</formula>
    </cfRule>
  </conditionalFormatting>
  <conditionalFormatting sqref="D25">
    <cfRule type="cellIs" dxfId="6995" priority="997" operator="equal">
      <formula>$C25</formula>
    </cfRule>
    <cfRule type="cellIs" dxfId="6994" priority="998" operator="greaterThan">
      <formula>$C25</formula>
    </cfRule>
    <cfRule type="cellIs" dxfId="6993" priority="999" operator="lessThan">
      <formula>$C25</formula>
    </cfRule>
  </conditionalFormatting>
  <conditionalFormatting sqref="D26:E26">
    <cfRule type="expression" dxfId="6992" priority="996">
      <formula>AND($A26&lt;&gt;"",MOD(ROW(),2))</formula>
    </cfRule>
  </conditionalFormatting>
  <conditionalFormatting sqref="D26">
    <cfRule type="cellIs" dxfId="6991" priority="993" operator="equal">
      <formula>$C26</formula>
    </cfRule>
    <cfRule type="cellIs" dxfId="6990" priority="994" operator="greaterThan">
      <formula>$C26</formula>
    </cfRule>
    <cfRule type="cellIs" dxfId="6989" priority="995" operator="lessThan">
      <formula>$C26</formula>
    </cfRule>
  </conditionalFormatting>
  <conditionalFormatting sqref="D27:E27">
    <cfRule type="expression" dxfId="6988" priority="992">
      <formula>AND($A27&lt;&gt;"",MOD(ROW(),2))</formula>
    </cfRule>
  </conditionalFormatting>
  <conditionalFormatting sqref="D27">
    <cfRule type="cellIs" dxfId="6987" priority="989" operator="equal">
      <formula>$C27</formula>
    </cfRule>
    <cfRule type="cellIs" dxfId="6986" priority="990" operator="greaterThan">
      <formula>$C27</formula>
    </cfRule>
    <cfRule type="cellIs" dxfId="6985" priority="991" operator="lessThan">
      <formula>$C27</formula>
    </cfRule>
  </conditionalFormatting>
  <conditionalFormatting sqref="D28:E28">
    <cfRule type="expression" dxfId="6984" priority="988">
      <formula>AND($A28&lt;&gt;"",MOD(ROW(),2))</formula>
    </cfRule>
  </conditionalFormatting>
  <conditionalFormatting sqref="D28">
    <cfRule type="cellIs" dxfId="6983" priority="985" operator="equal">
      <formula>$C28</formula>
    </cfRule>
    <cfRule type="cellIs" dxfId="6982" priority="986" operator="greaterThan">
      <formula>$C28</formula>
    </cfRule>
    <cfRule type="cellIs" dxfId="6981" priority="987" operator="lessThan">
      <formula>$C28</formula>
    </cfRule>
  </conditionalFormatting>
  <conditionalFormatting sqref="D29:E29">
    <cfRule type="expression" dxfId="6980" priority="984">
      <formula>AND($A29&lt;&gt;"",MOD(ROW(),2))</formula>
    </cfRule>
  </conditionalFormatting>
  <conditionalFormatting sqref="D29">
    <cfRule type="cellIs" dxfId="6979" priority="981" operator="equal">
      <formula>$C29</formula>
    </cfRule>
    <cfRule type="cellIs" dxfId="6978" priority="982" operator="greaterThan">
      <formula>$C29</formula>
    </cfRule>
    <cfRule type="cellIs" dxfId="6977" priority="983" operator="lessThan">
      <formula>$C29</formula>
    </cfRule>
  </conditionalFormatting>
  <conditionalFormatting sqref="D30:E30">
    <cfRule type="expression" dxfId="6976" priority="980">
      <formula>AND($A30&lt;&gt;"",MOD(ROW(),2))</formula>
    </cfRule>
  </conditionalFormatting>
  <conditionalFormatting sqref="D30">
    <cfRule type="cellIs" dxfId="6975" priority="977" operator="equal">
      <formula>$C30</formula>
    </cfRule>
    <cfRule type="cellIs" dxfId="6974" priority="978" operator="greaterThan">
      <formula>$C30</formula>
    </cfRule>
    <cfRule type="cellIs" dxfId="6973" priority="979" operator="lessThan">
      <formula>$C30</formula>
    </cfRule>
  </conditionalFormatting>
  <conditionalFormatting sqref="D31:E31">
    <cfRule type="expression" dxfId="6972" priority="976">
      <formula>AND($A31&lt;&gt;"",MOD(ROW(),2))</formula>
    </cfRule>
  </conditionalFormatting>
  <conditionalFormatting sqref="D31">
    <cfRule type="cellIs" dxfId="6971" priority="973" operator="equal">
      <formula>$C31</formula>
    </cfRule>
    <cfRule type="cellIs" dxfId="6970" priority="974" operator="greaterThan">
      <formula>$C31</formula>
    </cfRule>
    <cfRule type="cellIs" dxfId="6969" priority="975" operator="lessThan">
      <formula>$C31</formula>
    </cfRule>
  </conditionalFormatting>
  <conditionalFormatting sqref="D32:E32">
    <cfRule type="expression" dxfId="6968" priority="972">
      <formula>AND($A32&lt;&gt;"",MOD(ROW(),2))</formula>
    </cfRule>
  </conditionalFormatting>
  <conditionalFormatting sqref="D32">
    <cfRule type="cellIs" dxfId="6967" priority="969" operator="equal">
      <formula>$C32</formula>
    </cfRule>
    <cfRule type="cellIs" dxfId="6966" priority="970" operator="greaterThan">
      <formula>$C32</formula>
    </cfRule>
    <cfRule type="cellIs" dxfId="6965" priority="971" operator="lessThan">
      <formula>$C32</formula>
    </cfRule>
  </conditionalFormatting>
  <conditionalFormatting sqref="D33:E33">
    <cfRule type="expression" dxfId="6964" priority="968">
      <formula>AND($A33&lt;&gt;"",MOD(ROW(),2))</formula>
    </cfRule>
  </conditionalFormatting>
  <conditionalFormatting sqref="D33">
    <cfRule type="cellIs" dxfId="6963" priority="965" operator="equal">
      <formula>$C33</formula>
    </cfRule>
    <cfRule type="cellIs" dxfId="6962" priority="966" operator="greaterThan">
      <formula>$C33</formula>
    </cfRule>
    <cfRule type="cellIs" dxfId="6961" priority="967" operator="lessThan">
      <formula>$C33</formula>
    </cfRule>
  </conditionalFormatting>
  <conditionalFormatting sqref="D34:E34">
    <cfRule type="expression" dxfId="6960" priority="964">
      <formula>AND($A34&lt;&gt;"",MOD(ROW(),2))</formula>
    </cfRule>
  </conditionalFormatting>
  <conditionalFormatting sqref="D34">
    <cfRule type="cellIs" dxfId="6959" priority="961" operator="equal">
      <formula>$C34</formula>
    </cfRule>
    <cfRule type="cellIs" dxfId="6958" priority="962" operator="greaterThan">
      <formula>$C34</formula>
    </cfRule>
    <cfRule type="cellIs" dxfId="6957" priority="963" operator="lessThan">
      <formula>$C34</formula>
    </cfRule>
  </conditionalFormatting>
  <conditionalFormatting sqref="D14:E14">
    <cfRule type="expression" dxfId="6956" priority="960">
      <formula>AND($A14&lt;&gt;"",MOD(ROW(),2))</formula>
    </cfRule>
  </conditionalFormatting>
  <conditionalFormatting sqref="D14">
    <cfRule type="cellIs" dxfId="6955" priority="957" operator="equal">
      <formula>$C14</formula>
    </cfRule>
    <cfRule type="cellIs" dxfId="6954" priority="958" operator="greaterThan">
      <formula>$C14</formula>
    </cfRule>
    <cfRule type="cellIs" dxfId="6953" priority="959" operator="lessThan">
      <formula>$C14</formula>
    </cfRule>
  </conditionalFormatting>
  <conditionalFormatting sqref="D15:E15">
    <cfRule type="expression" dxfId="6952" priority="956">
      <formula>AND($A15&lt;&gt;"",MOD(ROW(),2))</formula>
    </cfRule>
  </conditionalFormatting>
  <conditionalFormatting sqref="D15">
    <cfRule type="cellIs" dxfId="6951" priority="953" operator="equal">
      <formula>$C15</formula>
    </cfRule>
    <cfRule type="cellIs" dxfId="6950" priority="954" operator="greaterThan">
      <formula>$C15</formula>
    </cfRule>
    <cfRule type="cellIs" dxfId="6949" priority="955" operator="lessThan">
      <formula>$C15</formula>
    </cfRule>
  </conditionalFormatting>
  <conditionalFormatting sqref="D16:E16">
    <cfRule type="expression" dxfId="6948" priority="952">
      <formula>AND($A16&lt;&gt;"",MOD(ROW(),2))</formula>
    </cfRule>
  </conditionalFormatting>
  <conditionalFormatting sqref="D16">
    <cfRule type="cellIs" dxfId="6947" priority="949" operator="equal">
      <formula>$C16</formula>
    </cfRule>
    <cfRule type="cellIs" dxfId="6946" priority="950" operator="greaterThan">
      <formula>$C16</formula>
    </cfRule>
    <cfRule type="cellIs" dxfId="6945" priority="951" operator="lessThan">
      <formula>$C16</formula>
    </cfRule>
  </conditionalFormatting>
  <conditionalFormatting sqref="D17:E17">
    <cfRule type="expression" dxfId="6944" priority="948">
      <formula>AND($A17&lt;&gt;"",MOD(ROW(),2))</formula>
    </cfRule>
  </conditionalFormatting>
  <conditionalFormatting sqref="D17">
    <cfRule type="cellIs" dxfId="6943" priority="945" operator="equal">
      <formula>$C17</formula>
    </cfRule>
    <cfRule type="cellIs" dxfId="6942" priority="946" operator="greaterThan">
      <formula>$C17</formula>
    </cfRule>
    <cfRule type="cellIs" dxfId="6941" priority="947" operator="lessThan">
      <formula>$C17</formula>
    </cfRule>
  </conditionalFormatting>
  <conditionalFormatting sqref="D18:E18">
    <cfRule type="expression" dxfId="6940" priority="944">
      <formula>AND($A18&lt;&gt;"",MOD(ROW(),2))</formula>
    </cfRule>
  </conditionalFormatting>
  <conditionalFormatting sqref="D18">
    <cfRule type="cellIs" dxfId="6939" priority="941" operator="equal">
      <formula>$C18</formula>
    </cfRule>
    <cfRule type="cellIs" dxfId="6938" priority="942" operator="greaterThan">
      <formula>$C18</formula>
    </cfRule>
    <cfRule type="cellIs" dxfId="6937" priority="943" operator="lessThan">
      <formula>$C18</formula>
    </cfRule>
  </conditionalFormatting>
  <conditionalFormatting sqref="D19:E19">
    <cfRule type="expression" dxfId="6936" priority="940">
      <formula>AND($A19&lt;&gt;"",MOD(ROW(),2))</formula>
    </cfRule>
  </conditionalFormatting>
  <conditionalFormatting sqref="D19">
    <cfRule type="cellIs" dxfId="6935" priority="937" operator="equal">
      <formula>$C19</formula>
    </cfRule>
    <cfRule type="cellIs" dxfId="6934" priority="938" operator="greaterThan">
      <formula>$C19</formula>
    </cfRule>
    <cfRule type="cellIs" dxfId="6933" priority="939" operator="lessThan">
      <formula>$C19</formula>
    </cfRule>
  </conditionalFormatting>
  <conditionalFormatting sqref="D20:E20">
    <cfRule type="expression" dxfId="6932" priority="936">
      <formula>AND($A20&lt;&gt;"",MOD(ROW(),2))</formula>
    </cfRule>
  </conditionalFormatting>
  <conditionalFormatting sqref="D20">
    <cfRule type="cellIs" dxfId="6931" priority="933" operator="equal">
      <formula>$C20</formula>
    </cfRule>
    <cfRule type="cellIs" dxfId="6930" priority="934" operator="greaterThan">
      <formula>$C20</formula>
    </cfRule>
    <cfRule type="cellIs" dxfId="6929" priority="935" operator="lessThan">
      <formula>$C20</formula>
    </cfRule>
  </conditionalFormatting>
  <conditionalFormatting sqref="D21:E21">
    <cfRule type="expression" dxfId="6928" priority="932">
      <formula>AND($A21&lt;&gt;"",MOD(ROW(),2))</formula>
    </cfRule>
  </conditionalFormatting>
  <conditionalFormatting sqref="D21">
    <cfRule type="cellIs" dxfId="6927" priority="929" operator="equal">
      <formula>$C21</formula>
    </cfRule>
    <cfRule type="cellIs" dxfId="6926" priority="930" operator="greaterThan">
      <formula>$C21</formula>
    </cfRule>
    <cfRule type="cellIs" dxfId="6925" priority="931" operator="lessThan">
      <formula>$C21</formula>
    </cfRule>
  </conditionalFormatting>
  <conditionalFormatting sqref="D22:E22">
    <cfRule type="expression" dxfId="6924" priority="928">
      <formula>AND($A22&lt;&gt;"",MOD(ROW(),2))</formula>
    </cfRule>
  </conditionalFormatting>
  <conditionalFormatting sqref="D22">
    <cfRule type="cellIs" dxfId="6923" priority="925" operator="equal">
      <formula>$C22</formula>
    </cfRule>
    <cfRule type="cellIs" dxfId="6922" priority="926" operator="greaterThan">
      <formula>$C22</formula>
    </cfRule>
    <cfRule type="cellIs" dxfId="6921" priority="927" operator="lessThan">
      <formula>$C22</formula>
    </cfRule>
  </conditionalFormatting>
  <conditionalFormatting sqref="D23:E23">
    <cfRule type="expression" dxfId="6920" priority="924">
      <formula>AND($A23&lt;&gt;"",MOD(ROW(),2))</formula>
    </cfRule>
  </conditionalFormatting>
  <conditionalFormatting sqref="D23">
    <cfRule type="cellIs" dxfId="6919" priority="921" operator="equal">
      <formula>$C23</formula>
    </cfRule>
    <cfRule type="cellIs" dxfId="6918" priority="922" operator="greaterThan">
      <formula>$C23</formula>
    </cfRule>
    <cfRule type="cellIs" dxfId="6917" priority="923" operator="lessThan">
      <formula>$C23</formula>
    </cfRule>
  </conditionalFormatting>
  <conditionalFormatting sqref="D24:E24">
    <cfRule type="expression" dxfId="6916" priority="920">
      <formula>AND($A24&lt;&gt;"",MOD(ROW(),2))</formula>
    </cfRule>
  </conditionalFormatting>
  <conditionalFormatting sqref="D24">
    <cfRule type="cellIs" dxfId="6915" priority="917" operator="equal">
      <formula>$C24</formula>
    </cfRule>
    <cfRule type="cellIs" dxfId="6914" priority="918" operator="greaterThan">
      <formula>$C24</formula>
    </cfRule>
    <cfRule type="cellIs" dxfId="6913" priority="919" operator="lessThan">
      <formula>$C24</formula>
    </cfRule>
  </conditionalFormatting>
  <conditionalFormatting sqref="D25:E25">
    <cfRule type="expression" dxfId="6912" priority="916">
      <formula>AND($A25&lt;&gt;"",MOD(ROW(),2))</formula>
    </cfRule>
  </conditionalFormatting>
  <conditionalFormatting sqref="D25">
    <cfRule type="cellIs" dxfId="6911" priority="913" operator="equal">
      <formula>$C25</formula>
    </cfRule>
    <cfRule type="cellIs" dxfId="6910" priority="914" operator="greaterThan">
      <formula>$C25</formula>
    </cfRule>
    <cfRule type="cellIs" dxfId="6909" priority="915" operator="lessThan">
      <formula>$C25</formula>
    </cfRule>
  </conditionalFormatting>
  <conditionalFormatting sqref="D26:E26">
    <cfRule type="expression" dxfId="6908" priority="912">
      <formula>AND($A26&lt;&gt;"",MOD(ROW(),2))</formula>
    </cfRule>
  </conditionalFormatting>
  <conditionalFormatting sqref="D26">
    <cfRule type="cellIs" dxfId="6907" priority="909" operator="equal">
      <formula>$C26</formula>
    </cfRule>
    <cfRule type="cellIs" dxfId="6906" priority="910" operator="greaterThan">
      <formula>$C26</formula>
    </cfRule>
    <cfRule type="cellIs" dxfId="6905" priority="911" operator="lessThan">
      <formula>$C26</formula>
    </cfRule>
  </conditionalFormatting>
  <conditionalFormatting sqref="D27:E27">
    <cfRule type="expression" dxfId="6904" priority="908">
      <formula>AND($A27&lt;&gt;"",MOD(ROW(),2))</formula>
    </cfRule>
  </conditionalFormatting>
  <conditionalFormatting sqref="D27">
    <cfRule type="cellIs" dxfId="6903" priority="905" operator="equal">
      <formula>$C27</formula>
    </cfRule>
    <cfRule type="cellIs" dxfId="6902" priority="906" operator="greaterThan">
      <formula>$C27</formula>
    </cfRule>
    <cfRule type="cellIs" dxfId="6901" priority="907" operator="lessThan">
      <formula>$C27</formula>
    </cfRule>
  </conditionalFormatting>
  <conditionalFormatting sqref="D28:E28">
    <cfRule type="expression" dxfId="6900" priority="904">
      <formula>AND($A28&lt;&gt;"",MOD(ROW(),2))</formula>
    </cfRule>
  </conditionalFormatting>
  <conditionalFormatting sqref="D28">
    <cfRule type="cellIs" dxfId="6899" priority="901" operator="equal">
      <formula>$C28</formula>
    </cfRule>
    <cfRule type="cellIs" dxfId="6898" priority="902" operator="greaterThan">
      <formula>$C28</formula>
    </cfRule>
    <cfRule type="cellIs" dxfId="6897" priority="903" operator="lessThan">
      <formula>$C28</formula>
    </cfRule>
  </conditionalFormatting>
  <conditionalFormatting sqref="D29:E29">
    <cfRule type="expression" dxfId="6896" priority="900">
      <formula>AND($A29&lt;&gt;"",MOD(ROW(),2))</formula>
    </cfRule>
  </conditionalFormatting>
  <conditionalFormatting sqref="D29">
    <cfRule type="cellIs" dxfId="6895" priority="897" operator="equal">
      <formula>$C29</formula>
    </cfRule>
    <cfRule type="cellIs" dxfId="6894" priority="898" operator="greaterThan">
      <formula>$C29</formula>
    </cfRule>
    <cfRule type="cellIs" dxfId="6893" priority="899" operator="lessThan">
      <formula>$C29</formula>
    </cfRule>
  </conditionalFormatting>
  <conditionalFormatting sqref="D30:E30">
    <cfRule type="expression" dxfId="6892" priority="896">
      <formula>AND($A30&lt;&gt;"",MOD(ROW(),2))</formula>
    </cfRule>
  </conditionalFormatting>
  <conditionalFormatting sqref="D30">
    <cfRule type="cellIs" dxfId="6891" priority="893" operator="equal">
      <formula>$C30</formula>
    </cfRule>
    <cfRule type="cellIs" dxfId="6890" priority="894" operator="greaterThan">
      <formula>$C30</formula>
    </cfRule>
    <cfRule type="cellIs" dxfId="6889" priority="895" operator="lessThan">
      <formula>$C30</formula>
    </cfRule>
  </conditionalFormatting>
  <conditionalFormatting sqref="D31:E31">
    <cfRule type="expression" dxfId="6888" priority="892">
      <formula>AND($A31&lt;&gt;"",MOD(ROW(),2))</formula>
    </cfRule>
  </conditionalFormatting>
  <conditionalFormatting sqref="D31">
    <cfRule type="cellIs" dxfId="6887" priority="889" operator="equal">
      <formula>$C31</formula>
    </cfRule>
    <cfRule type="cellIs" dxfId="6886" priority="890" operator="greaterThan">
      <formula>$C31</formula>
    </cfRule>
    <cfRule type="cellIs" dxfId="6885" priority="891" operator="lessThan">
      <formula>$C31</formula>
    </cfRule>
  </conditionalFormatting>
  <conditionalFormatting sqref="D32:E32">
    <cfRule type="expression" dxfId="6884" priority="888">
      <formula>AND($A32&lt;&gt;"",MOD(ROW(),2))</formula>
    </cfRule>
  </conditionalFormatting>
  <conditionalFormatting sqref="D32">
    <cfRule type="cellIs" dxfId="6883" priority="885" operator="equal">
      <formula>$C32</formula>
    </cfRule>
    <cfRule type="cellIs" dxfId="6882" priority="886" operator="greaterThan">
      <formula>$C32</formula>
    </cfRule>
    <cfRule type="cellIs" dxfId="6881" priority="887" operator="lessThan">
      <formula>$C32</formula>
    </cfRule>
  </conditionalFormatting>
  <conditionalFormatting sqref="D33:E33">
    <cfRule type="expression" dxfId="6880" priority="884">
      <formula>AND($A33&lt;&gt;"",MOD(ROW(),2))</formula>
    </cfRule>
  </conditionalFormatting>
  <conditionalFormatting sqref="D33">
    <cfRule type="cellIs" dxfId="6879" priority="881" operator="equal">
      <formula>$C33</formula>
    </cfRule>
    <cfRule type="cellIs" dxfId="6878" priority="882" operator="greaterThan">
      <formula>$C33</formula>
    </cfRule>
    <cfRule type="cellIs" dxfId="6877" priority="883" operator="lessThan">
      <formula>$C33</formula>
    </cfRule>
  </conditionalFormatting>
  <conditionalFormatting sqref="D34:E34">
    <cfRule type="expression" dxfId="6876" priority="880">
      <formula>AND($A34&lt;&gt;"",MOD(ROW(),2))</formula>
    </cfRule>
  </conditionalFormatting>
  <conditionalFormatting sqref="D34">
    <cfRule type="cellIs" dxfId="6875" priority="877" operator="equal">
      <formula>$C34</formula>
    </cfRule>
    <cfRule type="cellIs" dxfId="6874" priority="878" operator="greaterThan">
      <formula>$C34</formula>
    </cfRule>
    <cfRule type="cellIs" dxfId="6873" priority="879" operator="lessThan">
      <formula>$C34</formula>
    </cfRule>
  </conditionalFormatting>
  <conditionalFormatting sqref="D35:E35">
    <cfRule type="expression" dxfId="6872" priority="876">
      <formula>AND($A35&lt;&gt;"",MOD(ROW(),2))</formula>
    </cfRule>
  </conditionalFormatting>
  <conditionalFormatting sqref="D35">
    <cfRule type="cellIs" dxfId="6871" priority="873" operator="equal">
      <formula>$C35</formula>
    </cfRule>
    <cfRule type="cellIs" dxfId="6870" priority="874" operator="greaterThan">
      <formula>$C35</formula>
    </cfRule>
    <cfRule type="cellIs" dxfId="6869" priority="875" operator="lessThan">
      <formula>$C35</formula>
    </cfRule>
  </conditionalFormatting>
  <conditionalFormatting sqref="D15:E15">
    <cfRule type="expression" dxfId="6868" priority="872">
      <formula>AND($A15&lt;&gt;"",MOD(ROW(),2))</formula>
    </cfRule>
  </conditionalFormatting>
  <conditionalFormatting sqref="D15">
    <cfRule type="cellIs" dxfId="6867" priority="869" operator="equal">
      <formula>$C15</formula>
    </cfRule>
    <cfRule type="cellIs" dxfId="6866" priority="870" operator="greaterThan">
      <formula>$C15</formula>
    </cfRule>
    <cfRule type="cellIs" dxfId="6865" priority="871" operator="lessThan">
      <formula>$C15</formula>
    </cfRule>
  </conditionalFormatting>
  <conditionalFormatting sqref="D16:E16">
    <cfRule type="expression" dxfId="6864" priority="868">
      <formula>AND($A16&lt;&gt;"",MOD(ROW(),2))</formula>
    </cfRule>
  </conditionalFormatting>
  <conditionalFormatting sqref="D16">
    <cfRule type="cellIs" dxfId="6863" priority="865" operator="equal">
      <formula>$C16</formula>
    </cfRule>
    <cfRule type="cellIs" dxfId="6862" priority="866" operator="greaterThan">
      <formula>$C16</formula>
    </cfRule>
    <cfRule type="cellIs" dxfId="6861" priority="867" operator="lessThan">
      <formula>$C16</formula>
    </cfRule>
  </conditionalFormatting>
  <conditionalFormatting sqref="D17:E17">
    <cfRule type="expression" dxfId="6860" priority="864">
      <formula>AND($A17&lt;&gt;"",MOD(ROW(),2))</formula>
    </cfRule>
  </conditionalFormatting>
  <conditionalFormatting sqref="D17">
    <cfRule type="cellIs" dxfId="6859" priority="861" operator="equal">
      <formula>$C17</formula>
    </cfRule>
    <cfRule type="cellIs" dxfId="6858" priority="862" operator="greaterThan">
      <formula>$C17</formula>
    </cfRule>
    <cfRule type="cellIs" dxfId="6857" priority="863" operator="lessThan">
      <formula>$C17</formula>
    </cfRule>
  </conditionalFormatting>
  <conditionalFormatting sqref="D18:E18">
    <cfRule type="expression" dxfId="6856" priority="860">
      <formula>AND($A18&lt;&gt;"",MOD(ROW(),2))</formula>
    </cfRule>
  </conditionalFormatting>
  <conditionalFormatting sqref="D18">
    <cfRule type="cellIs" dxfId="6855" priority="857" operator="equal">
      <formula>$C18</formula>
    </cfRule>
    <cfRule type="cellIs" dxfId="6854" priority="858" operator="greaterThan">
      <formula>$C18</formula>
    </cfRule>
    <cfRule type="cellIs" dxfId="6853" priority="859" operator="lessThan">
      <formula>$C18</formula>
    </cfRule>
  </conditionalFormatting>
  <conditionalFormatting sqref="D19:E19">
    <cfRule type="expression" dxfId="6852" priority="856">
      <formula>AND($A19&lt;&gt;"",MOD(ROW(),2))</formula>
    </cfRule>
  </conditionalFormatting>
  <conditionalFormatting sqref="D19">
    <cfRule type="cellIs" dxfId="6851" priority="853" operator="equal">
      <formula>$C19</formula>
    </cfRule>
    <cfRule type="cellIs" dxfId="6850" priority="854" operator="greaterThan">
      <formula>$C19</formula>
    </cfRule>
    <cfRule type="cellIs" dxfId="6849" priority="855" operator="lessThan">
      <formula>$C19</formula>
    </cfRule>
  </conditionalFormatting>
  <conditionalFormatting sqref="D20:E20">
    <cfRule type="expression" dxfId="6848" priority="852">
      <formula>AND($A20&lt;&gt;"",MOD(ROW(),2))</formula>
    </cfRule>
  </conditionalFormatting>
  <conditionalFormatting sqref="D20">
    <cfRule type="cellIs" dxfId="6847" priority="849" operator="equal">
      <formula>$C20</formula>
    </cfRule>
    <cfRule type="cellIs" dxfId="6846" priority="850" operator="greaterThan">
      <formula>$C20</formula>
    </cfRule>
    <cfRule type="cellIs" dxfId="6845" priority="851" operator="lessThan">
      <formula>$C20</formula>
    </cfRule>
  </conditionalFormatting>
  <conditionalFormatting sqref="D21:E21">
    <cfRule type="expression" dxfId="6844" priority="848">
      <formula>AND($A21&lt;&gt;"",MOD(ROW(),2))</formula>
    </cfRule>
  </conditionalFormatting>
  <conditionalFormatting sqref="D21">
    <cfRule type="cellIs" dxfId="6843" priority="845" operator="equal">
      <formula>$C21</formula>
    </cfRule>
    <cfRule type="cellIs" dxfId="6842" priority="846" operator="greaterThan">
      <formula>$C21</formula>
    </cfRule>
    <cfRule type="cellIs" dxfId="6841" priority="847" operator="lessThan">
      <formula>$C21</formula>
    </cfRule>
  </conditionalFormatting>
  <conditionalFormatting sqref="D22:E22">
    <cfRule type="expression" dxfId="6840" priority="844">
      <formula>AND($A22&lt;&gt;"",MOD(ROW(),2))</formula>
    </cfRule>
  </conditionalFormatting>
  <conditionalFormatting sqref="D22">
    <cfRule type="cellIs" dxfId="6839" priority="841" operator="equal">
      <formula>$C22</formula>
    </cfRule>
    <cfRule type="cellIs" dxfId="6838" priority="842" operator="greaterThan">
      <formula>$C22</formula>
    </cfRule>
    <cfRule type="cellIs" dxfId="6837" priority="843" operator="lessThan">
      <formula>$C22</formula>
    </cfRule>
  </conditionalFormatting>
  <conditionalFormatting sqref="D23:E23">
    <cfRule type="expression" dxfId="6836" priority="840">
      <formula>AND($A23&lt;&gt;"",MOD(ROW(),2))</formula>
    </cfRule>
  </conditionalFormatting>
  <conditionalFormatting sqref="D23">
    <cfRule type="cellIs" dxfId="6835" priority="837" operator="equal">
      <formula>$C23</formula>
    </cfRule>
    <cfRule type="cellIs" dxfId="6834" priority="838" operator="greaterThan">
      <formula>$C23</formula>
    </cfRule>
    <cfRule type="cellIs" dxfId="6833" priority="839" operator="lessThan">
      <formula>$C23</formula>
    </cfRule>
  </conditionalFormatting>
  <conditionalFormatting sqref="D24:E24">
    <cfRule type="expression" dxfId="6832" priority="836">
      <formula>AND($A24&lt;&gt;"",MOD(ROW(),2))</formula>
    </cfRule>
  </conditionalFormatting>
  <conditionalFormatting sqref="D24">
    <cfRule type="cellIs" dxfId="6831" priority="833" operator="equal">
      <formula>$C24</formula>
    </cfRule>
    <cfRule type="cellIs" dxfId="6830" priority="834" operator="greaterThan">
      <formula>$C24</formula>
    </cfRule>
    <cfRule type="cellIs" dxfId="6829" priority="835" operator="lessThan">
      <formula>$C24</formula>
    </cfRule>
  </conditionalFormatting>
  <conditionalFormatting sqref="D25:E25">
    <cfRule type="expression" dxfId="6828" priority="832">
      <formula>AND($A25&lt;&gt;"",MOD(ROW(),2))</formula>
    </cfRule>
  </conditionalFormatting>
  <conditionalFormatting sqref="D25">
    <cfRule type="cellIs" dxfId="6827" priority="829" operator="equal">
      <formula>$C25</formula>
    </cfRule>
    <cfRule type="cellIs" dxfId="6826" priority="830" operator="greaterThan">
      <formula>$C25</formula>
    </cfRule>
    <cfRule type="cellIs" dxfId="6825" priority="831" operator="lessThan">
      <formula>$C25</formula>
    </cfRule>
  </conditionalFormatting>
  <conditionalFormatting sqref="D26:E26">
    <cfRule type="expression" dxfId="6824" priority="828">
      <formula>AND($A26&lt;&gt;"",MOD(ROW(),2))</formula>
    </cfRule>
  </conditionalFormatting>
  <conditionalFormatting sqref="D26">
    <cfRule type="cellIs" dxfId="6823" priority="825" operator="equal">
      <formula>$C26</formula>
    </cfRule>
    <cfRule type="cellIs" dxfId="6822" priority="826" operator="greaterThan">
      <formula>$C26</formula>
    </cfRule>
    <cfRule type="cellIs" dxfId="6821" priority="827" operator="lessThan">
      <formula>$C26</formula>
    </cfRule>
  </conditionalFormatting>
  <conditionalFormatting sqref="D27:E27">
    <cfRule type="expression" dxfId="6820" priority="824">
      <formula>AND($A27&lt;&gt;"",MOD(ROW(),2))</formula>
    </cfRule>
  </conditionalFormatting>
  <conditionalFormatting sqref="D27">
    <cfRule type="cellIs" dxfId="6819" priority="821" operator="equal">
      <formula>$C27</formula>
    </cfRule>
    <cfRule type="cellIs" dxfId="6818" priority="822" operator="greaterThan">
      <formula>$C27</formula>
    </cfRule>
    <cfRule type="cellIs" dxfId="6817" priority="823" operator="lessThan">
      <formula>$C27</formula>
    </cfRule>
  </conditionalFormatting>
  <conditionalFormatting sqref="D28:E28">
    <cfRule type="expression" dxfId="6816" priority="820">
      <formula>AND($A28&lt;&gt;"",MOD(ROW(),2))</formula>
    </cfRule>
  </conditionalFormatting>
  <conditionalFormatting sqref="D28">
    <cfRule type="cellIs" dxfId="6815" priority="817" operator="equal">
      <formula>$C28</formula>
    </cfRule>
    <cfRule type="cellIs" dxfId="6814" priority="818" operator="greaterThan">
      <formula>$C28</formula>
    </cfRule>
    <cfRule type="cellIs" dxfId="6813" priority="819" operator="lessThan">
      <formula>$C28</formula>
    </cfRule>
  </conditionalFormatting>
  <conditionalFormatting sqref="D29:E29">
    <cfRule type="expression" dxfId="6812" priority="816">
      <formula>AND($A29&lt;&gt;"",MOD(ROW(),2))</formula>
    </cfRule>
  </conditionalFormatting>
  <conditionalFormatting sqref="D29">
    <cfRule type="cellIs" dxfId="6811" priority="813" operator="equal">
      <formula>$C29</formula>
    </cfRule>
    <cfRule type="cellIs" dxfId="6810" priority="814" operator="greaterThan">
      <formula>$C29</formula>
    </cfRule>
    <cfRule type="cellIs" dxfId="6809" priority="815" operator="lessThan">
      <formula>$C29</formula>
    </cfRule>
  </conditionalFormatting>
  <conditionalFormatting sqref="D30:E30">
    <cfRule type="expression" dxfId="6808" priority="812">
      <formula>AND($A30&lt;&gt;"",MOD(ROW(),2))</formula>
    </cfRule>
  </conditionalFormatting>
  <conditionalFormatting sqref="D30">
    <cfRule type="cellIs" dxfId="6807" priority="809" operator="equal">
      <formula>$C30</formula>
    </cfRule>
    <cfRule type="cellIs" dxfId="6806" priority="810" operator="greaterThan">
      <formula>$C30</formula>
    </cfRule>
    <cfRule type="cellIs" dxfId="6805" priority="811" operator="lessThan">
      <formula>$C30</formula>
    </cfRule>
  </conditionalFormatting>
  <conditionalFormatting sqref="D31:E31">
    <cfRule type="expression" dxfId="6804" priority="808">
      <formula>AND($A31&lt;&gt;"",MOD(ROW(),2))</formula>
    </cfRule>
  </conditionalFormatting>
  <conditionalFormatting sqref="D31">
    <cfRule type="cellIs" dxfId="6803" priority="805" operator="equal">
      <formula>$C31</formula>
    </cfRule>
    <cfRule type="cellIs" dxfId="6802" priority="806" operator="greaterThan">
      <formula>$C31</formula>
    </cfRule>
    <cfRule type="cellIs" dxfId="6801" priority="807" operator="lessThan">
      <formula>$C31</formula>
    </cfRule>
  </conditionalFormatting>
  <conditionalFormatting sqref="D32:E32">
    <cfRule type="expression" dxfId="6800" priority="804">
      <formula>AND($A32&lt;&gt;"",MOD(ROW(),2))</formula>
    </cfRule>
  </conditionalFormatting>
  <conditionalFormatting sqref="D32">
    <cfRule type="cellIs" dxfId="6799" priority="801" operator="equal">
      <formula>$C32</formula>
    </cfRule>
    <cfRule type="cellIs" dxfId="6798" priority="802" operator="greaterThan">
      <formula>$C32</formula>
    </cfRule>
    <cfRule type="cellIs" dxfId="6797" priority="803" operator="lessThan">
      <formula>$C32</formula>
    </cfRule>
  </conditionalFormatting>
  <conditionalFormatting sqref="D33:E33">
    <cfRule type="expression" dxfId="6796" priority="800">
      <formula>AND($A33&lt;&gt;"",MOD(ROW(),2))</formula>
    </cfRule>
  </conditionalFormatting>
  <conditionalFormatting sqref="D33">
    <cfRule type="cellIs" dxfId="6795" priority="797" operator="equal">
      <formula>$C33</formula>
    </cfRule>
    <cfRule type="cellIs" dxfId="6794" priority="798" operator="greaterThan">
      <formula>$C33</formula>
    </cfRule>
    <cfRule type="cellIs" dxfId="6793" priority="799" operator="lessThan">
      <formula>$C33</formula>
    </cfRule>
  </conditionalFormatting>
  <conditionalFormatting sqref="D34:E34">
    <cfRule type="expression" dxfId="6792" priority="796">
      <formula>AND($A34&lt;&gt;"",MOD(ROW(),2))</formula>
    </cfRule>
  </conditionalFormatting>
  <conditionalFormatting sqref="D34">
    <cfRule type="cellIs" dxfId="6791" priority="793" operator="equal">
      <formula>$C34</formula>
    </cfRule>
    <cfRule type="cellIs" dxfId="6790" priority="794" operator="greaterThan">
      <formula>$C34</formula>
    </cfRule>
    <cfRule type="cellIs" dxfId="6789" priority="795" operator="lessThan">
      <formula>$C34</formula>
    </cfRule>
  </conditionalFormatting>
  <conditionalFormatting sqref="D35:E35">
    <cfRule type="expression" dxfId="6788" priority="792">
      <formula>AND($A35&lt;&gt;"",MOD(ROW(),2))</formula>
    </cfRule>
  </conditionalFormatting>
  <conditionalFormatting sqref="D35">
    <cfRule type="cellIs" dxfId="6787" priority="789" operator="equal">
      <formula>$C35</formula>
    </cfRule>
    <cfRule type="cellIs" dxfId="6786" priority="790" operator="greaterThan">
      <formula>$C35</formula>
    </cfRule>
    <cfRule type="cellIs" dxfId="6785" priority="791" operator="lessThan">
      <formula>$C35</formula>
    </cfRule>
  </conditionalFormatting>
  <conditionalFormatting sqref="K29:M29">
    <cfRule type="expression" dxfId="6784" priority="783">
      <formula>AND($A28&lt;&gt;"",MOD(ROW(),2))</formula>
    </cfRule>
  </conditionalFormatting>
  <conditionalFormatting sqref="K29">
    <cfRule type="cellIs" dxfId="6783" priority="780" operator="equal">
      <formula>$C28</formula>
    </cfRule>
    <cfRule type="cellIs" dxfId="6782" priority="781" operator="greaterThan">
      <formula>$C28</formula>
    </cfRule>
    <cfRule type="cellIs" dxfId="6781" priority="782" operator="lessThan">
      <formula>$C28</formula>
    </cfRule>
  </conditionalFormatting>
  <conditionalFormatting sqref="L29:M29">
    <cfRule type="expression" dxfId="6780" priority="788">
      <formula>AND(#REF!&lt;&gt;"",MOD(ROW(),2))</formula>
    </cfRule>
  </conditionalFormatting>
  <conditionalFormatting sqref="L29:M29">
    <cfRule type="expression" dxfId="6779" priority="787">
      <formula>AND(#REF!&lt;&gt;"",MOD(ROW(),2))</formula>
    </cfRule>
  </conditionalFormatting>
  <conditionalFormatting sqref="M29">
    <cfRule type="cellIs" dxfId="6778" priority="784" operator="equal">
      <formula>#REF!</formula>
    </cfRule>
    <cfRule type="cellIs" dxfId="6777" priority="785" operator="greaterThan">
      <formula>#REF!</formula>
    </cfRule>
    <cfRule type="cellIs" dxfId="6776" priority="786" operator="lessThan">
      <formula>#REF!</formula>
    </cfRule>
  </conditionalFormatting>
  <conditionalFormatting sqref="K25:M25">
    <cfRule type="expression" dxfId="6775" priority="774">
      <formula>AND($A24&lt;&gt;"",MOD(ROW(),2))</formula>
    </cfRule>
  </conditionalFormatting>
  <conditionalFormatting sqref="K25">
    <cfRule type="cellIs" dxfId="6774" priority="771" operator="equal">
      <formula>$C24</formula>
    </cfRule>
    <cfRule type="cellIs" dxfId="6773" priority="772" operator="greaterThan">
      <formula>$C24</formula>
    </cfRule>
    <cfRule type="cellIs" dxfId="6772" priority="773" operator="lessThan">
      <formula>$C24</formula>
    </cfRule>
  </conditionalFormatting>
  <conditionalFormatting sqref="L25:M25">
    <cfRule type="expression" dxfId="6771" priority="779">
      <formula>AND(#REF!&lt;&gt;"",MOD(ROW(),2))</formula>
    </cfRule>
  </conditionalFormatting>
  <conditionalFormatting sqref="L25:M25">
    <cfRule type="expression" dxfId="6770" priority="778">
      <formula>AND(#REF!&lt;&gt;"",MOD(ROW(),2))</formula>
    </cfRule>
  </conditionalFormatting>
  <conditionalFormatting sqref="M25">
    <cfRule type="cellIs" dxfId="6769" priority="775" operator="equal">
      <formula>#REF!</formula>
    </cfRule>
    <cfRule type="cellIs" dxfId="6768" priority="776" operator="greaterThan">
      <formula>#REF!</formula>
    </cfRule>
    <cfRule type="cellIs" dxfId="6767" priority="777" operator="lessThan">
      <formula>#REF!</formula>
    </cfRule>
  </conditionalFormatting>
  <conditionalFormatting sqref="K26:M26">
    <cfRule type="expression" dxfId="6766" priority="765">
      <formula>AND($A25&lt;&gt;"",MOD(ROW(),2))</formula>
    </cfRule>
  </conditionalFormatting>
  <conditionalFormatting sqref="K26">
    <cfRule type="cellIs" dxfId="6765" priority="762" operator="equal">
      <formula>$C25</formula>
    </cfRule>
    <cfRule type="cellIs" dxfId="6764" priority="763" operator="greaterThan">
      <formula>$C25</formula>
    </cfRule>
    <cfRule type="cellIs" dxfId="6763" priority="764" operator="lessThan">
      <formula>$C25</formula>
    </cfRule>
  </conditionalFormatting>
  <conditionalFormatting sqref="L26:M26">
    <cfRule type="expression" dxfId="6762" priority="770">
      <formula>AND(#REF!&lt;&gt;"",MOD(ROW(),2))</formula>
    </cfRule>
  </conditionalFormatting>
  <conditionalFormatting sqref="L26:M26">
    <cfRule type="expression" dxfId="6761" priority="769">
      <formula>AND(#REF!&lt;&gt;"",MOD(ROW(),2))</formula>
    </cfRule>
  </conditionalFormatting>
  <conditionalFormatting sqref="M26">
    <cfRule type="cellIs" dxfId="6760" priority="766" operator="equal">
      <formula>#REF!</formula>
    </cfRule>
    <cfRule type="cellIs" dxfId="6759" priority="767" operator="greaterThan">
      <formula>#REF!</formula>
    </cfRule>
    <cfRule type="cellIs" dxfId="6758" priority="768" operator="lessThan">
      <formula>#REF!</formula>
    </cfRule>
  </conditionalFormatting>
  <conditionalFormatting sqref="K24:M24">
    <cfRule type="expression" dxfId="6757" priority="756">
      <formula>AND($A23&lt;&gt;"",MOD(ROW(),2))</formula>
    </cfRule>
  </conditionalFormatting>
  <conditionalFormatting sqref="K24">
    <cfRule type="cellIs" dxfId="6756" priority="753" operator="equal">
      <formula>$C23</formula>
    </cfRule>
    <cfRule type="cellIs" dxfId="6755" priority="754" operator="greaterThan">
      <formula>$C23</formula>
    </cfRule>
    <cfRule type="cellIs" dxfId="6754" priority="755" operator="lessThan">
      <formula>$C23</formula>
    </cfRule>
  </conditionalFormatting>
  <conditionalFormatting sqref="L24:M24">
    <cfRule type="expression" dxfId="6753" priority="761">
      <formula>AND(#REF!&lt;&gt;"",MOD(ROW(),2))</formula>
    </cfRule>
  </conditionalFormatting>
  <conditionalFormatting sqref="L24:M24">
    <cfRule type="expression" dxfId="6752" priority="760">
      <formula>AND(#REF!&lt;&gt;"",MOD(ROW(),2))</formula>
    </cfRule>
  </conditionalFormatting>
  <conditionalFormatting sqref="M24">
    <cfRule type="cellIs" dxfId="6751" priority="757" operator="equal">
      <formula>#REF!</formula>
    </cfRule>
    <cfRule type="cellIs" dxfId="6750" priority="758" operator="greaterThan">
      <formula>#REF!</formula>
    </cfRule>
    <cfRule type="cellIs" dxfId="6749" priority="759" operator="lessThan">
      <formula>#REF!</formula>
    </cfRule>
  </conditionalFormatting>
  <conditionalFormatting sqref="K25:M25">
    <cfRule type="expression" dxfId="6748" priority="747">
      <formula>AND($A24&lt;&gt;"",MOD(ROW(),2))</formula>
    </cfRule>
  </conditionalFormatting>
  <conditionalFormatting sqref="K25">
    <cfRule type="cellIs" dxfId="6747" priority="744" operator="equal">
      <formula>$C24</formula>
    </cfRule>
    <cfRule type="cellIs" dxfId="6746" priority="745" operator="greaterThan">
      <formula>$C24</formula>
    </cfRule>
    <cfRule type="cellIs" dxfId="6745" priority="746" operator="lessThan">
      <formula>$C24</formula>
    </cfRule>
  </conditionalFormatting>
  <conditionalFormatting sqref="L25:M25">
    <cfRule type="expression" dxfId="6744" priority="752">
      <formula>AND(#REF!&lt;&gt;"",MOD(ROW(),2))</formula>
    </cfRule>
  </conditionalFormatting>
  <conditionalFormatting sqref="L25:M25">
    <cfRule type="expression" dxfId="6743" priority="751">
      <formula>AND(#REF!&lt;&gt;"",MOD(ROW(),2))</formula>
    </cfRule>
  </conditionalFormatting>
  <conditionalFormatting sqref="M25">
    <cfRule type="cellIs" dxfId="6742" priority="748" operator="equal">
      <formula>#REF!</formula>
    </cfRule>
    <cfRule type="cellIs" dxfId="6741" priority="749" operator="greaterThan">
      <formula>#REF!</formula>
    </cfRule>
    <cfRule type="cellIs" dxfId="6740" priority="750" operator="lessThan">
      <formula>#REF!</formula>
    </cfRule>
  </conditionalFormatting>
  <conditionalFormatting sqref="K24:M24">
    <cfRule type="expression" dxfId="6739" priority="738">
      <formula>AND($A23&lt;&gt;"",MOD(ROW(),2))</formula>
    </cfRule>
  </conditionalFormatting>
  <conditionalFormatting sqref="K24">
    <cfRule type="cellIs" dxfId="6738" priority="735" operator="equal">
      <formula>$C23</formula>
    </cfRule>
    <cfRule type="cellIs" dxfId="6737" priority="736" operator="greaterThan">
      <formula>$C23</formula>
    </cfRule>
    <cfRule type="cellIs" dxfId="6736" priority="737" operator="lessThan">
      <formula>$C23</formula>
    </cfRule>
  </conditionalFormatting>
  <conditionalFormatting sqref="L24:M24">
    <cfRule type="expression" dxfId="6735" priority="743">
      <formula>AND(#REF!&lt;&gt;"",MOD(ROW(),2))</formula>
    </cfRule>
  </conditionalFormatting>
  <conditionalFormatting sqref="L24:M24">
    <cfRule type="expression" dxfId="6734" priority="742">
      <formula>AND(#REF!&lt;&gt;"",MOD(ROW(),2))</formula>
    </cfRule>
  </conditionalFormatting>
  <conditionalFormatting sqref="M24">
    <cfRule type="cellIs" dxfId="6733" priority="739" operator="equal">
      <formula>#REF!</formula>
    </cfRule>
    <cfRule type="cellIs" dxfId="6732" priority="740" operator="greaterThan">
      <formula>#REF!</formula>
    </cfRule>
    <cfRule type="cellIs" dxfId="6731" priority="741" operator="lessThan">
      <formula>#REF!</formula>
    </cfRule>
  </conditionalFormatting>
  <conditionalFormatting sqref="K23:M23">
    <cfRule type="expression" dxfId="6730" priority="729">
      <formula>AND($A22&lt;&gt;"",MOD(ROW(),2))</formula>
    </cfRule>
  </conditionalFormatting>
  <conditionalFormatting sqref="K23">
    <cfRule type="cellIs" dxfId="6729" priority="726" operator="equal">
      <formula>$C22</formula>
    </cfRule>
    <cfRule type="cellIs" dxfId="6728" priority="727" operator="greaterThan">
      <formula>$C22</formula>
    </cfRule>
    <cfRule type="cellIs" dxfId="6727" priority="728" operator="lessThan">
      <formula>$C22</formula>
    </cfRule>
  </conditionalFormatting>
  <conditionalFormatting sqref="L23:M23">
    <cfRule type="expression" dxfId="6726" priority="734">
      <formula>AND(#REF!&lt;&gt;"",MOD(ROW(),2))</formula>
    </cfRule>
  </conditionalFormatting>
  <conditionalFormatting sqref="L23:M23">
    <cfRule type="expression" dxfId="6725" priority="733">
      <formula>AND(#REF!&lt;&gt;"",MOD(ROW(),2))</formula>
    </cfRule>
  </conditionalFormatting>
  <conditionalFormatting sqref="M23">
    <cfRule type="cellIs" dxfId="6724" priority="730" operator="equal">
      <formula>#REF!</formula>
    </cfRule>
    <cfRule type="cellIs" dxfId="6723" priority="731" operator="greaterThan">
      <formula>#REF!</formula>
    </cfRule>
    <cfRule type="cellIs" dxfId="6722" priority="732" operator="lessThan">
      <formula>#REF!</formula>
    </cfRule>
  </conditionalFormatting>
  <conditionalFormatting sqref="K24:M24">
    <cfRule type="expression" dxfId="6721" priority="720">
      <formula>AND($A23&lt;&gt;"",MOD(ROW(),2))</formula>
    </cfRule>
  </conditionalFormatting>
  <conditionalFormatting sqref="K24">
    <cfRule type="cellIs" dxfId="6720" priority="717" operator="equal">
      <formula>$C23</formula>
    </cfRule>
    <cfRule type="cellIs" dxfId="6719" priority="718" operator="greaterThan">
      <formula>$C23</formula>
    </cfRule>
    <cfRule type="cellIs" dxfId="6718" priority="719" operator="lessThan">
      <formula>$C23</formula>
    </cfRule>
  </conditionalFormatting>
  <conditionalFormatting sqref="L24:M24">
    <cfRule type="expression" dxfId="6717" priority="725">
      <formula>AND(#REF!&lt;&gt;"",MOD(ROW(),2))</formula>
    </cfRule>
  </conditionalFormatting>
  <conditionalFormatting sqref="L24:M24">
    <cfRule type="expression" dxfId="6716" priority="724">
      <formula>AND(#REF!&lt;&gt;"",MOD(ROW(),2))</formula>
    </cfRule>
  </conditionalFormatting>
  <conditionalFormatting sqref="M24">
    <cfRule type="cellIs" dxfId="6715" priority="721" operator="equal">
      <formula>#REF!</formula>
    </cfRule>
    <cfRule type="cellIs" dxfId="6714" priority="722" operator="greaterThan">
      <formula>#REF!</formula>
    </cfRule>
    <cfRule type="cellIs" dxfId="6713" priority="723" operator="lessThan">
      <formula>#REF!</formula>
    </cfRule>
  </conditionalFormatting>
  <conditionalFormatting sqref="K23:M23">
    <cfRule type="expression" dxfId="6712" priority="711">
      <formula>AND($A22&lt;&gt;"",MOD(ROW(),2))</formula>
    </cfRule>
  </conditionalFormatting>
  <conditionalFormatting sqref="K23">
    <cfRule type="cellIs" dxfId="6711" priority="708" operator="equal">
      <formula>$C22</formula>
    </cfRule>
    <cfRule type="cellIs" dxfId="6710" priority="709" operator="greaterThan">
      <formula>$C22</formula>
    </cfRule>
    <cfRule type="cellIs" dxfId="6709" priority="710" operator="lessThan">
      <formula>$C22</formula>
    </cfRule>
  </conditionalFormatting>
  <conditionalFormatting sqref="L23:M23">
    <cfRule type="expression" dxfId="6708" priority="716">
      <formula>AND(#REF!&lt;&gt;"",MOD(ROW(),2))</formula>
    </cfRule>
  </conditionalFormatting>
  <conditionalFormatting sqref="L23:M23">
    <cfRule type="expression" dxfId="6707" priority="715">
      <formula>AND(#REF!&lt;&gt;"",MOD(ROW(),2))</formula>
    </cfRule>
  </conditionalFormatting>
  <conditionalFormatting sqref="M23">
    <cfRule type="cellIs" dxfId="6706" priority="712" operator="equal">
      <formula>#REF!</formula>
    </cfRule>
    <cfRule type="cellIs" dxfId="6705" priority="713" operator="greaterThan">
      <formula>#REF!</formula>
    </cfRule>
    <cfRule type="cellIs" dxfId="6704" priority="714" operator="lessThan">
      <formula>#REF!</formula>
    </cfRule>
  </conditionalFormatting>
  <conditionalFormatting sqref="K23:M23">
    <cfRule type="expression" dxfId="6703" priority="702">
      <formula>AND($A22&lt;&gt;"",MOD(ROW(),2))</formula>
    </cfRule>
  </conditionalFormatting>
  <conditionalFormatting sqref="K23">
    <cfRule type="cellIs" dxfId="6702" priority="699" operator="equal">
      <formula>$C22</formula>
    </cfRule>
    <cfRule type="cellIs" dxfId="6701" priority="700" operator="greaterThan">
      <formula>$C22</formula>
    </cfRule>
    <cfRule type="cellIs" dxfId="6700" priority="701" operator="lessThan">
      <formula>$C22</formula>
    </cfRule>
  </conditionalFormatting>
  <conditionalFormatting sqref="L23:M23">
    <cfRule type="expression" dxfId="6699" priority="707">
      <formula>AND(#REF!&lt;&gt;"",MOD(ROW(),2))</formula>
    </cfRule>
  </conditionalFormatting>
  <conditionalFormatting sqref="L23:M23">
    <cfRule type="expression" dxfId="6698" priority="706">
      <formula>AND(#REF!&lt;&gt;"",MOD(ROW(),2))</formula>
    </cfRule>
  </conditionalFormatting>
  <conditionalFormatting sqref="M23">
    <cfRule type="cellIs" dxfId="6697" priority="703" operator="equal">
      <formula>#REF!</formula>
    </cfRule>
    <cfRule type="cellIs" dxfId="6696" priority="704" operator="greaterThan">
      <formula>#REF!</formula>
    </cfRule>
    <cfRule type="cellIs" dxfId="6695" priority="705" operator="lessThan">
      <formula>#REF!</formula>
    </cfRule>
  </conditionalFormatting>
  <conditionalFormatting sqref="K22:M22">
    <cfRule type="expression" dxfId="6694" priority="693">
      <formula>AND($A21&lt;&gt;"",MOD(ROW(),2))</formula>
    </cfRule>
  </conditionalFormatting>
  <conditionalFormatting sqref="K22">
    <cfRule type="cellIs" dxfId="6693" priority="690" operator="equal">
      <formula>$C21</formula>
    </cfRule>
    <cfRule type="cellIs" dxfId="6692" priority="691" operator="greaterThan">
      <formula>$C21</formula>
    </cfRule>
    <cfRule type="cellIs" dxfId="6691" priority="692" operator="lessThan">
      <formula>$C21</formula>
    </cfRule>
  </conditionalFormatting>
  <conditionalFormatting sqref="L22:M22">
    <cfRule type="expression" dxfId="6690" priority="698">
      <formula>AND(#REF!&lt;&gt;"",MOD(ROW(),2))</formula>
    </cfRule>
  </conditionalFormatting>
  <conditionalFormatting sqref="L22:M22">
    <cfRule type="expression" dxfId="6689" priority="697">
      <formula>AND(#REF!&lt;&gt;"",MOD(ROW(),2))</formula>
    </cfRule>
  </conditionalFormatting>
  <conditionalFormatting sqref="M22">
    <cfRule type="cellIs" dxfId="6688" priority="694" operator="equal">
      <formula>#REF!</formula>
    </cfRule>
    <cfRule type="cellIs" dxfId="6687" priority="695" operator="greaterThan">
      <formula>#REF!</formula>
    </cfRule>
    <cfRule type="cellIs" dxfId="6686" priority="696" operator="lessThan">
      <formula>#REF!</formula>
    </cfRule>
  </conditionalFormatting>
  <conditionalFormatting sqref="K23:M23">
    <cfRule type="expression" dxfId="6685" priority="684">
      <formula>AND($A22&lt;&gt;"",MOD(ROW(),2))</formula>
    </cfRule>
  </conditionalFormatting>
  <conditionalFormatting sqref="K23">
    <cfRule type="cellIs" dxfId="6684" priority="681" operator="equal">
      <formula>$C22</formula>
    </cfRule>
    <cfRule type="cellIs" dxfId="6683" priority="682" operator="greaterThan">
      <formula>$C22</formula>
    </cfRule>
    <cfRule type="cellIs" dxfId="6682" priority="683" operator="lessThan">
      <formula>$C22</formula>
    </cfRule>
  </conditionalFormatting>
  <conditionalFormatting sqref="L23:M23">
    <cfRule type="expression" dxfId="6681" priority="689">
      <formula>AND(#REF!&lt;&gt;"",MOD(ROW(),2))</formula>
    </cfRule>
  </conditionalFormatting>
  <conditionalFormatting sqref="L23:M23">
    <cfRule type="expression" dxfId="6680" priority="688">
      <formula>AND(#REF!&lt;&gt;"",MOD(ROW(),2))</formula>
    </cfRule>
  </conditionalFormatting>
  <conditionalFormatting sqref="M23">
    <cfRule type="cellIs" dxfId="6679" priority="685" operator="equal">
      <formula>#REF!</formula>
    </cfRule>
    <cfRule type="cellIs" dxfId="6678" priority="686" operator="greaterThan">
      <formula>#REF!</formula>
    </cfRule>
    <cfRule type="cellIs" dxfId="6677" priority="687" operator="lessThan">
      <formula>#REF!</formula>
    </cfRule>
  </conditionalFormatting>
  <conditionalFormatting sqref="K23:M23">
    <cfRule type="expression" dxfId="6676" priority="675">
      <formula>AND($A22&lt;&gt;"",MOD(ROW(),2))</formula>
    </cfRule>
  </conditionalFormatting>
  <conditionalFormatting sqref="K23">
    <cfRule type="cellIs" dxfId="6675" priority="672" operator="equal">
      <formula>$C22</formula>
    </cfRule>
    <cfRule type="cellIs" dxfId="6674" priority="673" operator="greaterThan">
      <formula>$C22</formula>
    </cfRule>
    <cfRule type="cellIs" dxfId="6673" priority="674" operator="lessThan">
      <formula>$C22</formula>
    </cfRule>
  </conditionalFormatting>
  <conditionalFormatting sqref="L23:M23">
    <cfRule type="expression" dxfId="6672" priority="680">
      <formula>AND(#REF!&lt;&gt;"",MOD(ROW(),2))</formula>
    </cfRule>
  </conditionalFormatting>
  <conditionalFormatting sqref="L23:M23">
    <cfRule type="expression" dxfId="6671" priority="679">
      <formula>AND(#REF!&lt;&gt;"",MOD(ROW(),2))</formula>
    </cfRule>
  </conditionalFormatting>
  <conditionalFormatting sqref="M23">
    <cfRule type="cellIs" dxfId="6670" priority="676" operator="equal">
      <formula>#REF!</formula>
    </cfRule>
    <cfRule type="cellIs" dxfId="6669" priority="677" operator="greaterThan">
      <formula>#REF!</formula>
    </cfRule>
    <cfRule type="cellIs" dxfId="6668" priority="678" operator="lessThan">
      <formula>#REF!</formula>
    </cfRule>
  </conditionalFormatting>
  <conditionalFormatting sqref="K23:M23">
    <cfRule type="expression" dxfId="6667" priority="666">
      <formula>AND($A22&lt;&gt;"",MOD(ROW(),2))</formula>
    </cfRule>
  </conditionalFormatting>
  <conditionalFormatting sqref="K23">
    <cfRule type="cellIs" dxfId="6666" priority="663" operator="equal">
      <formula>$C22</formula>
    </cfRule>
    <cfRule type="cellIs" dxfId="6665" priority="664" operator="greaterThan">
      <formula>$C22</formula>
    </cfRule>
    <cfRule type="cellIs" dxfId="6664" priority="665" operator="lessThan">
      <formula>$C22</formula>
    </cfRule>
  </conditionalFormatting>
  <conditionalFormatting sqref="L23:M23">
    <cfRule type="expression" dxfId="6663" priority="671">
      <formula>AND(#REF!&lt;&gt;"",MOD(ROW(),2))</formula>
    </cfRule>
  </conditionalFormatting>
  <conditionalFormatting sqref="L23:M23">
    <cfRule type="expression" dxfId="6662" priority="670">
      <formula>AND(#REF!&lt;&gt;"",MOD(ROW(),2))</formula>
    </cfRule>
  </conditionalFormatting>
  <conditionalFormatting sqref="M23">
    <cfRule type="cellIs" dxfId="6661" priority="667" operator="equal">
      <formula>#REF!</formula>
    </cfRule>
    <cfRule type="cellIs" dxfId="6660" priority="668" operator="greaterThan">
      <formula>#REF!</formula>
    </cfRule>
    <cfRule type="cellIs" dxfId="6659" priority="669" operator="lessThan">
      <formula>#REF!</formula>
    </cfRule>
  </conditionalFormatting>
  <conditionalFormatting sqref="K22:M22">
    <cfRule type="expression" dxfId="6658" priority="657">
      <formula>AND($A21&lt;&gt;"",MOD(ROW(),2))</formula>
    </cfRule>
  </conditionalFormatting>
  <conditionalFormatting sqref="K22">
    <cfRule type="cellIs" dxfId="6657" priority="654" operator="equal">
      <formula>$C21</formula>
    </cfRule>
    <cfRule type="cellIs" dxfId="6656" priority="655" operator="greaterThan">
      <formula>$C21</formula>
    </cfRule>
    <cfRule type="cellIs" dxfId="6655" priority="656" operator="lessThan">
      <formula>$C21</formula>
    </cfRule>
  </conditionalFormatting>
  <conditionalFormatting sqref="L22:M22">
    <cfRule type="expression" dxfId="6654" priority="662">
      <formula>AND(#REF!&lt;&gt;"",MOD(ROW(),2))</formula>
    </cfRule>
  </conditionalFormatting>
  <conditionalFormatting sqref="L22:M22">
    <cfRule type="expression" dxfId="6653" priority="661">
      <formula>AND(#REF!&lt;&gt;"",MOD(ROW(),2))</formula>
    </cfRule>
  </conditionalFormatting>
  <conditionalFormatting sqref="M22">
    <cfRule type="cellIs" dxfId="6652" priority="658" operator="equal">
      <formula>#REF!</formula>
    </cfRule>
    <cfRule type="cellIs" dxfId="6651" priority="659" operator="greaterThan">
      <formula>#REF!</formula>
    </cfRule>
    <cfRule type="cellIs" dxfId="6650" priority="660" operator="lessThan">
      <formula>#REF!</formula>
    </cfRule>
  </conditionalFormatting>
  <conditionalFormatting sqref="K23:M23">
    <cfRule type="expression" dxfId="6649" priority="648">
      <formula>AND($A22&lt;&gt;"",MOD(ROW(),2))</formula>
    </cfRule>
  </conditionalFormatting>
  <conditionalFormatting sqref="K23">
    <cfRule type="cellIs" dxfId="6648" priority="645" operator="equal">
      <formula>$C22</formula>
    </cfRule>
    <cfRule type="cellIs" dxfId="6647" priority="646" operator="greaterThan">
      <formula>$C22</formula>
    </cfRule>
    <cfRule type="cellIs" dxfId="6646" priority="647" operator="lessThan">
      <formula>$C22</formula>
    </cfRule>
  </conditionalFormatting>
  <conditionalFormatting sqref="L23:M23">
    <cfRule type="expression" dxfId="6645" priority="653">
      <formula>AND(#REF!&lt;&gt;"",MOD(ROW(),2))</formula>
    </cfRule>
  </conditionalFormatting>
  <conditionalFormatting sqref="L23:M23">
    <cfRule type="expression" dxfId="6644" priority="652">
      <formula>AND(#REF!&lt;&gt;"",MOD(ROW(),2))</formula>
    </cfRule>
  </conditionalFormatting>
  <conditionalFormatting sqref="M23">
    <cfRule type="cellIs" dxfId="6643" priority="649" operator="equal">
      <formula>#REF!</formula>
    </cfRule>
    <cfRule type="cellIs" dxfId="6642" priority="650" operator="greaterThan">
      <formula>#REF!</formula>
    </cfRule>
    <cfRule type="cellIs" dxfId="6641" priority="651" operator="lessThan">
      <formula>#REF!</formula>
    </cfRule>
  </conditionalFormatting>
  <conditionalFormatting sqref="K22:M22">
    <cfRule type="expression" dxfId="6640" priority="639">
      <formula>AND($A21&lt;&gt;"",MOD(ROW(),2))</formula>
    </cfRule>
  </conditionalFormatting>
  <conditionalFormatting sqref="K22">
    <cfRule type="cellIs" dxfId="6639" priority="636" operator="equal">
      <formula>$C21</formula>
    </cfRule>
    <cfRule type="cellIs" dxfId="6638" priority="637" operator="greaterThan">
      <formula>$C21</formula>
    </cfRule>
    <cfRule type="cellIs" dxfId="6637" priority="638" operator="lessThan">
      <formula>$C21</formula>
    </cfRule>
  </conditionalFormatting>
  <conditionalFormatting sqref="L22:M22">
    <cfRule type="expression" dxfId="6636" priority="644">
      <formula>AND(#REF!&lt;&gt;"",MOD(ROW(),2))</formula>
    </cfRule>
  </conditionalFormatting>
  <conditionalFormatting sqref="L22:M22">
    <cfRule type="expression" dxfId="6635" priority="643">
      <formula>AND(#REF!&lt;&gt;"",MOD(ROW(),2))</formula>
    </cfRule>
  </conditionalFormatting>
  <conditionalFormatting sqref="M22">
    <cfRule type="cellIs" dxfId="6634" priority="640" operator="equal">
      <formula>#REF!</formula>
    </cfRule>
    <cfRule type="cellIs" dxfId="6633" priority="641" operator="greaterThan">
      <formula>#REF!</formula>
    </cfRule>
    <cfRule type="cellIs" dxfId="6632" priority="642" operator="lessThan">
      <formula>#REF!</formula>
    </cfRule>
  </conditionalFormatting>
  <conditionalFormatting sqref="K22:M22">
    <cfRule type="expression" dxfId="6631" priority="630">
      <formula>AND($A21&lt;&gt;"",MOD(ROW(),2))</formula>
    </cfRule>
  </conditionalFormatting>
  <conditionalFormatting sqref="K22">
    <cfRule type="cellIs" dxfId="6630" priority="627" operator="equal">
      <formula>$C21</formula>
    </cfRule>
    <cfRule type="cellIs" dxfId="6629" priority="628" operator="greaterThan">
      <formula>$C21</formula>
    </cfRule>
    <cfRule type="cellIs" dxfId="6628" priority="629" operator="lessThan">
      <formula>$C21</formula>
    </cfRule>
  </conditionalFormatting>
  <conditionalFormatting sqref="L22:M22">
    <cfRule type="expression" dxfId="6627" priority="635">
      <formula>AND(#REF!&lt;&gt;"",MOD(ROW(),2))</formula>
    </cfRule>
  </conditionalFormatting>
  <conditionalFormatting sqref="L22:M22">
    <cfRule type="expression" dxfId="6626" priority="634">
      <formula>AND(#REF!&lt;&gt;"",MOD(ROW(),2))</formula>
    </cfRule>
  </conditionalFormatting>
  <conditionalFormatting sqref="M22">
    <cfRule type="cellIs" dxfId="6625" priority="631" operator="equal">
      <formula>#REF!</formula>
    </cfRule>
    <cfRule type="cellIs" dxfId="6624" priority="632" operator="greaterThan">
      <formula>#REF!</formula>
    </cfRule>
    <cfRule type="cellIs" dxfId="6623" priority="633" operator="lessThan">
      <formula>#REF!</formula>
    </cfRule>
  </conditionalFormatting>
  <conditionalFormatting sqref="K22:M22">
    <cfRule type="expression" dxfId="6622" priority="621">
      <formula>AND($A21&lt;&gt;"",MOD(ROW(),2))</formula>
    </cfRule>
  </conditionalFormatting>
  <conditionalFormatting sqref="K22">
    <cfRule type="cellIs" dxfId="6621" priority="618" operator="equal">
      <formula>$C21</formula>
    </cfRule>
    <cfRule type="cellIs" dxfId="6620" priority="619" operator="greaterThan">
      <formula>$C21</formula>
    </cfRule>
    <cfRule type="cellIs" dxfId="6619" priority="620" operator="lessThan">
      <formula>$C21</formula>
    </cfRule>
  </conditionalFormatting>
  <conditionalFormatting sqref="L22:M22">
    <cfRule type="expression" dxfId="6618" priority="626">
      <formula>AND(#REF!&lt;&gt;"",MOD(ROW(),2))</formula>
    </cfRule>
  </conditionalFormatting>
  <conditionalFormatting sqref="L22:M22">
    <cfRule type="expression" dxfId="6617" priority="625">
      <formula>AND(#REF!&lt;&gt;"",MOD(ROW(),2))</formula>
    </cfRule>
  </conditionalFormatting>
  <conditionalFormatting sqref="M22">
    <cfRule type="cellIs" dxfId="6616" priority="622" operator="equal">
      <formula>#REF!</formula>
    </cfRule>
    <cfRule type="cellIs" dxfId="6615" priority="623" operator="greaterThan">
      <formula>#REF!</formula>
    </cfRule>
    <cfRule type="cellIs" dxfId="6614" priority="624" operator="lessThan">
      <formula>#REF!</formula>
    </cfRule>
  </conditionalFormatting>
  <conditionalFormatting sqref="D61">
    <cfRule type="expression" dxfId="6613" priority="615">
      <formula>AND($A61&lt;&gt;"",MOD(ROW(),2))</formula>
    </cfRule>
  </conditionalFormatting>
  <conditionalFormatting sqref="D61">
    <cfRule type="cellIs" dxfId="6612" priority="612" operator="equal">
      <formula>$C61</formula>
    </cfRule>
    <cfRule type="cellIs" dxfId="6611" priority="613" operator="greaterThan">
      <formula>$C61</formula>
    </cfRule>
    <cfRule type="cellIs" dxfId="6610" priority="614" operator="lessThan">
      <formula>$C61</formula>
    </cfRule>
  </conditionalFormatting>
  <conditionalFormatting sqref="D62">
    <cfRule type="expression" dxfId="6609" priority="611">
      <formula>AND($A62&lt;&gt;"",MOD(ROW(),2))</formula>
    </cfRule>
  </conditionalFormatting>
  <conditionalFormatting sqref="D62">
    <cfRule type="cellIs" dxfId="6608" priority="608" operator="equal">
      <formula>$C62</formula>
    </cfRule>
    <cfRule type="cellIs" dxfId="6607" priority="609" operator="greaterThan">
      <formula>$C62</formula>
    </cfRule>
    <cfRule type="cellIs" dxfId="6606" priority="610" operator="lessThan">
      <formula>$C62</formula>
    </cfRule>
  </conditionalFormatting>
  <conditionalFormatting sqref="D63">
    <cfRule type="expression" dxfId="6605" priority="607">
      <formula>AND($A63&lt;&gt;"",MOD(ROW(),2))</formula>
    </cfRule>
  </conditionalFormatting>
  <conditionalFormatting sqref="D63">
    <cfRule type="cellIs" dxfId="6604" priority="604" operator="equal">
      <formula>$C63</formula>
    </cfRule>
    <cfRule type="cellIs" dxfId="6603" priority="605" operator="greaterThan">
      <formula>$C63</formula>
    </cfRule>
    <cfRule type="cellIs" dxfId="6602" priority="606" operator="lessThan">
      <formula>$C63</formula>
    </cfRule>
  </conditionalFormatting>
  <conditionalFormatting sqref="D64">
    <cfRule type="expression" dxfId="6601" priority="603">
      <formula>AND($A64&lt;&gt;"",MOD(ROW(),2))</formula>
    </cfRule>
  </conditionalFormatting>
  <conditionalFormatting sqref="D64">
    <cfRule type="cellIs" dxfId="6600" priority="600" operator="equal">
      <formula>$C64</formula>
    </cfRule>
    <cfRule type="cellIs" dxfId="6599" priority="601" operator="greaterThan">
      <formula>$C64</formula>
    </cfRule>
    <cfRule type="cellIs" dxfId="6598" priority="602" operator="lessThan">
      <formula>$C64</formula>
    </cfRule>
  </conditionalFormatting>
  <conditionalFormatting sqref="K64:L64">
    <cfRule type="expression" dxfId="6597" priority="597">
      <formula>AND($A63&lt;&gt;"",MOD(ROW(),2))</formula>
    </cfRule>
  </conditionalFormatting>
  <conditionalFormatting sqref="K64">
    <cfRule type="cellIs" dxfId="6596" priority="594" operator="equal">
      <formula>$C63</formula>
    </cfRule>
    <cfRule type="cellIs" dxfId="6595" priority="595" operator="greaterThan">
      <formula>$C63</formula>
    </cfRule>
    <cfRule type="cellIs" dxfId="6594" priority="596" operator="lessThan">
      <formula>$C63</formula>
    </cfRule>
  </conditionalFormatting>
  <conditionalFormatting sqref="L64">
    <cfRule type="expression" dxfId="6593" priority="599">
      <formula>AND(#REF!&lt;&gt;"",MOD(ROW(),2))</formula>
    </cfRule>
  </conditionalFormatting>
  <conditionalFormatting sqref="L64">
    <cfRule type="expression" dxfId="6592" priority="598">
      <formula>AND(#REF!&lt;&gt;"",MOD(ROW(),2))</formula>
    </cfRule>
  </conditionalFormatting>
  <conditionalFormatting sqref="D65">
    <cfRule type="expression" dxfId="6591" priority="593">
      <formula>AND($A65&lt;&gt;"",MOD(ROW(),2))</formula>
    </cfRule>
  </conditionalFormatting>
  <conditionalFormatting sqref="D65">
    <cfRule type="cellIs" dxfId="6590" priority="590" operator="equal">
      <formula>$C65</formula>
    </cfRule>
    <cfRule type="cellIs" dxfId="6589" priority="591" operator="greaterThan">
      <formula>$C65</formula>
    </cfRule>
    <cfRule type="cellIs" dxfId="6588" priority="592" operator="lessThan">
      <formula>$C65</formula>
    </cfRule>
  </conditionalFormatting>
  <conditionalFormatting sqref="D66">
    <cfRule type="expression" dxfId="6587" priority="589">
      <formula>AND($A66&lt;&gt;"",MOD(ROW(),2))</formula>
    </cfRule>
  </conditionalFormatting>
  <conditionalFormatting sqref="D66">
    <cfRule type="cellIs" dxfId="6586" priority="586" operator="equal">
      <formula>$C66</formula>
    </cfRule>
    <cfRule type="cellIs" dxfId="6585" priority="587" operator="greaterThan">
      <formula>$C66</formula>
    </cfRule>
    <cfRule type="cellIs" dxfId="6584" priority="588" operator="lessThan">
      <formula>$C66</formula>
    </cfRule>
  </conditionalFormatting>
  <conditionalFormatting sqref="D67">
    <cfRule type="expression" dxfId="6583" priority="585">
      <formula>AND($A67&lt;&gt;"",MOD(ROW(),2))</formula>
    </cfRule>
  </conditionalFormatting>
  <conditionalFormatting sqref="D67">
    <cfRule type="cellIs" dxfId="6582" priority="582" operator="equal">
      <formula>$C67</formula>
    </cfRule>
    <cfRule type="cellIs" dxfId="6581" priority="583" operator="greaterThan">
      <formula>$C67</formula>
    </cfRule>
    <cfRule type="cellIs" dxfId="6580" priority="584" operator="lessThan">
      <formula>$C67</formula>
    </cfRule>
  </conditionalFormatting>
  <conditionalFormatting sqref="D68">
    <cfRule type="expression" dxfId="6579" priority="581">
      <formula>AND($A68&lt;&gt;"",MOD(ROW(),2))</formula>
    </cfRule>
  </conditionalFormatting>
  <conditionalFormatting sqref="D68">
    <cfRule type="cellIs" dxfId="6578" priority="578" operator="equal">
      <formula>$C68</formula>
    </cfRule>
    <cfRule type="cellIs" dxfId="6577" priority="579" operator="greaterThan">
      <formula>$C68</formula>
    </cfRule>
    <cfRule type="cellIs" dxfId="6576" priority="580" operator="lessThan">
      <formula>$C68</formula>
    </cfRule>
  </conditionalFormatting>
  <conditionalFormatting sqref="D69">
    <cfRule type="expression" dxfId="6575" priority="577">
      <formula>AND($A69&lt;&gt;"",MOD(ROW(),2))</formula>
    </cfRule>
  </conditionalFormatting>
  <conditionalFormatting sqref="D69">
    <cfRule type="cellIs" dxfId="6574" priority="574" operator="equal">
      <formula>$C69</formula>
    </cfRule>
    <cfRule type="cellIs" dxfId="6573" priority="575" operator="greaterThan">
      <formula>$C69</formula>
    </cfRule>
    <cfRule type="cellIs" dxfId="6572" priority="576" operator="lessThan">
      <formula>$C69</formula>
    </cfRule>
  </conditionalFormatting>
  <conditionalFormatting sqref="D70">
    <cfRule type="expression" dxfId="6571" priority="573">
      <formula>AND($A70&lt;&gt;"",MOD(ROW(),2))</formula>
    </cfRule>
  </conditionalFormatting>
  <conditionalFormatting sqref="D70">
    <cfRule type="cellIs" dxfId="6570" priority="570" operator="equal">
      <formula>$C70</formula>
    </cfRule>
    <cfRule type="cellIs" dxfId="6569" priority="571" operator="greaterThan">
      <formula>$C70</formula>
    </cfRule>
    <cfRule type="cellIs" dxfId="6568" priority="572" operator="lessThan">
      <formula>$C70</formula>
    </cfRule>
  </conditionalFormatting>
  <conditionalFormatting sqref="D71">
    <cfRule type="expression" dxfId="6567" priority="569">
      <formula>AND($A71&lt;&gt;"",MOD(ROW(),2))</formula>
    </cfRule>
  </conditionalFormatting>
  <conditionalFormatting sqref="D71">
    <cfRule type="cellIs" dxfId="6566" priority="566" operator="equal">
      <formula>$C71</formula>
    </cfRule>
    <cfRule type="cellIs" dxfId="6565" priority="567" operator="greaterThan">
      <formula>$C71</formula>
    </cfRule>
    <cfRule type="cellIs" dxfId="6564" priority="568" operator="lessThan">
      <formula>$C71</formula>
    </cfRule>
  </conditionalFormatting>
  <conditionalFormatting sqref="D72">
    <cfRule type="expression" dxfId="6563" priority="565">
      <formula>AND($A72&lt;&gt;"",MOD(ROW(),2))</formula>
    </cfRule>
  </conditionalFormatting>
  <conditionalFormatting sqref="D72">
    <cfRule type="cellIs" dxfId="6562" priority="562" operator="equal">
      <formula>$C72</formula>
    </cfRule>
    <cfRule type="cellIs" dxfId="6561" priority="563" operator="greaterThan">
      <formula>$C72</formula>
    </cfRule>
    <cfRule type="cellIs" dxfId="6560" priority="564" operator="lessThan">
      <formula>$C72</formula>
    </cfRule>
  </conditionalFormatting>
  <conditionalFormatting sqref="D73">
    <cfRule type="expression" dxfId="6559" priority="561">
      <formula>AND($A73&lt;&gt;"",MOD(ROW(),2))</formula>
    </cfRule>
  </conditionalFormatting>
  <conditionalFormatting sqref="D73">
    <cfRule type="cellIs" dxfId="6558" priority="558" operator="equal">
      <formula>$C73</formula>
    </cfRule>
    <cfRule type="cellIs" dxfId="6557" priority="559" operator="greaterThan">
      <formula>$C73</formula>
    </cfRule>
    <cfRule type="cellIs" dxfId="6556" priority="560" operator="lessThan">
      <formula>$C73</formula>
    </cfRule>
  </conditionalFormatting>
  <conditionalFormatting sqref="D74">
    <cfRule type="expression" dxfId="6555" priority="557">
      <formula>AND($A74&lt;&gt;"",MOD(ROW(),2))</formula>
    </cfRule>
  </conditionalFormatting>
  <conditionalFormatting sqref="D74">
    <cfRule type="cellIs" dxfId="6554" priority="554" operator="equal">
      <formula>$C74</formula>
    </cfRule>
    <cfRule type="cellIs" dxfId="6553" priority="555" operator="greaterThan">
      <formula>$C74</formula>
    </cfRule>
    <cfRule type="cellIs" dxfId="6552" priority="556" operator="lessThan">
      <formula>$C74</formula>
    </cfRule>
  </conditionalFormatting>
  <conditionalFormatting sqref="D75">
    <cfRule type="expression" dxfId="6551" priority="553">
      <formula>AND($A75&lt;&gt;"",MOD(ROW(),2))</formula>
    </cfRule>
  </conditionalFormatting>
  <conditionalFormatting sqref="D75">
    <cfRule type="cellIs" dxfId="6550" priority="550" operator="equal">
      <formula>$C75</formula>
    </cfRule>
    <cfRule type="cellIs" dxfId="6549" priority="551" operator="greaterThan">
      <formula>$C75</formula>
    </cfRule>
    <cfRule type="cellIs" dxfId="6548" priority="552" operator="lessThan">
      <formula>$C75</formula>
    </cfRule>
  </conditionalFormatting>
  <conditionalFormatting sqref="D76">
    <cfRule type="expression" dxfId="6547" priority="549">
      <formula>AND($A76&lt;&gt;"",MOD(ROW(),2))</formula>
    </cfRule>
  </conditionalFormatting>
  <conditionalFormatting sqref="D76">
    <cfRule type="cellIs" dxfId="6546" priority="546" operator="equal">
      <formula>$C76</formula>
    </cfRule>
    <cfRule type="cellIs" dxfId="6545" priority="547" operator="greaterThan">
      <formula>$C76</formula>
    </cfRule>
    <cfRule type="cellIs" dxfId="6544" priority="548" operator="lessThan">
      <formula>$C76</formula>
    </cfRule>
  </conditionalFormatting>
  <conditionalFormatting sqref="D77">
    <cfRule type="expression" dxfId="6543" priority="545">
      <formula>AND($A77&lt;&gt;"",MOD(ROW(),2))</formula>
    </cfRule>
  </conditionalFormatting>
  <conditionalFormatting sqref="D77">
    <cfRule type="cellIs" dxfId="6542" priority="542" operator="equal">
      <formula>$C77</formula>
    </cfRule>
    <cfRule type="cellIs" dxfId="6541" priority="543" operator="greaterThan">
      <formula>$C77</formula>
    </cfRule>
    <cfRule type="cellIs" dxfId="6540" priority="544" operator="lessThan">
      <formula>$C77</formula>
    </cfRule>
  </conditionalFormatting>
  <conditionalFormatting sqref="D78">
    <cfRule type="expression" dxfId="6539" priority="541">
      <formula>AND($A78&lt;&gt;"",MOD(ROW(),2))</formula>
    </cfRule>
  </conditionalFormatting>
  <conditionalFormatting sqref="D78">
    <cfRule type="cellIs" dxfId="6538" priority="538" operator="equal">
      <formula>$C78</formula>
    </cfRule>
    <cfRule type="cellIs" dxfId="6537" priority="539" operator="greaterThan">
      <formula>$C78</formula>
    </cfRule>
    <cfRule type="cellIs" dxfId="6536" priority="540" operator="lessThan">
      <formula>$C78</formula>
    </cfRule>
  </conditionalFormatting>
  <conditionalFormatting sqref="D79">
    <cfRule type="expression" dxfId="6535" priority="537">
      <formula>AND($A79&lt;&gt;"",MOD(ROW(),2))</formula>
    </cfRule>
  </conditionalFormatting>
  <conditionalFormatting sqref="D79">
    <cfRule type="cellIs" dxfId="6534" priority="534" operator="equal">
      <formula>$C79</formula>
    </cfRule>
    <cfRule type="cellIs" dxfId="6533" priority="535" operator="greaterThan">
      <formula>$C79</formula>
    </cfRule>
    <cfRule type="cellIs" dxfId="6532" priority="536" operator="lessThan">
      <formula>$C79</formula>
    </cfRule>
  </conditionalFormatting>
  <conditionalFormatting sqref="D80">
    <cfRule type="expression" dxfId="6531" priority="533">
      <formula>AND($A80&lt;&gt;"",MOD(ROW(),2))</formula>
    </cfRule>
  </conditionalFormatting>
  <conditionalFormatting sqref="D80">
    <cfRule type="cellIs" dxfId="6530" priority="530" operator="equal">
      <formula>$C80</formula>
    </cfRule>
    <cfRule type="cellIs" dxfId="6529" priority="531" operator="greaterThan">
      <formula>$C80</formula>
    </cfRule>
    <cfRule type="cellIs" dxfId="6528" priority="532" operator="lessThan">
      <formula>$C80</formula>
    </cfRule>
  </conditionalFormatting>
  <conditionalFormatting sqref="D81">
    <cfRule type="expression" dxfId="6527" priority="529">
      <formula>AND($A81&lt;&gt;"",MOD(ROW(),2))</formula>
    </cfRule>
  </conditionalFormatting>
  <conditionalFormatting sqref="D81">
    <cfRule type="cellIs" dxfId="6526" priority="526" operator="equal">
      <formula>$C81</formula>
    </cfRule>
    <cfRule type="cellIs" dxfId="6525" priority="527" operator="greaterThan">
      <formula>$C81</formula>
    </cfRule>
    <cfRule type="cellIs" dxfId="6524" priority="528" operator="lessThan">
      <formula>$C81</formula>
    </cfRule>
  </conditionalFormatting>
  <conditionalFormatting sqref="D82">
    <cfRule type="expression" dxfId="6523" priority="525">
      <formula>AND($A82&lt;&gt;"",MOD(ROW(),2))</formula>
    </cfRule>
  </conditionalFormatting>
  <conditionalFormatting sqref="D82">
    <cfRule type="cellIs" dxfId="6522" priority="522" operator="equal">
      <formula>$C82</formula>
    </cfRule>
    <cfRule type="cellIs" dxfId="6521" priority="523" operator="greaterThan">
      <formula>$C82</formula>
    </cfRule>
    <cfRule type="cellIs" dxfId="6520" priority="524" operator="lessThan">
      <formula>$C82</formula>
    </cfRule>
  </conditionalFormatting>
  <conditionalFormatting sqref="D83">
    <cfRule type="expression" dxfId="6519" priority="521">
      <formula>AND($A83&lt;&gt;"",MOD(ROW(),2))</formula>
    </cfRule>
  </conditionalFormatting>
  <conditionalFormatting sqref="D83">
    <cfRule type="cellIs" dxfId="6518" priority="518" operator="equal">
      <formula>$C83</formula>
    </cfRule>
    <cfRule type="cellIs" dxfId="6517" priority="519" operator="greaterThan">
      <formula>$C83</formula>
    </cfRule>
    <cfRule type="cellIs" dxfId="6516" priority="520" operator="lessThan">
      <formula>$C83</formula>
    </cfRule>
  </conditionalFormatting>
  <conditionalFormatting sqref="C84">
    <cfRule type="expression" dxfId="6515" priority="517">
      <formula>AND($A84&lt;&gt;"",MOD(ROW(),2))</formula>
    </cfRule>
  </conditionalFormatting>
  <conditionalFormatting sqref="D84">
    <cfRule type="expression" dxfId="6514" priority="516">
      <formula>AND($A84&lt;&gt;"",MOD(ROW(),2))</formula>
    </cfRule>
  </conditionalFormatting>
  <conditionalFormatting sqref="D84">
    <cfRule type="cellIs" dxfId="6513" priority="513" operator="equal">
      <formula>$C84</formula>
    </cfRule>
    <cfRule type="cellIs" dxfId="6512" priority="514" operator="greaterThan">
      <formula>$C84</formula>
    </cfRule>
    <cfRule type="cellIs" dxfId="6511" priority="515" operator="lessThan">
      <formula>$C84</formula>
    </cfRule>
  </conditionalFormatting>
  <conditionalFormatting sqref="C85">
    <cfRule type="expression" dxfId="6510" priority="512">
      <formula>AND($A85&lt;&gt;"",MOD(ROW(),2))</formula>
    </cfRule>
  </conditionalFormatting>
  <conditionalFormatting sqref="D85">
    <cfRule type="expression" dxfId="6509" priority="511">
      <formula>AND($A85&lt;&gt;"",MOD(ROW(),2))</formula>
    </cfRule>
  </conditionalFormatting>
  <conditionalFormatting sqref="D85">
    <cfRule type="cellIs" dxfId="6508" priority="508" operator="equal">
      <formula>$C85</formula>
    </cfRule>
    <cfRule type="cellIs" dxfId="6507" priority="509" operator="greaterThan">
      <formula>$C85</formula>
    </cfRule>
    <cfRule type="cellIs" dxfId="6506" priority="510" operator="lessThan">
      <formula>$C85</formula>
    </cfRule>
  </conditionalFormatting>
  <conditionalFormatting sqref="D86">
    <cfRule type="expression" dxfId="6505" priority="507">
      <formula>AND($A86&lt;&gt;"",MOD(ROW(),2))</formula>
    </cfRule>
  </conditionalFormatting>
  <conditionalFormatting sqref="D86">
    <cfRule type="cellIs" dxfId="6504" priority="504" operator="equal">
      <formula>$C86</formula>
    </cfRule>
    <cfRule type="cellIs" dxfId="6503" priority="505" operator="greaterThan">
      <formula>$C86</formula>
    </cfRule>
    <cfRule type="cellIs" dxfId="6502" priority="506" operator="lessThan">
      <formula>$C86</formula>
    </cfRule>
  </conditionalFormatting>
  <conditionalFormatting sqref="C87">
    <cfRule type="expression" dxfId="6501" priority="503">
      <formula>AND($A87&lt;&gt;"",MOD(ROW(),2))</formula>
    </cfRule>
  </conditionalFormatting>
  <conditionalFormatting sqref="D87">
    <cfRule type="expression" dxfId="6500" priority="502">
      <formula>AND($A87&lt;&gt;"",MOD(ROW(),2))</formula>
    </cfRule>
  </conditionalFormatting>
  <conditionalFormatting sqref="D87">
    <cfRule type="cellIs" dxfId="6499" priority="499" operator="equal">
      <formula>$C87</formula>
    </cfRule>
    <cfRule type="cellIs" dxfId="6498" priority="500" operator="greaterThan">
      <formula>$C87</formula>
    </cfRule>
    <cfRule type="cellIs" dxfId="6497" priority="501" operator="lessThan">
      <formula>$C87</formula>
    </cfRule>
  </conditionalFormatting>
  <conditionalFormatting sqref="C88">
    <cfRule type="expression" dxfId="6496" priority="498">
      <formula>AND($A88&lt;&gt;"",MOD(ROW(),2))</formula>
    </cfRule>
  </conditionalFormatting>
  <conditionalFormatting sqref="D88">
    <cfRule type="expression" dxfId="6495" priority="497">
      <formula>AND($A88&lt;&gt;"",MOD(ROW(),2))</formula>
    </cfRule>
  </conditionalFormatting>
  <conditionalFormatting sqref="D88">
    <cfRule type="cellIs" dxfId="6494" priority="494" operator="equal">
      <formula>$C88</formula>
    </cfRule>
    <cfRule type="cellIs" dxfId="6493" priority="495" operator="greaterThan">
      <formula>$C88</formula>
    </cfRule>
    <cfRule type="cellIs" dxfId="6492" priority="496" operator="lessThan">
      <formula>$C88</formula>
    </cfRule>
  </conditionalFormatting>
  <conditionalFormatting sqref="C89">
    <cfRule type="expression" dxfId="6491" priority="493">
      <formula>AND($A89&lt;&gt;"",MOD(ROW(),2))</formula>
    </cfRule>
  </conditionalFormatting>
  <conditionalFormatting sqref="D89">
    <cfRule type="expression" dxfId="6490" priority="492">
      <formula>AND($A89&lt;&gt;"",MOD(ROW(),2))</formula>
    </cfRule>
  </conditionalFormatting>
  <conditionalFormatting sqref="D89">
    <cfRule type="cellIs" dxfId="6489" priority="489" operator="equal">
      <formula>$C89</formula>
    </cfRule>
    <cfRule type="cellIs" dxfId="6488" priority="490" operator="greaterThan">
      <formula>$C89</formula>
    </cfRule>
    <cfRule type="cellIs" dxfId="6487" priority="491" operator="lessThan">
      <formula>$C89</formula>
    </cfRule>
  </conditionalFormatting>
  <conditionalFormatting sqref="C90">
    <cfRule type="expression" dxfId="6486" priority="488">
      <formula>AND($A90&lt;&gt;"",MOD(ROW(),2))</formula>
    </cfRule>
  </conditionalFormatting>
  <conditionalFormatting sqref="D90">
    <cfRule type="expression" dxfId="6485" priority="487">
      <formula>AND($A90&lt;&gt;"",MOD(ROW(),2))</formula>
    </cfRule>
  </conditionalFormatting>
  <conditionalFormatting sqref="D90">
    <cfRule type="cellIs" dxfId="6484" priority="484" operator="equal">
      <formula>$C90</formula>
    </cfRule>
    <cfRule type="cellIs" dxfId="6483" priority="485" operator="greaterThan">
      <formula>$C90</formula>
    </cfRule>
    <cfRule type="cellIs" dxfId="6482" priority="486" operator="lessThan">
      <formula>$C90</formula>
    </cfRule>
  </conditionalFormatting>
  <conditionalFormatting sqref="C91">
    <cfRule type="expression" dxfId="6481" priority="483">
      <formula>AND($A91&lt;&gt;"",MOD(ROW(),2))</formula>
    </cfRule>
  </conditionalFormatting>
  <conditionalFormatting sqref="D91">
    <cfRule type="expression" dxfId="6480" priority="482">
      <formula>AND($A91&lt;&gt;"",MOD(ROW(),2))</formula>
    </cfRule>
  </conditionalFormatting>
  <conditionalFormatting sqref="D91">
    <cfRule type="cellIs" dxfId="6479" priority="479" operator="equal">
      <formula>$C91</formula>
    </cfRule>
    <cfRule type="cellIs" dxfId="6478" priority="480" operator="greaterThan">
      <formula>$C91</formula>
    </cfRule>
    <cfRule type="cellIs" dxfId="6477" priority="481" operator="lessThan">
      <formula>$C91</formula>
    </cfRule>
  </conditionalFormatting>
  <conditionalFormatting sqref="C92">
    <cfRule type="expression" dxfId="6476" priority="478">
      <formula>AND($A92&lt;&gt;"",MOD(ROW(),2))</formula>
    </cfRule>
  </conditionalFormatting>
  <conditionalFormatting sqref="D92">
    <cfRule type="expression" dxfId="6475" priority="477">
      <formula>AND($A92&lt;&gt;"",MOD(ROW(),2))</formula>
    </cfRule>
  </conditionalFormatting>
  <conditionalFormatting sqref="D92">
    <cfRule type="cellIs" dxfId="6474" priority="474" operator="equal">
      <formula>$C92</formula>
    </cfRule>
    <cfRule type="cellIs" dxfId="6473" priority="475" operator="greaterThan">
      <formula>$C92</formula>
    </cfRule>
    <cfRule type="cellIs" dxfId="6472" priority="476" operator="lessThan">
      <formula>$C92</formula>
    </cfRule>
  </conditionalFormatting>
  <conditionalFormatting sqref="C93">
    <cfRule type="expression" dxfId="6471" priority="473">
      <formula>AND($A93&lt;&gt;"",MOD(ROW(),2))</formula>
    </cfRule>
  </conditionalFormatting>
  <conditionalFormatting sqref="D93">
    <cfRule type="expression" dxfId="6470" priority="472">
      <formula>AND($A93&lt;&gt;"",MOD(ROW(),2))</formula>
    </cfRule>
  </conditionalFormatting>
  <conditionalFormatting sqref="D93">
    <cfRule type="cellIs" dxfId="6469" priority="469" operator="equal">
      <formula>$C93</formula>
    </cfRule>
    <cfRule type="cellIs" dxfId="6468" priority="470" operator="greaterThan">
      <formula>$C93</formula>
    </cfRule>
    <cfRule type="cellIs" dxfId="6467" priority="471" operator="lessThan">
      <formula>$C93</formula>
    </cfRule>
  </conditionalFormatting>
  <conditionalFormatting sqref="C94">
    <cfRule type="expression" dxfId="6466" priority="468">
      <formula>AND($A94&lt;&gt;"",MOD(ROW(),2))</formula>
    </cfRule>
  </conditionalFormatting>
  <conditionalFormatting sqref="D94">
    <cfRule type="expression" dxfId="6465" priority="467">
      <formula>AND($A94&lt;&gt;"",MOD(ROW(),2))</formula>
    </cfRule>
  </conditionalFormatting>
  <conditionalFormatting sqref="D94">
    <cfRule type="cellIs" dxfId="6464" priority="464" operator="equal">
      <formula>$C94</formula>
    </cfRule>
    <cfRule type="cellIs" dxfId="6463" priority="465" operator="greaterThan">
      <formula>$C94</formula>
    </cfRule>
    <cfRule type="cellIs" dxfId="6462" priority="466" operator="lessThan">
      <formula>$C94</formula>
    </cfRule>
  </conditionalFormatting>
  <conditionalFormatting sqref="C95">
    <cfRule type="expression" dxfId="6461" priority="463">
      <formula>AND($A95&lt;&gt;"",MOD(ROW(),2))</formula>
    </cfRule>
  </conditionalFormatting>
  <conditionalFormatting sqref="D95">
    <cfRule type="expression" dxfId="6460" priority="462">
      <formula>AND($A95&lt;&gt;"",MOD(ROW(),2))</formula>
    </cfRule>
  </conditionalFormatting>
  <conditionalFormatting sqref="D95">
    <cfRule type="cellIs" dxfId="6459" priority="459" operator="equal">
      <formula>$C95</formula>
    </cfRule>
    <cfRule type="cellIs" dxfId="6458" priority="460" operator="greaterThan">
      <formula>$C95</formula>
    </cfRule>
    <cfRule type="cellIs" dxfId="6457" priority="461" operator="lessThan">
      <formula>$C95</formula>
    </cfRule>
  </conditionalFormatting>
  <conditionalFormatting sqref="C96">
    <cfRule type="expression" dxfId="6456" priority="458">
      <formula>AND($A96&lt;&gt;"",MOD(ROW(),2))</formula>
    </cfRule>
  </conditionalFormatting>
  <conditionalFormatting sqref="D96">
    <cfRule type="expression" dxfId="6455" priority="457">
      <formula>AND($A96&lt;&gt;"",MOD(ROW(),2))</formula>
    </cfRule>
  </conditionalFormatting>
  <conditionalFormatting sqref="D96">
    <cfRule type="cellIs" dxfId="6454" priority="454" operator="equal">
      <formula>$C96</formula>
    </cfRule>
    <cfRule type="cellIs" dxfId="6453" priority="455" operator="greaterThan">
      <formula>$C96</formula>
    </cfRule>
    <cfRule type="cellIs" dxfId="6452" priority="456" operator="lessThan">
      <formula>$C96</formula>
    </cfRule>
  </conditionalFormatting>
  <conditionalFormatting sqref="C97">
    <cfRule type="expression" dxfId="6451" priority="453">
      <formula>AND($A97&lt;&gt;"",MOD(ROW(),2))</formula>
    </cfRule>
  </conditionalFormatting>
  <conditionalFormatting sqref="D97">
    <cfRule type="expression" dxfId="6450" priority="452">
      <formula>AND($A97&lt;&gt;"",MOD(ROW(),2))</formula>
    </cfRule>
  </conditionalFormatting>
  <conditionalFormatting sqref="D97">
    <cfRule type="cellIs" dxfId="6449" priority="449" operator="equal">
      <formula>$C97</formula>
    </cfRule>
    <cfRule type="cellIs" dxfId="6448" priority="450" operator="greaterThan">
      <formula>$C97</formula>
    </cfRule>
    <cfRule type="cellIs" dxfId="6447" priority="451" operator="lessThan">
      <formula>$C97</formula>
    </cfRule>
  </conditionalFormatting>
  <conditionalFormatting sqref="C98">
    <cfRule type="expression" dxfId="6446" priority="448">
      <formula>AND($A98&lt;&gt;"",MOD(ROW(),2))</formula>
    </cfRule>
  </conditionalFormatting>
  <conditionalFormatting sqref="D98">
    <cfRule type="expression" dxfId="6445" priority="447">
      <formula>AND($A98&lt;&gt;"",MOD(ROW(),2))</formula>
    </cfRule>
  </conditionalFormatting>
  <conditionalFormatting sqref="D98">
    <cfRule type="cellIs" dxfId="6444" priority="444" operator="equal">
      <formula>$C98</formula>
    </cfRule>
    <cfRule type="cellIs" dxfId="6443" priority="445" operator="greaterThan">
      <formula>$C98</formula>
    </cfRule>
    <cfRule type="cellIs" dxfId="6442" priority="446" operator="lessThan">
      <formula>$C98</formula>
    </cfRule>
  </conditionalFormatting>
  <conditionalFormatting sqref="C99">
    <cfRule type="expression" dxfId="6441" priority="443">
      <formula>AND($A99&lt;&gt;"",MOD(ROW(),2))</formula>
    </cfRule>
  </conditionalFormatting>
  <conditionalFormatting sqref="D99">
    <cfRule type="expression" dxfId="6440" priority="442">
      <formula>AND($A99&lt;&gt;"",MOD(ROW(),2))</formula>
    </cfRule>
  </conditionalFormatting>
  <conditionalFormatting sqref="D99">
    <cfRule type="cellIs" dxfId="6439" priority="439" operator="equal">
      <formula>$C99</formula>
    </cfRule>
    <cfRule type="cellIs" dxfId="6438" priority="440" operator="greaterThan">
      <formula>$C99</formula>
    </cfRule>
    <cfRule type="cellIs" dxfId="6437" priority="441" operator="lessThan">
      <formula>$C99</formula>
    </cfRule>
  </conditionalFormatting>
  <conditionalFormatting sqref="C100">
    <cfRule type="expression" dxfId="6436" priority="438">
      <formula>AND($A100&lt;&gt;"",MOD(ROW(),2))</formula>
    </cfRule>
  </conditionalFormatting>
  <conditionalFormatting sqref="D100">
    <cfRule type="expression" dxfId="6435" priority="437">
      <formula>AND($A100&lt;&gt;"",MOD(ROW(),2))</formula>
    </cfRule>
  </conditionalFormatting>
  <conditionalFormatting sqref="D100">
    <cfRule type="cellIs" dxfId="6434" priority="434" operator="equal">
      <formula>$C100</formula>
    </cfRule>
    <cfRule type="cellIs" dxfId="6433" priority="435" operator="greaterThan">
      <formula>$C100</formula>
    </cfRule>
    <cfRule type="cellIs" dxfId="6432" priority="436" operator="lessThan">
      <formula>$C100</formula>
    </cfRule>
  </conditionalFormatting>
  <conditionalFormatting sqref="C101">
    <cfRule type="expression" dxfId="6431" priority="433">
      <formula>AND($A101&lt;&gt;"",MOD(ROW(),2))</formula>
    </cfRule>
  </conditionalFormatting>
  <conditionalFormatting sqref="D101">
    <cfRule type="expression" dxfId="6430" priority="432">
      <formula>AND($A101&lt;&gt;"",MOD(ROW(),2))</formula>
    </cfRule>
  </conditionalFormatting>
  <conditionalFormatting sqref="D101">
    <cfRule type="cellIs" dxfId="6429" priority="429" operator="equal">
      <formula>$C101</formula>
    </cfRule>
    <cfRule type="cellIs" dxfId="6428" priority="430" operator="greaterThan">
      <formula>$C101</formula>
    </cfRule>
    <cfRule type="cellIs" dxfId="6427" priority="431" operator="lessThan">
      <formula>$C101</formula>
    </cfRule>
  </conditionalFormatting>
  <conditionalFormatting sqref="C102">
    <cfRule type="expression" dxfId="6426" priority="428">
      <formula>AND($A102&lt;&gt;"",MOD(ROW(),2))</formula>
    </cfRule>
  </conditionalFormatting>
  <conditionalFormatting sqref="D102">
    <cfRule type="expression" dxfId="6425" priority="427">
      <formula>AND($A102&lt;&gt;"",MOD(ROW(),2))</formula>
    </cfRule>
  </conditionalFormatting>
  <conditionalFormatting sqref="D102">
    <cfRule type="cellIs" dxfId="6424" priority="424" operator="equal">
      <formula>$C102</formula>
    </cfRule>
    <cfRule type="cellIs" dxfId="6423" priority="425" operator="greaterThan">
      <formula>$C102</formula>
    </cfRule>
    <cfRule type="cellIs" dxfId="6422" priority="426" operator="lessThan">
      <formula>$C102</formula>
    </cfRule>
  </conditionalFormatting>
  <conditionalFormatting sqref="C103">
    <cfRule type="expression" dxfId="6421" priority="423">
      <formula>AND($A103&lt;&gt;"",MOD(ROW(),2))</formula>
    </cfRule>
  </conditionalFormatting>
  <conditionalFormatting sqref="D103">
    <cfRule type="expression" dxfId="6420" priority="422">
      <formula>AND($A103&lt;&gt;"",MOD(ROW(),2))</formula>
    </cfRule>
  </conditionalFormatting>
  <conditionalFormatting sqref="D103">
    <cfRule type="cellIs" dxfId="6419" priority="419" operator="equal">
      <formula>$C103</formula>
    </cfRule>
    <cfRule type="cellIs" dxfId="6418" priority="420" operator="greaterThan">
      <formula>$C103</formula>
    </cfRule>
    <cfRule type="cellIs" dxfId="6417" priority="421" operator="lessThan">
      <formula>$C103</formula>
    </cfRule>
  </conditionalFormatting>
  <conditionalFormatting sqref="C104">
    <cfRule type="expression" dxfId="6416" priority="418">
      <formula>AND($A104&lt;&gt;"",MOD(ROW(),2))</formula>
    </cfRule>
  </conditionalFormatting>
  <conditionalFormatting sqref="D104">
    <cfRule type="expression" dxfId="6415" priority="417">
      <formula>AND($A104&lt;&gt;"",MOD(ROW(),2))</formula>
    </cfRule>
  </conditionalFormatting>
  <conditionalFormatting sqref="D104">
    <cfRule type="cellIs" dxfId="6414" priority="414" operator="equal">
      <formula>$C104</formula>
    </cfRule>
    <cfRule type="cellIs" dxfId="6413" priority="415" operator="greaterThan">
      <formula>$C104</formula>
    </cfRule>
    <cfRule type="cellIs" dxfId="6412" priority="416" operator="lessThan">
      <formula>$C104</formula>
    </cfRule>
  </conditionalFormatting>
  <conditionalFormatting sqref="C105">
    <cfRule type="expression" dxfId="6411" priority="413">
      <formula>AND($A105&lt;&gt;"",MOD(ROW(),2))</formula>
    </cfRule>
  </conditionalFormatting>
  <conditionalFormatting sqref="D105">
    <cfRule type="expression" dxfId="6410" priority="412">
      <formula>AND($A105&lt;&gt;"",MOD(ROW(),2))</formula>
    </cfRule>
  </conditionalFormatting>
  <conditionalFormatting sqref="D105">
    <cfRule type="cellIs" dxfId="6409" priority="409" operator="equal">
      <formula>$C105</formula>
    </cfRule>
    <cfRule type="cellIs" dxfId="6408" priority="410" operator="greaterThan">
      <formula>$C105</formula>
    </cfRule>
    <cfRule type="cellIs" dxfId="6407" priority="411" operator="lessThan">
      <formula>$C105</formula>
    </cfRule>
  </conditionalFormatting>
  <conditionalFormatting sqref="C106">
    <cfRule type="expression" dxfId="6406" priority="408">
      <formula>AND($A106&lt;&gt;"",MOD(ROW(),2))</formula>
    </cfRule>
  </conditionalFormatting>
  <conditionalFormatting sqref="D106">
    <cfRule type="expression" dxfId="6405" priority="407">
      <formula>AND($A106&lt;&gt;"",MOD(ROW(),2))</formula>
    </cfRule>
  </conditionalFormatting>
  <conditionalFormatting sqref="D106">
    <cfRule type="cellIs" dxfId="6404" priority="404" operator="equal">
      <formula>$C106</formula>
    </cfRule>
    <cfRule type="cellIs" dxfId="6403" priority="405" operator="greaterThan">
      <formula>$C106</formula>
    </cfRule>
    <cfRule type="cellIs" dxfId="6402" priority="406" operator="lessThan">
      <formula>$C106</formula>
    </cfRule>
  </conditionalFormatting>
  <conditionalFormatting sqref="C107">
    <cfRule type="expression" dxfId="6401" priority="403">
      <formula>AND($A107&lt;&gt;"",MOD(ROW(),2))</formula>
    </cfRule>
  </conditionalFormatting>
  <conditionalFormatting sqref="D107">
    <cfRule type="expression" dxfId="6400" priority="402">
      <formula>AND($A107&lt;&gt;"",MOD(ROW(),2))</formula>
    </cfRule>
  </conditionalFormatting>
  <conditionalFormatting sqref="D107">
    <cfRule type="cellIs" dxfId="6399" priority="399" operator="equal">
      <formula>$C107</formula>
    </cfRule>
    <cfRule type="cellIs" dxfId="6398" priority="400" operator="greaterThan">
      <formula>$C107</formula>
    </cfRule>
    <cfRule type="cellIs" dxfId="6397" priority="401" operator="lessThan">
      <formula>$C107</formula>
    </cfRule>
  </conditionalFormatting>
  <conditionalFormatting sqref="C108">
    <cfRule type="expression" dxfId="6396" priority="398">
      <formula>AND($A108&lt;&gt;"",MOD(ROW(),2))</formula>
    </cfRule>
  </conditionalFormatting>
  <conditionalFormatting sqref="D108">
    <cfRule type="expression" dxfId="6395" priority="397">
      <formula>AND($A108&lt;&gt;"",MOD(ROW(),2))</formula>
    </cfRule>
  </conditionalFormatting>
  <conditionalFormatting sqref="D108">
    <cfRule type="cellIs" dxfId="6394" priority="394" operator="equal">
      <formula>$C108</formula>
    </cfRule>
    <cfRule type="cellIs" dxfId="6393" priority="395" operator="greaterThan">
      <formula>$C108</formula>
    </cfRule>
    <cfRule type="cellIs" dxfId="6392" priority="396" operator="lessThan">
      <formula>$C108</formula>
    </cfRule>
  </conditionalFormatting>
  <conditionalFormatting sqref="C109:C127">
    <cfRule type="expression" dxfId="6391" priority="393">
      <formula>AND($A109&lt;&gt;"",MOD(ROW(),2))</formula>
    </cfRule>
  </conditionalFormatting>
  <conditionalFormatting sqref="D109:D127">
    <cfRule type="expression" dxfId="6390" priority="392">
      <formula>AND($A109&lt;&gt;"",MOD(ROW(),2))</formula>
    </cfRule>
  </conditionalFormatting>
  <conditionalFormatting sqref="D109:D127">
    <cfRule type="cellIs" dxfId="6389" priority="389" operator="equal">
      <formula>$C109</formula>
    </cfRule>
    <cfRule type="cellIs" dxfId="6388" priority="390" operator="greaterThan">
      <formula>$C109</formula>
    </cfRule>
    <cfRule type="cellIs" dxfId="6387" priority="391" operator="lessThan">
      <formula>$C109</formula>
    </cfRule>
  </conditionalFormatting>
  <conditionalFormatting sqref="G128:G135 C128:C167 H128:I167">
    <cfRule type="expression" dxfId="6386" priority="388">
      <formula>AND($A128&lt;&gt;"",MOD(ROW(),2))</formula>
    </cfRule>
  </conditionalFormatting>
  <conditionalFormatting sqref="F131:F163">
    <cfRule type="containsText" dxfId="6385" priority="386" operator="containsText" text="Unpaid Rent">
      <formula>NOT(ISERROR(SEARCH("Unpaid Rent",F131)))</formula>
    </cfRule>
    <cfRule type="containsText" dxfId="6384" priority="387" stopIfTrue="1" operator="containsText" text="Closed Account">
      <formula>NOT(ISERROR(SEARCH("Closed Account",F131)))</formula>
    </cfRule>
  </conditionalFormatting>
  <conditionalFormatting sqref="D128:E128">
    <cfRule type="expression" dxfId="6383" priority="385">
      <formula>AND($A128&lt;&gt;"",MOD(ROW(),2))</formula>
    </cfRule>
  </conditionalFormatting>
  <conditionalFormatting sqref="D128">
    <cfRule type="cellIs" dxfId="6382" priority="382" operator="equal">
      <formula>$C128</formula>
    </cfRule>
    <cfRule type="cellIs" dxfId="6381" priority="383" operator="greaterThan">
      <formula>$C128</formula>
    </cfRule>
    <cfRule type="cellIs" dxfId="6380" priority="384" operator="lessThan">
      <formula>$C128</formula>
    </cfRule>
  </conditionalFormatting>
  <conditionalFormatting sqref="D129:E129">
    <cfRule type="expression" dxfId="6379" priority="381">
      <formula>AND($A129&lt;&gt;"",MOD(ROW(),2))</formula>
    </cfRule>
  </conditionalFormatting>
  <conditionalFormatting sqref="D129">
    <cfRule type="cellIs" dxfId="6378" priority="378" operator="equal">
      <formula>$C129</formula>
    </cfRule>
    <cfRule type="cellIs" dxfId="6377" priority="379" operator="greaterThan">
      <formula>$C129</formula>
    </cfRule>
    <cfRule type="cellIs" dxfId="6376" priority="380" operator="lessThan">
      <formula>$C129</formula>
    </cfRule>
  </conditionalFormatting>
  <conditionalFormatting sqref="D130:E130">
    <cfRule type="expression" dxfId="6375" priority="377">
      <formula>AND($A130&lt;&gt;"",MOD(ROW(),2))</formula>
    </cfRule>
  </conditionalFormatting>
  <conditionalFormatting sqref="D130">
    <cfRule type="cellIs" dxfId="6374" priority="374" operator="equal">
      <formula>$C130</formula>
    </cfRule>
    <cfRule type="cellIs" dxfId="6373" priority="375" operator="greaterThan">
      <formula>$C130</formula>
    </cfRule>
    <cfRule type="cellIs" dxfId="6372" priority="376" operator="lessThan">
      <formula>$C130</formula>
    </cfRule>
  </conditionalFormatting>
  <conditionalFormatting sqref="D131:E131">
    <cfRule type="expression" dxfId="6371" priority="373">
      <formula>AND($A131&lt;&gt;"",MOD(ROW(),2))</formula>
    </cfRule>
  </conditionalFormatting>
  <conditionalFormatting sqref="D131:D132">
    <cfRule type="cellIs" dxfId="6370" priority="370" operator="equal">
      <formula>$C131</formula>
    </cfRule>
    <cfRule type="cellIs" dxfId="6369" priority="371" operator="greaterThan">
      <formula>$C131</formula>
    </cfRule>
    <cfRule type="cellIs" dxfId="6368" priority="372" operator="lessThan">
      <formula>$C131</formula>
    </cfRule>
  </conditionalFormatting>
  <conditionalFormatting sqref="F128:F133">
    <cfRule type="containsText" dxfId="6367" priority="368" operator="containsText" text="Unpaid Rent">
      <formula>NOT(ISERROR(SEARCH("Unpaid Rent",F128)))</formula>
    </cfRule>
    <cfRule type="containsText" dxfId="6366" priority="369" stopIfTrue="1" operator="containsText" text="Closed Account">
      <formula>NOT(ISERROR(SEARCH("Closed Account",F128)))</formula>
    </cfRule>
  </conditionalFormatting>
  <conditionalFormatting sqref="D132:E132">
    <cfRule type="expression" dxfId="6365" priority="367">
      <formula>AND($A132&lt;&gt;"",MOD(ROW(),2))</formula>
    </cfRule>
  </conditionalFormatting>
  <conditionalFormatting sqref="D131:D133">
    <cfRule type="cellIs" dxfId="6364" priority="364" operator="equal">
      <formula>$C131</formula>
    </cfRule>
    <cfRule type="cellIs" dxfId="6363" priority="365" operator="greaterThan">
      <formula>$C131</formula>
    </cfRule>
    <cfRule type="cellIs" dxfId="6362" priority="366" operator="lessThan">
      <formula>$C131</formula>
    </cfRule>
  </conditionalFormatting>
  <conditionalFormatting sqref="D133:E133">
    <cfRule type="expression" dxfId="6361" priority="363">
      <formula>AND($A133&lt;&gt;"",MOD(ROW(),2))</formula>
    </cfRule>
  </conditionalFormatting>
  <conditionalFormatting sqref="D131:D133">
    <cfRule type="cellIs" dxfId="6360" priority="360" operator="equal">
      <formula>$C131</formula>
    </cfRule>
    <cfRule type="cellIs" dxfId="6359" priority="361" operator="greaterThan">
      <formula>$C131</formula>
    </cfRule>
    <cfRule type="cellIs" dxfId="6358" priority="362" operator="lessThan">
      <formula>$C131</formula>
    </cfRule>
  </conditionalFormatting>
  <conditionalFormatting sqref="D134:E134">
    <cfRule type="expression" dxfId="6357" priority="359">
      <formula>AND($A134&lt;&gt;"",MOD(ROW(),2))</formula>
    </cfRule>
  </conditionalFormatting>
  <conditionalFormatting sqref="D132:D134">
    <cfRule type="cellIs" dxfId="6356" priority="356" operator="equal">
      <formula>$C132</formula>
    </cfRule>
    <cfRule type="cellIs" dxfId="6355" priority="357" operator="greaterThan">
      <formula>$C132</formula>
    </cfRule>
    <cfRule type="cellIs" dxfId="6354" priority="358" operator="lessThan">
      <formula>$C132</formula>
    </cfRule>
  </conditionalFormatting>
  <conditionalFormatting sqref="D135:E135">
    <cfRule type="expression" dxfId="6353" priority="355">
      <formula>AND($A135&lt;&gt;"",MOD(ROW(),2))</formula>
    </cfRule>
  </conditionalFormatting>
  <conditionalFormatting sqref="D133:D135">
    <cfRule type="cellIs" dxfId="6352" priority="352" operator="equal">
      <formula>$C133</formula>
    </cfRule>
    <cfRule type="cellIs" dxfId="6351" priority="353" operator="greaterThan">
      <formula>$C133</formula>
    </cfRule>
    <cfRule type="cellIs" dxfId="6350" priority="354" operator="lessThan">
      <formula>$C133</formula>
    </cfRule>
  </conditionalFormatting>
  <conditionalFormatting sqref="D136:E136">
    <cfRule type="expression" dxfId="6349" priority="351">
      <formula>AND($A136&lt;&gt;"",MOD(ROW(),2))</formula>
    </cfRule>
  </conditionalFormatting>
  <conditionalFormatting sqref="D134:D136">
    <cfRule type="cellIs" dxfId="6348" priority="348" operator="equal">
      <formula>$C134</formula>
    </cfRule>
    <cfRule type="cellIs" dxfId="6347" priority="349" operator="greaterThan">
      <formula>$C134</formula>
    </cfRule>
    <cfRule type="cellIs" dxfId="6346" priority="350" operator="lessThan">
      <formula>$C134</formula>
    </cfRule>
  </conditionalFormatting>
  <conditionalFormatting sqref="D137:E137">
    <cfRule type="expression" dxfId="6345" priority="347">
      <formula>AND($A137&lt;&gt;"",MOD(ROW(),2))</formula>
    </cfRule>
  </conditionalFormatting>
  <conditionalFormatting sqref="D135:D137">
    <cfRule type="cellIs" dxfId="6344" priority="344" operator="equal">
      <formula>$C135</formula>
    </cfRule>
    <cfRule type="cellIs" dxfId="6343" priority="345" operator="greaterThan">
      <formula>$C135</formula>
    </cfRule>
    <cfRule type="cellIs" dxfId="6342" priority="346" operator="lessThan">
      <formula>$C135</formula>
    </cfRule>
  </conditionalFormatting>
  <conditionalFormatting sqref="D138:E138">
    <cfRule type="expression" dxfId="6341" priority="343">
      <formula>AND($A138&lt;&gt;"",MOD(ROW(),2))</formula>
    </cfRule>
  </conditionalFormatting>
  <conditionalFormatting sqref="D136:D138">
    <cfRule type="cellIs" dxfId="6340" priority="340" operator="equal">
      <formula>$C136</formula>
    </cfRule>
    <cfRule type="cellIs" dxfId="6339" priority="341" operator="greaterThan">
      <formula>$C136</formula>
    </cfRule>
    <cfRule type="cellIs" dxfId="6338" priority="342" operator="lessThan">
      <formula>$C136</formula>
    </cfRule>
  </conditionalFormatting>
  <conditionalFormatting sqref="D139:E139">
    <cfRule type="expression" dxfId="6337" priority="339">
      <formula>AND($A139&lt;&gt;"",MOD(ROW(),2))</formula>
    </cfRule>
  </conditionalFormatting>
  <conditionalFormatting sqref="D137:D139">
    <cfRule type="cellIs" dxfId="6336" priority="336" operator="equal">
      <formula>$C137</formula>
    </cfRule>
    <cfRule type="cellIs" dxfId="6335" priority="337" operator="greaterThan">
      <formula>$C137</formula>
    </cfRule>
    <cfRule type="cellIs" dxfId="6334" priority="338" operator="lessThan">
      <formula>$C137</formula>
    </cfRule>
  </conditionalFormatting>
  <conditionalFormatting sqref="D140:E140">
    <cfRule type="expression" dxfId="6333" priority="335">
      <formula>AND($A140&lt;&gt;"",MOD(ROW(),2))</formula>
    </cfRule>
  </conditionalFormatting>
  <conditionalFormatting sqref="D138:D140">
    <cfRule type="cellIs" dxfId="6332" priority="332" operator="equal">
      <formula>$C138</formula>
    </cfRule>
    <cfRule type="cellIs" dxfId="6331" priority="333" operator="greaterThan">
      <formula>$C138</formula>
    </cfRule>
    <cfRule type="cellIs" dxfId="6330" priority="334" operator="lessThan">
      <formula>$C138</formula>
    </cfRule>
  </conditionalFormatting>
  <conditionalFormatting sqref="D141:E141">
    <cfRule type="expression" dxfId="6329" priority="331">
      <formula>AND($A141&lt;&gt;"",MOD(ROW(),2))</formula>
    </cfRule>
  </conditionalFormatting>
  <conditionalFormatting sqref="D139:D141">
    <cfRule type="cellIs" dxfId="6328" priority="328" operator="equal">
      <formula>$C139</formula>
    </cfRule>
    <cfRule type="cellIs" dxfId="6327" priority="329" operator="greaterThan">
      <formula>$C139</formula>
    </cfRule>
    <cfRule type="cellIs" dxfId="6326" priority="330" operator="lessThan">
      <formula>$C139</formula>
    </cfRule>
  </conditionalFormatting>
  <conditionalFormatting sqref="D142:E142">
    <cfRule type="expression" dxfId="6325" priority="327">
      <formula>AND($A142&lt;&gt;"",MOD(ROW(),2))</formula>
    </cfRule>
  </conditionalFormatting>
  <conditionalFormatting sqref="D140:D163">
    <cfRule type="cellIs" dxfId="6324" priority="324" operator="equal">
      <formula>$C140</formula>
    </cfRule>
    <cfRule type="cellIs" dxfId="6323" priority="325" operator="greaterThan">
      <formula>$C140</formula>
    </cfRule>
    <cfRule type="cellIs" dxfId="6322" priority="326" operator="lessThan">
      <formula>$C140</formula>
    </cfRule>
  </conditionalFormatting>
  <conditionalFormatting sqref="D141:D163">
    <cfRule type="cellIs" dxfId="6321" priority="320" operator="equal">
      <formula>$C141</formula>
    </cfRule>
    <cfRule type="cellIs" dxfId="6320" priority="321" operator="greaterThan">
      <formula>$C141</formula>
    </cfRule>
    <cfRule type="cellIs" dxfId="6319" priority="322" operator="lessThan">
      <formula>$C141</formula>
    </cfRule>
  </conditionalFormatting>
  <conditionalFormatting sqref="D128:E128">
    <cfRule type="expression" dxfId="6318" priority="319">
      <formula>AND($A128&lt;&gt;"",MOD(ROW(),2))</formula>
    </cfRule>
  </conditionalFormatting>
  <conditionalFormatting sqref="D128">
    <cfRule type="cellIs" dxfId="6317" priority="316" operator="equal">
      <formula>$C128</formula>
    </cfRule>
    <cfRule type="cellIs" dxfId="6316" priority="317" operator="greaterThan">
      <formula>$C128</formula>
    </cfRule>
    <cfRule type="cellIs" dxfId="6315" priority="318" operator="lessThan">
      <formula>$C128</formula>
    </cfRule>
  </conditionalFormatting>
  <conditionalFormatting sqref="D129:E129">
    <cfRule type="expression" dxfId="6314" priority="315">
      <formula>AND($A129&lt;&gt;"",MOD(ROW(),2))</formula>
    </cfRule>
  </conditionalFormatting>
  <conditionalFormatting sqref="D129">
    <cfRule type="cellIs" dxfId="6313" priority="312" operator="equal">
      <formula>$C129</formula>
    </cfRule>
    <cfRule type="cellIs" dxfId="6312" priority="313" operator="greaterThan">
      <formula>$C129</formula>
    </cfRule>
    <cfRule type="cellIs" dxfId="6311" priority="314" operator="lessThan">
      <formula>$C129</formula>
    </cfRule>
  </conditionalFormatting>
  <conditionalFormatting sqref="D130:E130">
    <cfRule type="expression" dxfId="6310" priority="311">
      <formula>AND($A130&lt;&gt;"",MOD(ROW(),2))</formula>
    </cfRule>
  </conditionalFormatting>
  <conditionalFormatting sqref="D130">
    <cfRule type="cellIs" dxfId="6309" priority="308" operator="equal">
      <formula>$C130</formula>
    </cfRule>
    <cfRule type="cellIs" dxfId="6308" priority="309" operator="greaterThan">
      <formula>$C130</formula>
    </cfRule>
    <cfRule type="cellIs" dxfId="6307" priority="310" operator="lessThan">
      <formula>$C130</formula>
    </cfRule>
  </conditionalFormatting>
  <conditionalFormatting sqref="D131:E131">
    <cfRule type="expression" dxfId="6306" priority="307">
      <formula>AND($A131&lt;&gt;"",MOD(ROW(),2))</formula>
    </cfRule>
  </conditionalFormatting>
  <conditionalFormatting sqref="D131:D132">
    <cfRule type="cellIs" dxfId="6305" priority="304" operator="equal">
      <formula>$C131</formula>
    </cfRule>
    <cfRule type="cellIs" dxfId="6304" priority="305" operator="greaterThan">
      <formula>$C131</formula>
    </cfRule>
    <cfRule type="cellIs" dxfId="6303" priority="306" operator="lessThan">
      <formula>$C131</formula>
    </cfRule>
  </conditionalFormatting>
  <conditionalFormatting sqref="D132:E132">
    <cfRule type="expression" dxfId="6302" priority="303">
      <formula>AND($A132&lt;&gt;"",MOD(ROW(),2))</formula>
    </cfRule>
  </conditionalFormatting>
  <conditionalFormatting sqref="D131:D133">
    <cfRule type="cellIs" dxfId="6301" priority="300" operator="equal">
      <formula>$C131</formula>
    </cfRule>
    <cfRule type="cellIs" dxfId="6300" priority="301" operator="greaterThan">
      <formula>$C131</formula>
    </cfRule>
    <cfRule type="cellIs" dxfId="6299" priority="302" operator="lessThan">
      <formula>$C131</formula>
    </cfRule>
  </conditionalFormatting>
  <conditionalFormatting sqref="D133:E133">
    <cfRule type="expression" dxfId="6298" priority="299">
      <formula>AND($A133&lt;&gt;"",MOD(ROW(),2))</formula>
    </cfRule>
  </conditionalFormatting>
  <conditionalFormatting sqref="D131:D133">
    <cfRule type="cellIs" dxfId="6297" priority="296" operator="equal">
      <formula>$C131</formula>
    </cfRule>
    <cfRule type="cellIs" dxfId="6296" priority="297" operator="greaterThan">
      <formula>$C131</formula>
    </cfRule>
    <cfRule type="cellIs" dxfId="6295" priority="298" operator="lessThan">
      <formula>$C131</formula>
    </cfRule>
  </conditionalFormatting>
  <conditionalFormatting sqref="D134:E134">
    <cfRule type="expression" dxfId="6294" priority="295">
      <formula>AND($A134&lt;&gt;"",MOD(ROW(),2))</formula>
    </cfRule>
  </conditionalFormatting>
  <conditionalFormatting sqref="D132:D134">
    <cfRule type="cellIs" dxfId="6293" priority="292" operator="equal">
      <formula>$C132</formula>
    </cfRule>
    <cfRule type="cellIs" dxfId="6292" priority="293" operator="greaterThan">
      <formula>$C132</formula>
    </cfRule>
    <cfRule type="cellIs" dxfId="6291" priority="294" operator="lessThan">
      <formula>$C132</formula>
    </cfRule>
  </conditionalFormatting>
  <conditionalFormatting sqref="D135:E135">
    <cfRule type="expression" dxfId="6290" priority="291">
      <formula>AND($A135&lt;&gt;"",MOD(ROW(),2))</formula>
    </cfRule>
  </conditionalFormatting>
  <conditionalFormatting sqref="D133:D135">
    <cfRule type="cellIs" dxfId="6289" priority="288" operator="equal">
      <formula>$C133</formula>
    </cfRule>
    <cfRule type="cellIs" dxfId="6288" priority="289" operator="greaterThan">
      <formula>$C133</formula>
    </cfRule>
    <cfRule type="cellIs" dxfId="6287" priority="290" operator="lessThan">
      <formula>$C133</formula>
    </cfRule>
  </conditionalFormatting>
  <conditionalFormatting sqref="D136:E136">
    <cfRule type="expression" dxfId="6286" priority="287">
      <formula>AND($A136&lt;&gt;"",MOD(ROW(),2))</formula>
    </cfRule>
  </conditionalFormatting>
  <conditionalFormatting sqref="D134:D136">
    <cfRule type="cellIs" dxfId="6285" priority="284" operator="equal">
      <formula>$C134</formula>
    </cfRule>
    <cfRule type="cellIs" dxfId="6284" priority="285" operator="greaterThan">
      <formula>$C134</formula>
    </cfRule>
    <cfRule type="cellIs" dxfId="6283" priority="286" operator="lessThan">
      <formula>$C134</formula>
    </cfRule>
  </conditionalFormatting>
  <conditionalFormatting sqref="D137:E137">
    <cfRule type="expression" dxfId="6282" priority="283">
      <formula>AND($A137&lt;&gt;"",MOD(ROW(),2))</formula>
    </cfRule>
  </conditionalFormatting>
  <conditionalFormatting sqref="D135:D137">
    <cfRule type="cellIs" dxfId="6281" priority="280" operator="equal">
      <formula>$C135</formula>
    </cfRule>
    <cfRule type="cellIs" dxfId="6280" priority="281" operator="greaterThan">
      <formula>$C135</formula>
    </cfRule>
    <cfRule type="cellIs" dxfId="6279" priority="282" operator="lessThan">
      <formula>$C135</formula>
    </cfRule>
  </conditionalFormatting>
  <conditionalFormatting sqref="D138:E138">
    <cfRule type="expression" dxfId="6278" priority="279">
      <formula>AND($A138&lt;&gt;"",MOD(ROW(),2))</formula>
    </cfRule>
  </conditionalFormatting>
  <conditionalFormatting sqref="D136:D138">
    <cfRule type="cellIs" dxfId="6277" priority="276" operator="equal">
      <formula>$C136</formula>
    </cfRule>
    <cfRule type="cellIs" dxfId="6276" priority="277" operator="greaterThan">
      <formula>$C136</formula>
    </cfRule>
    <cfRule type="cellIs" dxfId="6275" priority="278" operator="lessThan">
      <formula>$C136</formula>
    </cfRule>
  </conditionalFormatting>
  <conditionalFormatting sqref="D139:E139">
    <cfRule type="expression" dxfId="6274" priority="275">
      <formula>AND($A139&lt;&gt;"",MOD(ROW(),2))</formula>
    </cfRule>
  </conditionalFormatting>
  <conditionalFormatting sqref="D137:D139">
    <cfRule type="cellIs" dxfId="6273" priority="272" operator="equal">
      <formula>$C137</formula>
    </cfRule>
    <cfRule type="cellIs" dxfId="6272" priority="273" operator="greaterThan">
      <formula>$C137</formula>
    </cfRule>
    <cfRule type="cellIs" dxfId="6271" priority="274" operator="lessThan">
      <formula>$C137</formula>
    </cfRule>
  </conditionalFormatting>
  <conditionalFormatting sqref="D140:E140">
    <cfRule type="expression" dxfId="6270" priority="271">
      <formula>AND($A140&lt;&gt;"",MOD(ROW(),2))</formula>
    </cfRule>
  </conditionalFormatting>
  <conditionalFormatting sqref="D138:D140">
    <cfRule type="cellIs" dxfId="6269" priority="268" operator="equal">
      <formula>$C138</formula>
    </cfRule>
    <cfRule type="cellIs" dxfId="6268" priority="269" operator="greaterThan">
      <formula>$C138</formula>
    </cfRule>
    <cfRule type="cellIs" dxfId="6267" priority="270" operator="lessThan">
      <formula>$C138</formula>
    </cfRule>
  </conditionalFormatting>
  <conditionalFormatting sqref="D141:E141">
    <cfRule type="expression" dxfId="6266" priority="267">
      <formula>AND($A141&lt;&gt;"",MOD(ROW(),2))</formula>
    </cfRule>
  </conditionalFormatting>
  <conditionalFormatting sqref="D139:D141">
    <cfRule type="cellIs" dxfId="6265" priority="264" operator="equal">
      <formula>$C139</formula>
    </cfRule>
    <cfRule type="cellIs" dxfId="6264" priority="265" operator="greaterThan">
      <formula>$C139</formula>
    </cfRule>
    <cfRule type="cellIs" dxfId="6263" priority="266" operator="lessThan">
      <formula>$C139</formula>
    </cfRule>
  </conditionalFormatting>
  <conditionalFormatting sqref="D142:E142">
    <cfRule type="expression" dxfId="6262" priority="263">
      <formula>AND($A142&lt;&gt;"",MOD(ROW(),2))</formula>
    </cfRule>
  </conditionalFormatting>
  <conditionalFormatting sqref="D140:D163">
    <cfRule type="cellIs" dxfId="6261" priority="260" operator="equal">
      <formula>$C140</formula>
    </cfRule>
    <cfRule type="cellIs" dxfId="6260" priority="261" operator="greaterThan">
      <formula>$C140</formula>
    </cfRule>
    <cfRule type="cellIs" dxfId="6259" priority="262" operator="lessThan">
      <formula>$C140</formula>
    </cfRule>
  </conditionalFormatting>
  <conditionalFormatting sqref="D141:D163">
    <cfRule type="cellIs" dxfId="6258" priority="256" operator="equal">
      <formula>$C141</formula>
    </cfRule>
    <cfRule type="cellIs" dxfId="6257" priority="257" operator="greaterThan">
      <formula>$C141</formula>
    </cfRule>
    <cfRule type="cellIs" dxfId="6256" priority="258" operator="lessThan">
      <formula>$C141</formula>
    </cfRule>
  </conditionalFormatting>
  <conditionalFormatting sqref="D142:D163">
    <cfRule type="cellIs" dxfId="6255" priority="252" operator="equal">
      <formula>$C142</formula>
    </cfRule>
    <cfRule type="cellIs" dxfId="6254" priority="253" operator="greaterThan">
      <formula>$C142</formula>
    </cfRule>
    <cfRule type="cellIs" dxfId="6253" priority="254" operator="lessThan">
      <formula>$C142</formula>
    </cfRule>
  </conditionalFormatting>
  <conditionalFormatting sqref="D131:E131">
    <cfRule type="expression" dxfId="6252" priority="251">
      <formula>AND($A131&lt;&gt;"",MOD(ROW(),2))</formula>
    </cfRule>
  </conditionalFormatting>
  <conditionalFormatting sqref="D132:E132">
    <cfRule type="expression" dxfId="6251" priority="250">
      <formula>AND($A132&lt;&gt;"",MOD(ROW(),2))</formula>
    </cfRule>
  </conditionalFormatting>
  <conditionalFormatting sqref="D133:E133">
    <cfRule type="expression" dxfId="6250" priority="249">
      <formula>AND($A133&lt;&gt;"",MOD(ROW(),2))</formula>
    </cfRule>
  </conditionalFormatting>
  <conditionalFormatting sqref="D134:E134">
    <cfRule type="expression" dxfId="6249" priority="248">
      <formula>AND($A134&lt;&gt;"",MOD(ROW(),2))</formula>
    </cfRule>
  </conditionalFormatting>
  <conditionalFormatting sqref="D135:E135">
    <cfRule type="expression" dxfId="6248" priority="247">
      <formula>AND($A135&lt;&gt;"",MOD(ROW(),2))</formula>
    </cfRule>
  </conditionalFormatting>
  <conditionalFormatting sqref="D136:E136">
    <cfRule type="expression" dxfId="6247" priority="246">
      <formula>AND($A136&lt;&gt;"",MOD(ROW(),2))</formula>
    </cfRule>
  </conditionalFormatting>
  <conditionalFormatting sqref="D137:E137">
    <cfRule type="expression" dxfId="6246" priority="245">
      <formula>AND($A137&lt;&gt;"",MOD(ROW(),2))</formula>
    </cfRule>
  </conditionalFormatting>
  <conditionalFormatting sqref="D138:E138">
    <cfRule type="expression" dxfId="6245" priority="244">
      <formula>AND($A138&lt;&gt;"",MOD(ROW(),2))</formula>
    </cfRule>
  </conditionalFormatting>
  <conditionalFormatting sqref="D139:E139">
    <cfRule type="expression" dxfId="6244" priority="243">
      <formula>AND($A139&lt;&gt;"",MOD(ROW(),2))</formula>
    </cfRule>
  </conditionalFormatting>
  <conditionalFormatting sqref="D140:E140">
    <cfRule type="expression" dxfId="6243" priority="242">
      <formula>AND($A140&lt;&gt;"",MOD(ROW(),2))</formula>
    </cfRule>
  </conditionalFormatting>
  <conditionalFormatting sqref="D141:E141">
    <cfRule type="expression" dxfId="6242" priority="241">
      <formula>AND($A141&lt;&gt;"",MOD(ROW(),2))</formula>
    </cfRule>
  </conditionalFormatting>
  <conditionalFormatting sqref="D142:E142">
    <cfRule type="expression" dxfId="6241" priority="240">
      <formula>AND($A142&lt;&gt;"",MOD(ROW(),2))</formula>
    </cfRule>
  </conditionalFormatting>
  <conditionalFormatting sqref="D131:E131">
    <cfRule type="expression" dxfId="6240" priority="239">
      <formula>AND($A131&lt;&gt;"",MOD(ROW(),2))</formula>
    </cfRule>
  </conditionalFormatting>
  <conditionalFormatting sqref="D132:E132">
    <cfRule type="expression" dxfId="6239" priority="238">
      <formula>AND($A132&lt;&gt;"",MOD(ROW(),2))</formula>
    </cfRule>
  </conditionalFormatting>
  <conditionalFormatting sqref="D133:E133">
    <cfRule type="expression" dxfId="6238" priority="237">
      <formula>AND($A133&lt;&gt;"",MOD(ROW(),2))</formula>
    </cfRule>
  </conditionalFormatting>
  <conditionalFormatting sqref="D134:E134">
    <cfRule type="expression" dxfId="6237" priority="236">
      <formula>AND($A134&lt;&gt;"",MOD(ROW(),2))</formula>
    </cfRule>
  </conditionalFormatting>
  <conditionalFormatting sqref="D135:E135">
    <cfRule type="expression" dxfId="6236" priority="235">
      <formula>AND($A135&lt;&gt;"",MOD(ROW(),2))</formula>
    </cfRule>
  </conditionalFormatting>
  <conditionalFormatting sqref="D136:E136">
    <cfRule type="expression" dxfId="6235" priority="234">
      <formula>AND($A136&lt;&gt;"",MOD(ROW(),2))</formula>
    </cfRule>
  </conditionalFormatting>
  <conditionalFormatting sqref="D137:E137">
    <cfRule type="expression" dxfId="6234" priority="233">
      <formula>AND($A137&lt;&gt;"",MOD(ROW(),2))</formula>
    </cfRule>
  </conditionalFormatting>
  <conditionalFormatting sqref="D138:E138">
    <cfRule type="expression" dxfId="6233" priority="232">
      <formula>AND($A138&lt;&gt;"",MOD(ROW(),2))</formula>
    </cfRule>
  </conditionalFormatting>
  <conditionalFormatting sqref="D139:E139">
    <cfRule type="expression" dxfId="6232" priority="231">
      <formula>AND($A139&lt;&gt;"",MOD(ROW(),2))</formula>
    </cfRule>
  </conditionalFormatting>
  <conditionalFormatting sqref="D140:E140">
    <cfRule type="expression" dxfId="6231" priority="230">
      <formula>AND($A140&lt;&gt;"",MOD(ROW(),2))</formula>
    </cfRule>
  </conditionalFormatting>
  <conditionalFormatting sqref="D141:E141">
    <cfRule type="expression" dxfId="6230" priority="229">
      <formula>AND($A141&lt;&gt;"",MOD(ROW(),2))</formula>
    </cfRule>
  </conditionalFormatting>
  <conditionalFormatting sqref="D142:E142">
    <cfRule type="expression" dxfId="6229" priority="228">
      <formula>AND($A142&lt;&gt;"",MOD(ROW(),2))</formula>
    </cfRule>
  </conditionalFormatting>
  <conditionalFormatting sqref="D131:E131">
    <cfRule type="expression" dxfId="6228" priority="226">
      <formula>AND($A131&lt;&gt;"",MOD(ROW(),2))</formula>
    </cfRule>
  </conditionalFormatting>
  <conditionalFormatting sqref="D132:E132">
    <cfRule type="expression" dxfId="6227" priority="225">
      <formula>AND($A132&lt;&gt;"",MOD(ROW(),2))</formula>
    </cfRule>
  </conditionalFormatting>
  <conditionalFormatting sqref="D133:E133">
    <cfRule type="expression" dxfId="6226" priority="224">
      <formula>AND($A133&lt;&gt;"",MOD(ROW(),2))</formula>
    </cfRule>
  </conditionalFormatting>
  <conditionalFormatting sqref="D134:E134">
    <cfRule type="expression" dxfId="6225" priority="223">
      <formula>AND($A134&lt;&gt;"",MOD(ROW(),2))</formula>
    </cfRule>
  </conditionalFormatting>
  <conditionalFormatting sqref="D135:E135">
    <cfRule type="expression" dxfId="6224" priority="222">
      <formula>AND($A135&lt;&gt;"",MOD(ROW(),2))</formula>
    </cfRule>
  </conditionalFormatting>
  <conditionalFormatting sqref="D136:E136">
    <cfRule type="expression" dxfId="6223" priority="221">
      <formula>AND($A136&lt;&gt;"",MOD(ROW(),2))</formula>
    </cfRule>
  </conditionalFormatting>
  <conditionalFormatting sqref="D137:E137">
    <cfRule type="expression" dxfId="6222" priority="220">
      <formula>AND($A137&lt;&gt;"",MOD(ROW(),2))</formula>
    </cfRule>
  </conditionalFormatting>
  <conditionalFormatting sqref="D138:E138">
    <cfRule type="expression" dxfId="6221" priority="219">
      <formula>AND($A138&lt;&gt;"",MOD(ROW(),2))</formula>
    </cfRule>
  </conditionalFormatting>
  <conditionalFormatting sqref="D139:E139">
    <cfRule type="expression" dxfId="6220" priority="218">
      <formula>AND($A139&lt;&gt;"",MOD(ROW(),2))</formula>
    </cfRule>
  </conditionalFormatting>
  <conditionalFormatting sqref="D140:E140">
    <cfRule type="expression" dxfId="6219" priority="217">
      <formula>AND($A140&lt;&gt;"",MOD(ROW(),2))</formula>
    </cfRule>
  </conditionalFormatting>
  <conditionalFormatting sqref="D141:E141">
    <cfRule type="expression" dxfId="6218" priority="216">
      <formula>AND($A141&lt;&gt;"",MOD(ROW(),2))</formula>
    </cfRule>
  </conditionalFormatting>
  <conditionalFormatting sqref="D142:E142">
    <cfRule type="expression" dxfId="6217" priority="215">
      <formula>AND($A142&lt;&gt;"",MOD(ROW(),2))</formula>
    </cfRule>
  </conditionalFormatting>
  <conditionalFormatting sqref="D131:E131">
    <cfRule type="expression" dxfId="6216" priority="214">
      <formula>AND($A131&lt;&gt;"",MOD(ROW(),2))</formula>
    </cfRule>
  </conditionalFormatting>
  <conditionalFormatting sqref="D132:E132">
    <cfRule type="expression" dxfId="6215" priority="213">
      <formula>AND($A132&lt;&gt;"",MOD(ROW(),2))</formula>
    </cfRule>
  </conditionalFormatting>
  <conditionalFormatting sqref="D133:E133">
    <cfRule type="expression" dxfId="6214" priority="212">
      <formula>AND($A133&lt;&gt;"",MOD(ROW(),2))</formula>
    </cfRule>
  </conditionalFormatting>
  <conditionalFormatting sqref="D134:E134">
    <cfRule type="expression" dxfId="6213" priority="211">
      <formula>AND($A134&lt;&gt;"",MOD(ROW(),2))</formula>
    </cfRule>
  </conditionalFormatting>
  <conditionalFormatting sqref="D135:E135">
    <cfRule type="expression" dxfId="6212" priority="210">
      <formula>AND($A135&lt;&gt;"",MOD(ROW(),2))</formula>
    </cfRule>
  </conditionalFormatting>
  <conditionalFormatting sqref="D136:E136">
    <cfRule type="expression" dxfId="6211" priority="209">
      <formula>AND($A136&lt;&gt;"",MOD(ROW(),2))</formula>
    </cfRule>
  </conditionalFormatting>
  <conditionalFormatting sqref="D137:E137">
    <cfRule type="expression" dxfId="6210" priority="208">
      <formula>AND($A137&lt;&gt;"",MOD(ROW(),2))</formula>
    </cfRule>
  </conditionalFormatting>
  <conditionalFormatting sqref="D138:E138">
    <cfRule type="expression" dxfId="6209" priority="207">
      <formula>AND($A138&lt;&gt;"",MOD(ROW(),2))</formula>
    </cfRule>
  </conditionalFormatting>
  <conditionalFormatting sqref="D139:E139">
    <cfRule type="expression" dxfId="6208" priority="206">
      <formula>AND($A139&lt;&gt;"",MOD(ROW(),2))</formula>
    </cfRule>
  </conditionalFormatting>
  <conditionalFormatting sqref="D140:E140">
    <cfRule type="expression" dxfId="6207" priority="205">
      <formula>AND($A140&lt;&gt;"",MOD(ROW(),2))</formula>
    </cfRule>
  </conditionalFormatting>
  <conditionalFormatting sqref="D141:E141">
    <cfRule type="expression" dxfId="6206" priority="204">
      <formula>AND($A141&lt;&gt;"",MOD(ROW(),2))</formula>
    </cfRule>
  </conditionalFormatting>
  <conditionalFormatting sqref="D142:E142">
    <cfRule type="expression" dxfId="6205" priority="203">
      <formula>AND($A142&lt;&gt;"",MOD(ROW(),2))</formula>
    </cfRule>
  </conditionalFormatting>
  <conditionalFormatting sqref="D131:E131">
    <cfRule type="expression" dxfId="6204" priority="202">
      <formula>AND($A131&lt;&gt;"",MOD(ROW(),2))</formula>
    </cfRule>
  </conditionalFormatting>
  <conditionalFormatting sqref="D132:E132">
    <cfRule type="expression" dxfId="6203" priority="201">
      <formula>AND($A132&lt;&gt;"",MOD(ROW(),2))</formula>
    </cfRule>
  </conditionalFormatting>
  <conditionalFormatting sqref="D133:E133">
    <cfRule type="expression" dxfId="6202" priority="200">
      <formula>AND($A133&lt;&gt;"",MOD(ROW(),2))</formula>
    </cfRule>
  </conditionalFormatting>
  <conditionalFormatting sqref="D134:E134">
    <cfRule type="expression" dxfId="6201" priority="199">
      <formula>AND($A134&lt;&gt;"",MOD(ROW(),2))</formula>
    </cfRule>
  </conditionalFormatting>
  <conditionalFormatting sqref="D135:E135">
    <cfRule type="expression" dxfId="6200" priority="198">
      <formula>AND($A135&lt;&gt;"",MOD(ROW(),2))</formula>
    </cfRule>
  </conditionalFormatting>
  <conditionalFormatting sqref="D136:E136">
    <cfRule type="expression" dxfId="6199" priority="197">
      <formula>AND($A136&lt;&gt;"",MOD(ROW(),2))</formula>
    </cfRule>
  </conditionalFormatting>
  <conditionalFormatting sqref="D137:E137">
    <cfRule type="expression" dxfId="6198" priority="196">
      <formula>AND($A137&lt;&gt;"",MOD(ROW(),2))</formula>
    </cfRule>
  </conditionalFormatting>
  <conditionalFormatting sqref="D138:E138">
    <cfRule type="expression" dxfId="6197" priority="195">
      <formula>AND($A138&lt;&gt;"",MOD(ROW(),2))</formula>
    </cfRule>
  </conditionalFormatting>
  <conditionalFormatting sqref="D139:E139">
    <cfRule type="expression" dxfId="6196" priority="194">
      <formula>AND($A139&lt;&gt;"",MOD(ROW(),2))</formula>
    </cfRule>
  </conditionalFormatting>
  <conditionalFormatting sqref="D140:E140">
    <cfRule type="expression" dxfId="6195" priority="193">
      <formula>AND($A140&lt;&gt;"",MOD(ROW(),2))</formula>
    </cfRule>
  </conditionalFormatting>
  <conditionalFormatting sqref="D141:E141">
    <cfRule type="expression" dxfId="6194" priority="192">
      <formula>AND($A141&lt;&gt;"",MOD(ROW(),2))</formula>
    </cfRule>
  </conditionalFormatting>
  <conditionalFormatting sqref="D131:E131">
    <cfRule type="expression" dxfId="6193" priority="191">
      <formula>AND($A131&lt;&gt;"",MOD(ROW(),2))</formula>
    </cfRule>
  </conditionalFormatting>
  <conditionalFormatting sqref="D132:E132">
    <cfRule type="expression" dxfId="6192" priority="190">
      <formula>AND($A132&lt;&gt;"",MOD(ROW(),2))</formula>
    </cfRule>
  </conditionalFormatting>
  <conditionalFormatting sqref="D133:E133">
    <cfRule type="expression" dxfId="6191" priority="189">
      <formula>AND($A133&lt;&gt;"",MOD(ROW(),2))</formula>
    </cfRule>
  </conditionalFormatting>
  <conditionalFormatting sqref="D134:E134">
    <cfRule type="expression" dxfId="6190" priority="188">
      <formula>AND($A134&lt;&gt;"",MOD(ROW(),2))</formula>
    </cfRule>
  </conditionalFormatting>
  <conditionalFormatting sqref="D135:E135">
    <cfRule type="expression" dxfId="6189" priority="187">
      <formula>AND($A135&lt;&gt;"",MOD(ROW(),2))</formula>
    </cfRule>
  </conditionalFormatting>
  <conditionalFormatting sqref="D136:E136">
    <cfRule type="expression" dxfId="6188" priority="186">
      <formula>AND($A136&lt;&gt;"",MOD(ROW(),2))</formula>
    </cfRule>
  </conditionalFormatting>
  <conditionalFormatting sqref="D137:E137">
    <cfRule type="expression" dxfId="6187" priority="185">
      <formula>AND($A137&lt;&gt;"",MOD(ROW(),2))</formula>
    </cfRule>
  </conditionalFormatting>
  <conditionalFormatting sqref="D138:E138">
    <cfRule type="expression" dxfId="6186" priority="184">
      <formula>AND($A138&lt;&gt;"",MOD(ROW(),2))</formula>
    </cfRule>
  </conditionalFormatting>
  <conditionalFormatting sqref="D139:E139">
    <cfRule type="expression" dxfId="6185" priority="183">
      <formula>AND($A139&lt;&gt;"",MOD(ROW(),2))</formula>
    </cfRule>
  </conditionalFormatting>
  <conditionalFormatting sqref="D140:E140">
    <cfRule type="expression" dxfId="6184" priority="182">
      <formula>AND($A140&lt;&gt;"",MOD(ROW(),2))</formula>
    </cfRule>
  </conditionalFormatting>
  <conditionalFormatting sqref="D141:E141">
    <cfRule type="expression" dxfId="6183" priority="181">
      <formula>AND($A141&lt;&gt;"",MOD(ROW(),2))</formula>
    </cfRule>
  </conditionalFormatting>
  <conditionalFormatting sqref="D142:E142">
    <cfRule type="expression" dxfId="6182" priority="180">
      <formula>AND($A142&lt;&gt;"",MOD(ROW(),2))</formula>
    </cfRule>
  </conditionalFormatting>
  <conditionalFormatting sqref="D132:E132">
    <cfRule type="expression" dxfId="6181" priority="179">
      <formula>AND($A132&lt;&gt;"",MOD(ROW(),2))</formula>
    </cfRule>
  </conditionalFormatting>
  <conditionalFormatting sqref="D133:E133">
    <cfRule type="expression" dxfId="6180" priority="178">
      <formula>AND($A133&lt;&gt;"",MOD(ROW(),2))</formula>
    </cfRule>
  </conditionalFormatting>
  <conditionalFormatting sqref="D132:E132">
    <cfRule type="expression" dxfId="6179" priority="177">
      <formula>AND($A132&lt;&gt;"",MOD(ROW(),2))</formula>
    </cfRule>
  </conditionalFormatting>
  <conditionalFormatting sqref="D133:E133">
    <cfRule type="expression" dxfId="6178" priority="176">
      <formula>AND($A133&lt;&gt;"",MOD(ROW(),2))</formula>
    </cfRule>
  </conditionalFormatting>
  <conditionalFormatting sqref="D132:E132">
    <cfRule type="expression" dxfId="6177" priority="175">
      <formula>AND($A132&lt;&gt;"",MOD(ROW(),2))</formula>
    </cfRule>
  </conditionalFormatting>
  <conditionalFormatting sqref="D133:E133">
    <cfRule type="expression" dxfId="6176" priority="174">
      <formula>AND($A133&lt;&gt;"",MOD(ROW(),2))</formula>
    </cfRule>
  </conditionalFormatting>
  <conditionalFormatting sqref="D132:E132">
    <cfRule type="expression" dxfId="6175" priority="173">
      <formula>AND($A132&lt;&gt;"",MOD(ROW(),2))</formula>
    </cfRule>
  </conditionalFormatting>
  <conditionalFormatting sqref="D133:E133">
    <cfRule type="expression" dxfId="6174" priority="172">
      <formula>AND($A133&lt;&gt;"",MOD(ROW(),2))</formula>
    </cfRule>
  </conditionalFormatting>
  <conditionalFormatting sqref="D132:E132">
    <cfRule type="expression" dxfId="6173" priority="171">
      <formula>AND($A132&lt;&gt;"",MOD(ROW(),2))</formula>
    </cfRule>
  </conditionalFormatting>
  <conditionalFormatting sqref="D133:E133">
    <cfRule type="expression" dxfId="6172" priority="170">
      <formula>AND($A133&lt;&gt;"",MOD(ROW(),2))</formula>
    </cfRule>
  </conditionalFormatting>
  <conditionalFormatting sqref="D132:E132">
    <cfRule type="expression" dxfId="6171" priority="169">
      <formula>AND($A132&lt;&gt;"",MOD(ROW(),2))</formula>
    </cfRule>
  </conditionalFormatting>
  <conditionalFormatting sqref="D133:E133">
    <cfRule type="expression" dxfId="6170" priority="168">
      <formula>AND($A133&lt;&gt;"",MOD(ROW(),2))</formula>
    </cfRule>
  </conditionalFormatting>
  <conditionalFormatting sqref="D132:E132">
    <cfRule type="expression" dxfId="6169" priority="167">
      <formula>AND($A132&lt;&gt;"",MOD(ROW(),2))</formula>
    </cfRule>
  </conditionalFormatting>
  <conditionalFormatting sqref="D133:E133">
    <cfRule type="expression" dxfId="6168" priority="166">
      <formula>AND($A133&lt;&gt;"",MOD(ROW(),2))</formula>
    </cfRule>
  </conditionalFormatting>
  <conditionalFormatting sqref="D132:E132">
    <cfRule type="expression" dxfId="6167" priority="165">
      <formula>AND($A132&lt;&gt;"",MOD(ROW(),2))</formula>
    </cfRule>
  </conditionalFormatting>
  <conditionalFormatting sqref="D133:E133">
    <cfRule type="expression" dxfId="6166" priority="164">
      <formula>AND($A133&lt;&gt;"",MOD(ROW(),2))</formula>
    </cfRule>
  </conditionalFormatting>
  <conditionalFormatting sqref="D143:E143">
    <cfRule type="expression" dxfId="6165" priority="163">
      <formula>AND($A143&lt;&gt;"",MOD(ROW(),2))</formula>
    </cfRule>
  </conditionalFormatting>
  <conditionalFormatting sqref="D143:E143">
    <cfRule type="expression" dxfId="6164" priority="162">
      <formula>AND($A143&lt;&gt;"",MOD(ROW(),2))</formula>
    </cfRule>
  </conditionalFormatting>
  <conditionalFormatting sqref="D143:E143">
    <cfRule type="expression" dxfId="6163" priority="161">
      <formula>AND($A143&lt;&gt;"",MOD(ROW(),2))</formula>
    </cfRule>
  </conditionalFormatting>
  <conditionalFormatting sqref="D143:E143">
    <cfRule type="expression" dxfId="6162" priority="160">
      <formula>AND($A143&lt;&gt;"",MOD(ROW(),2))</formula>
    </cfRule>
  </conditionalFormatting>
  <conditionalFormatting sqref="D143:E143">
    <cfRule type="expression" dxfId="6161" priority="159">
      <formula>AND($A143&lt;&gt;"",MOD(ROW(),2))</formula>
    </cfRule>
  </conditionalFormatting>
  <conditionalFormatting sqref="D143:E143">
    <cfRule type="expression" dxfId="6160" priority="158">
      <formula>AND($A143&lt;&gt;"",MOD(ROW(),2))</formula>
    </cfRule>
  </conditionalFormatting>
  <conditionalFormatting sqref="D143:E143">
    <cfRule type="expression" dxfId="6159" priority="157">
      <formula>AND($A143&lt;&gt;"",MOD(ROW(),2))</formula>
    </cfRule>
  </conditionalFormatting>
  <conditionalFormatting sqref="D144:E144">
    <cfRule type="expression" dxfId="6158" priority="156">
      <formula>AND($A144&lt;&gt;"",MOD(ROW(),2))</formula>
    </cfRule>
  </conditionalFormatting>
  <conditionalFormatting sqref="D144:E144">
    <cfRule type="expression" dxfId="6157" priority="155">
      <formula>AND($A144&lt;&gt;"",MOD(ROW(),2))</formula>
    </cfRule>
  </conditionalFormatting>
  <conditionalFormatting sqref="D144:E144">
    <cfRule type="expression" dxfId="6156" priority="154">
      <formula>AND($A144&lt;&gt;"",MOD(ROW(),2))</formula>
    </cfRule>
  </conditionalFormatting>
  <conditionalFormatting sqref="D144:E144">
    <cfRule type="expression" dxfId="6155" priority="153">
      <formula>AND($A144&lt;&gt;"",MOD(ROW(),2))</formula>
    </cfRule>
  </conditionalFormatting>
  <conditionalFormatting sqref="D144:E144">
    <cfRule type="expression" dxfId="6154" priority="152">
      <formula>AND($A144&lt;&gt;"",MOD(ROW(),2))</formula>
    </cfRule>
  </conditionalFormatting>
  <conditionalFormatting sqref="D144:E144">
    <cfRule type="expression" dxfId="6153" priority="151">
      <formula>AND($A144&lt;&gt;"",MOD(ROW(),2))</formula>
    </cfRule>
  </conditionalFormatting>
  <conditionalFormatting sqref="D144:E144">
    <cfRule type="expression" dxfId="6152" priority="150">
      <formula>AND($A144&lt;&gt;"",MOD(ROW(),2))</formula>
    </cfRule>
  </conditionalFormatting>
  <conditionalFormatting sqref="D145:E145">
    <cfRule type="expression" dxfId="6151" priority="149">
      <formula>AND($A145&lt;&gt;"",MOD(ROW(),2))</formula>
    </cfRule>
  </conditionalFormatting>
  <conditionalFormatting sqref="D145:E145">
    <cfRule type="expression" dxfId="6150" priority="148">
      <formula>AND($A145&lt;&gt;"",MOD(ROW(),2))</formula>
    </cfRule>
  </conditionalFormatting>
  <conditionalFormatting sqref="D145:E145">
    <cfRule type="expression" dxfId="6149" priority="147">
      <formula>AND($A145&lt;&gt;"",MOD(ROW(),2))</formula>
    </cfRule>
  </conditionalFormatting>
  <conditionalFormatting sqref="D145:E145">
    <cfRule type="expression" dxfId="6148" priority="146">
      <formula>AND($A145&lt;&gt;"",MOD(ROW(),2))</formula>
    </cfRule>
  </conditionalFormatting>
  <conditionalFormatting sqref="D145:E145">
    <cfRule type="expression" dxfId="6147" priority="145">
      <formula>AND($A145&lt;&gt;"",MOD(ROW(),2))</formula>
    </cfRule>
  </conditionalFormatting>
  <conditionalFormatting sqref="D145:E145">
    <cfRule type="expression" dxfId="6146" priority="144">
      <formula>AND($A145&lt;&gt;"",MOD(ROW(),2))</formula>
    </cfRule>
  </conditionalFormatting>
  <conditionalFormatting sqref="D145:E145">
    <cfRule type="expression" dxfId="6145" priority="143">
      <formula>AND($A145&lt;&gt;"",MOD(ROW(),2))</formula>
    </cfRule>
  </conditionalFormatting>
  <conditionalFormatting sqref="D146:E146">
    <cfRule type="expression" dxfId="6144" priority="142">
      <formula>AND($A146&lt;&gt;"",MOD(ROW(),2))</formula>
    </cfRule>
  </conditionalFormatting>
  <conditionalFormatting sqref="D146:E146">
    <cfRule type="expression" dxfId="6143" priority="141">
      <formula>AND($A146&lt;&gt;"",MOD(ROW(),2))</formula>
    </cfRule>
  </conditionalFormatting>
  <conditionalFormatting sqref="D146:E146">
    <cfRule type="expression" dxfId="6142" priority="140">
      <formula>AND($A146&lt;&gt;"",MOD(ROW(),2))</formula>
    </cfRule>
  </conditionalFormatting>
  <conditionalFormatting sqref="D146:E146">
    <cfRule type="expression" dxfId="6141" priority="139">
      <formula>AND($A146&lt;&gt;"",MOD(ROW(),2))</formula>
    </cfRule>
  </conditionalFormatting>
  <conditionalFormatting sqref="D146:E146">
    <cfRule type="expression" dxfId="6140" priority="138">
      <formula>AND($A146&lt;&gt;"",MOD(ROW(),2))</formula>
    </cfRule>
  </conditionalFormatting>
  <conditionalFormatting sqref="D146:E146">
    <cfRule type="expression" dxfId="6139" priority="137">
      <formula>AND($A146&lt;&gt;"",MOD(ROW(),2))</formula>
    </cfRule>
  </conditionalFormatting>
  <conditionalFormatting sqref="D146:E146">
    <cfRule type="expression" dxfId="6138" priority="136">
      <formula>AND($A146&lt;&gt;"",MOD(ROW(),2))</formula>
    </cfRule>
  </conditionalFormatting>
  <conditionalFormatting sqref="D147:E147">
    <cfRule type="expression" dxfId="6137" priority="135">
      <formula>AND($A147&lt;&gt;"",MOD(ROW(),2))</formula>
    </cfRule>
  </conditionalFormatting>
  <conditionalFormatting sqref="D147:E147">
    <cfRule type="expression" dxfId="6136" priority="134">
      <formula>AND($A147&lt;&gt;"",MOD(ROW(),2))</formula>
    </cfRule>
  </conditionalFormatting>
  <conditionalFormatting sqref="D147:E147">
    <cfRule type="expression" dxfId="6135" priority="133">
      <formula>AND($A147&lt;&gt;"",MOD(ROW(),2))</formula>
    </cfRule>
  </conditionalFormatting>
  <conditionalFormatting sqref="D147:E147">
    <cfRule type="expression" dxfId="6134" priority="132">
      <formula>AND($A147&lt;&gt;"",MOD(ROW(),2))</formula>
    </cfRule>
  </conditionalFormatting>
  <conditionalFormatting sqref="D147:E147">
    <cfRule type="expression" dxfId="6133" priority="131">
      <formula>AND($A147&lt;&gt;"",MOD(ROW(),2))</formula>
    </cfRule>
  </conditionalFormatting>
  <conditionalFormatting sqref="D147:E147">
    <cfRule type="expression" dxfId="6132" priority="130">
      <formula>AND($A147&lt;&gt;"",MOD(ROW(),2))</formula>
    </cfRule>
  </conditionalFormatting>
  <conditionalFormatting sqref="D147:E147">
    <cfRule type="expression" dxfId="6131" priority="129">
      <formula>AND($A147&lt;&gt;"",MOD(ROW(),2))</formula>
    </cfRule>
  </conditionalFormatting>
  <conditionalFormatting sqref="D148:E148">
    <cfRule type="expression" dxfId="6130" priority="128">
      <formula>AND($A148&lt;&gt;"",MOD(ROW(),2))</formula>
    </cfRule>
  </conditionalFormatting>
  <conditionalFormatting sqref="D148:E148">
    <cfRule type="expression" dxfId="6129" priority="127">
      <formula>AND($A148&lt;&gt;"",MOD(ROW(),2))</formula>
    </cfRule>
  </conditionalFormatting>
  <conditionalFormatting sqref="D148:E148">
    <cfRule type="expression" dxfId="6128" priority="126">
      <formula>AND($A148&lt;&gt;"",MOD(ROW(),2))</formula>
    </cfRule>
  </conditionalFormatting>
  <conditionalFormatting sqref="D148:E148">
    <cfRule type="expression" dxfId="6127" priority="125">
      <formula>AND($A148&lt;&gt;"",MOD(ROW(),2))</formula>
    </cfRule>
  </conditionalFormatting>
  <conditionalFormatting sqref="D148:E148">
    <cfRule type="expression" dxfId="6126" priority="124">
      <formula>AND($A148&lt;&gt;"",MOD(ROW(),2))</formula>
    </cfRule>
  </conditionalFormatting>
  <conditionalFormatting sqref="D148:E148">
    <cfRule type="expression" dxfId="6125" priority="123">
      <formula>AND($A148&lt;&gt;"",MOD(ROW(),2))</formula>
    </cfRule>
  </conditionalFormatting>
  <conditionalFormatting sqref="D148:E148">
    <cfRule type="expression" dxfId="6124" priority="122">
      <formula>AND($A148&lt;&gt;"",MOD(ROW(),2))</formula>
    </cfRule>
  </conditionalFormatting>
  <conditionalFormatting sqref="D149:E149">
    <cfRule type="expression" dxfId="6123" priority="121">
      <formula>AND($A149&lt;&gt;"",MOD(ROW(),2))</formula>
    </cfRule>
  </conditionalFormatting>
  <conditionalFormatting sqref="D149:E149">
    <cfRule type="expression" dxfId="6122" priority="120">
      <formula>AND($A149&lt;&gt;"",MOD(ROW(),2))</formula>
    </cfRule>
  </conditionalFormatting>
  <conditionalFormatting sqref="D149:E149">
    <cfRule type="expression" dxfId="6121" priority="119">
      <formula>AND($A149&lt;&gt;"",MOD(ROW(),2))</formula>
    </cfRule>
  </conditionalFormatting>
  <conditionalFormatting sqref="D149:E149">
    <cfRule type="expression" dxfId="6120" priority="118">
      <formula>AND($A149&lt;&gt;"",MOD(ROW(),2))</formula>
    </cfRule>
  </conditionalFormatting>
  <conditionalFormatting sqref="D149:E149">
    <cfRule type="expression" dxfId="6119" priority="117">
      <formula>AND($A149&lt;&gt;"",MOD(ROW(),2))</formula>
    </cfRule>
  </conditionalFormatting>
  <conditionalFormatting sqref="D149:E149">
    <cfRule type="expression" dxfId="6118" priority="116">
      <formula>AND($A149&lt;&gt;"",MOD(ROW(),2))</formula>
    </cfRule>
  </conditionalFormatting>
  <conditionalFormatting sqref="D149:E149">
    <cfRule type="expression" dxfId="6117" priority="115">
      <formula>AND($A149&lt;&gt;"",MOD(ROW(),2))</formula>
    </cfRule>
  </conditionalFormatting>
  <conditionalFormatting sqref="D150:E150">
    <cfRule type="expression" dxfId="6116" priority="114">
      <formula>AND($A150&lt;&gt;"",MOD(ROW(),2))</formula>
    </cfRule>
  </conditionalFormatting>
  <conditionalFormatting sqref="D150:E150">
    <cfRule type="expression" dxfId="6115" priority="113">
      <formula>AND($A150&lt;&gt;"",MOD(ROW(),2))</formula>
    </cfRule>
  </conditionalFormatting>
  <conditionalFormatting sqref="D150:E150">
    <cfRule type="expression" dxfId="6114" priority="112">
      <formula>AND($A150&lt;&gt;"",MOD(ROW(),2))</formula>
    </cfRule>
  </conditionalFormatting>
  <conditionalFormatting sqref="D150:E150">
    <cfRule type="expression" dxfId="6113" priority="111">
      <formula>AND($A150&lt;&gt;"",MOD(ROW(),2))</formula>
    </cfRule>
  </conditionalFormatting>
  <conditionalFormatting sqref="D150:E150">
    <cfRule type="expression" dxfId="6112" priority="110">
      <formula>AND($A150&lt;&gt;"",MOD(ROW(),2))</formula>
    </cfRule>
  </conditionalFormatting>
  <conditionalFormatting sqref="D150:E150">
    <cfRule type="expression" dxfId="6111" priority="109">
      <formula>AND($A150&lt;&gt;"",MOD(ROW(),2))</formula>
    </cfRule>
  </conditionalFormatting>
  <conditionalFormatting sqref="D150:E150">
    <cfRule type="expression" dxfId="6110" priority="108">
      <formula>AND($A150&lt;&gt;"",MOD(ROW(),2))</formula>
    </cfRule>
  </conditionalFormatting>
  <conditionalFormatting sqref="D151:E151">
    <cfRule type="expression" dxfId="6109" priority="107">
      <formula>AND($A151&lt;&gt;"",MOD(ROW(),2))</formula>
    </cfRule>
  </conditionalFormatting>
  <conditionalFormatting sqref="D151:E151">
    <cfRule type="expression" dxfId="6108" priority="106">
      <formula>AND($A151&lt;&gt;"",MOD(ROW(),2))</formula>
    </cfRule>
  </conditionalFormatting>
  <conditionalFormatting sqref="D151:E151">
    <cfRule type="expression" dxfId="6107" priority="105">
      <formula>AND($A151&lt;&gt;"",MOD(ROW(),2))</formula>
    </cfRule>
  </conditionalFormatting>
  <conditionalFormatting sqref="D151:E151">
    <cfRule type="expression" dxfId="6106" priority="104">
      <formula>AND($A151&lt;&gt;"",MOD(ROW(),2))</formula>
    </cfRule>
  </conditionalFormatting>
  <conditionalFormatting sqref="D151:E151">
    <cfRule type="expression" dxfId="6105" priority="103">
      <formula>AND($A151&lt;&gt;"",MOD(ROW(),2))</formula>
    </cfRule>
  </conditionalFormatting>
  <conditionalFormatting sqref="D151:E151">
    <cfRule type="expression" dxfId="6104" priority="102">
      <formula>AND($A151&lt;&gt;"",MOD(ROW(),2))</formula>
    </cfRule>
  </conditionalFormatting>
  <conditionalFormatting sqref="D151:E151">
    <cfRule type="expression" dxfId="6103" priority="101">
      <formula>AND($A151&lt;&gt;"",MOD(ROW(),2))</formula>
    </cfRule>
  </conditionalFormatting>
  <conditionalFormatting sqref="K115">
    <cfRule type="expression" dxfId="6102" priority="93">
      <formula>AND($A99&lt;&gt;"",MOD(ROW(),2))</formula>
    </cfRule>
  </conditionalFormatting>
  <conditionalFormatting sqref="K115">
    <cfRule type="cellIs" dxfId="6101" priority="90" operator="equal">
      <formula>#REF!</formula>
    </cfRule>
    <cfRule type="cellIs" dxfId="6100" priority="91" operator="greaterThan">
      <formula>#REF!</formula>
    </cfRule>
    <cfRule type="cellIs" dxfId="6099" priority="92" operator="lessThan">
      <formula>#REF!</formula>
    </cfRule>
  </conditionalFormatting>
  <conditionalFormatting sqref="K115">
    <cfRule type="expression" dxfId="6098" priority="89">
      <formula>AND($A99&lt;&gt;"",MOD(ROW(),2))</formula>
    </cfRule>
  </conditionalFormatting>
  <conditionalFormatting sqref="K115">
    <cfRule type="cellIs" dxfId="6097" priority="86" operator="equal">
      <formula>#REF!</formula>
    </cfRule>
    <cfRule type="cellIs" dxfId="6096" priority="87" operator="greaterThan">
      <formula>#REF!</formula>
    </cfRule>
    <cfRule type="cellIs" dxfId="6095" priority="88" operator="lessThan">
      <formula>#REF!</formula>
    </cfRule>
  </conditionalFormatting>
  <conditionalFormatting sqref="L115">
    <cfRule type="expression" dxfId="6094" priority="85">
      <formula>AND($A114&lt;&gt;"",MOD(ROW(),2))</formula>
    </cfRule>
  </conditionalFormatting>
  <conditionalFormatting sqref="D152:E152">
    <cfRule type="expression" dxfId="6093" priority="84">
      <formula>AND($A152&lt;&gt;"",MOD(ROW(),2))</formula>
    </cfRule>
  </conditionalFormatting>
  <conditionalFormatting sqref="D152:E152">
    <cfRule type="expression" dxfId="6092" priority="83">
      <formula>AND($A152&lt;&gt;"",MOD(ROW(),2))</formula>
    </cfRule>
  </conditionalFormatting>
  <conditionalFormatting sqref="D152:E152">
    <cfRule type="expression" dxfId="6091" priority="82">
      <formula>AND($A152&lt;&gt;"",MOD(ROW(),2))</formula>
    </cfRule>
  </conditionalFormatting>
  <conditionalFormatting sqref="D152:E152">
    <cfRule type="expression" dxfId="6090" priority="81">
      <formula>AND($A152&lt;&gt;"",MOD(ROW(),2))</formula>
    </cfRule>
  </conditionalFormatting>
  <conditionalFormatting sqref="D152:E152">
    <cfRule type="expression" dxfId="6089" priority="80">
      <formula>AND($A152&lt;&gt;"",MOD(ROW(),2))</formula>
    </cfRule>
  </conditionalFormatting>
  <conditionalFormatting sqref="D152:E152">
    <cfRule type="expression" dxfId="6088" priority="79">
      <formula>AND($A152&lt;&gt;"",MOD(ROW(),2))</formula>
    </cfRule>
  </conditionalFormatting>
  <conditionalFormatting sqref="D152:E152">
    <cfRule type="expression" dxfId="6087" priority="78">
      <formula>AND($A152&lt;&gt;"",MOD(ROW(),2))</formula>
    </cfRule>
  </conditionalFormatting>
  <conditionalFormatting sqref="D153:E153">
    <cfRule type="expression" dxfId="6086" priority="77">
      <formula>AND($A153&lt;&gt;"",MOD(ROW(),2))</formula>
    </cfRule>
  </conditionalFormatting>
  <conditionalFormatting sqref="D153:E153">
    <cfRule type="expression" dxfId="6085" priority="76">
      <formula>AND($A153&lt;&gt;"",MOD(ROW(),2))</formula>
    </cfRule>
  </conditionalFormatting>
  <conditionalFormatting sqref="D153:E153">
    <cfRule type="expression" dxfId="6084" priority="75">
      <formula>AND($A153&lt;&gt;"",MOD(ROW(),2))</formula>
    </cfRule>
  </conditionalFormatting>
  <conditionalFormatting sqref="D153:E153">
    <cfRule type="expression" dxfId="6083" priority="74">
      <formula>AND($A153&lt;&gt;"",MOD(ROW(),2))</formula>
    </cfRule>
  </conditionalFormatting>
  <conditionalFormatting sqref="D153:E153">
    <cfRule type="expression" dxfId="6082" priority="73">
      <formula>AND($A153&lt;&gt;"",MOD(ROW(),2))</formula>
    </cfRule>
  </conditionalFormatting>
  <conditionalFormatting sqref="D153:E153">
    <cfRule type="expression" dxfId="6081" priority="72">
      <formula>AND($A153&lt;&gt;"",MOD(ROW(),2))</formula>
    </cfRule>
  </conditionalFormatting>
  <conditionalFormatting sqref="D153:E153">
    <cfRule type="expression" dxfId="6080" priority="71">
      <formula>AND($A153&lt;&gt;"",MOD(ROW(),2))</formula>
    </cfRule>
  </conditionalFormatting>
  <conditionalFormatting sqref="D154:E154">
    <cfRule type="expression" dxfId="6079" priority="70">
      <formula>AND($A154&lt;&gt;"",MOD(ROW(),2))</formula>
    </cfRule>
  </conditionalFormatting>
  <conditionalFormatting sqref="D154:E154">
    <cfRule type="expression" dxfId="6078" priority="69">
      <formula>AND($A154&lt;&gt;"",MOD(ROW(),2))</formula>
    </cfRule>
  </conditionalFormatting>
  <conditionalFormatting sqref="D154:E154">
    <cfRule type="expression" dxfId="6077" priority="68">
      <formula>AND($A154&lt;&gt;"",MOD(ROW(),2))</formula>
    </cfRule>
  </conditionalFormatting>
  <conditionalFormatting sqref="D154:E154">
    <cfRule type="expression" dxfId="6076" priority="67">
      <formula>AND($A154&lt;&gt;"",MOD(ROW(),2))</formula>
    </cfRule>
  </conditionalFormatting>
  <conditionalFormatting sqref="D154:E154">
    <cfRule type="expression" dxfId="6075" priority="66">
      <formula>AND($A154&lt;&gt;"",MOD(ROW(),2))</formula>
    </cfRule>
  </conditionalFormatting>
  <conditionalFormatting sqref="D154:E154">
    <cfRule type="expression" dxfId="6074" priority="65">
      <formula>AND($A154&lt;&gt;"",MOD(ROW(),2))</formula>
    </cfRule>
  </conditionalFormatting>
  <conditionalFormatting sqref="D154:E154">
    <cfRule type="expression" dxfId="6073" priority="64">
      <formula>AND($A154&lt;&gt;"",MOD(ROW(),2))</formula>
    </cfRule>
  </conditionalFormatting>
  <conditionalFormatting sqref="D155:E155">
    <cfRule type="expression" dxfId="6072" priority="63">
      <formula>AND($A155&lt;&gt;"",MOD(ROW(),2))</formula>
    </cfRule>
  </conditionalFormatting>
  <conditionalFormatting sqref="D155:E155">
    <cfRule type="expression" dxfId="6071" priority="62">
      <formula>AND($A155&lt;&gt;"",MOD(ROW(),2))</formula>
    </cfRule>
  </conditionalFormatting>
  <conditionalFormatting sqref="D155:E155">
    <cfRule type="expression" dxfId="6070" priority="61">
      <formula>AND($A155&lt;&gt;"",MOD(ROW(),2))</formula>
    </cfRule>
  </conditionalFormatting>
  <conditionalFormatting sqref="D155:E155">
    <cfRule type="expression" dxfId="6069" priority="60">
      <formula>AND($A155&lt;&gt;"",MOD(ROW(),2))</formula>
    </cfRule>
  </conditionalFormatting>
  <conditionalFormatting sqref="D155:E155">
    <cfRule type="expression" dxfId="6068" priority="59">
      <formula>AND($A155&lt;&gt;"",MOD(ROW(),2))</formula>
    </cfRule>
  </conditionalFormatting>
  <conditionalFormatting sqref="D155:E155">
    <cfRule type="expression" dxfId="6067" priority="58">
      <formula>AND($A155&lt;&gt;"",MOD(ROW(),2))</formula>
    </cfRule>
  </conditionalFormatting>
  <conditionalFormatting sqref="D155:E155">
    <cfRule type="expression" dxfId="6066" priority="57">
      <formula>AND($A155&lt;&gt;"",MOD(ROW(),2))</formula>
    </cfRule>
  </conditionalFormatting>
  <conditionalFormatting sqref="D156:E156">
    <cfRule type="expression" dxfId="6065" priority="56">
      <formula>AND($A156&lt;&gt;"",MOD(ROW(),2))</formula>
    </cfRule>
  </conditionalFormatting>
  <conditionalFormatting sqref="D156:E156">
    <cfRule type="expression" dxfId="6064" priority="55">
      <formula>AND($A156&lt;&gt;"",MOD(ROW(),2))</formula>
    </cfRule>
  </conditionalFormatting>
  <conditionalFormatting sqref="D156:E156">
    <cfRule type="expression" dxfId="6063" priority="54">
      <formula>AND($A156&lt;&gt;"",MOD(ROW(),2))</formula>
    </cfRule>
  </conditionalFormatting>
  <conditionalFormatting sqref="D156:E156">
    <cfRule type="expression" dxfId="6062" priority="53">
      <formula>AND($A156&lt;&gt;"",MOD(ROW(),2))</formula>
    </cfRule>
  </conditionalFormatting>
  <conditionalFormatting sqref="D156:E156">
    <cfRule type="expression" dxfId="6061" priority="52">
      <formula>AND($A156&lt;&gt;"",MOD(ROW(),2))</formula>
    </cfRule>
  </conditionalFormatting>
  <conditionalFormatting sqref="D156:E156">
    <cfRule type="expression" dxfId="6060" priority="51">
      <formula>AND($A156&lt;&gt;"",MOD(ROW(),2))</formula>
    </cfRule>
  </conditionalFormatting>
  <conditionalFormatting sqref="D156:E156">
    <cfRule type="expression" dxfId="6059" priority="50">
      <formula>AND($A156&lt;&gt;"",MOD(ROW(),2))</formula>
    </cfRule>
  </conditionalFormatting>
  <conditionalFormatting sqref="D157:E157">
    <cfRule type="expression" dxfId="6058" priority="49">
      <formula>AND($A157&lt;&gt;"",MOD(ROW(),2))</formula>
    </cfRule>
  </conditionalFormatting>
  <conditionalFormatting sqref="D157:E157">
    <cfRule type="expression" dxfId="6057" priority="48">
      <formula>AND($A157&lt;&gt;"",MOD(ROW(),2))</formula>
    </cfRule>
  </conditionalFormatting>
  <conditionalFormatting sqref="D157:E157">
    <cfRule type="expression" dxfId="6056" priority="47">
      <formula>AND($A157&lt;&gt;"",MOD(ROW(),2))</formula>
    </cfRule>
  </conditionalFormatting>
  <conditionalFormatting sqref="D157:E157">
    <cfRule type="expression" dxfId="6055" priority="46">
      <formula>AND($A157&lt;&gt;"",MOD(ROW(),2))</formula>
    </cfRule>
  </conditionalFormatting>
  <conditionalFormatting sqref="D157:E157">
    <cfRule type="expression" dxfId="6054" priority="45">
      <formula>AND($A157&lt;&gt;"",MOD(ROW(),2))</formula>
    </cfRule>
  </conditionalFormatting>
  <conditionalFormatting sqref="D157:E157">
    <cfRule type="expression" dxfId="6053" priority="44">
      <formula>AND($A157&lt;&gt;"",MOD(ROW(),2))</formula>
    </cfRule>
  </conditionalFormatting>
  <conditionalFormatting sqref="D157:E157">
    <cfRule type="expression" dxfId="6052" priority="43">
      <formula>AND($A157&lt;&gt;"",MOD(ROW(),2))</formula>
    </cfRule>
  </conditionalFormatting>
  <conditionalFormatting sqref="D158:E158">
    <cfRule type="expression" dxfId="6051" priority="42">
      <formula>AND($A158&lt;&gt;"",MOD(ROW(),2))</formula>
    </cfRule>
  </conditionalFormatting>
  <conditionalFormatting sqref="D158:E158">
    <cfRule type="expression" dxfId="6050" priority="41">
      <formula>AND($A158&lt;&gt;"",MOD(ROW(),2))</formula>
    </cfRule>
  </conditionalFormatting>
  <conditionalFormatting sqref="D158:E158">
    <cfRule type="expression" dxfId="6049" priority="40">
      <formula>AND($A158&lt;&gt;"",MOD(ROW(),2))</formula>
    </cfRule>
  </conditionalFormatting>
  <conditionalFormatting sqref="D158:E158">
    <cfRule type="expression" dxfId="6048" priority="39">
      <formula>AND($A158&lt;&gt;"",MOD(ROW(),2))</formula>
    </cfRule>
  </conditionalFormatting>
  <conditionalFormatting sqref="D158:E158">
    <cfRule type="expression" dxfId="6047" priority="38">
      <formula>AND($A158&lt;&gt;"",MOD(ROW(),2))</formula>
    </cfRule>
  </conditionalFormatting>
  <conditionalFormatting sqref="D158:E158">
    <cfRule type="expression" dxfId="6046" priority="37">
      <formula>AND($A158&lt;&gt;"",MOD(ROW(),2))</formula>
    </cfRule>
  </conditionalFormatting>
  <conditionalFormatting sqref="D158:E158">
    <cfRule type="expression" dxfId="6045" priority="36">
      <formula>AND($A158&lt;&gt;"",MOD(ROW(),2))</formula>
    </cfRule>
  </conditionalFormatting>
  <conditionalFormatting sqref="D159:E159">
    <cfRule type="expression" dxfId="6044" priority="35">
      <formula>AND($A159&lt;&gt;"",MOD(ROW(),2))</formula>
    </cfRule>
  </conditionalFormatting>
  <conditionalFormatting sqref="D159:E159">
    <cfRule type="expression" dxfId="6043" priority="34">
      <formula>AND($A159&lt;&gt;"",MOD(ROW(),2))</formula>
    </cfRule>
  </conditionalFormatting>
  <conditionalFormatting sqref="D159:E159">
    <cfRule type="expression" dxfId="6042" priority="33">
      <formula>AND($A159&lt;&gt;"",MOD(ROW(),2))</formula>
    </cfRule>
  </conditionalFormatting>
  <conditionalFormatting sqref="D159:E159">
    <cfRule type="expression" dxfId="6041" priority="32">
      <formula>AND($A159&lt;&gt;"",MOD(ROW(),2))</formula>
    </cfRule>
  </conditionalFormatting>
  <conditionalFormatting sqref="D159:E159">
    <cfRule type="expression" dxfId="6040" priority="31">
      <formula>AND($A159&lt;&gt;"",MOD(ROW(),2))</formula>
    </cfRule>
  </conditionalFormatting>
  <conditionalFormatting sqref="D159:E159">
    <cfRule type="expression" dxfId="6039" priority="30">
      <formula>AND($A159&lt;&gt;"",MOD(ROW(),2))</formula>
    </cfRule>
  </conditionalFormatting>
  <conditionalFormatting sqref="D159:E159">
    <cfRule type="expression" dxfId="6038" priority="29">
      <formula>AND($A159&lt;&gt;"",MOD(ROW(),2))</formula>
    </cfRule>
  </conditionalFormatting>
  <conditionalFormatting sqref="D160:E160">
    <cfRule type="expression" dxfId="6037" priority="28">
      <formula>AND($A160&lt;&gt;"",MOD(ROW(),2))</formula>
    </cfRule>
  </conditionalFormatting>
  <conditionalFormatting sqref="D160:E160">
    <cfRule type="expression" dxfId="6036" priority="27">
      <formula>AND($A160&lt;&gt;"",MOD(ROW(),2))</formula>
    </cfRule>
  </conditionalFormatting>
  <conditionalFormatting sqref="D160:E160">
    <cfRule type="expression" dxfId="6035" priority="26">
      <formula>AND($A160&lt;&gt;"",MOD(ROW(),2))</formula>
    </cfRule>
  </conditionalFormatting>
  <conditionalFormatting sqref="D160:E160">
    <cfRule type="expression" dxfId="6034" priority="25">
      <formula>AND($A160&lt;&gt;"",MOD(ROW(),2))</formula>
    </cfRule>
  </conditionalFormatting>
  <conditionalFormatting sqref="D160:E160">
    <cfRule type="expression" dxfId="6033" priority="24">
      <formula>AND($A160&lt;&gt;"",MOD(ROW(),2))</formula>
    </cfRule>
  </conditionalFormatting>
  <conditionalFormatting sqref="D160:E160">
    <cfRule type="expression" dxfId="6032" priority="23">
      <formula>AND($A160&lt;&gt;"",MOD(ROW(),2))</formula>
    </cfRule>
  </conditionalFormatting>
  <conditionalFormatting sqref="D160:E160">
    <cfRule type="expression" dxfId="6031" priority="22">
      <formula>AND($A160&lt;&gt;"",MOD(ROW(),2))</formula>
    </cfRule>
  </conditionalFormatting>
  <conditionalFormatting sqref="D161:E161">
    <cfRule type="expression" dxfId="6030" priority="21">
      <formula>AND($A161&lt;&gt;"",MOD(ROW(),2))</formula>
    </cfRule>
  </conditionalFormatting>
  <conditionalFormatting sqref="D161:E161">
    <cfRule type="expression" dxfId="6029" priority="20">
      <formula>AND($A161&lt;&gt;"",MOD(ROW(),2))</formula>
    </cfRule>
  </conditionalFormatting>
  <conditionalFormatting sqref="D161:E161">
    <cfRule type="expression" dxfId="6028" priority="19">
      <formula>AND($A161&lt;&gt;"",MOD(ROW(),2))</formula>
    </cfRule>
  </conditionalFormatting>
  <conditionalFormatting sqref="D161:E161">
    <cfRule type="expression" dxfId="6027" priority="18">
      <formula>AND($A161&lt;&gt;"",MOD(ROW(),2))</formula>
    </cfRule>
  </conditionalFormatting>
  <conditionalFormatting sqref="D161:E161">
    <cfRule type="expression" dxfId="6026" priority="17">
      <formula>AND($A161&lt;&gt;"",MOD(ROW(),2))</formula>
    </cfRule>
  </conditionalFormatting>
  <conditionalFormatting sqref="D161:E161">
    <cfRule type="expression" dxfId="6025" priority="16">
      <formula>AND($A161&lt;&gt;"",MOD(ROW(),2))</formula>
    </cfRule>
  </conditionalFormatting>
  <conditionalFormatting sqref="D161:E161">
    <cfRule type="expression" dxfId="6024" priority="15">
      <formula>AND($A161&lt;&gt;"",MOD(ROW(),2))</formula>
    </cfRule>
  </conditionalFormatting>
  <conditionalFormatting sqref="D162:E162">
    <cfRule type="expression" dxfId="6023" priority="14">
      <formula>AND($A162&lt;&gt;"",MOD(ROW(),2))</formula>
    </cfRule>
  </conditionalFormatting>
  <conditionalFormatting sqref="D162:E162">
    <cfRule type="expression" dxfId="6022" priority="13">
      <formula>AND($A162&lt;&gt;"",MOD(ROW(),2))</formula>
    </cfRule>
  </conditionalFormatting>
  <conditionalFormatting sqref="D162:E162">
    <cfRule type="expression" dxfId="6021" priority="12">
      <formula>AND($A162&lt;&gt;"",MOD(ROW(),2))</formula>
    </cfRule>
  </conditionalFormatting>
  <conditionalFormatting sqref="D162:E162">
    <cfRule type="expression" dxfId="6020" priority="11">
      <formula>AND($A162&lt;&gt;"",MOD(ROW(),2))</formula>
    </cfRule>
  </conditionalFormatting>
  <conditionalFormatting sqref="D162:E162">
    <cfRule type="expression" dxfId="6019" priority="10">
      <formula>AND($A162&lt;&gt;"",MOD(ROW(),2))</formula>
    </cfRule>
  </conditionalFormatting>
  <conditionalFormatting sqref="D162:E162">
    <cfRule type="expression" dxfId="6018" priority="9">
      <formula>AND($A162&lt;&gt;"",MOD(ROW(),2))</formula>
    </cfRule>
  </conditionalFormatting>
  <conditionalFormatting sqref="D162:E162">
    <cfRule type="expression" dxfId="6017" priority="8">
      <formula>AND($A162&lt;&gt;"",MOD(ROW(),2))</formula>
    </cfRule>
  </conditionalFormatting>
  <conditionalFormatting sqref="D163:E163">
    <cfRule type="expression" dxfId="6016" priority="7">
      <formula>AND($A163&lt;&gt;"",MOD(ROW(),2))</formula>
    </cfRule>
  </conditionalFormatting>
  <conditionalFormatting sqref="D163:E163">
    <cfRule type="expression" dxfId="6015" priority="6">
      <formula>AND($A163&lt;&gt;"",MOD(ROW(),2))</formula>
    </cfRule>
  </conditionalFormatting>
  <conditionalFormatting sqref="D163:E163">
    <cfRule type="expression" dxfId="6014" priority="5">
      <formula>AND($A163&lt;&gt;"",MOD(ROW(),2))</formula>
    </cfRule>
  </conditionalFormatting>
  <conditionalFormatting sqref="D163:E163">
    <cfRule type="expression" dxfId="6013" priority="4">
      <formula>AND($A163&lt;&gt;"",MOD(ROW(),2))</formula>
    </cfRule>
  </conditionalFormatting>
  <conditionalFormatting sqref="D163:E163">
    <cfRule type="expression" dxfId="6012" priority="3">
      <formula>AND($A163&lt;&gt;"",MOD(ROW(),2))</formula>
    </cfRule>
  </conditionalFormatting>
  <conditionalFormatting sqref="D163:E163">
    <cfRule type="expression" dxfId="6011" priority="2">
      <formula>AND($A163&lt;&gt;"",MOD(ROW(),2))</formula>
    </cfRule>
  </conditionalFormatting>
  <conditionalFormatting sqref="D163:E163">
    <cfRule type="expression" dxfId="6010" priority="1">
      <formula>AND($A163&lt;&gt;"",MOD(ROW(),2))</formula>
    </cfRule>
  </conditionalFormatting>
  <pageMargins left="0.75" right="0.75" top="1" bottom="1" header="0.5" footer="0.5"/>
  <pageSetup paperSize="9" orientation="portrait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F00-000000000000}">
          <x14:formula1>
            <xm:f>PullDownValues!$F$2:$F$14</xm:f>
          </x14:formula1>
          <xm:sqref>L7:L355</xm:sqref>
        </x14:dataValidation>
        <x14:dataValidation type="list" allowBlank="1" showInputMessage="1" showErrorMessage="1" prompt="Payment Method" xr:uid="{00000000-0002-0000-0F00-000001000000}">
          <x14:formula1>
            <xm:f>PullDownValues!$B$2:$B$12</xm:f>
          </x14:formula1>
          <xm:sqref>F7:F289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354"/>
  <sheetViews>
    <sheetView zoomScaleNormal="100" workbookViewId="0">
      <pane ySplit="5" topLeftCell="A37" activePane="bottomLeft" state="frozen"/>
      <selection pane="bottomLeft" activeCell="N49" sqref="N49"/>
    </sheetView>
  </sheetViews>
  <sheetFormatPr defaultColWidth="8.85546875" defaultRowHeight="15" customHeight="1" x14ac:dyDescent="0.25"/>
  <cols>
    <col min="1" max="1" width="3.28515625" style="10" bestFit="1" customWidth="1"/>
    <col min="2" max="3" width="12.5703125" bestFit="1" customWidth="1"/>
    <col min="4" max="4" width="12.85546875" bestFit="1" customWidth="1"/>
    <col min="5" max="5" width="15.28515625" bestFit="1" customWidth="1"/>
    <col min="6" max="6" width="15.28515625" customWidth="1"/>
    <col min="7" max="7" width="9.42578125" style="31" bestFit="1" customWidth="1"/>
    <col min="8" max="8" width="11.5703125" bestFit="1" customWidth="1"/>
    <col min="9" max="9" width="12.7109375" bestFit="1" customWidth="1"/>
    <col min="10" max="10" width="15.140625" bestFit="1" customWidth="1"/>
    <col min="11" max="11" width="10.5703125" bestFit="1" customWidth="1"/>
    <col min="12" max="12" width="12.5703125" bestFit="1" customWidth="1"/>
    <col min="13" max="13" width="10.7109375" bestFit="1" customWidth="1"/>
    <col min="14" max="14" width="12.7109375" bestFit="1" customWidth="1"/>
    <col min="15" max="15" width="10.5703125" bestFit="1" customWidth="1"/>
    <col min="16" max="16" width="11.5703125" bestFit="1" customWidth="1"/>
  </cols>
  <sheetData>
    <row r="1" spans="1:18" ht="35.1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5">
        <f>SUM(P6:P90)-O4</f>
        <v>0</v>
      </c>
      <c r="P1" s="255"/>
      <c r="Q1" s="114"/>
      <c r="R1" s="114"/>
    </row>
    <row r="2" spans="1:18" s="9" customFormat="1" ht="15.95" customHeight="1" x14ac:dyDescent="0.25">
      <c r="A2" s="287" t="s">
        <v>4</v>
      </c>
      <c r="B2" s="287"/>
      <c r="C2" s="287"/>
      <c r="D2" s="287"/>
      <c r="E2" s="287"/>
      <c r="F2" s="287"/>
      <c r="G2" s="336">
        <f>SUM($D$6:$D$2990)-SUMIF($F$7:$F$290,"Bond Received",$D$7:$D$2990)-SUMIF($F$7:$F$290,"Unpaid Rent",$D$7:$D$2990)-(SUMIF($F$7:$F$290,"Discount Rent",$D$7:$D$2990)*2)</f>
        <v>33051.03</v>
      </c>
      <c r="H2" s="336"/>
      <c r="I2" s="336"/>
      <c r="J2" s="260" t="s">
        <v>5</v>
      </c>
      <c r="K2" s="260"/>
      <c r="L2" s="260"/>
      <c r="M2" s="262">
        <f>SUM($K$6:$K$2989)-SUMIF($L$6:$L$2989,"Bond Return",$K$6:$K$2989)</f>
        <v>6606.1400000000021</v>
      </c>
      <c r="N2" s="263"/>
      <c r="O2" s="265"/>
      <c r="P2" s="265"/>
      <c r="Q2" s="35"/>
    </row>
    <row r="3" spans="1:18" s="9" customFormat="1" ht="15.95" customHeight="1" x14ac:dyDescent="0.25">
      <c r="A3" s="288"/>
      <c r="B3" s="288"/>
      <c r="C3" s="288"/>
      <c r="D3" s="288"/>
      <c r="E3" s="288"/>
      <c r="F3" s="288"/>
      <c r="G3" s="337"/>
      <c r="H3" s="337"/>
      <c r="I3" s="337"/>
      <c r="J3" s="261"/>
      <c r="K3" s="261"/>
      <c r="L3" s="261"/>
      <c r="M3" s="264"/>
      <c r="N3" s="264"/>
      <c r="O3" s="266"/>
      <c r="P3" s="266"/>
    </row>
    <row r="4" spans="1:18" s="9" customFormat="1" ht="15.95" customHeight="1" x14ac:dyDescent="0.25">
      <c r="A4" s="244" t="s">
        <v>6</v>
      </c>
      <c r="B4" s="244" t="s">
        <v>7</v>
      </c>
      <c r="C4" s="267" t="s">
        <v>8</v>
      </c>
      <c r="D4" s="269" t="s">
        <v>9</v>
      </c>
      <c r="E4" s="269" t="s">
        <v>10</v>
      </c>
      <c r="F4" s="252" t="s">
        <v>112</v>
      </c>
      <c r="G4" s="276" t="s">
        <v>11</v>
      </c>
      <c r="H4" s="244" t="s">
        <v>12</v>
      </c>
      <c r="I4" s="334" t="s">
        <v>113</v>
      </c>
      <c r="J4" s="246" t="s">
        <v>13</v>
      </c>
      <c r="K4" s="246" t="s">
        <v>14</v>
      </c>
      <c r="L4" s="248" t="s">
        <v>15</v>
      </c>
      <c r="M4" s="249"/>
      <c r="N4" s="271" t="s">
        <v>113</v>
      </c>
      <c r="O4" s="273">
        <f>G2-M2</f>
        <v>26444.889999999996</v>
      </c>
      <c r="P4" s="274">
        <f>SUM(P2:P3)</f>
        <v>0</v>
      </c>
      <c r="Q4" s="63">
        <f>SUM(Q2:Q3)</f>
        <v>0</v>
      </c>
    </row>
    <row r="5" spans="1:18" s="10" customFormat="1" x14ac:dyDescent="0.25">
      <c r="A5" s="245"/>
      <c r="B5" s="245"/>
      <c r="C5" s="268"/>
      <c r="D5" s="270"/>
      <c r="E5" s="270"/>
      <c r="F5" s="253"/>
      <c r="G5" s="277"/>
      <c r="H5" s="245"/>
      <c r="I5" s="335"/>
      <c r="J5" s="247"/>
      <c r="K5" s="247"/>
      <c r="L5" s="250"/>
      <c r="M5" s="251"/>
      <c r="N5" s="272"/>
      <c r="O5" s="275"/>
      <c r="P5" s="275"/>
      <c r="Q5" s="18"/>
      <c r="R5" s="64"/>
    </row>
    <row r="6" spans="1:18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1"/>
      <c r="K6" s="42"/>
      <c r="L6" s="43" t="s">
        <v>123</v>
      </c>
      <c r="M6" s="43"/>
      <c r="N6" s="43"/>
      <c r="O6"/>
    </row>
    <row r="7" spans="1:18" ht="15" customHeight="1" x14ac:dyDescent="0.25">
      <c r="A7" s="10">
        <v>1</v>
      </c>
      <c r="B7" s="48">
        <v>43991</v>
      </c>
      <c r="C7" s="17">
        <v>200</v>
      </c>
      <c r="D7" s="17">
        <v>200</v>
      </c>
      <c r="E7" s="16">
        <v>43991</v>
      </c>
      <c r="G7" s="31">
        <v>137304</v>
      </c>
      <c r="H7" s="17">
        <f>IFERROR(IF(F6="Closed account",(IF(F7="Unpaid Rent",(C7),(C7-D7))),(IF(F7="Unpaid Rent",(C7+H6),(C7-D7+H6)))),"")</f>
        <v>0</v>
      </c>
      <c r="I7" s="17" t="s">
        <v>193</v>
      </c>
      <c r="J7" s="48">
        <v>43988</v>
      </c>
      <c r="K7" s="17">
        <v>60</v>
      </c>
      <c r="L7" s="49" t="s">
        <v>34</v>
      </c>
      <c r="N7" t="s">
        <v>193</v>
      </c>
      <c r="O7" t="s">
        <v>193</v>
      </c>
      <c r="P7" s="111">
        <f>SUMIF($I$6:$I$2992,O7,$D$6:$D$2992)-SUMIFS($D$6:$D$2992,$I$6:$I$2992,O7,$F$6:$F$2992,"Unpaid Rent")-(SUMIFS($D$6:$D$2992,$I$6:$I$2992,O7,$F$6:$F$2992,"Discount Rent")*2)-(SUMIFS($D$6:$D$2992,$I$6:$I$2992,O7,$F$6:$F$2992,"Bond Received"))-SUMIF($N$6:$N$2989,O7,$K$6:$K$2989)+SUMIFS($K$6:$K$2989,$N$6:$N$2989,O7,$L$6:$L$2989,"Bond Return")</f>
        <v>1545.6100000000001</v>
      </c>
    </row>
    <row r="8" spans="1:18" ht="15" customHeight="1" x14ac:dyDescent="0.25">
      <c r="A8" s="10">
        <v>2</v>
      </c>
      <c r="B8" s="48">
        <v>43998</v>
      </c>
      <c r="C8" s="17">
        <v>400</v>
      </c>
      <c r="D8" s="17">
        <v>400</v>
      </c>
      <c r="E8" s="16">
        <v>43998</v>
      </c>
      <c r="F8" t="s">
        <v>181</v>
      </c>
      <c r="H8" s="17">
        <f t="shared" ref="H8:H71" si="0">IFERROR(IF(F7="Closed account",(IF(F8="Unpaid Rent",(C8),(C8-D8))),(IF(F8="Unpaid Rent",(C8+H7),(C8-D8+H7)))),"")</f>
        <v>0</v>
      </c>
      <c r="I8" s="17" t="s">
        <v>193</v>
      </c>
      <c r="J8" s="48">
        <v>43989</v>
      </c>
      <c r="K8" s="17">
        <v>55.1</v>
      </c>
      <c r="L8" s="49" t="s">
        <v>54</v>
      </c>
      <c r="N8" t="s">
        <v>193</v>
      </c>
      <c r="O8" t="s">
        <v>215</v>
      </c>
      <c r="P8" s="111">
        <f t="shared" ref="P8:P47" si="1">SUMIF($I$6:$I$2992,O8,$D$6:$D$2992)-SUMIFS($D$6:$D$2992,$I$6:$I$2992,O8,$F$6:$F$2992,"Unpaid Rent")-(SUMIFS($D$6:$D$2992,$I$6:$I$2992,O8,$F$6:$F$2992,"Discount Rent")*2)-(SUMIFS($D$6:$D$2992,$I$6:$I$2992,O8,$F$6:$F$2992,"Bond Received"))-SUMIF($N$6:$N$2989,O8,$K$6:$K$2989)+SUMIFS($K$6:$K$2989,$N$6:$N$2989,O8,$L$6:$L$2989,"Bond Return")</f>
        <v>7467.85</v>
      </c>
    </row>
    <row r="9" spans="1:18" ht="15" customHeight="1" x14ac:dyDescent="0.25">
      <c r="A9" s="10">
        <v>2</v>
      </c>
      <c r="B9" s="48">
        <v>43998</v>
      </c>
      <c r="C9" s="17">
        <v>200</v>
      </c>
      <c r="D9" s="17">
        <v>200</v>
      </c>
      <c r="E9" s="16">
        <v>43998</v>
      </c>
      <c r="H9" s="17">
        <f t="shared" si="0"/>
        <v>0</v>
      </c>
      <c r="I9" s="17" t="s">
        <v>193</v>
      </c>
      <c r="J9" s="48">
        <v>43990</v>
      </c>
      <c r="K9" s="17">
        <v>53.21</v>
      </c>
      <c r="L9" s="49" t="s">
        <v>32</v>
      </c>
      <c r="N9" t="s">
        <v>193</v>
      </c>
      <c r="O9" t="s">
        <v>14</v>
      </c>
      <c r="P9" s="111">
        <f t="shared" si="1"/>
        <v>-974.2600000000001</v>
      </c>
    </row>
    <row r="10" spans="1:18" ht="15" customHeight="1" x14ac:dyDescent="0.25">
      <c r="A10" s="10">
        <v>3</v>
      </c>
      <c r="B10" s="48">
        <v>44005</v>
      </c>
      <c r="C10" s="17">
        <v>200</v>
      </c>
      <c r="D10" s="17"/>
      <c r="E10" s="16"/>
      <c r="H10" s="17">
        <f t="shared" si="0"/>
        <v>200</v>
      </c>
      <c r="I10" s="17" t="s">
        <v>193</v>
      </c>
      <c r="J10" s="48">
        <v>43991</v>
      </c>
      <c r="K10" s="17">
        <v>173.61</v>
      </c>
      <c r="L10" s="49" t="s">
        <v>16</v>
      </c>
      <c r="N10" t="s">
        <v>193</v>
      </c>
      <c r="O10" t="s">
        <v>142</v>
      </c>
      <c r="P10" s="111">
        <f t="shared" si="1"/>
        <v>9431.0300000000007</v>
      </c>
    </row>
    <row r="11" spans="1:18" ht="15" customHeight="1" x14ac:dyDescent="0.25">
      <c r="A11" s="10">
        <v>4</v>
      </c>
      <c r="B11" s="48">
        <v>44012</v>
      </c>
      <c r="C11" s="17">
        <v>200</v>
      </c>
      <c r="D11" s="17">
        <v>400</v>
      </c>
      <c r="E11" s="16">
        <v>44012</v>
      </c>
      <c r="H11" s="17">
        <f t="shared" si="0"/>
        <v>0</v>
      </c>
      <c r="I11" s="17" t="s">
        <v>193</v>
      </c>
      <c r="J11" s="48">
        <v>43998</v>
      </c>
      <c r="K11" s="17">
        <v>5.5</v>
      </c>
      <c r="L11" s="49" t="s">
        <v>22</v>
      </c>
      <c r="N11" t="s">
        <v>193</v>
      </c>
      <c r="O11" t="s">
        <v>804</v>
      </c>
      <c r="P11" s="111">
        <f t="shared" si="1"/>
        <v>8974.66</v>
      </c>
    </row>
    <row r="12" spans="1:18" ht="15" customHeight="1" x14ac:dyDescent="0.25">
      <c r="A12" s="10">
        <v>5</v>
      </c>
      <c r="B12" s="48">
        <v>44019</v>
      </c>
      <c r="C12" s="17">
        <v>200</v>
      </c>
      <c r="D12" s="17"/>
      <c r="E12" s="16"/>
      <c r="H12" s="17">
        <f t="shared" si="0"/>
        <v>200</v>
      </c>
      <c r="I12" s="17" t="s">
        <v>193</v>
      </c>
      <c r="J12" s="48">
        <v>44020</v>
      </c>
      <c r="K12" s="17">
        <v>173.61</v>
      </c>
      <c r="L12" s="49" t="s">
        <v>16</v>
      </c>
      <c r="N12" t="s">
        <v>193</v>
      </c>
      <c r="P12" s="111">
        <f t="shared" si="1"/>
        <v>0</v>
      </c>
    </row>
    <row r="13" spans="1:18" ht="15" customHeight="1" x14ac:dyDescent="0.25">
      <c r="A13" s="10">
        <v>6</v>
      </c>
      <c r="B13" s="48">
        <v>44026</v>
      </c>
      <c r="C13" s="17">
        <v>200</v>
      </c>
      <c r="D13" s="17">
        <v>400</v>
      </c>
      <c r="E13" s="16">
        <v>44026</v>
      </c>
      <c r="H13" s="17">
        <f t="shared" si="0"/>
        <v>0</v>
      </c>
      <c r="I13" s="17" t="s">
        <v>193</v>
      </c>
      <c r="J13" s="48">
        <v>44053</v>
      </c>
      <c r="K13" s="17">
        <v>173.61</v>
      </c>
      <c r="L13" s="49" t="s">
        <v>16</v>
      </c>
      <c r="N13" t="s">
        <v>193</v>
      </c>
      <c r="P13" s="111">
        <f t="shared" si="1"/>
        <v>0</v>
      </c>
    </row>
    <row r="14" spans="1:18" ht="15" customHeight="1" x14ac:dyDescent="0.25">
      <c r="A14" s="10">
        <v>7</v>
      </c>
      <c r="B14" s="48">
        <v>44033</v>
      </c>
      <c r="C14" s="17">
        <v>200</v>
      </c>
      <c r="D14" s="17">
        <v>200</v>
      </c>
      <c r="E14" s="16">
        <v>44033</v>
      </c>
      <c r="H14" s="17">
        <f t="shared" si="0"/>
        <v>0</v>
      </c>
      <c r="I14" s="17" t="s">
        <v>193</v>
      </c>
      <c r="J14" s="48">
        <v>44074</v>
      </c>
      <c r="K14" s="17">
        <v>400</v>
      </c>
      <c r="L14" s="49" t="s">
        <v>45</v>
      </c>
      <c r="N14" t="s">
        <v>193</v>
      </c>
      <c r="P14" s="111">
        <f t="shared" si="1"/>
        <v>0</v>
      </c>
    </row>
    <row r="15" spans="1:18" ht="15" customHeight="1" x14ac:dyDescent="0.25">
      <c r="A15" s="10">
        <v>8</v>
      </c>
      <c r="B15" s="48">
        <v>44040</v>
      </c>
      <c r="C15" s="17">
        <v>200</v>
      </c>
      <c r="D15" s="17">
        <v>200</v>
      </c>
      <c r="E15" s="16">
        <v>44040</v>
      </c>
      <c r="H15" s="17">
        <f t="shared" si="0"/>
        <v>0</v>
      </c>
      <c r="I15" s="17" t="s">
        <v>193</v>
      </c>
      <c r="J15" s="48">
        <v>44079</v>
      </c>
      <c r="K15" s="17">
        <v>9.75</v>
      </c>
      <c r="L15" s="49" t="s">
        <v>32</v>
      </c>
      <c r="N15" t="s">
        <v>193</v>
      </c>
      <c r="P15" s="111">
        <f t="shared" si="1"/>
        <v>0</v>
      </c>
    </row>
    <row r="16" spans="1:18" ht="15" customHeight="1" x14ac:dyDescent="0.25">
      <c r="A16" s="10">
        <v>9</v>
      </c>
      <c r="B16" s="48">
        <v>44047</v>
      </c>
      <c r="C16" s="17">
        <v>150</v>
      </c>
      <c r="D16" s="17">
        <v>150</v>
      </c>
      <c r="E16" s="16">
        <v>44047</v>
      </c>
      <c r="H16" s="17">
        <f t="shared" si="0"/>
        <v>0</v>
      </c>
      <c r="I16" s="17" t="s">
        <v>193</v>
      </c>
      <c r="J16" s="48">
        <v>44176</v>
      </c>
      <c r="K16" s="17">
        <v>412</v>
      </c>
      <c r="L16" s="49" t="s">
        <v>17</v>
      </c>
      <c r="M16" t="s">
        <v>470</v>
      </c>
      <c r="N16" t="s">
        <v>215</v>
      </c>
      <c r="P16" s="111">
        <f t="shared" si="1"/>
        <v>0</v>
      </c>
    </row>
    <row r="17" spans="1:16" ht="15" customHeight="1" x14ac:dyDescent="0.25">
      <c r="A17" s="10">
        <v>10</v>
      </c>
      <c r="B17" s="48">
        <v>44054</v>
      </c>
      <c r="C17" s="17">
        <v>200</v>
      </c>
      <c r="D17" s="17">
        <v>200</v>
      </c>
      <c r="E17" s="16">
        <v>44054</v>
      </c>
      <c r="H17" s="17">
        <f t="shared" si="0"/>
        <v>0</v>
      </c>
      <c r="I17" s="17" t="s">
        <v>193</v>
      </c>
      <c r="J17" s="48">
        <v>44252</v>
      </c>
      <c r="K17" s="17">
        <v>198.52</v>
      </c>
      <c r="L17" s="49" t="s">
        <v>20</v>
      </c>
      <c r="N17" t="s">
        <v>215</v>
      </c>
      <c r="P17" s="111">
        <f t="shared" si="1"/>
        <v>0</v>
      </c>
    </row>
    <row r="18" spans="1:16" ht="15" customHeight="1" x14ac:dyDescent="0.25">
      <c r="A18" s="10">
        <v>11</v>
      </c>
      <c r="B18" s="48">
        <v>44061</v>
      </c>
      <c r="C18" s="17">
        <v>150</v>
      </c>
      <c r="D18" s="17">
        <v>150</v>
      </c>
      <c r="E18" s="16">
        <v>44061</v>
      </c>
      <c r="H18" s="17">
        <f t="shared" si="0"/>
        <v>0</v>
      </c>
      <c r="I18" s="17" t="s">
        <v>193</v>
      </c>
      <c r="J18" s="48">
        <v>44336</v>
      </c>
      <c r="K18" s="17">
        <v>198.52</v>
      </c>
      <c r="L18" s="49" t="s">
        <v>20</v>
      </c>
      <c r="N18" t="s">
        <v>215</v>
      </c>
      <c r="P18" s="111">
        <f t="shared" si="1"/>
        <v>0</v>
      </c>
    </row>
    <row r="19" spans="1:16" ht="15" customHeight="1" x14ac:dyDescent="0.25">
      <c r="A19" s="10">
        <v>12</v>
      </c>
      <c r="B19" s="48">
        <v>44068</v>
      </c>
      <c r="C19" s="17">
        <v>150</v>
      </c>
      <c r="D19" s="17">
        <v>150</v>
      </c>
      <c r="E19" s="16">
        <v>44068</v>
      </c>
      <c r="F19" t="s">
        <v>124</v>
      </c>
      <c r="G19" s="31">
        <v>148792</v>
      </c>
      <c r="H19" s="17">
        <f t="shared" si="0"/>
        <v>0</v>
      </c>
      <c r="I19" s="17" t="s">
        <v>193</v>
      </c>
      <c r="J19" s="48">
        <v>44336</v>
      </c>
      <c r="K19" s="17">
        <v>2.75</v>
      </c>
      <c r="L19" s="49" t="s">
        <v>22</v>
      </c>
      <c r="N19" t="s">
        <v>215</v>
      </c>
      <c r="P19" s="111">
        <f t="shared" si="1"/>
        <v>0</v>
      </c>
    </row>
    <row r="20" spans="1:16" ht="15" customHeight="1" x14ac:dyDescent="0.25">
      <c r="A20" s="10">
        <v>1</v>
      </c>
      <c r="B20" s="48">
        <v>44077</v>
      </c>
      <c r="C20" s="17">
        <v>100</v>
      </c>
      <c r="D20" s="17">
        <v>100</v>
      </c>
      <c r="E20" s="16">
        <v>44077</v>
      </c>
      <c r="F20" t="s">
        <v>181</v>
      </c>
      <c r="H20" s="17">
        <f t="shared" si="0"/>
        <v>0</v>
      </c>
      <c r="I20" s="17" t="s">
        <v>215</v>
      </c>
      <c r="J20" s="48">
        <v>44330</v>
      </c>
      <c r="K20" s="17">
        <v>0.99</v>
      </c>
      <c r="L20" s="49" t="s">
        <v>22</v>
      </c>
      <c r="N20" t="s">
        <v>215</v>
      </c>
      <c r="P20" s="111">
        <f t="shared" si="1"/>
        <v>0</v>
      </c>
    </row>
    <row r="21" spans="1:16" ht="15" customHeight="1" x14ac:dyDescent="0.25">
      <c r="A21" s="10">
        <v>1</v>
      </c>
      <c r="B21" s="48">
        <v>44077</v>
      </c>
      <c r="C21" s="17">
        <v>50</v>
      </c>
      <c r="D21" s="17">
        <v>50</v>
      </c>
      <c r="E21" s="16">
        <v>44077</v>
      </c>
      <c r="F21" t="s">
        <v>181</v>
      </c>
      <c r="H21" s="17">
        <f t="shared" si="0"/>
        <v>0</v>
      </c>
      <c r="I21" s="17" t="s">
        <v>215</v>
      </c>
      <c r="J21" s="48">
        <v>44343</v>
      </c>
      <c r="K21" s="17">
        <v>5.5</v>
      </c>
      <c r="L21" s="49" t="s">
        <v>22</v>
      </c>
      <c r="N21" t="s">
        <v>215</v>
      </c>
      <c r="P21" s="111">
        <f t="shared" si="1"/>
        <v>0</v>
      </c>
    </row>
    <row r="22" spans="1:16" ht="15" customHeight="1" x14ac:dyDescent="0.25">
      <c r="A22" s="10">
        <v>2</v>
      </c>
      <c r="B22" s="48">
        <v>44077</v>
      </c>
      <c r="C22" s="17">
        <v>180</v>
      </c>
      <c r="D22" s="17">
        <v>180</v>
      </c>
      <c r="E22" s="16">
        <v>44077</v>
      </c>
      <c r="F22" t="s">
        <v>117</v>
      </c>
      <c r="H22" s="17">
        <f t="shared" si="0"/>
        <v>0</v>
      </c>
      <c r="I22" s="17" t="s">
        <v>215</v>
      </c>
      <c r="J22" s="48">
        <v>44337</v>
      </c>
      <c r="K22" s="17">
        <v>0.99</v>
      </c>
      <c r="L22" s="49" t="s">
        <v>22</v>
      </c>
      <c r="N22" t="s">
        <v>215</v>
      </c>
      <c r="P22" s="111">
        <f t="shared" si="1"/>
        <v>0</v>
      </c>
    </row>
    <row r="23" spans="1:16" ht="15" customHeight="1" x14ac:dyDescent="0.25">
      <c r="A23" s="10">
        <v>3</v>
      </c>
      <c r="B23" s="48">
        <f t="shared" ref="B23:B29" si="2">B22+7</f>
        <v>44084</v>
      </c>
      <c r="C23" s="17">
        <v>180</v>
      </c>
      <c r="D23" s="17">
        <v>180</v>
      </c>
      <c r="E23" s="16">
        <v>44085</v>
      </c>
      <c r="F23" t="s">
        <v>117</v>
      </c>
      <c r="H23" s="17">
        <f t="shared" si="0"/>
        <v>0</v>
      </c>
      <c r="I23" s="17" t="s">
        <v>215</v>
      </c>
      <c r="J23" s="48">
        <v>44350</v>
      </c>
      <c r="K23" s="17">
        <v>2.75</v>
      </c>
      <c r="L23" s="49" t="s">
        <v>22</v>
      </c>
      <c r="N23" t="s">
        <v>215</v>
      </c>
      <c r="P23" s="111">
        <f t="shared" si="1"/>
        <v>0</v>
      </c>
    </row>
    <row r="24" spans="1:16" ht="15" customHeight="1" x14ac:dyDescent="0.25">
      <c r="A24" s="10">
        <v>4</v>
      </c>
      <c r="B24" s="48">
        <f t="shared" si="2"/>
        <v>44091</v>
      </c>
      <c r="C24" s="17">
        <v>180</v>
      </c>
      <c r="D24" s="17">
        <v>180</v>
      </c>
      <c r="E24" s="16">
        <v>44091</v>
      </c>
      <c r="F24" t="s">
        <v>117</v>
      </c>
      <c r="H24" s="17">
        <f t="shared" si="0"/>
        <v>0</v>
      </c>
      <c r="I24" s="17" t="s">
        <v>215</v>
      </c>
      <c r="J24" s="48">
        <v>44344</v>
      </c>
      <c r="K24" s="17">
        <v>0.99</v>
      </c>
      <c r="L24" s="49" t="s">
        <v>22</v>
      </c>
      <c r="N24" t="s">
        <v>215</v>
      </c>
      <c r="P24" s="111">
        <f t="shared" si="1"/>
        <v>0</v>
      </c>
    </row>
    <row r="25" spans="1:16" ht="15" customHeight="1" x14ac:dyDescent="0.25">
      <c r="A25" s="10">
        <v>5</v>
      </c>
      <c r="B25" s="48">
        <f t="shared" si="2"/>
        <v>44098</v>
      </c>
      <c r="C25" s="17">
        <v>180</v>
      </c>
      <c r="D25" s="17">
        <v>180</v>
      </c>
      <c r="E25" s="16">
        <v>44098</v>
      </c>
      <c r="F25" t="s">
        <v>117</v>
      </c>
      <c r="H25" s="17">
        <f t="shared" si="0"/>
        <v>0</v>
      </c>
      <c r="I25" s="17" t="s">
        <v>215</v>
      </c>
      <c r="J25" s="48">
        <v>44356</v>
      </c>
      <c r="K25" s="17">
        <v>72.599999999999994</v>
      </c>
      <c r="L25" s="49" t="s">
        <v>34</v>
      </c>
      <c r="N25" t="s">
        <v>215</v>
      </c>
      <c r="P25" s="111">
        <f t="shared" si="1"/>
        <v>0</v>
      </c>
    </row>
    <row r="26" spans="1:16" ht="15" customHeight="1" x14ac:dyDescent="0.25">
      <c r="A26" s="10">
        <v>6</v>
      </c>
      <c r="B26" s="48">
        <f t="shared" si="2"/>
        <v>44105</v>
      </c>
      <c r="C26" s="17">
        <v>180</v>
      </c>
      <c r="D26" s="17"/>
      <c r="E26" s="16"/>
      <c r="H26" s="17">
        <f t="shared" si="0"/>
        <v>180</v>
      </c>
      <c r="I26" s="17" t="s">
        <v>215</v>
      </c>
      <c r="J26" s="48">
        <v>44357</v>
      </c>
      <c r="K26" s="17">
        <v>198.52</v>
      </c>
      <c r="L26" s="49" t="s">
        <v>20</v>
      </c>
      <c r="N26" t="s">
        <v>215</v>
      </c>
      <c r="P26" s="111">
        <f t="shared" si="1"/>
        <v>0</v>
      </c>
    </row>
    <row r="27" spans="1:16" ht="15" customHeight="1" x14ac:dyDescent="0.25">
      <c r="A27" s="10">
        <v>7</v>
      </c>
      <c r="B27" s="48">
        <f t="shared" si="2"/>
        <v>44112</v>
      </c>
      <c r="C27" s="17">
        <v>180</v>
      </c>
      <c r="D27" s="17">
        <v>180</v>
      </c>
      <c r="E27" s="16">
        <v>44116</v>
      </c>
      <c r="F27" t="s">
        <v>117</v>
      </c>
      <c r="H27" s="17">
        <f t="shared" si="0"/>
        <v>180</v>
      </c>
      <c r="I27" s="17" t="s">
        <v>215</v>
      </c>
      <c r="J27" s="48">
        <v>44358</v>
      </c>
      <c r="K27" s="17">
        <v>136.21</v>
      </c>
      <c r="L27" s="49" t="s">
        <v>16</v>
      </c>
      <c r="N27" t="s">
        <v>215</v>
      </c>
      <c r="P27" s="111">
        <f t="shared" si="1"/>
        <v>0</v>
      </c>
    </row>
    <row r="28" spans="1:16" ht="15" customHeight="1" x14ac:dyDescent="0.25">
      <c r="A28" s="10">
        <v>8</v>
      </c>
      <c r="B28" s="48">
        <f t="shared" si="2"/>
        <v>44119</v>
      </c>
      <c r="C28" s="17">
        <v>180</v>
      </c>
      <c r="D28" s="17"/>
      <c r="E28" s="16"/>
      <c r="H28" s="17">
        <f t="shared" si="0"/>
        <v>360</v>
      </c>
      <c r="I28" s="17" t="s">
        <v>215</v>
      </c>
      <c r="J28" s="48">
        <v>44376</v>
      </c>
      <c r="K28" s="17">
        <v>17.25</v>
      </c>
      <c r="L28" s="49" t="s">
        <v>32</v>
      </c>
      <c r="N28" t="s">
        <v>14</v>
      </c>
      <c r="P28" s="111">
        <f t="shared" si="1"/>
        <v>0</v>
      </c>
    </row>
    <row r="29" spans="1:16" ht="15" customHeight="1" x14ac:dyDescent="0.25">
      <c r="A29" s="10">
        <v>9</v>
      </c>
      <c r="B29" s="48">
        <f t="shared" si="2"/>
        <v>44126</v>
      </c>
      <c r="C29" s="17">
        <v>180</v>
      </c>
      <c r="D29" s="17">
        <v>180</v>
      </c>
      <c r="E29" s="16">
        <v>44131</v>
      </c>
      <c r="F29" t="s">
        <v>117</v>
      </c>
      <c r="H29" s="17">
        <f t="shared" si="0"/>
        <v>360</v>
      </c>
      <c r="I29" s="17" t="s">
        <v>215</v>
      </c>
      <c r="J29" s="48">
        <v>44376</v>
      </c>
      <c r="K29" s="17">
        <v>390.5</v>
      </c>
      <c r="L29" s="49" t="s">
        <v>17</v>
      </c>
      <c r="N29" t="s">
        <v>215</v>
      </c>
      <c r="P29" s="111">
        <f t="shared" si="1"/>
        <v>0</v>
      </c>
    </row>
    <row r="30" spans="1:16" ht="15" customHeight="1" x14ac:dyDescent="0.25">
      <c r="A30" s="10">
        <v>10</v>
      </c>
      <c r="B30" s="48">
        <f t="shared" ref="B30:B35" si="3">B29+7</f>
        <v>44133</v>
      </c>
      <c r="C30" s="17">
        <v>180</v>
      </c>
      <c r="D30" s="17"/>
      <c r="E30" s="16"/>
      <c r="H30" s="17">
        <f t="shared" si="0"/>
        <v>540</v>
      </c>
      <c r="I30" s="17" t="s">
        <v>215</v>
      </c>
      <c r="J30" s="48">
        <v>44439</v>
      </c>
      <c r="K30" s="17">
        <v>201.31</v>
      </c>
      <c r="L30" s="49" t="s">
        <v>20</v>
      </c>
      <c r="N30" t="s">
        <v>215</v>
      </c>
      <c r="P30" s="111">
        <f t="shared" si="1"/>
        <v>0</v>
      </c>
    </row>
    <row r="31" spans="1:16" ht="15" customHeight="1" x14ac:dyDescent="0.25">
      <c r="A31" s="10">
        <v>11</v>
      </c>
      <c r="B31" s="48">
        <f t="shared" si="3"/>
        <v>44140</v>
      </c>
      <c r="C31" s="17">
        <v>180</v>
      </c>
      <c r="D31" s="17">
        <v>180</v>
      </c>
      <c r="E31" s="16">
        <v>44140</v>
      </c>
      <c r="F31" t="s">
        <v>117</v>
      </c>
      <c r="H31" s="17">
        <f t="shared" si="0"/>
        <v>540</v>
      </c>
      <c r="I31" s="17" t="s">
        <v>215</v>
      </c>
      <c r="J31" s="48">
        <v>44460</v>
      </c>
      <c r="K31" s="17">
        <v>2000</v>
      </c>
      <c r="L31" s="49" t="s">
        <v>17</v>
      </c>
      <c r="M31" t="s">
        <v>703</v>
      </c>
      <c r="N31" t="s">
        <v>142</v>
      </c>
      <c r="P31" s="111">
        <f t="shared" si="1"/>
        <v>0</v>
      </c>
    </row>
    <row r="32" spans="1:16" ht="15" customHeight="1" x14ac:dyDescent="0.25">
      <c r="A32" s="10">
        <v>12</v>
      </c>
      <c r="B32" s="48">
        <f t="shared" si="3"/>
        <v>44147</v>
      </c>
      <c r="C32" s="17">
        <v>180</v>
      </c>
      <c r="D32" s="17">
        <v>180</v>
      </c>
      <c r="E32" s="16">
        <v>44149</v>
      </c>
      <c r="F32" t="s">
        <v>117</v>
      </c>
      <c r="H32" s="17">
        <f t="shared" si="0"/>
        <v>540</v>
      </c>
      <c r="I32" s="17" t="s">
        <v>215</v>
      </c>
      <c r="J32" s="48">
        <v>44462</v>
      </c>
      <c r="K32" s="17">
        <v>16.5</v>
      </c>
      <c r="L32" s="49" t="s">
        <v>32</v>
      </c>
      <c r="N32" t="s">
        <v>14</v>
      </c>
      <c r="P32" s="111">
        <f t="shared" si="1"/>
        <v>0</v>
      </c>
    </row>
    <row r="33" spans="1:16" ht="15" customHeight="1" x14ac:dyDescent="0.25">
      <c r="A33" s="10">
        <v>13</v>
      </c>
      <c r="B33" s="48">
        <f t="shared" si="3"/>
        <v>44154</v>
      </c>
      <c r="C33" s="17">
        <v>180</v>
      </c>
      <c r="D33" s="17">
        <v>180</v>
      </c>
      <c r="E33" s="16">
        <v>44155</v>
      </c>
      <c r="F33" t="s">
        <v>117</v>
      </c>
      <c r="H33" s="17">
        <f t="shared" si="0"/>
        <v>540</v>
      </c>
      <c r="I33" s="17" t="s">
        <v>215</v>
      </c>
      <c r="J33" s="48">
        <v>44569</v>
      </c>
      <c r="K33" s="17">
        <v>341</v>
      </c>
      <c r="L33" s="49" t="s">
        <v>17</v>
      </c>
      <c r="M33" t="s">
        <v>675</v>
      </c>
      <c r="N33" t="s">
        <v>14</v>
      </c>
      <c r="P33" s="111">
        <f t="shared" si="1"/>
        <v>0</v>
      </c>
    </row>
    <row r="34" spans="1:16" ht="15" customHeight="1" x14ac:dyDescent="0.25">
      <c r="A34" s="10">
        <v>14</v>
      </c>
      <c r="B34" s="48">
        <f t="shared" si="3"/>
        <v>44161</v>
      </c>
      <c r="C34" s="17">
        <v>180</v>
      </c>
      <c r="D34" s="17">
        <v>220</v>
      </c>
      <c r="E34" s="16">
        <v>44162</v>
      </c>
      <c r="F34" t="s">
        <v>117</v>
      </c>
      <c r="H34" s="17">
        <f t="shared" si="0"/>
        <v>500</v>
      </c>
      <c r="I34" s="17" t="s">
        <v>215</v>
      </c>
      <c r="J34" s="48">
        <v>44569</v>
      </c>
      <c r="K34" s="17">
        <v>85</v>
      </c>
      <c r="L34" s="49" t="s">
        <v>17</v>
      </c>
      <c r="M34" t="s">
        <v>156</v>
      </c>
      <c r="N34" t="s">
        <v>14</v>
      </c>
      <c r="P34" s="111">
        <f t="shared" si="1"/>
        <v>0</v>
      </c>
    </row>
    <row r="35" spans="1:16" ht="15" customHeight="1" x14ac:dyDescent="0.25">
      <c r="A35" s="10">
        <v>15</v>
      </c>
      <c r="B35" s="48">
        <f t="shared" si="3"/>
        <v>44168</v>
      </c>
      <c r="C35" s="17">
        <v>180</v>
      </c>
      <c r="D35" s="17">
        <v>300</v>
      </c>
      <c r="E35" s="16">
        <v>44169</v>
      </c>
      <c r="F35" t="s">
        <v>117</v>
      </c>
      <c r="H35" s="17">
        <f t="shared" si="0"/>
        <v>380</v>
      </c>
      <c r="I35" s="17" t="s">
        <v>215</v>
      </c>
      <c r="J35" s="48">
        <v>44616</v>
      </c>
      <c r="K35" s="17">
        <v>72.599999999999994</v>
      </c>
      <c r="L35" s="49" t="s">
        <v>98</v>
      </c>
      <c r="N35" t="s">
        <v>14</v>
      </c>
      <c r="P35" s="111">
        <f t="shared" si="1"/>
        <v>0</v>
      </c>
    </row>
    <row r="36" spans="1:16" ht="15" customHeight="1" x14ac:dyDescent="0.25">
      <c r="A36" s="10">
        <v>16</v>
      </c>
      <c r="B36" s="48">
        <f t="shared" ref="B36:B41" si="4">B35+7</f>
        <v>44175</v>
      </c>
      <c r="C36" s="17"/>
      <c r="D36" s="17">
        <v>300</v>
      </c>
      <c r="E36" s="16">
        <v>44176</v>
      </c>
      <c r="F36" t="s">
        <v>117</v>
      </c>
      <c r="H36" s="17">
        <f t="shared" si="0"/>
        <v>80</v>
      </c>
      <c r="I36" s="17" t="s">
        <v>215</v>
      </c>
      <c r="J36" s="48">
        <v>44628</v>
      </c>
      <c r="K36" s="17">
        <v>201.31</v>
      </c>
      <c r="L36" s="49" t="s">
        <v>20</v>
      </c>
      <c r="N36" t="s">
        <v>14</v>
      </c>
      <c r="P36" s="111">
        <f t="shared" si="1"/>
        <v>0</v>
      </c>
    </row>
    <row r="37" spans="1:16" ht="15" customHeight="1" x14ac:dyDescent="0.25">
      <c r="A37" s="10">
        <v>17</v>
      </c>
      <c r="B37" s="48">
        <f t="shared" si="4"/>
        <v>44182</v>
      </c>
      <c r="C37" s="17">
        <v>200</v>
      </c>
      <c r="D37" s="17">
        <v>200</v>
      </c>
      <c r="E37" s="16">
        <v>44187</v>
      </c>
      <c r="F37" t="s">
        <v>117</v>
      </c>
      <c r="H37" s="17">
        <f t="shared" si="0"/>
        <v>80</v>
      </c>
      <c r="I37" s="17" t="s">
        <v>215</v>
      </c>
      <c r="J37" s="48">
        <v>44637</v>
      </c>
      <c r="K37" s="17">
        <v>55.1</v>
      </c>
      <c r="L37" s="49" t="s">
        <v>54</v>
      </c>
      <c r="N37" t="s">
        <v>14</v>
      </c>
      <c r="P37" s="111">
        <f t="shared" si="1"/>
        <v>0</v>
      </c>
    </row>
    <row r="38" spans="1:16" ht="15" customHeight="1" x14ac:dyDescent="0.25">
      <c r="A38" s="10">
        <v>18</v>
      </c>
      <c r="B38" s="48">
        <f t="shared" si="4"/>
        <v>44189</v>
      </c>
      <c r="C38" s="17">
        <v>250</v>
      </c>
      <c r="D38" s="17"/>
      <c r="H38" s="17">
        <f t="shared" si="0"/>
        <v>330</v>
      </c>
      <c r="I38" s="17" t="s">
        <v>215</v>
      </c>
      <c r="J38" s="48">
        <v>44638</v>
      </c>
      <c r="K38" s="17">
        <v>5.5</v>
      </c>
      <c r="L38" s="49" t="s">
        <v>22</v>
      </c>
      <c r="N38" t="s">
        <v>14</v>
      </c>
      <c r="P38" s="111">
        <f t="shared" si="1"/>
        <v>0</v>
      </c>
    </row>
    <row r="39" spans="1:16" ht="15" customHeight="1" x14ac:dyDescent="0.25">
      <c r="A39" s="10">
        <v>19</v>
      </c>
      <c r="B39" s="48">
        <f t="shared" si="4"/>
        <v>44196</v>
      </c>
      <c r="C39" s="17">
        <v>250</v>
      </c>
      <c r="D39" s="17">
        <v>500</v>
      </c>
      <c r="E39" s="16">
        <v>44200</v>
      </c>
      <c r="F39" t="s">
        <v>117</v>
      </c>
      <c r="H39" s="17">
        <f t="shared" si="0"/>
        <v>80</v>
      </c>
      <c r="I39" s="17" t="s">
        <v>215</v>
      </c>
      <c r="J39" s="48">
        <v>44678</v>
      </c>
      <c r="K39" s="17">
        <v>50</v>
      </c>
      <c r="L39" s="49" t="s">
        <v>26</v>
      </c>
      <c r="N39" t="s">
        <v>14</v>
      </c>
      <c r="P39" s="111">
        <f t="shared" si="1"/>
        <v>0</v>
      </c>
    </row>
    <row r="40" spans="1:16" ht="15" customHeight="1" x14ac:dyDescent="0.25">
      <c r="A40" s="10">
        <v>20</v>
      </c>
      <c r="B40" s="48">
        <f t="shared" si="4"/>
        <v>44203</v>
      </c>
      <c r="C40" s="17">
        <v>250</v>
      </c>
      <c r="D40" s="17"/>
      <c r="H40" s="17">
        <f t="shared" si="0"/>
        <v>330</v>
      </c>
      <c r="I40" s="17" t="s">
        <v>215</v>
      </c>
      <c r="J40" s="48">
        <v>44695</v>
      </c>
      <c r="K40" s="17">
        <v>285</v>
      </c>
      <c r="L40" s="49" t="s">
        <v>17</v>
      </c>
      <c r="M40" t="s">
        <v>166</v>
      </c>
      <c r="N40" t="s">
        <v>804</v>
      </c>
      <c r="P40" s="111">
        <f t="shared" si="1"/>
        <v>0</v>
      </c>
    </row>
    <row r="41" spans="1:16" ht="15" customHeight="1" x14ac:dyDescent="0.25">
      <c r="A41" s="10">
        <v>21</v>
      </c>
      <c r="B41" s="48">
        <f t="shared" si="4"/>
        <v>44210</v>
      </c>
      <c r="C41" s="17">
        <v>250</v>
      </c>
      <c r="D41" s="17">
        <v>250</v>
      </c>
      <c r="E41" s="16">
        <v>44214</v>
      </c>
      <c r="F41" t="s">
        <v>117</v>
      </c>
      <c r="H41" s="17">
        <f t="shared" si="0"/>
        <v>330</v>
      </c>
      <c r="I41" s="17" t="s">
        <v>215</v>
      </c>
      <c r="J41" s="48">
        <v>44698</v>
      </c>
      <c r="K41" s="17">
        <v>93</v>
      </c>
      <c r="L41" s="49" t="s">
        <v>26</v>
      </c>
      <c r="M41" t="s">
        <v>831</v>
      </c>
      <c r="N41" t="s">
        <v>804</v>
      </c>
      <c r="P41" s="111">
        <f t="shared" si="1"/>
        <v>0</v>
      </c>
    </row>
    <row r="42" spans="1:16" ht="15" customHeight="1" x14ac:dyDescent="0.25">
      <c r="A42" s="10">
        <v>22</v>
      </c>
      <c r="B42" s="48">
        <f t="shared" ref="B42:B47" si="5">B41+7</f>
        <v>44217</v>
      </c>
      <c r="C42" s="17">
        <v>250</v>
      </c>
      <c r="D42" s="17">
        <v>250</v>
      </c>
      <c r="E42" s="16">
        <v>44221</v>
      </c>
      <c r="F42" t="s">
        <v>117</v>
      </c>
      <c r="H42" s="17">
        <f t="shared" si="0"/>
        <v>330</v>
      </c>
      <c r="I42" s="17" t="s">
        <v>215</v>
      </c>
      <c r="J42" s="48">
        <v>44699</v>
      </c>
      <c r="K42" s="17">
        <v>201.31</v>
      </c>
      <c r="L42" s="49" t="s">
        <v>20</v>
      </c>
      <c r="N42" t="s">
        <v>804</v>
      </c>
      <c r="P42" s="111">
        <f t="shared" si="1"/>
        <v>0</v>
      </c>
    </row>
    <row r="43" spans="1:16" ht="15" customHeight="1" x14ac:dyDescent="0.25">
      <c r="A43" s="10">
        <v>23</v>
      </c>
      <c r="B43" s="48">
        <f t="shared" si="5"/>
        <v>44224</v>
      </c>
      <c r="C43" s="17">
        <v>250</v>
      </c>
      <c r="D43" s="17">
        <v>200</v>
      </c>
      <c r="E43" s="16">
        <v>44222</v>
      </c>
      <c r="F43" t="s">
        <v>117</v>
      </c>
      <c r="H43" s="17">
        <f t="shared" si="0"/>
        <v>380</v>
      </c>
      <c r="I43" s="17" t="s">
        <v>215</v>
      </c>
      <c r="J43" s="48">
        <v>44761</v>
      </c>
      <c r="K43" s="17">
        <v>17.850000000000001</v>
      </c>
      <c r="L43" s="49" t="s">
        <v>133</v>
      </c>
      <c r="N43" t="s">
        <v>804</v>
      </c>
      <c r="P43" s="111">
        <f t="shared" si="1"/>
        <v>0</v>
      </c>
    </row>
    <row r="44" spans="1:16" ht="15" customHeight="1" x14ac:dyDescent="0.25">
      <c r="A44" s="10">
        <v>24</v>
      </c>
      <c r="B44" s="48">
        <f t="shared" si="5"/>
        <v>44231</v>
      </c>
      <c r="C44" s="17">
        <v>250</v>
      </c>
      <c r="D44" s="17"/>
      <c r="H44" s="17">
        <f t="shared" si="0"/>
        <v>630</v>
      </c>
      <c r="I44" s="17" t="s">
        <v>215</v>
      </c>
      <c r="J44" s="48">
        <v>44783</v>
      </c>
      <c r="K44" s="17">
        <v>205.68</v>
      </c>
      <c r="L44" s="49" t="s">
        <v>20</v>
      </c>
      <c r="N44" t="s">
        <v>804</v>
      </c>
      <c r="P44" s="111">
        <f t="shared" si="1"/>
        <v>0</v>
      </c>
    </row>
    <row r="45" spans="1:16" ht="15" customHeight="1" x14ac:dyDescent="0.25">
      <c r="A45" s="10">
        <v>25</v>
      </c>
      <c r="B45" s="48">
        <f t="shared" si="5"/>
        <v>44238</v>
      </c>
      <c r="C45" s="17">
        <v>250</v>
      </c>
      <c r="D45" s="17">
        <v>200</v>
      </c>
      <c r="E45" s="16">
        <v>44238</v>
      </c>
      <c r="F45" t="s">
        <v>117</v>
      </c>
      <c r="H45" s="17">
        <f t="shared" si="0"/>
        <v>680</v>
      </c>
      <c r="I45" s="17" t="s">
        <v>215</v>
      </c>
      <c r="J45" s="48">
        <v>44942</v>
      </c>
      <c r="K45" s="17">
        <v>400</v>
      </c>
      <c r="L45" s="49" t="s">
        <v>45</v>
      </c>
      <c r="N45" t="s">
        <v>804</v>
      </c>
      <c r="P45" s="111">
        <f t="shared" si="1"/>
        <v>0</v>
      </c>
    </row>
    <row r="46" spans="1:16" ht="15" customHeight="1" x14ac:dyDescent="0.25">
      <c r="A46" s="10">
        <v>26</v>
      </c>
      <c r="B46" s="48">
        <f t="shared" si="5"/>
        <v>44245</v>
      </c>
      <c r="C46" s="17">
        <v>250</v>
      </c>
      <c r="D46" s="17">
        <v>300</v>
      </c>
      <c r="E46" s="16">
        <v>44248</v>
      </c>
      <c r="F46" t="s">
        <v>117</v>
      </c>
      <c r="H46" s="17">
        <f t="shared" si="0"/>
        <v>630</v>
      </c>
      <c r="I46" s="17" t="s">
        <v>215</v>
      </c>
      <c r="J46" s="48">
        <v>44977</v>
      </c>
      <c r="K46" s="17">
        <v>302.5</v>
      </c>
      <c r="L46" s="49" t="s">
        <v>17</v>
      </c>
      <c r="M46" t="s">
        <v>675</v>
      </c>
      <c r="N46" t="s">
        <v>804</v>
      </c>
      <c r="P46" s="111">
        <f t="shared" si="1"/>
        <v>0</v>
      </c>
    </row>
    <row r="47" spans="1:16" ht="15" customHeight="1" x14ac:dyDescent="0.25">
      <c r="A47" s="10">
        <v>27</v>
      </c>
      <c r="B47" s="48">
        <f t="shared" si="5"/>
        <v>44252</v>
      </c>
      <c r="C47" s="17">
        <v>150</v>
      </c>
      <c r="D47" s="17">
        <v>230</v>
      </c>
      <c r="E47" s="16">
        <v>44252</v>
      </c>
      <c r="F47" t="s">
        <v>117</v>
      </c>
      <c r="H47" s="17">
        <f t="shared" si="0"/>
        <v>550</v>
      </c>
      <c r="I47" s="17" t="s">
        <v>215</v>
      </c>
      <c r="J47" s="48">
        <v>45007</v>
      </c>
      <c r="K47" s="17">
        <v>130</v>
      </c>
      <c r="L47" s="49" t="s">
        <v>17</v>
      </c>
      <c r="M47" t="s">
        <v>156</v>
      </c>
      <c r="N47" t="s">
        <v>14</v>
      </c>
      <c r="P47" s="111">
        <f t="shared" si="1"/>
        <v>0</v>
      </c>
    </row>
    <row r="48" spans="1:16" ht="15" customHeight="1" x14ac:dyDescent="0.25">
      <c r="A48" s="10">
        <v>28</v>
      </c>
      <c r="B48" s="48">
        <f t="shared" ref="B48:B53" si="6">B47+7</f>
        <v>44259</v>
      </c>
      <c r="C48" s="17">
        <v>250</v>
      </c>
      <c r="D48" s="17">
        <v>250</v>
      </c>
      <c r="E48" s="16">
        <v>44264</v>
      </c>
      <c r="F48" t="s">
        <v>117</v>
      </c>
      <c r="H48" s="17">
        <f t="shared" si="0"/>
        <v>550</v>
      </c>
      <c r="I48" s="17" t="s">
        <v>215</v>
      </c>
      <c r="J48" s="48"/>
      <c r="K48" s="17"/>
      <c r="L48" s="49"/>
    </row>
    <row r="49" spans="1:12" ht="15" customHeight="1" x14ac:dyDescent="0.25">
      <c r="A49" s="10">
        <v>29</v>
      </c>
      <c r="B49" s="48">
        <f t="shared" si="6"/>
        <v>44266</v>
      </c>
      <c r="C49" s="17">
        <v>250</v>
      </c>
      <c r="D49" s="17">
        <v>150</v>
      </c>
      <c r="E49" s="16">
        <v>44271</v>
      </c>
      <c r="F49" t="s">
        <v>117</v>
      </c>
      <c r="H49" s="17">
        <f t="shared" si="0"/>
        <v>650</v>
      </c>
      <c r="I49" s="17" t="s">
        <v>215</v>
      </c>
      <c r="J49" s="48"/>
      <c r="K49" s="17"/>
      <c r="L49" s="49"/>
    </row>
    <row r="50" spans="1:12" ht="15" customHeight="1" x14ac:dyDescent="0.25">
      <c r="A50" s="10">
        <v>30</v>
      </c>
      <c r="B50" s="48">
        <f t="shared" si="6"/>
        <v>44273</v>
      </c>
      <c r="C50" s="17">
        <v>250</v>
      </c>
      <c r="D50" s="17">
        <v>200</v>
      </c>
      <c r="E50" s="16">
        <v>44276</v>
      </c>
      <c r="F50" t="s">
        <v>117</v>
      </c>
      <c r="H50" s="17">
        <f t="shared" si="0"/>
        <v>700</v>
      </c>
      <c r="I50" s="17" t="s">
        <v>215</v>
      </c>
      <c r="J50" s="48"/>
      <c r="K50" s="17"/>
      <c r="L50" s="49"/>
    </row>
    <row r="51" spans="1:12" ht="15" customHeight="1" x14ac:dyDescent="0.25">
      <c r="A51" s="10">
        <v>31</v>
      </c>
      <c r="B51" s="48">
        <f t="shared" si="6"/>
        <v>44280</v>
      </c>
      <c r="C51" s="17">
        <v>250</v>
      </c>
      <c r="D51" s="17">
        <v>200</v>
      </c>
      <c r="E51" s="16">
        <v>44277</v>
      </c>
      <c r="F51" t="s">
        <v>117</v>
      </c>
      <c r="H51" s="17">
        <f t="shared" si="0"/>
        <v>750</v>
      </c>
      <c r="I51" s="17" t="s">
        <v>215</v>
      </c>
      <c r="J51" s="48"/>
      <c r="K51" s="17"/>
      <c r="L51" s="49"/>
    </row>
    <row r="52" spans="1:12" ht="15" customHeight="1" x14ac:dyDescent="0.25">
      <c r="A52" s="10">
        <v>32</v>
      </c>
      <c r="B52" s="48">
        <f t="shared" si="6"/>
        <v>44287</v>
      </c>
      <c r="C52" s="17">
        <v>250</v>
      </c>
      <c r="D52" s="17">
        <v>150</v>
      </c>
      <c r="E52" s="16">
        <v>44280</v>
      </c>
      <c r="F52" t="s">
        <v>117</v>
      </c>
      <c r="H52" s="17">
        <f t="shared" si="0"/>
        <v>850</v>
      </c>
      <c r="I52" s="17" t="s">
        <v>215</v>
      </c>
      <c r="J52" s="48"/>
      <c r="K52" s="17"/>
      <c r="L52" s="49"/>
    </row>
    <row r="53" spans="1:12" ht="15" customHeight="1" x14ac:dyDescent="0.25">
      <c r="A53" s="10">
        <v>33</v>
      </c>
      <c r="B53" s="48">
        <f t="shared" si="6"/>
        <v>44294</v>
      </c>
      <c r="C53" s="17">
        <v>250</v>
      </c>
      <c r="D53" s="17">
        <v>150</v>
      </c>
      <c r="E53" s="16">
        <v>44288</v>
      </c>
      <c r="F53" t="s">
        <v>117</v>
      </c>
      <c r="H53" s="17">
        <f t="shared" si="0"/>
        <v>950</v>
      </c>
      <c r="I53" s="17" t="s">
        <v>215</v>
      </c>
      <c r="J53" s="48"/>
      <c r="K53" s="17"/>
      <c r="L53" s="49"/>
    </row>
    <row r="54" spans="1:12" ht="15" customHeight="1" x14ac:dyDescent="0.25">
      <c r="A54" s="10">
        <v>34</v>
      </c>
      <c r="B54" s="48">
        <f t="shared" ref="B54:B59" si="7">B53+7</f>
        <v>44301</v>
      </c>
      <c r="C54" s="17">
        <v>250</v>
      </c>
      <c r="D54" s="17">
        <v>200</v>
      </c>
      <c r="E54" s="16">
        <v>44294</v>
      </c>
      <c r="F54" t="s">
        <v>117</v>
      </c>
      <c r="H54" s="17">
        <f t="shared" si="0"/>
        <v>1000</v>
      </c>
      <c r="I54" s="17" t="s">
        <v>215</v>
      </c>
      <c r="J54" s="48"/>
      <c r="K54" s="17"/>
      <c r="L54" s="49"/>
    </row>
    <row r="55" spans="1:12" ht="15" customHeight="1" x14ac:dyDescent="0.25">
      <c r="A55" s="10">
        <v>35</v>
      </c>
      <c r="B55" s="48">
        <f t="shared" si="7"/>
        <v>44308</v>
      </c>
      <c r="C55" s="17">
        <v>250</v>
      </c>
      <c r="D55" s="17">
        <v>250</v>
      </c>
      <c r="E55" s="16">
        <v>44303</v>
      </c>
      <c r="F55" t="s">
        <v>117</v>
      </c>
      <c r="H55" s="17">
        <f t="shared" si="0"/>
        <v>1000</v>
      </c>
      <c r="I55" s="17" t="s">
        <v>215</v>
      </c>
      <c r="J55" s="48"/>
      <c r="K55" s="17"/>
      <c r="L55" s="49"/>
    </row>
    <row r="56" spans="1:12" ht="15" customHeight="1" x14ac:dyDescent="0.25">
      <c r="A56" s="10">
        <v>36</v>
      </c>
      <c r="B56" s="48">
        <f t="shared" si="7"/>
        <v>44315</v>
      </c>
      <c r="C56" s="17">
        <v>250</v>
      </c>
      <c r="D56" s="17">
        <v>240</v>
      </c>
      <c r="E56" s="16">
        <v>44310</v>
      </c>
      <c r="F56" t="s">
        <v>117</v>
      </c>
      <c r="H56" s="17">
        <f t="shared" si="0"/>
        <v>1010</v>
      </c>
      <c r="I56" s="17" t="s">
        <v>215</v>
      </c>
      <c r="J56" s="48"/>
      <c r="K56" s="17"/>
      <c r="L56" s="49"/>
    </row>
    <row r="57" spans="1:12" ht="15" customHeight="1" x14ac:dyDescent="0.25">
      <c r="A57" s="10">
        <v>37</v>
      </c>
      <c r="B57" s="48">
        <f t="shared" si="7"/>
        <v>44322</v>
      </c>
      <c r="C57" s="17">
        <v>250</v>
      </c>
      <c r="D57" s="17">
        <v>260</v>
      </c>
      <c r="E57" s="16">
        <v>44320</v>
      </c>
      <c r="F57" t="s">
        <v>117</v>
      </c>
      <c r="H57" s="17">
        <f t="shared" si="0"/>
        <v>1000</v>
      </c>
      <c r="I57" s="17" t="s">
        <v>215</v>
      </c>
      <c r="J57" s="48"/>
      <c r="K57" s="17"/>
      <c r="L57" s="49"/>
    </row>
    <row r="58" spans="1:12" ht="15" customHeight="1" x14ac:dyDescent="0.25">
      <c r="A58" s="10">
        <v>38</v>
      </c>
      <c r="B58" s="48">
        <f t="shared" si="7"/>
        <v>44329</v>
      </c>
      <c r="C58" s="17">
        <v>250</v>
      </c>
      <c r="D58" s="17">
        <v>250</v>
      </c>
      <c r="E58" s="16">
        <v>44326</v>
      </c>
      <c r="F58" t="s">
        <v>117</v>
      </c>
      <c r="H58" s="17">
        <f t="shared" si="0"/>
        <v>1000</v>
      </c>
      <c r="I58" s="17" t="s">
        <v>215</v>
      </c>
      <c r="J58" s="48"/>
      <c r="K58" s="17"/>
      <c r="L58" s="49"/>
    </row>
    <row r="59" spans="1:12" ht="15" customHeight="1" x14ac:dyDescent="0.25">
      <c r="A59" s="10">
        <v>39</v>
      </c>
      <c r="B59" s="48">
        <f t="shared" si="7"/>
        <v>44336</v>
      </c>
      <c r="C59" s="17">
        <v>250</v>
      </c>
      <c r="D59" s="17">
        <v>350</v>
      </c>
      <c r="E59" s="16">
        <v>44343</v>
      </c>
      <c r="F59" t="s">
        <v>117</v>
      </c>
      <c r="H59" s="17">
        <f t="shared" si="0"/>
        <v>900</v>
      </c>
      <c r="I59" s="17" t="s">
        <v>215</v>
      </c>
      <c r="J59" s="48"/>
      <c r="K59" s="17"/>
      <c r="L59" s="49"/>
    </row>
    <row r="60" spans="1:12" ht="15" customHeight="1" x14ac:dyDescent="0.25">
      <c r="A60" s="10">
        <v>40</v>
      </c>
      <c r="B60" s="48">
        <f t="shared" ref="B60:B65" si="8">B59+7</f>
        <v>44343</v>
      </c>
      <c r="C60" s="17">
        <v>250</v>
      </c>
      <c r="D60" s="17">
        <v>250</v>
      </c>
      <c r="E60" s="16">
        <v>44357</v>
      </c>
      <c r="F60" t="s">
        <v>117</v>
      </c>
      <c r="H60" s="17">
        <f t="shared" si="0"/>
        <v>900</v>
      </c>
      <c r="I60" s="17" t="s">
        <v>215</v>
      </c>
      <c r="J60" s="48"/>
      <c r="K60" s="17"/>
      <c r="L60" s="49"/>
    </row>
    <row r="61" spans="1:12" ht="15" customHeight="1" x14ac:dyDescent="0.25">
      <c r="A61" s="10">
        <v>41</v>
      </c>
      <c r="B61" s="48">
        <f t="shared" si="8"/>
        <v>44350</v>
      </c>
      <c r="C61" s="17">
        <v>250</v>
      </c>
      <c r="D61" s="17">
        <v>250</v>
      </c>
      <c r="E61" s="16">
        <v>44358</v>
      </c>
      <c r="F61" t="s">
        <v>117</v>
      </c>
      <c r="H61" s="17">
        <f t="shared" si="0"/>
        <v>900</v>
      </c>
      <c r="I61" s="17" t="s">
        <v>215</v>
      </c>
      <c r="J61" s="48"/>
      <c r="K61" s="17"/>
      <c r="L61" s="49"/>
    </row>
    <row r="62" spans="1:12" ht="15" customHeight="1" x14ac:dyDescent="0.25">
      <c r="A62" s="10">
        <v>42</v>
      </c>
      <c r="B62" s="48">
        <f t="shared" si="8"/>
        <v>44357</v>
      </c>
      <c r="C62" s="17">
        <v>250</v>
      </c>
      <c r="D62" s="17">
        <v>250</v>
      </c>
      <c r="E62" s="16">
        <v>44361</v>
      </c>
      <c r="F62" t="s">
        <v>117</v>
      </c>
      <c r="H62" s="17">
        <f t="shared" si="0"/>
        <v>900</v>
      </c>
      <c r="I62" s="17" t="s">
        <v>215</v>
      </c>
      <c r="J62" s="48"/>
      <c r="K62" s="17"/>
      <c r="L62" s="49"/>
    </row>
    <row r="63" spans="1:12" ht="15" customHeight="1" x14ac:dyDescent="0.25">
      <c r="A63" s="10">
        <v>43</v>
      </c>
      <c r="B63" s="48">
        <f t="shared" si="8"/>
        <v>44364</v>
      </c>
      <c r="C63" s="17">
        <v>250</v>
      </c>
      <c r="D63" s="17">
        <v>240</v>
      </c>
      <c r="E63" s="16">
        <v>44366</v>
      </c>
      <c r="F63" t="s">
        <v>117</v>
      </c>
      <c r="H63" s="17">
        <f t="shared" si="0"/>
        <v>910</v>
      </c>
      <c r="I63" s="17" t="s">
        <v>215</v>
      </c>
      <c r="J63" s="48"/>
      <c r="K63" s="17"/>
      <c r="L63" s="49"/>
    </row>
    <row r="64" spans="1:12" ht="15" customHeight="1" x14ac:dyDescent="0.25">
      <c r="A64" s="10">
        <v>44</v>
      </c>
      <c r="B64" s="48">
        <f t="shared" si="8"/>
        <v>44371</v>
      </c>
      <c r="C64" s="17">
        <v>250</v>
      </c>
      <c r="D64" s="17">
        <v>160</v>
      </c>
      <c r="E64" s="16">
        <v>44369</v>
      </c>
      <c r="F64" t="s">
        <v>117</v>
      </c>
      <c r="H64" s="17">
        <f t="shared" si="0"/>
        <v>1000</v>
      </c>
      <c r="I64" s="17" t="s">
        <v>215</v>
      </c>
      <c r="J64" s="48"/>
      <c r="K64" s="17"/>
      <c r="L64" s="49"/>
    </row>
    <row r="65" spans="1:12" ht="15" customHeight="1" x14ac:dyDescent="0.25">
      <c r="A65" s="10">
        <v>45</v>
      </c>
      <c r="B65" s="48">
        <f t="shared" si="8"/>
        <v>44378</v>
      </c>
      <c r="C65" s="17"/>
      <c r="D65" s="17">
        <v>250</v>
      </c>
      <c r="E65" s="16">
        <v>44376</v>
      </c>
      <c r="F65" t="s">
        <v>117</v>
      </c>
      <c r="H65" s="17">
        <f t="shared" si="0"/>
        <v>750</v>
      </c>
      <c r="I65" s="17" t="s">
        <v>215</v>
      </c>
      <c r="J65" s="48"/>
      <c r="K65" s="17"/>
      <c r="L65" s="49"/>
    </row>
    <row r="66" spans="1:12" ht="15" customHeight="1" x14ac:dyDescent="0.25">
      <c r="B66" s="48"/>
      <c r="C66" s="17"/>
      <c r="D66" s="17">
        <v>220</v>
      </c>
      <c r="E66" s="16">
        <v>44379</v>
      </c>
      <c r="F66" t="s">
        <v>117</v>
      </c>
      <c r="H66" s="17">
        <f t="shared" si="0"/>
        <v>530</v>
      </c>
      <c r="I66" s="17" t="s">
        <v>215</v>
      </c>
      <c r="J66" s="48"/>
      <c r="K66" s="17"/>
      <c r="L66" s="49"/>
    </row>
    <row r="67" spans="1:12" ht="15" customHeight="1" x14ac:dyDescent="0.25">
      <c r="B67" s="48"/>
      <c r="C67" s="17"/>
      <c r="D67" s="17">
        <v>180</v>
      </c>
      <c r="E67" s="16">
        <v>44383</v>
      </c>
      <c r="F67" t="s">
        <v>117</v>
      </c>
      <c r="H67" s="17">
        <f t="shared" si="0"/>
        <v>350</v>
      </c>
      <c r="I67" s="17" t="s">
        <v>215</v>
      </c>
      <c r="J67" s="48"/>
      <c r="K67" s="17"/>
      <c r="L67" s="49"/>
    </row>
    <row r="68" spans="1:12" ht="15" customHeight="1" x14ac:dyDescent="0.25">
      <c r="B68" s="48"/>
      <c r="C68" s="17"/>
      <c r="D68" s="17">
        <v>270</v>
      </c>
      <c r="E68" s="16">
        <v>44386</v>
      </c>
      <c r="F68" t="s">
        <v>124</v>
      </c>
      <c r="H68" s="17">
        <f t="shared" si="0"/>
        <v>80</v>
      </c>
      <c r="I68" s="17" t="s">
        <v>215</v>
      </c>
      <c r="J68" s="48"/>
      <c r="K68" s="17"/>
      <c r="L68" s="49"/>
    </row>
    <row r="69" spans="1:12" ht="15" customHeight="1" x14ac:dyDescent="0.25">
      <c r="A69" s="10">
        <v>1</v>
      </c>
      <c r="B69" s="48">
        <v>44454</v>
      </c>
      <c r="C69" s="17">
        <v>10351.030000000001</v>
      </c>
      <c r="D69" s="17">
        <v>10351.030000000001</v>
      </c>
      <c r="E69" s="16">
        <v>44454</v>
      </c>
      <c r="F69" t="s">
        <v>117</v>
      </c>
      <c r="H69" s="17">
        <f t="shared" si="0"/>
        <v>0</v>
      </c>
      <c r="I69" s="17" t="s">
        <v>142</v>
      </c>
      <c r="J69" s="48"/>
      <c r="K69" s="17"/>
      <c r="L69" s="49"/>
    </row>
    <row r="70" spans="1:12" ht="15" customHeight="1" x14ac:dyDescent="0.25">
      <c r="A70" s="10">
        <v>2</v>
      </c>
      <c r="B70" s="48">
        <v>44510</v>
      </c>
      <c r="C70" s="17">
        <v>1080</v>
      </c>
      <c r="D70" s="17">
        <v>1080</v>
      </c>
      <c r="E70" s="16">
        <v>44480</v>
      </c>
      <c r="F70" t="s">
        <v>117</v>
      </c>
      <c r="H70" s="17">
        <f t="shared" si="0"/>
        <v>0</v>
      </c>
      <c r="I70" s="17" t="s">
        <v>142</v>
      </c>
      <c r="J70" s="48"/>
      <c r="K70" s="17"/>
      <c r="L70" s="49"/>
    </row>
    <row r="71" spans="1:12" ht="15" customHeight="1" x14ac:dyDescent="0.25">
      <c r="A71" s="10">
        <v>1</v>
      </c>
      <c r="B71" s="48">
        <v>44628</v>
      </c>
      <c r="C71" s="17">
        <v>400</v>
      </c>
      <c r="D71" s="17">
        <v>400</v>
      </c>
      <c r="E71" s="16">
        <v>44627</v>
      </c>
      <c r="F71" t="s">
        <v>181</v>
      </c>
      <c r="H71" s="17">
        <f t="shared" si="0"/>
        <v>0</v>
      </c>
      <c r="I71" s="17" t="s">
        <v>804</v>
      </c>
      <c r="J71" s="48"/>
      <c r="K71" s="17"/>
      <c r="L71" s="49"/>
    </row>
    <row r="72" spans="1:12" ht="15" customHeight="1" x14ac:dyDescent="0.25">
      <c r="A72" s="10">
        <v>1</v>
      </c>
      <c r="B72" s="48">
        <v>44628</v>
      </c>
      <c r="C72" s="17">
        <v>220</v>
      </c>
      <c r="D72" s="17">
        <v>220</v>
      </c>
      <c r="E72" s="16">
        <v>44627</v>
      </c>
      <c r="F72" t="s">
        <v>117</v>
      </c>
      <c r="H72" s="17">
        <f t="shared" ref="H72:H115" si="9">IFERROR(IF(F71="Closed account",(IF(F72="Unpaid Rent",(C72),(C72-D72))),(IF(F72="Unpaid Rent",(C72+H71),(C72-D72+H71)))),"")</f>
        <v>0</v>
      </c>
      <c r="I72" s="17" t="s">
        <v>804</v>
      </c>
      <c r="J72" s="48"/>
      <c r="K72" s="17"/>
      <c r="L72" s="49"/>
    </row>
    <row r="73" spans="1:12" x14ac:dyDescent="0.25">
      <c r="A73" s="10">
        <v>2</v>
      </c>
      <c r="B73" s="48">
        <f t="shared" ref="B73:B82" si="10">B72+7</f>
        <v>44635</v>
      </c>
      <c r="C73" s="17">
        <v>220</v>
      </c>
      <c r="D73" s="17">
        <v>220</v>
      </c>
      <c r="E73" s="16">
        <v>44638</v>
      </c>
      <c r="F73" t="s">
        <v>59</v>
      </c>
      <c r="H73" s="17">
        <f t="shared" si="9"/>
        <v>0</v>
      </c>
      <c r="I73" s="17" t="s">
        <v>804</v>
      </c>
      <c r="J73" s="48"/>
      <c r="K73" s="17"/>
      <c r="L73" s="49"/>
    </row>
    <row r="74" spans="1:12" x14ac:dyDescent="0.25">
      <c r="A74" s="10">
        <v>3</v>
      </c>
      <c r="B74" s="48">
        <f t="shared" si="10"/>
        <v>44642</v>
      </c>
      <c r="C74" s="17">
        <v>220</v>
      </c>
      <c r="D74" s="17">
        <v>220</v>
      </c>
      <c r="E74" s="16">
        <v>44642</v>
      </c>
      <c r="F74" t="s">
        <v>59</v>
      </c>
      <c r="H74" s="17">
        <f t="shared" si="9"/>
        <v>0</v>
      </c>
      <c r="I74" s="17" t="s">
        <v>804</v>
      </c>
      <c r="J74" s="48"/>
      <c r="K74" s="17"/>
      <c r="L74" s="49"/>
    </row>
    <row r="75" spans="1:12" x14ac:dyDescent="0.25">
      <c r="A75" s="10">
        <v>4</v>
      </c>
      <c r="B75" s="48">
        <f t="shared" si="10"/>
        <v>44649</v>
      </c>
      <c r="C75" s="17">
        <v>220</v>
      </c>
      <c r="D75" s="17">
        <v>220</v>
      </c>
      <c r="E75" s="16">
        <v>44649</v>
      </c>
      <c r="F75" t="s">
        <v>59</v>
      </c>
      <c r="H75" s="17">
        <f t="shared" si="9"/>
        <v>0</v>
      </c>
      <c r="I75" s="17" t="s">
        <v>804</v>
      </c>
      <c r="J75" s="48"/>
      <c r="K75" s="17"/>
      <c r="L75" s="49"/>
    </row>
    <row r="76" spans="1:12" x14ac:dyDescent="0.25">
      <c r="A76" s="10">
        <v>5</v>
      </c>
      <c r="B76" s="48">
        <f t="shared" si="10"/>
        <v>44656</v>
      </c>
      <c r="C76" s="17">
        <v>220</v>
      </c>
      <c r="D76" s="17">
        <v>220</v>
      </c>
      <c r="E76" s="16">
        <v>44656</v>
      </c>
      <c r="F76" t="s">
        <v>59</v>
      </c>
      <c r="H76" s="17">
        <f t="shared" si="9"/>
        <v>0</v>
      </c>
      <c r="I76" s="17" t="s">
        <v>804</v>
      </c>
      <c r="J76" s="48"/>
      <c r="K76" s="17"/>
      <c r="L76" s="49"/>
    </row>
    <row r="77" spans="1:12" x14ac:dyDescent="0.25">
      <c r="A77" s="10">
        <v>6</v>
      </c>
      <c r="B77" s="48">
        <f t="shared" si="10"/>
        <v>44663</v>
      </c>
      <c r="C77" s="17">
        <v>220</v>
      </c>
      <c r="D77" s="17">
        <v>220</v>
      </c>
      <c r="E77" s="16">
        <v>44663</v>
      </c>
      <c r="F77" t="s">
        <v>59</v>
      </c>
      <c r="H77" s="17">
        <f t="shared" si="9"/>
        <v>0</v>
      </c>
      <c r="I77" s="17" t="s">
        <v>804</v>
      </c>
      <c r="J77" s="48"/>
      <c r="K77" s="17"/>
      <c r="L77" s="49"/>
    </row>
    <row r="78" spans="1:12" x14ac:dyDescent="0.25">
      <c r="A78" s="10">
        <v>7</v>
      </c>
      <c r="B78" s="48">
        <f t="shared" si="10"/>
        <v>44670</v>
      </c>
      <c r="C78" s="17">
        <v>220</v>
      </c>
      <c r="D78" s="17">
        <v>220</v>
      </c>
      <c r="E78" s="16">
        <v>44670</v>
      </c>
      <c r="F78" t="s">
        <v>59</v>
      </c>
      <c r="H78" s="17">
        <f t="shared" si="9"/>
        <v>0</v>
      </c>
      <c r="I78" s="17" t="s">
        <v>804</v>
      </c>
      <c r="J78" s="48"/>
      <c r="K78" s="17"/>
      <c r="L78" s="49"/>
    </row>
    <row r="79" spans="1:12" x14ac:dyDescent="0.25">
      <c r="A79" s="10">
        <v>8</v>
      </c>
      <c r="B79" s="48">
        <f t="shared" si="10"/>
        <v>44677</v>
      </c>
      <c r="C79" s="17">
        <v>220</v>
      </c>
      <c r="D79" s="17">
        <v>220</v>
      </c>
      <c r="E79" s="16">
        <v>44677</v>
      </c>
      <c r="F79" t="s">
        <v>59</v>
      </c>
      <c r="H79" s="17">
        <f t="shared" si="9"/>
        <v>0</v>
      </c>
      <c r="I79" s="17" t="s">
        <v>804</v>
      </c>
      <c r="J79" s="48"/>
      <c r="K79" s="17"/>
      <c r="L79" s="49"/>
    </row>
    <row r="80" spans="1:12" x14ac:dyDescent="0.25">
      <c r="A80" s="10">
        <v>9</v>
      </c>
      <c r="B80" s="48">
        <f t="shared" si="10"/>
        <v>44684</v>
      </c>
      <c r="C80" s="17">
        <v>220</v>
      </c>
      <c r="D80" s="17">
        <v>220</v>
      </c>
      <c r="E80" s="16">
        <v>44684</v>
      </c>
      <c r="F80" t="s">
        <v>59</v>
      </c>
      <c r="H80" s="17">
        <f t="shared" si="9"/>
        <v>0</v>
      </c>
      <c r="I80" s="17" t="s">
        <v>804</v>
      </c>
      <c r="J80" s="48"/>
      <c r="K80" s="17"/>
      <c r="L80" s="49"/>
    </row>
    <row r="81" spans="1:12" x14ac:dyDescent="0.25">
      <c r="A81" s="10">
        <v>10</v>
      </c>
      <c r="B81" s="48">
        <f t="shared" si="10"/>
        <v>44691</v>
      </c>
      <c r="C81" s="17">
        <v>220</v>
      </c>
      <c r="D81" s="17">
        <v>220</v>
      </c>
      <c r="E81" s="16">
        <v>44691</v>
      </c>
      <c r="F81" t="s">
        <v>59</v>
      </c>
      <c r="H81" s="17">
        <f t="shared" si="9"/>
        <v>0</v>
      </c>
      <c r="I81" s="17" t="s">
        <v>804</v>
      </c>
      <c r="J81" s="48"/>
      <c r="K81" s="17"/>
      <c r="L81" s="49"/>
    </row>
    <row r="82" spans="1:12" x14ac:dyDescent="0.25">
      <c r="A82" s="10">
        <v>11</v>
      </c>
      <c r="B82" s="48">
        <f t="shared" si="10"/>
        <v>44698</v>
      </c>
      <c r="C82" s="17">
        <v>220</v>
      </c>
      <c r="D82" s="17">
        <v>220</v>
      </c>
      <c r="E82" s="16">
        <v>44698</v>
      </c>
      <c r="F82" t="s">
        <v>59</v>
      </c>
      <c r="H82" s="17">
        <f t="shared" si="9"/>
        <v>0</v>
      </c>
      <c r="I82" s="17" t="s">
        <v>804</v>
      </c>
      <c r="J82" s="48"/>
      <c r="K82" s="17"/>
      <c r="L82" s="49"/>
    </row>
    <row r="83" spans="1:12" x14ac:dyDescent="0.25">
      <c r="A83" s="10">
        <v>12</v>
      </c>
      <c r="B83" s="48">
        <f t="shared" ref="B83:B88" si="11">B82+7</f>
        <v>44705</v>
      </c>
      <c r="C83" s="17">
        <v>220</v>
      </c>
      <c r="D83" s="17">
        <v>220</v>
      </c>
      <c r="E83" s="16">
        <v>44705</v>
      </c>
      <c r="F83" t="s">
        <v>59</v>
      </c>
      <c r="H83" s="17">
        <f t="shared" si="9"/>
        <v>0</v>
      </c>
      <c r="I83" s="17" t="s">
        <v>804</v>
      </c>
      <c r="J83" s="48"/>
      <c r="K83" s="17"/>
      <c r="L83" s="49"/>
    </row>
    <row r="84" spans="1:12" x14ac:dyDescent="0.25">
      <c r="A84" s="10">
        <v>13</v>
      </c>
      <c r="B84" s="48">
        <f t="shared" si="11"/>
        <v>44712</v>
      </c>
      <c r="C84" s="17">
        <v>220</v>
      </c>
      <c r="D84" s="17">
        <v>220</v>
      </c>
      <c r="E84" s="16">
        <v>44712</v>
      </c>
      <c r="F84" t="s">
        <v>59</v>
      </c>
      <c r="H84" s="17">
        <f t="shared" si="9"/>
        <v>0</v>
      </c>
      <c r="I84" s="17" t="s">
        <v>804</v>
      </c>
      <c r="J84" s="48"/>
      <c r="K84" s="17"/>
      <c r="L84" s="49"/>
    </row>
    <row r="85" spans="1:12" x14ac:dyDescent="0.25">
      <c r="A85" s="10">
        <v>14</v>
      </c>
      <c r="B85" s="48">
        <f t="shared" si="11"/>
        <v>44719</v>
      </c>
      <c r="C85" s="17">
        <v>220</v>
      </c>
      <c r="D85" s="17">
        <v>220</v>
      </c>
      <c r="E85" s="16">
        <v>44719</v>
      </c>
      <c r="F85" t="s">
        <v>59</v>
      </c>
      <c r="H85" s="17">
        <f t="shared" si="9"/>
        <v>0</v>
      </c>
      <c r="I85" s="17" t="s">
        <v>804</v>
      </c>
      <c r="J85" s="48"/>
      <c r="K85" s="17"/>
      <c r="L85" s="49"/>
    </row>
    <row r="86" spans="1:12" x14ac:dyDescent="0.25">
      <c r="A86" s="10">
        <v>15</v>
      </c>
      <c r="B86" s="48">
        <f t="shared" si="11"/>
        <v>44726</v>
      </c>
      <c r="C86" s="17">
        <v>220</v>
      </c>
      <c r="D86" s="17">
        <v>220</v>
      </c>
      <c r="E86" s="16">
        <v>44726</v>
      </c>
      <c r="F86" t="s">
        <v>59</v>
      </c>
      <c r="H86" s="17">
        <f t="shared" si="9"/>
        <v>0</v>
      </c>
      <c r="I86" s="17" t="s">
        <v>804</v>
      </c>
      <c r="J86" s="48"/>
      <c r="K86" s="17"/>
      <c r="L86" s="49"/>
    </row>
    <row r="87" spans="1:12" x14ac:dyDescent="0.25">
      <c r="A87" s="10">
        <v>16</v>
      </c>
      <c r="B87" s="48">
        <f t="shared" si="11"/>
        <v>44733</v>
      </c>
      <c r="C87" s="17">
        <v>220</v>
      </c>
      <c r="D87" s="17">
        <v>220</v>
      </c>
      <c r="E87" s="16">
        <v>44733</v>
      </c>
      <c r="F87" t="s">
        <v>59</v>
      </c>
      <c r="H87" s="17">
        <f t="shared" si="9"/>
        <v>0</v>
      </c>
      <c r="I87" s="17" t="s">
        <v>804</v>
      </c>
      <c r="J87" s="48"/>
      <c r="K87" s="17"/>
      <c r="L87" s="49"/>
    </row>
    <row r="88" spans="1:12" x14ac:dyDescent="0.25">
      <c r="A88" s="10">
        <v>17</v>
      </c>
      <c r="B88" s="48">
        <f t="shared" si="11"/>
        <v>44740</v>
      </c>
      <c r="C88" s="17">
        <v>220</v>
      </c>
      <c r="D88" s="17">
        <v>220</v>
      </c>
      <c r="E88" s="16">
        <v>44740</v>
      </c>
      <c r="F88" t="s">
        <v>59</v>
      </c>
      <c r="H88" s="17">
        <f t="shared" si="9"/>
        <v>0</v>
      </c>
      <c r="I88" s="17" t="s">
        <v>804</v>
      </c>
      <c r="J88" s="48"/>
      <c r="K88" s="17"/>
      <c r="L88" s="49"/>
    </row>
    <row r="89" spans="1:12" x14ac:dyDescent="0.25">
      <c r="A89" s="10">
        <v>18</v>
      </c>
      <c r="B89" s="48">
        <f t="shared" ref="B89:B94" si="12">B88+7</f>
        <v>44747</v>
      </c>
      <c r="C89" s="17">
        <v>220</v>
      </c>
      <c r="D89" s="17">
        <v>220</v>
      </c>
      <c r="E89" s="16">
        <v>44747</v>
      </c>
      <c r="F89" t="s">
        <v>59</v>
      </c>
      <c r="H89" s="17">
        <f t="shared" si="9"/>
        <v>0</v>
      </c>
      <c r="I89" s="17" t="s">
        <v>804</v>
      </c>
      <c r="J89" s="48"/>
      <c r="K89" s="17"/>
      <c r="L89" s="49"/>
    </row>
    <row r="90" spans="1:12" x14ac:dyDescent="0.25">
      <c r="A90" s="10">
        <v>19</v>
      </c>
      <c r="B90" s="48">
        <f t="shared" si="12"/>
        <v>44754</v>
      </c>
      <c r="C90" s="17">
        <v>220</v>
      </c>
      <c r="D90" s="17">
        <v>220</v>
      </c>
      <c r="E90" s="16">
        <v>44754</v>
      </c>
      <c r="F90" t="s">
        <v>59</v>
      </c>
      <c r="H90" s="17">
        <f t="shared" si="9"/>
        <v>0</v>
      </c>
      <c r="I90" s="17" t="s">
        <v>804</v>
      </c>
      <c r="J90" s="48"/>
      <c r="K90" s="17"/>
      <c r="L90" s="49"/>
    </row>
    <row r="91" spans="1:12" x14ac:dyDescent="0.25">
      <c r="A91" s="10">
        <v>20</v>
      </c>
      <c r="B91" s="48">
        <f t="shared" si="12"/>
        <v>44761</v>
      </c>
      <c r="C91" s="17">
        <v>220</v>
      </c>
      <c r="D91" s="17">
        <v>220</v>
      </c>
      <c r="E91" s="16">
        <v>44761</v>
      </c>
      <c r="F91" t="s">
        <v>59</v>
      </c>
      <c r="H91" s="17">
        <f t="shared" si="9"/>
        <v>0</v>
      </c>
      <c r="I91" s="17" t="s">
        <v>804</v>
      </c>
      <c r="J91" s="48"/>
      <c r="K91" s="17"/>
      <c r="L91" s="49"/>
    </row>
    <row r="92" spans="1:12" x14ac:dyDescent="0.25">
      <c r="A92" s="10">
        <v>21</v>
      </c>
      <c r="B92" s="48">
        <f t="shared" si="12"/>
        <v>44768</v>
      </c>
      <c r="C92" s="17">
        <v>220</v>
      </c>
      <c r="D92" s="17">
        <v>220</v>
      </c>
      <c r="E92" s="16">
        <v>44768</v>
      </c>
      <c r="F92" t="s">
        <v>59</v>
      </c>
      <c r="H92" s="17">
        <f t="shared" si="9"/>
        <v>0</v>
      </c>
      <c r="I92" s="17" t="s">
        <v>804</v>
      </c>
      <c r="J92" s="48"/>
      <c r="K92" s="17"/>
      <c r="L92" s="49"/>
    </row>
    <row r="93" spans="1:12" x14ac:dyDescent="0.25">
      <c r="A93" s="10">
        <v>22</v>
      </c>
      <c r="B93" s="48">
        <f t="shared" si="12"/>
        <v>44775</v>
      </c>
      <c r="C93" s="17">
        <v>220</v>
      </c>
      <c r="D93" s="17">
        <v>220</v>
      </c>
      <c r="E93" s="16">
        <v>44775</v>
      </c>
      <c r="F93" t="s">
        <v>59</v>
      </c>
      <c r="H93" s="17">
        <f t="shared" si="9"/>
        <v>0</v>
      </c>
      <c r="I93" s="17" t="s">
        <v>804</v>
      </c>
      <c r="J93" s="48"/>
      <c r="K93" s="17"/>
      <c r="L93" s="49"/>
    </row>
    <row r="94" spans="1:12" x14ac:dyDescent="0.25">
      <c r="A94" s="10">
        <v>23</v>
      </c>
      <c r="B94" s="48">
        <f t="shared" si="12"/>
        <v>44782</v>
      </c>
      <c r="C94" s="17">
        <v>220</v>
      </c>
      <c r="D94" s="17">
        <v>220</v>
      </c>
      <c r="E94" s="16">
        <v>44782</v>
      </c>
      <c r="F94" t="s">
        <v>59</v>
      </c>
      <c r="H94" s="17">
        <f t="shared" si="9"/>
        <v>0</v>
      </c>
      <c r="I94" s="17" t="s">
        <v>804</v>
      </c>
      <c r="J94" s="48"/>
      <c r="K94" s="17"/>
      <c r="L94" s="49"/>
    </row>
    <row r="95" spans="1:12" x14ac:dyDescent="0.25">
      <c r="A95" s="10">
        <v>24</v>
      </c>
      <c r="B95" s="48">
        <f>B94+7</f>
        <v>44789</v>
      </c>
      <c r="C95" s="17">
        <v>220</v>
      </c>
      <c r="D95" s="17">
        <v>220</v>
      </c>
      <c r="E95" s="16">
        <v>44789</v>
      </c>
      <c r="F95" t="s">
        <v>59</v>
      </c>
      <c r="H95" s="17">
        <f t="shared" si="9"/>
        <v>0</v>
      </c>
      <c r="I95" s="17" t="s">
        <v>804</v>
      </c>
      <c r="J95" s="48"/>
      <c r="K95" s="17"/>
      <c r="L95" s="49"/>
    </row>
    <row r="96" spans="1:12" x14ac:dyDescent="0.25">
      <c r="A96" s="10">
        <v>25</v>
      </c>
      <c r="B96" s="48">
        <f>B95+7</f>
        <v>44796</v>
      </c>
      <c r="C96" s="17">
        <v>240</v>
      </c>
      <c r="D96" s="17">
        <v>240</v>
      </c>
      <c r="E96" s="16">
        <v>44796</v>
      </c>
      <c r="F96" t="s">
        <v>59</v>
      </c>
      <c r="H96" s="17">
        <f t="shared" si="9"/>
        <v>0</v>
      </c>
      <c r="I96" s="17" t="s">
        <v>804</v>
      </c>
      <c r="J96" s="48"/>
      <c r="K96" s="17"/>
      <c r="L96" s="49"/>
    </row>
    <row r="97" spans="1:12" x14ac:dyDescent="0.25">
      <c r="A97" s="10">
        <v>26</v>
      </c>
      <c r="B97" s="48">
        <f>B96+7</f>
        <v>44803</v>
      </c>
      <c r="C97" s="17">
        <v>240</v>
      </c>
      <c r="D97" s="17">
        <v>240</v>
      </c>
      <c r="E97" s="16">
        <v>44803</v>
      </c>
      <c r="F97" t="s">
        <v>59</v>
      </c>
      <c r="H97" s="17">
        <f t="shared" si="9"/>
        <v>0</v>
      </c>
      <c r="I97" s="17" t="s">
        <v>804</v>
      </c>
      <c r="J97" s="48"/>
      <c r="K97" s="17"/>
      <c r="L97" s="49"/>
    </row>
    <row r="98" spans="1:12" x14ac:dyDescent="0.25">
      <c r="A98" s="10">
        <v>27</v>
      </c>
      <c r="B98" s="48">
        <f>B97+7</f>
        <v>44810</v>
      </c>
      <c r="C98" s="17">
        <v>240</v>
      </c>
      <c r="D98" s="17">
        <v>240</v>
      </c>
      <c r="E98" s="16">
        <v>44810</v>
      </c>
      <c r="F98" t="s">
        <v>59</v>
      </c>
      <c r="H98" s="17">
        <f t="shared" si="9"/>
        <v>0</v>
      </c>
      <c r="I98" s="17" t="s">
        <v>804</v>
      </c>
      <c r="J98" s="48"/>
      <c r="K98" s="17"/>
      <c r="L98" s="49"/>
    </row>
    <row r="99" spans="1:12" x14ac:dyDescent="0.25">
      <c r="A99" s="10">
        <v>28</v>
      </c>
      <c r="B99" s="48">
        <f t="shared" ref="B99:B108" si="13">B98+7</f>
        <v>44817</v>
      </c>
      <c r="C99" s="17">
        <v>240</v>
      </c>
      <c r="D99" s="17">
        <v>240</v>
      </c>
      <c r="E99" s="16">
        <v>44817</v>
      </c>
      <c r="F99" t="s">
        <v>59</v>
      </c>
      <c r="H99" s="17">
        <f t="shared" si="9"/>
        <v>0</v>
      </c>
      <c r="I99" s="17" t="s">
        <v>804</v>
      </c>
      <c r="J99" s="48"/>
      <c r="K99" s="17"/>
      <c r="L99" s="49"/>
    </row>
    <row r="100" spans="1:12" x14ac:dyDescent="0.25">
      <c r="A100" s="10">
        <v>29</v>
      </c>
      <c r="B100" s="48">
        <f t="shared" si="13"/>
        <v>44824</v>
      </c>
      <c r="C100" s="17">
        <v>240</v>
      </c>
      <c r="D100" s="17">
        <v>240</v>
      </c>
      <c r="E100" s="16">
        <v>44824</v>
      </c>
      <c r="F100" t="s">
        <v>59</v>
      </c>
      <c r="H100" s="17">
        <f t="shared" si="9"/>
        <v>0</v>
      </c>
      <c r="I100" s="17" t="s">
        <v>804</v>
      </c>
      <c r="J100" s="48"/>
      <c r="K100" s="17"/>
      <c r="L100" s="49"/>
    </row>
    <row r="101" spans="1:12" x14ac:dyDescent="0.25">
      <c r="A101" s="10">
        <v>30</v>
      </c>
      <c r="B101" s="48">
        <f t="shared" si="13"/>
        <v>44831</v>
      </c>
      <c r="C101" s="17">
        <v>240</v>
      </c>
      <c r="D101" s="17">
        <v>240</v>
      </c>
      <c r="E101" s="16">
        <v>44831</v>
      </c>
      <c r="F101" t="s">
        <v>59</v>
      </c>
      <c r="H101" s="17">
        <f t="shared" si="9"/>
        <v>0</v>
      </c>
      <c r="I101" s="17" t="s">
        <v>804</v>
      </c>
      <c r="J101" s="48"/>
      <c r="K101" s="17"/>
      <c r="L101" s="49"/>
    </row>
    <row r="102" spans="1:12" x14ac:dyDescent="0.25">
      <c r="A102" s="10">
        <v>31</v>
      </c>
      <c r="B102" s="48">
        <f t="shared" si="13"/>
        <v>44838</v>
      </c>
      <c r="C102" s="17">
        <v>240</v>
      </c>
      <c r="D102" s="17">
        <v>240</v>
      </c>
      <c r="E102" s="16">
        <v>44838</v>
      </c>
      <c r="F102" t="s">
        <v>59</v>
      </c>
      <c r="H102" s="17">
        <f t="shared" si="9"/>
        <v>0</v>
      </c>
      <c r="I102" s="17" t="s">
        <v>804</v>
      </c>
      <c r="J102" s="48"/>
      <c r="K102" s="17"/>
      <c r="L102" s="49"/>
    </row>
    <row r="103" spans="1:12" x14ac:dyDescent="0.25">
      <c r="A103" s="10">
        <v>32</v>
      </c>
      <c r="B103" s="48">
        <f t="shared" si="13"/>
        <v>44845</v>
      </c>
      <c r="C103" s="17">
        <v>240</v>
      </c>
      <c r="D103" s="17">
        <v>240</v>
      </c>
      <c r="E103" s="16">
        <v>44845</v>
      </c>
      <c r="F103" t="s">
        <v>59</v>
      </c>
      <c r="H103" s="17">
        <f t="shared" si="9"/>
        <v>0</v>
      </c>
      <c r="I103" s="17" t="s">
        <v>804</v>
      </c>
      <c r="J103" s="48"/>
      <c r="K103" s="17"/>
      <c r="L103" s="49"/>
    </row>
    <row r="104" spans="1:12" x14ac:dyDescent="0.25">
      <c r="A104" s="10">
        <v>33</v>
      </c>
      <c r="B104" s="48">
        <f t="shared" si="13"/>
        <v>44852</v>
      </c>
      <c r="C104" s="17">
        <v>240</v>
      </c>
      <c r="D104" s="17">
        <v>240</v>
      </c>
      <c r="E104" s="16">
        <v>44852</v>
      </c>
      <c r="F104" t="s">
        <v>59</v>
      </c>
      <c r="H104" s="17">
        <f t="shared" si="9"/>
        <v>0</v>
      </c>
      <c r="I104" s="17" t="s">
        <v>804</v>
      </c>
      <c r="J104" s="48"/>
      <c r="K104" s="17"/>
      <c r="L104" s="49"/>
    </row>
    <row r="105" spans="1:12" x14ac:dyDescent="0.25">
      <c r="A105" s="10">
        <v>34</v>
      </c>
      <c r="B105" s="48">
        <f t="shared" si="13"/>
        <v>44859</v>
      </c>
      <c r="C105" s="17">
        <v>240</v>
      </c>
      <c r="D105" s="17">
        <v>240</v>
      </c>
      <c r="E105" s="16">
        <v>44859</v>
      </c>
      <c r="F105" t="s">
        <v>59</v>
      </c>
      <c r="H105" s="17">
        <f t="shared" si="9"/>
        <v>0</v>
      </c>
      <c r="I105" s="17" t="s">
        <v>804</v>
      </c>
      <c r="J105" s="48"/>
      <c r="K105" s="17"/>
      <c r="L105" s="49"/>
    </row>
    <row r="106" spans="1:12" x14ac:dyDescent="0.25">
      <c r="A106" s="10">
        <v>35</v>
      </c>
      <c r="B106" s="48">
        <f t="shared" si="13"/>
        <v>44866</v>
      </c>
      <c r="C106" s="17">
        <v>240</v>
      </c>
      <c r="D106" s="17">
        <v>240</v>
      </c>
      <c r="E106" s="16">
        <v>44866</v>
      </c>
      <c r="F106" t="s">
        <v>59</v>
      </c>
      <c r="H106" s="17">
        <f t="shared" si="9"/>
        <v>0</v>
      </c>
      <c r="I106" s="17" t="s">
        <v>804</v>
      </c>
      <c r="J106" s="48"/>
      <c r="K106" s="17"/>
      <c r="L106" s="49"/>
    </row>
    <row r="107" spans="1:12" x14ac:dyDescent="0.25">
      <c r="A107" s="10">
        <v>36</v>
      </c>
      <c r="B107" s="48">
        <f t="shared" si="13"/>
        <v>44873</v>
      </c>
      <c r="C107" s="17">
        <v>240</v>
      </c>
      <c r="D107" s="17">
        <v>240</v>
      </c>
      <c r="E107" s="16">
        <v>44873</v>
      </c>
      <c r="F107" t="s">
        <v>59</v>
      </c>
      <c r="H107" s="17">
        <f t="shared" si="9"/>
        <v>0</v>
      </c>
      <c r="I107" s="17" t="s">
        <v>804</v>
      </c>
      <c r="J107" s="48"/>
      <c r="K107" s="17"/>
      <c r="L107" s="49"/>
    </row>
    <row r="108" spans="1:12" x14ac:dyDescent="0.25">
      <c r="A108" s="10">
        <v>37</v>
      </c>
      <c r="B108" s="48">
        <f t="shared" si="13"/>
        <v>44880</v>
      </c>
      <c r="C108" s="17">
        <v>240</v>
      </c>
      <c r="D108" s="17">
        <v>240</v>
      </c>
      <c r="E108" s="16">
        <v>44880</v>
      </c>
      <c r="F108" t="s">
        <v>59</v>
      </c>
      <c r="H108" s="17">
        <f t="shared" si="9"/>
        <v>0</v>
      </c>
      <c r="I108" s="17" t="s">
        <v>804</v>
      </c>
      <c r="J108" s="48"/>
      <c r="K108" s="17"/>
      <c r="L108" s="49"/>
    </row>
    <row r="109" spans="1:12" x14ac:dyDescent="0.25">
      <c r="A109" s="10">
        <v>38</v>
      </c>
      <c r="B109" s="48">
        <f t="shared" ref="B109:B114" si="14">B108+7</f>
        <v>44887</v>
      </c>
      <c r="C109" s="17">
        <v>240</v>
      </c>
      <c r="D109" s="17">
        <v>240</v>
      </c>
      <c r="E109" s="16">
        <v>44885</v>
      </c>
      <c r="F109" t="s">
        <v>59</v>
      </c>
      <c r="H109" s="17">
        <f t="shared" si="9"/>
        <v>0</v>
      </c>
      <c r="I109" s="17" t="s">
        <v>804</v>
      </c>
      <c r="J109" s="48"/>
      <c r="K109" s="17"/>
      <c r="L109" s="49"/>
    </row>
    <row r="110" spans="1:12" x14ac:dyDescent="0.25">
      <c r="A110" s="10">
        <v>39</v>
      </c>
      <c r="B110" s="48">
        <f t="shared" si="14"/>
        <v>44894</v>
      </c>
      <c r="C110" s="17">
        <v>240</v>
      </c>
      <c r="D110" s="17">
        <v>240</v>
      </c>
      <c r="E110" s="16">
        <v>44894</v>
      </c>
      <c r="F110" t="s">
        <v>59</v>
      </c>
      <c r="H110" s="17">
        <f t="shared" si="9"/>
        <v>0</v>
      </c>
      <c r="I110" s="17" t="s">
        <v>804</v>
      </c>
      <c r="J110" s="48"/>
      <c r="K110" s="17"/>
      <c r="L110" s="49"/>
    </row>
    <row r="111" spans="1:12" x14ac:dyDescent="0.25">
      <c r="A111" s="10">
        <v>40</v>
      </c>
      <c r="B111" s="48">
        <f t="shared" si="14"/>
        <v>44901</v>
      </c>
      <c r="C111" s="17">
        <v>240</v>
      </c>
      <c r="D111" s="17">
        <v>240</v>
      </c>
      <c r="E111" s="16">
        <v>44901</v>
      </c>
      <c r="F111" t="s">
        <v>59</v>
      </c>
      <c r="H111" s="17">
        <f t="shared" si="9"/>
        <v>0</v>
      </c>
      <c r="I111" s="17" t="s">
        <v>804</v>
      </c>
      <c r="J111" s="48"/>
      <c r="K111" s="17"/>
      <c r="L111" s="49"/>
    </row>
    <row r="112" spans="1:12" x14ac:dyDescent="0.25">
      <c r="A112" s="10">
        <v>41</v>
      </c>
      <c r="B112" s="48">
        <f t="shared" si="14"/>
        <v>44908</v>
      </c>
      <c r="C112" s="17">
        <v>240</v>
      </c>
      <c r="D112" s="17">
        <v>240</v>
      </c>
      <c r="E112" s="16">
        <v>44908</v>
      </c>
      <c r="F112" t="s">
        <v>59</v>
      </c>
      <c r="H112" s="17">
        <f t="shared" si="9"/>
        <v>0</v>
      </c>
      <c r="I112" s="17" t="s">
        <v>804</v>
      </c>
      <c r="J112" s="48"/>
      <c r="K112" s="17"/>
      <c r="L112" s="49"/>
    </row>
    <row r="113" spans="1:12" x14ac:dyDescent="0.25">
      <c r="A113" s="10">
        <v>42</v>
      </c>
      <c r="B113" s="48">
        <f t="shared" si="14"/>
        <v>44915</v>
      </c>
      <c r="C113" s="17">
        <v>240</v>
      </c>
      <c r="D113" s="17">
        <v>240</v>
      </c>
      <c r="E113" s="16">
        <v>44915</v>
      </c>
      <c r="F113" t="s">
        <v>59</v>
      </c>
      <c r="H113" s="17">
        <f t="shared" si="9"/>
        <v>0</v>
      </c>
      <c r="I113" s="17" t="s">
        <v>804</v>
      </c>
      <c r="J113" s="48"/>
      <c r="K113" s="17"/>
      <c r="L113" s="49"/>
    </row>
    <row r="114" spans="1:12" x14ac:dyDescent="0.25">
      <c r="A114" s="10">
        <v>43</v>
      </c>
      <c r="B114" s="48">
        <f t="shared" si="14"/>
        <v>44922</v>
      </c>
      <c r="C114" s="17">
        <v>240</v>
      </c>
      <c r="D114" s="17">
        <v>240</v>
      </c>
      <c r="E114" s="16">
        <v>44923</v>
      </c>
      <c r="F114" t="s">
        <v>59</v>
      </c>
      <c r="H114" s="17">
        <f t="shared" si="9"/>
        <v>0</v>
      </c>
      <c r="I114" s="17" t="s">
        <v>804</v>
      </c>
      <c r="J114" s="48"/>
      <c r="K114" s="17"/>
      <c r="L114" s="49"/>
    </row>
    <row r="115" spans="1:12" x14ac:dyDescent="0.25">
      <c r="A115" s="10">
        <v>44</v>
      </c>
      <c r="B115" s="48">
        <f>B114+7</f>
        <v>44929</v>
      </c>
      <c r="C115" s="17">
        <v>240</v>
      </c>
      <c r="D115" s="17">
        <v>240</v>
      </c>
      <c r="E115" s="16">
        <v>44928</v>
      </c>
      <c r="F115" t="s">
        <v>59</v>
      </c>
      <c r="H115" s="17">
        <f t="shared" si="9"/>
        <v>0</v>
      </c>
      <c r="I115" s="17" t="s">
        <v>804</v>
      </c>
      <c r="J115" s="48"/>
      <c r="K115" s="17"/>
      <c r="L115" s="49"/>
    </row>
    <row r="116" spans="1:12" x14ac:dyDescent="0.25">
      <c r="A116"/>
      <c r="B116" s="50"/>
      <c r="J116" s="48"/>
      <c r="K116" s="17"/>
      <c r="L116" s="49"/>
    </row>
    <row r="117" spans="1:12" x14ac:dyDescent="0.25">
      <c r="A117"/>
      <c r="B117" s="50"/>
      <c r="J117" s="48"/>
      <c r="K117" s="17"/>
      <c r="L117" s="49"/>
    </row>
    <row r="118" spans="1:12" x14ac:dyDescent="0.25">
      <c r="A118"/>
      <c r="B118" s="50"/>
      <c r="J118" s="48"/>
      <c r="K118" s="17"/>
      <c r="L118" s="49"/>
    </row>
    <row r="119" spans="1:12" x14ac:dyDescent="0.25">
      <c r="A119"/>
      <c r="B119" s="50"/>
      <c r="J119" s="48"/>
      <c r="K119" s="17"/>
      <c r="L119" s="49"/>
    </row>
    <row r="120" spans="1:12" x14ac:dyDescent="0.25">
      <c r="A120"/>
      <c r="B120" s="50"/>
      <c r="J120" s="48"/>
      <c r="K120" s="17"/>
      <c r="L120" s="49"/>
    </row>
    <row r="121" spans="1:12" x14ac:dyDescent="0.25">
      <c r="B121" s="50"/>
      <c r="J121" s="48"/>
      <c r="K121" s="17"/>
      <c r="L121" s="49"/>
    </row>
    <row r="122" spans="1:12" x14ac:dyDescent="0.25">
      <c r="B122" s="50"/>
      <c r="J122" s="48"/>
      <c r="K122" s="17"/>
      <c r="L122" s="49"/>
    </row>
    <row r="123" spans="1:12" x14ac:dyDescent="0.25">
      <c r="B123" s="50"/>
      <c r="J123" s="48"/>
      <c r="K123" s="17"/>
      <c r="L123" s="49"/>
    </row>
    <row r="124" spans="1:12" x14ac:dyDescent="0.25">
      <c r="B124" s="50"/>
      <c r="J124" s="48"/>
      <c r="K124" s="17"/>
      <c r="L124" s="49"/>
    </row>
    <row r="125" spans="1:12" x14ac:dyDescent="0.25">
      <c r="B125" s="50"/>
      <c r="J125" s="48"/>
      <c r="K125" s="17"/>
      <c r="L125" s="49"/>
    </row>
    <row r="126" spans="1:12" x14ac:dyDescent="0.25">
      <c r="B126" s="50"/>
      <c r="J126" s="48"/>
      <c r="K126" s="17"/>
      <c r="L126" s="49"/>
    </row>
    <row r="127" spans="1:12" x14ac:dyDescent="0.25">
      <c r="B127" s="50"/>
      <c r="J127" s="48"/>
      <c r="K127" s="17"/>
      <c r="L127" s="49"/>
    </row>
    <row r="128" spans="1:12" x14ac:dyDescent="0.25">
      <c r="B128" s="50"/>
      <c r="J128" s="48"/>
      <c r="K128" s="17"/>
      <c r="L128" s="49"/>
    </row>
    <row r="129" spans="1:12" x14ac:dyDescent="0.25">
      <c r="B129" s="50"/>
      <c r="J129" s="48"/>
      <c r="K129" s="17"/>
      <c r="L129" s="49"/>
    </row>
    <row r="130" spans="1:12" x14ac:dyDescent="0.25">
      <c r="B130" s="50"/>
      <c r="J130" s="48"/>
      <c r="K130" s="17"/>
      <c r="L130" s="49"/>
    </row>
    <row r="131" spans="1:12" x14ac:dyDescent="0.25">
      <c r="B131" s="50"/>
      <c r="J131" s="48"/>
      <c r="K131" s="17"/>
      <c r="L131" s="49"/>
    </row>
    <row r="132" spans="1:12" x14ac:dyDescent="0.25">
      <c r="B132" s="50"/>
      <c r="J132" s="48"/>
      <c r="K132" s="17"/>
      <c r="L132" s="49"/>
    </row>
    <row r="133" spans="1:12" x14ac:dyDescent="0.25">
      <c r="B133" s="50"/>
      <c r="J133" s="48"/>
      <c r="K133" s="17"/>
      <c r="L133" s="49"/>
    </row>
    <row r="134" spans="1:12" x14ac:dyDescent="0.25">
      <c r="B134" s="50"/>
      <c r="J134" s="48"/>
      <c r="K134" s="17"/>
      <c r="L134" s="49"/>
    </row>
    <row r="135" spans="1:12" x14ac:dyDescent="0.25">
      <c r="B135" s="50"/>
      <c r="J135" s="48"/>
      <c r="K135" s="17"/>
      <c r="L135" s="49"/>
    </row>
    <row r="136" spans="1:12" x14ac:dyDescent="0.25">
      <c r="A136" s="10" t="s">
        <v>18</v>
      </c>
      <c r="B136" s="50" t="str">
        <f>IF($A136&lt;&gt;"",IF(_term=26,IF(A136=1,first_payment,B135+14),IF(_term=52,IF(A136=1,first_payment,B135+7),DATE(YEAR(first_payment),MONTH(first_payment)+(A136-1)*per_year,IF(_term=24,IF(1-MOD(A136,2)=1,DAY(first_payment)+14,DAY(first_payment)),DAY(first_payment))))),"")</f>
        <v/>
      </c>
      <c r="H136" t="str">
        <f>IF($A136&lt;&gt;"",$H135-$D136,"")</f>
        <v/>
      </c>
      <c r="J136" s="48"/>
      <c r="K136" s="17"/>
      <c r="L136" s="49"/>
    </row>
    <row r="137" spans="1:12" x14ac:dyDescent="0.25">
      <c r="A137" s="10" t="s">
        <v>18</v>
      </c>
      <c r="B137" s="50" t="str">
        <f>IF($A137&lt;&gt;"",IF(_term=26,IF(A137=1,first_payment,B136+14),IF(_term=52,IF(A137=1,first_payment,B136+7),DATE(YEAR(first_payment),MONTH(first_payment)+(A137-1)*per_year,IF(_term=24,IF(1-MOD(A137,2)=1,DAY(first_payment)+14,DAY(first_payment)),DAY(first_payment))))),"")</f>
        <v/>
      </c>
      <c r="H137" t="str">
        <f>IF($A137&lt;&gt;"",$H136-$D137,"")</f>
        <v/>
      </c>
      <c r="J137" s="48"/>
      <c r="K137" s="17"/>
      <c r="L137" s="49"/>
    </row>
    <row r="138" spans="1:12" x14ac:dyDescent="0.25">
      <c r="A138" s="10" t="s">
        <v>18</v>
      </c>
      <c r="B138" s="50" t="str">
        <f>IF($A138&lt;&gt;"",IF(_term=26,IF(A138=1,first_payment,B137+14),IF(_term=52,IF(A138=1,first_payment,B137+7),DATE(YEAR(first_payment),MONTH(first_payment)+(A138-1)*per_year,IF(_term=24,IF(1-MOD(A138,2)=1,DAY(first_payment)+14,DAY(first_payment)),DAY(first_payment))))),"")</f>
        <v/>
      </c>
      <c r="H138" t="str">
        <f>IF($A138&lt;&gt;"",$H137-$D138,"")</f>
        <v/>
      </c>
      <c r="J138" s="48"/>
      <c r="K138" s="17"/>
      <c r="L138" s="49"/>
    </row>
    <row r="139" spans="1:12" x14ac:dyDescent="0.25">
      <c r="A139" s="10" t="s">
        <v>18</v>
      </c>
      <c r="B139" s="50" t="str">
        <f>IF($A139&lt;&gt;"",IF(_term=26,IF(A139=1,first_payment,B138+14),IF(_term=52,IF(A139=1,first_payment,B138+7),DATE(YEAR(first_payment),MONTH(first_payment)+(A139-1)*per_year,IF(_term=24,IF(1-MOD(A139,2)=1,DAY(first_payment)+14,DAY(first_payment)),DAY(first_payment))))),"")</f>
        <v/>
      </c>
      <c r="H139" t="str">
        <f>IF($A139&lt;&gt;"",$H138-$D139,"")</f>
        <v/>
      </c>
      <c r="J139" s="48"/>
      <c r="K139" s="17"/>
      <c r="L139" s="49"/>
    </row>
    <row r="140" spans="1:12" ht="15" customHeight="1" x14ac:dyDescent="0.25">
      <c r="J140" s="48"/>
      <c r="K140" s="17"/>
      <c r="L140" s="49"/>
    </row>
    <row r="141" spans="1:12" ht="15" customHeight="1" x14ac:dyDescent="0.25">
      <c r="J141" s="48"/>
      <c r="K141" s="17"/>
      <c r="L141" s="49"/>
    </row>
    <row r="142" spans="1:12" ht="15" customHeight="1" x14ac:dyDescent="0.25">
      <c r="J142" s="48"/>
      <c r="K142" s="17"/>
      <c r="L142" s="49"/>
    </row>
    <row r="143" spans="1:12" ht="15" customHeight="1" x14ac:dyDescent="0.25">
      <c r="J143" s="48"/>
      <c r="K143" s="17"/>
      <c r="L143" s="49"/>
    </row>
    <row r="144" spans="1:12" ht="15" customHeight="1" x14ac:dyDescent="0.25">
      <c r="J144" s="48"/>
      <c r="K144" s="17"/>
      <c r="L144" s="49"/>
    </row>
    <row r="145" spans="10:12" ht="15" customHeight="1" x14ac:dyDescent="0.25">
      <c r="J145" s="48"/>
      <c r="K145" s="17"/>
      <c r="L145" s="49"/>
    </row>
    <row r="146" spans="10:12" ht="15" customHeight="1" x14ac:dyDescent="0.25">
      <c r="J146" s="48"/>
      <c r="K146" s="17"/>
      <c r="L146" s="49"/>
    </row>
    <row r="147" spans="10:12" ht="15" customHeight="1" x14ac:dyDescent="0.25">
      <c r="J147" s="48"/>
      <c r="K147" s="17"/>
      <c r="L147" s="49"/>
    </row>
    <row r="148" spans="10:12" ht="15" customHeight="1" x14ac:dyDescent="0.25">
      <c r="J148" s="48"/>
      <c r="K148" s="17"/>
      <c r="L148" s="49"/>
    </row>
    <row r="149" spans="10:12" ht="15" customHeight="1" x14ac:dyDescent="0.25">
      <c r="J149" s="48"/>
      <c r="K149" s="17"/>
      <c r="L149" s="49"/>
    </row>
    <row r="150" spans="10:12" ht="15" customHeight="1" x14ac:dyDescent="0.25">
      <c r="J150" s="48"/>
      <c r="K150" s="17"/>
      <c r="L150" s="49"/>
    </row>
    <row r="151" spans="10:12" ht="15" customHeight="1" x14ac:dyDescent="0.25">
      <c r="J151" s="48"/>
      <c r="K151" s="17"/>
      <c r="L151" s="49"/>
    </row>
    <row r="152" spans="10:12" ht="15" customHeight="1" x14ac:dyDescent="0.25">
      <c r="J152" s="48"/>
      <c r="K152" s="17"/>
      <c r="L152" s="49"/>
    </row>
    <row r="153" spans="10:12" ht="15" customHeight="1" x14ac:dyDescent="0.25">
      <c r="J153" s="48"/>
      <c r="K153" s="17"/>
      <c r="L153" s="49"/>
    </row>
    <row r="154" spans="10:12" ht="15" customHeight="1" x14ac:dyDescent="0.25">
      <c r="J154" s="48"/>
      <c r="K154" s="17"/>
      <c r="L154" s="49"/>
    </row>
    <row r="155" spans="10:12" ht="15" customHeight="1" x14ac:dyDescent="0.25">
      <c r="J155" s="48"/>
      <c r="K155" s="17"/>
      <c r="L155" s="49"/>
    </row>
    <row r="156" spans="10:12" ht="15" customHeight="1" x14ac:dyDescent="0.25">
      <c r="J156" s="48"/>
      <c r="K156" s="17"/>
      <c r="L156" s="49"/>
    </row>
    <row r="157" spans="10:12" ht="15" customHeight="1" x14ac:dyDescent="0.25">
      <c r="J157" s="48"/>
      <c r="K157" s="17"/>
      <c r="L157" s="49"/>
    </row>
    <row r="158" spans="10:12" ht="15" customHeight="1" x14ac:dyDescent="0.25">
      <c r="J158" s="48"/>
      <c r="K158" s="17"/>
      <c r="L158" s="49"/>
    </row>
    <row r="159" spans="10:12" ht="15" customHeight="1" x14ac:dyDescent="0.25">
      <c r="J159" s="48"/>
      <c r="K159" s="17"/>
      <c r="L159" s="49"/>
    </row>
    <row r="160" spans="10:12" ht="15" customHeight="1" x14ac:dyDescent="0.25">
      <c r="J160" s="48"/>
      <c r="K160" s="17"/>
      <c r="L160" s="49"/>
    </row>
    <row r="161" spans="10:12" ht="15" customHeight="1" x14ac:dyDescent="0.25">
      <c r="J161" s="48"/>
      <c r="K161" s="17"/>
      <c r="L161" s="49"/>
    </row>
    <row r="162" spans="10:12" ht="15" customHeight="1" x14ac:dyDescent="0.25">
      <c r="J162" s="48"/>
      <c r="K162" s="17"/>
      <c r="L162" s="49"/>
    </row>
    <row r="163" spans="10:12" ht="15" customHeight="1" x14ac:dyDescent="0.25">
      <c r="J163" s="48"/>
      <c r="K163" s="17"/>
      <c r="L163" s="49"/>
    </row>
    <row r="164" spans="10:12" ht="15" customHeight="1" x14ac:dyDescent="0.25">
      <c r="J164" s="48"/>
      <c r="K164" s="17"/>
      <c r="L164" s="49"/>
    </row>
    <row r="165" spans="10:12" ht="15" customHeight="1" x14ac:dyDescent="0.25">
      <c r="J165" s="48"/>
      <c r="K165" s="17"/>
      <c r="L165" s="49"/>
    </row>
    <row r="166" spans="10:12" ht="15" customHeight="1" x14ac:dyDescent="0.25">
      <c r="J166" s="48"/>
      <c r="K166" s="17"/>
      <c r="L166" s="49"/>
    </row>
    <row r="167" spans="10:12" ht="15" customHeight="1" x14ac:dyDescent="0.25">
      <c r="J167" s="48"/>
      <c r="K167" s="17"/>
      <c r="L167" s="49"/>
    </row>
    <row r="168" spans="10:12" ht="15" customHeight="1" x14ac:dyDescent="0.25">
      <c r="J168" s="48"/>
      <c r="K168" s="17"/>
      <c r="L168" s="49"/>
    </row>
    <row r="169" spans="10:12" ht="15" customHeight="1" x14ac:dyDescent="0.25">
      <c r="J169" s="48"/>
      <c r="K169" s="17"/>
      <c r="L169" s="49"/>
    </row>
    <row r="170" spans="10:12" ht="15" customHeight="1" x14ac:dyDescent="0.25">
      <c r="J170" s="48"/>
      <c r="K170" s="17"/>
      <c r="L170" s="49"/>
    </row>
    <row r="171" spans="10:12" ht="15" customHeight="1" x14ac:dyDescent="0.25">
      <c r="J171" s="48"/>
      <c r="K171" s="17"/>
      <c r="L171" s="49"/>
    </row>
    <row r="172" spans="10:12" ht="15" customHeight="1" x14ac:dyDescent="0.25">
      <c r="J172" s="48"/>
      <c r="K172" s="17"/>
      <c r="L172" s="49"/>
    </row>
    <row r="173" spans="10:12" ht="15" customHeight="1" x14ac:dyDescent="0.25">
      <c r="J173" s="48"/>
      <c r="K173" s="17"/>
      <c r="L173" s="49"/>
    </row>
    <row r="174" spans="10:12" ht="15" customHeight="1" x14ac:dyDescent="0.25">
      <c r="J174" s="48"/>
      <c r="K174" s="17"/>
      <c r="L174" s="49"/>
    </row>
    <row r="175" spans="10:12" ht="15" customHeight="1" x14ac:dyDescent="0.25">
      <c r="J175" s="48"/>
      <c r="K175" s="17"/>
      <c r="L175" s="49"/>
    </row>
    <row r="176" spans="10:12" ht="15" customHeight="1" x14ac:dyDescent="0.25">
      <c r="J176" s="48"/>
      <c r="K176" s="17"/>
      <c r="L176" s="49"/>
    </row>
    <row r="177" spans="10:12" ht="15" customHeight="1" x14ac:dyDescent="0.25">
      <c r="J177" s="48"/>
      <c r="K177" s="17"/>
      <c r="L177" s="49"/>
    </row>
    <row r="178" spans="10:12" ht="15" customHeight="1" x14ac:dyDescent="0.25">
      <c r="J178" s="48"/>
      <c r="K178" s="17"/>
      <c r="L178" s="49"/>
    </row>
    <row r="179" spans="10:12" ht="15" customHeight="1" x14ac:dyDescent="0.25">
      <c r="J179" s="48"/>
      <c r="K179" s="17"/>
      <c r="L179" s="49"/>
    </row>
    <row r="180" spans="10:12" ht="15" customHeight="1" x14ac:dyDescent="0.25">
      <c r="J180" s="48"/>
      <c r="K180" s="17"/>
      <c r="L180" s="49"/>
    </row>
    <row r="181" spans="10:12" ht="15" customHeight="1" x14ac:dyDescent="0.25">
      <c r="J181" s="48"/>
      <c r="K181" s="17"/>
      <c r="L181" s="49"/>
    </row>
    <row r="182" spans="10:12" ht="15" customHeight="1" x14ac:dyDescent="0.25">
      <c r="J182" s="48"/>
      <c r="K182" s="17"/>
      <c r="L182" s="49"/>
    </row>
    <row r="183" spans="10:12" ht="15" customHeight="1" x14ac:dyDescent="0.25">
      <c r="J183" s="48"/>
      <c r="K183" s="17"/>
      <c r="L183" s="49"/>
    </row>
    <row r="184" spans="10:12" ht="15" customHeight="1" x14ac:dyDescent="0.25">
      <c r="J184" s="48"/>
      <c r="K184" s="17"/>
      <c r="L184" s="49"/>
    </row>
    <row r="185" spans="10:12" ht="15" customHeight="1" x14ac:dyDescent="0.25">
      <c r="J185" s="48"/>
      <c r="K185" s="17"/>
      <c r="L185" s="49"/>
    </row>
    <row r="186" spans="10:12" ht="15" customHeight="1" x14ac:dyDescent="0.25">
      <c r="J186" s="48"/>
      <c r="K186" s="17"/>
      <c r="L186" s="49"/>
    </row>
    <row r="187" spans="10:12" ht="15" customHeight="1" x14ac:dyDescent="0.25">
      <c r="J187" s="48"/>
      <c r="K187" s="17"/>
      <c r="L187" s="49"/>
    </row>
    <row r="188" spans="10:12" ht="15" customHeight="1" x14ac:dyDescent="0.25">
      <c r="J188" s="48"/>
      <c r="K188" s="17"/>
      <c r="L188" s="49"/>
    </row>
    <row r="189" spans="10:12" ht="15" customHeight="1" x14ac:dyDescent="0.25">
      <c r="J189" s="48"/>
      <c r="K189" s="17"/>
      <c r="L189" s="49"/>
    </row>
    <row r="190" spans="10:12" ht="15" customHeight="1" x14ac:dyDescent="0.25">
      <c r="J190" s="48"/>
      <c r="K190" s="17"/>
      <c r="L190" s="49"/>
    </row>
    <row r="191" spans="10:12" ht="15" customHeight="1" x14ac:dyDescent="0.25">
      <c r="J191" s="48"/>
      <c r="K191" s="17"/>
      <c r="L191" s="49"/>
    </row>
    <row r="192" spans="10:12" ht="15" customHeight="1" x14ac:dyDescent="0.25">
      <c r="J192" s="48"/>
      <c r="K192" s="17"/>
      <c r="L192" s="49"/>
    </row>
    <row r="193" spans="10:12" ht="15" customHeight="1" x14ac:dyDescent="0.25">
      <c r="J193" s="48"/>
      <c r="K193" s="17"/>
      <c r="L193" s="49"/>
    </row>
    <row r="194" spans="10:12" ht="15" customHeight="1" x14ac:dyDescent="0.25">
      <c r="J194" s="48"/>
      <c r="K194" s="17"/>
      <c r="L194" s="49"/>
    </row>
    <row r="195" spans="10:12" ht="15" customHeight="1" x14ac:dyDescent="0.25">
      <c r="J195" s="48"/>
      <c r="K195" s="17"/>
      <c r="L195" s="49"/>
    </row>
    <row r="196" spans="10:12" ht="15" customHeight="1" x14ac:dyDescent="0.25">
      <c r="J196" s="48"/>
      <c r="K196" s="17"/>
      <c r="L196" s="49"/>
    </row>
    <row r="197" spans="10:12" ht="15" customHeight="1" x14ac:dyDescent="0.25">
      <c r="J197" s="48"/>
      <c r="K197" s="17"/>
      <c r="L197" s="49"/>
    </row>
    <row r="198" spans="10:12" ht="15" customHeight="1" x14ac:dyDescent="0.25">
      <c r="J198" s="48"/>
      <c r="K198" s="17"/>
      <c r="L198" s="49"/>
    </row>
    <row r="199" spans="10:12" ht="15" customHeight="1" x14ac:dyDescent="0.25">
      <c r="J199" s="48"/>
      <c r="K199" s="17"/>
      <c r="L199" s="49"/>
    </row>
    <row r="200" spans="10:12" ht="15" customHeight="1" x14ac:dyDescent="0.25">
      <c r="J200" s="48"/>
      <c r="K200" s="17"/>
      <c r="L200" s="49"/>
    </row>
    <row r="201" spans="10:12" ht="15" customHeight="1" x14ac:dyDescent="0.25">
      <c r="J201" s="48"/>
      <c r="K201" s="17"/>
      <c r="L201" s="49"/>
    </row>
    <row r="202" spans="10:12" ht="15" customHeight="1" x14ac:dyDescent="0.25">
      <c r="J202" s="48"/>
      <c r="K202" s="17"/>
      <c r="L202" s="49"/>
    </row>
    <row r="203" spans="10:12" ht="15" customHeight="1" x14ac:dyDescent="0.25">
      <c r="J203" s="48"/>
      <c r="K203" s="17"/>
      <c r="L203" s="49"/>
    </row>
    <row r="204" spans="10:12" ht="15" customHeight="1" x14ac:dyDescent="0.25">
      <c r="J204" s="48"/>
      <c r="K204" s="17"/>
      <c r="L204" s="49"/>
    </row>
    <row r="205" spans="10:12" ht="15" customHeight="1" x14ac:dyDescent="0.25">
      <c r="J205" s="48"/>
      <c r="K205" s="17"/>
      <c r="L205" s="49"/>
    </row>
    <row r="206" spans="10:12" ht="15" customHeight="1" x14ac:dyDescent="0.25">
      <c r="J206" s="48"/>
      <c r="K206" s="17"/>
      <c r="L206" s="49"/>
    </row>
    <row r="207" spans="10:12" ht="15" customHeight="1" x14ac:dyDescent="0.25">
      <c r="J207" s="48"/>
      <c r="K207" s="17"/>
      <c r="L207" s="49"/>
    </row>
    <row r="208" spans="10:12" ht="15" customHeight="1" x14ac:dyDescent="0.25">
      <c r="J208" s="48"/>
      <c r="K208" s="17"/>
      <c r="L208" s="49"/>
    </row>
    <row r="209" spans="10:12" ht="15" customHeight="1" x14ac:dyDescent="0.25">
      <c r="J209" s="48"/>
      <c r="K209" s="17"/>
      <c r="L209" s="49"/>
    </row>
    <row r="210" spans="10:12" ht="15" customHeight="1" x14ac:dyDescent="0.25">
      <c r="J210" s="48"/>
      <c r="K210" s="17"/>
      <c r="L210" s="49"/>
    </row>
    <row r="211" spans="10:12" ht="15" customHeight="1" x14ac:dyDescent="0.25">
      <c r="J211" s="48"/>
      <c r="K211" s="17"/>
      <c r="L211" s="49"/>
    </row>
    <row r="212" spans="10:12" ht="15" customHeight="1" x14ac:dyDescent="0.25">
      <c r="J212" s="48"/>
      <c r="K212" s="17"/>
      <c r="L212" s="49"/>
    </row>
    <row r="213" spans="10:12" ht="15" customHeight="1" x14ac:dyDescent="0.25">
      <c r="J213" s="48"/>
      <c r="K213" s="17"/>
      <c r="L213" s="49"/>
    </row>
    <row r="214" spans="10:12" ht="15" customHeight="1" x14ac:dyDescent="0.25">
      <c r="J214" s="48"/>
      <c r="K214" s="17"/>
      <c r="L214" s="49"/>
    </row>
    <row r="215" spans="10:12" ht="15" customHeight="1" x14ac:dyDescent="0.25">
      <c r="J215" s="48"/>
      <c r="K215" s="17"/>
      <c r="L215" s="49"/>
    </row>
    <row r="216" spans="10:12" ht="15" customHeight="1" x14ac:dyDescent="0.25">
      <c r="J216" s="48"/>
      <c r="K216" s="17"/>
      <c r="L216" s="49"/>
    </row>
    <row r="217" spans="10:12" ht="15" customHeight="1" x14ac:dyDescent="0.25">
      <c r="J217" s="48"/>
      <c r="K217" s="17"/>
      <c r="L217" s="49"/>
    </row>
    <row r="218" spans="10:12" ht="15" customHeight="1" x14ac:dyDescent="0.25">
      <c r="J218" s="48"/>
      <c r="K218" s="17"/>
      <c r="L218" s="49"/>
    </row>
    <row r="219" spans="10:12" ht="15" customHeight="1" x14ac:dyDescent="0.25">
      <c r="J219" s="48"/>
      <c r="K219" s="17"/>
      <c r="L219" s="49"/>
    </row>
    <row r="220" spans="10:12" ht="15" customHeight="1" x14ac:dyDescent="0.25">
      <c r="J220" s="48"/>
      <c r="K220" s="17"/>
      <c r="L220" s="49"/>
    </row>
    <row r="221" spans="10:12" ht="15" customHeight="1" x14ac:dyDescent="0.25">
      <c r="J221" s="48"/>
      <c r="K221" s="17"/>
      <c r="L221" s="49"/>
    </row>
    <row r="222" spans="10:12" ht="15" customHeight="1" x14ac:dyDescent="0.25">
      <c r="J222" s="48"/>
      <c r="K222" s="17"/>
      <c r="L222" s="49"/>
    </row>
    <row r="223" spans="10:12" ht="15" customHeight="1" x14ac:dyDescent="0.25">
      <c r="J223" s="48"/>
      <c r="K223" s="17"/>
      <c r="L223" s="49"/>
    </row>
    <row r="224" spans="10:12" ht="15" customHeight="1" x14ac:dyDescent="0.25">
      <c r="J224" s="48"/>
      <c r="K224" s="17"/>
      <c r="L224" s="49"/>
    </row>
    <row r="225" spans="10:12" ht="15" customHeight="1" x14ac:dyDescent="0.25">
      <c r="J225" s="48"/>
      <c r="K225" s="17"/>
      <c r="L225" s="49"/>
    </row>
    <row r="226" spans="10:12" ht="15" customHeight="1" x14ac:dyDescent="0.25">
      <c r="J226" s="48"/>
      <c r="K226" s="17"/>
      <c r="L226" s="49"/>
    </row>
    <row r="227" spans="10:12" ht="15" customHeight="1" x14ac:dyDescent="0.25">
      <c r="J227" s="48"/>
      <c r="K227" s="17"/>
      <c r="L227" s="49"/>
    </row>
    <row r="228" spans="10:12" ht="15" customHeight="1" x14ac:dyDescent="0.25">
      <c r="J228" s="48"/>
      <c r="K228" s="17"/>
      <c r="L228" s="49"/>
    </row>
    <row r="229" spans="10:12" ht="15" customHeight="1" x14ac:dyDescent="0.25">
      <c r="J229" s="48"/>
      <c r="K229" s="17"/>
      <c r="L229" s="49"/>
    </row>
    <row r="230" spans="10:12" ht="15" customHeight="1" x14ac:dyDescent="0.25">
      <c r="J230" s="48"/>
      <c r="K230" s="17"/>
      <c r="L230" s="49"/>
    </row>
    <row r="231" spans="10:12" ht="15" customHeight="1" x14ac:dyDescent="0.25">
      <c r="J231" s="48"/>
      <c r="K231" s="17"/>
      <c r="L231" s="49"/>
    </row>
    <row r="232" spans="10:12" ht="15" customHeight="1" x14ac:dyDescent="0.25">
      <c r="J232" s="48"/>
      <c r="K232" s="17"/>
      <c r="L232" s="49"/>
    </row>
    <row r="233" spans="10:12" ht="15" customHeight="1" x14ac:dyDescent="0.25">
      <c r="J233" s="48"/>
      <c r="K233" s="17"/>
      <c r="L233" s="49"/>
    </row>
    <row r="234" spans="10:12" ht="15" customHeight="1" x14ac:dyDescent="0.25">
      <c r="J234" s="48"/>
      <c r="K234" s="17"/>
      <c r="L234" s="49"/>
    </row>
    <row r="235" spans="10:12" ht="15" customHeight="1" x14ac:dyDescent="0.25">
      <c r="J235" s="48"/>
      <c r="K235" s="17"/>
      <c r="L235" s="49"/>
    </row>
    <row r="236" spans="10:12" ht="15" customHeight="1" x14ac:dyDescent="0.25">
      <c r="J236" s="48"/>
      <c r="K236" s="17"/>
      <c r="L236" s="49"/>
    </row>
    <row r="237" spans="10:12" ht="15" customHeight="1" x14ac:dyDescent="0.25">
      <c r="J237" s="48"/>
      <c r="K237" s="17"/>
      <c r="L237" s="49"/>
    </row>
    <row r="238" spans="10:12" ht="15" customHeight="1" x14ac:dyDescent="0.25">
      <c r="J238" s="48"/>
      <c r="K238" s="17"/>
      <c r="L238" s="49"/>
    </row>
    <row r="239" spans="10:12" ht="15" customHeight="1" x14ac:dyDescent="0.25">
      <c r="J239" s="48"/>
      <c r="K239" s="17"/>
      <c r="L239" s="49"/>
    </row>
    <row r="240" spans="10:12" ht="15" customHeight="1" x14ac:dyDescent="0.25">
      <c r="J240" s="48"/>
      <c r="K240" s="17"/>
      <c r="L240" s="49"/>
    </row>
    <row r="241" spans="10:12" ht="15" customHeight="1" x14ac:dyDescent="0.25">
      <c r="J241" s="48"/>
      <c r="K241" s="17"/>
      <c r="L241" s="49"/>
    </row>
    <row r="242" spans="10:12" ht="15" customHeight="1" x14ac:dyDescent="0.25">
      <c r="J242" s="48"/>
      <c r="K242" s="17"/>
      <c r="L242" s="49"/>
    </row>
    <row r="243" spans="10:12" ht="15" customHeight="1" x14ac:dyDescent="0.25">
      <c r="J243" s="48"/>
      <c r="K243" s="17"/>
      <c r="L243" s="49"/>
    </row>
    <row r="244" spans="10:12" ht="15" customHeight="1" x14ac:dyDescent="0.25">
      <c r="J244" s="48"/>
      <c r="K244" s="17"/>
      <c r="L244" s="49"/>
    </row>
    <row r="245" spans="10:12" ht="15" customHeight="1" x14ac:dyDescent="0.25">
      <c r="J245" s="48"/>
      <c r="K245" s="17"/>
      <c r="L245" s="49"/>
    </row>
    <row r="246" spans="10:12" ht="15" customHeight="1" x14ac:dyDescent="0.25">
      <c r="J246" s="48"/>
      <c r="K246" s="17"/>
      <c r="L246" s="49"/>
    </row>
    <row r="247" spans="10:12" ht="15" customHeight="1" x14ac:dyDescent="0.25">
      <c r="J247" s="48"/>
      <c r="K247" s="17"/>
      <c r="L247" s="49"/>
    </row>
    <row r="248" spans="10:12" ht="15" customHeight="1" x14ac:dyDescent="0.25">
      <c r="J248" s="48"/>
      <c r="K248" s="17"/>
      <c r="L248" s="49"/>
    </row>
    <row r="249" spans="10:12" ht="15" customHeight="1" x14ac:dyDescent="0.25">
      <c r="J249" s="48"/>
      <c r="K249" s="17"/>
      <c r="L249" s="49"/>
    </row>
    <row r="250" spans="10:12" ht="15" customHeight="1" x14ac:dyDescent="0.25">
      <c r="J250" s="48"/>
      <c r="K250" s="17"/>
      <c r="L250" s="49"/>
    </row>
    <row r="251" spans="10:12" ht="15" customHeight="1" x14ac:dyDescent="0.25">
      <c r="J251" s="48"/>
      <c r="K251" s="17"/>
      <c r="L251" s="49"/>
    </row>
    <row r="252" spans="10:12" ht="15" customHeight="1" x14ac:dyDescent="0.25">
      <c r="J252" s="48"/>
      <c r="K252" s="17"/>
      <c r="L252" s="49"/>
    </row>
    <row r="253" spans="10:12" ht="15" customHeight="1" x14ac:dyDescent="0.25">
      <c r="J253" s="48"/>
      <c r="K253" s="17"/>
      <c r="L253" s="49"/>
    </row>
    <row r="254" spans="10:12" ht="15" customHeight="1" x14ac:dyDescent="0.25">
      <c r="J254" s="48"/>
      <c r="K254" s="17"/>
      <c r="L254" s="49"/>
    </row>
    <row r="255" spans="10:12" ht="15" customHeight="1" x14ac:dyDescent="0.25">
      <c r="J255" s="48"/>
      <c r="K255" s="17"/>
      <c r="L255" s="49"/>
    </row>
    <row r="256" spans="10:12" ht="15" customHeight="1" x14ac:dyDescent="0.25">
      <c r="J256" s="48"/>
      <c r="K256" s="17"/>
      <c r="L256" s="49"/>
    </row>
    <row r="257" spans="10:12" ht="15" customHeight="1" x14ac:dyDescent="0.25">
      <c r="J257" s="48"/>
      <c r="K257" s="17"/>
      <c r="L257" s="49"/>
    </row>
    <row r="258" spans="10:12" ht="15" customHeight="1" x14ac:dyDescent="0.25">
      <c r="J258" s="48"/>
      <c r="K258" s="17"/>
      <c r="L258" s="49"/>
    </row>
    <row r="259" spans="10:12" ht="15" customHeight="1" x14ac:dyDescent="0.25">
      <c r="J259" s="48"/>
      <c r="K259" s="17"/>
      <c r="L259" s="49"/>
    </row>
    <row r="260" spans="10:12" ht="15" customHeight="1" x14ac:dyDescent="0.25">
      <c r="J260" s="48"/>
      <c r="K260" s="17"/>
      <c r="L260" s="49"/>
    </row>
    <row r="261" spans="10:12" ht="15" customHeight="1" x14ac:dyDescent="0.25">
      <c r="J261" s="48"/>
      <c r="K261" s="17"/>
      <c r="L261" s="49"/>
    </row>
    <row r="262" spans="10:12" ht="15" customHeight="1" x14ac:dyDescent="0.25">
      <c r="J262" s="48"/>
      <c r="K262" s="17"/>
      <c r="L262" s="49"/>
    </row>
    <row r="263" spans="10:12" ht="15" customHeight="1" x14ac:dyDescent="0.25">
      <c r="J263" s="48"/>
      <c r="K263" s="17"/>
      <c r="L263" s="49"/>
    </row>
    <row r="264" spans="10:12" ht="15" customHeight="1" x14ac:dyDescent="0.25">
      <c r="J264" s="48"/>
      <c r="K264" s="17"/>
      <c r="L264" s="49"/>
    </row>
    <row r="265" spans="10:12" ht="15" customHeight="1" x14ac:dyDescent="0.25">
      <c r="J265" s="48"/>
      <c r="K265" s="17"/>
      <c r="L265" s="49"/>
    </row>
    <row r="266" spans="10:12" ht="15" customHeight="1" x14ac:dyDescent="0.25">
      <c r="J266" s="48"/>
      <c r="K266" s="17"/>
      <c r="L266" s="49"/>
    </row>
    <row r="267" spans="10:12" ht="15" customHeight="1" x14ac:dyDescent="0.25">
      <c r="J267" s="48"/>
      <c r="K267" s="17"/>
      <c r="L267" s="49"/>
    </row>
    <row r="268" spans="10:12" ht="15" customHeight="1" x14ac:dyDescent="0.25">
      <c r="J268" s="48"/>
      <c r="K268" s="17"/>
      <c r="L268" s="49"/>
    </row>
    <row r="269" spans="10:12" ht="15" customHeight="1" x14ac:dyDescent="0.25">
      <c r="J269" s="48"/>
      <c r="K269" s="17"/>
      <c r="L269" s="49"/>
    </row>
    <row r="270" spans="10:12" ht="15" customHeight="1" x14ac:dyDescent="0.25">
      <c r="J270" s="48"/>
      <c r="K270" s="17"/>
      <c r="L270" s="49"/>
    </row>
    <row r="271" spans="10:12" ht="15" customHeight="1" x14ac:dyDescent="0.25">
      <c r="J271" s="48"/>
      <c r="K271" s="17"/>
      <c r="L271" s="49"/>
    </row>
    <row r="272" spans="10:12" ht="15" customHeight="1" x14ac:dyDescent="0.25">
      <c r="J272" s="48"/>
      <c r="K272" s="17"/>
      <c r="L272" s="49"/>
    </row>
    <row r="273" spans="10:12" ht="15" customHeight="1" x14ac:dyDescent="0.25">
      <c r="J273" s="48"/>
      <c r="K273" s="17"/>
      <c r="L273" s="49"/>
    </row>
    <row r="274" spans="10:12" ht="15" customHeight="1" x14ac:dyDescent="0.25">
      <c r="J274" s="48"/>
      <c r="K274" s="17"/>
      <c r="L274" s="49"/>
    </row>
    <row r="275" spans="10:12" ht="15" customHeight="1" x14ac:dyDescent="0.25">
      <c r="J275" s="48"/>
      <c r="K275" s="17"/>
      <c r="L275" s="49"/>
    </row>
    <row r="276" spans="10:12" ht="15" customHeight="1" x14ac:dyDescent="0.25">
      <c r="J276" s="48"/>
      <c r="K276" s="17"/>
      <c r="L276" s="49"/>
    </row>
    <row r="277" spans="10:12" ht="15" customHeight="1" x14ac:dyDescent="0.25">
      <c r="J277" s="48"/>
      <c r="K277" s="17"/>
      <c r="L277" s="49"/>
    </row>
    <row r="278" spans="10:12" ht="15" customHeight="1" x14ac:dyDescent="0.25">
      <c r="J278" s="48"/>
      <c r="K278" s="17"/>
      <c r="L278" s="49"/>
    </row>
    <row r="279" spans="10:12" ht="15" customHeight="1" x14ac:dyDescent="0.25">
      <c r="J279" s="48"/>
      <c r="K279" s="17"/>
      <c r="L279" s="49"/>
    </row>
    <row r="280" spans="10:12" ht="15" customHeight="1" x14ac:dyDescent="0.25">
      <c r="J280" s="48"/>
      <c r="K280" s="17"/>
      <c r="L280" s="49"/>
    </row>
    <row r="281" spans="10:12" ht="15" customHeight="1" x14ac:dyDescent="0.25">
      <c r="J281" s="48"/>
      <c r="K281" s="17"/>
      <c r="L281" s="49"/>
    </row>
    <row r="282" spans="10:12" ht="15" customHeight="1" x14ac:dyDescent="0.25">
      <c r="J282" s="48"/>
      <c r="K282" s="17"/>
      <c r="L282" s="49"/>
    </row>
    <row r="283" spans="10:12" ht="15" customHeight="1" x14ac:dyDescent="0.25">
      <c r="J283" s="48"/>
      <c r="K283" s="17"/>
      <c r="L283" s="49"/>
    </row>
    <row r="284" spans="10:12" ht="15" customHeight="1" x14ac:dyDescent="0.25">
      <c r="J284" s="48"/>
      <c r="K284" s="17"/>
      <c r="L284" s="49"/>
    </row>
    <row r="285" spans="10:12" ht="15" customHeight="1" x14ac:dyDescent="0.25">
      <c r="J285" s="48"/>
      <c r="K285" s="17"/>
      <c r="L285" s="49"/>
    </row>
    <row r="286" spans="10:12" ht="15" customHeight="1" x14ac:dyDescent="0.25">
      <c r="J286" s="48"/>
      <c r="K286" s="17"/>
      <c r="L286" s="49"/>
    </row>
    <row r="287" spans="10:12" ht="15" customHeight="1" x14ac:dyDescent="0.25">
      <c r="J287" s="48"/>
      <c r="K287" s="17"/>
      <c r="L287" s="49"/>
    </row>
    <row r="288" spans="10:12" ht="15" customHeight="1" x14ac:dyDescent="0.25">
      <c r="J288" s="48"/>
      <c r="K288" s="17"/>
      <c r="L288" s="49"/>
    </row>
    <row r="289" spans="10:12" ht="15" customHeight="1" x14ac:dyDescent="0.25">
      <c r="J289" s="48"/>
      <c r="K289" s="17"/>
      <c r="L289" s="49"/>
    </row>
    <row r="290" spans="10:12" ht="15" customHeight="1" x14ac:dyDescent="0.25">
      <c r="J290" s="48"/>
      <c r="K290" s="17"/>
      <c r="L290" s="49"/>
    </row>
    <row r="291" spans="10:12" ht="15" customHeight="1" x14ac:dyDescent="0.25">
      <c r="J291" s="48"/>
      <c r="K291" s="17"/>
      <c r="L291" s="49"/>
    </row>
    <row r="292" spans="10:12" ht="15" customHeight="1" x14ac:dyDescent="0.25">
      <c r="J292" s="48"/>
      <c r="K292" s="17"/>
      <c r="L292" s="49"/>
    </row>
    <row r="293" spans="10:12" ht="15" customHeight="1" x14ac:dyDescent="0.25">
      <c r="J293" s="48"/>
      <c r="K293" s="17"/>
      <c r="L293" s="49"/>
    </row>
    <row r="294" spans="10:12" ht="15" customHeight="1" x14ac:dyDescent="0.25">
      <c r="J294" s="48"/>
      <c r="K294" s="17"/>
      <c r="L294" s="49"/>
    </row>
    <row r="295" spans="10:12" ht="15" customHeight="1" x14ac:dyDescent="0.25">
      <c r="J295" s="48"/>
      <c r="K295" s="17"/>
      <c r="L295" s="49"/>
    </row>
    <row r="296" spans="10:12" ht="15" customHeight="1" x14ac:dyDescent="0.25">
      <c r="J296" s="48"/>
      <c r="K296" s="17"/>
      <c r="L296" s="49"/>
    </row>
    <row r="297" spans="10:12" ht="15" customHeight="1" x14ac:dyDescent="0.25">
      <c r="J297" s="48"/>
      <c r="K297" s="17"/>
      <c r="L297" s="49"/>
    </row>
    <row r="298" spans="10:12" ht="15" customHeight="1" x14ac:dyDescent="0.25">
      <c r="J298" s="48"/>
      <c r="K298" s="17"/>
      <c r="L298" s="49"/>
    </row>
    <row r="299" spans="10:12" ht="15" customHeight="1" x14ac:dyDescent="0.25">
      <c r="J299" s="48"/>
      <c r="K299" s="17"/>
      <c r="L299" s="49"/>
    </row>
    <row r="300" spans="10:12" ht="15" customHeight="1" x14ac:dyDescent="0.25">
      <c r="J300" s="48"/>
      <c r="K300" s="17"/>
      <c r="L300" s="49"/>
    </row>
    <row r="301" spans="10:12" ht="15" customHeight="1" x14ac:dyDescent="0.25">
      <c r="J301" s="48"/>
      <c r="K301" s="17"/>
      <c r="L301" s="49"/>
    </row>
    <row r="302" spans="10:12" ht="15" customHeight="1" x14ac:dyDescent="0.25">
      <c r="J302" s="48"/>
      <c r="K302" s="17"/>
      <c r="L302" s="49"/>
    </row>
    <row r="303" spans="10:12" ht="15" customHeight="1" x14ac:dyDescent="0.25">
      <c r="J303" s="48"/>
      <c r="K303" s="17"/>
      <c r="L303" s="49"/>
    </row>
    <row r="304" spans="10:12" ht="15" customHeight="1" x14ac:dyDescent="0.25">
      <c r="J304" s="48"/>
      <c r="K304" s="17"/>
      <c r="L304" s="49"/>
    </row>
    <row r="305" spans="10:12" ht="15" customHeight="1" x14ac:dyDescent="0.25">
      <c r="J305" s="48"/>
      <c r="K305" s="17"/>
      <c r="L305" s="49"/>
    </row>
    <row r="306" spans="10:12" ht="15" customHeight="1" x14ac:dyDescent="0.25">
      <c r="J306" s="48"/>
      <c r="K306" s="17"/>
      <c r="L306" s="49"/>
    </row>
    <row r="307" spans="10:12" ht="15" customHeight="1" x14ac:dyDescent="0.25">
      <c r="J307" s="48"/>
      <c r="K307" s="17"/>
      <c r="L307" s="49"/>
    </row>
    <row r="308" spans="10:12" ht="15" customHeight="1" x14ac:dyDescent="0.25">
      <c r="J308" s="48"/>
      <c r="K308" s="17"/>
      <c r="L308" s="49"/>
    </row>
    <row r="309" spans="10:12" ht="15" customHeight="1" x14ac:dyDescent="0.25">
      <c r="J309" s="48"/>
      <c r="K309" s="17"/>
      <c r="L309" s="49"/>
    </row>
    <row r="310" spans="10:12" ht="15" customHeight="1" x14ac:dyDescent="0.25">
      <c r="J310" s="48"/>
      <c r="K310" s="17"/>
      <c r="L310" s="49"/>
    </row>
    <row r="311" spans="10:12" ht="15" customHeight="1" x14ac:dyDescent="0.25">
      <c r="J311" s="48"/>
      <c r="K311" s="17"/>
      <c r="L311" s="49"/>
    </row>
    <row r="312" spans="10:12" ht="15" customHeight="1" x14ac:dyDescent="0.25">
      <c r="J312" s="48"/>
      <c r="K312" s="17"/>
      <c r="L312" s="49"/>
    </row>
    <row r="313" spans="10:12" ht="15" customHeight="1" x14ac:dyDescent="0.25">
      <c r="J313" s="48"/>
      <c r="K313" s="17"/>
      <c r="L313" s="49"/>
    </row>
    <row r="314" spans="10:12" ht="15" customHeight="1" x14ac:dyDescent="0.25">
      <c r="J314" s="48"/>
      <c r="K314" s="17"/>
      <c r="L314" s="49"/>
    </row>
    <row r="315" spans="10:12" ht="15" customHeight="1" x14ac:dyDescent="0.25">
      <c r="J315" s="48"/>
      <c r="K315" s="17"/>
      <c r="L315" s="49"/>
    </row>
    <row r="316" spans="10:12" ht="15" customHeight="1" x14ac:dyDescent="0.25">
      <c r="J316" s="48"/>
      <c r="K316" s="17"/>
      <c r="L316" s="49"/>
    </row>
    <row r="317" spans="10:12" ht="15" customHeight="1" x14ac:dyDescent="0.25">
      <c r="J317" s="48"/>
      <c r="K317" s="17"/>
      <c r="L317" s="49"/>
    </row>
    <row r="318" spans="10:12" ht="15" customHeight="1" x14ac:dyDescent="0.25">
      <c r="J318" s="48"/>
      <c r="K318" s="17"/>
      <c r="L318" s="49"/>
    </row>
    <row r="319" spans="10:12" ht="15" customHeight="1" x14ac:dyDescent="0.25">
      <c r="J319" s="16"/>
      <c r="K319" s="17"/>
      <c r="L319" s="49"/>
    </row>
    <row r="320" spans="10:12" ht="15" customHeight="1" x14ac:dyDescent="0.25">
      <c r="J320" s="16"/>
      <c r="K320" s="17"/>
      <c r="L320" s="49"/>
    </row>
    <row r="321" spans="10:12" ht="15" customHeight="1" x14ac:dyDescent="0.25">
      <c r="J321" s="16"/>
      <c r="K321" s="17"/>
      <c r="L321" s="49"/>
    </row>
    <row r="322" spans="10:12" ht="15" customHeight="1" x14ac:dyDescent="0.25">
      <c r="J322" s="16"/>
      <c r="K322" s="17"/>
      <c r="L322" s="49"/>
    </row>
    <row r="323" spans="10:12" ht="15" customHeight="1" x14ac:dyDescent="0.25">
      <c r="J323" s="16"/>
      <c r="K323" s="17"/>
      <c r="L323" s="49"/>
    </row>
    <row r="324" spans="10:12" ht="15" customHeight="1" x14ac:dyDescent="0.25">
      <c r="J324" s="16"/>
      <c r="K324" s="17"/>
      <c r="L324" s="49"/>
    </row>
    <row r="325" spans="10:12" ht="15" customHeight="1" x14ac:dyDescent="0.25">
      <c r="J325" s="16"/>
      <c r="K325" s="17"/>
      <c r="L325" s="49"/>
    </row>
    <row r="326" spans="10:12" ht="15" customHeight="1" x14ac:dyDescent="0.25">
      <c r="J326" s="16"/>
      <c r="K326" s="17"/>
      <c r="L326" s="49"/>
    </row>
    <row r="327" spans="10:12" ht="15" customHeight="1" x14ac:dyDescent="0.25">
      <c r="J327" s="16"/>
      <c r="K327" s="17"/>
      <c r="L327" s="49"/>
    </row>
    <row r="328" spans="10:12" ht="15" customHeight="1" x14ac:dyDescent="0.25">
      <c r="J328" s="16"/>
      <c r="K328" s="17"/>
      <c r="L328" s="49"/>
    </row>
    <row r="329" spans="10:12" ht="15" customHeight="1" x14ac:dyDescent="0.25">
      <c r="J329" s="16"/>
      <c r="K329" s="17"/>
      <c r="L329" s="49"/>
    </row>
    <row r="330" spans="10:12" ht="15" customHeight="1" x14ac:dyDescent="0.25">
      <c r="J330" s="16"/>
      <c r="K330" s="17"/>
      <c r="L330" s="49"/>
    </row>
    <row r="331" spans="10:12" ht="15" customHeight="1" x14ac:dyDescent="0.25">
      <c r="J331" s="16"/>
      <c r="K331" s="17"/>
      <c r="L331" s="49"/>
    </row>
    <row r="332" spans="10:12" ht="15" customHeight="1" x14ac:dyDescent="0.25">
      <c r="J332" s="16"/>
      <c r="K332" s="17"/>
      <c r="L332" s="49"/>
    </row>
    <row r="333" spans="10:12" ht="15" customHeight="1" x14ac:dyDescent="0.25">
      <c r="J333" s="16"/>
      <c r="K333" s="17"/>
      <c r="L333" s="49"/>
    </row>
    <row r="334" spans="10:12" ht="15" customHeight="1" x14ac:dyDescent="0.25">
      <c r="J334" s="16"/>
      <c r="K334" s="17"/>
      <c r="L334" s="49"/>
    </row>
    <row r="335" spans="10:12" ht="15" customHeight="1" x14ac:dyDescent="0.25">
      <c r="J335" s="16"/>
      <c r="K335" s="17"/>
      <c r="L335" s="49"/>
    </row>
    <row r="336" spans="10:12" ht="15" customHeight="1" x14ac:dyDescent="0.25">
      <c r="J336" s="16"/>
      <c r="K336" s="17"/>
      <c r="L336" s="49"/>
    </row>
    <row r="337" spans="10:12" ht="15" customHeight="1" x14ac:dyDescent="0.25">
      <c r="J337" s="16"/>
      <c r="K337" s="17"/>
      <c r="L337" s="49"/>
    </row>
    <row r="338" spans="10:12" ht="15" customHeight="1" x14ac:dyDescent="0.25">
      <c r="J338" s="16"/>
      <c r="K338" s="17"/>
      <c r="L338" s="49"/>
    </row>
    <row r="339" spans="10:12" ht="15" customHeight="1" x14ac:dyDescent="0.25">
      <c r="J339" s="16"/>
      <c r="K339" s="17"/>
      <c r="L339" s="49"/>
    </row>
    <row r="340" spans="10:12" ht="15" customHeight="1" x14ac:dyDescent="0.25">
      <c r="J340" s="16"/>
      <c r="K340" s="17"/>
      <c r="L340" s="49"/>
    </row>
    <row r="341" spans="10:12" ht="15" customHeight="1" x14ac:dyDescent="0.25">
      <c r="J341" s="16"/>
      <c r="K341" s="17"/>
      <c r="L341" s="49"/>
    </row>
    <row r="342" spans="10:12" ht="15" customHeight="1" x14ac:dyDescent="0.25">
      <c r="J342" s="16"/>
      <c r="K342" s="17"/>
      <c r="L342" s="49"/>
    </row>
    <row r="343" spans="10:12" ht="15" customHeight="1" x14ac:dyDescent="0.25">
      <c r="J343" s="16"/>
      <c r="K343" s="17"/>
      <c r="L343" s="49"/>
    </row>
    <row r="344" spans="10:12" ht="15" customHeight="1" x14ac:dyDescent="0.25">
      <c r="J344" s="16"/>
      <c r="K344" s="17"/>
      <c r="L344" s="49"/>
    </row>
    <row r="345" spans="10:12" ht="15" customHeight="1" x14ac:dyDescent="0.25">
      <c r="J345" s="16"/>
      <c r="K345" s="17"/>
      <c r="L345" s="49"/>
    </row>
    <row r="346" spans="10:12" ht="15" customHeight="1" x14ac:dyDescent="0.25">
      <c r="J346" s="16"/>
      <c r="K346" s="17"/>
      <c r="L346" s="49"/>
    </row>
    <row r="347" spans="10:12" ht="15" customHeight="1" x14ac:dyDescent="0.25">
      <c r="J347" s="16"/>
      <c r="K347" s="17"/>
      <c r="L347" s="49"/>
    </row>
    <row r="348" spans="10:12" ht="15" customHeight="1" x14ac:dyDescent="0.25">
      <c r="J348" s="16"/>
      <c r="K348" s="17"/>
      <c r="L348" s="49"/>
    </row>
    <row r="349" spans="10:12" ht="15" customHeight="1" x14ac:dyDescent="0.25">
      <c r="J349" s="16"/>
      <c r="K349" s="17"/>
      <c r="L349" s="49"/>
    </row>
    <row r="350" spans="10:12" ht="15" customHeight="1" x14ac:dyDescent="0.25">
      <c r="J350" s="16"/>
      <c r="K350" s="17"/>
      <c r="L350" s="49"/>
    </row>
    <row r="351" spans="10:12" ht="15" customHeight="1" x14ac:dyDescent="0.25">
      <c r="J351" s="16"/>
      <c r="K351" s="17"/>
      <c r="L351" s="49"/>
    </row>
    <row r="352" spans="10:12" ht="15" customHeight="1" x14ac:dyDescent="0.25">
      <c r="J352" s="16"/>
      <c r="K352" s="17"/>
      <c r="L352" s="49"/>
    </row>
    <row r="353" spans="10:12" ht="15" customHeight="1" x14ac:dyDescent="0.25">
      <c r="J353" s="16"/>
      <c r="K353" s="17"/>
      <c r="L353" s="49"/>
    </row>
    <row r="354" spans="10:12" ht="15" customHeight="1" x14ac:dyDescent="0.25">
      <c r="J354" s="16"/>
      <c r="K354" s="17"/>
      <c r="L354" s="49"/>
    </row>
  </sheetData>
  <autoFilter ref="A5:R115" xr:uid="{00000000-0009-0000-0000-000010000000}">
    <filterColumn colId="11" showButton="0"/>
  </autoFilter>
  <mergeCells count="21">
    <mergeCell ref="A2:F3"/>
    <mergeCell ref="G2:I3"/>
    <mergeCell ref="J2:L3"/>
    <mergeCell ref="M2:N3"/>
    <mergeCell ref="A1:N1"/>
    <mergeCell ref="O1:P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M5"/>
    <mergeCell ref="O2:P3"/>
    <mergeCell ref="O4:P5"/>
    <mergeCell ref="N4:N5"/>
  </mergeCells>
  <conditionalFormatting sqref="C31:E58 A7:A58 C7:C30 K7:L32 G7:I49 G50:G58 D59:D60 H50:I63 C59:C64 D63:D70 I64:I115">
    <cfRule type="expression" dxfId="6009" priority="491">
      <formula>AND($A7&lt;&gt;"",MOD(ROW(),2))</formula>
    </cfRule>
  </conditionalFormatting>
  <conditionalFormatting sqref="D31:D60 D63:D70">
    <cfRule type="cellIs" dxfId="6008" priority="488" operator="equal">
      <formula>$C31</formula>
    </cfRule>
    <cfRule type="cellIs" dxfId="6007" priority="489" operator="greaterThan">
      <formula>$C31</formula>
    </cfRule>
    <cfRule type="cellIs" dxfId="6006" priority="490" operator="lessThan">
      <formula>$C31</formula>
    </cfRule>
  </conditionalFormatting>
  <conditionalFormatting sqref="M7:M58">
    <cfRule type="expression" dxfId="6005" priority="484">
      <formula>AND($A7&lt;&gt;"",MOD(ROW(),2))</formula>
    </cfRule>
  </conditionalFormatting>
  <conditionalFormatting sqref="K33:L58">
    <cfRule type="expression" dxfId="6004" priority="467">
      <formula>AND($A33&lt;&gt;"",MOD(ROW(),2))</formula>
    </cfRule>
  </conditionalFormatting>
  <conditionalFormatting sqref="K7:K58">
    <cfRule type="cellIs" dxfId="6003" priority="464" operator="equal">
      <formula>$C7</formula>
    </cfRule>
    <cfRule type="cellIs" dxfId="6002" priority="465" operator="greaterThan">
      <formula>$C7</formula>
    </cfRule>
    <cfRule type="cellIs" dxfId="6001" priority="466" operator="lessThan">
      <formula>$C7</formula>
    </cfRule>
  </conditionalFormatting>
  <conditionalFormatting sqref="K59:L84">
    <cfRule type="expression" dxfId="6000" priority="463">
      <formula>AND($A59&lt;&gt;"",MOD(ROW(),2))</formula>
    </cfRule>
  </conditionalFormatting>
  <conditionalFormatting sqref="K59:K84">
    <cfRule type="cellIs" dxfId="5999" priority="460" operator="equal">
      <formula>$C59</formula>
    </cfRule>
    <cfRule type="cellIs" dxfId="5998" priority="461" operator="greaterThan">
      <formula>$C59</formula>
    </cfRule>
    <cfRule type="cellIs" dxfId="5997" priority="462" operator="lessThan">
      <formula>$C59</formula>
    </cfRule>
  </conditionalFormatting>
  <conditionalFormatting sqref="K85:L110">
    <cfRule type="expression" dxfId="5996" priority="459">
      <formula>AND($A85&lt;&gt;"",MOD(ROW(),2))</formula>
    </cfRule>
  </conditionalFormatting>
  <conditionalFormatting sqref="K85:K110">
    <cfRule type="cellIs" dxfId="5995" priority="456" operator="equal">
      <formula>$C85</formula>
    </cfRule>
    <cfRule type="cellIs" dxfId="5994" priority="457" operator="greaterThan">
      <formula>$C85</formula>
    </cfRule>
    <cfRule type="cellIs" dxfId="5993" priority="458" operator="lessThan">
      <formula>$C85</formula>
    </cfRule>
  </conditionalFormatting>
  <conditionalFormatting sqref="K111:L136">
    <cfRule type="expression" dxfId="5992" priority="455">
      <formula>AND($A111&lt;&gt;"",MOD(ROW(),2))</formula>
    </cfRule>
  </conditionalFormatting>
  <conditionalFormatting sqref="K111:K136">
    <cfRule type="cellIs" dxfId="5991" priority="452" operator="equal">
      <formula>$C111</formula>
    </cfRule>
    <cfRule type="cellIs" dxfId="5990" priority="453" operator="greaterThan">
      <formula>$C111</formula>
    </cfRule>
    <cfRule type="cellIs" dxfId="5989" priority="454" operator="lessThan">
      <formula>$C111</formula>
    </cfRule>
  </conditionalFormatting>
  <conditionalFormatting sqref="K137:L162">
    <cfRule type="expression" dxfId="5988" priority="451">
      <formula>AND($A137&lt;&gt;"",MOD(ROW(),2))</formula>
    </cfRule>
  </conditionalFormatting>
  <conditionalFormatting sqref="K137:K162">
    <cfRule type="cellIs" dxfId="5987" priority="448" operator="equal">
      <formula>$C137</formula>
    </cfRule>
    <cfRule type="cellIs" dxfId="5986" priority="449" operator="greaterThan">
      <formula>$C137</formula>
    </cfRule>
    <cfRule type="cellIs" dxfId="5985" priority="450" operator="lessThan">
      <formula>$C137</formula>
    </cfRule>
  </conditionalFormatting>
  <conditionalFormatting sqref="K163:L188">
    <cfRule type="expression" dxfId="5984" priority="447">
      <formula>AND($A163&lt;&gt;"",MOD(ROW(),2))</formula>
    </cfRule>
  </conditionalFormatting>
  <conditionalFormatting sqref="K163:K188">
    <cfRule type="cellIs" dxfId="5983" priority="444" operator="equal">
      <formula>$C163</formula>
    </cfRule>
    <cfRule type="cellIs" dxfId="5982" priority="445" operator="greaterThan">
      <formula>$C163</formula>
    </cfRule>
    <cfRule type="cellIs" dxfId="5981" priority="446" operator="lessThan">
      <formula>$C163</formula>
    </cfRule>
  </conditionalFormatting>
  <conditionalFormatting sqref="K189:L214">
    <cfRule type="expression" dxfId="5980" priority="443">
      <formula>AND($A189&lt;&gt;"",MOD(ROW(),2))</formula>
    </cfRule>
  </conditionalFormatting>
  <conditionalFormatting sqref="K189:K214">
    <cfRule type="cellIs" dxfId="5979" priority="440" operator="equal">
      <formula>$C189</formula>
    </cfRule>
    <cfRule type="cellIs" dxfId="5978" priority="441" operator="greaterThan">
      <formula>$C189</formula>
    </cfRule>
    <cfRule type="cellIs" dxfId="5977" priority="442" operator="lessThan">
      <formula>$C189</formula>
    </cfRule>
  </conditionalFormatting>
  <conditionalFormatting sqref="K215:L240">
    <cfRule type="expression" dxfId="5976" priority="439">
      <formula>AND($A215&lt;&gt;"",MOD(ROW(),2))</formula>
    </cfRule>
  </conditionalFormatting>
  <conditionalFormatting sqref="K215:K240">
    <cfRule type="cellIs" dxfId="5975" priority="436" operator="equal">
      <formula>$C215</formula>
    </cfRule>
    <cfRule type="cellIs" dxfId="5974" priority="437" operator="greaterThan">
      <formula>$C215</formula>
    </cfRule>
    <cfRule type="cellIs" dxfId="5973" priority="438" operator="lessThan">
      <formula>$C215</formula>
    </cfRule>
  </conditionalFormatting>
  <conditionalFormatting sqref="K241:L266">
    <cfRule type="expression" dxfId="5972" priority="435">
      <formula>AND($A241&lt;&gt;"",MOD(ROW(),2))</formula>
    </cfRule>
  </conditionalFormatting>
  <conditionalFormatting sqref="K241:K266">
    <cfRule type="cellIs" dxfId="5971" priority="432" operator="equal">
      <formula>$C241</formula>
    </cfRule>
    <cfRule type="cellIs" dxfId="5970" priority="433" operator="greaterThan">
      <formula>$C241</formula>
    </cfRule>
    <cfRule type="cellIs" dxfId="5969" priority="434" operator="lessThan">
      <formula>$C241</formula>
    </cfRule>
  </conditionalFormatting>
  <conditionalFormatting sqref="K267:L292">
    <cfRule type="expression" dxfId="5968" priority="431">
      <formula>AND($A267&lt;&gt;"",MOD(ROW(),2))</formula>
    </cfRule>
  </conditionalFormatting>
  <conditionalFormatting sqref="K267:K292">
    <cfRule type="cellIs" dxfId="5967" priority="428" operator="equal">
      <formula>$C267</formula>
    </cfRule>
    <cfRule type="cellIs" dxfId="5966" priority="429" operator="greaterThan">
      <formula>$C267</formula>
    </cfRule>
    <cfRule type="cellIs" dxfId="5965" priority="430" operator="lessThan">
      <formula>$C267</formula>
    </cfRule>
  </conditionalFormatting>
  <conditionalFormatting sqref="K293:L318">
    <cfRule type="expression" dxfId="5964" priority="427">
      <formula>AND($A293&lt;&gt;"",MOD(ROW(),2))</formula>
    </cfRule>
  </conditionalFormatting>
  <conditionalFormatting sqref="K293:K318">
    <cfRule type="cellIs" dxfId="5963" priority="424" operator="equal">
      <formula>$C293</formula>
    </cfRule>
    <cfRule type="cellIs" dxfId="5962" priority="425" operator="greaterThan">
      <formula>$C293</formula>
    </cfRule>
    <cfRule type="cellIs" dxfId="5961" priority="426" operator="lessThan">
      <formula>$C293</formula>
    </cfRule>
  </conditionalFormatting>
  <conditionalFormatting sqref="F31:F2989">
    <cfRule type="containsText" dxfId="5960" priority="423" operator="containsText" text="Unpaid Rent">
      <formula>NOT(ISERROR(SEARCH("Unpaid Rent",F31)))</formula>
    </cfRule>
    <cfRule type="containsText" dxfId="5959" priority="468" stopIfTrue="1" operator="containsText" text="Closed Account">
      <formula>NOT(ISERROR(SEARCH("Closed Account",F31)))</formula>
    </cfRule>
  </conditionalFormatting>
  <conditionalFormatting sqref="M33:M58 L33:L318 L7:M32">
    <cfRule type="expression" dxfId="5958" priority="486">
      <formula>AND(#REF!&lt;&gt;"",MOD(ROW(),2))</formula>
    </cfRule>
  </conditionalFormatting>
  <conditionalFormatting sqref="M33:M58 L33:L318 L7:M32">
    <cfRule type="expression" dxfId="5957" priority="485">
      <formula>AND(#REF!&lt;&gt;"",MOD(ROW(),2))</formula>
    </cfRule>
  </conditionalFormatting>
  <conditionalFormatting sqref="M7:M58">
    <cfRule type="cellIs" dxfId="5956" priority="481" operator="equal">
      <formula>#REF!</formula>
    </cfRule>
    <cfRule type="cellIs" dxfId="5955" priority="482" operator="greaterThan">
      <formula>#REF!</formula>
    </cfRule>
    <cfRule type="cellIs" dxfId="5954" priority="483" operator="lessThan">
      <formula>#REF!</formula>
    </cfRule>
  </conditionalFormatting>
  <conditionalFormatting sqref="K319:L321">
    <cfRule type="expression" dxfId="5953" priority="417">
      <formula>AND($A319&lt;&gt;"",MOD(ROW(),2))</formula>
    </cfRule>
  </conditionalFormatting>
  <conditionalFormatting sqref="K319:K321">
    <cfRule type="cellIs" dxfId="5952" priority="414" operator="equal">
      <formula>$C319</formula>
    </cfRule>
    <cfRule type="cellIs" dxfId="5951" priority="415" operator="greaterThan">
      <formula>$C319</formula>
    </cfRule>
    <cfRule type="cellIs" dxfId="5950" priority="416" operator="lessThan">
      <formula>$C319</formula>
    </cfRule>
  </conditionalFormatting>
  <conditionalFormatting sqref="L319:L321">
    <cfRule type="expression" dxfId="5949" priority="419">
      <formula>AND(#REF!&lt;&gt;"",MOD(ROW(),2))</formula>
    </cfRule>
  </conditionalFormatting>
  <conditionalFormatting sqref="L319:L321">
    <cfRule type="expression" dxfId="5948" priority="418">
      <formula>AND(#REF!&lt;&gt;"",MOD(ROW(),2))</formula>
    </cfRule>
  </conditionalFormatting>
  <conditionalFormatting sqref="K322:L324">
    <cfRule type="expression" dxfId="5947" priority="411">
      <formula>AND($A322&lt;&gt;"",MOD(ROW(),2))</formula>
    </cfRule>
  </conditionalFormatting>
  <conditionalFormatting sqref="K322:K324">
    <cfRule type="cellIs" dxfId="5946" priority="408" operator="equal">
      <formula>$C322</formula>
    </cfRule>
    <cfRule type="cellIs" dxfId="5945" priority="409" operator="greaterThan">
      <formula>$C322</formula>
    </cfRule>
    <cfRule type="cellIs" dxfId="5944" priority="410" operator="lessThan">
      <formula>$C322</formula>
    </cfRule>
  </conditionalFormatting>
  <conditionalFormatting sqref="L322:L324">
    <cfRule type="expression" dxfId="5943" priority="413">
      <formula>AND(#REF!&lt;&gt;"",MOD(ROW(),2))</formula>
    </cfRule>
  </conditionalFormatting>
  <conditionalFormatting sqref="L322:L324">
    <cfRule type="expression" dxfId="5942" priority="412">
      <formula>AND(#REF!&lt;&gt;"",MOD(ROW(),2))</formula>
    </cfRule>
  </conditionalFormatting>
  <conditionalFormatting sqref="K325:L327">
    <cfRule type="expression" dxfId="5941" priority="405">
      <formula>AND($A325&lt;&gt;"",MOD(ROW(),2))</formula>
    </cfRule>
  </conditionalFormatting>
  <conditionalFormatting sqref="K325:K327">
    <cfRule type="cellIs" dxfId="5940" priority="402" operator="equal">
      <formula>$C325</formula>
    </cfRule>
    <cfRule type="cellIs" dxfId="5939" priority="403" operator="greaterThan">
      <formula>$C325</formula>
    </cfRule>
    <cfRule type="cellIs" dxfId="5938" priority="404" operator="lessThan">
      <formula>$C325</formula>
    </cfRule>
  </conditionalFormatting>
  <conditionalFormatting sqref="L325:L327">
    <cfRule type="expression" dxfId="5937" priority="407">
      <formula>AND(#REF!&lt;&gt;"",MOD(ROW(),2))</formula>
    </cfRule>
  </conditionalFormatting>
  <conditionalFormatting sqref="L325:L327">
    <cfRule type="expression" dxfId="5936" priority="406">
      <formula>AND(#REF!&lt;&gt;"",MOD(ROW(),2))</formula>
    </cfRule>
  </conditionalFormatting>
  <conditionalFormatting sqref="K328:L330">
    <cfRule type="expression" dxfId="5935" priority="399">
      <formula>AND($A328&lt;&gt;"",MOD(ROW(),2))</formula>
    </cfRule>
  </conditionalFormatting>
  <conditionalFormatting sqref="K328:K330">
    <cfRule type="cellIs" dxfId="5934" priority="396" operator="equal">
      <formula>$C328</formula>
    </cfRule>
    <cfRule type="cellIs" dxfId="5933" priority="397" operator="greaterThan">
      <formula>$C328</formula>
    </cfRule>
    <cfRule type="cellIs" dxfId="5932" priority="398" operator="lessThan">
      <formula>$C328</formula>
    </cfRule>
  </conditionalFormatting>
  <conditionalFormatting sqref="L328:L330">
    <cfRule type="expression" dxfId="5931" priority="401">
      <formula>AND(#REF!&lt;&gt;"",MOD(ROW(),2))</formula>
    </cfRule>
  </conditionalFormatting>
  <conditionalFormatting sqref="L328:L330">
    <cfRule type="expression" dxfId="5930" priority="400">
      <formula>AND(#REF!&lt;&gt;"",MOD(ROW(),2))</formula>
    </cfRule>
  </conditionalFormatting>
  <conditionalFormatting sqref="K331:L333">
    <cfRule type="expression" dxfId="5929" priority="393">
      <formula>AND($A331&lt;&gt;"",MOD(ROW(),2))</formula>
    </cfRule>
  </conditionalFormatting>
  <conditionalFormatting sqref="K331:K333">
    <cfRule type="cellIs" dxfId="5928" priority="390" operator="equal">
      <formula>$C331</formula>
    </cfRule>
    <cfRule type="cellIs" dxfId="5927" priority="391" operator="greaterThan">
      <formula>$C331</formula>
    </cfRule>
    <cfRule type="cellIs" dxfId="5926" priority="392" operator="lessThan">
      <formula>$C331</formula>
    </cfRule>
  </conditionalFormatting>
  <conditionalFormatting sqref="L331:L333">
    <cfRule type="expression" dxfId="5925" priority="395">
      <formula>AND(#REF!&lt;&gt;"",MOD(ROW(),2))</formula>
    </cfRule>
  </conditionalFormatting>
  <conditionalFormatting sqref="L331:L333">
    <cfRule type="expression" dxfId="5924" priority="394">
      <formula>AND(#REF!&lt;&gt;"",MOD(ROW(),2))</formula>
    </cfRule>
  </conditionalFormatting>
  <conditionalFormatting sqref="K334:L336">
    <cfRule type="expression" dxfId="5923" priority="387">
      <formula>AND($A334&lt;&gt;"",MOD(ROW(),2))</formula>
    </cfRule>
  </conditionalFormatting>
  <conditionalFormatting sqref="K334:K336">
    <cfRule type="cellIs" dxfId="5922" priority="384" operator="equal">
      <formula>$C334</formula>
    </cfRule>
    <cfRule type="cellIs" dxfId="5921" priority="385" operator="greaterThan">
      <formula>$C334</formula>
    </cfRule>
    <cfRule type="cellIs" dxfId="5920" priority="386" operator="lessThan">
      <formula>$C334</formula>
    </cfRule>
  </conditionalFormatting>
  <conditionalFormatting sqref="L334:L336">
    <cfRule type="expression" dxfId="5919" priority="389">
      <formula>AND(#REF!&lt;&gt;"",MOD(ROW(),2))</formula>
    </cfRule>
  </conditionalFormatting>
  <conditionalFormatting sqref="L334:L336">
    <cfRule type="expression" dxfId="5918" priority="388">
      <formula>AND(#REF!&lt;&gt;"",MOD(ROW(),2))</formula>
    </cfRule>
  </conditionalFormatting>
  <conditionalFormatting sqref="K337:L339">
    <cfRule type="expression" dxfId="5917" priority="381">
      <formula>AND($A337&lt;&gt;"",MOD(ROW(),2))</formula>
    </cfRule>
  </conditionalFormatting>
  <conditionalFormatting sqref="K337:K339">
    <cfRule type="cellIs" dxfId="5916" priority="378" operator="equal">
      <formula>$C337</formula>
    </cfRule>
    <cfRule type="cellIs" dxfId="5915" priority="379" operator="greaterThan">
      <formula>$C337</formula>
    </cfRule>
    <cfRule type="cellIs" dxfId="5914" priority="380" operator="lessThan">
      <formula>$C337</formula>
    </cfRule>
  </conditionalFormatting>
  <conditionalFormatting sqref="L337:L339">
    <cfRule type="expression" dxfId="5913" priority="383">
      <formula>AND(#REF!&lt;&gt;"",MOD(ROW(),2))</formula>
    </cfRule>
  </conditionalFormatting>
  <conditionalFormatting sqref="L337:L339">
    <cfRule type="expression" dxfId="5912" priority="382">
      <formula>AND(#REF!&lt;&gt;"",MOD(ROW(),2))</formula>
    </cfRule>
  </conditionalFormatting>
  <conditionalFormatting sqref="K340:L342">
    <cfRule type="expression" dxfId="5911" priority="375">
      <formula>AND($A340&lt;&gt;"",MOD(ROW(),2))</formula>
    </cfRule>
  </conditionalFormatting>
  <conditionalFormatting sqref="K340:K342">
    <cfRule type="cellIs" dxfId="5910" priority="372" operator="equal">
      <formula>$C340</formula>
    </cfRule>
    <cfRule type="cellIs" dxfId="5909" priority="373" operator="greaterThan">
      <formula>$C340</formula>
    </cfRule>
    <cfRule type="cellIs" dxfId="5908" priority="374" operator="lessThan">
      <formula>$C340</formula>
    </cfRule>
  </conditionalFormatting>
  <conditionalFormatting sqref="L340:L342">
    <cfRule type="expression" dxfId="5907" priority="377">
      <formula>AND(#REF!&lt;&gt;"",MOD(ROW(),2))</formula>
    </cfRule>
  </conditionalFormatting>
  <conditionalFormatting sqref="L340:L342">
    <cfRule type="expression" dxfId="5906" priority="376">
      <formula>AND(#REF!&lt;&gt;"",MOD(ROW(),2))</formula>
    </cfRule>
  </conditionalFormatting>
  <conditionalFormatting sqref="K343:L345">
    <cfRule type="expression" dxfId="5905" priority="369">
      <formula>AND($A343&lt;&gt;"",MOD(ROW(),2))</formula>
    </cfRule>
  </conditionalFormatting>
  <conditionalFormatting sqref="K343:K345">
    <cfRule type="cellIs" dxfId="5904" priority="366" operator="equal">
      <formula>$C343</formula>
    </cfRule>
    <cfRule type="cellIs" dxfId="5903" priority="367" operator="greaterThan">
      <formula>$C343</formula>
    </cfRule>
    <cfRule type="cellIs" dxfId="5902" priority="368" operator="lessThan">
      <formula>$C343</formula>
    </cfRule>
  </conditionalFormatting>
  <conditionalFormatting sqref="L343:L345">
    <cfRule type="expression" dxfId="5901" priority="371">
      <formula>AND(#REF!&lt;&gt;"",MOD(ROW(),2))</formula>
    </cfRule>
  </conditionalFormatting>
  <conditionalFormatting sqref="L343:L345">
    <cfRule type="expression" dxfId="5900" priority="370">
      <formula>AND(#REF!&lt;&gt;"",MOD(ROW(),2))</formula>
    </cfRule>
  </conditionalFormatting>
  <conditionalFormatting sqref="K346:L348">
    <cfRule type="expression" dxfId="5899" priority="363">
      <formula>AND($A346&lt;&gt;"",MOD(ROW(),2))</formula>
    </cfRule>
  </conditionalFormatting>
  <conditionalFormatting sqref="K346:K348">
    <cfRule type="cellIs" dxfId="5898" priority="360" operator="equal">
      <formula>$C346</formula>
    </cfRule>
    <cfRule type="cellIs" dxfId="5897" priority="361" operator="greaterThan">
      <formula>$C346</formula>
    </cfRule>
    <cfRule type="cellIs" dxfId="5896" priority="362" operator="lessThan">
      <formula>$C346</formula>
    </cfRule>
  </conditionalFormatting>
  <conditionalFormatting sqref="L346:L348">
    <cfRule type="expression" dxfId="5895" priority="365">
      <formula>AND(#REF!&lt;&gt;"",MOD(ROW(),2))</formula>
    </cfRule>
  </conditionalFormatting>
  <conditionalFormatting sqref="L346:L348">
    <cfRule type="expression" dxfId="5894" priority="364">
      <formula>AND(#REF!&lt;&gt;"",MOD(ROW(),2))</formula>
    </cfRule>
  </conditionalFormatting>
  <conditionalFormatting sqref="K349:L351">
    <cfRule type="expression" dxfId="5893" priority="357">
      <formula>AND($A349&lt;&gt;"",MOD(ROW(),2))</formula>
    </cfRule>
  </conditionalFormatting>
  <conditionalFormatting sqref="K349:K351">
    <cfRule type="cellIs" dxfId="5892" priority="354" operator="equal">
      <formula>$C349</formula>
    </cfRule>
    <cfRule type="cellIs" dxfId="5891" priority="355" operator="greaterThan">
      <formula>$C349</formula>
    </cfRule>
    <cfRule type="cellIs" dxfId="5890" priority="356" operator="lessThan">
      <formula>$C349</formula>
    </cfRule>
  </conditionalFormatting>
  <conditionalFormatting sqref="L349:L351">
    <cfRule type="expression" dxfId="5889" priority="359">
      <formula>AND(#REF!&lt;&gt;"",MOD(ROW(),2))</formula>
    </cfRule>
  </conditionalFormatting>
  <conditionalFormatting sqref="L349:L351">
    <cfRule type="expression" dxfId="5888" priority="358">
      <formula>AND(#REF!&lt;&gt;"",MOD(ROW(),2))</formula>
    </cfRule>
  </conditionalFormatting>
  <conditionalFormatting sqref="K352:L354">
    <cfRule type="expression" dxfId="5887" priority="351">
      <formula>AND($A352&lt;&gt;"",MOD(ROW(),2))</formula>
    </cfRule>
  </conditionalFormatting>
  <conditionalFormatting sqref="K352:K354">
    <cfRule type="cellIs" dxfId="5886" priority="348" operator="equal">
      <formula>$C352</formula>
    </cfRule>
    <cfRule type="cellIs" dxfId="5885" priority="349" operator="greaterThan">
      <formula>$C352</formula>
    </cfRule>
    <cfRule type="cellIs" dxfId="5884" priority="350" operator="lessThan">
      <formula>$C352</formula>
    </cfRule>
  </conditionalFormatting>
  <conditionalFormatting sqref="L352:L354">
    <cfRule type="expression" dxfId="5883" priority="353">
      <formula>AND(#REF!&lt;&gt;"",MOD(ROW(),2))</formula>
    </cfRule>
  </conditionalFormatting>
  <conditionalFormatting sqref="L352:L354">
    <cfRule type="expression" dxfId="5882" priority="352">
      <formula>AND(#REF!&lt;&gt;"",MOD(ROW(),2))</formula>
    </cfRule>
  </conditionalFormatting>
  <conditionalFormatting sqref="D7:E7">
    <cfRule type="expression" dxfId="5881" priority="203">
      <formula>AND($A7&lt;&gt;"",MOD(ROW(),2))</formula>
    </cfRule>
  </conditionalFormatting>
  <conditionalFormatting sqref="D7">
    <cfRule type="cellIs" dxfId="5880" priority="200" operator="equal">
      <formula>$C7</formula>
    </cfRule>
    <cfRule type="cellIs" dxfId="5879" priority="201" operator="greaterThan">
      <formula>$C7</formula>
    </cfRule>
    <cfRule type="cellIs" dxfId="5878" priority="202" operator="lessThan">
      <formula>$C7</formula>
    </cfRule>
  </conditionalFormatting>
  <conditionalFormatting sqref="D8:E8">
    <cfRule type="expression" dxfId="5877" priority="197">
      <formula>AND($A8&lt;&gt;"",MOD(ROW(),2))</formula>
    </cfRule>
  </conditionalFormatting>
  <conditionalFormatting sqref="D8">
    <cfRule type="cellIs" dxfId="5876" priority="194" operator="equal">
      <formula>$C8</formula>
    </cfRule>
    <cfRule type="cellIs" dxfId="5875" priority="195" operator="greaterThan">
      <formula>$C8</formula>
    </cfRule>
    <cfRule type="cellIs" dxfId="5874" priority="196" operator="lessThan">
      <formula>$C8</formula>
    </cfRule>
  </conditionalFormatting>
  <conditionalFormatting sqref="D9:E9">
    <cfRule type="expression" dxfId="5873" priority="193">
      <formula>AND($A9&lt;&gt;"",MOD(ROW(),2))</formula>
    </cfRule>
  </conditionalFormatting>
  <conditionalFormatting sqref="D9">
    <cfRule type="cellIs" dxfId="5872" priority="190" operator="equal">
      <formula>$C9</formula>
    </cfRule>
    <cfRule type="cellIs" dxfId="5871" priority="191" operator="greaterThan">
      <formula>$C9</formula>
    </cfRule>
    <cfRule type="cellIs" dxfId="5870" priority="192" operator="lessThan">
      <formula>$C9</formula>
    </cfRule>
  </conditionalFormatting>
  <conditionalFormatting sqref="D10:E10">
    <cfRule type="expression" dxfId="5869" priority="189">
      <formula>AND($A10&lt;&gt;"",MOD(ROW(),2))</formula>
    </cfRule>
  </conditionalFormatting>
  <conditionalFormatting sqref="D10">
    <cfRule type="cellIs" dxfId="5868" priority="186" operator="equal">
      <formula>$C10</formula>
    </cfRule>
    <cfRule type="cellIs" dxfId="5867" priority="187" operator="greaterThan">
      <formula>$C10</formula>
    </cfRule>
    <cfRule type="cellIs" dxfId="5866" priority="188" operator="lessThan">
      <formula>$C10</formula>
    </cfRule>
  </conditionalFormatting>
  <conditionalFormatting sqref="D11:E11">
    <cfRule type="expression" dxfId="5865" priority="185">
      <formula>AND($A11&lt;&gt;"",MOD(ROW(),2))</formula>
    </cfRule>
  </conditionalFormatting>
  <conditionalFormatting sqref="D11">
    <cfRule type="cellIs" dxfId="5864" priority="182" operator="equal">
      <formula>$C11</formula>
    </cfRule>
    <cfRule type="cellIs" dxfId="5863" priority="183" operator="greaterThan">
      <formula>$C11</formula>
    </cfRule>
    <cfRule type="cellIs" dxfId="5862" priority="184" operator="lessThan">
      <formula>$C11</formula>
    </cfRule>
  </conditionalFormatting>
  <conditionalFormatting sqref="D12:E12">
    <cfRule type="expression" dxfId="5861" priority="181">
      <formula>AND($A12&lt;&gt;"",MOD(ROW(),2))</formula>
    </cfRule>
  </conditionalFormatting>
  <conditionalFormatting sqref="D12">
    <cfRule type="cellIs" dxfId="5860" priority="178" operator="equal">
      <formula>$C12</formula>
    </cfRule>
    <cfRule type="cellIs" dxfId="5859" priority="179" operator="greaterThan">
      <formula>$C12</formula>
    </cfRule>
    <cfRule type="cellIs" dxfId="5858" priority="180" operator="lessThan">
      <formula>$C12</formula>
    </cfRule>
  </conditionalFormatting>
  <conditionalFormatting sqref="D13:E13">
    <cfRule type="expression" dxfId="5857" priority="177">
      <formula>AND($A13&lt;&gt;"",MOD(ROW(),2))</formula>
    </cfRule>
  </conditionalFormatting>
  <conditionalFormatting sqref="D13">
    <cfRule type="cellIs" dxfId="5856" priority="174" operator="equal">
      <formula>$C13</formula>
    </cfRule>
    <cfRule type="cellIs" dxfId="5855" priority="175" operator="greaterThan">
      <formula>$C13</formula>
    </cfRule>
    <cfRule type="cellIs" dxfId="5854" priority="176" operator="lessThan">
      <formula>$C13</formula>
    </cfRule>
  </conditionalFormatting>
  <conditionalFormatting sqref="D14:E14">
    <cfRule type="expression" dxfId="5853" priority="173">
      <formula>AND($A14&lt;&gt;"",MOD(ROW(),2))</formula>
    </cfRule>
  </conditionalFormatting>
  <conditionalFormatting sqref="D14">
    <cfRule type="cellIs" dxfId="5852" priority="170" operator="equal">
      <formula>$C14</formula>
    </cfRule>
    <cfRule type="cellIs" dxfId="5851" priority="171" operator="greaterThan">
      <formula>$C14</formula>
    </cfRule>
    <cfRule type="cellIs" dxfId="5850" priority="172" operator="lessThan">
      <formula>$C14</formula>
    </cfRule>
  </conditionalFormatting>
  <conditionalFormatting sqref="D15:E15">
    <cfRule type="expression" dxfId="5849" priority="169">
      <formula>AND($A15&lt;&gt;"",MOD(ROW(),2))</formula>
    </cfRule>
  </conditionalFormatting>
  <conditionalFormatting sqref="D15">
    <cfRule type="cellIs" dxfId="5848" priority="166" operator="equal">
      <formula>$C15</formula>
    </cfRule>
    <cfRule type="cellIs" dxfId="5847" priority="167" operator="greaterThan">
      <formula>$C15</formula>
    </cfRule>
    <cfRule type="cellIs" dxfId="5846" priority="168" operator="lessThan">
      <formula>$C15</formula>
    </cfRule>
  </conditionalFormatting>
  <conditionalFormatting sqref="D16:E16">
    <cfRule type="expression" dxfId="5845" priority="165">
      <formula>AND($A16&lt;&gt;"",MOD(ROW(),2))</formula>
    </cfRule>
  </conditionalFormatting>
  <conditionalFormatting sqref="D16">
    <cfRule type="cellIs" dxfId="5844" priority="162" operator="equal">
      <formula>$C16</formula>
    </cfRule>
    <cfRule type="cellIs" dxfId="5843" priority="163" operator="greaterThan">
      <formula>$C16</formula>
    </cfRule>
    <cfRule type="cellIs" dxfId="5842" priority="164" operator="lessThan">
      <formula>$C16</formula>
    </cfRule>
  </conditionalFormatting>
  <conditionalFormatting sqref="D17:E17">
    <cfRule type="expression" dxfId="5841" priority="161">
      <formula>AND($A17&lt;&gt;"",MOD(ROW(),2))</formula>
    </cfRule>
  </conditionalFormatting>
  <conditionalFormatting sqref="D17">
    <cfRule type="cellIs" dxfId="5840" priority="158" operator="equal">
      <formula>$C17</formula>
    </cfRule>
    <cfRule type="cellIs" dxfId="5839" priority="159" operator="greaterThan">
      <formula>$C17</formula>
    </cfRule>
    <cfRule type="cellIs" dxfId="5838" priority="160" operator="lessThan">
      <formula>$C17</formula>
    </cfRule>
  </conditionalFormatting>
  <conditionalFormatting sqref="D18:E18">
    <cfRule type="expression" dxfId="5837" priority="157">
      <formula>AND($A18&lt;&gt;"",MOD(ROW(),2))</formula>
    </cfRule>
  </conditionalFormatting>
  <conditionalFormatting sqref="D18">
    <cfRule type="cellIs" dxfId="5836" priority="154" operator="equal">
      <formula>$C18</formula>
    </cfRule>
    <cfRule type="cellIs" dxfId="5835" priority="155" operator="greaterThan">
      <formula>$C18</formula>
    </cfRule>
    <cfRule type="cellIs" dxfId="5834" priority="156" operator="lessThan">
      <formula>$C18</formula>
    </cfRule>
  </conditionalFormatting>
  <conditionalFormatting sqref="F7:F18">
    <cfRule type="containsText" dxfId="5833" priority="130" operator="containsText" text="Unpaid Rent">
      <formula>NOT(ISERROR(SEARCH("Unpaid Rent",F7)))</formula>
    </cfRule>
    <cfRule type="containsText" dxfId="5832" priority="131" stopIfTrue="1" operator="containsText" text="Closed Account">
      <formula>NOT(ISERROR(SEARCH("Closed Account",F7)))</formula>
    </cfRule>
  </conditionalFormatting>
  <conditionalFormatting sqref="F19:F30">
    <cfRule type="containsText" dxfId="5831" priority="128" operator="containsText" text="Unpaid Rent">
      <formula>NOT(ISERROR(SEARCH("Unpaid Rent",F19)))</formula>
    </cfRule>
    <cfRule type="containsText" dxfId="5830" priority="129" stopIfTrue="1" operator="containsText" text="Closed Account">
      <formula>NOT(ISERROR(SEARCH("Closed Account",F19)))</formula>
    </cfRule>
  </conditionalFormatting>
  <conditionalFormatting sqref="D19:E19">
    <cfRule type="expression" dxfId="5829" priority="127">
      <formula>AND($A19&lt;&gt;"",MOD(ROW(),2))</formula>
    </cfRule>
  </conditionalFormatting>
  <conditionalFormatting sqref="D19">
    <cfRule type="cellIs" dxfId="5828" priority="124" operator="equal">
      <formula>$C19</formula>
    </cfRule>
    <cfRule type="cellIs" dxfId="5827" priority="125" operator="greaterThan">
      <formula>$C19</formula>
    </cfRule>
    <cfRule type="cellIs" dxfId="5826" priority="126" operator="lessThan">
      <formula>$C19</formula>
    </cfRule>
  </conditionalFormatting>
  <conditionalFormatting sqref="D20:E20">
    <cfRule type="expression" dxfId="5825" priority="123">
      <formula>AND($A20&lt;&gt;"",MOD(ROW(),2))</formula>
    </cfRule>
  </conditionalFormatting>
  <conditionalFormatting sqref="D20">
    <cfRule type="cellIs" dxfId="5824" priority="120" operator="equal">
      <formula>$C20</formula>
    </cfRule>
    <cfRule type="cellIs" dxfId="5823" priority="121" operator="greaterThan">
      <formula>$C20</formula>
    </cfRule>
    <cfRule type="cellIs" dxfId="5822" priority="122" operator="lessThan">
      <formula>$C20</formula>
    </cfRule>
  </conditionalFormatting>
  <conditionalFormatting sqref="D21:E21">
    <cfRule type="expression" dxfId="5821" priority="119">
      <formula>AND($A21&lt;&gt;"",MOD(ROW(),2))</formula>
    </cfRule>
  </conditionalFormatting>
  <conditionalFormatting sqref="D21">
    <cfRule type="cellIs" dxfId="5820" priority="116" operator="equal">
      <formula>$C21</formula>
    </cfRule>
    <cfRule type="cellIs" dxfId="5819" priority="117" operator="greaterThan">
      <formula>$C21</formula>
    </cfRule>
    <cfRule type="cellIs" dxfId="5818" priority="118" operator="lessThan">
      <formula>$C21</formula>
    </cfRule>
  </conditionalFormatting>
  <conditionalFormatting sqref="D22:E22">
    <cfRule type="expression" dxfId="5817" priority="115">
      <formula>AND($A22&lt;&gt;"",MOD(ROW(),2))</formula>
    </cfRule>
  </conditionalFormatting>
  <conditionalFormatting sqref="D22">
    <cfRule type="cellIs" dxfId="5816" priority="112" operator="equal">
      <formula>$C22</formula>
    </cfRule>
    <cfRule type="cellIs" dxfId="5815" priority="113" operator="greaterThan">
      <formula>$C22</formula>
    </cfRule>
    <cfRule type="cellIs" dxfId="5814" priority="114" operator="lessThan">
      <formula>$C22</formula>
    </cfRule>
  </conditionalFormatting>
  <conditionalFormatting sqref="D23:E23">
    <cfRule type="expression" dxfId="5813" priority="111">
      <formula>AND($A23&lt;&gt;"",MOD(ROW(),2))</formula>
    </cfRule>
  </conditionalFormatting>
  <conditionalFormatting sqref="D23">
    <cfRule type="cellIs" dxfId="5812" priority="108" operator="equal">
      <formula>$C23</formula>
    </cfRule>
    <cfRule type="cellIs" dxfId="5811" priority="109" operator="greaterThan">
      <formula>$C23</formula>
    </cfRule>
    <cfRule type="cellIs" dxfId="5810" priority="110" operator="lessThan">
      <formula>$C23</formula>
    </cfRule>
  </conditionalFormatting>
  <conditionalFormatting sqref="D24:E24">
    <cfRule type="expression" dxfId="5809" priority="107">
      <formula>AND($A24&lt;&gt;"",MOD(ROW(),2))</formula>
    </cfRule>
  </conditionalFormatting>
  <conditionalFormatting sqref="D24">
    <cfRule type="cellIs" dxfId="5808" priority="104" operator="equal">
      <formula>$C24</formula>
    </cfRule>
    <cfRule type="cellIs" dxfId="5807" priority="105" operator="greaterThan">
      <formula>$C24</formula>
    </cfRule>
    <cfRule type="cellIs" dxfId="5806" priority="106" operator="lessThan">
      <formula>$C24</formula>
    </cfRule>
  </conditionalFormatting>
  <conditionalFormatting sqref="D25:E25">
    <cfRule type="expression" dxfId="5805" priority="103">
      <formula>AND($A25&lt;&gt;"",MOD(ROW(),2))</formula>
    </cfRule>
  </conditionalFormatting>
  <conditionalFormatting sqref="D25">
    <cfRule type="cellIs" dxfId="5804" priority="100" operator="equal">
      <formula>$C25</formula>
    </cfRule>
    <cfRule type="cellIs" dxfId="5803" priority="101" operator="greaterThan">
      <formula>$C25</formula>
    </cfRule>
    <cfRule type="cellIs" dxfId="5802" priority="102" operator="lessThan">
      <formula>$C25</formula>
    </cfRule>
  </conditionalFormatting>
  <conditionalFormatting sqref="D26:E26">
    <cfRule type="expression" dxfId="5801" priority="99">
      <formula>AND($A26&lt;&gt;"",MOD(ROW(),2))</formula>
    </cfRule>
  </conditionalFormatting>
  <conditionalFormatting sqref="D26">
    <cfRule type="cellIs" dxfId="5800" priority="96" operator="equal">
      <formula>$C26</formula>
    </cfRule>
    <cfRule type="cellIs" dxfId="5799" priority="97" operator="greaterThan">
      <formula>$C26</formula>
    </cfRule>
    <cfRule type="cellIs" dxfId="5798" priority="98" operator="lessThan">
      <formula>$C26</formula>
    </cfRule>
  </conditionalFormatting>
  <conditionalFormatting sqref="D27:E27">
    <cfRule type="expression" dxfId="5797" priority="95">
      <formula>AND($A27&lt;&gt;"",MOD(ROW(),2))</formula>
    </cfRule>
  </conditionalFormatting>
  <conditionalFormatting sqref="D27">
    <cfRule type="cellIs" dxfId="5796" priority="92" operator="equal">
      <formula>$C27</formula>
    </cfRule>
    <cfRule type="cellIs" dxfId="5795" priority="93" operator="greaterThan">
      <formula>$C27</formula>
    </cfRule>
    <cfRule type="cellIs" dxfId="5794" priority="94" operator="lessThan">
      <formula>$C27</formula>
    </cfRule>
  </conditionalFormatting>
  <conditionalFormatting sqref="D28:E28">
    <cfRule type="expression" dxfId="5793" priority="91">
      <formula>AND($A28&lt;&gt;"",MOD(ROW(),2))</formula>
    </cfRule>
  </conditionalFormatting>
  <conditionalFormatting sqref="D28">
    <cfRule type="cellIs" dxfId="5792" priority="88" operator="equal">
      <formula>$C28</formula>
    </cfRule>
    <cfRule type="cellIs" dxfId="5791" priority="89" operator="greaterThan">
      <formula>$C28</formula>
    </cfRule>
    <cfRule type="cellIs" dxfId="5790" priority="90" operator="lessThan">
      <formula>$C28</formula>
    </cfRule>
  </conditionalFormatting>
  <conditionalFormatting sqref="D29:E29">
    <cfRule type="expression" dxfId="5789" priority="87">
      <formula>AND($A29&lt;&gt;"",MOD(ROW(),2))</formula>
    </cfRule>
  </conditionalFormatting>
  <conditionalFormatting sqref="D29">
    <cfRule type="cellIs" dxfId="5788" priority="84" operator="equal">
      <formula>$C29</formula>
    </cfRule>
    <cfRule type="cellIs" dxfId="5787" priority="85" operator="greaterThan">
      <formula>$C29</formula>
    </cfRule>
    <cfRule type="cellIs" dxfId="5786" priority="86" operator="lessThan">
      <formula>$C29</formula>
    </cfRule>
  </conditionalFormatting>
  <conditionalFormatting sqref="D30:E30">
    <cfRule type="expression" dxfId="5785" priority="83">
      <formula>AND($A30&lt;&gt;"",MOD(ROW(),2))</formula>
    </cfRule>
  </conditionalFormatting>
  <conditionalFormatting sqref="D30">
    <cfRule type="cellIs" dxfId="5784" priority="80" operator="equal">
      <formula>$C30</formula>
    </cfRule>
    <cfRule type="cellIs" dxfId="5783" priority="81" operator="greaterThan">
      <formula>$C30</formula>
    </cfRule>
    <cfRule type="cellIs" dxfId="5782" priority="82" operator="lessThan">
      <formula>$C30</formula>
    </cfRule>
  </conditionalFormatting>
  <conditionalFormatting sqref="D9:E9">
    <cfRule type="expression" dxfId="5781" priority="79">
      <formula>AND($A9&lt;&gt;"",MOD(ROW(),2))</formula>
    </cfRule>
  </conditionalFormatting>
  <conditionalFormatting sqref="D9">
    <cfRule type="cellIs" dxfId="5780" priority="76" operator="equal">
      <formula>$C9</formula>
    </cfRule>
    <cfRule type="cellIs" dxfId="5779" priority="77" operator="greaterThan">
      <formula>$C9</formula>
    </cfRule>
    <cfRule type="cellIs" dxfId="5778" priority="78" operator="lessThan">
      <formula>$C9</formula>
    </cfRule>
  </conditionalFormatting>
  <conditionalFormatting sqref="D10:E10">
    <cfRule type="expression" dxfId="5777" priority="75">
      <formula>AND($A10&lt;&gt;"",MOD(ROW(),2))</formula>
    </cfRule>
  </conditionalFormatting>
  <conditionalFormatting sqref="D10">
    <cfRule type="cellIs" dxfId="5776" priority="72" operator="equal">
      <formula>$C10</formula>
    </cfRule>
    <cfRule type="cellIs" dxfId="5775" priority="73" operator="greaterThan">
      <formula>$C10</formula>
    </cfRule>
    <cfRule type="cellIs" dxfId="5774" priority="74" operator="lessThan">
      <formula>$C10</formula>
    </cfRule>
  </conditionalFormatting>
  <conditionalFormatting sqref="D11:E11">
    <cfRule type="expression" dxfId="5773" priority="71">
      <formula>AND($A11&lt;&gt;"",MOD(ROW(),2))</formula>
    </cfRule>
  </conditionalFormatting>
  <conditionalFormatting sqref="D11">
    <cfRule type="cellIs" dxfId="5772" priority="68" operator="equal">
      <formula>$C11</formula>
    </cfRule>
    <cfRule type="cellIs" dxfId="5771" priority="69" operator="greaterThan">
      <formula>$C11</formula>
    </cfRule>
    <cfRule type="cellIs" dxfId="5770" priority="70" operator="lessThan">
      <formula>$C11</formula>
    </cfRule>
  </conditionalFormatting>
  <conditionalFormatting sqref="D12:E12">
    <cfRule type="expression" dxfId="5769" priority="67">
      <formula>AND($A12&lt;&gt;"",MOD(ROW(),2))</formula>
    </cfRule>
  </conditionalFormatting>
  <conditionalFormatting sqref="D12">
    <cfRule type="cellIs" dxfId="5768" priority="64" operator="equal">
      <formula>$C12</formula>
    </cfRule>
    <cfRule type="cellIs" dxfId="5767" priority="65" operator="greaterThan">
      <formula>$C12</formula>
    </cfRule>
    <cfRule type="cellIs" dxfId="5766" priority="66" operator="lessThan">
      <formula>$C12</formula>
    </cfRule>
  </conditionalFormatting>
  <conditionalFormatting sqref="D13:E13">
    <cfRule type="expression" dxfId="5765" priority="63">
      <formula>AND($A13&lt;&gt;"",MOD(ROW(),2))</formula>
    </cfRule>
  </conditionalFormatting>
  <conditionalFormatting sqref="D13">
    <cfRule type="cellIs" dxfId="5764" priority="60" operator="equal">
      <formula>$C13</formula>
    </cfRule>
    <cfRule type="cellIs" dxfId="5763" priority="61" operator="greaterThan">
      <formula>$C13</formula>
    </cfRule>
    <cfRule type="cellIs" dxfId="5762" priority="62" operator="lessThan">
      <formula>$C13</formula>
    </cfRule>
  </conditionalFormatting>
  <conditionalFormatting sqref="D14:E14">
    <cfRule type="expression" dxfId="5761" priority="59">
      <formula>AND($A14&lt;&gt;"",MOD(ROW(),2))</formula>
    </cfRule>
  </conditionalFormatting>
  <conditionalFormatting sqref="D14">
    <cfRule type="cellIs" dxfId="5760" priority="56" operator="equal">
      <formula>$C14</formula>
    </cfRule>
    <cfRule type="cellIs" dxfId="5759" priority="57" operator="greaterThan">
      <formula>$C14</formula>
    </cfRule>
    <cfRule type="cellIs" dxfId="5758" priority="58" operator="lessThan">
      <formula>$C14</formula>
    </cfRule>
  </conditionalFormatting>
  <conditionalFormatting sqref="D15:E15">
    <cfRule type="expression" dxfId="5757" priority="55">
      <formula>AND($A15&lt;&gt;"",MOD(ROW(),2))</formula>
    </cfRule>
  </conditionalFormatting>
  <conditionalFormatting sqref="D15">
    <cfRule type="cellIs" dxfId="5756" priority="52" operator="equal">
      <formula>$C15</formula>
    </cfRule>
    <cfRule type="cellIs" dxfId="5755" priority="53" operator="greaterThan">
      <formula>$C15</formula>
    </cfRule>
    <cfRule type="cellIs" dxfId="5754" priority="54" operator="lessThan">
      <formula>$C15</formula>
    </cfRule>
  </conditionalFormatting>
  <conditionalFormatting sqref="D16:E16">
    <cfRule type="expression" dxfId="5753" priority="51">
      <formula>AND($A16&lt;&gt;"",MOD(ROW(),2))</formula>
    </cfRule>
  </conditionalFormatting>
  <conditionalFormatting sqref="D16">
    <cfRule type="cellIs" dxfId="5752" priority="48" operator="equal">
      <formula>$C16</formula>
    </cfRule>
    <cfRule type="cellIs" dxfId="5751" priority="49" operator="greaterThan">
      <formula>$C16</formula>
    </cfRule>
    <cfRule type="cellIs" dxfId="5750" priority="50" operator="lessThan">
      <formula>$C16</formula>
    </cfRule>
  </conditionalFormatting>
  <conditionalFormatting sqref="D17:E17">
    <cfRule type="expression" dxfId="5749" priority="47">
      <formula>AND($A17&lt;&gt;"",MOD(ROW(),2))</formula>
    </cfRule>
  </conditionalFormatting>
  <conditionalFormatting sqref="D17">
    <cfRule type="cellIs" dxfId="5748" priority="44" operator="equal">
      <formula>$C17</formula>
    </cfRule>
    <cfRule type="cellIs" dxfId="5747" priority="45" operator="greaterThan">
      <formula>$C17</formula>
    </cfRule>
    <cfRule type="cellIs" dxfId="5746" priority="46" operator="lessThan">
      <formula>$C17</formula>
    </cfRule>
  </conditionalFormatting>
  <conditionalFormatting sqref="D61">
    <cfRule type="expression" dxfId="5745" priority="41">
      <formula>AND($A61&lt;&gt;"",MOD(ROW(),2))</formula>
    </cfRule>
  </conditionalFormatting>
  <conditionalFormatting sqref="D61">
    <cfRule type="cellIs" dxfId="5744" priority="38" operator="equal">
      <formula>$C61</formula>
    </cfRule>
    <cfRule type="cellIs" dxfId="5743" priority="39" operator="greaterThan">
      <formula>$C61</formula>
    </cfRule>
    <cfRule type="cellIs" dxfId="5742" priority="40" operator="lessThan">
      <formula>$C61</formula>
    </cfRule>
  </conditionalFormatting>
  <conditionalFormatting sqref="D62">
    <cfRule type="expression" dxfId="5741" priority="37">
      <formula>AND($A62&lt;&gt;"",MOD(ROW(),2))</formula>
    </cfRule>
  </conditionalFormatting>
  <conditionalFormatting sqref="D62">
    <cfRule type="cellIs" dxfId="5740" priority="34" operator="equal">
      <formula>$C62</formula>
    </cfRule>
    <cfRule type="cellIs" dxfId="5739" priority="35" operator="greaterThan">
      <formula>$C62</formula>
    </cfRule>
    <cfRule type="cellIs" dxfId="5738" priority="36" operator="lessThan">
      <formula>$C62</formula>
    </cfRule>
  </conditionalFormatting>
  <conditionalFormatting sqref="H64">
    <cfRule type="expression" dxfId="5737" priority="33">
      <formula>AND($A64&lt;&gt;"",MOD(ROW(),2))</formula>
    </cfRule>
  </conditionalFormatting>
  <conditionalFormatting sqref="H65">
    <cfRule type="expression" dxfId="5736" priority="32">
      <formula>AND($A65&lt;&gt;"",MOD(ROW(),2))</formula>
    </cfRule>
  </conditionalFormatting>
  <conditionalFormatting sqref="H66">
    <cfRule type="expression" dxfId="5735" priority="31">
      <formula>AND($A66&lt;&gt;"",MOD(ROW(),2))</formula>
    </cfRule>
  </conditionalFormatting>
  <conditionalFormatting sqref="H67">
    <cfRule type="expression" dxfId="5734" priority="30">
      <formula>AND($A67&lt;&gt;"",MOD(ROW(),2))</formula>
    </cfRule>
  </conditionalFormatting>
  <conditionalFormatting sqref="H68">
    <cfRule type="expression" dxfId="5733" priority="29">
      <formula>AND($A68&lt;&gt;"",MOD(ROW(),2))</formula>
    </cfRule>
  </conditionalFormatting>
  <conditionalFormatting sqref="H69">
    <cfRule type="expression" dxfId="5732" priority="28">
      <formula>AND($A69&lt;&gt;"",MOD(ROW(),2))</formula>
    </cfRule>
  </conditionalFormatting>
  <conditionalFormatting sqref="H70:H115">
    <cfRule type="expression" dxfId="5731" priority="27">
      <formula>AND($A70&lt;&gt;"",MOD(ROW(),2))</formula>
    </cfRule>
  </conditionalFormatting>
  <conditionalFormatting sqref="C65">
    <cfRule type="expression" dxfId="5730" priority="26">
      <formula>AND($A65&lt;&gt;"",MOD(ROW(),2))</formula>
    </cfRule>
  </conditionalFormatting>
  <conditionalFormatting sqref="C66">
    <cfRule type="expression" dxfId="5729" priority="25">
      <formula>AND($A66&lt;&gt;"",MOD(ROW(),2))</formula>
    </cfRule>
  </conditionalFormatting>
  <conditionalFormatting sqref="C67">
    <cfRule type="expression" dxfId="5728" priority="24">
      <formula>AND($A67&lt;&gt;"",MOD(ROW(),2))</formula>
    </cfRule>
  </conditionalFormatting>
  <conditionalFormatting sqref="C68">
    <cfRule type="expression" dxfId="5727" priority="23">
      <formula>AND($A68&lt;&gt;"",MOD(ROW(),2))</formula>
    </cfRule>
  </conditionalFormatting>
  <conditionalFormatting sqref="C69">
    <cfRule type="expression" dxfId="5726" priority="22">
      <formula>AND($A69&lt;&gt;"",MOD(ROW(),2))</formula>
    </cfRule>
  </conditionalFormatting>
  <conditionalFormatting sqref="C70">
    <cfRule type="expression" dxfId="5725" priority="21">
      <formula>AND($A70&lt;&gt;"",MOD(ROW(),2))</formula>
    </cfRule>
  </conditionalFormatting>
  <conditionalFormatting sqref="D71">
    <cfRule type="expression" dxfId="5724" priority="20">
      <formula>AND($A71&lt;&gt;"",MOD(ROW(),2))</formula>
    </cfRule>
  </conditionalFormatting>
  <conditionalFormatting sqref="D71">
    <cfRule type="cellIs" dxfId="5723" priority="17" operator="equal">
      <formula>$C71</formula>
    </cfRule>
    <cfRule type="cellIs" dxfId="5722" priority="18" operator="greaterThan">
      <formula>$C71</formula>
    </cfRule>
    <cfRule type="cellIs" dxfId="5721" priority="19" operator="lessThan">
      <formula>$C71</formula>
    </cfRule>
  </conditionalFormatting>
  <conditionalFormatting sqref="C71">
    <cfRule type="expression" dxfId="5720" priority="16">
      <formula>AND($A71&lt;&gt;"",MOD(ROW(),2))</formula>
    </cfRule>
  </conditionalFormatting>
  <conditionalFormatting sqref="D72">
    <cfRule type="expression" dxfId="5719" priority="15">
      <formula>AND($A72&lt;&gt;"",MOD(ROW(),2))</formula>
    </cfRule>
  </conditionalFormatting>
  <conditionalFormatting sqref="D72">
    <cfRule type="cellIs" dxfId="5718" priority="12" operator="equal">
      <formula>$C72</formula>
    </cfRule>
    <cfRule type="cellIs" dxfId="5717" priority="13" operator="greaterThan">
      <formula>$C72</formula>
    </cfRule>
    <cfRule type="cellIs" dxfId="5716" priority="14" operator="lessThan">
      <formula>$C72</formula>
    </cfRule>
  </conditionalFormatting>
  <conditionalFormatting sqref="C72">
    <cfRule type="expression" dxfId="5715" priority="11">
      <formula>AND($A72&lt;&gt;"",MOD(ROW(),2))</formula>
    </cfRule>
  </conditionalFormatting>
  <conditionalFormatting sqref="D73">
    <cfRule type="expression" dxfId="5714" priority="10">
      <formula>AND($A73&lt;&gt;"",MOD(ROW(),2))</formula>
    </cfRule>
  </conditionalFormatting>
  <conditionalFormatting sqref="D73">
    <cfRule type="cellIs" dxfId="5713" priority="7" operator="equal">
      <formula>$C73</formula>
    </cfRule>
    <cfRule type="cellIs" dxfId="5712" priority="8" operator="greaterThan">
      <formula>$C73</formula>
    </cfRule>
    <cfRule type="cellIs" dxfId="5711" priority="9" operator="lessThan">
      <formula>$C73</formula>
    </cfRule>
  </conditionalFormatting>
  <conditionalFormatting sqref="C73">
    <cfRule type="expression" dxfId="5710" priority="6">
      <formula>AND($A73&lt;&gt;"",MOD(ROW(),2))</formula>
    </cfRule>
  </conditionalFormatting>
  <conditionalFormatting sqref="D74:D115">
    <cfRule type="expression" dxfId="5709" priority="5">
      <formula>AND($A74&lt;&gt;"",MOD(ROW(),2))</formula>
    </cfRule>
  </conditionalFormatting>
  <conditionalFormatting sqref="D74:D115">
    <cfRule type="cellIs" dxfId="5708" priority="2" operator="equal">
      <formula>$C74</formula>
    </cfRule>
    <cfRule type="cellIs" dxfId="5707" priority="3" operator="greaterThan">
      <formula>$C74</formula>
    </cfRule>
    <cfRule type="cellIs" dxfId="5706" priority="4" operator="lessThan">
      <formula>$C74</formula>
    </cfRule>
  </conditionalFormatting>
  <conditionalFormatting sqref="C74:C115">
    <cfRule type="expression" dxfId="5705" priority="1">
      <formula>AND($A74&lt;&gt;"",MOD(ROW(),2))</formula>
    </cfRule>
  </conditionalFormatting>
  <pageMargins left="0.75" right="0.75" top="1" bottom="1" header="0.5" footer="0.5"/>
  <pageSetup paperSize="9" orientation="portrait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0000000}">
          <x14:formula1>
            <xm:f>PullDownValues!$F$2:$F$14</xm:f>
          </x14:formula1>
          <xm:sqref>L7:L354</xm:sqref>
        </x14:dataValidation>
        <x14:dataValidation type="list" allowBlank="1" showInputMessage="1" showErrorMessage="1" prompt="Payment Method" xr:uid="{00000000-0002-0000-1000-000001000000}">
          <x14:formula1>
            <xm:f>PullDownValues!$B$2:$B$12</xm:f>
          </x14:formula1>
          <xm:sqref>F7:F289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354"/>
  <sheetViews>
    <sheetView zoomScaleNormal="100" workbookViewId="0">
      <pane ySplit="5" topLeftCell="A7" activePane="bottomLeft" state="frozen"/>
      <selection pane="bottomLeft" activeCell="K32" sqref="K32"/>
    </sheetView>
  </sheetViews>
  <sheetFormatPr defaultColWidth="8.85546875" defaultRowHeight="15" customHeight="1" x14ac:dyDescent="0.25"/>
  <cols>
    <col min="1" max="1" width="3.28515625" style="10" bestFit="1" customWidth="1"/>
    <col min="2" max="3" width="12.5703125" bestFit="1" customWidth="1"/>
    <col min="4" max="4" width="12.85546875" bestFit="1" customWidth="1"/>
    <col min="5" max="5" width="15.28515625" bestFit="1" customWidth="1"/>
    <col min="6" max="6" width="15.28515625" customWidth="1"/>
    <col min="7" max="7" width="9.42578125" style="31" bestFit="1" customWidth="1"/>
    <col min="8" max="8" width="11.5703125" bestFit="1" customWidth="1"/>
    <col min="9" max="9" width="12.7109375" bestFit="1" customWidth="1"/>
    <col min="10" max="10" width="15.140625" bestFit="1" customWidth="1"/>
    <col min="11" max="11" width="10.5703125" bestFit="1" customWidth="1"/>
    <col min="12" max="12" width="12.5703125" bestFit="1" customWidth="1"/>
    <col min="13" max="13" width="10.7109375" bestFit="1" customWidth="1"/>
    <col min="14" max="14" width="12.7109375" bestFit="1" customWidth="1"/>
    <col min="16" max="16" width="10.5703125" bestFit="1" customWidth="1"/>
  </cols>
  <sheetData>
    <row r="1" spans="1:18" ht="35.1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338">
        <f>SUM(P6:P90)-O4</f>
        <v>0</v>
      </c>
      <c r="P1" s="255"/>
      <c r="Q1" s="114"/>
      <c r="R1" s="114"/>
    </row>
    <row r="2" spans="1:18" s="9" customFormat="1" ht="15.95" customHeight="1" x14ac:dyDescent="0.25">
      <c r="A2" s="287" t="s">
        <v>4</v>
      </c>
      <c r="B2" s="287"/>
      <c r="C2" s="287"/>
      <c r="D2" s="287"/>
      <c r="E2" s="287"/>
      <c r="F2" s="287"/>
      <c r="G2" s="336">
        <f>SUM($D$6:$D$2990)-SUMIF($F$7:$F$290,"Bond Received",$D$7:$D$2990)-SUMIF($F$7:$F$290,"Unpaid Rent",$D$7:$D$2990)-(SUMIF($F$7:$F$290,"Discount Rent",$D$7:$D$2990)*2)</f>
        <v>5930</v>
      </c>
      <c r="H2" s="336"/>
      <c r="I2" s="336"/>
      <c r="J2" s="260" t="s">
        <v>5</v>
      </c>
      <c r="K2" s="260"/>
      <c r="L2" s="260"/>
      <c r="M2" s="262">
        <f>SUM($K$6:$K$2989)-SUMIF($L$6:$L$2989,"Bond Return",$K$6:$K$2989)</f>
        <v>3311.66</v>
      </c>
      <c r="N2" s="263"/>
      <c r="O2" s="265"/>
      <c r="P2" s="265"/>
      <c r="Q2" s="35"/>
    </row>
    <row r="3" spans="1:18" s="9" customFormat="1" ht="15.95" customHeight="1" x14ac:dyDescent="0.25">
      <c r="A3" s="288"/>
      <c r="B3" s="288"/>
      <c r="C3" s="288"/>
      <c r="D3" s="288"/>
      <c r="E3" s="288"/>
      <c r="F3" s="288"/>
      <c r="G3" s="337"/>
      <c r="H3" s="337"/>
      <c r="I3" s="337"/>
      <c r="J3" s="261"/>
      <c r="K3" s="261"/>
      <c r="L3" s="261"/>
      <c r="M3" s="264"/>
      <c r="N3" s="264"/>
      <c r="O3" s="266"/>
      <c r="P3" s="266"/>
    </row>
    <row r="4" spans="1:18" s="9" customFormat="1" ht="15.95" customHeight="1" x14ac:dyDescent="0.25">
      <c r="A4" s="244" t="s">
        <v>6</v>
      </c>
      <c r="B4" s="244" t="s">
        <v>7</v>
      </c>
      <c r="C4" s="267" t="s">
        <v>8</v>
      </c>
      <c r="D4" s="269" t="s">
        <v>9</v>
      </c>
      <c r="E4" s="269" t="s">
        <v>10</v>
      </c>
      <c r="F4" s="252" t="s">
        <v>112</v>
      </c>
      <c r="G4" s="276" t="s">
        <v>11</v>
      </c>
      <c r="H4" s="244" t="s">
        <v>12</v>
      </c>
      <c r="I4" s="334" t="s">
        <v>113</v>
      </c>
      <c r="J4" s="246" t="s">
        <v>13</v>
      </c>
      <c r="K4" s="246" t="s">
        <v>14</v>
      </c>
      <c r="L4" s="248" t="s">
        <v>15</v>
      </c>
      <c r="M4" s="249"/>
      <c r="N4" s="271" t="s">
        <v>113</v>
      </c>
      <c r="O4" s="273">
        <f>G2-M2</f>
        <v>2618.34</v>
      </c>
      <c r="P4" s="274">
        <f>SUM(P2:P3)</f>
        <v>0</v>
      </c>
      <c r="Q4" s="63">
        <f>SUM(Q2:Q3)</f>
        <v>0</v>
      </c>
    </row>
    <row r="5" spans="1:18" s="10" customFormat="1" x14ac:dyDescent="0.25">
      <c r="A5" s="245"/>
      <c r="B5" s="245"/>
      <c r="C5" s="268"/>
      <c r="D5" s="270"/>
      <c r="E5" s="270"/>
      <c r="F5" s="253"/>
      <c r="G5" s="277"/>
      <c r="H5" s="245"/>
      <c r="I5" s="335"/>
      <c r="J5" s="247"/>
      <c r="K5" s="247"/>
      <c r="L5" s="250"/>
      <c r="M5" s="251"/>
      <c r="N5" s="272"/>
      <c r="O5" s="275"/>
      <c r="P5" s="275"/>
      <c r="Q5" s="18"/>
      <c r="R5" s="64"/>
    </row>
    <row r="6" spans="1:18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1"/>
      <c r="K6" s="42"/>
      <c r="L6" s="43" t="s">
        <v>123</v>
      </c>
      <c r="M6" s="43"/>
      <c r="N6" s="43"/>
    </row>
    <row r="7" spans="1:18" ht="15" customHeight="1" x14ac:dyDescent="0.25">
      <c r="A7" s="10">
        <v>1</v>
      </c>
      <c r="B7" s="48">
        <v>44546</v>
      </c>
      <c r="C7" s="17">
        <v>400</v>
      </c>
      <c r="D7" s="17">
        <v>400</v>
      </c>
      <c r="E7" s="16">
        <v>44545</v>
      </c>
      <c r="F7" t="s">
        <v>181</v>
      </c>
      <c r="H7" s="17">
        <f>IFERROR(IF(F6="Closed account",(IF(F7="Unpaid Rent",(C7),(C7-D7))),(IF(F7="Unpaid Rent",(C7+H6),(C7-D7+H6)))),"")</f>
        <v>0</v>
      </c>
      <c r="I7" s="17" t="s">
        <v>772</v>
      </c>
      <c r="J7" s="48">
        <v>44197</v>
      </c>
      <c r="K7" s="17">
        <v>10</v>
      </c>
      <c r="L7" s="49" t="s">
        <v>53</v>
      </c>
      <c r="N7" t="s">
        <v>772</v>
      </c>
      <c r="O7" t="s">
        <v>772</v>
      </c>
      <c r="P7" s="111">
        <f>SUMIF($I$6:$I$2992,O7,$D$6:$D$2992)-SUMIFS($D$6:$D$2992,$I$6:$I$2992,O7,$F$6:$F$2992,"Unpaid Rent")-(SUMIFS($D$6:$D$2992,$I$6:$I$2992,O7,$F$6:$F$2992,"Discount Rent")*2)-(SUMIFS($D$6:$D$2992,$I$6:$I$2992,O7,$F$6:$F$2992,"Bond Received"))-SUMIF($N$6:$N$2989,O7,$K$6:$K$2989)+SUMIFS($K$6:$K$2989,$N$6:$N$2989,O7,$L$6:$L$2989,"Bond Return")</f>
        <v>2315.38</v>
      </c>
    </row>
    <row r="8" spans="1:18" ht="15" customHeight="1" x14ac:dyDescent="0.25">
      <c r="A8" s="10">
        <v>1</v>
      </c>
      <c r="B8" s="48">
        <v>44546</v>
      </c>
      <c r="C8" s="17">
        <v>200</v>
      </c>
      <c r="D8" s="17">
        <v>200</v>
      </c>
      <c r="E8" s="16">
        <v>44545</v>
      </c>
      <c r="F8" t="s">
        <v>114</v>
      </c>
      <c r="H8" s="17">
        <f t="shared" ref="H8:H33" si="0">IFERROR(IF(F7="Closed account",(IF(F8="Unpaid Rent",(C8),(C8-D8))),(IF(F8="Unpaid Rent",(C8+H7),(C8-D8+H7)))),"")</f>
        <v>0</v>
      </c>
      <c r="I8" s="17" t="s">
        <v>772</v>
      </c>
      <c r="J8" s="48">
        <v>44642</v>
      </c>
      <c r="K8" s="17">
        <v>201.31</v>
      </c>
      <c r="L8" s="49" t="s">
        <v>20</v>
      </c>
      <c r="N8" t="s">
        <v>772</v>
      </c>
      <c r="O8" t="s">
        <v>14</v>
      </c>
      <c r="P8" s="111">
        <f t="shared" ref="P8:P21" si="1">SUMIF($I$6:$I$2992,O8,$D$6:$D$2992)-SUMIFS($D$6:$D$2992,$I$6:$I$2992,O8,$F$6:$F$2992,"Unpaid Rent")-(SUMIFS($D$6:$D$2992,$I$6:$I$2992,O8,$F$6:$F$2992,"Discount Rent")*2)-(SUMIFS($D$6:$D$2992,$I$6:$I$2992,O8,$F$6:$F$2992,"Bond Received"))-SUMIF($N$6:$N$2989,O8,$K$6:$K$2989)+SUMIFS($K$6:$K$2989,$N$6:$N$2989,O8,$L$6:$L$2989,"Bond Return")</f>
        <v>-1621.3600000000001</v>
      </c>
    </row>
    <row r="9" spans="1:18" ht="15" customHeight="1" x14ac:dyDescent="0.25">
      <c r="A9" s="10">
        <v>2</v>
      </c>
      <c r="B9" s="48">
        <f t="shared" ref="B9:B19" si="2">B8+7</f>
        <v>44553</v>
      </c>
      <c r="C9" s="17">
        <v>200</v>
      </c>
      <c r="D9" s="17">
        <v>200</v>
      </c>
      <c r="E9" s="16">
        <v>44545</v>
      </c>
      <c r="F9" t="s">
        <v>114</v>
      </c>
      <c r="H9" s="17">
        <f t="shared" si="0"/>
        <v>0</v>
      </c>
      <c r="I9" s="17" t="s">
        <v>772</v>
      </c>
      <c r="J9" s="48">
        <v>44699</v>
      </c>
      <c r="K9" s="17">
        <v>201.31</v>
      </c>
      <c r="L9" s="49" t="s">
        <v>20</v>
      </c>
      <c r="N9" t="s">
        <v>772</v>
      </c>
      <c r="O9" t="s">
        <v>923</v>
      </c>
      <c r="P9" s="111">
        <f t="shared" si="1"/>
        <v>-5.6800000000000068</v>
      </c>
    </row>
    <row r="10" spans="1:18" ht="15" customHeight="1" x14ac:dyDescent="0.25">
      <c r="A10" s="10">
        <v>3</v>
      </c>
      <c r="B10" s="48">
        <f t="shared" si="2"/>
        <v>44560</v>
      </c>
      <c r="C10" s="17">
        <v>200</v>
      </c>
      <c r="D10" s="17"/>
      <c r="E10" s="16"/>
      <c r="H10" s="17">
        <f t="shared" si="0"/>
        <v>200</v>
      </c>
      <c r="I10" s="17" t="s">
        <v>772</v>
      </c>
      <c r="J10" s="48">
        <v>44729</v>
      </c>
      <c r="K10" s="17">
        <v>210</v>
      </c>
      <c r="L10" s="49" t="s">
        <v>17</v>
      </c>
      <c r="M10" t="s">
        <v>526</v>
      </c>
      <c r="N10" t="s">
        <v>772</v>
      </c>
      <c r="O10" t="s">
        <v>986</v>
      </c>
      <c r="P10" s="111">
        <f t="shared" si="1"/>
        <v>250</v>
      </c>
    </row>
    <row r="11" spans="1:18" ht="15" customHeight="1" x14ac:dyDescent="0.25">
      <c r="A11" s="10">
        <v>4</v>
      </c>
      <c r="B11" s="48">
        <f t="shared" si="2"/>
        <v>44567</v>
      </c>
      <c r="C11" s="17">
        <v>200</v>
      </c>
      <c r="D11" s="17">
        <v>400</v>
      </c>
      <c r="E11" s="16">
        <v>44571</v>
      </c>
      <c r="F11" t="s">
        <v>117</v>
      </c>
      <c r="H11" s="17">
        <f t="shared" si="0"/>
        <v>0</v>
      </c>
      <c r="I11" s="17" t="s">
        <v>772</v>
      </c>
      <c r="J11" s="48">
        <v>44734</v>
      </c>
      <c r="K11" s="17">
        <v>26.75</v>
      </c>
      <c r="L11" s="49" t="s">
        <v>133</v>
      </c>
      <c r="N11" t="s">
        <v>772</v>
      </c>
      <c r="O11" t="s">
        <v>988</v>
      </c>
      <c r="P11" s="111">
        <f t="shared" si="1"/>
        <v>180</v>
      </c>
    </row>
    <row r="12" spans="1:18" ht="15" customHeight="1" x14ac:dyDescent="0.25">
      <c r="A12" s="10">
        <v>5</v>
      </c>
      <c r="B12" s="48">
        <f t="shared" si="2"/>
        <v>44574</v>
      </c>
      <c r="C12" s="17">
        <v>200</v>
      </c>
      <c r="D12" s="17">
        <v>200</v>
      </c>
      <c r="E12" s="16">
        <v>44586</v>
      </c>
      <c r="F12" t="s">
        <v>117</v>
      </c>
      <c r="H12" s="17">
        <f t="shared" si="0"/>
        <v>0</v>
      </c>
      <c r="I12" s="17" t="s">
        <v>772</v>
      </c>
      <c r="J12" s="48">
        <v>44734</v>
      </c>
      <c r="K12" s="17">
        <v>26.75</v>
      </c>
      <c r="L12" s="49" t="s">
        <v>133</v>
      </c>
      <c r="N12" t="s">
        <v>772</v>
      </c>
      <c r="O12" t="s">
        <v>997</v>
      </c>
      <c r="P12" s="111">
        <f t="shared" si="1"/>
        <v>1500</v>
      </c>
    </row>
    <row r="13" spans="1:18" ht="15" customHeight="1" x14ac:dyDescent="0.25">
      <c r="A13" s="10">
        <v>6</v>
      </c>
      <c r="B13" s="48">
        <f t="shared" si="2"/>
        <v>44581</v>
      </c>
      <c r="C13" s="17">
        <v>200</v>
      </c>
      <c r="D13" s="17">
        <v>200</v>
      </c>
      <c r="E13" s="16">
        <v>44590</v>
      </c>
      <c r="F13" t="s">
        <v>117</v>
      </c>
      <c r="H13" s="17">
        <f t="shared" si="0"/>
        <v>0</v>
      </c>
      <c r="I13" s="17" t="s">
        <v>772</v>
      </c>
      <c r="J13" s="48">
        <v>44734</v>
      </c>
      <c r="K13" s="17">
        <v>339</v>
      </c>
      <c r="L13" s="49" t="s">
        <v>17</v>
      </c>
      <c r="M13" t="s">
        <v>101</v>
      </c>
      <c r="N13" t="s">
        <v>772</v>
      </c>
      <c r="P13" s="111">
        <f t="shared" si="1"/>
        <v>0</v>
      </c>
    </row>
    <row r="14" spans="1:18" ht="15" customHeight="1" x14ac:dyDescent="0.25">
      <c r="A14" s="10">
        <v>7</v>
      </c>
      <c r="B14" s="48">
        <f t="shared" si="2"/>
        <v>44588</v>
      </c>
      <c r="C14" s="17">
        <v>200</v>
      </c>
      <c r="D14" s="17">
        <v>200</v>
      </c>
      <c r="E14" s="16">
        <v>44613</v>
      </c>
      <c r="F14" t="s">
        <v>117</v>
      </c>
      <c r="H14" s="17">
        <f t="shared" si="0"/>
        <v>0</v>
      </c>
      <c r="I14" s="17" t="s">
        <v>772</v>
      </c>
      <c r="J14" s="48">
        <v>44753</v>
      </c>
      <c r="K14" s="17">
        <v>150</v>
      </c>
      <c r="L14" s="49" t="s">
        <v>17</v>
      </c>
      <c r="M14" t="s">
        <v>863</v>
      </c>
      <c r="N14" t="s">
        <v>772</v>
      </c>
      <c r="P14" s="111">
        <f t="shared" si="1"/>
        <v>0</v>
      </c>
    </row>
    <row r="15" spans="1:18" ht="15" customHeight="1" x14ac:dyDescent="0.25">
      <c r="A15" s="10">
        <v>8</v>
      </c>
      <c r="B15" s="48">
        <f t="shared" si="2"/>
        <v>44595</v>
      </c>
      <c r="C15" s="17">
        <v>200</v>
      </c>
      <c r="D15" s="17">
        <v>200</v>
      </c>
      <c r="E15" s="16">
        <v>44613</v>
      </c>
      <c r="F15" t="s">
        <v>117</v>
      </c>
      <c r="H15" s="17">
        <f t="shared" si="0"/>
        <v>0</v>
      </c>
      <c r="I15" s="17" t="s">
        <v>772</v>
      </c>
      <c r="J15" s="48">
        <v>44778</v>
      </c>
      <c r="K15" s="17">
        <v>27.25</v>
      </c>
      <c r="L15" s="49" t="s">
        <v>133</v>
      </c>
      <c r="N15" t="s">
        <v>772</v>
      </c>
      <c r="P15" s="111">
        <f t="shared" si="1"/>
        <v>0</v>
      </c>
    </row>
    <row r="16" spans="1:18" ht="15" customHeight="1" x14ac:dyDescent="0.25">
      <c r="A16" s="10">
        <v>9</v>
      </c>
      <c r="B16" s="48">
        <f t="shared" si="2"/>
        <v>44602</v>
      </c>
      <c r="C16" s="17">
        <v>200</v>
      </c>
      <c r="D16" s="17"/>
      <c r="E16" s="16"/>
      <c r="H16" s="17">
        <f t="shared" si="0"/>
        <v>200</v>
      </c>
      <c r="I16" s="17" t="s">
        <v>772</v>
      </c>
      <c r="J16" s="48">
        <v>44778</v>
      </c>
      <c r="K16" s="17">
        <v>27.25</v>
      </c>
      <c r="L16" s="49" t="s">
        <v>133</v>
      </c>
      <c r="N16" t="s">
        <v>772</v>
      </c>
      <c r="P16" s="111">
        <f t="shared" si="1"/>
        <v>0</v>
      </c>
    </row>
    <row r="17" spans="1:16" ht="15" customHeight="1" x14ac:dyDescent="0.25">
      <c r="A17" s="10">
        <v>10</v>
      </c>
      <c r="B17" s="48">
        <f t="shared" si="2"/>
        <v>44609</v>
      </c>
      <c r="C17" s="17">
        <v>200</v>
      </c>
      <c r="D17" s="17">
        <v>200</v>
      </c>
      <c r="E17" s="16">
        <v>44613</v>
      </c>
      <c r="F17" t="s">
        <v>117</v>
      </c>
      <c r="H17" s="17">
        <f t="shared" si="0"/>
        <v>200</v>
      </c>
      <c r="I17" s="17" t="s">
        <v>772</v>
      </c>
      <c r="J17" s="48">
        <v>44778</v>
      </c>
      <c r="K17" s="17">
        <v>116</v>
      </c>
      <c r="L17" s="49" t="s">
        <v>133</v>
      </c>
      <c r="N17" t="s">
        <v>772</v>
      </c>
      <c r="P17" s="111">
        <f t="shared" si="1"/>
        <v>0</v>
      </c>
    </row>
    <row r="18" spans="1:16" ht="15" customHeight="1" x14ac:dyDescent="0.25">
      <c r="A18" s="10">
        <v>11</v>
      </c>
      <c r="B18" s="48">
        <f t="shared" si="2"/>
        <v>44616</v>
      </c>
      <c r="C18" s="17">
        <v>200</v>
      </c>
      <c r="D18" s="17">
        <v>200</v>
      </c>
      <c r="E18" s="16">
        <v>44623</v>
      </c>
      <c r="F18" t="s">
        <v>117</v>
      </c>
      <c r="H18" s="17">
        <f t="shared" si="0"/>
        <v>200</v>
      </c>
      <c r="I18" s="17" t="s">
        <v>772</v>
      </c>
      <c r="J18" s="48">
        <v>44778</v>
      </c>
      <c r="K18" s="17">
        <v>149</v>
      </c>
      <c r="L18" s="49" t="s">
        <v>133</v>
      </c>
      <c r="N18" t="s">
        <v>772</v>
      </c>
      <c r="P18" s="111">
        <f t="shared" si="1"/>
        <v>0</v>
      </c>
    </row>
    <row r="19" spans="1:16" ht="15" customHeight="1" x14ac:dyDescent="0.25">
      <c r="A19" s="10">
        <v>12</v>
      </c>
      <c r="B19" s="48">
        <f t="shared" si="2"/>
        <v>44623</v>
      </c>
      <c r="C19" s="17">
        <v>200</v>
      </c>
      <c r="D19" s="17">
        <v>200</v>
      </c>
      <c r="E19" s="16">
        <v>44623</v>
      </c>
      <c r="F19" t="s">
        <v>117</v>
      </c>
      <c r="H19" s="17">
        <f t="shared" si="0"/>
        <v>200</v>
      </c>
      <c r="I19" s="17" t="s">
        <v>772</v>
      </c>
      <c r="J19" s="48">
        <v>44786</v>
      </c>
      <c r="K19" s="17">
        <v>205.68</v>
      </c>
      <c r="L19" s="49" t="s">
        <v>20</v>
      </c>
      <c r="N19" t="s">
        <v>14</v>
      </c>
      <c r="P19" s="111">
        <f t="shared" si="1"/>
        <v>0</v>
      </c>
    </row>
    <row r="20" spans="1:16" ht="15" customHeight="1" x14ac:dyDescent="0.25">
      <c r="A20" s="10">
        <v>13</v>
      </c>
      <c r="B20" s="48">
        <f t="shared" ref="B20:B25" si="3">B19+7</f>
        <v>44630</v>
      </c>
      <c r="C20" s="17">
        <v>200</v>
      </c>
      <c r="D20" s="17">
        <v>200</v>
      </c>
      <c r="E20" s="16">
        <v>44631</v>
      </c>
      <c r="F20" t="s">
        <v>117</v>
      </c>
      <c r="H20" s="17">
        <f t="shared" si="0"/>
        <v>200</v>
      </c>
      <c r="I20" s="17" t="s">
        <v>772</v>
      </c>
      <c r="J20" s="48">
        <v>44797</v>
      </c>
      <c r="K20" s="17">
        <v>84</v>
      </c>
      <c r="L20" s="49" t="s">
        <v>32</v>
      </c>
      <c r="N20" t="s">
        <v>14</v>
      </c>
      <c r="P20" s="111">
        <f t="shared" si="1"/>
        <v>0</v>
      </c>
    </row>
    <row r="21" spans="1:16" ht="15" customHeight="1" x14ac:dyDescent="0.25">
      <c r="A21" s="10">
        <v>14</v>
      </c>
      <c r="B21" s="48">
        <f t="shared" si="3"/>
        <v>44637</v>
      </c>
      <c r="C21" s="17">
        <v>200</v>
      </c>
      <c r="D21" s="17">
        <v>200</v>
      </c>
      <c r="E21" s="16">
        <v>44640</v>
      </c>
      <c r="F21" t="s">
        <v>117</v>
      </c>
      <c r="H21" s="17">
        <f t="shared" si="0"/>
        <v>200</v>
      </c>
      <c r="I21" s="17" t="s">
        <v>772</v>
      </c>
      <c r="J21" s="48">
        <v>44807</v>
      </c>
      <c r="K21" s="17">
        <v>232</v>
      </c>
      <c r="L21" s="49" t="s">
        <v>133</v>
      </c>
      <c r="N21" t="s">
        <v>14</v>
      </c>
      <c r="P21" s="111">
        <f t="shared" si="1"/>
        <v>0</v>
      </c>
    </row>
    <row r="22" spans="1:16" ht="15" customHeight="1" x14ac:dyDescent="0.25">
      <c r="A22" s="10">
        <v>15</v>
      </c>
      <c r="B22" s="48">
        <f t="shared" si="3"/>
        <v>44644</v>
      </c>
      <c r="C22" s="17">
        <v>200</v>
      </c>
      <c r="D22" s="17"/>
      <c r="E22" s="16"/>
      <c r="H22" s="17">
        <f t="shared" si="0"/>
        <v>400</v>
      </c>
      <c r="I22" s="17" t="s">
        <v>772</v>
      </c>
      <c r="J22" s="48">
        <v>44810</v>
      </c>
      <c r="K22" s="17">
        <v>273</v>
      </c>
      <c r="L22" s="49" t="s">
        <v>133</v>
      </c>
      <c r="N22" t="s">
        <v>14</v>
      </c>
      <c r="P22" s="111">
        <f t="shared" ref="P22:P53" si="4">SUMIF($I$6:$I$2992,O22,$D$6:$D$2992)-SUMIFS($D$6:$D$2992,$I$6:$I$2992,O22,$F$6:$F$2992,"Unpaid Rent")-(SUMIFS($D$6:$D$2992,$I$6:$I$2992,O22,$F$6:$F$2992,"Discount Rent")*2)-(SUMIFS($D$6:$D$2992,$I$6:$I$2992,O22,$F$6:$F$2992,"Bond Received"))-SUMIF($N$6:$N$2989,O22,$K$6:$K$2989)+SUMIFS($K$6:$K$2989,$N$6:$N$2989,O22,$L$6:$L$2989,"Bond Return")</f>
        <v>0</v>
      </c>
    </row>
    <row r="23" spans="1:16" ht="15" customHeight="1" x14ac:dyDescent="0.25">
      <c r="A23" s="10">
        <v>16</v>
      </c>
      <c r="B23" s="48">
        <f t="shared" si="3"/>
        <v>44651</v>
      </c>
      <c r="C23" s="17">
        <v>200</v>
      </c>
      <c r="D23" s="17">
        <v>200</v>
      </c>
      <c r="E23" s="16">
        <v>44655</v>
      </c>
      <c r="F23" t="s">
        <v>117</v>
      </c>
      <c r="H23" s="17">
        <f t="shared" si="0"/>
        <v>400</v>
      </c>
      <c r="I23" s="17" t="s">
        <v>772</v>
      </c>
      <c r="J23" s="48">
        <v>44835</v>
      </c>
      <c r="K23" s="17">
        <v>27.25</v>
      </c>
      <c r="L23" s="49" t="s">
        <v>133</v>
      </c>
      <c r="M23" t="s">
        <v>747</v>
      </c>
      <c r="N23" t="s">
        <v>14</v>
      </c>
      <c r="P23" s="111">
        <f t="shared" si="4"/>
        <v>0</v>
      </c>
    </row>
    <row r="24" spans="1:16" ht="15" customHeight="1" x14ac:dyDescent="0.25">
      <c r="A24" s="10">
        <v>17</v>
      </c>
      <c r="B24" s="48">
        <f t="shared" si="3"/>
        <v>44658</v>
      </c>
      <c r="C24" s="17">
        <v>200</v>
      </c>
      <c r="D24" s="17"/>
      <c r="E24" s="16"/>
      <c r="H24" s="17">
        <f t="shared" si="0"/>
        <v>600</v>
      </c>
      <c r="I24" s="17" t="s">
        <v>772</v>
      </c>
      <c r="J24" s="48">
        <v>44835</v>
      </c>
      <c r="K24" s="17">
        <v>27.25</v>
      </c>
      <c r="L24" s="49" t="s">
        <v>133</v>
      </c>
      <c r="M24" t="s">
        <v>747</v>
      </c>
      <c r="N24" t="s">
        <v>14</v>
      </c>
      <c r="P24" s="111">
        <f t="shared" si="4"/>
        <v>0</v>
      </c>
    </row>
    <row r="25" spans="1:16" ht="15" customHeight="1" x14ac:dyDescent="0.25">
      <c r="A25" s="10">
        <v>18</v>
      </c>
      <c r="B25" s="48">
        <f t="shared" si="3"/>
        <v>44665</v>
      </c>
      <c r="C25" s="17">
        <v>200</v>
      </c>
      <c r="D25" s="17"/>
      <c r="E25" s="16"/>
      <c r="H25" s="17">
        <f t="shared" si="0"/>
        <v>800</v>
      </c>
      <c r="I25" s="17" t="s">
        <v>772</v>
      </c>
      <c r="J25" s="48">
        <v>44860</v>
      </c>
      <c r="K25" s="17">
        <v>566.5</v>
      </c>
      <c r="L25" s="49" t="s">
        <v>26</v>
      </c>
      <c r="M25" t="s">
        <v>675</v>
      </c>
      <c r="N25" t="s">
        <v>14</v>
      </c>
      <c r="P25" s="111">
        <f t="shared" si="4"/>
        <v>0</v>
      </c>
    </row>
    <row r="26" spans="1:16" ht="15" customHeight="1" x14ac:dyDescent="0.25">
      <c r="A26" s="10">
        <v>19</v>
      </c>
      <c r="B26" s="48">
        <f t="shared" ref="B26:B32" si="5">B25+7</f>
        <v>44672</v>
      </c>
      <c r="C26" s="17">
        <v>200</v>
      </c>
      <c r="D26" s="17"/>
      <c r="E26" s="16"/>
      <c r="H26" s="17">
        <f t="shared" si="0"/>
        <v>1000</v>
      </c>
      <c r="I26" s="17" t="s">
        <v>772</v>
      </c>
      <c r="J26" s="48">
        <v>44879</v>
      </c>
      <c r="K26" s="17">
        <v>250</v>
      </c>
      <c r="L26" s="49" t="s">
        <v>45</v>
      </c>
      <c r="N26" t="s">
        <v>923</v>
      </c>
      <c r="P26" s="111">
        <f t="shared" si="4"/>
        <v>0</v>
      </c>
    </row>
    <row r="27" spans="1:16" ht="15" customHeight="1" x14ac:dyDescent="0.25">
      <c r="A27" s="10">
        <v>20</v>
      </c>
      <c r="B27" s="48">
        <f t="shared" si="5"/>
        <v>44679</v>
      </c>
      <c r="C27" s="17">
        <v>200</v>
      </c>
      <c r="D27" s="17"/>
      <c r="E27" s="16"/>
      <c r="H27" s="17">
        <f t="shared" si="0"/>
        <v>1200</v>
      </c>
      <c r="I27" s="17" t="s">
        <v>772</v>
      </c>
      <c r="J27" s="48">
        <v>44875</v>
      </c>
      <c r="K27" s="17">
        <v>205.68</v>
      </c>
      <c r="L27" s="49" t="s">
        <v>20</v>
      </c>
      <c r="N27" t="s">
        <v>923</v>
      </c>
      <c r="P27" s="111">
        <f t="shared" si="4"/>
        <v>0</v>
      </c>
    </row>
    <row r="28" spans="1:16" ht="15" customHeight="1" x14ac:dyDescent="0.25">
      <c r="A28" s="10">
        <v>21</v>
      </c>
      <c r="B28" s="48">
        <f t="shared" si="5"/>
        <v>44686</v>
      </c>
      <c r="C28" s="17">
        <v>200</v>
      </c>
      <c r="D28" s="17">
        <v>400</v>
      </c>
      <c r="E28" s="16">
        <v>44688</v>
      </c>
      <c r="F28" t="s">
        <v>117</v>
      </c>
      <c r="H28" s="17">
        <f t="shared" si="0"/>
        <v>1000</v>
      </c>
      <c r="I28" s="17" t="s">
        <v>772</v>
      </c>
      <c r="J28" s="48">
        <v>44971</v>
      </c>
      <c r="K28" s="17">
        <v>300</v>
      </c>
      <c r="L28" s="49" t="s">
        <v>45</v>
      </c>
      <c r="N28" t="s">
        <v>988</v>
      </c>
      <c r="P28" s="111">
        <f t="shared" si="4"/>
        <v>0</v>
      </c>
    </row>
    <row r="29" spans="1:16" ht="15" customHeight="1" x14ac:dyDescent="0.25">
      <c r="A29" s="10">
        <v>22</v>
      </c>
      <c r="B29" s="48">
        <f t="shared" si="5"/>
        <v>44693</v>
      </c>
      <c r="C29" s="17">
        <v>200</v>
      </c>
      <c r="D29" s="17">
        <v>200</v>
      </c>
      <c r="E29" s="16">
        <v>44693</v>
      </c>
      <c r="F29" t="s">
        <v>117</v>
      </c>
      <c r="H29" s="17">
        <f t="shared" si="0"/>
        <v>1000</v>
      </c>
      <c r="I29" s="17" t="s">
        <v>772</v>
      </c>
      <c r="J29" s="48">
        <v>44993</v>
      </c>
      <c r="K29" s="17">
        <v>400</v>
      </c>
      <c r="L29" s="49" t="s">
        <v>45</v>
      </c>
      <c r="N29" t="s">
        <v>986</v>
      </c>
      <c r="P29" s="111">
        <f t="shared" si="4"/>
        <v>0</v>
      </c>
    </row>
    <row r="30" spans="1:16" ht="15" customHeight="1" x14ac:dyDescent="0.25">
      <c r="A30" s="10">
        <v>23</v>
      </c>
      <c r="B30" s="48">
        <f t="shared" si="5"/>
        <v>44700</v>
      </c>
      <c r="C30" s="17">
        <v>200</v>
      </c>
      <c r="D30" s="17">
        <v>200</v>
      </c>
      <c r="E30" s="16">
        <v>44702</v>
      </c>
      <c r="F30" t="s">
        <v>117</v>
      </c>
      <c r="H30" s="17">
        <f t="shared" si="0"/>
        <v>1000</v>
      </c>
      <c r="I30" s="17" t="s">
        <v>772</v>
      </c>
      <c r="J30" s="48">
        <v>45064</v>
      </c>
      <c r="K30" s="17">
        <v>205.68</v>
      </c>
      <c r="L30" s="49" t="s">
        <v>20</v>
      </c>
      <c r="N30" t="s">
        <v>14</v>
      </c>
      <c r="P30" s="111">
        <f t="shared" si="4"/>
        <v>0</v>
      </c>
    </row>
    <row r="31" spans="1:16" ht="15" customHeight="1" x14ac:dyDescent="0.25">
      <c r="A31" s="10">
        <v>24</v>
      </c>
      <c r="B31" s="48">
        <f t="shared" si="5"/>
        <v>44707</v>
      </c>
      <c r="C31" s="17">
        <v>200</v>
      </c>
      <c r="D31" s="17">
        <v>200</v>
      </c>
      <c r="E31" s="16">
        <v>45017</v>
      </c>
      <c r="F31" t="s">
        <v>117</v>
      </c>
      <c r="H31" s="17">
        <f t="shared" si="0"/>
        <v>1000</v>
      </c>
      <c r="I31" s="17" t="s">
        <v>772</v>
      </c>
      <c r="J31" s="48"/>
      <c r="K31" s="17"/>
      <c r="L31" s="49"/>
      <c r="P31" s="111">
        <f t="shared" si="4"/>
        <v>0</v>
      </c>
    </row>
    <row r="32" spans="1:16" ht="15" customHeight="1" x14ac:dyDescent="0.25">
      <c r="A32" s="10">
        <v>25</v>
      </c>
      <c r="B32" s="48">
        <f t="shared" si="5"/>
        <v>44714</v>
      </c>
      <c r="C32" s="17">
        <v>200</v>
      </c>
      <c r="D32" s="17"/>
      <c r="F32" t="s">
        <v>124</v>
      </c>
      <c r="H32" s="17">
        <f t="shared" si="0"/>
        <v>1200</v>
      </c>
      <c r="I32" s="17" t="s">
        <v>772</v>
      </c>
      <c r="J32" s="48"/>
      <c r="K32" s="17"/>
      <c r="L32" s="49"/>
      <c r="P32" s="111">
        <f t="shared" si="4"/>
        <v>0</v>
      </c>
    </row>
    <row r="33" spans="1:16" ht="15" customHeight="1" x14ac:dyDescent="0.25">
      <c r="A33" s="10">
        <v>1</v>
      </c>
      <c r="B33" s="48">
        <v>44867</v>
      </c>
      <c r="C33" s="17">
        <v>250</v>
      </c>
      <c r="D33" s="17">
        <v>250</v>
      </c>
      <c r="E33" s="16">
        <v>44867</v>
      </c>
      <c r="F33" t="s">
        <v>181</v>
      </c>
      <c r="H33" s="17">
        <f t="shared" si="0"/>
        <v>0</v>
      </c>
      <c r="I33" s="17" t="s">
        <v>923</v>
      </c>
      <c r="J33" s="48"/>
      <c r="K33" s="17"/>
      <c r="L33" s="49"/>
      <c r="P33" s="111">
        <f t="shared" si="4"/>
        <v>0</v>
      </c>
    </row>
    <row r="34" spans="1:16" ht="15" customHeight="1" x14ac:dyDescent="0.25">
      <c r="A34" s="10">
        <v>1</v>
      </c>
      <c r="B34" s="48">
        <v>44867</v>
      </c>
      <c r="C34" s="17">
        <v>200</v>
      </c>
      <c r="D34" s="17">
        <v>200</v>
      </c>
      <c r="E34" s="16">
        <v>44867</v>
      </c>
      <c r="F34" t="s">
        <v>117</v>
      </c>
      <c r="H34" s="17">
        <f t="shared" ref="H34:H58" si="6">IFERROR((C34-D34+H33),"")</f>
        <v>0</v>
      </c>
      <c r="I34" s="17" t="s">
        <v>923</v>
      </c>
      <c r="J34" s="48"/>
      <c r="K34" s="17"/>
      <c r="L34" s="49"/>
      <c r="P34" s="111">
        <f t="shared" si="4"/>
        <v>0</v>
      </c>
    </row>
    <row r="35" spans="1:16" ht="15" customHeight="1" x14ac:dyDescent="0.25">
      <c r="A35" s="10">
        <v>1</v>
      </c>
      <c r="B35" s="48">
        <v>44957</v>
      </c>
      <c r="C35" s="17">
        <v>400</v>
      </c>
      <c r="D35" s="17">
        <v>400</v>
      </c>
      <c r="E35" s="16">
        <v>44957</v>
      </c>
      <c r="F35" t="s">
        <v>181</v>
      </c>
      <c r="H35" s="17">
        <f t="shared" si="6"/>
        <v>0</v>
      </c>
      <c r="I35" s="17" t="s">
        <v>986</v>
      </c>
      <c r="J35" s="48"/>
      <c r="K35" s="17"/>
      <c r="L35" s="49"/>
      <c r="P35" s="111">
        <f t="shared" si="4"/>
        <v>0</v>
      </c>
    </row>
    <row r="36" spans="1:16" ht="15" customHeight="1" x14ac:dyDescent="0.25">
      <c r="A36" s="10">
        <v>1</v>
      </c>
      <c r="B36" s="48">
        <v>44957</v>
      </c>
      <c r="C36" s="17">
        <v>250</v>
      </c>
      <c r="D36" s="17">
        <v>250</v>
      </c>
      <c r="E36" s="16">
        <v>44957</v>
      </c>
      <c r="F36" t="s">
        <v>117</v>
      </c>
      <c r="H36" s="17">
        <f t="shared" si="6"/>
        <v>0</v>
      </c>
      <c r="I36" s="17" t="s">
        <v>986</v>
      </c>
      <c r="J36" s="48"/>
      <c r="K36" s="17"/>
      <c r="L36" s="49"/>
      <c r="P36" s="111">
        <f t="shared" si="4"/>
        <v>0</v>
      </c>
    </row>
    <row r="37" spans="1:16" ht="15" customHeight="1" x14ac:dyDescent="0.25">
      <c r="A37" s="10">
        <v>2</v>
      </c>
      <c r="B37" s="48">
        <f>B36+7</f>
        <v>44964</v>
      </c>
      <c r="C37" s="17"/>
      <c r="D37" s="17"/>
      <c r="F37" t="s">
        <v>124</v>
      </c>
      <c r="H37" s="17">
        <f t="shared" si="6"/>
        <v>0</v>
      </c>
      <c r="I37" s="17" t="s">
        <v>986</v>
      </c>
      <c r="J37" s="48"/>
      <c r="K37" s="17"/>
      <c r="L37" s="49"/>
      <c r="P37" s="111">
        <f t="shared" si="4"/>
        <v>0</v>
      </c>
    </row>
    <row r="38" spans="1:16" ht="15" customHeight="1" x14ac:dyDescent="0.25">
      <c r="A38" s="10">
        <v>1</v>
      </c>
      <c r="B38" s="48">
        <v>44959</v>
      </c>
      <c r="C38" s="17">
        <v>300</v>
      </c>
      <c r="D38" s="17">
        <v>300</v>
      </c>
      <c r="E38" s="16">
        <v>44959</v>
      </c>
      <c r="F38" t="s">
        <v>181</v>
      </c>
      <c r="H38" s="17">
        <f t="shared" si="6"/>
        <v>0</v>
      </c>
      <c r="I38" s="17" t="s">
        <v>988</v>
      </c>
      <c r="J38" s="48"/>
      <c r="K38" s="17"/>
      <c r="L38" s="49"/>
      <c r="P38" s="111">
        <f t="shared" si="4"/>
        <v>0</v>
      </c>
    </row>
    <row r="39" spans="1:16" ht="15" customHeight="1" x14ac:dyDescent="0.25">
      <c r="A39" s="10">
        <v>2</v>
      </c>
      <c r="B39" s="48">
        <v>44959</v>
      </c>
      <c r="C39" s="17">
        <v>180</v>
      </c>
      <c r="D39" s="17">
        <v>180</v>
      </c>
      <c r="E39" s="16">
        <v>44959</v>
      </c>
      <c r="F39" t="s">
        <v>117</v>
      </c>
      <c r="H39" s="17">
        <f t="shared" si="6"/>
        <v>0</v>
      </c>
      <c r="I39" s="17" t="s">
        <v>988</v>
      </c>
      <c r="J39" s="48"/>
      <c r="K39" s="17"/>
      <c r="L39" s="49"/>
      <c r="P39" s="111">
        <f t="shared" si="4"/>
        <v>0</v>
      </c>
    </row>
    <row r="40" spans="1:16" ht="15" customHeight="1" x14ac:dyDescent="0.25">
      <c r="A40" s="10">
        <v>1</v>
      </c>
      <c r="B40" s="48">
        <v>44971</v>
      </c>
      <c r="C40" s="17">
        <v>200</v>
      </c>
      <c r="D40" s="17">
        <v>200</v>
      </c>
      <c r="E40" s="16">
        <v>44971</v>
      </c>
      <c r="F40" t="s">
        <v>181</v>
      </c>
      <c r="H40" s="17">
        <f t="shared" si="6"/>
        <v>0</v>
      </c>
      <c r="I40" s="17" t="s">
        <v>997</v>
      </c>
      <c r="J40" s="48"/>
      <c r="K40" s="17"/>
      <c r="L40" s="49"/>
      <c r="P40" s="111">
        <f t="shared" si="4"/>
        <v>0</v>
      </c>
    </row>
    <row r="41" spans="1:16" ht="15" customHeight="1" x14ac:dyDescent="0.25">
      <c r="A41" s="10">
        <v>2</v>
      </c>
      <c r="B41" s="48">
        <v>44971</v>
      </c>
      <c r="C41" s="17">
        <v>200</v>
      </c>
      <c r="D41" s="17">
        <v>200</v>
      </c>
      <c r="E41" s="16">
        <v>44971</v>
      </c>
      <c r="F41" t="s">
        <v>117</v>
      </c>
      <c r="H41" s="17">
        <f t="shared" si="6"/>
        <v>0</v>
      </c>
      <c r="I41" s="17" t="s">
        <v>997</v>
      </c>
      <c r="J41" s="48"/>
      <c r="K41" s="17"/>
      <c r="L41" s="49"/>
      <c r="P41" s="111">
        <f t="shared" si="4"/>
        <v>0</v>
      </c>
    </row>
    <row r="42" spans="1:16" ht="15" customHeight="1" x14ac:dyDescent="0.25">
      <c r="A42" s="10">
        <v>3</v>
      </c>
      <c r="B42" s="48">
        <f t="shared" ref="B42:B53" si="7">B41+7</f>
        <v>44978</v>
      </c>
      <c r="C42" s="17">
        <v>200</v>
      </c>
      <c r="D42" s="17">
        <v>200</v>
      </c>
      <c r="E42" s="16">
        <v>44978</v>
      </c>
      <c r="F42" t="s">
        <v>117</v>
      </c>
      <c r="H42" s="17">
        <f t="shared" si="6"/>
        <v>0</v>
      </c>
      <c r="I42" s="17" t="s">
        <v>997</v>
      </c>
      <c r="J42" s="48"/>
      <c r="K42" s="17"/>
      <c r="L42" s="49"/>
      <c r="P42" s="111">
        <f t="shared" si="4"/>
        <v>0</v>
      </c>
    </row>
    <row r="43" spans="1:16" ht="15" customHeight="1" x14ac:dyDescent="0.25">
      <c r="A43" s="10">
        <v>4</v>
      </c>
      <c r="B43" s="48">
        <f t="shared" si="7"/>
        <v>44985</v>
      </c>
      <c r="C43" s="17">
        <v>200</v>
      </c>
      <c r="D43" s="17">
        <v>200</v>
      </c>
      <c r="E43" s="16">
        <v>44985</v>
      </c>
      <c r="F43" t="s">
        <v>117</v>
      </c>
      <c r="H43" s="17">
        <f t="shared" si="6"/>
        <v>0</v>
      </c>
      <c r="I43" s="17" t="s">
        <v>997</v>
      </c>
      <c r="J43" s="48"/>
      <c r="K43" s="17"/>
      <c r="L43" s="49"/>
      <c r="P43" s="111">
        <f t="shared" si="4"/>
        <v>0</v>
      </c>
    </row>
    <row r="44" spans="1:16" ht="15" customHeight="1" x14ac:dyDescent="0.25">
      <c r="A44" s="10">
        <v>5</v>
      </c>
      <c r="B44" s="48">
        <f t="shared" si="7"/>
        <v>44992</v>
      </c>
      <c r="C44" s="17">
        <v>200</v>
      </c>
      <c r="D44" s="17">
        <v>200</v>
      </c>
      <c r="E44" s="16">
        <v>44992</v>
      </c>
      <c r="F44" t="s">
        <v>117</v>
      </c>
      <c r="H44" s="17">
        <f t="shared" si="6"/>
        <v>0</v>
      </c>
      <c r="I44" s="17" t="s">
        <v>997</v>
      </c>
      <c r="J44" s="48"/>
      <c r="K44" s="17"/>
      <c r="L44" s="49"/>
      <c r="P44" s="111">
        <f t="shared" si="4"/>
        <v>0</v>
      </c>
    </row>
    <row r="45" spans="1:16" ht="15" customHeight="1" x14ac:dyDescent="0.25">
      <c r="A45" s="10">
        <v>6</v>
      </c>
      <c r="B45" s="48">
        <f t="shared" si="7"/>
        <v>44999</v>
      </c>
      <c r="C45" s="17">
        <v>200</v>
      </c>
      <c r="D45" s="17"/>
      <c r="E45" s="16"/>
      <c r="H45" s="17">
        <f t="shared" si="6"/>
        <v>200</v>
      </c>
      <c r="I45" s="17" t="s">
        <v>997</v>
      </c>
      <c r="J45" s="48"/>
      <c r="K45" s="17"/>
      <c r="L45" s="49"/>
      <c r="P45" s="111">
        <f t="shared" si="4"/>
        <v>0</v>
      </c>
    </row>
    <row r="46" spans="1:16" ht="15" customHeight="1" x14ac:dyDescent="0.25">
      <c r="A46" s="10">
        <v>7</v>
      </c>
      <c r="B46" s="48">
        <f t="shared" si="7"/>
        <v>45006</v>
      </c>
      <c r="C46" s="17">
        <v>200</v>
      </c>
      <c r="D46" s="17"/>
      <c r="H46" s="17">
        <f t="shared" si="6"/>
        <v>400</v>
      </c>
      <c r="I46" s="17" t="s">
        <v>997</v>
      </c>
      <c r="J46" s="48"/>
      <c r="K46" s="17"/>
      <c r="L46" s="49"/>
      <c r="P46" s="111">
        <f t="shared" si="4"/>
        <v>0</v>
      </c>
    </row>
    <row r="47" spans="1:16" ht="15" customHeight="1" x14ac:dyDescent="0.25">
      <c r="A47" s="10">
        <v>8</v>
      </c>
      <c r="B47" s="48">
        <f t="shared" si="7"/>
        <v>45013</v>
      </c>
      <c r="C47" s="17">
        <v>200</v>
      </c>
      <c r="D47" s="17"/>
      <c r="H47" s="17">
        <f t="shared" si="6"/>
        <v>600</v>
      </c>
      <c r="I47" s="17" t="s">
        <v>997</v>
      </c>
      <c r="J47" s="48"/>
      <c r="K47" s="17"/>
      <c r="L47" s="49"/>
      <c r="P47" s="111">
        <f t="shared" si="4"/>
        <v>0</v>
      </c>
    </row>
    <row r="48" spans="1:16" ht="15" customHeight="1" x14ac:dyDescent="0.25">
      <c r="A48" s="10">
        <v>9</v>
      </c>
      <c r="B48" s="48">
        <f t="shared" si="7"/>
        <v>45020</v>
      </c>
      <c r="C48" s="17">
        <v>200</v>
      </c>
      <c r="D48" s="17">
        <v>300</v>
      </c>
      <c r="E48" s="16">
        <v>45020</v>
      </c>
      <c r="F48" t="s">
        <v>117</v>
      </c>
      <c r="H48" s="17">
        <f t="shared" si="6"/>
        <v>500</v>
      </c>
      <c r="I48" s="17" t="s">
        <v>997</v>
      </c>
      <c r="J48" s="48"/>
      <c r="K48" s="17"/>
      <c r="L48" s="49"/>
      <c r="P48" s="111">
        <f t="shared" si="4"/>
        <v>0</v>
      </c>
    </row>
    <row r="49" spans="1:16" ht="15" customHeight="1" x14ac:dyDescent="0.25">
      <c r="A49" s="10">
        <v>10</v>
      </c>
      <c r="B49" s="48">
        <f t="shared" si="7"/>
        <v>45027</v>
      </c>
      <c r="C49" s="17">
        <v>200</v>
      </c>
      <c r="D49" s="17"/>
      <c r="H49" s="17">
        <f t="shared" si="6"/>
        <v>700</v>
      </c>
      <c r="I49" s="17" t="s">
        <v>997</v>
      </c>
      <c r="J49" s="48"/>
      <c r="K49" s="17"/>
      <c r="L49" s="49"/>
      <c r="P49" s="111">
        <f t="shared" si="4"/>
        <v>0</v>
      </c>
    </row>
    <row r="50" spans="1:16" ht="15" customHeight="1" x14ac:dyDescent="0.25">
      <c r="A50" s="10">
        <v>11</v>
      </c>
      <c r="B50" s="48">
        <f t="shared" si="7"/>
        <v>45034</v>
      </c>
      <c r="C50" s="17">
        <v>200</v>
      </c>
      <c r="D50" s="17">
        <v>400</v>
      </c>
      <c r="E50" s="16">
        <v>45038</v>
      </c>
      <c r="F50" t="s">
        <v>117</v>
      </c>
      <c r="H50" s="17">
        <f t="shared" si="6"/>
        <v>500</v>
      </c>
      <c r="I50" s="17" t="s">
        <v>997</v>
      </c>
      <c r="J50" s="48"/>
      <c r="K50" s="17"/>
      <c r="L50" s="49"/>
      <c r="P50" s="111">
        <f t="shared" si="4"/>
        <v>0</v>
      </c>
    </row>
    <row r="51" spans="1:16" ht="15" customHeight="1" x14ac:dyDescent="0.25">
      <c r="A51" s="10">
        <v>12</v>
      </c>
      <c r="B51" s="48">
        <f t="shared" si="7"/>
        <v>45041</v>
      </c>
      <c r="C51" s="17">
        <v>200</v>
      </c>
      <c r="D51" s="17"/>
      <c r="H51" s="17">
        <f t="shared" si="6"/>
        <v>700</v>
      </c>
      <c r="I51" s="17" t="s">
        <v>997</v>
      </c>
      <c r="J51" s="48"/>
      <c r="K51" s="17"/>
      <c r="L51" s="49"/>
      <c r="P51" s="111">
        <f t="shared" si="4"/>
        <v>0</v>
      </c>
    </row>
    <row r="52" spans="1:16" ht="15" customHeight="1" x14ac:dyDescent="0.25">
      <c r="A52" s="10">
        <v>13</v>
      </c>
      <c r="B52" s="48">
        <f t="shared" si="7"/>
        <v>45048</v>
      </c>
      <c r="C52" s="17">
        <v>200</v>
      </c>
      <c r="D52" s="17"/>
      <c r="H52" s="17">
        <f t="shared" si="6"/>
        <v>900</v>
      </c>
      <c r="I52" s="17" t="s">
        <v>997</v>
      </c>
      <c r="J52" s="48"/>
      <c r="K52" s="17"/>
      <c r="L52" s="49"/>
      <c r="P52" s="111">
        <f t="shared" si="4"/>
        <v>0</v>
      </c>
    </row>
    <row r="53" spans="1:16" ht="15" customHeight="1" x14ac:dyDescent="0.25">
      <c r="A53" s="10">
        <v>14</v>
      </c>
      <c r="B53" s="48">
        <f t="shared" si="7"/>
        <v>45055</v>
      </c>
      <c r="C53" s="17">
        <v>200</v>
      </c>
      <c r="D53" s="17"/>
      <c r="H53" s="17">
        <f t="shared" si="6"/>
        <v>1100</v>
      </c>
      <c r="I53" s="17" t="s">
        <v>997</v>
      </c>
      <c r="J53" s="48"/>
      <c r="K53" s="17"/>
      <c r="L53" s="49"/>
      <c r="P53" s="111">
        <f t="shared" si="4"/>
        <v>0</v>
      </c>
    </row>
    <row r="54" spans="1:16" ht="15" customHeight="1" x14ac:dyDescent="0.25">
      <c r="A54" s="10" t="s">
        <v>18</v>
      </c>
      <c r="B54" s="48"/>
      <c r="C54" s="17" t="str">
        <f>IF($A54&lt;&gt;"",_rent_amount+IF(#REF!&gt;0,0,#REF!),"")</f>
        <v/>
      </c>
      <c r="D54" s="17"/>
      <c r="H54" s="17" t="str">
        <f t="shared" si="6"/>
        <v/>
      </c>
      <c r="I54" s="17"/>
      <c r="J54" s="48"/>
      <c r="K54" s="17"/>
      <c r="L54" s="49"/>
    </row>
    <row r="55" spans="1:16" ht="15" customHeight="1" x14ac:dyDescent="0.25">
      <c r="A55" s="10" t="s">
        <v>18</v>
      </c>
      <c r="B55" s="48" t="str">
        <f>IF($A55&lt;&gt;"",IF(_term=26,IF(A55=1,first_payment,B54+14),IF(_term=52,IF(A55=1,first_payment,B54+7),DATE(YEAR(first_payment),MONTH(first_payment)+(A55-1)*per_year,IF(_term=24,IF(1-MOD(A55,2)=1,DAY(first_payment)+14,DAY(first_payment)),DAY(first_payment))))),"")</f>
        <v/>
      </c>
      <c r="C55" s="17" t="str">
        <f>IF($A55&lt;&gt;"",_rent_amount+IF(#REF!&gt;0,0,#REF!),"")</f>
        <v/>
      </c>
      <c r="D55" s="17"/>
      <c r="H55" s="17" t="str">
        <f t="shared" si="6"/>
        <v/>
      </c>
      <c r="I55" s="17"/>
      <c r="J55" s="48"/>
      <c r="K55" s="17"/>
      <c r="L55" s="49"/>
    </row>
    <row r="56" spans="1:16" ht="15" customHeight="1" x14ac:dyDescent="0.25">
      <c r="A56" s="10" t="s">
        <v>18</v>
      </c>
      <c r="B56" s="48" t="str">
        <f>IF($A56&lt;&gt;"",IF(_term=26,IF(A56=1,first_payment,B55+14),IF(_term=52,IF(A56=1,first_payment,B55+7),DATE(YEAR(first_payment),MONTH(first_payment)+(A56-1)*per_year,IF(_term=24,IF(1-MOD(A56,2)=1,DAY(first_payment)+14,DAY(first_payment)),DAY(first_payment))))),"")</f>
        <v/>
      </c>
      <c r="C56" s="17" t="str">
        <f>IF($A56&lt;&gt;"",_rent_amount+IF(#REF!&gt;0,0,#REF!),"")</f>
        <v/>
      </c>
      <c r="D56" s="17"/>
      <c r="H56" s="17" t="str">
        <f t="shared" si="6"/>
        <v/>
      </c>
      <c r="I56" s="17"/>
      <c r="J56" s="48"/>
      <c r="K56" s="17"/>
      <c r="L56" s="49"/>
    </row>
    <row r="57" spans="1:16" ht="15" customHeight="1" x14ac:dyDescent="0.25">
      <c r="A57" s="10" t="s">
        <v>18</v>
      </c>
      <c r="B57" s="48" t="str">
        <f>IF($A57&lt;&gt;"",IF(_term=26,IF(A57=1,first_payment,B56+14),IF(_term=52,IF(A57=1,first_payment,B56+7),DATE(YEAR(first_payment),MONTH(first_payment)+(A57-1)*per_year,IF(_term=24,IF(1-MOD(A57,2)=1,DAY(first_payment)+14,DAY(first_payment)),DAY(first_payment))))),"")</f>
        <v/>
      </c>
      <c r="C57" s="17" t="str">
        <f>IF($A57&lt;&gt;"",_rent_amount+IF(#REF!&gt;0,0,#REF!),"")</f>
        <v/>
      </c>
      <c r="D57" s="17"/>
      <c r="H57" s="17" t="str">
        <f t="shared" si="6"/>
        <v/>
      </c>
      <c r="I57" s="17"/>
      <c r="J57" s="48"/>
      <c r="K57" s="17"/>
      <c r="L57" s="49"/>
    </row>
    <row r="58" spans="1:16" ht="15" customHeight="1" x14ac:dyDescent="0.25">
      <c r="A58" s="10" t="s">
        <v>18</v>
      </c>
      <c r="B58" s="48" t="str">
        <f>IF($A58&lt;&gt;"",IF(_term=26,IF(A58=1,first_payment,B57+14),IF(_term=52,IF(A58=1,first_payment,B57+7),DATE(YEAR(first_payment),MONTH(first_payment)+(A58-1)*per_year,IF(_term=24,IF(1-MOD(A58,2)=1,DAY(first_payment)+14,DAY(first_payment)),DAY(first_payment))))),"")</f>
        <v/>
      </c>
      <c r="C58" s="17" t="str">
        <f>IF($A58&lt;&gt;"",_rent_amount+IF(#REF!&gt;0,0,#REF!),"")</f>
        <v/>
      </c>
      <c r="D58" s="17"/>
      <c r="H58" s="17" t="str">
        <f t="shared" si="6"/>
        <v/>
      </c>
      <c r="I58" s="17"/>
      <c r="J58" s="48"/>
      <c r="K58" s="17"/>
      <c r="L58" s="49"/>
    </row>
    <row r="59" spans="1:16" ht="15" customHeight="1" x14ac:dyDescent="0.25">
      <c r="B59" s="50"/>
      <c r="J59" s="48"/>
      <c r="K59" s="17"/>
      <c r="L59" s="49"/>
    </row>
    <row r="60" spans="1:16" ht="15" customHeight="1" x14ac:dyDescent="0.25">
      <c r="B60" s="50"/>
      <c r="J60" s="48"/>
      <c r="K60" s="17"/>
      <c r="L60" s="49"/>
    </row>
    <row r="61" spans="1:16" ht="15" customHeight="1" x14ac:dyDescent="0.25">
      <c r="B61" s="50"/>
      <c r="J61" s="48"/>
      <c r="K61" s="17"/>
      <c r="L61" s="49"/>
    </row>
    <row r="62" spans="1:16" ht="15" customHeight="1" x14ac:dyDescent="0.25">
      <c r="B62" s="50"/>
      <c r="J62" s="48"/>
      <c r="K62" s="17"/>
      <c r="L62" s="49"/>
    </row>
    <row r="63" spans="1:16" ht="15" customHeight="1" x14ac:dyDescent="0.25">
      <c r="B63" s="50"/>
      <c r="J63" s="48"/>
      <c r="K63" s="17"/>
      <c r="L63" s="49"/>
    </row>
    <row r="64" spans="1:16" ht="15" customHeight="1" x14ac:dyDescent="0.25">
      <c r="B64" s="50"/>
      <c r="J64" s="48"/>
      <c r="K64" s="17"/>
      <c r="L64" s="49"/>
    </row>
    <row r="65" spans="1:12" ht="15" customHeight="1" x14ac:dyDescent="0.25">
      <c r="B65" s="50"/>
      <c r="J65" s="48"/>
      <c r="K65" s="17"/>
      <c r="L65" s="49"/>
    </row>
    <row r="66" spans="1:12" ht="15" customHeight="1" x14ac:dyDescent="0.25">
      <c r="B66" s="50"/>
      <c r="J66" s="48"/>
      <c r="K66" s="17"/>
      <c r="L66" s="49"/>
    </row>
    <row r="67" spans="1:12" ht="15" customHeight="1" x14ac:dyDescent="0.25">
      <c r="B67" s="50"/>
      <c r="J67" s="48"/>
      <c r="K67" s="17"/>
      <c r="L67" s="49"/>
    </row>
    <row r="68" spans="1:12" ht="15" customHeight="1" x14ac:dyDescent="0.25">
      <c r="B68" s="50"/>
      <c r="J68" s="48"/>
      <c r="K68" s="17"/>
      <c r="L68" s="49"/>
    </row>
    <row r="69" spans="1:12" ht="15" customHeight="1" x14ac:dyDescent="0.25">
      <c r="B69" s="50"/>
      <c r="J69" s="48"/>
      <c r="K69" s="17"/>
      <c r="L69" s="49"/>
    </row>
    <row r="70" spans="1:12" ht="15" customHeight="1" x14ac:dyDescent="0.25">
      <c r="B70" s="50"/>
      <c r="J70" s="48"/>
      <c r="K70" s="17"/>
      <c r="L70" s="49"/>
    </row>
    <row r="71" spans="1:12" ht="15" customHeight="1" x14ac:dyDescent="0.25">
      <c r="B71" s="50"/>
      <c r="J71" s="48"/>
      <c r="K71" s="17"/>
      <c r="L71" s="49"/>
    </row>
    <row r="72" spans="1:12" ht="15" customHeight="1" x14ac:dyDescent="0.25">
      <c r="B72" s="50"/>
      <c r="J72" s="48"/>
      <c r="K72" s="17"/>
      <c r="L72" s="49"/>
    </row>
    <row r="73" spans="1:12" x14ac:dyDescent="0.25">
      <c r="A73"/>
      <c r="B73" s="50"/>
      <c r="J73" s="48"/>
      <c r="K73" s="17"/>
      <c r="L73" s="49"/>
    </row>
    <row r="74" spans="1:12" x14ac:dyDescent="0.25">
      <c r="A74"/>
      <c r="B74" s="50"/>
      <c r="J74" s="48"/>
      <c r="K74" s="17"/>
      <c r="L74" s="49"/>
    </row>
    <row r="75" spans="1:12" x14ac:dyDescent="0.25">
      <c r="A75"/>
      <c r="B75" s="50"/>
      <c r="J75" s="48"/>
      <c r="K75" s="17"/>
      <c r="L75" s="49"/>
    </row>
    <row r="76" spans="1:12" x14ac:dyDescent="0.25">
      <c r="A76"/>
      <c r="B76" s="50"/>
      <c r="J76" s="48"/>
      <c r="K76" s="17"/>
      <c r="L76" s="49"/>
    </row>
    <row r="77" spans="1:12" x14ac:dyDescent="0.25">
      <c r="A77"/>
      <c r="B77" s="50"/>
      <c r="J77" s="48"/>
      <c r="K77" s="17"/>
      <c r="L77" s="49"/>
    </row>
    <row r="78" spans="1:12" x14ac:dyDescent="0.25">
      <c r="A78"/>
      <c r="B78" s="50"/>
      <c r="J78" s="48"/>
      <c r="K78" s="17"/>
      <c r="L78" s="49"/>
    </row>
    <row r="79" spans="1:12" x14ac:dyDescent="0.25">
      <c r="A79"/>
      <c r="B79" s="50"/>
      <c r="J79" s="48"/>
      <c r="K79" s="17"/>
      <c r="L79" s="49"/>
    </row>
    <row r="80" spans="1:12" x14ac:dyDescent="0.25">
      <c r="A80"/>
      <c r="B80" s="50"/>
      <c r="J80" s="48"/>
      <c r="K80" s="17"/>
      <c r="L80" s="49"/>
    </row>
    <row r="81" spans="1:12" x14ac:dyDescent="0.25">
      <c r="A81"/>
      <c r="B81" s="50"/>
      <c r="J81" s="48"/>
      <c r="K81" s="17"/>
      <c r="L81" s="49"/>
    </row>
    <row r="82" spans="1:12" x14ac:dyDescent="0.25">
      <c r="A82"/>
      <c r="B82" s="50"/>
      <c r="J82" s="48"/>
      <c r="K82" s="17"/>
      <c r="L82" s="49"/>
    </row>
    <row r="83" spans="1:12" x14ac:dyDescent="0.25">
      <c r="A83"/>
      <c r="B83" s="50"/>
      <c r="J83" s="48"/>
      <c r="K83" s="17"/>
      <c r="L83" s="49"/>
    </row>
    <row r="84" spans="1:12" x14ac:dyDescent="0.25">
      <c r="A84"/>
      <c r="B84" s="50"/>
      <c r="J84" s="48"/>
      <c r="K84" s="17"/>
      <c r="L84" s="49"/>
    </row>
    <row r="85" spans="1:12" x14ac:dyDescent="0.25">
      <c r="A85"/>
      <c r="B85" s="50"/>
      <c r="J85" s="48"/>
      <c r="K85" s="17"/>
      <c r="L85" s="49"/>
    </row>
    <row r="86" spans="1:12" x14ac:dyDescent="0.25">
      <c r="A86"/>
      <c r="B86" s="50"/>
      <c r="J86" s="48"/>
      <c r="K86" s="17"/>
      <c r="L86" s="49"/>
    </row>
    <row r="87" spans="1:12" x14ac:dyDescent="0.25">
      <c r="A87"/>
      <c r="B87" s="50"/>
      <c r="J87" s="48"/>
      <c r="K87" s="17"/>
      <c r="L87" s="49"/>
    </row>
    <row r="88" spans="1:12" x14ac:dyDescent="0.25">
      <c r="A88"/>
      <c r="B88" s="50"/>
      <c r="J88" s="48"/>
      <c r="K88" s="17"/>
      <c r="L88" s="49"/>
    </row>
    <row r="89" spans="1:12" x14ac:dyDescent="0.25">
      <c r="A89"/>
      <c r="B89" s="50"/>
      <c r="J89" s="48"/>
      <c r="K89" s="17"/>
      <c r="L89" s="49"/>
    </row>
    <row r="90" spans="1:12" x14ac:dyDescent="0.25">
      <c r="A90"/>
      <c r="B90" s="50"/>
      <c r="J90" s="48"/>
      <c r="K90" s="17"/>
      <c r="L90" s="49"/>
    </row>
    <row r="91" spans="1:12" x14ac:dyDescent="0.25">
      <c r="A91"/>
      <c r="B91" s="50"/>
      <c r="J91" s="48"/>
      <c r="K91" s="17"/>
      <c r="L91" s="49"/>
    </row>
    <row r="92" spans="1:12" x14ac:dyDescent="0.25">
      <c r="A92"/>
      <c r="B92" s="50"/>
      <c r="J92" s="48"/>
      <c r="K92" s="17"/>
      <c r="L92" s="49"/>
    </row>
    <row r="93" spans="1:12" x14ac:dyDescent="0.25">
      <c r="A93"/>
      <c r="B93" s="50"/>
      <c r="J93" s="48"/>
      <c r="K93" s="17"/>
      <c r="L93" s="49"/>
    </row>
    <row r="94" spans="1:12" x14ac:dyDescent="0.25">
      <c r="A94"/>
      <c r="B94" s="50"/>
      <c r="J94" s="48"/>
      <c r="K94" s="17"/>
      <c r="L94" s="49"/>
    </row>
    <row r="95" spans="1:12" x14ac:dyDescent="0.25">
      <c r="A95"/>
      <c r="B95" s="50"/>
      <c r="J95" s="48"/>
      <c r="K95" s="17"/>
      <c r="L95" s="49"/>
    </row>
    <row r="96" spans="1:12" x14ac:dyDescent="0.25">
      <c r="A96"/>
      <c r="B96" s="50"/>
      <c r="J96" s="48"/>
      <c r="K96" s="17"/>
      <c r="L96" s="49"/>
    </row>
    <row r="97" spans="1:12" x14ac:dyDescent="0.25">
      <c r="A97"/>
      <c r="B97" s="50"/>
      <c r="J97" s="48"/>
      <c r="K97" s="17"/>
      <c r="L97" s="49"/>
    </row>
    <row r="98" spans="1:12" x14ac:dyDescent="0.25">
      <c r="A98"/>
      <c r="B98" s="50"/>
      <c r="J98" s="48"/>
      <c r="K98" s="17"/>
      <c r="L98" s="49"/>
    </row>
    <row r="99" spans="1:12" x14ac:dyDescent="0.25">
      <c r="A99"/>
      <c r="B99" s="50"/>
      <c r="J99" s="48"/>
      <c r="K99" s="17"/>
      <c r="L99" s="49"/>
    </row>
    <row r="100" spans="1:12" x14ac:dyDescent="0.25">
      <c r="A100"/>
      <c r="B100" s="50"/>
      <c r="J100" s="48"/>
      <c r="K100" s="17"/>
      <c r="L100" s="49"/>
    </row>
    <row r="101" spans="1:12" x14ac:dyDescent="0.25">
      <c r="A101"/>
      <c r="B101" s="50"/>
      <c r="J101" s="48"/>
      <c r="K101" s="17"/>
      <c r="L101" s="49"/>
    </row>
    <row r="102" spans="1:12" x14ac:dyDescent="0.25">
      <c r="A102"/>
      <c r="B102" s="50"/>
      <c r="J102" s="48"/>
      <c r="K102" s="17"/>
      <c r="L102" s="49"/>
    </row>
    <row r="103" spans="1:12" x14ac:dyDescent="0.25">
      <c r="A103"/>
      <c r="B103" s="50"/>
      <c r="J103" s="48"/>
      <c r="K103" s="17"/>
      <c r="L103" s="49"/>
    </row>
    <row r="104" spans="1:12" x14ac:dyDescent="0.25">
      <c r="A104"/>
      <c r="B104" s="50"/>
      <c r="J104" s="48"/>
      <c r="K104" s="17"/>
      <c r="L104" s="49"/>
    </row>
    <row r="105" spans="1:12" x14ac:dyDescent="0.25">
      <c r="A105"/>
      <c r="B105" s="50"/>
      <c r="J105" s="48"/>
      <c r="K105" s="17"/>
      <c r="L105" s="49"/>
    </row>
    <row r="106" spans="1:12" x14ac:dyDescent="0.25">
      <c r="A106"/>
      <c r="B106" s="50"/>
      <c r="J106" s="48"/>
      <c r="K106" s="17"/>
      <c r="L106" s="49"/>
    </row>
    <row r="107" spans="1:12" x14ac:dyDescent="0.25">
      <c r="A107"/>
      <c r="B107" s="50"/>
      <c r="J107" s="48"/>
      <c r="K107" s="17"/>
      <c r="L107" s="49"/>
    </row>
    <row r="108" spans="1:12" x14ac:dyDescent="0.25">
      <c r="A108"/>
      <c r="B108" s="50"/>
      <c r="J108" s="48"/>
      <c r="K108" s="17"/>
      <c r="L108" s="49"/>
    </row>
    <row r="109" spans="1:12" x14ac:dyDescent="0.25">
      <c r="A109"/>
      <c r="B109" s="50"/>
      <c r="J109" s="48"/>
      <c r="K109" s="17"/>
      <c r="L109" s="49"/>
    </row>
    <row r="110" spans="1:12" x14ac:dyDescent="0.25">
      <c r="A110"/>
      <c r="B110" s="50"/>
      <c r="J110" s="48"/>
      <c r="K110" s="17"/>
      <c r="L110" s="49"/>
    </row>
    <row r="111" spans="1:12" x14ac:dyDescent="0.25">
      <c r="A111"/>
      <c r="B111" s="50"/>
      <c r="J111" s="48"/>
      <c r="K111" s="17"/>
      <c r="L111" s="49"/>
    </row>
    <row r="112" spans="1:12" x14ac:dyDescent="0.25">
      <c r="A112"/>
      <c r="B112" s="50"/>
      <c r="J112" s="48"/>
      <c r="K112" s="17"/>
      <c r="L112" s="49"/>
    </row>
    <row r="113" spans="1:12" x14ac:dyDescent="0.25">
      <c r="A113"/>
      <c r="B113" s="50"/>
      <c r="J113" s="48"/>
      <c r="K113" s="17"/>
      <c r="L113" s="49"/>
    </row>
    <row r="114" spans="1:12" x14ac:dyDescent="0.25">
      <c r="A114"/>
      <c r="B114" s="50"/>
      <c r="J114" s="48"/>
      <c r="K114" s="17"/>
      <c r="L114" s="49"/>
    </row>
    <row r="115" spans="1:12" x14ac:dyDescent="0.25">
      <c r="A115"/>
      <c r="B115" s="50"/>
      <c r="J115" s="48"/>
      <c r="K115" s="17"/>
      <c r="L115" s="49"/>
    </row>
    <row r="116" spans="1:12" x14ac:dyDescent="0.25">
      <c r="A116"/>
      <c r="B116" s="50"/>
      <c r="J116" s="48"/>
      <c r="K116" s="17"/>
      <c r="L116" s="49"/>
    </row>
    <row r="117" spans="1:12" x14ac:dyDescent="0.25">
      <c r="A117"/>
      <c r="B117" s="50"/>
      <c r="J117" s="48"/>
      <c r="K117" s="17"/>
      <c r="L117" s="49"/>
    </row>
    <row r="118" spans="1:12" x14ac:dyDescent="0.25">
      <c r="A118"/>
      <c r="B118" s="50"/>
      <c r="J118" s="48"/>
      <c r="K118" s="17"/>
      <c r="L118" s="49"/>
    </row>
    <row r="119" spans="1:12" x14ac:dyDescent="0.25">
      <c r="A119"/>
      <c r="B119" s="50"/>
      <c r="J119" s="48"/>
      <c r="K119" s="17"/>
      <c r="L119" s="49"/>
    </row>
    <row r="120" spans="1:12" x14ac:dyDescent="0.25">
      <c r="A120"/>
      <c r="B120" s="50"/>
      <c r="J120" s="48"/>
      <c r="K120" s="17"/>
      <c r="L120" s="49"/>
    </row>
    <row r="121" spans="1:12" x14ac:dyDescent="0.25">
      <c r="B121" s="50"/>
      <c r="J121" s="48"/>
      <c r="K121" s="17"/>
      <c r="L121" s="49"/>
    </row>
    <row r="122" spans="1:12" x14ac:dyDescent="0.25">
      <c r="B122" s="50"/>
      <c r="J122" s="48"/>
      <c r="K122" s="17"/>
      <c r="L122" s="49"/>
    </row>
    <row r="123" spans="1:12" x14ac:dyDescent="0.25">
      <c r="B123" s="50"/>
      <c r="J123" s="48"/>
      <c r="K123" s="17"/>
      <c r="L123" s="49"/>
    </row>
    <row r="124" spans="1:12" x14ac:dyDescent="0.25">
      <c r="B124" s="50"/>
      <c r="J124" s="48"/>
      <c r="K124" s="17"/>
      <c r="L124" s="49"/>
    </row>
    <row r="125" spans="1:12" x14ac:dyDescent="0.25">
      <c r="B125" s="50"/>
      <c r="J125" s="48"/>
      <c r="K125" s="17"/>
      <c r="L125" s="49"/>
    </row>
    <row r="126" spans="1:12" x14ac:dyDescent="0.25">
      <c r="B126" s="50"/>
      <c r="J126" s="48"/>
      <c r="K126" s="17"/>
      <c r="L126" s="49"/>
    </row>
    <row r="127" spans="1:12" x14ac:dyDescent="0.25">
      <c r="B127" s="50"/>
      <c r="J127" s="48"/>
      <c r="K127" s="17"/>
      <c r="L127" s="49"/>
    </row>
    <row r="128" spans="1:12" x14ac:dyDescent="0.25">
      <c r="B128" s="50"/>
      <c r="J128" s="48"/>
      <c r="K128" s="17"/>
      <c r="L128" s="49"/>
    </row>
    <row r="129" spans="1:12" x14ac:dyDescent="0.25">
      <c r="B129" s="50"/>
      <c r="J129" s="48"/>
      <c r="K129" s="17"/>
      <c r="L129" s="49"/>
    </row>
    <row r="130" spans="1:12" x14ac:dyDescent="0.25">
      <c r="B130" s="50"/>
      <c r="J130" s="48"/>
      <c r="K130" s="17"/>
      <c r="L130" s="49"/>
    </row>
    <row r="131" spans="1:12" x14ac:dyDescent="0.25">
      <c r="B131" s="50"/>
      <c r="J131" s="48"/>
      <c r="K131" s="17"/>
      <c r="L131" s="49"/>
    </row>
    <row r="132" spans="1:12" x14ac:dyDescent="0.25">
      <c r="B132" s="50"/>
      <c r="J132" s="48"/>
      <c r="K132" s="17"/>
      <c r="L132" s="49"/>
    </row>
    <row r="133" spans="1:12" x14ac:dyDescent="0.25">
      <c r="B133" s="50"/>
      <c r="J133" s="48"/>
      <c r="K133" s="17"/>
      <c r="L133" s="49"/>
    </row>
    <row r="134" spans="1:12" x14ac:dyDescent="0.25">
      <c r="B134" s="50"/>
      <c r="J134" s="48"/>
      <c r="K134" s="17"/>
      <c r="L134" s="49"/>
    </row>
    <row r="135" spans="1:12" x14ac:dyDescent="0.25">
      <c r="B135" s="50"/>
      <c r="J135" s="48"/>
      <c r="K135" s="17"/>
      <c r="L135" s="49"/>
    </row>
    <row r="136" spans="1:12" x14ac:dyDescent="0.25">
      <c r="A136" s="10" t="s">
        <v>18</v>
      </c>
      <c r="B136" s="50" t="str">
        <f>IF($A136&lt;&gt;"",IF(_term=26,IF(A136=1,first_payment,B135+14),IF(_term=52,IF(A136=1,first_payment,B135+7),DATE(YEAR(first_payment),MONTH(first_payment)+(A136-1)*per_year,IF(_term=24,IF(1-MOD(A136,2)=1,DAY(first_payment)+14,DAY(first_payment)),DAY(first_payment))))),"")</f>
        <v/>
      </c>
      <c r="H136" t="str">
        <f>IF($A136&lt;&gt;"",$H135-$D136,"")</f>
        <v/>
      </c>
      <c r="J136" s="48"/>
      <c r="K136" s="17"/>
      <c r="L136" s="49"/>
    </row>
    <row r="137" spans="1:12" x14ac:dyDescent="0.25">
      <c r="A137" s="10" t="s">
        <v>18</v>
      </c>
      <c r="B137" s="50" t="str">
        <f>IF($A137&lt;&gt;"",IF(_term=26,IF(A137=1,first_payment,B136+14),IF(_term=52,IF(A137=1,first_payment,B136+7),DATE(YEAR(first_payment),MONTH(first_payment)+(A137-1)*per_year,IF(_term=24,IF(1-MOD(A137,2)=1,DAY(first_payment)+14,DAY(first_payment)),DAY(first_payment))))),"")</f>
        <v/>
      </c>
      <c r="H137" t="str">
        <f>IF($A137&lt;&gt;"",$H136-$D137,"")</f>
        <v/>
      </c>
      <c r="J137" s="48"/>
      <c r="K137" s="17"/>
      <c r="L137" s="49"/>
    </row>
    <row r="138" spans="1:12" x14ac:dyDescent="0.25">
      <c r="A138" s="10" t="s">
        <v>18</v>
      </c>
      <c r="B138" s="50" t="str">
        <f>IF($A138&lt;&gt;"",IF(_term=26,IF(A138=1,first_payment,B137+14),IF(_term=52,IF(A138=1,first_payment,B137+7),DATE(YEAR(first_payment),MONTH(first_payment)+(A138-1)*per_year,IF(_term=24,IF(1-MOD(A138,2)=1,DAY(first_payment)+14,DAY(first_payment)),DAY(first_payment))))),"")</f>
        <v/>
      </c>
      <c r="H138" t="str">
        <f>IF($A138&lt;&gt;"",$H137-$D138,"")</f>
        <v/>
      </c>
      <c r="J138" s="48"/>
      <c r="K138" s="17"/>
      <c r="L138" s="49"/>
    </row>
    <row r="139" spans="1:12" x14ac:dyDescent="0.25">
      <c r="A139" s="10" t="s">
        <v>18</v>
      </c>
      <c r="B139" s="50" t="str">
        <f>IF($A139&lt;&gt;"",IF(_term=26,IF(A139=1,first_payment,B138+14),IF(_term=52,IF(A139=1,first_payment,B138+7),DATE(YEAR(first_payment),MONTH(first_payment)+(A139-1)*per_year,IF(_term=24,IF(1-MOD(A139,2)=1,DAY(first_payment)+14,DAY(first_payment)),DAY(first_payment))))),"")</f>
        <v/>
      </c>
      <c r="H139" t="str">
        <f>IF($A139&lt;&gt;"",$H138-$D139,"")</f>
        <v/>
      </c>
      <c r="J139" s="48"/>
      <c r="K139" s="17"/>
      <c r="L139" s="49"/>
    </row>
    <row r="140" spans="1:12" ht="15" customHeight="1" x14ac:dyDescent="0.25">
      <c r="J140" s="48"/>
      <c r="K140" s="17"/>
      <c r="L140" s="49"/>
    </row>
    <row r="141" spans="1:12" ht="15" customHeight="1" x14ac:dyDescent="0.25">
      <c r="J141" s="48"/>
      <c r="K141" s="17"/>
      <c r="L141" s="49"/>
    </row>
    <row r="142" spans="1:12" ht="15" customHeight="1" x14ac:dyDescent="0.25">
      <c r="J142" s="48"/>
      <c r="K142" s="17"/>
      <c r="L142" s="49"/>
    </row>
    <row r="143" spans="1:12" ht="15" customHeight="1" x14ac:dyDescent="0.25">
      <c r="J143" s="48"/>
      <c r="K143" s="17"/>
      <c r="L143" s="49"/>
    </row>
    <row r="144" spans="1:12" ht="15" customHeight="1" x14ac:dyDescent="0.25">
      <c r="J144" s="48"/>
      <c r="K144" s="17"/>
      <c r="L144" s="49"/>
    </row>
    <row r="145" spans="10:12" ht="15" customHeight="1" x14ac:dyDescent="0.25">
      <c r="J145" s="48"/>
      <c r="K145" s="17"/>
      <c r="L145" s="49"/>
    </row>
    <row r="146" spans="10:12" ht="15" customHeight="1" x14ac:dyDescent="0.25">
      <c r="J146" s="48"/>
      <c r="K146" s="17"/>
      <c r="L146" s="49"/>
    </row>
    <row r="147" spans="10:12" ht="15" customHeight="1" x14ac:dyDescent="0.25">
      <c r="J147" s="48"/>
      <c r="K147" s="17"/>
      <c r="L147" s="49"/>
    </row>
    <row r="148" spans="10:12" ht="15" customHeight="1" x14ac:dyDescent="0.25">
      <c r="J148" s="48"/>
      <c r="K148" s="17"/>
      <c r="L148" s="49"/>
    </row>
    <row r="149" spans="10:12" ht="15" customHeight="1" x14ac:dyDescent="0.25">
      <c r="J149" s="48"/>
      <c r="K149" s="17"/>
      <c r="L149" s="49"/>
    </row>
    <row r="150" spans="10:12" ht="15" customHeight="1" x14ac:dyDescent="0.25">
      <c r="J150" s="48"/>
      <c r="K150" s="17"/>
      <c r="L150" s="49"/>
    </row>
    <row r="151" spans="10:12" ht="15" customHeight="1" x14ac:dyDescent="0.25">
      <c r="J151" s="48"/>
      <c r="K151" s="17"/>
      <c r="L151" s="49"/>
    </row>
    <row r="152" spans="10:12" ht="15" customHeight="1" x14ac:dyDescent="0.25">
      <c r="J152" s="48"/>
      <c r="K152" s="17"/>
      <c r="L152" s="49"/>
    </row>
    <row r="153" spans="10:12" ht="15" customHeight="1" x14ac:dyDescent="0.25">
      <c r="J153" s="48"/>
      <c r="K153" s="17"/>
      <c r="L153" s="49"/>
    </row>
    <row r="154" spans="10:12" ht="15" customHeight="1" x14ac:dyDescent="0.25">
      <c r="J154" s="48"/>
      <c r="K154" s="17"/>
      <c r="L154" s="49"/>
    </row>
    <row r="155" spans="10:12" ht="15" customHeight="1" x14ac:dyDescent="0.25">
      <c r="J155" s="48"/>
      <c r="K155" s="17"/>
      <c r="L155" s="49"/>
    </row>
    <row r="156" spans="10:12" ht="15" customHeight="1" x14ac:dyDescent="0.25">
      <c r="J156" s="48"/>
      <c r="K156" s="17"/>
      <c r="L156" s="49"/>
    </row>
    <row r="157" spans="10:12" ht="15" customHeight="1" x14ac:dyDescent="0.25">
      <c r="J157" s="48"/>
      <c r="K157" s="17"/>
      <c r="L157" s="49"/>
    </row>
    <row r="158" spans="10:12" ht="15" customHeight="1" x14ac:dyDescent="0.25">
      <c r="J158" s="48"/>
      <c r="K158" s="17"/>
      <c r="L158" s="49"/>
    </row>
    <row r="159" spans="10:12" ht="15" customHeight="1" x14ac:dyDescent="0.25">
      <c r="J159" s="48"/>
      <c r="K159" s="17"/>
      <c r="L159" s="49"/>
    </row>
    <row r="160" spans="10:12" ht="15" customHeight="1" x14ac:dyDescent="0.25">
      <c r="J160" s="48"/>
      <c r="K160" s="17"/>
      <c r="L160" s="49"/>
    </row>
    <row r="161" spans="10:12" ht="15" customHeight="1" x14ac:dyDescent="0.25">
      <c r="J161" s="48"/>
      <c r="K161" s="17"/>
      <c r="L161" s="49"/>
    </row>
    <row r="162" spans="10:12" ht="15" customHeight="1" x14ac:dyDescent="0.25">
      <c r="J162" s="48"/>
      <c r="K162" s="17"/>
      <c r="L162" s="49"/>
    </row>
    <row r="163" spans="10:12" ht="15" customHeight="1" x14ac:dyDescent="0.25">
      <c r="J163" s="48"/>
      <c r="K163" s="17"/>
      <c r="L163" s="49"/>
    </row>
    <row r="164" spans="10:12" ht="15" customHeight="1" x14ac:dyDescent="0.25">
      <c r="J164" s="48"/>
      <c r="K164" s="17"/>
      <c r="L164" s="49"/>
    </row>
    <row r="165" spans="10:12" ht="15" customHeight="1" x14ac:dyDescent="0.25">
      <c r="J165" s="48"/>
      <c r="K165" s="17"/>
      <c r="L165" s="49"/>
    </row>
    <row r="166" spans="10:12" ht="15" customHeight="1" x14ac:dyDescent="0.25">
      <c r="J166" s="48"/>
      <c r="K166" s="17"/>
      <c r="L166" s="49"/>
    </row>
    <row r="167" spans="10:12" ht="15" customHeight="1" x14ac:dyDescent="0.25">
      <c r="J167" s="48"/>
      <c r="K167" s="17"/>
      <c r="L167" s="49"/>
    </row>
    <row r="168" spans="10:12" ht="15" customHeight="1" x14ac:dyDescent="0.25">
      <c r="J168" s="48"/>
      <c r="K168" s="17"/>
      <c r="L168" s="49"/>
    </row>
    <row r="169" spans="10:12" ht="15" customHeight="1" x14ac:dyDescent="0.25">
      <c r="J169" s="48"/>
      <c r="K169" s="17"/>
      <c r="L169" s="49"/>
    </row>
    <row r="170" spans="10:12" ht="15" customHeight="1" x14ac:dyDescent="0.25">
      <c r="J170" s="48"/>
      <c r="K170" s="17"/>
      <c r="L170" s="49"/>
    </row>
    <row r="171" spans="10:12" ht="15" customHeight="1" x14ac:dyDescent="0.25">
      <c r="J171" s="48"/>
      <c r="K171" s="17"/>
      <c r="L171" s="49"/>
    </row>
    <row r="172" spans="10:12" ht="15" customHeight="1" x14ac:dyDescent="0.25">
      <c r="J172" s="48"/>
      <c r="K172" s="17"/>
      <c r="L172" s="49"/>
    </row>
    <row r="173" spans="10:12" ht="15" customHeight="1" x14ac:dyDescent="0.25">
      <c r="J173" s="48"/>
      <c r="K173" s="17"/>
      <c r="L173" s="49"/>
    </row>
    <row r="174" spans="10:12" ht="15" customHeight="1" x14ac:dyDescent="0.25">
      <c r="J174" s="48"/>
      <c r="K174" s="17"/>
      <c r="L174" s="49"/>
    </row>
    <row r="175" spans="10:12" ht="15" customHeight="1" x14ac:dyDescent="0.25">
      <c r="J175" s="48"/>
      <c r="K175" s="17"/>
      <c r="L175" s="49"/>
    </row>
    <row r="176" spans="10:12" ht="15" customHeight="1" x14ac:dyDescent="0.25">
      <c r="J176" s="48"/>
      <c r="K176" s="17"/>
      <c r="L176" s="49"/>
    </row>
    <row r="177" spans="10:12" ht="15" customHeight="1" x14ac:dyDescent="0.25">
      <c r="J177" s="48"/>
      <c r="K177" s="17"/>
      <c r="L177" s="49"/>
    </row>
    <row r="178" spans="10:12" ht="15" customHeight="1" x14ac:dyDescent="0.25">
      <c r="J178" s="48"/>
      <c r="K178" s="17"/>
      <c r="L178" s="49"/>
    </row>
    <row r="179" spans="10:12" ht="15" customHeight="1" x14ac:dyDescent="0.25">
      <c r="J179" s="48"/>
      <c r="K179" s="17"/>
      <c r="L179" s="49"/>
    </row>
    <row r="180" spans="10:12" ht="15" customHeight="1" x14ac:dyDescent="0.25">
      <c r="J180" s="48"/>
      <c r="K180" s="17"/>
      <c r="L180" s="49"/>
    </row>
    <row r="181" spans="10:12" ht="15" customHeight="1" x14ac:dyDescent="0.25">
      <c r="J181" s="48"/>
      <c r="K181" s="17"/>
      <c r="L181" s="49"/>
    </row>
    <row r="182" spans="10:12" ht="15" customHeight="1" x14ac:dyDescent="0.25">
      <c r="J182" s="48"/>
      <c r="K182" s="17"/>
      <c r="L182" s="49"/>
    </row>
    <row r="183" spans="10:12" ht="15" customHeight="1" x14ac:dyDescent="0.25">
      <c r="J183" s="48"/>
      <c r="K183" s="17"/>
      <c r="L183" s="49"/>
    </row>
    <row r="184" spans="10:12" ht="15" customHeight="1" x14ac:dyDescent="0.25">
      <c r="J184" s="48"/>
      <c r="K184" s="17"/>
      <c r="L184" s="49"/>
    </row>
    <row r="185" spans="10:12" ht="15" customHeight="1" x14ac:dyDescent="0.25">
      <c r="J185" s="48"/>
      <c r="K185" s="17"/>
      <c r="L185" s="49"/>
    </row>
    <row r="186" spans="10:12" ht="15" customHeight="1" x14ac:dyDescent="0.25">
      <c r="J186" s="48"/>
      <c r="K186" s="17"/>
      <c r="L186" s="49"/>
    </row>
    <row r="187" spans="10:12" ht="15" customHeight="1" x14ac:dyDescent="0.25">
      <c r="J187" s="48"/>
      <c r="K187" s="17"/>
      <c r="L187" s="49"/>
    </row>
    <row r="188" spans="10:12" ht="15" customHeight="1" x14ac:dyDescent="0.25">
      <c r="J188" s="48"/>
      <c r="K188" s="17"/>
      <c r="L188" s="49"/>
    </row>
    <row r="189" spans="10:12" ht="15" customHeight="1" x14ac:dyDescent="0.25">
      <c r="J189" s="48"/>
      <c r="K189" s="17"/>
      <c r="L189" s="49"/>
    </row>
    <row r="190" spans="10:12" ht="15" customHeight="1" x14ac:dyDescent="0.25">
      <c r="J190" s="48"/>
      <c r="K190" s="17"/>
      <c r="L190" s="49"/>
    </row>
    <row r="191" spans="10:12" ht="15" customHeight="1" x14ac:dyDescent="0.25">
      <c r="J191" s="48"/>
      <c r="K191" s="17"/>
      <c r="L191" s="49"/>
    </row>
    <row r="192" spans="10:12" ht="15" customHeight="1" x14ac:dyDescent="0.25">
      <c r="J192" s="48"/>
      <c r="K192" s="17"/>
      <c r="L192" s="49"/>
    </row>
    <row r="193" spans="10:12" ht="15" customHeight="1" x14ac:dyDescent="0.25">
      <c r="J193" s="48"/>
      <c r="K193" s="17"/>
      <c r="L193" s="49"/>
    </row>
    <row r="194" spans="10:12" ht="15" customHeight="1" x14ac:dyDescent="0.25">
      <c r="J194" s="48"/>
      <c r="K194" s="17"/>
      <c r="L194" s="49"/>
    </row>
    <row r="195" spans="10:12" ht="15" customHeight="1" x14ac:dyDescent="0.25">
      <c r="J195" s="48"/>
      <c r="K195" s="17"/>
      <c r="L195" s="49"/>
    </row>
    <row r="196" spans="10:12" ht="15" customHeight="1" x14ac:dyDescent="0.25">
      <c r="J196" s="48"/>
      <c r="K196" s="17"/>
      <c r="L196" s="49"/>
    </row>
    <row r="197" spans="10:12" ht="15" customHeight="1" x14ac:dyDescent="0.25">
      <c r="J197" s="48"/>
      <c r="K197" s="17"/>
      <c r="L197" s="49"/>
    </row>
    <row r="198" spans="10:12" ht="15" customHeight="1" x14ac:dyDescent="0.25">
      <c r="J198" s="48"/>
      <c r="K198" s="17"/>
      <c r="L198" s="49"/>
    </row>
    <row r="199" spans="10:12" ht="15" customHeight="1" x14ac:dyDescent="0.25">
      <c r="J199" s="48"/>
      <c r="K199" s="17"/>
      <c r="L199" s="49"/>
    </row>
    <row r="200" spans="10:12" ht="15" customHeight="1" x14ac:dyDescent="0.25">
      <c r="J200" s="48"/>
      <c r="K200" s="17"/>
      <c r="L200" s="49"/>
    </row>
    <row r="201" spans="10:12" ht="15" customHeight="1" x14ac:dyDescent="0.25">
      <c r="J201" s="48"/>
      <c r="K201" s="17"/>
      <c r="L201" s="49"/>
    </row>
    <row r="202" spans="10:12" ht="15" customHeight="1" x14ac:dyDescent="0.25">
      <c r="J202" s="48"/>
      <c r="K202" s="17"/>
      <c r="L202" s="49"/>
    </row>
    <row r="203" spans="10:12" ht="15" customHeight="1" x14ac:dyDescent="0.25">
      <c r="J203" s="48"/>
      <c r="K203" s="17"/>
      <c r="L203" s="49"/>
    </row>
    <row r="204" spans="10:12" ht="15" customHeight="1" x14ac:dyDescent="0.25">
      <c r="J204" s="48"/>
      <c r="K204" s="17"/>
      <c r="L204" s="49"/>
    </row>
    <row r="205" spans="10:12" ht="15" customHeight="1" x14ac:dyDescent="0.25">
      <c r="J205" s="48"/>
      <c r="K205" s="17"/>
      <c r="L205" s="49"/>
    </row>
    <row r="206" spans="10:12" ht="15" customHeight="1" x14ac:dyDescent="0.25">
      <c r="J206" s="48"/>
      <c r="K206" s="17"/>
      <c r="L206" s="49"/>
    </row>
    <row r="207" spans="10:12" ht="15" customHeight="1" x14ac:dyDescent="0.25">
      <c r="J207" s="48"/>
      <c r="K207" s="17"/>
      <c r="L207" s="49"/>
    </row>
    <row r="208" spans="10:12" ht="15" customHeight="1" x14ac:dyDescent="0.25">
      <c r="J208" s="48"/>
      <c r="K208" s="17"/>
      <c r="L208" s="49"/>
    </row>
    <row r="209" spans="10:12" ht="15" customHeight="1" x14ac:dyDescent="0.25">
      <c r="J209" s="48"/>
      <c r="K209" s="17"/>
      <c r="L209" s="49"/>
    </row>
    <row r="210" spans="10:12" ht="15" customHeight="1" x14ac:dyDescent="0.25">
      <c r="J210" s="48"/>
      <c r="K210" s="17"/>
      <c r="L210" s="49"/>
    </row>
    <row r="211" spans="10:12" ht="15" customHeight="1" x14ac:dyDescent="0.25">
      <c r="J211" s="48"/>
      <c r="K211" s="17"/>
      <c r="L211" s="49"/>
    </row>
    <row r="212" spans="10:12" ht="15" customHeight="1" x14ac:dyDescent="0.25">
      <c r="J212" s="48"/>
      <c r="K212" s="17"/>
      <c r="L212" s="49"/>
    </row>
    <row r="213" spans="10:12" ht="15" customHeight="1" x14ac:dyDescent="0.25">
      <c r="J213" s="48"/>
      <c r="K213" s="17"/>
      <c r="L213" s="49"/>
    </row>
    <row r="214" spans="10:12" ht="15" customHeight="1" x14ac:dyDescent="0.25">
      <c r="J214" s="48"/>
      <c r="K214" s="17"/>
      <c r="L214" s="49"/>
    </row>
    <row r="215" spans="10:12" ht="15" customHeight="1" x14ac:dyDescent="0.25">
      <c r="J215" s="48"/>
      <c r="K215" s="17"/>
      <c r="L215" s="49"/>
    </row>
    <row r="216" spans="10:12" ht="15" customHeight="1" x14ac:dyDescent="0.25">
      <c r="J216" s="48"/>
      <c r="K216" s="17"/>
      <c r="L216" s="49"/>
    </row>
    <row r="217" spans="10:12" ht="15" customHeight="1" x14ac:dyDescent="0.25">
      <c r="J217" s="48"/>
      <c r="K217" s="17"/>
      <c r="L217" s="49"/>
    </row>
    <row r="218" spans="10:12" ht="15" customHeight="1" x14ac:dyDescent="0.25">
      <c r="J218" s="48"/>
      <c r="K218" s="17"/>
      <c r="L218" s="49"/>
    </row>
    <row r="219" spans="10:12" ht="15" customHeight="1" x14ac:dyDescent="0.25">
      <c r="J219" s="48"/>
      <c r="K219" s="17"/>
      <c r="L219" s="49"/>
    </row>
    <row r="220" spans="10:12" ht="15" customHeight="1" x14ac:dyDescent="0.25">
      <c r="J220" s="48"/>
      <c r="K220" s="17"/>
      <c r="L220" s="49"/>
    </row>
    <row r="221" spans="10:12" ht="15" customHeight="1" x14ac:dyDescent="0.25">
      <c r="J221" s="48"/>
      <c r="K221" s="17"/>
      <c r="L221" s="49"/>
    </row>
    <row r="222" spans="10:12" ht="15" customHeight="1" x14ac:dyDescent="0.25">
      <c r="J222" s="48"/>
      <c r="K222" s="17"/>
      <c r="L222" s="49"/>
    </row>
    <row r="223" spans="10:12" ht="15" customHeight="1" x14ac:dyDescent="0.25">
      <c r="J223" s="48"/>
      <c r="K223" s="17"/>
      <c r="L223" s="49"/>
    </row>
    <row r="224" spans="10:12" ht="15" customHeight="1" x14ac:dyDescent="0.25">
      <c r="J224" s="48"/>
      <c r="K224" s="17"/>
      <c r="L224" s="49"/>
    </row>
    <row r="225" spans="10:12" ht="15" customHeight="1" x14ac:dyDescent="0.25">
      <c r="J225" s="48"/>
      <c r="K225" s="17"/>
      <c r="L225" s="49"/>
    </row>
    <row r="226" spans="10:12" ht="15" customHeight="1" x14ac:dyDescent="0.25">
      <c r="J226" s="48"/>
      <c r="K226" s="17"/>
      <c r="L226" s="49"/>
    </row>
    <row r="227" spans="10:12" ht="15" customHeight="1" x14ac:dyDescent="0.25">
      <c r="J227" s="48"/>
      <c r="K227" s="17"/>
      <c r="L227" s="49"/>
    </row>
    <row r="228" spans="10:12" ht="15" customHeight="1" x14ac:dyDescent="0.25">
      <c r="J228" s="48"/>
      <c r="K228" s="17"/>
      <c r="L228" s="49"/>
    </row>
    <row r="229" spans="10:12" ht="15" customHeight="1" x14ac:dyDescent="0.25">
      <c r="J229" s="48"/>
      <c r="K229" s="17"/>
      <c r="L229" s="49"/>
    </row>
    <row r="230" spans="10:12" ht="15" customHeight="1" x14ac:dyDescent="0.25">
      <c r="J230" s="48"/>
      <c r="K230" s="17"/>
      <c r="L230" s="49"/>
    </row>
    <row r="231" spans="10:12" ht="15" customHeight="1" x14ac:dyDescent="0.25">
      <c r="J231" s="48"/>
      <c r="K231" s="17"/>
      <c r="L231" s="49"/>
    </row>
    <row r="232" spans="10:12" ht="15" customHeight="1" x14ac:dyDescent="0.25">
      <c r="J232" s="48"/>
      <c r="K232" s="17"/>
      <c r="L232" s="49"/>
    </row>
    <row r="233" spans="10:12" ht="15" customHeight="1" x14ac:dyDescent="0.25">
      <c r="J233" s="48"/>
      <c r="K233" s="17"/>
      <c r="L233" s="49"/>
    </row>
    <row r="234" spans="10:12" ht="15" customHeight="1" x14ac:dyDescent="0.25">
      <c r="J234" s="48"/>
      <c r="K234" s="17"/>
      <c r="L234" s="49"/>
    </row>
    <row r="235" spans="10:12" ht="15" customHeight="1" x14ac:dyDescent="0.25">
      <c r="J235" s="48"/>
      <c r="K235" s="17"/>
      <c r="L235" s="49"/>
    </row>
    <row r="236" spans="10:12" ht="15" customHeight="1" x14ac:dyDescent="0.25">
      <c r="J236" s="48"/>
      <c r="K236" s="17"/>
      <c r="L236" s="49"/>
    </row>
    <row r="237" spans="10:12" ht="15" customHeight="1" x14ac:dyDescent="0.25">
      <c r="J237" s="48"/>
      <c r="K237" s="17"/>
      <c r="L237" s="49"/>
    </row>
    <row r="238" spans="10:12" ht="15" customHeight="1" x14ac:dyDescent="0.25">
      <c r="J238" s="48"/>
      <c r="K238" s="17"/>
      <c r="L238" s="49"/>
    </row>
    <row r="239" spans="10:12" ht="15" customHeight="1" x14ac:dyDescent="0.25">
      <c r="J239" s="48"/>
      <c r="K239" s="17"/>
      <c r="L239" s="49"/>
    </row>
    <row r="240" spans="10:12" ht="15" customHeight="1" x14ac:dyDescent="0.25">
      <c r="J240" s="48"/>
      <c r="K240" s="17"/>
      <c r="L240" s="49"/>
    </row>
    <row r="241" spans="10:12" ht="15" customHeight="1" x14ac:dyDescent="0.25">
      <c r="J241" s="48"/>
      <c r="K241" s="17"/>
      <c r="L241" s="49"/>
    </row>
    <row r="242" spans="10:12" ht="15" customHeight="1" x14ac:dyDescent="0.25">
      <c r="J242" s="48"/>
      <c r="K242" s="17"/>
      <c r="L242" s="49"/>
    </row>
    <row r="243" spans="10:12" ht="15" customHeight="1" x14ac:dyDescent="0.25">
      <c r="J243" s="48"/>
      <c r="K243" s="17"/>
      <c r="L243" s="49"/>
    </row>
    <row r="244" spans="10:12" ht="15" customHeight="1" x14ac:dyDescent="0.25">
      <c r="J244" s="48"/>
      <c r="K244" s="17"/>
      <c r="L244" s="49"/>
    </row>
    <row r="245" spans="10:12" ht="15" customHeight="1" x14ac:dyDescent="0.25">
      <c r="J245" s="48"/>
      <c r="K245" s="17"/>
      <c r="L245" s="49"/>
    </row>
    <row r="246" spans="10:12" ht="15" customHeight="1" x14ac:dyDescent="0.25">
      <c r="J246" s="48"/>
      <c r="K246" s="17"/>
      <c r="L246" s="49"/>
    </row>
    <row r="247" spans="10:12" ht="15" customHeight="1" x14ac:dyDescent="0.25">
      <c r="J247" s="48"/>
      <c r="K247" s="17"/>
      <c r="L247" s="49"/>
    </row>
    <row r="248" spans="10:12" ht="15" customHeight="1" x14ac:dyDescent="0.25">
      <c r="J248" s="48"/>
      <c r="K248" s="17"/>
      <c r="L248" s="49"/>
    </row>
    <row r="249" spans="10:12" ht="15" customHeight="1" x14ac:dyDescent="0.25">
      <c r="J249" s="48"/>
      <c r="K249" s="17"/>
      <c r="L249" s="49"/>
    </row>
    <row r="250" spans="10:12" ht="15" customHeight="1" x14ac:dyDescent="0.25">
      <c r="J250" s="48"/>
      <c r="K250" s="17"/>
      <c r="L250" s="49"/>
    </row>
    <row r="251" spans="10:12" ht="15" customHeight="1" x14ac:dyDescent="0.25">
      <c r="J251" s="48"/>
      <c r="K251" s="17"/>
      <c r="L251" s="49"/>
    </row>
    <row r="252" spans="10:12" ht="15" customHeight="1" x14ac:dyDescent="0.25">
      <c r="J252" s="48"/>
      <c r="K252" s="17"/>
      <c r="L252" s="49"/>
    </row>
    <row r="253" spans="10:12" ht="15" customHeight="1" x14ac:dyDescent="0.25">
      <c r="J253" s="48"/>
      <c r="K253" s="17"/>
      <c r="L253" s="49"/>
    </row>
    <row r="254" spans="10:12" ht="15" customHeight="1" x14ac:dyDescent="0.25">
      <c r="J254" s="48"/>
      <c r="K254" s="17"/>
      <c r="L254" s="49"/>
    </row>
    <row r="255" spans="10:12" ht="15" customHeight="1" x14ac:dyDescent="0.25">
      <c r="J255" s="48"/>
      <c r="K255" s="17"/>
      <c r="L255" s="49"/>
    </row>
    <row r="256" spans="10:12" ht="15" customHeight="1" x14ac:dyDescent="0.25">
      <c r="J256" s="48"/>
      <c r="K256" s="17"/>
      <c r="L256" s="49"/>
    </row>
    <row r="257" spans="10:12" ht="15" customHeight="1" x14ac:dyDescent="0.25">
      <c r="J257" s="48"/>
      <c r="K257" s="17"/>
      <c r="L257" s="49"/>
    </row>
    <row r="258" spans="10:12" ht="15" customHeight="1" x14ac:dyDescent="0.25">
      <c r="J258" s="48"/>
      <c r="K258" s="17"/>
      <c r="L258" s="49"/>
    </row>
    <row r="259" spans="10:12" ht="15" customHeight="1" x14ac:dyDescent="0.25">
      <c r="J259" s="48"/>
      <c r="K259" s="17"/>
      <c r="L259" s="49"/>
    </row>
    <row r="260" spans="10:12" ht="15" customHeight="1" x14ac:dyDescent="0.25">
      <c r="J260" s="48"/>
      <c r="K260" s="17"/>
      <c r="L260" s="49"/>
    </row>
    <row r="261" spans="10:12" ht="15" customHeight="1" x14ac:dyDescent="0.25">
      <c r="J261" s="48"/>
      <c r="K261" s="17"/>
      <c r="L261" s="49"/>
    </row>
    <row r="262" spans="10:12" ht="15" customHeight="1" x14ac:dyDescent="0.25">
      <c r="J262" s="48"/>
      <c r="K262" s="17"/>
      <c r="L262" s="49"/>
    </row>
    <row r="263" spans="10:12" ht="15" customHeight="1" x14ac:dyDescent="0.25">
      <c r="J263" s="48"/>
      <c r="K263" s="17"/>
      <c r="L263" s="49"/>
    </row>
    <row r="264" spans="10:12" ht="15" customHeight="1" x14ac:dyDescent="0.25">
      <c r="J264" s="48"/>
      <c r="K264" s="17"/>
      <c r="L264" s="49"/>
    </row>
    <row r="265" spans="10:12" ht="15" customHeight="1" x14ac:dyDescent="0.25">
      <c r="J265" s="48"/>
      <c r="K265" s="17"/>
      <c r="L265" s="49"/>
    </row>
    <row r="266" spans="10:12" ht="15" customHeight="1" x14ac:dyDescent="0.25">
      <c r="J266" s="48"/>
      <c r="K266" s="17"/>
      <c r="L266" s="49"/>
    </row>
    <row r="267" spans="10:12" ht="15" customHeight="1" x14ac:dyDescent="0.25">
      <c r="J267" s="48"/>
      <c r="K267" s="17"/>
      <c r="L267" s="49"/>
    </row>
    <row r="268" spans="10:12" ht="15" customHeight="1" x14ac:dyDescent="0.25">
      <c r="J268" s="48"/>
      <c r="K268" s="17"/>
      <c r="L268" s="49"/>
    </row>
    <row r="269" spans="10:12" ht="15" customHeight="1" x14ac:dyDescent="0.25">
      <c r="J269" s="48"/>
      <c r="K269" s="17"/>
      <c r="L269" s="49"/>
    </row>
    <row r="270" spans="10:12" ht="15" customHeight="1" x14ac:dyDescent="0.25">
      <c r="J270" s="48"/>
      <c r="K270" s="17"/>
      <c r="L270" s="49"/>
    </row>
    <row r="271" spans="10:12" ht="15" customHeight="1" x14ac:dyDescent="0.25">
      <c r="J271" s="48"/>
      <c r="K271" s="17"/>
      <c r="L271" s="49"/>
    </row>
    <row r="272" spans="10:12" ht="15" customHeight="1" x14ac:dyDescent="0.25">
      <c r="J272" s="48"/>
      <c r="K272" s="17"/>
      <c r="L272" s="49"/>
    </row>
    <row r="273" spans="10:12" ht="15" customHeight="1" x14ac:dyDescent="0.25">
      <c r="J273" s="48"/>
      <c r="K273" s="17"/>
      <c r="L273" s="49"/>
    </row>
    <row r="274" spans="10:12" ht="15" customHeight="1" x14ac:dyDescent="0.25">
      <c r="J274" s="48"/>
      <c r="K274" s="17"/>
      <c r="L274" s="49"/>
    </row>
    <row r="275" spans="10:12" ht="15" customHeight="1" x14ac:dyDescent="0.25">
      <c r="J275" s="48"/>
      <c r="K275" s="17"/>
      <c r="L275" s="49"/>
    </row>
    <row r="276" spans="10:12" ht="15" customHeight="1" x14ac:dyDescent="0.25">
      <c r="J276" s="48"/>
      <c r="K276" s="17"/>
      <c r="L276" s="49"/>
    </row>
    <row r="277" spans="10:12" ht="15" customHeight="1" x14ac:dyDescent="0.25">
      <c r="J277" s="48"/>
      <c r="K277" s="17"/>
      <c r="L277" s="49"/>
    </row>
    <row r="278" spans="10:12" ht="15" customHeight="1" x14ac:dyDescent="0.25">
      <c r="J278" s="48"/>
      <c r="K278" s="17"/>
      <c r="L278" s="49"/>
    </row>
    <row r="279" spans="10:12" ht="15" customHeight="1" x14ac:dyDescent="0.25">
      <c r="J279" s="48"/>
      <c r="K279" s="17"/>
      <c r="L279" s="49"/>
    </row>
    <row r="280" spans="10:12" ht="15" customHeight="1" x14ac:dyDescent="0.25">
      <c r="J280" s="48"/>
      <c r="K280" s="17"/>
      <c r="L280" s="49"/>
    </row>
    <row r="281" spans="10:12" ht="15" customHeight="1" x14ac:dyDescent="0.25">
      <c r="J281" s="48"/>
      <c r="K281" s="17"/>
      <c r="L281" s="49"/>
    </row>
    <row r="282" spans="10:12" ht="15" customHeight="1" x14ac:dyDescent="0.25">
      <c r="J282" s="48"/>
      <c r="K282" s="17"/>
      <c r="L282" s="49"/>
    </row>
    <row r="283" spans="10:12" ht="15" customHeight="1" x14ac:dyDescent="0.25">
      <c r="J283" s="48"/>
      <c r="K283" s="17"/>
      <c r="L283" s="49"/>
    </row>
    <row r="284" spans="10:12" ht="15" customHeight="1" x14ac:dyDescent="0.25">
      <c r="J284" s="48"/>
      <c r="K284" s="17"/>
      <c r="L284" s="49"/>
    </row>
    <row r="285" spans="10:12" ht="15" customHeight="1" x14ac:dyDescent="0.25">
      <c r="J285" s="48"/>
      <c r="K285" s="17"/>
      <c r="L285" s="49"/>
    </row>
    <row r="286" spans="10:12" ht="15" customHeight="1" x14ac:dyDescent="0.25">
      <c r="J286" s="48"/>
      <c r="K286" s="17"/>
      <c r="L286" s="49"/>
    </row>
    <row r="287" spans="10:12" ht="15" customHeight="1" x14ac:dyDescent="0.25">
      <c r="J287" s="48"/>
      <c r="K287" s="17"/>
      <c r="L287" s="49"/>
    </row>
    <row r="288" spans="10:12" ht="15" customHeight="1" x14ac:dyDescent="0.25">
      <c r="J288" s="48"/>
      <c r="K288" s="17"/>
      <c r="L288" s="49"/>
    </row>
    <row r="289" spans="10:12" ht="15" customHeight="1" x14ac:dyDescent="0.25">
      <c r="J289" s="48"/>
      <c r="K289" s="17"/>
      <c r="L289" s="49"/>
    </row>
    <row r="290" spans="10:12" ht="15" customHeight="1" x14ac:dyDescent="0.25">
      <c r="J290" s="48"/>
      <c r="K290" s="17"/>
      <c r="L290" s="49"/>
    </row>
    <row r="291" spans="10:12" ht="15" customHeight="1" x14ac:dyDescent="0.25">
      <c r="J291" s="48"/>
      <c r="K291" s="17"/>
      <c r="L291" s="49"/>
    </row>
    <row r="292" spans="10:12" ht="15" customHeight="1" x14ac:dyDescent="0.25">
      <c r="J292" s="48"/>
      <c r="K292" s="17"/>
      <c r="L292" s="49"/>
    </row>
    <row r="293" spans="10:12" ht="15" customHeight="1" x14ac:dyDescent="0.25">
      <c r="J293" s="48"/>
      <c r="K293" s="17"/>
      <c r="L293" s="49"/>
    </row>
    <row r="294" spans="10:12" ht="15" customHeight="1" x14ac:dyDescent="0.25">
      <c r="J294" s="48"/>
      <c r="K294" s="17"/>
      <c r="L294" s="49"/>
    </row>
    <row r="295" spans="10:12" ht="15" customHeight="1" x14ac:dyDescent="0.25">
      <c r="J295" s="48"/>
      <c r="K295" s="17"/>
      <c r="L295" s="49"/>
    </row>
    <row r="296" spans="10:12" ht="15" customHeight="1" x14ac:dyDescent="0.25">
      <c r="J296" s="48"/>
      <c r="K296" s="17"/>
      <c r="L296" s="49"/>
    </row>
    <row r="297" spans="10:12" ht="15" customHeight="1" x14ac:dyDescent="0.25">
      <c r="J297" s="48"/>
      <c r="K297" s="17"/>
      <c r="L297" s="49"/>
    </row>
    <row r="298" spans="10:12" ht="15" customHeight="1" x14ac:dyDescent="0.25">
      <c r="J298" s="48"/>
      <c r="K298" s="17"/>
      <c r="L298" s="49"/>
    </row>
    <row r="299" spans="10:12" ht="15" customHeight="1" x14ac:dyDescent="0.25">
      <c r="J299" s="48"/>
      <c r="K299" s="17"/>
      <c r="L299" s="49"/>
    </row>
    <row r="300" spans="10:12" ht="15" customHeight="1" x14ac:dyDescent="0.25">
      <c r="J300" s="48"/>
      <c r="K300" s="17"/>
      <c r="L300" s="49"/>
    </row>
    <row r="301" spans="10:12" ht="15" customHeight="1" x14ac:dyDescent="0.25">
      <c r="J301" s="48"/>
      <c r="K301" s="17"/>
      <c r="L301" s="49"/>
    </row>
    <row r="302" spans="10:12" ht="15" customHeight="1" x14ac:dyDescent="0.25">
      <c r="J302" s="48"/>
      <c r="K302" s="17"/>
      <c r="L302" s="49"/>
    </row>
    <row r="303" spans="10:12" ht="15" customHeight="1" x14ac:dyDescent="0.25">
      <c r="J303" s="48"/>
      <c r="K303" s="17"/>
      <c r="L303" s="49"/>
    </row>
    <row r="304" spans="10:12" ht="15" customHeight="1" x14ac:dyDescent="0.25">
      <c r="J304" s="48"/>
      <c r="K304" s="17"/>
      <c r="L304" s="49"/>
    </row>
    <row r="305" spans="10:12" ht="15" customHeight="1" x14ac:dyDescent="0.25">
      <c r="J305" s="48"/>
      <c r="K305" s="17"/>
      <c r="L305" s="49"/>
    </row>
    <row r="306" spans="10:12" ht="15" customHeight="1" x14ac:dyDescent="0.25">
      <c r="J306" s="48"/>
      <c r="K306" s="17"/>
      <c r="L306" s="49"/>
    </row>
    <row r="307" spans="10:12" ht="15" customHeight="1" x14ac:dyDescent="0.25">
      <c r="J307" s="48"/>
      <c r="K307" s="17"/>
      <c r="L307" s="49"/>
    </row>
    <row r="308" spans="10:12" ht="15" customHeight="1" x14ac:dyDescent="0.25">
      <c r="J308" s="48"/>
      <c r="K308" s="17"/>
      <c r="L308" s="49"/>
    </row>
    <row r="309" spans="10:12" ht="15" customHeight="1" x14ac:dyDescent="0.25">
      <c r="J309" s="48"/>
      <c r="K309" s="17"/>
      <c r="L309" s="49"/>
    </row>
    <row r="310" spans="10:12" ht="15" customHeight="1" x14ac:dyDescent="0.25">
      <c r="J310" s="48"/>
      <c r="K310" s="17"/>
      <c r="L310" s="49"/>
    </row>
    <row r="311" spans="10:12" ht="15" customHeight="1" x14ac:dyDescent="0.25">
      <c r="J311" s="48"/>
      <c r="K311" s="17"/>
      <c r="L311" s="49"/>
    </row>
    <row r="312" spans="10:12" ht="15" customHeight="1" x14ac:dyDescent="0.25">
      <c r="J312" s="48"/>
      <c r="K312" s="17"/>
      <c r="L312" s="49"/>
    </row>
    <row r="313" spans="10:12" ht="15" customHeight="1" x14ac:dyDescent="0.25">
      <c r="J313" s="48"/>
      <c r="K313" s="17"/>
      <c r="L313" s="49"/>
    </row>
    <row r="314" spans="10:12" ht="15" customHeight="1" x14ac:dyDescent="0.25">
      <c r="J314" s="48"/>
      <c r="K314" s="17"/>
      <c r="L314" s="49"/>
    </row>
    <row r="315" spans="10:12" ht="15" customHeight="1" x14ac:dyDescent="0.25">
      <c r="J315" s="48"/>
      <c r="K315" s="17"/>
      <c r="L315" s="49"/>
    </row>
    <row r="316" spans="10:12" ht="15" customHeight="1" x14ac:dyDescent="0.25">
      <c r="J316" s="48"/>
      <c r="K316" s="17"/>
      <c r="L316" s="49"/>
    </row>
    <row r="317" spans="10:12" ht="15" customHeight="1" x14ac:dyDescent="0.25">
      <c r="J317" s="48"/>
      <c r="K317" s="17"/>
      <c r="L317" s="49"/>
    </row>
    <row r="318" spans="10:12" ht="15" customHeight="1" x14ac:dyDescent="0.25">
      <c r="J318" s="48"/>
      <c r="K318" s="17"/>
      <c r="L318" s="49"/>
    </row>
    <row r="319" spans="10:12" ht="15" customHeight="1" x14ac:dyDescent="0.25">
      <c r="J319" s="16"/>
      <c r="K319" s="17"/>
      <c r="L319" s="49"/>
    </row>
    <row r="320" spans="10:12" ht="15" customHeight="1" x14ac:dyDescent="0.25">
      <c r="J320" s="16"/>
      <c r="K320" s="17"/>
      <c r="L320" s="49"/>
    </row>
    <row r="321" spans="10:12" ht="15" customHeight="1" x14ac:dyDescent="0.25">
      <c r="J321" s="16"/>
      <c r="K321" s="17"/>
      <c r="L321" s="49"/>
    </row>
    <row r="322" spans="10:12" ht="15" customHeight="1" x14ac:dyDescent="0.25">
      <c r="J322" s="16"/>
      <c r="K322" s="17"/>
      <c r="L322" s="49"/>
    </row>
    <row r="323" spans="10:12" ht="15" customHeight="1" x14ac:dyDescent="0.25">
      <c r="J323" s="16"/>
      <c r="K323" s="17"/>
      <c r="L323" s="49"/>
    </row>
    <row r="324" spans="10:12" ht="15" customHeight="1" x14ac:dyDescent="0.25">
      <c r="J324" s="16"/>
      <c r="K324" s="17"/>
      <c r="L324" s="49"/>
    </row>
    <row r="325" spans="10:12" ht="15" customHeight="1" x14ac:dyDescent="0.25">
      <c r="J325" s="16"/>
      <c r="K325" s="17"/>
      <c r="L325" s="49"/>
    </row>
    <row r="326" spans="10:12" ht="15" customHeight="1" x14ac:dyDescent="0.25">
      <c r="J326" s="16"/>
      <c r="K326" s="17"/>
      <c r="L326" s="49"/>
    </row>
    <row r="327" spans="10:12" ht="15" customHeight="1" x14ac:dyDescent="0.25">
      <c r="J327" s="16"/>
      <c r="K327" s="17"/>
      <c r="L327" s="49"/>
    </row>
    <row r="328" spans="10:12" ht="15" customHeight="1" x14ac:dyDescent="0.25">
      <c r="J328" s="16"/>
      <c r="K328" s="17"/>
      <c r="L328" s="49"/>
    </row>
    <row r="329" spans="10:12" ht="15" customHeight="1" x14ac:dyDescent="0.25">
      <c r="J329" s="16"/>
      <c r="K329" s="17"/>
      <c r="L329" s="49"/>
    </row>
    <row r="330" spans="10:12" ht="15" customHeight="1" x14ac:dyDescent="0.25">
      <c r="J330" s="16"/>
      <c r="K330" s="17"/>
      <c r="L330" s="49"/>
    </row>
    <row r="331" spans="10:12" ht="15" customHeight="1" x14ac:dyDescent="0.25">
      <c r="J331" s="16"/>
      <c r="K331" s="17"/>
      <c r="L331" s="49"/>
    </row>
    <row r="332" spans="10:12" ht="15" customHeight="1" x14ac:dyDescent="0.25">
      <c r="J332" s="16"/>
      <c r="K332" s="17"/>
      <c r="L332" s="49"/>
    </row>
    <row r="333" spans="10:12" ht="15" customHeight="1" x14ac:dyDescent="0.25">
      <c r="J333" s="16"/>
      <c r="K333" s="17"/>
      <c r="L333" s="49"/>
    </row>
    <row r="334" spans="10:12" ht="15" customHeight="1" x14ac:dyDescent="0.25">
      <c r="J334" s="16"/>
      <c r="K334" s="17"/>
      <c r="L334" s="49"/>
    </row>
    <row r="335" spans="10:12" ht="15" customHeight="1" x14ac:dyDescent="0.25">
      <c r="J335" s="16"/>
      <c r="K335" s="17"/>
      <c r="L335" s="49"/>
    </row>
    <row r="336" spans="10:12" ht="15" customHeight="1" x14ac:dyDescent="0.25">
      <c r="J336" s="16"/>
      <c r="K336" s="17"/>
      <c r="L336" s="49"/>
    </row>
    <row r="337" spans="10:12" ht="15" customHeight="1" x14ac:dyDescent="0.25">
      <c r="J337" s="16"/>
      <c r="K337" s="17"/>
      <c r="L337" s="49"/>
    </row>
    <row r="338" spans="10:12" ht="15" customHeight="1" x14ac:dyDescent="0.25">
      <c r="J338" s="16"/>
      <c r="K338" s="17"/>
      <c r="L338" s="49"/>
    </row>
    <row r="339" spans="10:12" ht="15" customHeight="1" x14ac:dyDescent="0.25">
      <c r="J339" s="16"/>
      <c r="K339" s="17"/>
      <c r="L339" s="49"/>
    </row>
    <row r="340" spans="10:12" ht="15" customHeight="1" x14ac:dyDescent="0.25">
      <c r="J340" s="16"/>
      <c r="K340" s="17"/>
      <c r="L340" s="49"/>
    </row>
    <row r="341" spans="10:12" ht="15" customHeight="1" x14ac:dyDescent="0.25">
      <c r="J341" s="16"/>
      <c r="K341" s="17"/>
      <c r="L341" s="49"/>
    </row>
    <row r="342" spans="10:12" ht="15" customHeight="1" x14ac:dyDescent="0.25">
      <c r="J342" s="16"/>
      <c r="K342" s="17"/>
      <c r="L342" s="49"/>
    </row>
    <row r="343" spans="10:12" ht="15" customHeight="1" x14ac:dyDescent="0.25">
      <c r="J343" s="16"/>
      <c r="K343" s="17"/>
      <c r="L343" s="49"/>
    </row>
    <row r="344" spans="10:12" ht="15" customHeight="1" x14ac:dyDescent="0.25">
      <c r="J344" s="16"/>
      <c r="K344" s="17"/>
      <c r="L344" s="49"/>
    </row>
    <row r="345" spans="10:12" ht="15" customHeight="1" x14ac:dyDescent="0.25">
      <c r="J345" s="16"/>
      <c r="K345" s="17"/>
      <c r="L345" s="49"/>
    </row>
    <row r="346" spans="10:12" ht="15" customHeight="1" x14ac:dyDescent="0.25">
      <c r="J346" s="16"/>
      <c r="K346" s="17"/>
      <c r="L346" s="49"/>
    </row>
    <row r="347" spans="10:12" ht="15" customHeight="1" x14ac:dyDescent="0.25">
      <c r="J347" s="16"/>
      <c r="K347" s="17"/>
      <c r="L347" s="49"/>
    </row>
    <row r="348" spans="10:12" ht="15" customHeight="1" x14ac:dyDescent="0.25">
      <c r="J348" s="16"/>
      <c r="K348" s="17"/>
      <c r="L348" s="49"/>
    </row>
    <row r="349" spans="10:12" ht="15" customHeight="1" x14ac:dyDescent="0.25">
      <c r="J349" s="16"/>
      <c r="K349" s="17"/>
      <c r="L349" s="49"/>
    </row>
    <row r="350" spans="10:12" ht="15" customHeight="1" x14ac:dyDescent="0.25">
      <c r="J350" s="16"/>
      <c r="K350" s="17"/>
      <c r="L350" s="49"/>
    </row>
    <row r="351" spans="10:12" ht="15" customHeight="1" x14ac:dyDescent="0.25">
      <c r="J351" s="16"/>
      <c r="K351" s="17"/>
      <c r="L351" s="49"/>
    </row>
    <row r="352" spans="10:12" ht="15" customHeight="1" x14ac:dyDescent="0.25">
      <c r="J352" s="16"/>
      <c r="K352" s="17"/>
      <c r="L352" s="49"/>
    </row>
    <row r="353" spans="10:12" ht="15" customHeight="1" x14ac:dyDescent="0.25">
      <c r="J353" s="16"/>
      <c r="K353" s="17"/>
      <c r="L353" s="49"/>
    </row>
    <row r="354" spans="10:12" ht="15" customHeight="1" x14ac:dyDescent="0.25">
      <c r="J354" s="16"/>
      <c r="K354" s="17"/>
      <c r="L354" s="49"/>
    </row>
  </sheetData>
  <autoFilter ref="A5:R58" xr:uid="{00000000-0009-0000-0000-000018000000}">
    <filterColumn colId="11" showButton="0"/>
  </autoFilter>
  <mergeCells count="21">
    <mergeCell ref="A2:F3"/>
    <mergeCell ref="G2:I3"/>
    <mergeCell ref="J2:L3"/>
    <mergeCell ref="M2:N3"/>
    <mergeCell ref="A1:N1"/>
    <mergeCell ref="O1:P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M5"/>
    <mergeCell ref="O2:P3"/>
    <mergeCell ref="O4:P5"/>
    <mergeCell ref="N4:N5"/>
  </mergeCells>
  <conditionalFormatting sqref="A7:A58 G7:I58 K7:L14 C7:C30 K19:L32 L15:L18 C31:E58">
    <cfRule type="expression" dxfId="5704" priority="420">
      <formula>AND($A7&lt;&gt;"",MOD(ROW(),2))</formula>
    </cfRule>
  </conditionalFormatting>
  <conditionalFormatting sqref="D31:D58">
    <cfRule type="cellIs" dxfId="5703" priority="417" operator="equal">
      <formula>$C31</formula>
    </cfRule>
    <cfRule type="cellIs" dxfId="5702" priority="418" operator="greaterThan">
      <formula>$C31</formula>
    </cfRule>
    <cfRule type="cellIs" dxfId="5701" priority="419" operator="lessThan">
      <formula>$C31</formula>
    </cfRule>
  </conditionalFormatting>
  <conditionalFormatting sqref="M7:M58">
    <cfRule type="expression" dxfId="5700" priority="413">
      <formula>AND($A7&lt;&gt;"",MOD(ROW(),2))</formula>
    </cfRule>
  </conditionalFormatting>
  <conditionalFormatting sqref="K33:L58">
    <cfRule type="expression" dxfId="5699" priority="396">
      <formula>AND($A33&lt;&gt;"",MOD(ROW(),2))</formula>
    </cfRule>
  </conditionalFormatting>
  <conditionalFormatting sqref="K7:K14 K19:K58">
    <cfRule type="cellIs" dxfId="5698" priority="393" operator="equal">
      <formula>$C7</formula>
    </cfRule>
    <cfRule type="cellIs" dxfId="5697" priority="394" operator="greaterThan">
      <formula>$C7</formula>
    </cfRule>
    <cfRule type="cellIs" dxfId="5696" priority="395" operator="lessThan">
      <formula>$C7</formula>
    </cfRule>
  </conditionalFormatting>
  <conditionalFormatting sqref="K59:L84">
    <cfRule type="expression" dxfId="5695" priority="392">
      <formula>AND($A59&lt;&gt;"",MOD(ROW(),2))</formula>
    </cfRule>
  </conditionalFormatting>
  <conditionalFormatting sqref="K59:K84">
    <cfRule type="cellIs" dxfId="5694" priority="389" operator="equal">
      <formula>$C59</formula>
    </cfRule>
    <cfRule type="cellIs" dxfId="5693" priority="390" operator="greaterThan">
      <formula>$C59</formula>
    </cfRule>
    <cfRule type="cellIs" dxfId="5692" priority="391" operator="lessThan">
      <formula>$C59</formula>
    </cfRule>
  </conditionalFormatting>
  <conditionalFormatting sqref="K85:L110">
    <cfRule type="expression" dxfId="5691" priority="388">
      <formula>AND($A85&lt;&gt;"",MOD(ROW(),2))</formula>
    </cfRule>
  </conditionalFormatting>
  <conditionalFormatting sqref="K85:K110">
    <cfRule type="cellIs" dxfId="5690" priority="385" operator="equal">
      <formula>$C85</formula>
    </cfRule>
    <cfRule type="cellIs" dxfId="5689" priority="386" operator="greaterThan">
      <formula>$C85</formula>
    </cfRule>
    <cfRule type="cellIs" dxfId="5688" priority="387" operator="lessThan">
      <formula>$C85</formula>
    </cfRule>
  </conditionalFormatting>
  <conditionalFormatting sqref="K111:L136">
    <cfRule type="expression" dxfId="5687" priority="384">
      <formula>AND($A111&lt;&gt;"",MOD(ROW(),2))</formula>
    </cfRule>
  </conditionalFormatting>
  <conditionalFormatting sqref="K111:K136">
    <cfRule type="cellIs" dxfId="5686" priority="381" operator="equal">
      <formula>$C111</formula>
    </cfRule>
    <cfRule type="cellIs" dxfId="5685" priority="382" operator="greaterThan">
      <formula>$C111</formula>
    </cfRule>
    <cfRule type="cellIs" dxfId="5684" priority="383" operator="lessThan">
      <formula>$C111</formula>
    </cfRule>
  </conditionalFormatting>
  <conditionalFormatting sqref="K137:L162">
    <cfRule type="expression" dxfId="5683" priority="380">
      <formula>AND($A137&lt;&gt;"",MOD(ROW(),2))</formula>
    </cfRule>
  </conditionalFormatting>
  <conditionalFormatting sqref="K137:K162">
    <cfRule type="cellIs" dxfId="5682" priority="377" operator="equal">
      <formula>$C137</formula>
    </cfRule>
    <cfRule type="cellIs" dxfId="5681" priority="378" operator="greaterThan">
      <formula>$C137</formula>
    </cfRule>
    <cfRule type="cellIs" dxfId="5680" priority="379" operator="lessThan">
      <formula>$C137</formula>
    </cfRule>
  </conditionalFormatting>
  <conditionalFormatting sqref="K163:L188">
    <cfRule type="expression" dxfId="5679" priority="376">
      <formula>AND($A163&lt;&gt;"",MOD(ROW(),2))</formula>
    </cfRule>
  </conditionalFormatting>
  <conditionalFormatting sqref="K163:K188">
    <cfRule type="cellIs" dxfId="5678" priority="373" operator="equal">
      <formula>$C163</formula>
    </cfRule>
    <cfRule type="cellIs" dxfId="5677" priority="374" operator="greaterThan">
      <formula>$C163</formula>
    </cfRule>
    <cfRule type="cellIs" dxfId="5676" priority="375" operator="lessThan">
      <formula>$C163</formula>
    </cfRule>
  </conditionalFormatting>
  <conditionalFormatting sqref="K189:L214">
    <cfRule type="expression" dxfId="5675" priority="372">
      <formula>AND($A189&lt;&gt;"",MOD(ROW(),2))</formula>
    </cfRule>
  </conditionalFormatting>
  <conditionalFormatting sqref="K189:K214">
    <cfRule type="cellIs" dxfId="5674" priority="369" operator="equal">
      <formula>$C189</formula>
    </cfRule>
    <cfRule type="cellIs" dxfId="5673" priority="370" operator="greaterThan">
      <formula>$C189</formula>
    </cfRule>
    <cfRule type="cellIs" dxfId="5672" priority="371" operator="lessThan">
      <formula>$C189</formula>
    </cfRule>
  </conditionalFormatting>
  <conditionalFormatting sqref="K215:L240">
    <cfRule type="expression" dxfId="5671" priority="368">
      <formula>AND($A215&lt;&gt;"",MOD(ROW(),2))</formula>
    </cfRule>
  </conditionalFormatting>
  <conditionalFormatting sqref="K215:K240">
    <cfRule type="cellIs" dxfId="5670" priority="365" operator="equal">
      <formula>$C215</formula>
    </cfRule>
    <cfRule type="cellIs" dxfId="5669" priority="366" operator="greaterThan">
      <formula>$C215</formula>
    </cfRule>
    <cfRule type="cellIs" dxfId="5668" priority="367" operator="lessThan">
      <formula>$C215</formula>
    </cfRule>
  </conditionalFormatting>
  <conditionalFormatting sqref="K241:L266">
    <cfRule type="expression" dxfId="5667" priority="364">
      <formula>AND($A241&lt;&gt;"",MOD(ROW(),2))</formula>
    </cfRule>
  </conditionalFormatting>
  <conditionalFormatting sqref="K241:K266">
    <cfRule type="cellIs" dxfId="5666" priority="361" operator="equal">
      <formula>$C241</formula>
    </cfRule>
    <cfRule type="cellIs" dxfId="5665" priority="362" operator="greaterThan">
      <formula>$C241</formula>
    </cfRule>
    <cfRule type="cellIs" dxfId="5664" priority="363" operator="lessThan">
      <formula>$C241</formula>
    </cfRule>
  </conditionalFormatting>
  <conditionalFormatting sqref="K267:L292">
    <cfRule type="expression" dxfId="5663" priority="360">
      <formula>AND($A267&lt;&gt;"",MOD(ROW(),2))</formula>
    </cfRule>
  </conditionalFormatting>
  <conditionalFormatting sqref="K267:K292">
    <cfRule type="cellIs" dxfId="5662" priority="357" operator="equal">
      <formula>$C267</formula>
    </cfRule>
    <cfRule type="cellIs" dxfId="5661" priority="358" operator="greaterThan">
      <formula>$C267</formula>
    </cfRule>
    <cfRule type="cellIs" dxfId="5660" priority="359" operator="lessThan">
      <formula>$C267</formula>
    </cfRule>
  </conditionalFormatting>
  <conditionalFormatting sqref="K293:L318">
    <cfRule type="expression" dxfId="5659" priority="356">
      <formula>AND($A293&lt;&gt;"",MOD(ROW(),2))</formula>
    </cfRule>
  </conditionalFormatting>
  <conditionalFormatting sqref="K293:K318">
    <cfRule type="cellIs" dxfId="5658" priority="353" operator="equal">
      <formula>$C293</formula>
    </cfRule>
    <cfRule type="cellIs" dxfId="5657" priority="354" operator="greaterThan">
      <formula>$C293</formula>
    </cfRule>
    <cfRule type="cellIs" dxfId="5656" priority="355" operator="lessThan">
      <formula>$C293</formula>
    </cfRule>
  </conditionalFormatting>
  <conditionalFormatting sqref="F31:F2989">
    <cfRule type="containsText" dxfId="5655" priority="352" operator="containsText" text="Unpaid Rent">
      <formula>NOT(ISERROR(SEARCH("Unpaid Rent",F31)))</formula>
    </cfRule>
    <cfRule type="containsText" dxfId="5654" priority="397" stopIfTrue="1" operator="containsText" text="Closed Account">
      <formula>NOT(ISERROR(SEARCH("Closed Account",F31)))</formula>
    </cfRule>
  </conditionalFormatting>
  <conditionalFormatting sqref="L7:M32 M33:M58 L33:L318">
    <cfRule type="expression" dxfId="5653" priority="415">
      <formula>AND(#REF!&lt;&gt;"",MOD(ROW(),2))</formula>
    </cfRule>
  </conditionalFormatting>
  <conditionalFormatting sqref="L7:M32 M33:M58 L33:L318">
    <cfRule type="expression" dxfId="5652" priority="414">
      <formula>AND(#REF!&lt;&gt;"",MOD(ROW(),2))</formula>
    </cfRule>
  </conditionalFormatting>
  <conditionalFormatting sqref="M7:M58">
    <cfRule type="cellIs" dxfId="5651" priority="410" operator="equal">
      <formula>#REF!</formula>
    </cfRule>
    <cfRule type="cellIs" dxfId="5650" priority="411" operator="greaterThan">
      <formula>#REF!</formula>
    </cfRule>
    <cfRule type="cellIs" dxfId="5649" priority="412" operator="lessThan">
      <formula>#REF!</formula>
    </cfRule>
  </conditionalFormatting>
  <conditionalFormatting sqref="K319:L321">
    <cfRule type="expression" dxfId="5648" priority="346">
      <formula>AND($A319&lt;&gt;"",MOD(ROW(),2))</formula>
    </cfRule>
  </conditionalFormatting>
  <conditionalFormatting sqref="K319:K321">
    <cfRule type="cellIs" dxfId="5647" priority="343" operator="equal">
      <formula>$C319</formula>
    </cfRule>
    <cfRule type="cellIs" dxfId="5646" priority="344" operator="greaterThan">
      <formula>$C319</formula>
    </cfRule>
    <cfRule type="cellIs" dxfId="5645" priority="345" operator="lessThan">
      <formula>$C319</formula>
    </cfRule>
  </conditionalFormatting>
  <conditionalFormatting sqref="L319:L321">
    <cfRule type="expression" dxfId="5644" priority="348">
      <formula>AND(#REF!&lt;&gt;"",MOD(ROW(),2))</formula>
    </cfRule>
  </conditionalFormatting>
  <conditionalFormatting sqref="L319:L321">
    <cfRule type="expression" dxfId="5643" priority="347">
      <formula>AND(#REF!&lt;&gt;"",MOD(ROW(),2))</formula>
    </cfRule>
  </conditionalFormatting>
  <conditionalFormatting sqref="K322:L324">
    <cfRule type="expression" dxfId="5642" priority="340">
      <formula>AND($A322&lt;&gt;"",MOD(ROW(),2))</formula>
    </cfRule>
  </conditionalFormatting>
  <conditionalFormatting sqref="K322:K324">
    <cfRule type="cellIs" dxfId="5641" priority="337" operator="equal">
      <formula>$C322</formula>
    </cfRule>
    <cfRule type="cellIs" dxfId="5640" priority="338" operator="greaterThan">
      <formula>$C322</formula>
    </cfRule>
    <cfRule type="cellIs" dxfId="5639" priority="339" operator="lessThan">
      <formula>$C322</formula>
    </cfRule>
  </conditionalFormatting>
  <conditionalFormatting sqref="L322:L324">
    <cfRule type="expression" dxfId="5638" priority="342">
      <formula>AND(#REF!&lt;&gt;"",MOD(ROW(),2))</formula>
    </cfRule>
  </conditionalFormatting>
  <conditionalFormatting sqref="L322:L324">
    <cfRule type="expression" dxfId="5637" priority="341">
      <formula>AND(#REF!&lt;&gt;"",MOD(ROW(),2))</formula>
    </cfRule>
  </conditionalFormatting>
  <conditionalFormatting sqref="K325:L327">
    <cfRule type="expression" dxfId="5636" priority="334">
      <formula>AND($A325&lt;&gt;"",MOD(ROW(),2))</formula>
    </cfRule>
  </conditionalFormatting>
  <conditionalFormatting sqref="K325:K327">
    <cfRule type="cellIs" dxfId="5635" priority="331" operator="equal">
      <formula>$C325</formula>
    </cfRule>
    <cfRule type="cellIs" dxfId="5634" priority="332" operator="greaterThan">
      <formula>$C325</formula>
    </cfRule>
    <cfRule type="cellIs" dxfId="5633" priority="333" operator="lessThan">
      <formula>$C325</formula>
    </cfRule>
  </conditionalFormatting>
  <conditionalFormatting sqref="L325:L327">
    <cfRule type="expression" dxfId="5632" priority="336">
      <formula>AND(#REF!&lt;&gt;"",MOD(ROW(),2))</formula>
    </cfRule>
  </conditionalFormatting>
  <conditionalFormatting sqref="L325:L327">
    <cfRule type="expression" dxfId="5631" priority="335">
      <formula>AND(#REF!&lt;&gt;"",MOD(ROW(),2))</formula>
    </cfRule>
  </conditionalFormatting>
  <conditionalFormatting sqref="K328:L330">
    <cfRule type="expression" dxfId="5630" priority="328">
      <formula>AND($A328&lt;&gt;"",MOD(ROW(),2))</formula>
    </cfRule>
  </conditionalFormatting>
  <conditionalFormatting sqref="K328:K330">
    <cfRule type="cellIs" dxfId="5629" priority="325" operator="equal">
      <formula>$C328</formula>
    </cfRule>
    <cfRule type="cellIs" dxfId="5628" priority="326" operator="greaterThan">
      <formula>$C328</formula>
    </cfRule>
    <cfRule type="cellIs" dxfId="5627" priority="327" operator="lessThan">
      <formula>$C328</formula>
    </cfRule>
  </conditionalFormatting>
  <conditionalFormatting sqref="L328:L330">
    <cfRule type="expression" dxfId="5626" priority="330">
      <formula>AND(#REF!&lt;&gt;"",MOD(ROW(),2))</formula>
    </cfRule>
  </conditionalFormatting>
  <conditionalFormatting sqref="L328:L330">
    <cfRule type="expression" dxfId="5625" priority="329">
      <formula>AND(#REF!&lt;&gt;"",MOD(ROW(),2))</formula>
    </cfRule>
  </conditionalFormatting>
  <conditionalFormatting sqref="K331:L333">
    <cfRule type="expression" dxfId="5624" priority="322">
      <formula>AND($A331&lt;&gt;"",MOD(ROW(),2))</formula>
    </cfRule>
  </conditionalFormatting>
  <conditionalFormatting sqref="K331:K333">
    <cfRule type="cellIs" dxfId="5623" priority="319" operator="equal">
      <formula>$C331</formula>
    </cfRule>
    <cfRule type="cellIs" dxfId="5622" priority="320" operator="greaterThan">
      <formula>$C331</formula>
    </cfRule>
    <cfRule type="cellIs" dxfId="5621" priority="321" operator="lessThan">
      <formula>$C331</formula>
    </cfRule>
  </conditionalFormatting>
  <conditionalFormatting sqref="L331:L333">
    <cfRule type="expression" dxfId="5620" priority="324">
      <formula>AND(#REF!&lt;&gt;"",MOD(ROW(),2))</formula>
    </cfRule>
  </conditionalFormatting>
  <conditionalFormatting sqref="L331:L333">
    <cfRule type="expression" dxfId="5619" priority="323">
      <formula>AND(#REF!&lt;&gt;"",MOD(ROW(),2))</formula>
    </cfRule>
  </conditionalFormatting>
  <conditionalFormatting sqref="K334:L336">
    <cfRule type="expression" dxfId="5618" priority="316">
      <formula>AND($A334&lt;&gt;"",MOD(ROW(),2))</formula>
    </cfRule>
  </conditionalFormatting>
  <conditionalFormatting sqref="K334:K336">
    <cfRule type="cellIs" dxfId="5617" priority="313" operator="equal">
      <formula>$C334</formula>
    </cfRule>
    <cfRule type="cellIs" dxfId="5616" priority="314" operator="greaterThan">
      <formula>$C334</formula>
    </cfRule>
    <cfRule type="cellIs" dxfId="5615" priority="315" operator="lessThan">
      <formula>$C334</formula>
    </cfRule>
  </conditionalFormatting>
  <conditionalFormatting sqref="L334:L336">
    <cfRule type="expression" dxfId="5614" priority="318">
      <formula>AND(#REF!&lt;&gt;"",MOD(ROW(),2))</formula>
    </cfRule>
  </conditionalFormatting>
  <conditionalFormatting sqref="L334:L336">
    <cfRule type="expression" dxfId="5613" priority="317">
      <formula>AND(#REF!&lt;&gt;"",MOD(ROW(),2))</formula>
    </cfRule>
  </conditionalFormatting>
  <conditionalFormatting sqref="K337:L339">
    <cfRule type="expression" dxfId="5612" priority="310">
      <formula>AND($A337&lt;&gt;"",MOD(ROW(),2))</formula>
    </cfRule>
  </conditionalFormatting>
  <conditionalFormatting sqref="K337:K339">
    <cfRule type="cellIs" dxfId="5611" priority="307" operator="equal">
      <formula>$C337</formula>
    </cfRule>
    <cfRule type="cellIs" dxfId="5610" priority="308" operator="greaterThan">
      <formula>$C337</formula>
    </cfRule>
    <cfRule type="cellIs" dxfId="5609" priority="309" operator="lessThan">
      <formula>$C337</formula>
    </cfRule>
  </conditionalFormatting>
  <conditionalFormatting sqref="L337:L339">
    <cfRule type="expression" dxfId="5608" priority="312">
      <formula>AND(#REF!&lt;&gt;"",MOD(ROW(),2))</formula>
    </cfRule>
  </conditionalFormatting>
  <conditionalFormatting sqref="L337:L339">
    <cfRule type="expression" dxfId="5607" priority="311">
      <formula>AND(#REF!&lt;&gt;"",MOD(ROW(),2))</formula>
    </cfRule>
  </conditionalFormatting>
  <conditionalFormatting sqref="K340:L342">
    <cfRule type="expression" dxfId="5606" priority="304">
      <formula>AND($A340&lt;&gt;"",MOD(ROW(),2))</formula>
    </cfRule>
  </conditionalFormatting>
  <conditionalFormatting sqref="K340:K342">
    <cfRule type="cellIs" dxfId="5605" priority="301" operator="equal">
      <formula>$C340</formula>
    </cfRule>
    <cfRule type="cellIs" dxfId="5604" priority="302" operator="greaterThan">
      <formula>$C340</formula>
    </cfRule>
    <cfRule type="cellIs" dxfId="5603" priority="303" operator="lessThan">
      <formula>$C340</formula>
    </cfRule>
  </conditionalFormatting>
  <conditionalFormatting sqref="L340:L342">
    <cfRule type="expression" dxfId="5602" priority="306">
      <formula>AND(#REF!&lt;&gt;"",MOD(ROW(),2))</formula>
    </cfRule>
  </conditionalFormatting>
  <conditionalFormatting sqref="L340:L342">
    <cfRule type="expression" dxfId="5601" priority="305">
      <formula>AND(#REF!&lt;&gt;"",MOD(ROW(),2))</formula>
    </cfRule>
  </conditionalFormatting>
  <conditionalFormatting sqref="K343:L345">
    <cfRule type="expression" dxfId="5600" priority="298">
      <formula>AND($A343&lt;&gt;"",MOD(ROW(),2))</formula>
    </cfRule>
  </conditionalFormatting>
  <conditionalFormatting sqref="K343:K345">
    <cfRule type="cellIs" dxfId="5599" priority="295" operator="equal">
      <formula>$C343</formula>
    </cfRule>
    <cfRule type="cellIs" dxfId="5598" priority="296" operator="greaterThan">
      <formula>$C343</formula>
    </cfRule>
    <cfRule type="cellIs" dxfId="5597" priority="297" operator="lessThan">
      <formula>$C343</formula>
    </cfRule>
  </conditionalFormatting>
  <conditionalFormatting sqref="L343:L345">
    <cfRule type="expression" dxfId="5596" priority="300">
      <formula>AND(#REF!&lt;&gt;"",MOD(ROW(),2))</formula>
    </cfRule>
  </conditionalFormatting>
  <conditionalFormatting sqref="L343:L345">
    <cfRule type="expression" dxfId="5595" priority="299">
      <formula>AND(#REF!&lt;&gt;"",MOD(ROW(),2))</formula>
    </cfRule>
  </conditionalFormatting>
  <conditionalFormatting sqref="K346:L348">
    <cfRule type="expression" dxfId="5594" priority="292">
      <formula>AND($A346&lt;&gt;"",MOD(ROW(),2))</formula>
    </cfRule>
  </conditionalFormatting>
  <conditionalFormatting sqref="K346:K348">
    <cfRule type="cellIs" dxfId="5593" priority="289" operator="equal">
      <formula>$C346</formula>
    </cfRule>
    <cfRule type="cellIs" dxfId="5592" priority="290" operator="greaterThan">
      <formula>$C346</formula>
    </cfRule>
    <cfRule type="cellIs" dxfId="5591" priority="291" operator="lessThan">
      <formula>$C346</formula>
    </cfRule>
  </conditionalFormatting>
  <conditionalFormatting sqref="L346:L348">
    <cfRule type="expression" dxfId="5590" priority="294">
      <formula>AND(#REF!&lt;&gt;"",MOD(ROW(),2))</formula>
    </cfRule>
  </conditionalFormatting>
  <conditionalFormatting sqref="L346:L348">
    <cfRule type="expression" dxfId="5589" priority="293">
      <formula>AND(#REF!&lt;&gt;"",MOD(ROW(),2))</formula>
    </cfRule>
  </conditionalFormatting>
  <conditionalFormatting sqref="K349:L351">
    <cfRule type="expression" dxfId="5588" priority="286">
      <formula>AND($A349&lt;&gt;"",MOD(ROW(),2))</formula>
    </cfRule>
  </conditionalFormatting>
  <conditionalFormatting sqref="K349:K351">
    <cfRule type="cellIs" dxfId="5587" priority="283" operator="equal">
      <formula>$C349</formula>
    </cfRule>
    <cfRule type="cellIs" dxfId="5586" priority="284" operator="greaterThan">
      <formula>$C349</formula>
    </cfRule>
    <cfRule type="cellIs" dxfId="5585" priority="285" operator="lessThan">
      <formula>$C349</formula>
    </cfRule>
  </conditionalFormatting>
  <conditionalFormatting sqref="L349:L351">
    <cfRule type="expression" dxfId="5584" priority="288">
      <formula>AND(#REF!&lt;&gt;"",MOD(ROW(),2))</formula>
    </cfRule>
  </conditionalFormatting>
  <conditionalFormatting sqref="L349:L351">
    <cfRule type="expression" dxfId="5583" priority="287">
      <formula>AND(#REF!&lt;&gt;"",MOD(ROW(),2))</formula>
    </cfRule>
  </conditionalFormatting>
  <conditionalFormatting sqref="K352:L354">
    <cfRule type="expression" dxfId="5582" priority="280">
      <formula>AND($A352&lt;&gt;"",MOD(ROW(),2))</formula>
    </cfRule>
  </conditionalFormatting>
  <conditionalFormatting sqref="K352:K354">
    <cfRule type="cellIs" dxfId="5581" priority="277" operator="equal">
      <formula>$C352</formula>
    </cfRule>
    <cfRule type="cellIs" dxfId="5580" priority="278" operator="greaterThan">
      <formula>$C352</formula>
    </cfRule>
    <cfRule type="cellIs" dxfId="5579" priority="279" operator="lessThan">
      <formula>$C352</formula>
    </cfRule>
  </conditionalFormatting>
  <conditionalFormatting sqref="L352:L354">
    <cfRule type="expression" dxfId="5578" priority="282">
      <formula>AND(#REF!&lt;&gt;"",MOD(ROW(),2))</formula>
    </cfRule>
  </conditionalFormatting>
  <conditionalFormatting sqref="L352:L354">
    <cfRule type="expression" dxfId="5577" priority="281">
      <formula>AND(#REF!&lt;&gt;"",MOD(ROW(),2))</formula>
    </cfRule>
  </conditionalFormatting>
  <conditionalFormatting sqref="D7:E7">
    <cfRule type="expression" dxfId="5576" priority="132">
      <formula>AND($A7&lt;&gt;"",MOD(ROW(),2))</formula>
    </cfRule>
  </conditionalFormatting>
  <conditionalFormatting sqref="D7">
    <cfRule type="cellIs" dxfId="5575" priority="129" operator="equal">
      <formula>$C7</formula>
    </cfRule>
    <cfRule type="cellIs" dxfId="5574" priority="130" operator="greaterThan">
      <formula>$C7</formula>
    </cfRule>
    <cfRule type="cellIs" dxfId="5573" priority="131" operator="lessThan">
      <formula>$C7</formula>
    </cfRule>
  </conditionalFormatting>
  <conditionalFormatting sqref="D8:E8">
    <cfRule type="expression" dxfId="5572" priority="126">
      <formula>AND($A8&lt;&gt;"",MOD(ROW(),2))</formula>
    </cfRule>
  </conditionalFormatting>
  <conditionalFormatting sqref="D8">
    <cfRule type="cellIs" dxfId="5571" priority="123" operator="equal">
      <formula>$C8</formula>
    </cfRule>
    <cfRule type="cellIs" dxfId="5570" priority="124" operator="greaterThan">
      <formula>$C8</formula>
    </cfRule>
    <cfRule type="cellIs" dxfId="5569" priority="125" operator="lessThan">
      <formula>$C8</formula>
    </cfRule>
  </conditionalFormatting>
  <conditionalFormatting sqref="D9:E9">
    <cfRule type="expression" dxfId="5568" priority="122">
      <formula>AND($A9&lt;&gt;"",MOD(ROW(),2))</formula>
    </cfRule>
  </conditionalFormatting>
  <conditionalFormatting sqref="D9">
    <cfRule type="cellIs" dxfId="5567" priority="119" operator="equal">
      <formula>$C9</formula>
    </cfRule>
    <cfRule type="cellIs" dxfId="5566" priority="120" operator="greaterThan">
      <formula>$C9</formula>
    </cfRule>
    <cfRule type="cellIs" dxfId="5565" priority="121" operator="lessThan">
      <formula>$C9</formula>
    </cfRule>
  </conditionalFormatting>
  <conditionalFormatting sqref="D10:E10">
    <cfRule type="expression" dxfId="5564" priority="118">
      <formula>AND($A10&lt;&gt;"",MOD(ROW(),2))</formula>
    </cfRule>
  </conditionalFormatting>
  <conditionalFormatting sqref="D10">
    <cfRule type="cellIs" dxfId="5563" priority="115" operator="equal">
      <formula>$C10</formula>
    </cfRule>
    <cfRule type="cellIs" dxfId="5562" priority="116" operator="greaterThan">
      <formula>$C10</formula>
    </cfRule>
    <cfRule type="cellIs" dxfId="5561" priority="117" operator="lessThan">
      <formula>$C10</formula>
    </cfRule>
  </conditionalFormatting>
  <conditionalFormatting sqref="D11:E11">
    <cfRule type="expression" dxfId="5560" priority="114">
      <formula>AND($A11&lt;&gt;"",MOD(ROW(),2))</formula>
    </cfRule>
  </conditionalFormatting>
  <conditionalFormatting sqref="D11">
    <cfRule type="cellIs" dxfId="5559" priority="111" operator="equal">
      <formula>$C11</formula>
    </cfRule>
    <cfRule type="cellIs" dxfId="5558" priority="112" operator="greaterThan">
      <formula>$C11</formula>
    </cfRule>
    <cfRule type="cellIs" dxfId="5557" priority="113" operator="lessThan">
      <formula>$C11</formula>
    </cfRule>
  </conditionalFormatting>
  <conditionalFormatting sqref="D12:E12">
    <cfRule type="expression" dxfId="5556" priority="110">
      <formula>AND($A12&lt;&gt;"",MOD(ROW(),2))</formula>
    </cfRule>
  </conditionalFormatting>
  <conditionalFormatting sqref="D12">
    <cfRule type="cellIs" dxfId="5555" priority="107" operator="equal">
      <formula>$C12</formula>
    </cfRule>
    <cfRule type="cellIs" dxfId="5554" priority="108" operator="greaterThan">
      <formula>$C12</formula>
    </cfRule>
    <cfRule type="cellIs" dxfId="5553" priority="109" operator="lessThan">
      <formula>$C12</formula>
    </cfRule>
  </conditionalFormatting>
  <conditionalFormatting sqref="D13:E13">
    <cfRule type="expression" dxfId="5552" priority="106">
      <formula>AND($A13&lt;&gt;"",MOD(ROW(),2))</formula>
    </cfRule>
  </conditionalFormatting>
  <conditionalFormatting sqref="D13">
    <cfRule type="cellIs" dxfId="5551" priority="103" operator="equal">
      <formula>$C13</formula>
    </cfRule>
    <cfRule type="cellIs" dxfId="5550" priority="104" operator="greaterThan">
      <formula>$C13</formula>
    </cfRule>
    <cfRule type="cellIs" dxfId="5549" priority="105" operator="lessThan">
      <formula>$C13</formula>
    </cfRule>
  </conditionalFormatting>
  <conditionalFormatting sqref="D14:E14">
    <cfRule type="expression" dxfId="5548" priority="102">
      <formula>AND($A14&lt;&gt;"",MOD(ROW(),2))</formula>
    </cfRule>
  </conditionalFormatting>
  <conditionalFormatting sqref="D14">
    <cfRule type="cellIs" dxfId="5547" priority="99" operator="equal">
      <formula>$C14</formula>
    </cfRule>
    <cfRule type="cellIs" dxfId="5546" priority="100" operator="greaterThan">
      <formula>$C14</formula>
    </cfRule>
    <cfRule type="cellIs" dxfId="5545" priority="101" operator="lessThan">
      <formula>$C14</formula>
    </cfRule>
  </conditionalFormatting>
  <conditionalFormatting sqref="D15:E15">
    <cfRule type="expression" dxfId="5544" priority="98">
      <formula>AND($A15&lt;&gt;"",MOD(ROW(),2))</formula>
    </cfRule>
  </conditionalFormatting>
  <conditionalFormatting sqref="D15">
    <cfRule type="cellIs" dxfId="5543" priority="95" operator="equal">
      <formula>$C15</formula>
    </cfRule>
    <cfRule type="cellIs" dxfId="5542" priority="96" operator="greaterThan">
      <formula>$C15</formula>
    </cfRule>
    <cfRule type="cellIs" dxfId="5541" priority="97" operator="lessThan">
      <formula>$C15</formula>
    </cfRule>
  </conditionalFormatting>
  <conditionalFormatting sqref="D16:E16">
    <cfRule type="expression" dxfId="5540" priority="94">
      <formula>AND($A16&lt;&gt;"",MOD(ROW(),2))</formula>
    </cfRule>
  </conditionalFormatting>
  <conditionalFormatting sqref="D16">
    <cfRule type="cellIs" dxfId="5539" priority="91" operator="equal">
      <formula>$C16</formula>
    </cfRule>
    <cfRule type="cellIs" dxfId="5538" priority="92" operator="greaterThan">
      <formula>$C16</formula>
    </cfRule>
    <cfRule type="cellIs" dxfId="5537" priority="93" operator="lessThan">
      <formula>$C16</formula>
    </cfRule>
  </conditionalFormatting>
  <conditionalFormatting sqref="D17:E17">
    <cfRule type="expression" dxfId="5536" priority="90">
      <formula>AND($A17&lt;&gt;"",MOD(ROW(),2))</formula>
    </cfRule>
  </conditionalFormatting>
  <conditionalFormatting sqref="D17">
    <cfRule type="cellIs" dxfId="5535" priority="87" operator="equal">
      <formula>$C17</formula>
    </cfRule>
    <cfRule type="cellIs" dxfId="5534" priority="88" operator="greaterThan">
      <formula>$C17</formula>
    </cfRule>
    <cfRule type="cellIs" dxfId="5533" priority="89" operator="lessThan">
      <formula>$C17</formula>
    </cfRule>
  </conditionalFormatting>
  <conditionalFormatting sqref="D18:E18">
    <cfRule type="expression" dxfId="5532" priority="86">
      <formula>AND($A18&lt;&gt;"",MOD(ROW(),2))</formula>
    </cfRule>
  </conditionalFormatting>
  <conditionalFormatting sqref="D18">
    <cfRule type="cellIs" dxfId="5531" priority="83" operator="equal">
      <formula>$C18</formula>
    </cfRule>
    <cfRule type="cellIs" dxfId="5530" priority="84" operator="greaterThan">
      <formula>$C18</formula>
    </cfRule>
    <cfRule type="cellIs" dxfId="5529" priority="85" operator="lessThan">
      <formula>$C18</formula>
    </cfRule>
  </conditionalFormatting>
  <conditionalFormatting sqref="F7:F18">
    <cfRule type="containsText" dxfId="5528" priority="59" operator="containsText" text="Unpaid Rent">
      <formula>NOT(ISERROR(SEARCH("Unpaid Rent",F7)))</formula>
    </cfRule>
    <cfRule type="containsText" dxfId="5527" priority="60" stopIfTrue="1" operator="containsText" text="Closed Account">
      <formula>NOT(ISERROR(SEARCH("Closed Account",F7)))</formula>
    </cfRule>
  </conditionalFormatting>
  <conditionalFormatting sqref="F19:F30">
    <cfRule type="containsText" dxfId="5526" priority="57" operator="containsText" text="Unpaid Rent">
      <formula>NOT(ISERROR(SEARCH("Unpaid Rent",F19)))</formula>
    </cfRule>
    <cfRule type="containsText" dxfId="5525" priority="58" stopIfTrue="1" operator="containsText" text="Closed Account">
      <formula>NOT(ISERROR(SEARCH("Closed Account",F19)))</formula>
    </cfRule>
  </conditionalFormatting>
  <conditionalFormatting sqref="D19:E19">
    <cfRule type="expression" dxfId="5524" priority="56">
      <formula>AND($A19&lt;&gt;"",MOD(ROW(),2))</formula>
    </cfRule>
  </conditionalFormatting>
  <conditionalFormatting sqref="D19">
    <cfRule type="cellIs" dxfId="5523" priority="53" operator="equal">
      <formula>$C19</formula>
    </cfRule>
    <cfRule type="cellIs" dxfId="5522" priority="54" operator="greaterThan">
      <formula>$C19</formula>
    </cfRule>
    <cfRule type="cellIs" dxfId="5521" priority="55" operator="lessThan">
      <formula>$C19</formula>
    </cfRule>
  </conditionalFormatting>
  <conditionalFormatting sqref="D20:E20">
    <cfRule type="expression" dxfId="5520" priority="52">
      <formula>AND($A20&lt;&gt;"",MOD(ROW(),2))</formula>
    </cfRule>
  </conditionalFormatting>
  <conditionalFormatting sqref="D20">
    <cfRule type="cellIs" dxfId="5519" priority="49" operator="equal">
      <formula>$C20</formula>
    </cfRule>
    <cfRule type="cellIs" dxfId="5518" priority="50" operator="greaterThan">
      <formula>$C20</formula>
    </cfRule>
    <cfRule type="cellIs" dxfId="5517" priority="51" operator="lessThan">
      <formula>$C20</formula>
    </cfRule>
  </conditionalFormatting>
  <conditionalFormatting sqref="D21:E21">
    <cfRule type="expression" dxfId="5516" priority="48">
      <formula>AND($A21&lt;&gt;"",MOD(ROW(),2))</formula>
    </cfRule>
  </conditionalFormatting>
  <conditionalFormatting sqref="D21">
    <cfRule type="cellIs" dxfId="5515" priority="45" operator="equal">
      <formula>$C21</formula>
    </cfRule>
    <cfRule type="cellIs" dxfId="5514" priority="46" operator="greaterThan">
      <formula>$C21</formula>
    </cfRule>
    <cfRule type="cellIs" dxfId="5513" priority="47" operator="lessThan">
      <formula>$C21</formula>
    </cfRule>
  </conditionalFormatting>
  <conditionalFormatting sqref="D22:E22">
    <cfRule type="expression" dxfId="5512" priority="44">
      <formula>AND($A22&lt;&gt;"",MOD(ROW(),2))</formula>
    </cfRule>
  </conditionalFormatting>
  <conditionalFormatting sqref="D22">
    <cfRule type="cellIs" dxfId="5511" priority="41" operator="equal">
      <formula>$C22</formula>
    </cfRule>
    <cfRule type="cellIs" dxfId="5510" priority="42" operator="greaterThan">
      <formula>$C22</formula>
    </cfRule>
    <cfRule type="cellIs" dxfId="5509" priority="43" operator="lessThan">
      <formula>$C22</formula>
    </cfRule>
  </conditionalFormatting>
  <conditionalFormatting sqref="D23:E23">
    <cfRule type="expression" dxfId="5508" priority="40">
      <formula>AND($A23&lt;&gt;"",MOD(ROW(),2))</formula>
    </cfRule>
  </conditionalFormatting>
  <conditionalFormatting sqref="D23">
    <cfRule type="cellIs" dxfId="5507" priority="37" operator="equal">
      <formula>$C23</formula>
    </cfRule>
    <cfRule type="cellIs" dxfId="5506" priority="38" operator="greaterThan">
      <formula>$C23</formula>
    </cfRule>
    <cfRule type="cellIs" dxfId="5505" priority="39" operator="lessThan">
      <formula>$C23</formula>
    </cfRule>
  </conditionalFormatting>
  <conditionalFormatting sqref="D24:E24">
    <cfRule type="expression" dxfId="5504" priority="36">
      <formula>AND($A24&lt;&gt;"",MOD(ROW(),2))</formula>
    </cfRule>
  </conditionalFormatting>
  <conditionalFormatting sqref="D24">
    <cfRule type="cellIs" dxfId="5503" priority="33" operator="equal">
      <formula>$C24</formula>
    </cfRule>
    <cfRule type="cellIs" dxfId="5502" priority="34" operator="greaterThan">
      <formula>$C24</formula>
    </cfRule>
    <cfRule type="cellIs" dxfId="5501" priority="35" operator="lessThan">
      <formula>$C24</formula>
    </cfRule>
  </conditionalFormatting>
  <conditionalFormatting sqref="D25:E25">
    <cfRule type="expression" dxfId="5500" priority="32">
      <formula>AND($A25&lt;&gt;"",MOD(ROW(),2))</formula>
    </cfRule>
  </conditionalFormatting>
  <conditionalFormatting sqref="D25">
    <cfRule type="cellIs" dxfId="5499" priority="29" operator="equal">
      <formula>$C25</formula>
    </cfRule>
    <cfRule type="cellIs" dxfId="5498" priority="30" operator="greaterThan">
      <formula>$C25</formula>
    </cfRule>
    <cfRule type="cellIs" dxfId="5497" priority="31" operator="lessThan">
      <formula>$C25</formula>
    </cfRule>
  </conditionalFormatting>
  <conditionalFormatting sqref="D26:E26">
    <cfRule type="expression" dxfId="5496" priority="28">
      <formula>AND($A26&lt;&gt;"",MOD(ROW(),2))</formula>
    </cfRule>
  </conditionalFormatting>
  <conditionalFormatting sqref="D26">
    <cfRule type="cellIs" dxfId="5495" priority="25" operator="equal">
      <formula>$C26</formula>
    </cfRule>
    <cfRule type="cellIs" dxfId="5494" priority="26" operator="greaterThan">
      <formula>$C26</formula>
    </cfRule>
    <cfRule type="cellIs" dxfId="5493" priority="27" operator="lessThan">
      <formula>$C26</formula>
    </cfRule>
  </conditionalFormatting>
  <conditionalFormatting sqref="D27:E27">
    <cfRule type="expression" dxfId="5492" priority="24">
      <formula>AND($A27&lt;&gt;"",MOD(ROW(),2))</formula>
    </cfRule>
  </conditionalFormatting>
  <conditionalFormatting sqref="D27">
    <cfRule type="cellIs" dxfId="5491" priority="21" operator="equal">
      <formula>$C27</formula>
    </cfRule>
    <cfRule type="cellIs" dxfId="5490" priority="22" operator="greaterThan">
      <formula>$C27</formula>
    </cfRule>
    <cfRule type="cellIs" dxfId="5489" priority="23" operator="lessThan">
      <formula>$C27</formula>
    </cfRule>
  </conditionalFormatting>
  <conditionalFormatting sqref="D28:E28">
    <cfRule type="expression" dxfId="5488" priority="20">
      <formula>AND($A28&lt;&gt;"",MOD(ROW(),2))</formula>
    </cfRule>
  </conditionalFormatting>
  <conditionalFormatting sqref="D28">
    <cfRule type="cellIs" dxfId="5487" priority="17" operator="equal">
      <formula>$C28</formula>
    </cfRule>
    <cfRule type="cellIs" dxfId="5486" priority="18" operator="greaterThan">
      <formula>$C28</formula>
    </cfRule>
    <cfRule type="cellIs" dxfId="5485" priority="19" operator="lessThan">
      <formula>$C28</formula>
    </cfRule>
  </conditionalFormatting>
  <conditionalFormatting sqref="D29:E29">
    <cfRule type="expression" dxfId="5484" priority="16">
      <formula>AND($A29&lt;&gt;"",MOD(ROW(),2))</formula>
    </cfRule>
  </conditionalFormatting>
  <conditionalFormatting sqref="D29">
    <cfRule type="cellIs" dxfId="5483" priority="13" operator="equal">
      <formula>$C29</formula>
    </cfRule>
    <cfRule type="cellIs" dxfId="5482" priority="14" operator="greaterThan">
      <formula>$C29</formula>
    </cfRule>
    <cfRule type="cellIs" dxfId="5481" priority="15" operator="lessThan">
      <formula>$C29</formula>
    </cfRule>
  </conditionalFormatting>
  <conditionalFormatting sqref="D30:E30">
    <cfRule type="expression" dxfId="5480" priority="12">
      <formula>AND($A30&lt;&gt;"",MOD(ROW(),2))</formula>
    </cfRule>
  </conditionalFormatting>
  <conditionalFormatting sqref="D30">
    <cfRule type="cellIs" dxfId="5479" priority="9" operator="equal">
      <formula>$C30</formula>
    </cfRule>
    <cfRule type="cellIs" dxfId="5478" priority="10" operator="greaterThan">
      <formula>$C30</formula>
    </cfRule>
    <cfRule type="cellIs" dxfId="5477" priority="11" operator="lessThan">
      <formula>$C30</formula>
    </cfRule>
  </conditionalFormatting>
  <conditionalFormatting sqref="K15:K18">
    <cfRule type="expression" dxfId="5476" priority="8">
      <formula>AND($A1048575&lt;&gt;"",MOD(ROW(),2))</formula>
    </cfRule>
  </conditionalFormatting>
  <conditionalFormatting sqref="K15:K18">
    <cfRule type="cellIs" dxfId="5475" priority="5" operator="equal">
      <formula>#REF!</formula>
    </cfRule>
    <cfRule type="cellIs" dxfId="5474" priority="6" operator="greaterThan">
      <formula>#REF!</formula>
    </cfRule>
    <cfRule type="cellIs" dxfId="5473" priority="7" operator="lessThan">
      <formula>#REF!</formula>
    </cfRule>
  </conditionalFormatting>
  <conditionalFormatting sqref="K15:K18">
    <cfRule type="expression" dxfId="5472" priority="4">
      <formula>AND($A1048575&lt;&gt;"",MOD(ROW(),2))</formula>
    </cfRule>
  </conditionalFormatting>
  <conditionalFormatting sqref="K15:K18">
    <cfRule type="cellIs" dxfId="5471" priority="1" operator="equal">
      <formula>#REF!</formula>
    </cfRule>
    <cfRule type="cellIs" dxfId="5470" priority="2" operator="greaterThan">
      <formula>#REF!</formula>
    </cfRule>
    <cfRule type="cellIs" dxfId="5469" priority="3" operator="lessThan">
      <formula>#REF!</formula>
    </cfRule>
  </conditionalFormatting>
  <pageMargins left="0.75" right="0.75" top="1" bottom="1" header="0.5" footer="0.5"/>
  <pageSetup paperSize="9" orientation="portrait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800-000000000000}">
          <x14:formula1>
            <xm:f>PullDownValues!$F$2:$F$14</xm:f>
          </x14:formula1>
          <xm:sqref>L7:L354</xm:sqref>
        </x14:dataValidation>
        <x14:dataValidation type="list" allowBlank="1" showInputMessage="1" showErrorMessage="1" prompt="Payment Method" xr:uid="{00000000-0002-0000-1800-000001000000}">
          <x14:formula1>
            <xm:f>PullDownValues!$B$2:$B$12</xm:f>
          </x14:formula1>
          <xm:sqref>F7:F289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354"/>
  <sheetViews>
    <sheetView zoomScaleNormal="100" workbookViewId="0">
      <pane ySplit="5" topLeftCell="A7" activePane="bottomLeft" state="frozen"/>
      <selection pane="bottomLeft" activeCell="K4" sqref="K4:K5"/>
    </sheetView>
  </sheetViews>
  <sheetFormatPr defaultColWidth="8.85546875" defaultRowHeight="15" customHeight="1" x14ac:dyDescent="0.25"/>
  <cols>
    <col min="1" max="1" width="3.28515625" style="10" bestFit="1" customWidth="1"/>
    <col min="2" max="3" width="12.5703125" bestFit="1" customWidth="1"/>
    <col min="4" max="4" width="12.85546875" bestFit="1" customWidth="1"/>
    <col min="5" max="5" width="15.28515625" bestFit="1" customWidth="1"/>
    <col min="6" max="6" width="15.28515625" customWidth="1"/>
    <col min="7" max="7" width="9.42578125" style="31" bestFit="1" customWidth="1"/>
    <col min="8" max="8" width="11.5703125" bestFit="1" customWidth="1"/>
    <col min="9" max="9" width="12.7109375" bestFit="1" customWidth="1"/>
    <col min="10" max="10" width="15.140625" bestFit="1" customWidth="1"/>
    <col min="11" max="11" width="10.5703125" bestFit="1" customWidth="1"/>
    <col min="12" max="12" width="12.5703125" bestFit="1" customWidth="1"/>
    <col min="13" max="13" width="10.7109375" bestFit="1" customWidth="1"/>
    <col min="14" max="14" width="12.7109375" bestFit="1" customWidth="1"/>
    <col min="15" max="15" width="10.5703125" bestFit="1" customWidth="1"/>
    <col min="16" max="16" width="11.28515625" bestFit="1" customWidth="1"/>
  </cols>
  <sheetData>
    <row r="1" spans="1:18" ht="35.1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5">
        <f>SUM(P6:P90)-O4</f>
        <v>0</v>
      </c>
      <c r="P1" s="255"/>
      <c r="Q1" s="114"/>
      <c r="R1" s="114"/>
    </row>
    <row r="2" spans="1:18" s="9" customFormat="1" ht="15.95" customHeight="1" x14ac:dyDescent="0.25">
      <c r="A2" s="287" t="s">
        <v>4</v>
      </c>
      <c r="B2" s="287"/>
      <c r="C2" s="287"/>
      <c r="D2" s="287"/>
      <c r="E2" s="287"/>
      <c r="F2" s="287"/>
      <c r="G2" s="336">
        <f>SUM($D$6:$D$2990)-SUMIF($F$7:$F$290,"Bond Received",$D$7:$D$2990)-SUMIF($F$7:$F$290,"Unpaid Rent",$D$7:$D$2990)-(SUMIF($F$7:$F$290,"Discount Rent",$D$7:$D$2990)*2)</f>
        <v>17835</v>
      </c>
      <c r="H2" s="336"/>
      <c r="I2" s="336"/>
      <c r="J2" s="260" t="s">
        <v>5</v>
      </c>
      <c r="K2" s="260"/>
      <c r="L2" s="260"/>
      <c r="M2" s="262">
        <f>SUM($K$6:$K$2989)-SUMIF($L$6:$L$2989,"Bond Return",$K$6:$K$2989)</f>
        <v>4793.0299999999988</v>
      </c>
      <c r="N2" s="263"/>
      <c r="O2" s="265"/>
      <c r="P2" s="265"/>
      <c r="Q2" s="35"/>
    </row>
    <row r="3" spans="1:18" s="9" customFormat="1" ht="15.95" customHeight="1" x14ac:dyDescent="0.25">
      <c r="A3" s="288"/>
      <c r="B3" s="288"/>
      <c r="C3" s="288"/>
      <c r="D3" s="288"/>
      <c r="E3" s="288"/>
      <c r="F3" s="288"/>
      <c r="G3" s="337"/>
      <c r="H3" s="337"/>
      <c r="I3" s="337"/>
      <c r="J3" s="261"/>
      <c r="K3" s="261"/>
      <c r="L3" s="261"/>
      <c r="M3" s="264"/>
      <c r="N3" s="264"/>
      <c r="O3" s="266"/>
      <c r="P3" s="266"/>
    </row>
    <row r="4" spans="1:18" s="9" customFormat="1" ht="15.95" customHeight="1" x14ac:dyDescent="0.25">
      <c r="A4" s="244" t="s">
        <v>6</v>
      </c>
      <c r="B4" s="244" t="s">
        <v>7</v>
      </c>
      <c r="C4" s="267" t="s">
        <v>8</v>
      </c>
      <c r="D4" s="269" t="s">
        <v>9</v>
      </c>
      <c r="E4" s="269" t="s">
        <v>10</v>
      </c>
      <c r="F4" s="252" t="s">
        <v>112</v>
      </c>
      <c r="G4" s="276" t="s">
        <v>11</v>
      </c>
      <c r="H4" s="244" t="s">
        <v>12</v>
      </c>
      <c r="I4" s="334" t="s">
        <v>113</v>
      </c>
      <c r="J4" s="246" t="s">
        <v>13</v>
      </c>
      <c r="K4" s="246" t="s">
        <v>14</v>
      </c>
      <c r="L4" s="248" t="s">
        <v>15</v>
      </c>
      <c r="M4" s="249"/>
      <c r="N4" s="271" t="s">
        <v>113</v>
      </c>
      <c r="O4" s="273">
        <f>G2-M2</f>
        <v>13041.970000000001</v>
      </c>
      <c r="P4" s="274">
        <f>SUM(P2:P3)</f>
        <v>0</v>
      </c>
      <c r="Q4" s="63">
        <f>SUM(Q2:Q3)</f>
        <v>0</v>
      </c>
    </row>
    <row r="5" spans="1:18" s="10" customFormat="1" x14ac:dyDescent="0.25">
      <c r="A5" s="245"/>
      <c r="B5" s="245"/>
      <c r="C5" s="268"/>
      <c r="D5" s="270"/>
      <c r="E5" s="270"/>
      <c r="F5" s="253"/>
      <c r="G5" s="277"/>
      <c r="H5" s="245"/>
      <c r="I5" s="335"/>
      <c r="J5" s="247"/>
      <c r="K5" s="247"/>
      <c r="L5" s="250"/>
      <c r="M5" s="251"/>
      <c r="N5" s="272"/>
      <c r="O5" s="275"/>
      <c r="P5" s="275"/>
      <c r="Q5" s="18"/>
      <c r="R5" s="64"/>
    </row>
    <row r="6" spans="1:18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1"/>
      <c r="K6" s="42"/>
      <c r="L6" s="43" t="s">
        <v>123</v>
      </c>
      <c r="M6" s="43"/>
      <c r="N6" s="43"/>
      <c r="O6"/>
    </row>
    <row r="7" spans="1:18" ht="15" customHeight="1" x14ac:dyDescent="0.25">
      <c r="A7" s="10">
        <v>1</v>
      </c>
      <c r="B7" s="48">
        <v>44043</v>
      </c>
      <c r="C7" s="17">
        <v>500</v>
      </c>
      <c r="D7" s="17">
        <v>500</v>
      </c>
      <c r="E7" s="16">
        <v>44043</v>
      </c>
      <c r="F7" t="s">
        <v>181</v>
      </c>
      <c r="G7" s="31">
        <v>76573</v>
      </c>
      <c r="H7" s="17">
        <f>IFERROR(IF(F6="Closed account",(IF(F7="Unpaid Rent",(C7),(C7-D7))),(IF(F7="Unpaid Rent",(C7+H6),(C7-D7+H6)))),"")</f>
        <v>0</v>
      </c>
      <c r="I7" s="17" t="s">
        <v>199</v>
      </c>
      <c r="J7" s="72">
        <v>44063</v>
      </c>
      <c r="K7" s="17">
        <v>85.25</v>
      </c>
      <c r="L7" s="49" t="s">
        <v>16</v>
      </c>
      <c r="N7" t="s">
        <v>199</v>
      </c>
      <c r="O7" t="s">
        <v>199</v>
      </c>
      <c r="P7" s="111">
        <f>SUMIF($I$6:$I$2992,O7,$D$6:$D$2992)-SUMIFS($D$6:$D$2992,$I$6:$I$2992,O7,$F$6:$F$2992,"Unpaid Rent")-(SUMIFS($D$6:$D$2992,$I$6:$I$2992,O7,$F$6:$F$2992,"Discount Rent")*2)-(SUMIFS($D$6:$D$2992,$I$6:$I$2992,O7,$F$6:$F$2992,"Bond Received"))-SUMIF($N$6:$N$2989,O7,$K$6:$K$2989)+SUMIFS($K$6:$K$2989,$N$6:$N$2989,O7,$L$6:$L$2989,"Bond Return")</f>
        <v>1849.5</v>
      </c>
    </row>
    <row r="8" spans="1:18" ht="15" customHeight="1" x14ac:dyDescent="0.25">
      <c r="A8" s="10">
        <v>1</v>
      </c>
      <c r="B8" s="48">
        <v>44043</v>
      </c>
      <c r="C8" s="17">
        <v>220</v>
      </c>
      <c r="D8" s="17">
        <v>220</v>
      </c>
      <c r="E8" s="16">
        <v>44044</v>
      </c>
      <c r="F8" t="s">
        <v>117</v>
      </c>
      <c r="H8" s="17">
        <f t="shared" ref="H8:H76" si="0">IFERROR(IF(F7="Closed account",(IF(F8="Unpaid Rent",(C8),(C8-D8))),(IF(F8="Unpaid Rent",(C8+H7),(C8-D8+H7)))),"")</f>
        <v>0</v>
      </c>
      <c r="I8" s="17" t="s">
        <v>199</v>
      </c>
      <c r="J8" s="72">
        <v>44099</v>
      </c>
      <c r="K8" s="17">
        <v>85.25</v>
      </c>
      <c r="L8" s="49" t="s">
        <v>16</v>
      </c>
      <c r="N8" t="s">
        <v>199</v>
      </c>
      <c r="O8" s="9" t="s">
        <v>14</v>
      </c>
      <c r="P8" s="111">
        <f t="shared" ref="P8:P78" si="1">SUMIF($I$6:$I$2992,O8,$D$6:$D$2992)-SUMIFS($D$6:$D$2992,$I$6:$I$2992,O8,$F$6:$F$2992,"Unpaid Rent")-(SUMIFS($D$6:$D$2992,$I$6:$I$2992,O8,$F$6:$F$2992,"Discount Rent")*2)-(SUMIFS($D$6:$D$2992,$I$6:$I$2992,O8,$F$6:$F$2992,"Bond Received"))-SUMIF($N$6:$N$2989,O8,$K$6:$K$2989)+SUMIFS($K$6:$K$2989,$N$6:$N$2989,O8,$L$6:$L$2989,"Bond Return")</f>
        <v>-2141.42</v>
      </c>
    </row>
    <row r="9" spans="1:18" ht="15" customHeight="1" x14ac:dyDescent="0.25">
      <c r="A9" s="10">
        <v>2</v>
      </c>
      <c r="B9" s="48">
        <v>44050</v>
      </c>
      <c r="C9" s="17">
        <v>200</v>
      </c>
      <c r="D9" s="17">
        <v>200</v>
      </c>
      <c r="E9" s="16">
        <v>44050</v>
      </c>
      <c r="F9" t="s">
        <v>117</v>
      </c>
      <c r="H9" s="17">
        <f t="shared" si="0"/>
        <v>0</v>
      </c>
      <c r="I9" s="17" t="s">
        <v>199</v>
      </c>
      <c r="J9" s="72">
        <v>44112</v>
      </c>
      <c r="K9" s="17">
        <v>500</v>
      </c>
      <c r="L9" s="49" t="s">
        <v>45</v>
      </c>
      <c r="N9" t="s">
        <v>199</v>
      </c>
      <c r="O9" t="s">
        <v>448</v>
      </c>
      <c r="P9" s="111">
        <f t="shared" si="1"/>
        <v>0</v>
      </c>
    </row>
    <row r="10" spans="1:18" ht="15" customHeight="1" x14ac:dyDescent="0.25">
      <c r="A10" s="10">
        <v>3</v>
      </c>
      <c r="B10" s="48">
        <v>44057</v>
      </c>
      <c r="C10" s="17">
        <v>200</v>
      </c>
      <c r="D10" s="17"/>
      <c r="E10" s="16"/>
      <c r="H10" s="17">
        <f t="shared" si="0"/>
        <v>200</v>
      </c>
      <c r="I10" s="17" t="s">
        <v>199</v>
      </c>
      <c r="J10" s="72">
        <v>44120</v>
      </c>
      <c r="K10" s="17">
        <v>165</v>
      </c>
      <c r="L10" s="49" t="s">
        <v>17</v>
      </c>
      <c r="M10" t="s">
        <v>436</v>
      </c>
      <c r="N10" t="s">
        <v>14</v>
      </c>
      <c r="O10" t="s">
        <v>449</v>
      </c>
      <c r="P10" s="111">
        <f t="shared" si="1"/>
        <v>1800</v>
      </c>
    </row>
    <row r="11" spans="1:18" ht="15" customHeight="1" x14ac:dyDescent="0.25">
      <c r="A11" s="10">
        <v>4</v>
      </c>
      <c r="B11" s="48">
        <v>44064</v>
      </c>
      <c r="C11" s="17">
        <v>200</v>
      </c>
      <c r="D11" s="17">
        <v>200</v>
      </c>
      <c r="E11" s="16">
        <v>44062</v>
      </c>
      <c r="F11" t="s">
        <v>117</v>
      </c>
      <c r="H11" s="17">
        <f t="shared" si="0"/>
        <v>200</v>
      </c>
      <c r="I11" s="17" t="s">
        <v>199</v>
      </c>
      <c r="J11" s="72">
        <v>44126</v>
      </c>
      <c r="K11" s="17">
        <v>88</v>
      </c>
      <c r="L11" s="49" t="s">
        <v>17</v>
      </c>
      <c r="M11" t="s">
        <v>438</v>
      </c>
      <c r="N11" t="s">
        <v>14</v>
      </c>
      <c r="O11" t="s">
        <v>498</v>
      </c>
      <c r="P11" s="111">
        <f t="shared" si="1"/>
        <v>440</v>
      </c>
    </row>
    <row r="12" spans="1:18" ht="15" customHeight="1" x14ac:dyDescent="0.25">
      <c r="A12" s="10">
        <v>5</v>
      </c>
      <c r="B12" s="48">
        <f t="shared" ref="B12:B17" si="2">B11+7</f>
        <v>44071</v>
      </c>
      <c r="C12" s="17">
        <v>200</v>
      </c>
      <c r="D12" s="17"/>
      <c r="E12" s="16"/>
      <c r="H12" s="17">
        <f t="shared" si="0"/>
        <v>400</v>
      </c>
      <c r="I12" s="17" t="s">
        <v>199</v>
      </c>
      <c r="J12" s="72">
        <v>44127</v>
      </c>
      <c r="K12" s="17">
        <v>85.25</v>
      </c>
      <c r="L12" s="49" t="s">
        <v>16</v>
      </c>
      <c r="N12" t="s">
        <v>14</v>
      </c>
      <c r="O12" t="s">
        <v>478</v>
      </c>
      <c r="P12" s="111">
        <f t="shared" si="1"/>
        <v>0</v>
      </c>
    </row>
    <row r="13" spans="1:18" ht="15" customHeight="1" x14ac:dyDescent="0.25">
      <c r="A13" s="10">
        <v>6</v>
      </c>
      <c r="B13" s="48">
        <f t="shared" si="2"/>
        <v>44078</v>
      </c>
      <c r="C13" s="17">
        <v>200</v>
      </c>
      <c r="D13" s="17"/>
      <c r="E13" s="16"/>
      <c r="H13" s="17">
        <f t="shared" si="0"/>
        <v>600</v>
      </c>
      <c r="I13" s="17" t="s">
        <v>199</v>
      </c>
      <c r="J13" s="48">
        <v>44132</v>
      </c>
      <c r="K13" s="17">
        <v>66</v>
      </c>
      <c r="L13" s="49" t="s">
        <v>34</v>
      </c>
      <c r="N13" t="s">
        <v>14</v>
      </c>
      <c r="O13" t="s">
        <v>524</v>
      </c>
      <c r="P13" s="111">
        <f t="shared" si="1"/>
        <v>3322.15</v>
      </c>
    </row>
    <row r="14" spans="1:18" ht="15" customHeight="1" x14ac:dyDescent="0.25">
      <c r="A14" s="10">
        <v>7</v>
      </c>
      <c r="B14" s="48">
        <f t="shared" si="2"/>
        <v>44085</v>
      </c>
      <c r="C14" s="17">
        <v>200</v>
      </c>
      <c r="D14" s="17"/>
      <c r="E14" s="16"/>
      <c r="H14" s="17">
        <f t="shared" si="0"/>
        <v>800</v>
      </c>
      <c r="I14" s="17" t="s">
        <v>199</v>
      </c>
      <c r="J14" s="48">
        <v>44135</v>
      </c>
      <c r="K14" s="17">
        <v>85.99</v>
      </c>
      <c r="L14" s="49" t="s">
        <v>17</v>
      </c>
      <c r="M14" t="s">
        <v>204</v>
      </c>
      <c r="N14" t="s">
        <v>14</v>
      </c>
      <c r="O14" t="s">
        <v>215</v>
      </c>
      <c r="P14" s="111">
        <f t="shared" si="1"/>
        <v>1425.75</v>
      </c>
    </row>
    <row r="15" spans="1:18" ht="15" customHeight="1" x14ac:dyDescent="0.25">
      <c r="A15" s="10">
        <v>8</v>
      </c>
      <c r="B15" s="48">
        <f t="shared" si="2"/>
        <v>44092</v>
      </c>
      <c r="C15" s="17">
        <v>200</v>
      </c>
      <c r="D15" s="17">
        <v>400</v>
      </c>
      <c r="E15" s="16">
        <v>44092</v>
      </c>
      <c r="F15" t="s">
        <v>117</v>
      </c>
      <c r="H15" s="17">
        <f t="shared" si="0"/>
        <v>600</v>
      </c>
      <c r="I15" s="17" t="s">
        <v>199</v>
      </c>
      <c r="J15" s="48">
        <v>44207</v>
      </c>
      <c r="K15" s="17">
        <v>180</v>
      </c>
      <c r="L15" s="49" t="s">
        <v>45</v>
      </c>
      <c r="N15" t="s">
        <v>449</v>
      </c>
      <c r="O15" t="s">
        <v>725</v>
      </c>
      <c r="P15" s="111">
        <f t="shared" si="1"/>
        <v>225</v>
      </c>
    </row>
    <row r="16" spans="1:18" ht="15" customHeight="1" x14ac:dyDescent="0.25">
      <c r="A16" s="10">
        <v>9</v>
      </c>
      <c r="B16" s="48">
        <f t="shared" si="2"/>
        <v>44099</v>
      </c>
      <c r="C16" s="17">
        <v>200</v>
      </c>
      <c r="D16" s="17">
        <v>500</v>
      </c>
      <c r="E16" s="16">
        <v>44107</v>
      </c>
      <c r="F16" t="s">
        <v>117</v>
      </c>
      <c r="H16" s="17">
        <f t="shared" si="0"/>
        <v>300</v>
      </c>
      <c r="I16" s="17" t="s">
        <v>199</v>
      </c>
      <c r="J16" s="48">
        <v>43851</v>
      </c>
      <c r="K16" s="17">
        <v>48.22</v>
      </c>
      <c r="L16" s="49" t="s">
        <v>32</v>
      </c>
      <c r="N16" t="s">
        <v>14</v>
      </c>
      <c r="O16" t="s">
        <v>762</v>
      </c>
      <c r="P16" s="111">
        <f t="shared" si="1"/>
        <v>331.86</v>
      </c>
    </row>
    <row r="17" spans="1:16" ht="15" customHeight="1" x14ac:dyDescent="0.25">
      <c r="A17" s="10">
        <v>10</v>
      </c>
      <c r="B17" s="48">
        <f t="shared" si="2"/>
        <v>44106</v>
      </c>
      <c r="C17" s="17">
        <v>200</v>
      </c>
      <c r="D17" s="17">
        <v>500</v>
      </c>
      <c r="E17" s="16">
        <v>44112</v>
      </c>
      <c r="F17" t="s">
        <v>124</v>
      </c>
      <c r="H17" s="17">
        <f t="shared" si="0"/>
        <v>0</v>
      </c>
      <c r="I17" s="17" t="s">
        <v>199</v>
      </c>
      <c r="J17" s="48">
        <v>44221</v>
      </c>
      <c r="K17" s="17">
        <v>190</v>
      </c>
      <c r="L17" s="49" t="s">
        <v>17</v>
      </c>
      <c r="M17" t="s">
        <v>204</v>
      </c>
      <c r="N17" t="s">
        <v>14</v>
      </c>
      <c r="O17" t="s">
        <v>465</v>
      </c>
      <c r="P17" s="111">
        <f t="shared" si="1"/>
        <v>180</v>
      </c>
    </row>
    <row r="18" spans="1:16" ht="15" customHeight="1" x14ac:dyDescent="0.25">
      <c r="A18" s="10">
        <v>1</v>
      </c>
      <c r="B18" s="48">
        <v>44138</v>
      </c>
      <c r="C18" s="17">
        <v>180</v>
      </c>
      <c r="D18" s="17">
        <v>180</v>
      </c>
      <c r="E18" s="16">
        <v>44138</v>
      </c>
      <c r="F18" t="s">
        <v>181</v>
      </c>
      <c r="H18" s="17">
        <f t="shared" ref="H18:H23" si="3">IFERROR(IF(F17="Closed account",(IF(F18="Unpaid Rent",(C18),(C18-D18))),(IF(F18="Unpaid Rent",(C18+H17),(C18-D18+H17)))),"")</f>
        <v>0</v>
      </c>
      <c r="I18" s="17" t="s">
        <v>449</v>
      </c>
      <c r="J18" s="48">
        <v>44222</v>
      </c>
      <c r="K18" s="17">
        <v>198.52</v>
      </c>
      <c r="L18" s="49" t="s">
        <v>20</v>
      </c>
      <c r="N18" t="s">
        <v>14</v>
      </c>
      <c r="O18" t="s">
        <v>783</v>
      </c>
      <c r="P18" s="111">
        <f t="shared" si="1"/>
        <v>1834.1299999999999</v>
      </c>
    </row>
    <row r="19" spans="1:16" ht="15" customHeight="1" x14ac:dyDescent="0.25">
      <c r="A19" s="10">
        <v>1</v>
      </c>
      <c r="B19" s="48">
        <v>44138</v>
      </c>
      <c r="C19" s="17">
        <v>180</v>
      </c>
      <c r="D19" s="17">
        <v>180</v>
      </c>
      <c r="E19" s="16">
        <v>44138</v>
      </c>
      <c r="F19" t="s">
        <v>117</v>
      </c>
      <c r="H19" s="17">
        <f t="shared" si="3"/>
        <v>0</v>
      </c>
      <c r="I19" s="17" t="s">
        <v>449</v>
      </c>
      <c r="J19" s="48">
        <v>44226</v>
      </c>
      <c r="K19" s="17">
        <v>55.1</v>
      </c>
      <c r="L19" s="49" t="s">
        <v>54</v>
      </c>
      <c r="N19" t="s">
        <v>14</v>
      </c>
      <c r="O19" t="s">
        <v>815</v>
      </c>
      <c r="P19" s="111">
        <f t="shared" si="1"/>
        <v>825</v>
      </c>
    </row>
    <row r="20" spans="1:16" ht="15" customHeight="1" x14ac:dyDescent="0.25">
      <c r="A20" s="10">
        <v>2</v>
      </c>
      <c r="B20" s="48">
        <f t="shared" ref="B20:B25" si="4">B19+7</f>
        <v>44145</v>
      </c>
      <c r="C20" s="17">
        <v>180</v>
      </c>
      <c r="D20" s="17">
        <v>180</v>
      </c>
      <c r="E20" s="16">
        <v>44145</v>
      </c>
      <c r="F20" t="s">
        <v>117</v>
      </c>
      <c r="H20" s="17">
        <f t="shared" si="3"/>
        <v>0</v>
      </c>
      <c r="I20" s="17" t="s">
        <v>449</v>
      </c>
      <c r="J20" s="48">
        <v>44242</v>
      </c>
      <c r="K20" s="17">
        <v>220</v>
      </c>
      <c r="L20" s="49" t="s">
        <v>17</v>
      </c>
      <c r="M20" t="s">
        <v>516</v>
      </c>
      <c r="N20" t="s">
        <v>14</v>
      </c>
      <c r="O20" t="s">
        <v>899</v>
      </c>
      <c r="P20" s="111">
        <f t="shared" si="1"/>
        <v>250</v>
      </c>
    </row>
    <row r="21" spans="1:16" ht="15" customHeight="1" x14ac:dyDescent="0.25">
      <c r="A21" s="10">
        <v>3</v>
      </c>
      <c r="B21" s="48">
        <f t="shared" si="4"/>
        <v>44152</v>
      </c>
      <c r="C21" s="17">
        <v>180</v>
      </c>
      <c r="D21" s="17">
        <v>180</v>
      </c>
      <c r="E21" s="16">
        <v>44153</v>
      </c>
      <c r="F21" t="s">
        <v>117</v>
      </c>
      <c r="H21" s="17">
        <f t="shared" si="3"/>
        <v>0</v>
      </c>
      <c r="I21" s="17" t="s">
        <v>449</v>
      </c>
      <c r="J21" s="48">
        <v>44244</v>
      </c>
      <c r="K21" s="17">
        <v>15.39</v>
      </c>
      <c r="L21" s="49" t="s">
        <v>32</v>
      </c>
      <c r="N21" t="s">
        <v>14</v>
      </c>
      <c r="O21" t="s">
        <v>575</v>
      </c>
      <c r="P21" s="111">
        <f t="shared" si="1"/>
        <v>2700</v>
      </c>
    </row>
    <row r="22" spans="1:16" ht="15" customHeight="1" x14ac:dyDescent="0.25">
      <c r="A22" s="10">
        <v>4</v>
      </c>
      <c r="B22" s="48">
        <f t="shared" si="4"/>
        <v>44159</v>
      </c>
      <c r="C22" s="17">
        <v>180</v>
      </c>
      <c r="D22" s="17">
        <v>180</v>
      </c>
      <c r="E22" s="16">
        <v>44161</v>
      </c>
      <c r="F22" t="s">
        <v>117</v>
      </c>
      <c r="H22" s="17">
        <f t="shared" si="3"/>
        <v>0</v>
      </c>
      <c r="I22" s="17" t="s">
        <v>449</v>
      </c>
      <c r="J22" s="48">
        <v>44251</v>
      </c>
      <c r="K22" s="17">
        <v>16.5</v>
      </c>
      <c r="L22" s="49" t="s">
        <v>32</v>
      </c>
      <c r="N22" t="s">
        <v>14</v>
      </c>
      <c r="P22" s="111">
        <f t="shared" si="1"/>
        <v>0</v>
      </c>
    </row>
    <row r="23" spans="1:16" ht="15" customHeight="1" x14ac:dyDescent="0.25">
      <c r="A23" s="10">
        <v>5</v>
      </c>
      <c r="B23" s="48">
        <f t="shared" si="4"/>
        <v>44166</v>
      </c>
      <c r="C23" s="17">
        <v>180</v>
      </c>
      <c r="D23" s="17">
        <v>180</v>
      </c>
      <c r="E23" s="16">
        <v>44167</v>
      </c>
      <c r="F23" t="s">
        <v>117</v>
      </c>
      <c r="H23" s="17">
        <f t="shared" si="3"/>
        <v>0</v>
      </c>
      <c r="I23" s="17" t="s">
        <v>449</v>
      </c>
      <c r="J23" s="48">
        <v>44260</v>
      </c>
      <c r="K23" s="17">
        <v>5.5</v>
      </c>
      <c r="L23" s="49" t="s">
        <v>22</v>
      </c>
      <c r="N23" t="s">
        <v>524</v>
      </c>
      <c r="P23" s="111">
        <f t="shared" si="1"/>
        <v>0</v>
      </c>
    </row>
    <row r="24" spans="1:16" ht="15" customHeight="1" x14ac:dyDescent="0.25">
      <c r="A24" s="10">
        <v>6</v>
      </c>
      <c r="B24" s="48">
        <f t="shared" si="4"/>
        <v>44173</v>
      </c>
      <c r="C24" s="17">
        <v>180</v>
      </c>
      <c r="D24" s="17">
        <v>180</v>
      </c>
      <c r="E24" s="16">
        <v>44174</v>
      </c>
      <c r="F24" t="s">
        <v>117</v>
      </c>
      <c r="H24" s="17">
        <f t="shared" si="0"/>
        <v>0</v>
      </c>
      <c r="I24" s="17" t="s">
        <v>449</v>
      </c>
      <c r="J24" s="48">
        <v>44292</v>
      </c>
      <c r="K24" s="17">
        <v>0.99</v>
      </c>
      <c r="L24" s="49" t="s">
        <v>22</v>
      </c>
      <c r="N24" t="s">
        <v>524</v>
      </c>
      <c r="P24" s="111">
        <f t="shared" si="1"/>
        <v>0</v>
      </c>
    </row>
    <row r="25" spans="1:16" ht="15" customHeight="1" x14ac:dyDescent="0.25">
      <c r="A25" s="10">
        <v>7</v>
      </c>
      <c r="B25" s="48">
        <f t="shared" si="4"/>
        <v>44180</v>
      </c>
      <c r="C25" s="17">
        <v>180</v>
      </c>
      <c r="D25" s="17">
        <v>180</v>
      </c>
      <c r="E25" s="16">
        <v>44181</v>
      </c>
      <c r="F25" t="s">
        <v>117</v>
      </c>
      <c r="H25" s="17">
        <f t="shared" si="0"/>
        <v>0</v>
      </c>
      <c r="I25" s="17" t="s">
        <v>449</v>
      </c>
      <c r="J25" s="48">
        <v>44313</v>
      </c>
      <c r="K25" s="17">
        <v>198.52</v>
      </c>
      <c r="L25" s="49" t="s">
        <v>20</v>
      </c>
      <c r="N25" t="s">
        <v>524</v>
      </c>
      <c r="P25" s="111">
        <f t="shared" si="1"/>
        <v>0</v>
      </c>
    </row>
    <row r="26" spans="1:16" ht="15" customHeight="1" x14ac:dyDescent="0.25">
      <c r="A26" s="10">
        <v>8</v>
      </c>
      <c r="B26" s="48">
        <f>B25+7</f>
        <v>44187</v>
      </c>
      <c r="C26" s="17">
        <v>180</v>
      </c>
      <c r="D26" s="17">
        <v>180</v>
      </c>
      <c r="E26" s="16">
        <v>44188</v>
      </c>
      <c r="F26" t="s">
        <v>117</v>
      </c>
      <c r="H26" s="17">
        <f t="shared" si="0"/>
        <v>0</v>
      </c>
      <c r="I26" s="17" t="s">
        <v>449</v>
      </c>
      <c r="J26" s="48">
        <v>44346</v>
      </c>
      <c r="K26" s="17">
        <v>0.99</v>
      </c>
      <c r="L26" s="49" t="s">
        <v>22</v>
      </c>
      <c r="N26" t="s">
        <v>524</v>
      </c>
      <c r="P26" s="111">
        <f t="shared" si="1"/>
        <v>0</v>
      </c>
    </row>
    <row r="27" spans="1:16" ht="15" customHeight="1" x14ac:dyDescent="0.25">
      <c r="A27" s="10">
        <v>9</v>
      </c>
      <c r="B27" s="48">
        <f>B26+7</f>
        <v>44194</v>
      </c>
      <c r="C27" s="17">
        <v>180</v>
      </c>
      <c r="D27" s="17">
        <v>180</v>
      </c>
      <c r="E27" s="16">
        <v>44195</v>
      </c>
      <c r="F27" t="s">
        <v>117</v>
      </c>
      <c r="H27" s="17">
        <f t="shared" si="0"/>
        <v>0</v>
      </c>
      <c r="I27" s="17" t="s">
        <v>449</v>
      </c>
      <c r="J27" s="48">
        <v>44350</v>
      </c>
      <c r="K27" s="17">
        <v>2.75</v>
      </c>
      <c r="L27" s="49" t="s">
        <v>22</v>
      </c>
      <c r="N27" t="s">
        <v>524</v>
      </c>
      <c r="P27" s="111">
        <f t="shared" si="1"/>
        <v>0</v>
      </c>
    </row>
    <row r="28" spans="1:16" ht="15" customHeight="1" x14ac:dyDescent="0.25">
      <c r="A28" s="10">
        <v>10</v>
      </c>
      <c r="B28" s="48">
        <f>B27+7</f>
        <v>44201</v>
      </c>
      <c r="C28" s="17">
        <v>180</v>
      </c>
      <c r="D28" s="17">
        <v>180</v>
      </c>
      <c r="E28" s="16">
        <v>44207</v>
      </c>
      <c r="F28" t="s">
        <v>124</v>
      </c>
      <c r="H28" s="17">
        <f t="shared" si="0"/>
        <v>0</v>
      </c>
      <c r="I28" s="17" t="s">
        <v>449</v>
      </c>
      <c r="J28" s="48">
        <v>44344</v>
      </c>
      <c r="K28" s="17">
        <v>0.99</v>
      </c>
      <c r="L28" s="49" t="s">
        <v>22</v>
      </c>
      <c r="N28" t="s">
        <v>524</v>
      </c>
      <c r="P28" s="111">
        <f t="shared" si="1"/>
        <v>0</v>
      </c>
    </row>
    <row r="29" spans="1:16" ht="15" customHeight="1" x14ac:dyDescent="0.25">
      <c r="A29" s="10">
        <v>1</v>
      </c>
      <c r="B29" s="48">
        <v>44224</v>
      </c>
      <c r="C29" s="17">
        <v>320</v>
      </c>
      <c r="D29" s="17">
        <v>320</v>
      </c>
      <c r="E29" s="16">
        <v>44223</v>
      </c>
      <c r="F29" t="s">
        <v>181</v>
      </c>
      <c r="H29" s="17">
        <f t="shared" si="0"/>
        <v>0</v>
      </c>
      <c r="I29" s="17" t="s">
        <v>498</v>
      </c>
      <c r="J29" s="48">
        <v>44357</v>
      </c>
      <c r="K29" s="17">
        <v>2.75</v>
      </c>
      <c r="L29" s="49" t="s">
        <v>22</v>
      </c>
      <c r="N29" t="s">
        <v>524</v>
      </c>
      <c r="P29" s="111">
        <f t="shared" si="1"/>
        <v>0</v>
      </c>
    </row>
    <row r="30" spans="1:16" ht="15" customHeight="1" x14ac:dyDescent="0.25">
      <c r="A30" s="10">
        <v>1</v>
      </c>
      <c r="B30" s="48">
        <v>44224</v>
      </c>
      <c r="C30" s="17">
        <v>220</v>
      </c>
      <c r="D30" s="17">
        <v>220</v>
      </c>
      <c r="E30" s="16">
        <v>44223</v>
      </c>
      <c r="F30" t="s">
        <v>117</v>
      </c>
      <c r="H30" s="17">
        <f t="shared" si="0"/>
        <v>0</v>
      </c>
      <c r="I30" s="17" t="s">
        <v>498</v>
      </c>
      <c r="J30" s="48">
        <v>44351</v>
      </c>
      <c r="K30" s="17">
        <v>0.99</v>
      </c>
      <c r="L30" s="49" t="s">
        <v>22</v>
      </c>
      <c r="N30" t="s">
        <v>524</v>
      </c>
      <c r="P30" s="111">
        <f t="shared" si="1"/>
        <v>0</v>
      </c>
    </row>
    <row r="31" spans="1:16" ht="15" customHeight="1" x14ac:dyDescent="0.25">
      <c r="A31" s="10">
        <v>2</v>
      </c>
      <c r="B31" s="48">
        <f>B30+7</f>
        <v>44231</v>
      </c>
      <c r="C31" s="17">
        <v>220</v>
      </c>
      <c r="D31" s="17">
        <v>220</v>
      </c>
      <c r="E31" s="16">
        <v>44231</v>
      </c>
      <c r="F31" t="s">
        <v>124</v>
      </c>
      <c r="H31" s="17">
        <f t="shared" si="0"/>
        <v>0</v>
      </c>
      <c r="I31" s="17" t="s">
        <v>498</v>
      </c>
      <c r="J31" s="48">
        <v>44367</v>
      </c>
      <c r="K31" s="17">
        <v>400</v>
      </c>
      <c r="L31" s="49" t="s">
        <v>45</v>
      </c>
      <c r="N31" t="s">
        <v>524</v>
      </c>
      <c r="P31" s="111">
        <f t="shared" si="1"/>
        <v>0</v>
      </c>
    </row>
    <row r="32" spans="1:16" ht="15" customHeight="1" x14ac:dyDescent="0.25">
      <c r="A32" s="10">
        <v>1</v>
      </c>
      <c r="B32" s="48">
        <v>44247</v>
      </c>
      <c r="C32" s="17"/>
      <c r="D32" s="17"/>
      <c r="E32" s="16">
        <v>44252</v>
      </c>
      <c r="F32" t="s">
        <v>124</v>
      </c>
      <c r="H32" s="17">
        <f t="shared" si="0"/>
        <v>0</v>
      </c>
      <c r="I32" s="17" t="s">
        <v>478</v>
      </c>
      <c r="J32" s="48">
        <v>44368</v>
      </c>
      <c r="K32" s="17">
        <v>14.37</v>
      </c>
      <c r="L32" s="49" t="s">
        <v>32</v>
      </c>
      <c r="N32" t="s">
        <v>524</v>
      </c>
      <c r="P32" s="111">
        <f t="shared" si="1"/>
        <v>0</v>
      </c>
    </row>
    <row r="33" spans="1:16" ht="15" customHeight="1" x14ac:dyDescent="0.25">
      <c r="A33" s="10">
        <v>1</v>
      </c>
      <c r="B33" s="48">
        <v>44246</v>
      </c>
      <c r="C33" s="17">
        <v>100</v>
      </c>
      <c r="D33" s="17">
        <v>100</v>
      </c>
      <c r="E33" s="16">
        <v>44246</v>
      </c>
      <c r="F33" t="s">
        <v>181</v>
      </c>
      <c r="H33" s="17">
        <f t="shared" si="0"/>
        <v>0</v>
      </c>
      <c r="I33" s="17" t="s">
        <v>524</v>
      </c>
      <c r="J33" s="48">
        <v>44237</v>
      </c>
      <c r="K33" s="17">
        <v>320</v>
      </c>
      <c r="L33" s="49" t="s">
        <v>45</v>
      </c>
      <c r="N33" t="s">
        <v>498</v>
      </c>
      <c r="P33" s="111">
        <f t="shared" si="1"/>
        <v>0</v>
      </c>
    </row>
    <row r="34" spans="1:16" ht="15" customHeight="1" x14ac:dyDescent="0.25">
      <c r="A34" s="10">
        <v>1</v>
      </c>
      <c r="B34" s="48">
        <v>44254</v>
      </c>
      <c r="C34" s="17">
        <v>300</v>
      </c>
      <c r="D34" s="17">
        <v>300</v>
      </c>
      <c r="E34" s="16">
        <v>44253</v>
      </c>
      <c r="F34" t="s">
        <v>181</v>
      </c>
      <c r="H34" s="17">
        <f t="shared" si="0"/>
        <v>0</v>
      </c>
      <c r="I34" s="17" t="s">
        <v>524</v>
      </c>
      <c r="J34" s="48">
        <v>44376</v>
      </c>
      <c r="K34" s="17">
        <v>110</v>
      </c>
      <c r="L34" s="49" t="s">
        <v>26</v>
      </c>
      <c r="N34" t="s">
        <v>215</v>
      </c>
      <c r="P34" s="111">
        <f t="shared" si="1"/>
        <v>0</v>
      </c>
    </row>
    <row r="35" spans="1:16" ht="15" customHeight="1" x14ac:dyDescent="0.25">
      <c r="A35" s="10">
        <v>2</v>
      </c>
      <c r="B35" s="48">
        <v>44254</v>
      </c>
      <c r="C35" s="17">
        <v>200</v>
      </c>
      <c r="D35" s="17">
        <v>200</v>
      </c>
      <c r="E35" s="16">
        <v>44253</v>
      </c>
      <c r="F35" t="s">
        <v>117</v>
      </c>
      <c r="H35" s="17">
        <f t="shared" si="0"/>
        <v>0</v>
      </c>
      <c r="I35" s="17" t="s">
        <v>524</v>
      </c>
      <c r="J35" s="48">
        <v>44397</v>
      </c>
      <c r="K35" s="17">
        <v>201.31</v>
      </c>
      <c r="L35" s="49" t="s">
        <v>20</v>
      </c>
      <c r="N35" t="s">
        <v>215</v>
      </c>
      <c r="P35" s="111">
        <f t="shared" si="1"/>
        <v>0</v>
      </c>
    </row>
    <row r="36" spans="1:16" ht="15" customHeight="1" x14ac:dyDescent="0.25">
      <c r="A36" s="10">
        <v>3</v>
      </c>
      <c r="B36" s="48">
        <f t="shared" ref="B36:B41" si="5">B35+7</f>
        <v>44261</v>
      </c>
      <c r="C36" s="17">
        <v>200</v>
      </c>
      <c r="D36" s="17">
        <v>200</v>
      </c>
      <c r="E36" s="16">
        <v>44260</v>
      </c>
      <c r="F36" t="s">
        <v>117</v>
      </c>
      <c r="H36" s="17">
        <f t="shared" si="0"/>
        <v>0</v>
      </c>
      <c r="I36" s="17" t="s">
        <v>524</v>
      </c>
      <c r="J36" s="48">
        <v>44495</v>
      </c>
      <c r="K36" s="17">
        <v>150</v>
      </c>
      <c r="L36" s="49" t="s">
        <v>45</v>
      </c>
      <c r="N36" t="s">
        <v>215</v>
      </c>
      <c r="P36" s="111">
        <f t="shared" si="1"/>
        <v>0</v>
      </c>
    </row>
    <row r="37" spans="1:16" ht="15" customHeight="1" x14ac:dyDescent="0.25">
      <c r="A37" s="10">
        <v>4</v>
      </c>
      <c r="B37" s="48">
        <f t="shared" si="5"/>
        <v>44268</v>
      </c>
      <c r="C37" s="17">
        <v>200</v>
      </c>
      <c r="D37" s="17">
        <v>200</v>
      </c>
      <c r="E37" s="16">
        <v>44267</v>
      </c>
      <c r="F37" t="s">
        <v>117</v>
      </c>
      <c r="H37" s="17">
        <f t="shared" si="0"/>
        <v>0</v>
      </c>
      <c r="I37" s="17" t="s">
        <v>524</v>
      </c>
      <c r="J37" s="48">
        <v>44481</v>
      </c>
      <c r="K37" s="17">
        <v>261.63</v>
      </c>
      <c r="L37" s="49" t="s">
        <v>133</v>
      </c>
      <c r="N37" t="s">
        <v>215</v>
      </c>
      <c r="P37" s="111">
        <f t="shared" si="1"/>
        <v>0</v>
      </c>
    </row>
    <row r="38" spans="1:16" ht="15" customHeight="1" x14ac:dyDescent="0.25">
      <c r="A38" s="10">
        <v>5</v>
      </c>
      <c r="B38" s="48">
        <f t="shared" si="5"/>
        <v>44275</v>
      </c>
      <c r="C38" s="17">
        <v>200</v>
      </c>
      <c r="D38" s="17">
        <v>200</v>
      </c>
      <c r="E38" s="16">
        <v>44274</v>
      </c>
      <c r="F38" t="s">
        <v>117</v>
      </c>
      <c r="H38" s="17">
        <f t="shared" si="0"/>
        <v>0</v>
      </c>
      <c r="I38" s="17" t="s">
        <v>524</v>
      </c>
      <c r="J38" s="48">
        <v>44502</v>
      </c>
      <c r="K38" s="17">
        <v>201.31</v>
      </c>
      <c r="L38" s="49" t="s">
        <v>20</v>
      </c>
      <c r="N38" t="s">
        <v>215</v>
      </c>
      <c r="P38" s="111">
        <f t="shared" si="1"/>
        <v>0</v>
      </c>
    </row>
    <row r="39" spans="1:16" ht="15" customHeight="1" x14ac:dyDescent="0.25">
      <c r="A39" s="10">
        <v>6</v>
      </c>
      <c r="B39" s="48">
        <f t="shared" si="5"/>
        <v>44282</v>
      </c>
      <c r="C39" s="17">
        <v>200</v>
      </c>
      <c r="D39" s="17">
        <v>200</v>
      </c>
      <c r="E39" s="16">
        <v>44281</v>
      </c>
      <c r="F39" t="s">
        <v>117</v>
      </c>
      <c r="H39" s="17">
        <f t="shared" si="0"/>
        <v>0</v>
      </c>
      <c r="I39" s="17" t="s">
        <v>524</v>
      </c>
      <c r="J39" s="48">
        <v>44546</v>
      </c>
      <c r="K39" s="17">
        <v>135</v>
      </c>
      <c r="L39" s="49" t="s">
        <v>17</v>
      </c>
      <c r="M39" t="s">
        <v>763</v>
      </c>
      <c r="N39" t="s">
        <v>725</v>
      </c>
      <c r="P39" s="111">
        <f t="shared" si="1"/>
        <v>0</v>
      </c>
    </row>
    <row r="40" spans="1:16" ht="15" customHeight="1" x14ac:dyDescent="0.25">
      <c r="A40" s="10">
        <v>7</v>
      </c>
      <c r="B40" s="48">
        <f t="shared" si="5"/>
        <v>44289</v>
      </c>
      <c r="C40" s="17">
        <v>200</v>
      </c>
      <c r="D40" s="17">
        <v>200</v>
      </c>
      <c r="E40" s="16">
        <v>44295</v>
      </c>
      <c r="F40" t="s">
        <v>58</v>
      </c>
      <c r="H40" s="17">
        <f t="shared" si="0"/>
        <v>0</v>
      </c>
      <c r="I40" s="17" t="s">
        <v>524</v>
      </c>
      <c r="J40" s="48">
        <v>44546</v>
      </c>
      <c r="K40" s="17">
        <v>90</v>
      </c>
      <c r="L40" s="49" t="s">
        <v>17</v>
      </c>
      <c r="M40" t="s">
        <v>764</v>
      </c>
      <c r="N40" t="s">
        <v>725</v>
      </c>
      <c r="P40" s="111">
        <f t="shared" si="1"/>
        <v>0</v>
      </c>
    </row>
    <row r="41" spans="1:16" ht="15" customHeight="1" x14ac:dyDescent="0.25">
      <c r="A41" s="10">
        <v>8</v>
      </c>
      <c r="B41" s="48">
        <f t="shared" si="5"/>
        <v>44296</v>
      </c>
      <c r="C41" s="17">
        <v>200</v>
      </c>
      <c r="D41" s="17">
        <v>200</v>
      </c>
      <c r="E41" s="16">
        <v>44298</v>
      </c>
      <c r="F41" t="s">
        <v>58</v>
      </c>
      <c r="H41" s="17">
        <f t="shared" si="0"/>
        <v>0</v>
      </c>
      <c r="I41" s="17" t="s">
        <v>524</v>
      </c>
      <c r="J41" s="48">
        <v>44549</v>
      </c>
      <c r="K41" s="17">
        <v>60</v>
      </c>
      <c r="L41" s="49" t="s">
        <v>53</v>
      </c>
      <c r="N41" t="s">
        <v>762</v>
      </c>
      <c r="P41" s="111">
        <f t="shared" si="1"/>
        <v>0</v>
      </c>
    </row>
    <row r="42" spans="1:16" ht="15" customHeight="1" x14ac:dyDescent="0.25">
      <c r="A42" s="10">
        <v>9</v>
      </c>
      <c r="B42" s="48">
        <v>44302</v>
      </c>
      <c r="C42" s="17">
        <v>200</v>
      </c>
      <c r="D42" s="17">
        <v>200</v>
      </c>
      <c r="E42" s="16">
        <v>44302</v>
      </c>
      <c r="F42" t="s">
        <v>58</v>
      </c>
      <c r="H42" s="17">
        <f t="shared" si="0"/>
        <v>0</v>
      </c>
      <c r="I42" s="17" t="s">
        <v>524</v>
      </c>
      <c r="J42" s="48">
        <v>44563</v>
      </c>
      <c r="K42" s="17">
        <v>400</v>
      </c>
      <c r="L42" s="49" t="s">
        <v>45</v>
      </c>
      <c r="N42" t="s">
        <v>762</v>
      </c>
      <c r="P42" s="111">
        <f t="shared" si="1"/>
        <v>0</v>
      </c>
    </row>
    <row r="43" spans="1:16" ht="15" customHeight="1" x14ac:dyDescent="0.25">
      <c r="A43" s="10">
        <v>10</v>
      </c>
      <c r="B43" s="48">
        <f t="shared" ref="B43:B48" si="6">B42+7</f>
        <v>44309</v>
      </c>
      <c r="C43" s="17">
        <v>200</v>
      </c>
      <c r="D43" s="17">
        <v>200</v>
      </c>
      <c r="E43" s="16">
        <v>44309</v>
      </c>
      <c r="F43" t="s">
        <v>58</v>
      </c>
      <c r="H43" s="17">
        <f t="shared" si="0"/>
        <v>0</v>
      </c>
      <c r="I43" s="17" t="s">
        <v>524</v>
      </c>
      <c r="J43" s="48">
        <v>44574</v>
      </c>
      <c r="K43" s="17">
        <v>2.75</v>
      </c>
      <c r="L43" s="49" t="s">
        <v>22</v>
      </c>
      <c r="N43" t="s">
        <v>783</v>
      </c>
      <c r="P43" s="111">
        <f t="shared" si="1"/>
        <v>0</v>
      </c>
    </row>
    <row r="44" spans="1:16" ht="15" customHeight="1" x14ac:dyDescent="0.25">
      <c r="A44" s="10">
        <v>11</v>
      </c>
      <c r="B44" s="48">
        <f t="shared" si="6"/>
        <v>44316</v>
      </c>
      <c r="C44" s="17">
        <v>250</v>
      </c>
      <c r="D44" s="17">
        <v>250</v>
      </c>
      <c r="E44" s="16">
        <v>44322</v>
      </c>
      <c r="F44" t="s">
        <v>58</v>
      </c>
      <c r="H44" s="17">
        <f t="shared" si="0"/>
        <v>0</v>
      </c>
      <c r="I44" s="17" t="s">
        <v>524</v>
      </c>
      <c r="J44" s="48">
        <v>44571</v>
      </c>
      <c r="K44" s="17">
        <v>0.99</v>
      </c>
      <c r="L44" s="49" t="s">
        <v>22</v>
      </c>
      <c r="N44" t="s">
        <v>783</v>
      </c>
      <c r="P44" s="111">
        <f t="shared" si="1"/>
        <v>0</v>
      </c>
    </row>
    <row r="45" spans="1:16" ht="15" customHeight="1" x14ac:dyDescent="0.25">
      <c r="A45" s="10">
        <v>12</v>
      </c>
      <c r="B45" s="48">
        <f t="shared" si="6"/>
        <v>44323</v>
      </c>
      <c r="C45" s="17">
        <v>250</v>
      </c>
      <c r="D45" s="17">
        <v>250</v>
      </c>
      <c r="E45" s="16">
        <v>44323</v>
      </c>
      <c r="F45" t="s">
        <v>58</v>
      </c>
      <c r="H45" s="17">
        <f t="shared" si="0"/>
        <v>0</v>
      </c>
      <c r="I45" s="17" t="s">
        <v>524</v>
      </c>
      <c r="J45" s="48">
        <v>44588</v>
      </c>
      <c r="K45" s="17">
        <v>201.31</v>
      </c>
      <c r="L45" s="49" t="s">
        <v>20</v>
      </c>
      <c r="N45" t="s">
        <v>783</v>
      </c>
      <c r="P45" s="111">
        <f t="shared" si="1"/>
        <v>0</v>
      </c>
    </row>
    <row r="46" spans="1:16" ht="15" customHeight="1" x14ac:dyDescent="0.25">
      <c r="A46" s="10">
        <v>13</v>
      </c>
      <c r="B46" s="48">
        <f t="shared" si="6"/>
        <v>44330</v>
      </c>
      <c r="C46" s="17">
        <v>250</v>
      </c>
      <c r="D46" s="17">
        <v>250</v>
      </c>
      <c r="E46" s="16">
        <v>44333</v>
      </c>
      <c r="F46" t="s">
        <v>58</v>
      </c>
      <c r="H46" s="17">
        <f t="shared" si="0"/>
        <v>0</v>
      </c>
      <c r="I46" s="17" t="s">
        <v>524</v>
      </c>
      <c r="J46" s="48">
        <v>44592</v>
      </c>
      <c r="K46" s="17">
        <v>0.99</v>
      </c>
      <c r="L46" s="49" t="s">
        <v>22</v>
      </c>
      <c r="N46" t="s">
        <v>783</v>
      </c>
      <c r="P46" s="111">
        <f t="shared" si="1"/>
        <v>0</v>
      </c>
    </row>
    <row r="47" spans="1:16" ht="15" customHeight="1" x14ac:dyDescent="0.25">
      <c r="A47" s="10">
        <v>14</v>
      </c>
      <c r="B47" s="48">
        <f t="shared" si="6"/>
        <v>44337</v>
      </c>
      <c r="C47" s="17">
        <v>250</v>
      </c>
      <c r="D47" s="17">
        <v>250</v>
      </c>
      <c r="E47" s="16">
        <v>44337</v>
      </c>
      <c r="F47" t="s">
        <v>58</v>
      </c>
      <c r="H47" s="17">
        <f t="shared" si="0"/>
        <v>0</v>
      </c>
      <c r="I47" s="17" t="s">
        <v>524</v>
      </c>
      <c r="J47" s="48">
        <v>44596</v>
      </c>
      <c r="K47" s="17">
        <v>2.75</v>
      </c>
      <c r="L47" s="49" t="s">
        <v>22</v>
      </c>
      <c r="N47" t="s">
        <v>783</v>
      </c>
      <c r="P47" s="111">
        <f t="shared" si="1"/>
        <v>0</v>
      </c>
    </row>
    <row r="48" spans="1:16" ht="15" customHeight="1" x14ac:dyDescent="0.25">
      <c r="A48" s="10">
        <v>15</v>
      </c>
      <c r="B48" s="48">
        <f t="shared" si="6"/>
        <v>44344</v>
      </c>
      <c r="C48" s="17">
        <v>250</v>
      </c>
      <c r="D48" s="17"/>
      <c r="H48" s="17">
        <f t="shared" si="0"/>
        <v>250</v>
      </c>
      <c r="I48" s="17" t="s">
        <v>524</v>
      </c>
      <c r="J48" s="48">
        <v>44606</v>
      </c>
      <c r="K48" s="17">
        <v>0.99</v>
      </c>
      <c r="L48" s="49" t="s">
        <v>22</v>
      </c>
      <c r="N48" t="s">
        <v>783</v>
      </c>
      <c r="P48" s="111">
        <f t="shared" si="1"/>
        <v>0</v>
      </c>
    </row>
    <row r="49" spans="1:16" ht="15" customHeight="1" x14ac:dyDescent="0.25">
      <c r="A49" s="10">
        <v>16</v>
      </c>
      <c r="B49" s="48">
        <f>B48+7</f>
        <v>44351</v>
      </c>
      <c r="C49" s="17">
        <v>250</v>
      </c>
      <c r="D49" s="17"/>
      <c r="H49" s="17">
        <f t="shared" si="0"/>
        <v>500</v>
      </c>
      <c r="I49" s="17" t="s">
        <v>524</v>
      </c>
      <c r="J49" s="48">
        <v>44610</v>
      </c>
      <c r="K49" s="17">
        <v>2.75</v>
      </c>
      <c r="L49" s="49" t="s">
        <v>22</v>
      </c>
      <c r="N49" t="s">
        <v>783</v>
      </c>
      <c r="P49" s="111">
        <f t="shared" si="1"/>
        <v>0</v>
      </c>
    </row>
    <row r="50" spans="1:16" ht="15" customHeight="1" x14ac:dyDescent="0.25">
      <c r="A50" s="10">
        <v>17</v>
      </c>
      <c r="B50" s="48">
        <f>B49+7</f>
        <v>44358</v>
      </c>
      <c r="C50" s="17">
        <v>250</v>
      </c>
      <c r="D50" s="17">
        <v>250</v>
      </c>
      <c r="E50" s="16">
        <v>44360</v>
      </c>
      <c r="F50" t="s">
        <v>117</v>
      </c>
      <c r="H50" s="17">
        <f t="shared" si="0"/>
        <v>500</v>
      </c>
      <c r="I50" s="17" t="s">
        <v>524</v>
      </c>
      <c r="J50" s="48">
        <v>44628</v>
      </c>
      <c r="K50" s="17">
        <v>88.14</v>
      </c>
      <c r="L50" s="49" t="s">
        <v>133</v>
      </c>
      <c r="N50" t="s">
        <v>762</v>
      </c>
      <c r="P50" s="111">
        <f t="shared" si="1"/>
        <v>0</v>
      </c>
    </row>
    <row r="51" spans="1:16" ht="15" customHeight="1" x14ac:dyDescent="0.25">
      <c r="A51" s="10">
        <v>18</v>
      </c>
      <c r="B51" s="48">
        <f>B50+7</f>
        <v>44365</v>
      </c>
      <c r="C51" s="17"/>
      <c r="D51" s="17">
        <v>500</v>
      </c>
      <c r="E51" s="16">
        <v>44367</v>
      </c>
      <c r="F51" t="s">
        <v>124</v>
      </c>
      <c r="H51" s="17">
        <f t="shared" si="0"/>
        <v>0</v>
      </c>
      <c r="I51" s="17" t="s">
        <v>524</v>
      </c>
      <c r="J51" s="48">
        <v>44627</v>
      </c>
      <c r="K51" s="17">
        <v>0.99</v>
      </c>
      <c r="L51" s="49" t="s">
        <v>22</v>
      </c>
      <c r="N51" t="s">
        <v>783</v>
      </c>
      <c r="P51" s="111">
        <f t="shared" si="1"/>
        <v>0</v>
      </c>
    </row>
    <row r="52" spans="1:16" ht="15" customHeight="1" x14ac:dyDescent="0.25">
      <c r="A52" s="10">
        <v>1</v>
      </c>
      <c r="B52" s="48">
        <v>44378</v>
      </c>
      <c r="C52" s="17">
        <v>250</v>
      </c>
      <c r="D52" s="17"/>
      <c r="H52" s="17">
        <f t="shared" si="0"/>
        <v>250</v>
      </c>
      <c r="I52" s="17" t="s">
        <v>215</v>
      </c>
      <c r="J52" s="48">
        <v>44636</v>
      </c>
      <c r="K52" s="17">
        <v>0.99</v>
      </c>
      <c r="L52" s="49" t="s">
        <v>22</v>
      </c>
      <c r="N52" t="s">
        <v>783</v>
      </c>
      <c r="P52" s="111">
        <f t="shared" si="1"/>
        <v>0</v>
      </c>
    </row>
    <row r="53" spans="1:16" ht="15" customHeight="1" x14ac:dyDescent="0.25">
      <c r="A53" s="10">
        <v>2</v>
      </c>
      <c r="B53" s="48">
        <f t="shared" ref="B53:B59" si="7">B52+7</f>
        <v>44385</v>
      </c>
      <c r="C53" s="17">
        <v>250</v>
      </c>
      <c r="D53" s="17"/>
      <c r="H53" s="17">
        <f t="shared" si="0"/>
        <v>500</v>
      </c>
      <c r="I53" s="17" t="s">
        <v>215</v>
      </c>
      <c r="J53" s="48">
        <v>44631</v>
      </c>
      <c r="K53" s="17">
        <v>2.75</v>
      </c>
      <c r="L53" s="49" t="s">
        <v>22</v>
      </c>
      <c r="N53" t="s">
        <v>783</v>
      </c>
      <c r="P53" s="111">
        <f t="shared" si="1"/>
        <v>0</v>
      </c>
    </row>
    <row r="54" spans="1:16" ht="15" customHeight="1" x14ac:dyDescent="0.25">
      <c r="A54" s="10">
        <v>3</v>
      </c>
      <c r="B54" s="48">
        <f t="shared" si="7"/>
        <v>44392</v>
      </c>
      <c r="C54" s="17">
        <v>250</v>
      </c>
      <c r="D54" s="17"/>
      <c r="H54" s="17">
        <f t="shared" si="0"/>
        <v>750</v>
      </c>
      <c r="I54" s="17" t="s">
        <v>215</v>
      </c>
      <c r="J54" s="48">
        <v>44641</v>
      </c>
      <c r="K54" s="17">
        <v>0.99</v>
      </c>
      <c r="L54" s="49" t="s">
        <v>22</v>
      </c>
      <c r="N54" t="s">
        <v>783</v>
      </c>
      <c r="P54" s="111">
        <f t="shared" si="1"/>
        <v>0</v>
      </c>
    </row>
    <row r="55" spans="1:16" ht="15" customHeight="1" x14ac:dyDescent="0.25">
      <c r="A55" s="10">
        <v>4</v>
      </c>
      <c r="B55" s="48">
        <f t="shared" si="7"/>
        <v>44399</v>
      </c>
      <c r="C55" s="17">
        <v>200</v>
      </c>
      <c r="D55" s="17"/>
      <c r="H55" s="17">
        <f t="shared" si="0"/>
        <v>950</v>
      </c>
      <c r="I55" s="17" t="s">
        <v>215</v>
      </c>
      <c r="J55" s="48">
        <v>44638</v>
      </c>
      <c r="K55" s="17">
        <v>2.75</v>
      </c>
      <c r="L55" s="49" t="s">
        <v>22</v>
      </c>
      <c r="N55" t="s">
        <v>783</v>
      </c>
      <c r="P55" s="111">
        <f t="shared" si="1"/>
        <v>0</v>
      </c>
    </row>
    <row r="56" spans="1:16" ht="15" customHeight="1" x14ac:dyDescent="0.25">
      <c r="A56" s="10">
        <v>5</v>
      </c>
      <c r="B56" s="48">
        <f t="shared" si="7"/>
        <v>44406</v>
      </c>
      <c r="C56" s="17">
        <v>250</v>
      </c>
      <c r="D56" s="17">
        <v>250</v>
      </c>
      <c r="E56" s="16">
        <v>44406</v>
      </c>
      <c r="F56" t="s">
        <v>117</v>
      </c>
      <c r="H56" s="17">
        <f t="shared" si="0"/>
        <v>950</v>
      </c>
      <c r="I56" s="17" t="s">
        <v>215</v>
      </c>
      <c r="J56" s="48">
        <v>44648</v>
      </c>
      <c r="K56" s="17">
        <v>0.99</v>
      </c>
      <c r="L56" s="49" t="s">
        <v>22</v>
      </c>
      <c r="N56" t="s">
        <v>783</v>
      </c>
      <c r="P56" s="111">
        <f t="shared" si="1"/>
        <v>0</v>
      </c>
    </row>
    <row r="57" spans="1:16" ht="15" customHeight="1" x14ac:dyDescent="0.25">
      <c r="A57" s="10">
        <v>6</v>
      </c>
      <c r="B57" s="48">
        <f t="shared" si="7"/>
        <v>44413</v>
      </c>
      <c r="C57" s="17">
        <v>200</v>
      </c>
      <c r="D57" s="17">
        <v>200</v>
      </c>
      <c r="E57" s="16">
        <v>44414</v>
      </c>
      <c r="F57" t="s">
        <v>117</v>
      </c>
      <c r="H57" s="17">
        <f t="shared" si="0"/>
        <v>950</v>
      </c>
      <c r="I57" s="17" t="s">
        <v>215</v>
      </c>
      <c r="J57" s="48">
        <v>44645</v>
      </c>
      <c r="K57" s="17">
        <v>2.75</v>
      </c>
      <c r="L57" s="49" t="s">
        <v>22</v>
      </c>
      <c r="N57" t="s">
        <v>783</v>
      </c>
      <c r="P57" s="111">
        <f t="shared" si="1"/>
        <v>0</v>
      </c>
    </row>
    <row r="58" spans="1:16" ht="15" customHeight="1" x14ac:dyDescent="0.25">
      <c r="A58" s="10">
        <v>7</v>
      </c>
      <c r="B58" s="48">
        <f t="shared" si="7"/>
        <v>44420</v>
      </c>
      <c r="C58" s="17">
        <v>200</v>
      </c>
      <c r="D58" s="17"/>
      <c r="H58" s="17">
        <f t="shared" si="0"/>
        <v>1150</v>
      </c>
      <c r="I58" s="17" t="s">
        <v>215</v>
      </c>
      <c r="J58" s="48">
        <v>44655</v>
      </c>
      <c r="K58" s="17">
        <v>0.99</v>
      </c>
      <c r="L58" s="49" t="s">
        <v>22</v>
      </c>
      <c r="N58" t="s">
        <v>783</v>
      </c>
      <c r="P58" s="111">
        <f t="shared" si="1"/>
        <v>0</v>
      </c>
    </row>
    <row r="59" spans="1:16" ht="15" customHeight="1" x14ac:dyDescent="0.25">
      <c r="A59" s="10">
        <v>8</v>
      </c>
      <c r="B59" s="48">
        <f t="shared" si="7"/>
        <v>44427</v>
      </c>
      <c r="C59" s="17">
        <v>200</v>
      </c>
      <c r="D59" s="17"/>
      <c r="H59" s="17">
        <f t="shared" si="0"/>
        <v>1350</v>
      </c>
      <c r="I59" s="17" t="s">
        <v>215</v>
      </c>
      <c r="J59" s="48">
        <v>44652</v>
      </c>
      <c r="K59" s="17">
        <v>2.75</v>
      </c>
      <c r="L59" s="49" t="s">
        <v>22</v>
      </c>
      <c r="N59" t="s">
        <v>783</v>
      </c>
      <c r="P59" s="111">
        <f t="shared" si="1"/>
        <v>0</v>
      </c>
    </row>
    <row r="60" spans="1:16" ht="15" customHeight="1" x14ac:dyDescent="0.25">
      <c r="A60" s="10">
        <v>9</v>
      </c>
      <c r="B60" s="48">
        <f>B59+7</f>
        <v>44434</v>
      </c>
      <c r="C60" s="17">
        <v>200</v>
      </c>
      <c r="D60" s="17">
        <v>1600</v>
      </c>
      <c r="E60" s="16">
        <v>44438</v>
      </c>
      <c r="F60" t="s">
        <v>117</v>
      </c>
      <c r="H60" s="17">
        <f t="shared" si="0"/>
        <v>-50</v>
      </c>
      <c r="I60" s="17" t="s">
        <v>215</v>
      </c>
      <c r="J60" s="48">
        <v>44662</v>
      </c>
      <c r="K60" s="17">
        <v>0.99</v>
      </c>
      <c r="L60" s="49" t="s">
        <v>22</v>
      </c>
      <c r="N60" t="s">
        <v>783</v>
      </c>
      <c r="P60" s="111">
        <f t="shared" si="1"/>
        <v>0</v>
      </c>
    </row>
    <row r="61" spans="1:16" ht="15" customHeight="1" x14ac:dyDescent="0.25">
      <c r="A61" s="10">
        <v>10</v>
      </c>
      <c r="B61" s="48">
        <f>B60+7</f>
        <v>44441</v>
      </c>
      <c r="C61" s="17">
        <v>200</v>
      </c>
      <c r="D61" s="17">
        <v>150</v>
      </c>
      <c r="E61" s="16">
        <v>44441</v>
      </c>
      <c r="F61" t="s">
        <v>124</v>
      </c>
      <c r="H61" s="17">
        <f t="shared" si="0"/>
        <v>0</v>
      </c>
      <c r="I61" s="17" t="s">
        <v>215</v>
      </c>
      <c r="J61" s="48">
        <v>44659</v>
      </c>
      <c r="K61" s="17">
        <v>2.75</v>
      </c>
      <c r="L61" s="49" t="s">
        <v>22</v>
      </c>
      <c r="N61" t="s">
        <v>783</v>
      </c>
      <c r="P61" s="111">
        <f t="shared" si="1"/>
        <v>0</v>
      </c>
    </row>
    <row r="62" spans="1:16" ht="15" customHeight="1" x14ac:dyDescent="0.25">
      <c r="A62" s="10">
        <v>1</v>
      </c>
      <c r="B62" s="48">
        <v>44507</v>
      </c>
      <c r="C62" s="17">
        <v>400</v>
      </c>
      <c r="D62" s="17">
        <v>400</v>
      </c>
      <c r="E62" s="16">
        <v>44507</v>
      </c>
      <c r="F62" t="s">
        <v>181</v>
      </c>
      <c r="H62" s="17">
        <f t="shared" si="0"/>
        <v>0</v>
      </c>
      <c r="I62" s="17" t="s">
        <v>725</v>
      </c>
      <c r="J62" s="48">
        <v>44670</v>
      </c>
      <c r="K62" s="17">
        <v>0.99</v>
      </c>
      <c r="L62" s="49" t="s">
        <v>22</v>
      </c>
      <c r="N62" t="s">
        <v>783</v>
      </c>
      <c r="P62" s="111">
        <f t="shared" si="1"/>
        <v>0</v>
      </c>
    </row>
    <row r="63" spans="1:16" ht="15" customHeight="1" x14ac:dyDescent="0.25">
      <c r="A63" s="10">
        <v>1</v>
      </c>
      <c r="B63" s="48">
        <v>44507</v>
      </c>
      <c r="C63" s="17">
        <v>260</v>
      </c>
      <c r="D63" s="17">
        <v>260</v>
      </c>
      <c r="E63" s="16">
        <v>44507</v>
      </c>
      <c r="F63" t="s">
        <v>117</v>
      </c>
      <c r="H63" s="17">
        <f t="shared" si="0"/>
        <v>0</v>
      </c>
      <c r="I63" s="17" t="s">
        <v>725</v>
      </c>
      <c r="J63" s="48">
        <v>44670</v>
      </c>
      <c r="K63" s="17">
        <v>2.75</v>
      </c>
      <c r="L63" s="49" t="s">
        <v>22</v>
      </c>
      <c r="N63" t="s">
        <v>783</v>
      </c>
      <c r="P63" s="111">
        <f t="shared" si="1"/>
        <v>0</v>
      </c>
    </row>
    <row r="64" spans="1:16" ht="15" customHeight="1" x14ac:dyDescent="0.25">
      <c r="A64" s="10">
        <v>2</v>
      </c>
      <c r="B64" s="48">
        <f>B63+7</f>
        <v>44514</v>
      </c>
      <c r="C64" s="17">
        <v>190</v>
      </c>
      <c r="D64" s="17">
        <v>190</v>
      </c>
      <c r="E64" s="16">
        <v>44517</v>
      </c>
      <c r="F64" t="s">
        <v>117</v>
      </c>
      <c r="H64" s="17">
        <f t="shared" si="0"/>
        <v>0</v>
      </c>
      <c r="I64" s="17" t="s">
        <v>725</v>
      </c>
      <c r="J64" s="48">
        <v>44677</v>
      </c>
      <c r="K64" s="17">
        <v>0.99</v>
      </c>
      <c r="L64" s="49" t="s">
        <v>22</v>
      </c>
      <c r="N64" t="s">
        <v>783</v>
      </c>
      <c r="P64" s="111">
        <f t="shared" si="1"/>
        <v>0</v>
      </c>
    </row>
    <row r="65" spans="1:16" ht="15" customHeight="1" x14ac:dyDescent="0.25">
      <c r="A65" s="10">
        <v>1</v>
      </c>
      <c r="B65" s="48">
        <v>44547</v>
      </c>
      <c r="C65" s="17">
        <v>400</v>
      </c>
      <c r="D65" s="17">
        <v>400</v>
      </c>
      <c r="E65" s="16">
        <v>44544</v>
      </c>
      <c r="F65" t="s">
        <v>181</v>
      </c>
      <c r="H65" s="17">
        <f t="shared" si="0"/>
        <v>0</v>
      </c>
      <c r="I65" s="17" t="s">
        <v>762</v>
      </c>
      <c r="J65" s="48">
        <v>44677</v>
      </c>
      <c r="K65" s="17">
        <v>2.75</v>
      </c>
      <c r="L65" s="49" t="s">
        <v>22</v>
      </c>
      <c r="N65" t="s">
        <v>783</v>
      </c>
      <c r="P65" s="111">
        <f t="shared" si="1"/>
        <v>0</v>
      </c>
    </row>
    <row r="66" spans="1:16" ht="15" customHeight="1" x14ac:dyDescent="0.25">
      <c r="A66" s="10">
        <v>1</v>
      </c>
      <c r="B66" s="48">
        <v>44547</v>
      </c>
      <c r="C66" s="17">
        <v>240</v>
      </c>
      <c r="D66" s="17">
        <v>240</v>
      </c>
      <c r="E66" s="16">
        <v>44549</v>
      </c>
      <c r="F66" t="s">
        <v>117</v>
      </c>
      <c r="H66" s="17">
        <f t="shared" si="0"/>
        <v>0</v>
      </c>
      <c r="I66" s="17" t="s">
        <v>762</v>
      </c>
      <c r="J66" s="48">
        <v>44699</v>
      </c>
      <c r="K66" s="17">
        <v>201.31</v>
      </c>
      <c r="L66" s="49" t="s">
        <v>20</v>
      </c>
      <c r="N66" t="s">
        <v>783</v>
      </c>
      <c r="P66" s="111">
        <f t="shared" si="1"/>
        <v>0</v>
      </c>
    </row>
    <row r="67" spans="1:16" ht="15" customHeight="1" x14ac:dyDescent="0.25">
      <c r="A67" s="10">
        <v>2</v>
      </c>
      <c r="B67" s="48">
        <f>B66+7</f>
        <v>44554</v>
      </c>
      <c r="C67" s="17">
        <v>240</v>
      </c>
      <c r="D67" s="17">
        <v>240</v>
      </c>
      <c r="E67" s="16">
        <v>44561</v>
      </c>
      <c r="F67" t="s">
        <v>124</v>
      </c>
      <c r="H67" s="17">
        <f t="shared" si="0"/>
        <v>0</v>
      </c>
      <c r="I67" s="17" t="s">
        <v>762</v>
      </c>
      <c r="J67" s="48">
        <v>44719</v>
      </c>
      <c r="K67" s="17">
        <v>280</v>
      </c>
      <c r="L67" s="49" t="s">
        <v>17</v>
      </c>
      <c r="M67" t="s">
        <v>166</v>
      </c>
      <c r="N67" t="s">
        <v>815</v>
      </c>
      <c r="P67" s="111">
        <f t="shared" si="1"/>
        <v>0</v>
      </c>
    </row>
    <row r="68" spans="1:16" ht="15" customHeight="1" x14ac:dyDescent="0.25">
      <c r="A68" s="10">
        <v>1</v>
      </c>
      <c r="B68" s="48">
        <v>44563</v>
      </c>
      <c r="C68" s="17">
        <v>200</v>
      </c>
      <c r="D68" s="17">
        <v>200</v>
      </c>
      <c r="E68" s="16">
        <v>44563</v>
      </c>
      <c r="F68" t="s">
        <v>181</v>
      </c>
      <c r="H68" s="17">
        <f t="shared" si="0"/>
        <v>0</v>
      </c>
      <c r="I68" s="17" t="s">
        <v>465</v>
      </c>
      <c r="J68" s="48">
        <v>44723</v>
      </c>
      <c r="K68" s="17">
        <v>160</v>
      </c>
      <c r="L68" s="49" t="s">
        <v>17</v>
      </c>
      <c r="M68" t="s">
        <v>156</v>
      </c>
      <c r="N68" t="s">
        <v>815</v>
      </c>
      <c r="P68" s="111">
        <f t="shared" si="1"/>
        <v>0</v>
      </c>
    </row>
    <row r="69" spans="1:16" ht="15" customHeight="1" x14ac:dyDescent="0.25">
      <c r="A69" s="10">
        <v>1</v>
      </c>
      <c r="B69" s="48">
        <v>44563</v>
      </c>
      <c r="C69" s="17">
        <v>180</v>
      </c>
      <c r="D69" s="17">
        <v>180</v>
      </c>
      <c r="E69" s="16">
        <v>44563</v>
      </c>
      <c r="F69" t="s">
        <v>117</v>
      </c>
      <c r="H69" s="17">
        <f t="shared" si="0"/>
        <v>0</v>
      </c>
      <c r="I69" s="17" t="s">
        <v>465</v>
      </c>
      <c r="J69" s="48">
        <v>44761</v>
      </c>
      <c r="K69" s="17">
        <v>19.18</v>
      </c>
      <c r="L69" s="49" t="s">
        <v>133</v>
      </c>
      <c r="N69" t="s">
        <v>783</v>
      </c>
      <c r="P69" s="111">
        <f t="shared" si="1"/>
        <v>0</v>
      </c>
    </row>
    <row r="70" spans="1:16" ht="15" customHeight="1" x14ac:dyDescent="0.25">
      <c r="A70" s="10">
        <v>2</v>
      </c>
      <c r="B70" s="48">
        <f t="shared" ref="B70:B76" si="8">B69+7</f>
        <v>44570</v>
      </c>
      <c r="C70" s="17">
        <v>180</v>
      </c>
      <c r="D70" s="17">
        <v>380</v>
      </c>
      <c r="E70" s="16">
        <v>44574</v>
      </c>
      <c r="F70" t="s">
        <v>58</v>
      </c>
      <c r="H70" s="17">
        <f t="shared" si="0"/>
        <v>-200</v>
      </c>
      <c r="I70" s="17" t="s">
        <v>783</v>
      </c>
      <c r="J70" s="48">
        <v>44762</v>
      </c>
      <c r="K70" s="17">
        <v>205.68</v>
      </c>
      <c r="L70" s="49" t="s">
        <v>20</v>
      </c>
      <c r="N70" t="s">
        <v>783</v>
      </c>
      <c r="P70" s="111">
        <f t="shared" si="1"/>
        <v>0</v>
      </c>
    </row>
    <row r="71" spans="1:16" ht="15" customHeight="1" x14ac:dyDescent="0.25">
      <c r="A71" s="10">
        <v>3</v>
      </c>
      <c r="B71" s="48">
        <f t="shared" si="8"/>
        <v>44577</v>
      </c>
      <c r="C71" s="17">
        <v>240</v>
      </c>
      <c r="D71" s="17">
        <v>240</v>
      </c>
      <c r="E71" s="16">
        <v>44578</v>
      </c>
      <c r="F71" t="s">
        <v>58</v>
      </c>
      <c r="H71" s="17">
        <f t="shared" si="0"/>
        <v>-200</v>
      </c>
      <c r="I71" s="17" t="s">
        <v>783</v>
      </c>
      <c r="J71" s="48">
        <v>44767</v>
      </c>
      <c r="K71" s="17">
        <v>400</v>
      </c>
      <c r="L71" s="49" t="s">
        <v>45</v>
      </c>
      <c r="N71" t="s">
        <v>815</v>
      </c>
      <c r="P71" s="111">
        <f t="shared" si="1"/>
        <v>0</v>
      </c>
    </row>
    <row r="72" spans="1:16" ht="15" customHeight="1" x14ac:dyDescent="0.25">
      <c r="A72" s="10">
        <v>4</v>
      </c>
      <c r="B72" s="48">
        <f t="shared" si="8"/>
        <v>44584</v>
      </c>
      <c r="C72" s="17">
        <v>240</v>
      </c>
      <c r="D72" s="17">
        <v>240</v>
      </c>
      <c r="E72" s="16">
        <v>44585</v>
      </c>
      <c r="H72" s="17">
        <f t="shared" si="0"/>
        <v>-200</v>
      </c>
      <c r="I72" s="17" t="s">
        <v>783</v>
      </c>
      <c r="J72" s="48">
        <v>44789</v>
      </c>
      <c r="K72" s="17">
        <v>245</v>
      </c>
      <c r="L72" s="49" t="s">
        <v>17</v>
      </c>
      <c r="M72" t="s">
        <v>865</v>
      </c>
      <c r="N72" t="s">
        <v>14</v>
      </c>
      <c r="P72" s="111">
        <f t="shared" si="1"/>
        <v>0</v>
      </c>
    </row>
    <row r="73" spans="1:16" x14ac:dyDescent="0.25">
      <c r="A73" s="10">
        <v>5</v>
      </c>
      <c r="B73" s="48">
        <f t="shared" si="8"/>
        <v>44591</v>
      </c>
      <c r="C73" s="17">
        <v>240</v>
      </c>
      <c r="D73" s="17"/>
      <c r="E73" s="16"/>
      <c r="H73" s="17">
        <f t="shared" si="0"/>
        <v>40</v>
      </c>
      <c r="I73" s="17" t="s">
        <v>783</v>
      </c>
      <c r="J73" s="48">
        <v>44813</v>
      </c>
      <c r="K73" s="17">
        <v>20.09</v>
      </c>
      <c r="L73" s="49" t="s">
        <v>133</v>
      </c>
      <c r="N73" t="s">
        <v>14</v>
      </c>
      <c r="P73" s="111">
        <f t="shared" si="1"/>
        <v>0</v>
      </c>
    </row>
    <row r="74" spans="1:16" x14ac:dyDescent="0.25">
      <c r="A74" s="10">
        <v>6</v>
      </c>
      <c r="B74" s="48">
        <f t="shared" si="8"/>
        <v>44598</v>
      </c>
      <c r="C74" s="17">
        <v>240</v>
      </c>
      <c r="D74" s="17">
        <v>240</v>
      </c>
      <c r="E74" s="16">
        <v>44599</v>
      </c>
      <c r="F74" t="s">
        <v>58</v>
      </c>
      <c r="H74" s="17">
        <f t="shared" si="0"/>
        <v>40</v>
      </c>
      <c r="I74" s="17" t="s">
        <v>783</v>
      </c>
      <c r="J74" s="48">
        <v>44859</v>
      </c>
      <c r="K74" s="17">
        <v>500</v>
      </c>
      <c r="L74" s="49" t="s">
        <v>45</v>
      </c>
      <c r="N74" t="s">
        <v>899</v>
      </c>
      <c r="P74" s="111">
        <f t="shared" si="1"/>
        <v>0</v>
      </c>
    </row>
    <row r="75" spans="1:16" x14ac:dyDescent="0.25">
      <c r="A75" s="10">
        <v>7</v>
      </c>
      <c r="B75" s="48">
        <f t="shared" si="8"/>
        <v>44605</v>
      </c>
      <c r="C75" s="17">
        <v>240</v>
      </c>
      <c r="D75" s="17"/>
      <c r="E75" s="16"/>
      <c r="H75" s="17">
        <f t="shared" si="0"/>
        <v>280</v>
      </c>
      <c r="I75" s="17" t="s">
        <v>783</v>
      </c>
      <c r="J75" s="48">
        <v>44860</v>
      </c>
      <c r="K75" s="17">
        <v>104.5</v>
      </c>
      <c r="L75" s="49" t="s">
        <v>26</v>
      </c>
      <c r="M75" t="s">
        <v>777</v>
      </c>
      <c r="N75" t="s">
        <v>14</v>
      </c>
      <c r="P75" s="111">
        <f t="shared" si="1"/>
        <v>0</v>
      </c>
    </row>
    <row r="76" spans="1:16" x14ac:dyDescent="0.25">
      <c r="A76" s="10">
        <v>8</v>
      </c>
      <c r="B76" s="48">
        <f t="shared" si="8"/>
        <v>44612</v>
      </c>
      <c r="C76" s="17">
        <v>240</v>
      </c>
      <c r="D76" s="17">
        <v>240</v>
      </c>
      <c r="E76" s="16">
        <v>44613</v>
      </c>
      <c r="F76" t="s">
        <v>58</v>
      </c>
      <c r="H76" s="17">
        <f t="shared" si="0"/>
        <v>280</v>
      </c>
      <c r="I76" s="17" t="s">
        <v>783</v>
      </c>
      <c r="J76" s="48">
        <v>44958</v>
      </c>
      <c r="K76" s="17">
        <v>205.68</v>
      </c>
      <c r="L76" s="49" t="s">
        <v>20</v>
      </c>
      <c r="N76" t="s">
        <v>14</v>
      </c>
      <c r="P76" s="111">
        <f t="shared" si="1"/>
        <v>0</v>
      </c>
    </row>
    <row r="77" spans="1:16" x14ac:dyDescent="0.25">
      <c r="A77" s="10">
        <v>9</v>
      </c>
      <c r="B77" s="48">
        <f t="shared" ref="B77:B82" si="9">B76+7</f>
        <v>44619</v>
      </c>
      <c r="C77" s="17">
        <v>240</v>
      </c>
      <c r="D77" s="17">
        <v>240</v>
      </c>
      <c r="E77" s="16">
        <v>44620</v>
      </c>
      <c r="F77" t="s">
        <v>58</v>
      </c>
      <c r="H77" s="17">
        <f t="shared" ref="H77:H113" si="10">IFERROR(IF(F76="Closed account",(IF(F77="Unpaid Rent",(C77),(C77-D77))),(IF(F77="Unpaid Rent",(C77+H76),(C77-D77+H76)))),"")</f>
        <v>280</v>
      </c>
      <c r="I77" s="17" t="s">
        <v>783</v>
      </c>
      <c r="J77" s="48">
        <v>44977</v>
      </c>
      <c r="K77" s="17">
        <v>126.5</v>
      </c>
      <c r="L77" s="49" t="s">
        <v>17</v>
      </c>
      <c r="M77" t="s">
        <v>777</v>
      </c>
      <c r="N77" t="s">
        <v>14</v>
      </c>
      <c r="P77" s="111">
        <f t="shared" si="1"/>
        <v>0</v>
      </c>
    </row>
    <row r="78" spans="1:16" x14ac:dyDescent="0.25">
      <c r="A78" s="10">
        <v>10</v>
      </c>
      <c r="B78" s="48">
        <f t="shared" si="9"/>
        <v>44626</v>
      </c>
      <c r="C78" s="17">
        <v>240</v>
      </c>
      <c r="D78" s="17"/>
      <c r="E78" s="16"/>
      <c r="H78" s="17">
        <f t="shared" si="10"/>
        <v>520</v>
      </c>
      <c r="I78" s="17" t="s">
        <v>783</v>
      </c>
      <c r="J78" s="48">
        <v>45062</v>
      </c>
      <c r="K78" s="17">
        <v>205.68</v>
      </c>
      <c r="L78" s="49" t="s">
        <v>20</v>
      </c>
      <c r="N78" t="s">
        <v>14</v>
      </c>
      <c r="P78" s="111">
        <f t="shared" si="1"/>
        <v>0</v>
      </c>
    </row>
    <row r="79" spans="1:16" x14ac:dyDescent="0.25">
      <c r="A79" s="10">
        <v>11</v>
      </c>
      <c r="B79" s="48">
        <f t="shared" si="9"/>
        <v>44633</v>
      </c>
      <c r="C79" s="17">
        <v>210</v>
      </c>
      <c r="D79" s="17"/>
      <c r="E79" s="16"/>
      <c r="H79" s="17">
        <f t="shared" si="10"/>
        <v>730</v>
      </c>
      <c r="I79" s="17" t="s">
        <v>783</v>
      </c>
      <c r="J79" s="48"/>
      <c r="K79" s="17"/>
      <c r="L79" s="49"/>
    </row>
    <row r="80" spans="1:16" x14ac:dyDescent="0.25">
      <c r="A80" s="10">
        <v>12</v>
      </c>
      <c r="B80" s="48">
        <f t="shared" si="9"/>
        <v>44640</v>
      </c>
      <c r="C80" s="17">
        <v>210</v>
      </c>
      <c r="D80" s="17"/>
      <c r="E80" s="16"/>
      <c r="H80" s="17">
        <f t="shared" si="10"/>
        <v>940</v>
      </c>
      <c r="I80" s="17" t="s">
        <v>783</v>
      </c>
      <c r="J80" s="48"/>
      <c r="K80" s="17"/>
      <c r="L80" s="49"/>
    </row>
    <row r="81" spans="1:12" x14ac:dyDescent="0.25">
      <c r="A81" s="10">
        <v>13</v>
      </c>
      <c r="B81" s="48">
        <f t="shared" si="9"/>
        <v>44647</v>
      </c>
      <c r="C81" s="17">
        <v>210</v>
      </c>
      <c r="D81" s="17"/>
      <c r="H81" s="17">
        <f t="shared" si="10"/>
        <v>1150</v>
      </c>
      <c r="I81" s="17" t="s">
        <v>783</v>
      </c>
      <c r="J81" s="48"/>
      <c r="K81" s="17"/>
      <c r="L81" s="49"/>
    </row>
    <row r="82" spans="1:12" x14ac:dyDescent="0.25">
      <c r="A82" s="10">
        <v>14</v>
      </c>
      <c r="B82" s="48">
        <f t="shared" si="9"/>
        <v>44654</v>
      </c>
      <c r="C82" s="17">
        <v>210</v>
      </c>
      <c r="D82" s="17"/>
      <c r="H82" s="17">
        <f t="shared" si="10"/>
        <v>1360</v>
      </c>
      <c r="I82" s="17" t="s">
        <v>783</v>
      </c>
      <c r="J82" s="48"/>
      <c r="K82" s="17"/>
      <c r="L82" s="49"/>
    </row>
    <row r="83" spans="1:12" x14ac:dyDescent="0.25">
      <c r="A83" s="10">
        <v>15</v>
      </c>
      <c r="B83" s="48">
        <f t="shared" ref="B83:B88" si="11">B82+7</f>
        <v>44661</v>
      </c>
      <c r="C83" s="17">
        <v>210</v>
      </c>
      <c r="D83" s="17">
        <v>570</v>
      </c>
      <c r="E83" s="16">
        <v>44671</v>
      </c>
      <c r="F83" t="s">
        <v>117</v>
      </c>
      <c r="H83" s="17">
        <f t="shared" si="10"/>
        <v>1000</v>
      </c>
      <c r="I83" s="17" t="s">
        <v>783</v>
      </c>
      <c r="J83" s="48"/>
      <c r="K83" s="17"/>
      <c r="L83" s="49"/>
    </row>
    <row r="84" spans="1:12" x14ac:dyDescent="0.25">
      <c r="A84" s="10">
        <v>16</v>
      </c>
      <c r="B84" s="48">
        <f t="shared" si="11"/>
        <v>44668</v>
      </c>
      <c r="C84" s="17">
        <v>210</v>
      </c>
      <c r="D84" s="17"/>
      <c r="E84" s="16"/>
      <c r="H84" s="17">
        <f t="shared" si="10"/>
        <v>1210</v>
      </c>
      <c r="I84" s="17" t="s">
        <v>783</v>
      </c>
      <c r="J84" s="48"/>
      <c r="K84" s="17"/>
      <c r="L84" s="49"/>
    </row>
    <row r="85" spans="1:12" x14ac:dyDescent="0.25">
      <c r="A85" s="10">
        <v>17</v>
      </c>
      <c r="B85" s="48">
        <f t="shared" si="11"/>
        <v>44675</v>
      </c>
      <c r="C85" s="17">
        <v>210</v>
      </c>
      <c r="D85" s="17"/>
      <c r="H85" s="17">
        <f t="shared" si="10"/>
        <v>1420</v>
      </c>
      <c r="I85" s="17" t="s">
        <v>783</v>
      </c>
      <c r="J85" s="48"/>
      <c r="K85" s="17"/>
      <c r="L85" s="49"/>
    </row>
    <row r="86" spans="1:12" x14ac:dyDescent="0.25">
      <c r="A86" s="10">
        <v>18</v>
      </c>
      <c r="B86" s="48">
        <f t="shared" si="11"/>
        <v>44682</v>
      </c>
      <c r="C86" s="17">
        <v>210</v>
      </c>
      <c r="D86" s="17"/>
      <c r="H86" s="17">
        <f t="shared" si="10"/>
        <v>1630</v>
      </c>
      <c r="I86" s="17" t="s">
        <v>783</v>
      </c>
      <c r="J86" s="48"/>
      <c r="K86" s="17"/>
      <c r="L86" s="49"/>
    </row>
    <row r="87" spans="1:12" x14ac:dyDescent="0.25">
      <c r="A87" s="10">
        <v>19</v>
      </c>
      <c r="B87" s="48">
        <f t="shared" si="11"/>
        <v>44689</v>
      </c>
      <c r="C87" s="17">
        <v>210</v>
      </c>
      <c r="D87" s="17"/>
      <c r="H87" s="17">
        <f t="shared" si="10"/>
        <v>1840</v>
      </c>
      <c r="I87" s="17" t="s">
        <v>783</v>
      </c>
      <c r="J87" s="48"/>
      <c r="K87" s="17"/>
      <c r="L87" s="49"/>
    </row>
    <row r="88" spans="1:12" x14ac:dyDescent="0.25">
      <c r="A88" s="10">
        <v>20</v>
      </c>
      <c r="B88" s="48">
        <f t="shared" si="11"/>
        <v>44696</v>
      </c>
      <c r="C88" s="17">
        <v>210</v>
      </c>
      <c r="D88" s="17">
        <v>350</v>
      </c>
      <c r="E88" s="16">
        <v>44833</v>
      </c>
      <c r="F88" t="s">
        <v>117</v>
      </c>
      <c r="H88" s="17">
        <f t="shared" si="10"/>
        <v>1700</v>
      </c>
      <c r="I88" s="17" t="s">
        <v>783</v>
      </c>
      <c r="J88" s="48"/>
      <c r="K88" s="17"/>
      <c r="L88" s="49"/>
    </row>
    <row r="89" spans="1:12" x14ac:dyDescent="0.25">
      <c r="A89" s="10">
        <v>21</v>
      </c>
      <c r="B89" s="48">
        <f>B88+7</f>
        <v>44703</v>
      </c>
      <c r="C89" s="17">
        <v>210</v>
      </c>
      <c r="D89" s="17"/>
      <c r="H89" s="17">
        <f t="shared" si="10"/>
        <v>1910</v>
      </c>
      <c r="I89" s="17" t="s">
        <v>783</v>
      </c>
      <c r="J89" s="48"/>
      <c r="K89" s="17"/>
      <c r="L89" s="49"/>
    </row>
    <row r="90" spans="1:12" x14ac:dyDescent="0.25">
      <c r="A90" s="10">
        <v>22</v>
      </c>
      <c r="B90" s="48">
        <f>B89+7</f>
        <v>44710</v>
      </c>
      <c r="C90" s="17">
        <v>210</v>
      </c>
      <c r="D90" s="17"/>
      <c r="F90" t="s">
        <v>124</v>
      </c>
      <c r="H90" s="17">
        <f t="shared" si="10"/>
        <v>2120</v>
      </c>
      <c r="I90" s="17" t="s">
        <v>783</v>
      </c>
      <c r="J90" s="48"/>
      <c r="K90" s="17"/>
      <c r="L90" s="49"/>
    </row>
    <row r="91" spans="1:12" x14ac:dyDescent="0.25">
      <c r="A91" s="10">
        <v>1</v>
      </c>
      <c r="B91" s="48">
        <v>44718</v>
      </c>
      <c r="C91" s="17">
        <v>400</v>
      </c>
      <c r="D91" s="17">
        <v>400</v>
      </c>
      <c r="E91" s="16">
        <v>44718</v>
      </c>
      <c r="F91" t="s">
        <v>181</v>
      </c>
      <c r="H91" s="17">
        <f t="shared" si="10"/>
        <v>0</v>
      </c>
      <c r="I91" s="17" t="s">
        <v>815</v>
      </c>
      <c r="J91" s="48"/>
      <c r="K91" s="17"/>
      <c r="L91" s="49"/>
    </row>
    <row r="92" spans="1:12" x14ac:dyDescent="0.25">
      <c r="A92" s="10">
        <v>1</v>
      </c>
      <c r="B92" s="48">
        <v>44720</v>
      </c>
      <c r="C92" s="17">
        <v>100</v>
      </c>
      <c r="D92" s="17">
        <v>320</v>
      </c>
      <c r="E92" s="16">
        <v>44718</v>
      </c>
      <c r="F92" t="s">
        <v>117</v>
      </c>
      <c r="H92" s="17">
        <f t="shared" si="10"/>
        <v>-220</v>
      </c>
      <c r="I92" s="17" t="s">
        <v>815</v>
      </c>
      <c r="J92" s="48"/>
      <c r="K92" s="17"/>
      <c r="L92" s="49"/>
    </row>
    <row r="93" spans="1:12" x14ac:dyDescent="0.25">
      <c r="A93" s="10">
        <v>2</v>
      </c>
      <c r="B93" s="48">
        <f t="shared" ref="B93:B99" si="12">B92+7</f>
        <v>44727</v>
      </c>
      <c r="C93" s="17">
        <v>220</v>
      </c>
      <c r="D93" s="17"/>
      <c r="H93" s="17">
        <f t="shared" si="10"/>
        <v>0</v>
      </c>
      <c r="I93" s="17" t="s">
        <v>815</v>
      </c>
      <c r="J93" s="48"/>
      <c r="K93" s="17"/>
      <c r="L93" s="49"/>
    </row>
    <row r="94" spans="1:12" x14ac:dyDescent="0.25">
      <c r="A94" s="10">
        <v>3</v>
      </c>
      <c r="B94" s="48">
        <f t="shared" si="12"/>
        <v>44734</v>
      </c>
      <c r="C94" s="17">
        <v>220</v>
      </c>
      <c r="D94" s="17">
        <v>220</v>
      </c>
      <c r="E94" s="16">
        <v>44735</v>
      </c>
      <c r="F94" t="s">
        <v>117</v>
      </c>
      <c r="H94" s="17">
        <f t="shared" si="10"/>
        <v>0</v>
      </c>
      <c r="I94" s="17" t="s">
        <v>815</v>
      </c>
      <c r="J94" s="48"/>
      <c r="K94" s="17"/>
      <c r="L94" s="49"/>
    </row>
    <row r="95" spans="1:12" x14ac:dyDescent="0.25">
      <c r="A95" s="10">
        <v>4</v>
      </c>
      <c r="B95" s="48">
        <f t="shared" si="12"/>
        <v>44741</v>
      </c>
      <c r="C95" s="17">
        <v>220</v>
      </c>
      <c r="D95" s="17">
        <v>220</v>
      </c>
      <c r="E95" s="16">
        <v>44743</v>
      </c>
      <c r="F95" t="s">
        <v>117</v>
      </c>
      <c r="H95" s="17">
        <f t="shared" si="10"/>
        <v>0</v>
      </c>
      <c r="I95" s="17" t="s">
        <v>815</v>
      </c>
      <c r="J95" s="48"/>
      <c r="K95" s="17"/>
      <c r="L95" s="49"/>
    </row>
    <row r="96" spans="1:12" x14ac:dyDescent="0.25">
      <c r="A96" s="10">
        <v>5</v>
      </c>
      <c r="B96" s="48">
        <f t="shared" si="12"/>
        <v>44748</v>
      </c>
      <c r="C96" s="17">
        <v>220</v>
      </c>
      <c r="D96" s="17">
        <v>220</v>
      </c>
      <c r="E96" s="16">
        <v>44749</v>
      </c>
      <c r="F96" t="s">
        <v>117</v>
      </c>
      <c r="H96" s="17">
        <f t="shared" si="10"/>
        <v>0</v>
      </c>
      <c r="I96" s="17" t="s">
        <v>815</v>
      </c>
      <c r="J96" s="48"/>
      <c r="K96" s="17"/>
      <c r="L96" s="49"/>
    </row>
    <row r="97" spans="1:12" x14ac:dyDescent="0.25">
      <c r="A97" s="10">
        <v>7</v>
      </c>
      <c r="B97" s="48">
        <f t="shared" si="12"/>
        <v>44755</v>
      </c>
      <c r="C97" s="17">
        <v>220</v>
      </c>
      <c r="D97" s="17">
        <v>220</v>
      </c>
      <c r="E97" s="16">
        <v>44756</v>
      </c>
      <c r="F97" t="s">
        <v>117</v>
      </c>
      <c r="H97" s="17">
        <f t="shared" si="10"/>
        <v>0</v>
      </c>
      <c r="I97" s="17" t="s">
        <v>815</v>
      </c>
      <c r="J97" s="48"/>
      <c r="K97" s="17"/>
      <c r="L97" s="49"/>
    </row>
    <row r="98" spans="1:12" x14ac:dyDescent="0.25">
      <c r="A98" s="10">
        <v>8</v>
      </c>
      <c r="B98" s="48">
        <f t="shared" si="12"/>
        <v>44762</v>
      </c>
      <c r="C98" s="17">
        <v>65</v>
      </c>
      <c r="D98" s="17">
        <f>400-335</f>
        <v>65</v>
      </c>
      <c r="E98" s="16">
        <v>44767</v>
      </c>
      <c r="F98" t="s">
        <v>124</v>
      </c>
      <c r="H98" s="17">
        <f t="shared" si="10"/>
        <v>0</v>
      </c>
      <c r="I98" s="17" t="s">
        <v>815</v>
      </c>
      <c r="J98" s="48"/>
      <c r="K98" s="17"/>
      <c r="L98" s="49"/>
    </row>
    <row r="99" spans="1:12" x14ac:dyDescent="0.25">
      <c r="A99" s="10">
        <v>9</v>
      </c>
      <c r="B99" s="48">
        <f t="shared" si="12"/>
        <v>44769</v>
      </c>
      <c r="C99" s="17"/>
      <c r="D99" s="17"/>
      <c r="H99" s="17">
        <f t="shared" si="10"/>
        <v>0</v>
      </c>
      <c r="I99" s="17" t="s">
        <v>815</v>
      </c>
      <c r="J99" s="48"/>
      <c r="K99" s="17"/>
      <c r="L99" s="49"/>
    </row>
    <row r="100" spans="1:12" x14ac:dyDescent="0.25">
      <c r="A100" s="10">
        <v>1</v>
      </c>
      <c r="B100" s="48">
        <v>44833</v>
      </c>
      <c r="C100" s="17">
        <v>500</v>
      </c>
      <c r="D100" s="17">
        <v>500</v>
      </c>
      <c r="E100" s="16">
        <v>44833</v>
      </c>
      <c r="F100" t="s">
        <v>181</v>
      </c>
      <c r="H100" s="17">
        <f t="shared" si="10"/>
        <v>0</v>
      </c>
      <c r="I100" s="17" t="s">
        <v>899</v>
      </c>
      <c r="J100" s="48"/>
      <c r="K100" s="17"/>
      <c r="L100" s="49"/>
    </row>
    <row r="101" spans="1:12" x14ac:dyDescent="0.25">
      <c r="A101" s="10">
        <v>1</v>
      </c>
      <c r="B101" s="48">
        <v>44833</v>
      </c>
      <c r="C101" s="17">
        <v>250</v>
      </c>
      <c r="D101" s="17">
        <v>250</v>
      </c>
      <c r="E101" s="16">
        <v>44833</v>
      </c>
      <c r="F101" t="s">
        <v>124</v>
      </c>
      <c r="H101" s="17">
        <f t="shared" si="10"/>
        <v>0</v>
      </c>
      <c r="I101" s="17" t="s">
        <v>899</v>
      </c>
      <c r="J101" s="48"/>
      <c r="K101" s="17"/>
      <c r="L101" s="49"/>
    </row>
    <row r="102" spans="1:12" x14ac:dyDescent="0.25">
      <c r="A102" s="10">
        <v>1</v>
      </c>
      <c r="B102" s="48">
        <v>44992</v>
      </c>
      <c r="C102" s="17">
        <v>420</v>
      </c>
      <c r="D102" s="17">
        <v>420</v>
      </c>
      <c r="E102" s="16">
        <v>44992</v>
      </c>
      <c r="F102" t="s">
        <v>181</v>
      </c>
      <c r="H102" s="17">
        <f t="shared" si="10"/>
        <v>0</v>
      </c>
      <c r="I102" s="17" t="s">
        <v>575</v>
      </c>
      <c r="J102" s="48"/>
      <c r="K102" s="17"/>
      <c r="L102" s="49"/>
    </row>
    <row r="103" spans="1:12" x14ac:dyDescent="0.25">
      <c r="A103" s="10">
        <v>1</v>
      </c>
      <c r="B103" s="48">
        <v>44992</v>
      </c>
      <c r="C103" s="17">
        <v>420</v>
      </c>
      <c r="D103" s="17">
        <v>420</v>
      </c>
      <c r="E103" s="16">
        <v>44993</v>
      </c>
      <c r="F103" t="s">
        <v>117</v>
      </c>
      <c r="H103" s="17">
        <f t="shared" si="10"/>
        <v>0</v>
      </c>
      <c r="I103" s="17" t="s">
        <v>575</v>
      </c>
      <c r="J103" s="48"/>
      <c r="K103" s="17"/>
      <c r="L103" s="49"/>
    </row>
    <row r="104" spans="1:12" x14ac:dyDescent="0.25">
      <c r="A104" s="10">
        <v>2</v>
      </c>
      <c r="B104" s="48">
        <f>B103+14</f>
        <v>45006</v>
      </c>
      <c r="C104" s="17">
        <v>210</v>
      </c>
      <c r="D104" s="17">
        <v>210</v>
      </c>
      <c r="E104" s="16">
        <v>45007</v>
      </c>
      <c r="F104" t="s">
        <v>117</v>
      </c>
      <c r="H104" s="17">
        <f t="shared" si="10"/>
        <v>0</v>
      </c>
      <c r="I104" s="17" t="s">
        <v>575</v>
      </c>
      <c r="J104" s="48"/>
      <c r="K104" s="17"/>
      <c r="L104" s="49"/>
    </row>
    <row r="105" spans="1:12" x14ac:dyDescent="0.25">
      <c r="A105" s="10">
        <v>3</v>
      </c>
      <c r="B105" s="48">
        <f t="shared" ref="B105:B111" si="13">B104+7</f>
        <v>45013</v>
      </c>
      <c r="C105" s="17">
        <v>230</v>
      </c>
      <c r="D105" s="17">
        <v>230</v>
      </c>
      <c r="E105" s="16">
        <v>45014</v>
      </c>
      <c r="F105" t="s">
        <v>117</v>
      </c>
      <c r="H105" s="17">
        <f t="shared" si="10"/>
        <v>0</v>
      </c>
      <c r="I105" s="17" t="s">
        <v>575</v>
      </c>
      <c r="J105" s="48"/>
      <c r="K105" s="17"/>
      <c r="L105" s="49"/>
    </row>
    <row r="106" spans="1:12" x14ac:dyDescent="0.25">
      <c r="A106" s="10">
        <v>4</v>
      </c>
      <c r="B106" s="48">
        <f t="shared" si="13"/>
        <v>45020</v>
      </c>
      <c r="C106" s="17">
        <v>230</v>
      </c>
      <c r="D106" s="17">
        <v>230</v>
      </c>
      <c r="E106" s="16">
        <v>45021</v>
      </c>
      <c r="F106" t="s">
        <v>117</v>
      </c>
      <c r="H106" s="17">
        <f t="shared" si="10"/>
        <v>0</v>
      </c>
      <c r="I106" s="17" t="s">
        <v>575</v>
      </c>
      <c r="J106" s="48"/>
      <c r="K106" s="17"/>
      <c r="L106" s="49"/>
    </row>
    <row r="107" spans="1:12" x14ac:dyDescent="0.25">
      <c r="A107" s="10">
        <v>5</v>
      </c>
      <c r="B107" s="48">
        <f t="shared" si="13"/>
        <v>45027</v>
      </c>
      <c r="C107" s="17">
        <v>230</v>
      </c>
      <c r="D107" s="17">
        <v>230</v>
      </c>
      <c r="E107" s="16">
        <v>45027</v>
      </c>
      <c r="F107" t="s">
        <v>117</v>
      </c>
      <c r="H107" s="17">
        <f t="shared" si="10"/>
        <v>0</v>
      </c>
      <c r="I107" s="17" t="s">
        <v>575</v>
      </c>
      <c r="J107" s="48"/>
      <c r="K107" s="17"/>
      <c r="L107" s="49"/>
    </row>
    <row r="108" spans="1:12" x14ac:dyDescent="0.25">
      <c r="A108" s="10">
        <v>6</v>
      </c>
      <c r="B108" s="48">
        <f t="shared" si="13"/>
        <v>45034</v>
      </c>
      <c r="C108" s="17">
        <v>230</v>
      </c>
      <c r="D108" s="17">
        <v>230</v>
      </c>
      <c r="E108" s="16">
        <v>45035</v>
      </c>
      <c r="F108" t="s">
        <v>117</v>
      </c>
      <c r="H108" s="17">
        <f t="shared" si="10"/>
        <v>0</v>
      </c>
      <c r="I108" s="17" t="s">
        <v>575</v>
      </c>
      <c r="J108" s="48"/>
      <c r="K108" s="17"/>
      <c r="L108" s="49"/>
    </row>
    <row r="109" spans="1:12" x14ac:dyDescent="0.25">
      <c r="A109" s="10">
        <v>7</v>
      </c>
      <c r="B109" s="48">
        <f t="shared" si="13"/>
        <v>45041</v>
      </c>
      <c r="C109" s="17">
        <v>230</v>
      </c>
      <c r="D109" s="17">
        <v>230</v>
      </c>
      <c r="E109" s="16">
        <v>45042</v>
      </c>
      <c r="F109" t="s">
        <v>117</v>
      </c>
      <c r="H109" s="17">
        <f t="shared" si="10"/>
        <v>0</v>
      </c>
      <c r="I109" s="17" t="s">
        <v>575</v>
      </c>
      <c r="J109" s="48"/>
      <c r="K109" s="17"/>
      <c r="L109" s="49"/>
    </row>
    <row r="110" spans="1:12" x14ac:dyDescent="0.25">
      <c r="A110" s="10">
        <v>8</v>
      </c>
      <c r="B110" s="48">
        <f t="shared" si="13"/>
        <v>45048</v>
      </c>
      <c r="C110" s="17">
        <v>230</v>
      </c>
      <c r="D110" s="17">
        <v>230</v>
      </c>
      <c r="E110" s="16">
        <v>45049</v>
      </c>
      <c r="F110" t="s">
        <v>117</v>
      </c>
      <c r="H110" s="17">
        <f t="shared" si="10"/>
        <v>0</v>
      </c>
      <c r="I110" s="17" t="s">
        <v>575</v>
      </c>
      <c r="J110" s="48"/>
      <c r="K110" s="17"/>
      <c r="L110" s="49"/>
    </row>
    <row r="111" spans="1:12" x14ac:dyDescent="0.25">
      <c r="A111" s="10">
        <v>9</v>
      </c>
      <c r="B111" s="48">
        <f t="shared" si="13"/>
        <v>45055</v>
      </c>
      <c r="C111" s="17">
        <v>230</v>
      </c>
      <c r="D111" s="17">
        <v>230</v>
      </c>
      <c r="E111" s="16">
        <v>45058</v>
      </c>
      <c r="F111" t="s">
        <v>117</v>
      </c>
      <c r="H111" s="17">
        <f t="shared" si="10"/>
        <v>0</v>
      </c>
      <c r="I111" s="17" t="s">
        <v>575</v>
      </c>
      <c r="J111" s="48"/>
      <c r="K111" s="17"/>
      <c r="L111" s="49"/>
    </row>
    <row r="112" spans="1:12" x14ac:dyDescent="0.25">
      <c r="A112" s="10">
        <v>10</v>
      </c>
      <c r="B112" s="48">
        <f>B111+7</f>
        <v>45062</v>
      </c>
      <c r="C112" s="17">
        <v>230</v>
      </c>
      <c r="D112" s="17">
        <v>230</v>
      </c>
      <c r="E112" s="16">
        <v>45064</v>
      </c>
      <c r="F112" t="s">
        <v>117</v>
      </c>
      <c r="H112" s="17">
        <f t="shared" si="10"/>
        <v>0</v>
      </c>
      <c r="I112" s="17" t="s">
        <v>575</v>
      </c>
      <c r="J112" s="48"/>
      <c r="K112" s="17"/>
      <c r="L112" s="49"/>
    </row>
    <row r="113" spans="1:12" x14ac:dyDescent="0.25">
      <c r="A113" s="10">
        <v>11</v>
      </c>
      <c r="B113" s="48">
        <f>B112+7</f>
        <v>45069</v>
      </c>
      <c r="C113" s="17">
        <v>230</v>
      </c>
      <c r="D113" s="17">
        <v>230</v>
      </c>
      <c r="E113" s="16">
        <v>45069</v>
      </c>
      <c r="F113" t="s">
        <v>117</v>
      </c>
      <c r="H113" s="17">
        <f t="shared" si="10"/>
        <v>0</v>
      </c>
      <c r="I113" s="17" t="s">
        <v>575</v>
      </c>
      <c r="J113" s="48"/>
      <c r="K113" s="17"/>
      <c r="L113" s="49"/>
    </row>
    <row r="114" spans="1:12" x14ac:dyDescent="0.25">
      <c r="A114"/>
      <c r="B114" s="50"/>
      <c r="J114" s="48"/>
      <c r="K114" s="17"/>
      <c r="L114" s="49"/>
    </row>
    <row r="115" spans="1:12" x14ac:dyDescent="0.25">
      <c r="A115"/>
      <c r="B115" s="50"/>
      <c r="J115" s="48"/>
      <c r="K115" s="17"/>
      <c r="L115" s="49"/>
    </row>
    <row r="116" spans="1:12" x14ac:dyDescent="0.25">
      <c r="A116"/>
      <c r="B116" s="50"/>
      <c r="J116" s="48"/>
      <c r="K116" s="17"/>
      <c r="L116" s="49"/>
    </row>
    <row r="117" spans="1:12" x14ac:dyDescent="0.25">
      <c r="A117"/>
      <c r="B117" s="50"/>
      <c r="J117" s="48"/>
      <c r="K117" s="17"/>
      <c r="L117" s="49"/>
    </row>
    <row r="118" spans="1:12" x14ac:dyDescent="0.25">
      <c r="A118"/>
      <c r="B118" s="50"/>
      <c r="J118" s="48"/>
      <c r="K118" s="17"/>
      <c r="L118" s="49"/>
    </row>
    <row r="119" spans="1:12" x14ac:dyDescent="0.25">
      <c r="A119"/>
      <c r="B119" s="50"/>
      <c r="J119" s="48"/>
      <c r="K119" s="17"/>
      <c r="L119" s="49"/>
    </row>
    <row r="120" spans="1:12" x14ac:dyDescent="0.25">
      <c r="A120"/>
      <c r="B120" s="50"/>
      <c r="J120" s="48"/>
      <c r="K120" s="17"/>
      <c r="L120" s="49"/>
    </row>
    <row r="121" spans="1:12" x14ac:dyDescent="0.25">
      <c r="B121" s="50"/>
      <c r="J121" s="48"/>
      <c r="K121" s="17"/>
      <c r="L121" s="49"/>
    </row>
    <row r="122" spans="1:12" x14ac:dyDescent="0.25">
      <c r="B122" s="50"/>
      <c r="J122" s="48"/>
      <c r="K122" s="17"/>
      <c r="L122" s="49"/>
    </row>
    <row r="123" spans="1:12" x14ac:dyDescent="0.25">
      <c r="B123" s="50"/>
      <c r="J123" s="48"/>
      <c r="K123" s="17"/>
      <c r="L123" s="49"/>
    </row>
    <row r="124" spans="1:12" x14ac:dyDescent="0.25">
      <c r="B124" s="50"/>
      <c r="J124" s="48"/>
      <c r="K124" s="17"/>
      <c r="L124" s="49"/>
    </row>
    <row r="125" spans="1:12" x14ac:dyDescent="0.25">
      <c r="B125" s="50"/>
      <c r="J125" s="48"/>
      <c r="K125" s="17"/>
      <c r="L125" s="49"/>
    </row>
    <row r="126" spans="1:12" x14ac:dyDescent="0.25">
      <c r="B126" s="50"/>
      <c r="J126" s="48"/>
      <c r="K126" s="17"/>
      <c r="L126" s="49"/>
    </row>
    <row r="127" spans="1:12" x14ac:dyDescent="0.25">
      <c r="B127" s="50"/>
      <c r="J127" s="48"/>
      <c r="K127" s="17"/>
      <c r="L127" s="49"/>
    </row>
    <row r="128" spans="1:12" x14ac:dyDescent="0.25">
      <c r="B128" s="50"/>
      <c r="J128" s="48"/>
      <c r="K128" s="17"/>
      <c r="L128" s="49"/>
    </row>
    <row r="129" spans="1:12" x14ac:dyDescent="0.25">
      <c r="B129" s="50"/>
      <c r="J129" s="48"/>
      <c r="K129" s="17"/>
      <c r="L129" s="49"/>
    </row>
    <row r="130" spans="1:12" x14ac:dyDescent="0.25">
      <c r="B130" s="50"/>
      <c r="J130" s="48"/>
      <c r="K130" s="17"/>
      <c r="L130" s="49"/>
    </row>
    <row r="131" spans="1:12" x14ac:dyDescent="0.25">
      <c r="B131" s="50"/>
      <c r="J131" s="48"/>
      <c r="K131" s="17"/>
      <c r="L131" s="49"/>
    </row>
    <row r="132" spans="1:12" x14ac:dyDescent="0.25">
      <c r="B132" s="50"/>
      <c r="J132" s="48"/>
      <c r="K132" s="17"/>
      <c r="L132" s="49"/>
    </row>
    <row r="133" spans="1:12" x14ac:dyDescent="0.25">
      <c r="B133" s="50"/>
      <c r="J133" s="48"/>
      <c r="K133" s="17"/>
      <c r="L133" s="49"/>
    </row>
    <row r="134" spans="1:12" x14ac:dyDescent="0.25">
      <c r="B134" s="50"/>
      <c r="J134" s="48"/>
      <c r="K134" s="17"/>
      <c r="L134" s="49"/>
    </row>
    <row r="135" spans="1:12" x14ac:dyDescent="0.25">
      <c r="B135" s="50"/>
      <c r="J135" s="48"/>
      <c r="K135" s="17"/>
      <c r="L135" s="49"/>
    </row>
    <row r="136" spans="1:12" x14ac:dyDescent="0.25">
      <c r="A136" s="10" t="s">
        <v>18</v>
      </c>
      <c r="B136" s="50" t="str">
        <f>IF($A136&lt;&gt;"",IF(_term=26,IF(A136=1,first_payment,B135+14),IF(_term=52,IF(A136=1,first_payment,B135+7),DATE(YEAR(first_payment),MONTH(first_payment)+(A136-1)*per_year,IF(_term=24,IF(1-MOD(A136,2)=1,DAY(first_payment)+14,DAY(first_payment)),DAY(first_payment))))),"")</f>
        <v/>
      </c>
      <c r="H136" t="str">
        <f>IF($A136&lt;&gt;"",$H135-$D136,"")</f>
        <v/>
      </c>
      <c r="J136" s="48"/>
      <c r="K136" s="17"/>
      <c r="L136" s="49"/>
    </row>
    <row r="137" spans="1:12" x14ac:dyDescent="0.25">
      <c r="A137" s="10" t="s">
        <v>18</v>
      </c>
      <c r="B137" s="50" t="str">
        <f>IF($A137&lt;&gt;"",IF(_term=26,IF(A137=1,first_payment,B136+14),IF(_term=52,IF(A137=1,first_payment,B136+7),DATE(YEAR(first_payment),MONTH(first_payment)+(A137-1)*per_year,IF(_term=24,IF(1-MOD(A137,2)=1,DAY(first_payment)+14,DAY(first_payment)),DAY(first_payment))))),"")</f>
        <v/>
      </c>
      <c r="H137" t="str">
        <f>IF($A137&lt;&gt;"",$H136-$D137,"")</f>
        <v/>
      </c>
      <c r="J137" s="48"/>
      <c r="K137" s="17"/>
      <c r="L137" s="49"/>
    </row>
    <row r="138" spans="1:12" x14ac:dyDescent="0.25">
      <c r="A138" s="10" t="s">
        <v>18</v>
      </c>
      <c r="B138" s="50" t="str">
        <f>IF($A138&lt;&gt;"",IF(_term=26,IF(A138=1,first_payment,B137+14),IF(_term=52,IF(A138=1,first_payment,B137+7),DATE(YEAR(first_payment),MONTH(first_payment)+(A138-1)*per_year,IF(_term=24,IF(1-MOD(A138,2)=1,DAY(first_payment)+14,DAY(first_payment)),DAY(first_payment))))),"")</f>
        <v/>
      </c>
      <c r="H138" t="str">
        <f>IF($A138&lt;&gt;"",$H137-$D138,"")</f>
        <v/>
      </c>
      <c r="J138" s="48"/>
      <c r="K138" s="17"/>
      <c r="L138" s="49"/>
    </row>
    <row r="139" spans="1:12" x14ac:dyDescent="0.25">
      <c r="A139" s="10" t="s">
        <v>18</v>
      </c>
      <c r="B139" s="50" t="str">
        <f>IF($A139&lt;&gt;"",IF(_term=26,IF(A139=1,first_payment,B138+14),IF(_term=52,IF(A139=1,first_payment,B138+7),DATE(YEAR(first_payment),MONTH(first_payment)+(A139-1)*per_year,IF(_term=24,IF(1-MOD(A139,2)=1,DAY(first_payment)+14,DAY(first_payment)),DAY(first_payment))))),"")</f>
        <v/>
      </c>
      <c r="H139" t="str">
        <f>IF($A139&lt;&gt;"",$H138-$D139,"")</f>
        <v/>
      </c>
      <c r="J139" s="48"/>
      <c r="K139" s="17"/>
      <c r="L139" s="49"/>
    </row>
    <row r="140" spans="1:12" ht="15" customHeight="1" x14ac:dyDescent="0.25">
      <c r="J140" s="48"/>
      <c r="K140" s="17"/>
      <c r="L140" s="49"/>
    </row>
    <row r="141" spans="1:12" ht="15" customHeight="1" x14ac:dyDescent="0.25">
      <c r="J141" s="48"/>
      <c r="K141" s="17"/>
      <c r="L141" s="49"/>
    </row>
    <row r="142" spans="1:12" ht="15" customHeight="1" x14ac:dyDescent="0.25">
      <c r="J142" s="48"/>
      <c r="K142" s="17"/>
      <c r="L142" s="49"/>
    </row>
    <row r="143" spans="1:12" ht="15" customHeight="1" x14ac:dyDescent="0.25">
      <c r="J143" s="48"/>
      <c r="K143" s="17"/>
      <c r="L143" s="49"/>
    </row>
    <row r="144" spans="1:12" ht="15" customHeight="1" x14ac:dyDescent="0.25">
      <c r="J144" s="48"/>
      <c r="K144" s="17"/>
      <c r="L144" s="49"/>
    </row>
    <row r="145" spans="10:12" ht="15" customHeight="1" x14ac:dyDescent="0.25">
      <c r="J145" s="48"/>
      <c r="K145" s="17"/>
      <c r="L145" s="49"/>
    </row>
    <row r="146" spans="10:12" ht="15" customHeight="1" x14ac:dyDescent="0.25">
      <c r="J146" s="48"/>
      <c r="K146" s="17"/>
      <c r="L146" s="49"/>
    </row>
    <row r="147" spans="10:12" ht="15" customHeight="1" x14ac:dyDescent="0.25">
      <c r="J147" s="48"/>
      <c r="K147" s="17"/>
      <c r="L147" s="49"/>
    </row>
    <row r="148" spans="10:12" ht="15" customHeight="1" x14ac:dyDescent="0.25">
      <c r="J148" s="48"/>
      <c r="K148" s="17"/>
      <c r="L148" s="49"/>
    </row>
    <row r="149" spans="10:12" ht="15" customHeight="1" x14ac:dyDescent="0.25">
      <c r="J149" s="48"/>
      <c r="K149" s="17"/>
      <c r="L149" s="49"/>
    </row>
    <row r="150" spans="10:12" ht="15" customHeight="1" x14ac:dyDescent="0.25">
      <c r="J150" s="48"/>
      <c r="K150" s="17"/>
      <c r="L150" s="49"/>
    </row>
    <row r="151" spans="10:12" ht="15" customHeight="1" x14ac:dyDescent="0.25">
      <c r="J151" s="48"/>
      <c r="K151" s="17"/>
      <c r="L151" s="49"/>
    </row>
    <row r="152" spans="10:12" ht="15" customHeight="1" x14ac:dyDescent="0.25">
      <c r="J152" s="48"/>
      <c r="K152" s="17"/>
      <c r="L152" s="49"/>
    </row>
    <row r="153" spans="10:12" ht="15" customHeight="1" x14ac:dyDescent="0.25">
      <c r="J153" s="48"/>
      <c r="K153" s="17"/>
      <c r="L153" s="49"/>
    </row>
    <row r="154" spans="10:12" ht="15" customHeight="1" x14ac:dyDescent="0.25">
      <c r="J154" s="48"/>
      <c r="K154" s="17"/>
      <c r="L154" s="49"/>
    </row>
    <row r="155" spans="10:12" ht="15" customHeight="1" x14ac:dyDescent="0.25">
      <c r="J155" s="48"/>
      <c r="K155" s="17"/>
      <c r="L155" s="49"/>
    </row>
    <row r="156" spans="10:12" ht="15" customHeight="1" x14ac:dyDescent="0.25">
      <c r="J156" s="48"/>
      <c r="K156" s="17"/>
      <c r="L156" s="49"/>
    </row>
    <row r="157" spans="10:12" ht="15" customHeight="1" x14ac:dyDescent="0.25">
      <c r="J157" s="48"/>
      <c r="K157" s="17"/>
      <c r="L157" s="49"/>
    </row>
    <row r="158" spans="10:12" ht="15" customHeight="1" x14ac:dyDescent="0.25">
      <c r="J158" s="48"/>
      <c r="K158" s="17"/>
      <c r="L158" s="49"/>
    </row>
    <row r="159" spans="10:12" ht="15" customHeight="1" x14ac:dyDescent="0.25">
      <c r="J159" s="48"/>
      <c r="K159" s="17"/>
      <c r="L159" s="49"/>
    </row>
    <row r="160" spans="10:12" ht="15" customHeight="1" x14ac:dyDescent="0.25">
      <c r="J160" s="48"/>
      <c r="K160" s="17"/>
      <c r="L160" s="49"/>
    </row>
    <row r="161" spans="10:12" ht="15" customHeight="1" x14ac:dyDescent="0.25">
      <c r="J161" s="48"/>
      <c r="K161" s="17"/>
      <c r="L161" s="49"/>
    </row>
    <row r="162" spans="10:12" ht="15" customHeight="1" x14ac:dyDescent="0.25">
      <c r="J162" s="48"/>
      <c r="K162" s="17"/>
      <c r="L162" s="49"/>
    </row>
    <row r="163" spans="10:12" ht="15" customHeight="1" x14ac:dyDescent="0.25">
      <c r="J163" s="48"/>
      <c r="K163" s="17"/>
      <c r="L163" s="49"/>
    </row>
    <row r="164" spans="10:12" ht="15" customHeight="1" x14ac:dyDescent="0.25">
      <c r="J164" s="48"/>
      <c r="K164" s="17"/>
      <c r="L164" s="49"/>
    </row>
    <row r="165" spans="10:12" ht="15" customHeight="1" x14ac:dyDescent="0.25">
      <c r="J165" s="48"/>
      <c r="K165" s="17"/>
      <c r="L165" s="49"/>
    </row>
    <row r="166" spans="10:12" ht="15" customHeight="1" x14ac:dyDescent="0.25">
      <c r="J166" s="48"/>
      <c r="K166" s="17"/>
      <c r="L166" s="49"/>
    </row>
    <row r="167" spans="10:12" ht="15" customHeight="1" x14ac:dyDescent="0.25">
      <c r="J167" s="48"/>
      <c r="K167" s="17"/>
      <c r="L167" s="49"/>
    </row>
    <row r="168" spans="10:12" ht="15" customHeight="1" x14ac:dyDescent="0.25">
      <c r="J168" s="48"/>
      <c r="K168" s="17"/>
      <c r="L168" s="49"/>
    </row>
    <row r="169" spans="10:12" ht="15" customHeight="1" x14ac:dyDescent="0.25">
      <c r="J169" s="48"/>
      <c r="K169" s="17"/>
      <c r="L169" s="49"/>
    </row>
    <row r="170" spans="10:12" ht="15" customHeight="1" x14ac:dyDescent="0.25">
      <c r="J170" s="48"/>
      <c r="K170" s="17"/>
      <c r="L170" s="49"/>
    </row>
    <row r="171" spans="10:12" ht="15" customHeight="1" x14ac:dyDescent="0.25">
      <c r="J171" s="48"/>
      <c r="K171" s="17"/>
      <c r="L171" s="49"/>
    </row>
    <row r="172" spans="10:12" ht="15" customHeight="1" x14ac:dyDescent="0.25">
      <c r="J172" s="48"/>
      <c r="K172" s="17"/>
      <c r="L172" s="49"/>
    </row>
    <row r="173" spans="10:12" ht="15" customHeight="1" x14ac:dyDescent="0.25">
      <c r="J173" s="48"/>
      <c r="K173" s="17"/>
      <c r="L173" s="49"/>
    </row>
    <row r="174" spans="10:12" ht="15" customHeight="1" x14ac:dyDescent="0.25">
      <c r="J174" s="48"/>
      <c r="K174" s="17"/>
      <c r="L174" s="49"/>
    </row>
    <row r="175" spans="10:12" ht="15" customHeight="1" x14ac:dyDescent="0.25">
      <c r="J175" s="48"/>
      <c r="K175" s="17"/>
      <c r="L175" s="49"/>
    </row>
    <row r="176" spans="10:12" ht="15" customHeight="1" x14ac:dyDescent="0.25">
      <c r="J176" s="48"/>
      <c r="K176" s="17"/>
      <c r="L176" s="49"/>
    </row>
    <row r="177" spans="10:12" ht="15" customHeight="1" x14ac:dyDescent="0.25">
      <c r="J177" s="48"/>
      <c r="K177" s="17"/>
      <c r="L177" s="49"/>
    </row>
    <row r="178" spans="10:12" ht="15" customHeight="1" x14ac:dyDescent="0.25">
      <c r="J178" s="48"/>
      <c r="K178" s="17"/>
      <c r="L178" s="49"/>
    </row>
    <row r="179" spans="10:12" ht="15" customHeight="1" x14ac:dyDescent="0.25">
      <c r="J179" s="48"/>
      <c r="K179" s="17"/>
      <c r="L179" s="49"/>
    </row>
    <row r="180" spans="10:12" ht="15" customHeight="1" x14ac:dyDescent="0.25">
      <c r="J180" s="48"/>
      <c r="K180" s="17"/>
      <c r="L180" s="49"/>
    </row>
    <row r="181" spans="10:12" ht="15" customHeight="1" x14ac:dyDescent="0.25">
      <c r="J181" s="48"/>
      <c r="K181" s="17"/>
      <c r="L181" s="49"/>
    </row>
    <row r="182" spans="10:12" ht="15" customHeight="1" x14ac:dyDescent="0.25">
      <c r="J182" s="48"/>
      <c r="K182" s="17"/>
      <c r="L182" s="49"/>
    </row>
    <row r="183" spans="10:12" ht="15" customHeight="1" x14ac:dyDescent="0.25">
      <c r="J183" s="48"/>
      <c r="K183" s="17"/>
      <c r="L183" s="49"/>
    </row>
    <row r="184" spans="10:12" ht="15" customHeight="1" x14ac:dyDescent="0.25">
      <c r="J184" s="48"/>
      <c r="K184" s="17"/>
      <c r="L184" s="49"/>
    </row>
    <row r="185" spans="10:12" ht="15" customHeight="1" x14ac:dyDescent="0.25">
      <c r="J185" s="48"/>
      <c r="K185" s="17"/>
      <c r="L185" s="49"/>
    </row>
    <row r="186" spans="10:12" ht="15" customHeight="1" x14ac:dyDescent="0.25">
      <c r="J186" s="48"/>
      <c r="K186" s="17"/>
      <c r="L186" s="49"/>
    </row>
    <row r="187" spans="10:12" ht="15" customHeight="1" x14ac:dyDescent="0.25">
      <c r="J187" s="48"/>
      <c r="K187" s="17"/>
      <c r="L187" s="49"/>
    </row>
    <row r="188" spans="10:12" ht="15" customHeight="1" x14ac:dyDescent="0.25">
      <c r="J188" s="48"/>
      <c r="K188" s="17"/>
      <c r="L188" s="49"/>
    </row>
    <row r="189" spans="10:12" ht="15" customHeight="1" x14ac:dyDescent="0.25">
      <c r="J189" s="48"/>
      <c r="K189" s="17"/>
      <c r="L189" s="49"/>
    </row>
    <row r="190" spans="10:12" ht="15" customHeight="1" x14ac:dyDescent="0.25">
      <c r="J190" s="48"/>
      <c r="K190" s="17"/>
      <c r="L190" s="49"/>
    </row>
    <row r="191" spans="10:12" ht="15" customHeight="1" x14ac:dyDescent="0.25">
      <c r="J191" s="48"/>
      <c r="K191" s="17"/>
      <c r="L191" s="49"/>
    </row>
    <row r="192" spans="10:12" ht="15" customHeight="1" x14ac:dyDescent="0.25">
      <c r="J192" s="48"/>
      <c r="K192" s="17"/>
      <c r="L192" s="49"/>
    </row>
    <row r="193" spans="10:12" ht="15" customHeight="1" x14ac:dyDescent="0.25">
      <c r="J193" s="48"/>
      <c r="K193" s="17"/>
      <c r="L193" s="49"/>
    </row>
    <row r="194" spans="10:12" ht="15" customHeight="1" x14ac:dyDescent="0.25">
      <c r="J194" s="48"/>
      <c r="K194" s="17"/>
      <c r="L194" s="49"/>
    </row>
    <row r="195" spans="10:12" ht="15" customHeight="1" x14ac:dyDescent="0.25">
      <c r="J195" s="48"/>
      <c r="K195" s="17"/>
      <c r="L195" s="49"/>
    </row>
    <row r="196" spans="10:12" ht="15" customHeight="1" x14ac:dyDescent="0.25">
      <c r="J196" s="48"/>
      <c r="K196" s="17"/>
      <c r="L196" s="49"/>
    </row>
    <row r="197" spans="10:12" ht="15" customHeight="1" x14ac:dyDescent="0.25">
      <c r="J197" s="48"/>
      <c r="K197" s="17"/>
      <c r="L197" s="49"/>
    </row>
    <row r="198" spans="10:12" ht="15" customHeight="1" x14ac:dyDescent="0.25">
      <c r="J198" s="48"/>
      <c r="K198" s="17"/>
      <c r="L198" s="49"/>
    </row>
    <row r="199" spans="10:12" ht="15" customHeight="1" x14ac:dyDescent="0.25">
      <c r="J199" s="48"/>
      <c r="K199" s="17"/>
      <c r="L199" s="49"/>
    </row>
    <row r="200" spans="10:12" ht="15" customHeight="1" x14ac:dyDescent="0.25">
      <c r="J200" s="48"/>
      <c r="K200" s="17"/>
      <c r="L200" s="49"/>
    </row>
    <row r="201" spans="10:12" ht="15" customHeight="1" x14ac:dyDescent="0.25">
      <c r="J201" s="48"/>
      <c r="K201" s="17"/>
      <c r="L201" s="49"/>
    </row>
    <row r="202" spans="10:12" ht="15" customHeight="1" x14ac:dyDescent="0.25">
      <c r="J202" s="48"/>
      <c r="K202" s="17"/>
      <c r="L202" s="49"/>
    </row>
    <row r="203" spans="10:12" ht="15" customHeight="1" x14ac:dyDescent="0.25">
      <c r="J203" s="48"/>
      <c r="K203" s="17"/>
      <c r="L203" s="49"/>
    </row>
    <row r="204" spans="10:12" ht="15" customHeight="1" x14ac:dyDescent="0.25">
      <c r="J204" s="48"/>
      <c r="K204" s="17"/>
      <c r="L204" s="49"/>
    </row>
    <row r="205" spans="10:12" ht="15" customHeight="1" x14ac:dyDescent="0.25">
      <c r="J205" s="48"/>
      <c r="K205" s="17"/>
      <c r="L205" s="49"/>
    </row>
    <row r="206" spans="10:12" ht="15" customHeight="1" x14ac:dyDescent="0.25">
      <c r="J206" s="48"/>
      <c r="K206" s="17"/>
      <c r="L206" s="49"/>
    </row>
    <row r="207" spans="10:12" ht="15" customHeight="1" x14ac:dyDescent="0.25">
      <c r="J207" s="48"/>
      <c r="K207" s="17"/>
      <c r="L207" s="49"/>
    </row>
    <row r="208" spans="10:12" ht="15" customHeight="1" x14ac:dyDescent="0.25">
      <c r="J208" s="48"/>
      <c r="K208" s="17"/>
      <c r="L208" s="49"/>
    </row>
    <row r="209" spans="10:12" ht="15" customHeight="1" x14ac:dyDescent="0.25">
      <c r="J209" s="48"/>
      <c r="K209" s="17"/>
      <c r="L209" s="49"/>
    </row>
    <row r="210" spans="10:12" ht="15" customHeight="1" x14ac:dyDescent="0.25">
      <c r="J210" s="48"/>
      <c r="K210" s="17"/>
      <c r="L210" s="49"/>
    </row>
    <row r="211" spans="10:12" ht="15" customHeight="1" x14ac:dyDescent="0.25">
      <c r="J211" s="48"/>
      <c r="K211" s="17"/>
      <c r="L211" s="49"/>
    </row>
    <row r="212" spans="10:12" ht="15" customHeight="1" x14ac:dyDescent="0.25">
      <c r="J212" s="48"/>
      <c r="K212" s="17"/>
      <c r="L212" s="49"/>
    </row>
    <row r="213" spans="10:12" ht="15" customHeight="1" x14ac:dyDescent="0.25">
      <c r="J213" s="48"/>
      <c r="K213" s="17"/>
      <c r="L213" s="49"/>
    </row>
    <row r="214" spans="10:12" ht="15" customHeight="1" x14ac:dyDescent="0.25">
      <c r="J214" s="48"/>
      <c r="K214" s="17"/>
      <c r="L214" s="49"/>
    </row>
    <row r="215" spans="10:12" ht="15" customHeight="1" x14ac:dyDescent="0.25">
      <c r="J215" s="48"/>
      <c r="K215" s="17"/>
      <c r="L215" s="49"/>
    </row>
    <row r="216" spans="10:12" ht="15" customHeight="1" x14ac:dyDescent="0.25">
      <c r="J216" s="48"/>
      <c r="K216" s="17"/>
      <c r="L216" s="49"/>
    </row>
    <row r="217" spans="10:12" ht="15" customHeight="1" x14ac:dyDescent="0.25">
      <c r="J217" s="48"/>
      <c r="K217" s="17"/>
      <c r="L217" s="49"/>
    </row>
    <row r="218" spans="10:12" ht="15" customHeight="1" x14ac:dyDescent="0.25">
      <c r="J218" s="48"/>
      <c r="K218" s="17"/>
      <c r="L218" s="49"/>
    </row>
    <row r="219" spans="10:12" ht="15" customHeight="1" x14ac:dyDescent="0.25">
      <c r="J219" s="48"/>
      <c r="K219" s="17"/>
      <c r="L219" s="49"/>
    </row>
    <row r="220" spans="10:12" ht="15" customHeight="1" x14ac:dyDescent="0.25">
      <c r="J220" s="48"/>
      <c r="K220" s="17"/>
      <c r="L220" s="49"/>
    </row>
    <row r="221" spans="10:12" ht="15" customHeight="1" x14ac:dyDescent="0.25">
      <c r="J221" s="48"/>
      <c r="K221" s="17"/>
      <c r="L221" s="49"/>
    </row>
    <row r="222" spans="10:12" ht="15" customHeight="1" x14ac:dyDescent="0.25">
      <c r="J222" s="48"/>
      <c r="K222" s="17"/>
      <c r="L222" s="49"/>
    </row>
    <row r="223" spans="10:12" ht="15" customHeight="1" x14ac:dyDescent="0.25">
      <c r="J223" s="48"/>
      <c r="K223" s="17"/>
      <c r="L223" s="49"/>
    </row>
    <row r="224" spans="10:12" ht="15" customHeight="1" x14ac:dyDescent="0.25">
      <c r="J224" s="48"/>
      <c r="K224" s="17"/>
      <c r="L224" s="49"/>
    </row>
    <row r="225" spans="10:12" ht="15" customHeight="1" x14ac:dyDescent="0.25">
      <c r="J225" s="48"/>
      <c r="K225" s="17"/>
      <c r="L225" s="49"/>
    </row>
    <row r="226" spans="10:12" ht="15" customHeight="1" x14ac:dyDescent="0.25">
      <c r="J226" s="48"/>
      <c r="K226" s="17"/>
      <c r="L226" s="49"/>
    </row>
    <row r="227" spans="10:12" ht="15" customHeight="1" x14ac:dyDescent="0.25">
      <c r="J227" s="48"/>
      <c r="K227" s="17"/>
      <c r="L227" s="49"/>
    </row>
    <row r="228" spans="10:12" ht="15" customHeight="1" x14ac:dyDescent="0.25">
      <c r="J228" s="48"/>
      <c r="K228" s="17"/>
      <c r="L228" s="49"/>
    </row>
    <row r="229" spans="10:12" ht="15" customHeight="1" x14ac:dyDescent="0.25">
      <c r="J229" s="48"/>
      <c r="K229" s="17"/>
      <c r="L229" s="49"/>
    </row>
    <row r="230" spans="10:12" ht="15" customHeight="1" x14ac:dyDescent="0.25">
      <c r="J230" s="48"/>
      <c r="K230" s="17"/>
      <c r="L230" s="49"/>
    </row>
    <row r="231" spans="10:12" ht="15" customHeight="1" x14ac:dyDescent="0.25">
      <c r="J231" s="48"/>
      <c r="K231" s="17"/>
      <c r="L231" s="49"/>
    </row>
    <row r="232" spans="10:12" ht="15" customHeight="1" x14ac:dyDescent="0.25">
      <c r="J232" s="48"/>
      <c r="K232" s="17"/>
      <c r="L232" s="49"/>
    </row>
    <row r="233" spans="10:12" ht="15" customHeight="1" x14ac:dyDescent="0.25">
      <c r="J233" s="48"/>
      <c r="K233" s="17"/>
      <c r="L233" s="49"/>
    </row>
    <row r="234" spans="10:12" ht="15" customHeight="1" x14ac:dyDescent="0.25">
      <c r="J234" s="48"/>
      <c r="K234" s="17"/>
      <c r="L234" s="49"/>
    </row>
    <row r="235" spans="10:12" ht="15" customHeight="1" x14ac:dyDescent="0.25">
      <c r="J235" s="48"/>
      <c r="K235" s="17"/>
      <c r="L235" s="49"/>
    </row>
    <row r="236" spans="10:12" ht="15" customHeight="1" x14ac:dyDescent="0.25">
      <c r="J236" s="48"/>
      <c r="K236" s="17"/>
      <c r="L236" s="49"/>
    </row>
    <row r="237" spans="10:12" ht="15" customHeight="1" x14ac:dyDescent="0.25">
      <c r="J237" s="48"/>
      <c r="K237" s="17"/>
      <c r="L237" s="49"/>
    </row>
    <row r="238" spans="10:12" ht="15" customHeight="1" x14ac:dyDescent="0.25">
      <c r="J238" s="48"/>
      <c r="K238" s="17"/>
      <c r="L238" s="49"/>
    </row>
    <row r="239" spans="10:12" ht="15" customHeight="1" x14ac:dyDescent="0.25">
      <c r="J239" s="48"/>
      <c r="K239" s="17"/>
      <c r="L239" s="49"/>
    </row>
    <row r="240" spans="10:12" ht="15" customHeight="1" x14ac:dyDescent="0.25">
      <c r="J240" s="48"/>
      <c r="K240" s="17"/>
      <c r="L240" s="49"/>
    </row>
    <row r="241" spans="10:12" ht="15" customHeight="1" x14ac:dyDescent="0.25">
      <c r="J241" s="48"/>
      <c r="K241" s="17"/>
      <c r="L241" s="49"/>
    </row>
    <row r="242" spans="10:12" ht="15" customHeight="1" x14ac:dyDescent="0.25">
      <c r="J242" s="48"/>
      <c r="K242" s="17"/>
      <c r="L242" s="49"/>
    </row>
    <row r="243" spans="10:12" ht="15" customHeight="1" x14ac:dyDescent="0.25">
      <c r="J243" s="48"/>
      <c r="K243" s="17"/>
      <c r="L243" s="49"/>
    </row>
    <row r="244" spans="10:12" ht="15" customHeight="1" x14ac:dyDescent="0.25">
      <c r="J244" s="48"/>
      <c r="K244" s="17"/>
      <c r="L244" s="49"/>
    </row>
    <row r="245" spans="10:12" ht="15" customHeight="1" x14ac:dyDescent="0.25">
      <c r="J245" s="48"/>
      <c r="K245" s="17"/>
      <c r="L245" s="49"/>
    </row>
    <row r="246" spans="10:12" ht="15" customHeight="1" x14ac:dyDescent="0.25">
      <c r="J246" s="48"/>
      <c r="K246" s="17"/>
      <c r="L246" s="49"/>
    </row>
    <row r="247" spans="10:12" ht="15" customHeight="1" x14ac:dyDescent="0.25">
      <c r="J247" s="48"/>
      <c r="K247" s="17"/>
      <c r="L247" s="49"/>
    </row>
    <row r="248" spans="10:12" ht="15" customHeight="1" x14ac:dyDescent="0.25">
      <c r="J248" s="48"/>
      <c r="K248" s="17"/>
      <c r="L248" s="49"/>
    </row>
    <row r="249" spans="10:12" ht="15" customHeight="1" x14ac:dyDescent="0.25">
      <c r="J249" s="48"/>
      <c r="K249" s="17"/>
      <c r="L249" s="49"/>
    </row>
    <row r="250" spans="10:12" ht="15" customHeight="1" x14ac:dyDescent="0.25">
      <c r="J250" s="48"/>
      <c r="K250" s="17"/>
      <c r="L250" s="49"/>
    </row>
    <row r="251" spans="10:12" ht="15" customHeight="1" x14ac:dyDescent="0.25">
      <c r="J251" s="48"/>
      <c r="K251" s="17"/>
      <c r="L251" s="49"/>
    </row>
    <row r="252" spans="10:12" ht="15" customHeight="1" x14ac:dyDescent="0.25">
      <c r="J252" s="48"/>
      <c r="K252" s="17"/>
      <c r="L252" s="49"/>
    </row>
    <row r="253" spans="10:12" ht="15" customHeight="1" x14ac:dyDescent="0.25">
      <c r="J253" s="48"/>
      <c r="K253" s="17"/>
      <c r="L253" s="49"/>
    </row>
    <row r="254" spans="10:12" ht="15" customHeight="1" x14ac:dyDescent="0.25">
      <c r="J254" s="48"/>
      <c r="K254" s="17"/>
      <c r="L254" s="49"/>
    </row>
    <row r="255" spans="10:12" ht="15" customHeight="1" x14ac:dyDescent="0.25">
      <c r="J255" s="48"/>
      <c r="K255" s="17"/>
      <c r="L255" s="49"/>
    </row>
    <row r="256" spans="10:12" ht="15" customHeight="1" x14ac:dyDescent="0.25">
      <c r="J256" s="48"/>
      <c r="K256" s="17"/>
      <c r="L256" s="49"/>
    </row>
    <row r="257" spans="10:12" ht="15" customHeight="1" x14ac:dyDescent="0.25">
      <c r="J257" s="48"/>
      <c r="K257" s="17"/>
      <c r="L257" s="49"/>
    </row>
    <row r="258" spans="10:12" ht="15" customHeight="1" x14ac:dyDescent="0.25">
      <c r="J258" s="48"/>
      <c r="K258" s="17"/>
      <c r="L258" s="49"/>
    </row>
    <row r="259" spans="10:12" ht="15" customHeight="1" x14ac:dyDescent="0.25">
      <c r="J259" s="48"/>
      <c r="K259" s="17"/>
      <c r="L259" s="49"/>
    </row>
    <row r="260" spans="10:12" ht="15" customHeight="1" x14ac:dyDescent="0.25">
      <c r="J260" s="48"/>
      <c r="K260" s="17"/>
      <c r="L260" s="49"/>
    </row>
    <row r="261" spans="10:12" ht="15" customHeight="1" x14ac:dyDescent="0.25">
      <c r="J261" s="48"/>
      <c r="K261" s="17"/>
      <c r="L261" s="49"/>
    </row>
    <row r="262" spans="10:12" ht="15" customHeight="1" x14ac:dyDescent="0.25">
      <c r="J262" s="48"/>
      <c r="K262" s="17"/>
      <c r="L262" s="49"/>
    </row>
    <row r="263" spans="10:12" ht="15" customHeight="1" x14ac:dyDescent="0.25">
      <c r="J263" s="48"/>
      <c r="K263" s="17"/>
      <c r="L263" s="49"/>
    </row>
    <row r="264" spans="10:12" ht="15" customHeight="1" x14ac:dyDescent="0.25">
      <c r="J264" s="48"/>
      <c r="K264" s="17"/>
      <c r="L264" s="49"/>
    </row>
    <row r="265" spans="10:12" ht="15" customHeight="1" x14ac:dyDescent="0.25">
      <c r="J265" s="48"/>
      <c r="K265" s="17"/>
      <c r="L265" s="49"/>
    </row>
    <row r="266" spans="10:12" ht="15" customHeight="1" x14ac:dyDescent="0.25">
      <c r="J266" s="48"/>
      <c r="K266" s="17"/>
      <c r="L266" s="49"/>
    </row>
    <row r="267" spans="10:12" ht="15" customHeight="1" x14ac:dyDescent="0.25">
      <c r="J267" s="48"/>
      <c r="K267" s="17"/>
      <c r="L267" s="49"/>
    </row>
    <row r="268" spans="10:12" ht="15" customHeight="1" x14ac:dyDescent="0.25">
      <c r="J268" s="48"/>
      <c r="K268" s="17"/>
      <c r="L268" s="49"/>
    </row>
    <row r="269" spans="10:12" ht="15" customHeight="1" x14ac:dyDescent="0.25">
      <c r="J269" s="48"/>
      <c r="K269" s="17"/>
      <c r="L269" s="49"/>
    </row>
    <row r="270" spans="10:12" ht="15" customHeight="1" x14ac:dyDescent="0.25">
      <c r="J270" s="48"/>
      <c r="K270" s="17"/>
      <c r="L270" s="49"/>
    </row>
    <row r="271" spans="10:12" ht="15" customHeight="1" x14ac:dyDescent="0.25">
      <c r="J271" s="48"/>
      <c r="K271" s="17"/>
      <c r="L271" s="49"/>
    </row>
    <row r="272" spans="10:12" ht="15" customHeight="1" x14ac:dyDescent="0.25">
      <c r="J272" s="48"/>
      <c r="K272" s="17"/>
      <c r="L272" s="49"/>
    </row>
    <row r="273" spans="10:12" ht="15" customHeight="1" x14ac:dyDescent="0.25">
      <c r="J273" s="48"/>
      <c r="K273" s="17"/>
      <c r="L273" s="49"/>
    </row>
    <row r="274" spans="10:12" ht="15" customHeight="1" x14ac:dyDescent="0.25">
      <c r="J274" s="48"/>
      <c r="K274" s="17"/>
      <c r="L274" s="49"/>
    </row>
    <row r="275" spans="10:12" ht="15" customHeight="1" x14ac:dyDescent="0.25">
      <c r="J275" s="48"/>
      <c r="K275" s="17"/>
      <c r="L275" s="49"/>
    </row>
    <row r="276" spans="10:12" ht="15" customHeight="1" x14ac:dyDescent="0.25">
      <c r="J276" s="48"/>
      <c r="K276" s="17"/>
      <c r="L276" s="49"/>
    </row>
    <row r="277" spans="10:12" ht="15" customHeight="1" x14ac:dyDescent="0.25">
      <c r="J277" s="48"/>
      <c r="K277" s="17"/>
      <c r="L277" s="49"/>
    </row>
    <row r="278" spans="10:12" ht="15" customHeight="1" x14ac:dyDescent="0.25">
      <c r="J278" s="48"/>
      <c r="K278" s="17"/>
      <c r="L278" s="49"/>
    </row>
    <row r="279" spans="10:12" ht="15" customHeight="1" x14ac:dyDescent="0.25">
      <c r="J279" s="48"/>
      <c r="K279" s="17"/>
      <c r="L279" s="49"/>
    </row>
    <row r="280" spans="10:12" ht="15" customHeight="1" x14ac:dyDescent="0.25">
      <c r="J280" s="48"/>
      <c r="K280" s="17"/>
      <c r="L280" s="49"/>
    </row>
    <row r="281" spans="10:12" ht="15" customHeight="1" x14ac:dyDescent="0.25">
      <c r="J281" s="48"/>
      <c r="K281" s="17"/>
      <c r="L281" s="49"/>
    </row>
    <row r="282" spans="10:12" ht="15" customHeight="1" x14ac:dyDescent="0.25">
      <c r="J282" s="48"/>
      <c r="K282" s="17"/>
      <c r="L282" s="49"/>
    </row>
    <row r="283" spans="10:12" ht="15" customHeight="1" x14ac:dyDescent="0.25">
      <c r="J283" s="48"/>
      <c r="K283" s="17"/>
      <c r="L283" s="49"/>
    </row>
    <row r="284" spans="10:12" ht="15" customHeight="1" x14ac:dyDescent="0.25">
      <c r="J284" s="48"/>
      <c r="K284" s="17"/>
      <c r="L284" s="49"/>
    </row>
    <row r="285" spans="10:12" ht="15" customHeight="1" x14ac:dyDescent="0.25">
      <c r="J285" s="48"/>
      <c r="K285" s="17"/>
      <c r="L285" s="49"/>
    </row>
    <row r="286" spans="10:12" ht="15" customHeight="1" x14ac:dyDescent="0.25">
      <c r="J286" s="48"/>
      <c r="K286" s="17"/>
      <c r="L286" s="49"/>
    </row>
    <row r="287" spans="10:12" ht="15" customHeight="1" x14ac:dyDescent="0.25">
      <c r="J287" s="48"/>
      <c r="K287" s="17"/>
      <c r="L287" s="49"/>
    </row>
    <row r="288" spans="10:12" ht="15" customHeight="1" x14ac:dyDescent="0.25">
      <c r="J288" s="48"/>
      <c r="K288" s="17"/>
      <c r="L288" s="49"/>
    </row>
    <row r="289" spans="10:12" ht="15" customHeight="1" x14ac:dyDescent="0.25">
      <c r="J289" s="48"/>
      <c r="K289" s="17"/>
      <c r="L289" s="49"/>
    </row>
    <row r="290" spans="10:12" ht="15" customHeight="1" x14ac:dyDescent="0.25">
      <c r="J290" s="48"/>
      <c r="K290" s="17"/>
      <c r="L290" s="49"/>
    </row>
    <row r="291" spans="10:12" ht="15" customHeight="1" x14ac:dyDescent="0.25">
      <c r="J291" s="48"/>
      <c r="K291" s="17"/>
      <c r="L291" s="49"/>
    </row>
    <row r="292" spans="10:12" ht="15" customHeight="1" x14ac:dyDescent="0.25">
      <c r="J292" s="48"/>
      <c r="K292" s="17"/>
      <c r="L292" s="49"/>
    </row>
    <row r="293" spans="10:12" ht="15" customHeight="1" x14ac:dyDescent="0.25">
      <c r="J293" s="48"/>
      <c r="K293" s="17"/>
      <c r="L293" s="49"/>
    </row>
    <row r="294" spans="10:12" ht="15" customHeight="1" x14ac:dyDescent="0.25">
      <c r="J294" s="48"/>
      <c r="K294" s="17"/>
      <c r="L294" s="49"/>
    </row>
    <row r="295" spans="10:12" ht="15" customHeight="1" x14ac:dyDescent="0.25">
      <c r="J295" s="48"/>
      <c r="K295" s="17"/>
      <c r="L295" s="49"/>
    </row>
    <row r="296" spans="10:12" ht="15" customHeight="1" x14ac:dyDescent="0.25">
      <c r="J296" s="48"/>
      <c r="K296" s="17"/>
      <c r="L296" s="49"/>
    </row>
    <row r="297" spans="10:12" ht="15" customHeight="1" x14ac:dyDescent="0.25">
      <c r="J297" s="48"/>
      <c r="K297" s="17"/>
      <c r="L297" s="49"/>
    </row>
    <row r="298" spans="10:12" ht="15" customHeight="1" x14ac:dyDescent="0.25">
      <c r="J298" s="48"/>
      <c r="K298" s="17"/>
      <c r="L298" s="49"/>
    </row>
    <row r="299" spans="10:12" ht="15" customHeight="1" x14ac:dyDescent="0.25">
      <c r="J299" s="48"/>
      <c r="K299" s="17"/>
      <c r="L299" s="49"/>
    </row>
    <row r="300" spans="10:12" ht="15" customHeight="1" x14ac:dyDescent="0.25">
      <c r="J300" s="48"/>
      <c r="K300" s="17"/>
      <c r="L300" s="49"/>
    </row>
    <row r="301" spans="10:12" ht="15" customHeight="1" x14ac:dyDescent="0.25">
      <c r="J301" s="48"/>
      <c r="K301" s="17"/>
      <c r="L301" s="49"/>
    </row>
    <row r="302" spans="10:12" ht="15" customHeight="1" x14ac:dyDescent="0.25">
      <c r="J302" s="48"/>
      <c r="K302" s="17"/>
      <c r="L302" s="49"/>
    </row>
    <row r="303" spans="10:12" ht="15" customHeight="1" x14ac:dyDescent="0.25">
      <c r="J303" s="48"/>
      <c r="K303" s="17"/>
      <c r="L303" s="49"/>
    </row>
    <row r="304" spans="10:12" ht="15" customHeight="1" x14ac:dyDescent="0.25">
      <c r="J304" s="48"/>
      <c r="K304" s="17"/>
      <c r="L304" s="49"/>
    </row>
    <row r="305" spans="10:12" ht="15" customHeight="1" x14ac:dyDescent="0.25">
      <c r="J305" s="48"/>
      <c r="K305" s="17"/>
      <c r="L305" s="49"/>
    </row>
    <row r="306" spans="10:12" ht="15" customHeight="1" x14ac:dyDescent="0.25">
      <c r="J306" s="48"/>
      <c r="K306" s="17"/>
      <c r="L306" s="49"/>
    </row>
    <row r="307" spans="10:12" ht="15" customHeight="1" x14ac:dyDescent="0.25">
      <c r="J307" s="48"/>
      <c r="K307" s="17"/>
      <c r="L307" s="49"/>
    </row>
    <row r="308" spans="10:12" ht="15" customHeight="1" x14ac:dyDescent="0.25">
      <c r="J308" s="48"/>
      <c r="K308" s="17"/>
      <c r="L308" s="49"/>
    </row>
    <row r="309" spans="10:12" ht="15" customHeight="1" x14ac:dyDescent="0.25">
      <c r="J309" s="48"/>
      <c r="K309" s="17"/>
      <c r="L309" s="49"/>
    </row>
    <row r="310" spans="10:12" ht="15" customHeight="1" x14ac:dyDescent="0.25">
      <c r="J310" s="48"/>
      <c r="K310" s="17"/>
      <c r="L310" s="49"/>
    </row>
    <row r="311" spans="10:12" ht="15" customHeight="1" x14ac:dyDescent="0.25">
      <c r="J311" s="48"/>
      <c r="K311" s="17"/>
      <c r="L311" s="49"/>
    </row>
    <row r="312" spans="10:12" ht="15" customHeight="1" x14ac:dyDescent="0.25">
      <c r="J312" s="48"/>
      <c r="K312" s="17"/>
      <c r="L312" s="49"/>
    </row>
    <row r="313" spans="10:12" ht="15" customHeight="1" x14ac:dyDescent="0.25">
      <c r="J313" s="48"/>
      <c r="K313" s="17"/>
      <c r="L313" s="49"/>
    </row>
    <row r="314" spans="10:12" ht="15" customHeight="1" x14ac:dyDescent="0.25">
      <c r="J314" s="48"/>
      <c r="K314" s="17"/>
      <c r="L314" s="49"/>
    </row>
    <row r="315" spans="10:12" ht="15" customHeight="1" x14ac:dyDescent="0.25">
      <c r="J315" s="48"/>
      <c r="K315" s="17"/>
      <c r="L315" s="49"/>
    </row>
    <row r="316" spans="10:12" ht="15" customHeight="1" x14ac:dyDescent="0.25">
      <c r="J316" s="48"/>
      <c r="K316" s="17"/>
      <c r="L316" s="49"/>
    </row>
    <row r="317" spans="10:12" ht="15" customHeight="1" x14ac:dyDescent="0.25">
      <c r="J317" s="48"/>
      <c r="K317" s="17"/>
      <c r="L317" s="49"/>
    </row>
    <row r="318" spans="10:12" ht="15" customHeight="1" x14ac:dyDescent="0.25">
      <c r="J318" s="48"/>
      <c r="K318" s="17"/>
      <c r="L318" s="49"/>
    </row>
    <row r="319" spans="10:12" ht="15" customHeight="1" x14ac:dyDescent="0.25">
      <c r="J319" s="16"/>
      <c r="K319" s="17"/>
      <c r="L319" s="49"/>
    </row>
    <row r="320" spans="10:12" ht="15" customHeight="1" x14ac:dyDescent="0.25">
      <c r="J320" s="16"/>
      <c r="K320" s="17"/>
      <c r="L320" s="49"/>
    </row>
    <row r="321" spans="10:12" ht="15" customHeight="1" x14ac:dyDescent="0.25">
      <c r="J321" s="16"/>
      <c r="K321" s="17"/>
      <c r="L321" s="49"/>
    </row>
    <row r="322" spans="10:12" ht="15" customHeight="1" x14ac:dyDescent="0.25">
      <c r="J322" s="16"/>
      <c r="K322" s="17"/>
      <c r="L322" s="49"/>
    </row>
    <row r="323" spans="10:12" ht="15" customHeight="1" x14ac:dyDescent="0.25">
      <c r="J323" s="16"/>
      <c r="K323" s="17"/>
      <c r="L323" s="49"/>
    </row>
    <row r="324" spans="10:12" ht="15" customHeight="1" x14ac:dyDescent="0.25">
      <c r="J324" s="16"/>
      <c r="K324" s="17"/>
      <c r="L324" s="49"/>
    </row>
    <row r="325" spans="10:12" ht="15" customHeight="1" x14ac:dyDescent="0.25">
      <c r="J325" s="16"/>
      <c r="K325" s="17"/>
      <c r="L325" s="49"/>
    </row>
    <row r="326" spans="10:12" ht="15" customHeight="1" x14ac:dyDescent="0.25">
      <c r="J326" s="16"/>
      <c r="K326" s="17"/>
      <c r="L326" s="49"/>
    </row>
    <row r="327" spans="10:12" ht="15" customHeight="1" x14ac:dyDescent="0.25">
      <c r="J327" s="16"/>
      <c r="K327" s="17"/>
      <c r="L327" s="49"/>
    </row>
    <row r="328" spans="10:12" ht="15" customHeight="1" x14ac:dyDescent="0.25">
      <c r="J328" s="16"/>
      <c r="K328" s="17"/>
      <c r="L328" s="49"/>
    </row>
    <row r="329" spans="10:12" ht="15" customHeight="1" x14ac:dyDescent="0.25">
      <c r="J329" s="16"/>
      <c r="K329" s="17"/>
      <c r="L329" s="49"/>
    </row>
    <row r="330" spans="10:12" ht="15" customHeight="1" x14ac:dyDescent="0.25">
      <c r="J330" s="16"/>
      <c r="K330" s="17"/>
      <c r="L330" s="49"/>
    </row>
    <row r="331" spans="10:12" ht="15" customHeight="1" x14ac:dyDescent="0.25">
      <c r="J331" s="16"/>
      <c r="K331" s="17"/>
      <c r="L331" s="49"/>
    </row>
    <row r="332" spans="10:12" ht="15" customHeight="1" x14ac:dyDescent="0.25">
      <c r="J332" s="16"/>
      <c r="K332" s="17"/>
      <c r="L332" s="49"/>
    </row>
    <row r="333" spans="10:12" ht="15" customHeight="1" x14ac:dyDescent="0.25">
      <c r="J333" s="16"/>
      <c r="K333" s="17"/>
      <c r="L333" s="49"/>
    </row>
    <row r="334" spans="10:12" ht="15" customHeight="1" x14ac:dyDescent="0.25">
      <c r="J334" s="16"/>
      <c r="K334" s="17"/>
      <c r="L334" s="49"/>
    </row>
    <row r="335" spans="10:12" ht="15" customHeight="1" x14ac:dyDescent="0.25">
      <c r="J335" s="16"/>
      <c r="K335" s="17"/>
      <c r="L335" s="49"/>
    </row>
    <row r="336" spans="10:12" ht="15" customHeight="1" x14ac:dyDescent="0.25">
      <c r="J336" s="16"/>
      <c r="K336" s="17"/>
      <c r="L336" s="49"/>
    </row>
    <row r="337" spans="10:12" ht="15" customHeight="1" x14ac:dyDescent="0.25">
      <c r="J337" s="16"/>
      <c r="K337" s="17"/>
      <c r="L337" s="49"/>
    </row>
    <row r="338" spans="10:12" ht="15" customHeight="1" x14ac:dyDescent="0.25">
      <c r="J338" s="16"/>
      <c r="K338" s="17"/>
      <c r="L338" s="49"/>
    </row>
    <row r="339" spans="10:12" ht="15" customHeight="1" x14ac:dyDescent="0.25">
      <c r="J339" s="16"/>
      <c r="K339" s="17"/>
      <c r="L339" s="49"/>
    </row>
    <row r="340" spans="10:12" ht="15" customHeight="1" x14ac:dyDescent="0.25">
      <c r="J340" s="16"/>
      <c r="K340" s="17"/>
      <c r="L340" s="49"/>
    </row>
    <row r="341" spans="10:12" ht="15" customHeight="1" x14ac:dyDescent="0.25">
      <c r="J341" s="16"/>
      <c r="K341" s="17"/>
      <c r="L341" s="49"/>
    </row>
    <row r="342" spans="10:12" ht="15" customHeight="1" x14ac:dyDescent="0.25">
      <c r="J342" s="16"/>
      <c r="K342" s="17"/>
      <c r="L342" s="49"/>
    </row>
    <row r="343" spans="10:12" ht="15" customHeight="1" x14ac:dyDescent="0.25">
      <c r="J343" s="16"/>
      <c r="K343" s="17"/>
      <c r="L343" s="49"/>
    </row>
    <row r="344" spans="10:12" ht="15" customHeight="1" x14ac:dyDescent="0.25">
      <c r="J344" s="16"/>
      <c r="K344" s="17"/>
      <c r="L344" s="49"/>
    </row>
    <row r="345" spans="10:12" ht="15" customHeight="1" x14ac:dyDescent="0.25">
      <c r="J345" s="16"/>
      <c r="K345" s="17"/>
      <c r="L345" s="49"/>
    </row>
    <row r="346" spans="10:12" ht="15" customHeight="1" x14ac:dyDescent="0.25">
      <c r="J346" s="16"/>
      <c r="K346" s="17"/>
      <c r="L346" s="49"/>
    </row>
    <row r="347" spans="10:12" ht="15" customHeight="1" x14ac:dyDescent="0.25">
      <c r="J347" s="16"/>
      <c r="K347" s="17"/>
      <c r="L347" s="49"/>
    </row>
    <row r="348" spans="10:12" ht="15" customHeight="1" x14ac:dyDescent="0.25">
      <c r="J348" s="16"/>
      <c r="K348" s="17"/>
      <c r="L348" s="49"/>
    </row>
    <row r="349" spans="10:12" ht="15" customHeight="1" x14ac:dyDescent="0.25">
      <c r="J349" s="16"/>
      <c r="K349" s="17"/>
      <c r="L349" s="49"/>
    </row>
    <row r="350" spans="10:12" ht="15" customHeight="1" x14ac:dyDescent="0.25">
      <c r="J350" s="16"/>
      <c r="K350" s="17"/>
      <c r="L350" s="49"/>
    </row>
    <row r="351" spans="10:12" ht="15" customHeight="1" x14ac:dyDescent="0.25">
      <c r="J351" s="16"/>
      <c r="K351" s="17"/>
      <c r="L351" s="49"/>
    </row>
    <row r="352" spans="10:12" ht="15" customHeight="1" x14ac:dyDescent="0.25">
      <c r="J352" s="16"/>
      <c r="K352" s="17"/>
      <c r="L352" s="49"/>
    </row>
    <row r="353" spans="10:12" ht="15" customHeight="1" x14ac:dyDescent="0.25">
      <c r="J353" s="16"/>
      <c r="K353" s="17"/>
      <c r="L353" s="49"/>
    </row>
    <row r="354" spans="10:12" ht="15" customHeight="1" x14ac:dyDescent="0.25">
      <c r="J354" s="16"/>
      <c r="K354" s="17"/>
      <c r="L354" s="49"/>
    </row>
  </sheetData>
  <autoFilter ref="A5:R113" xr:uid="{00000000-0009-0000-0000-000012000000}">
    <filterColumn colId="11" showButton="0"/>
  </autoFilter>
  <mergeCells count="21">
    <mergeCell ref="A2:F3"/>
    <mergeCell ref="G2:I3"/>
    <mergeCell ref="J2:L3"/>
    <mergeCell ref="M2:N3"/>
    <mergeCell ref="A1:N1"/>
    <mergeCell ref="O1:P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M5"/>
    <mergeCell ref="O2:P3"/>
    <mergeCell ref="O4:P5"/>
    <mergeCell ref="N4:N5"/>
  </mergeCells>
  <conditionalFormatting sqref="G7:I17 A7:A17 C7:C17 C21:C30 A21:A58 G21:G23 I21:I23 K7:L32 C31:E58 C59:C61 G24:I48 G49:G58 H49:I68 I62:I113">
    <cfRule type="expression" dxfId="5468" priority="640">
      <formula>AND($A7&lt;&gt;"",MOD(ROW(),2))</formula>
    </cfRule>
  </conditionalFormatting>
  <conditionalFormatting sqref="D31:D58">
    <cfRule type="cellIs" dxfId="5467" priority="637" operator="equal">
      <formula>$C31</formula>
    </cfRule>
    <cfRule type="cellIs" dxfId="5466" priority="638" operator="greaterThan">
      <formula>$C31</formula>
    </cfRule>
    <cfRule type="cellIs" dxfId="5465" priority="639" operator="lessThan">
      <formula>$C31</formula>
    </cfRule>
  </conditionalFormatting>
  <conditionalFormatting sqref="M7:M58">
    <cfRule type="expression" dxfId="5464" priority="633">
      <formula>AND($A7&lt;&gt;"",MOD(ROW(),2))</formula>
    </cfRule>
  </conditionalFormatting>
  <conditionalFormatting sqref="K33:L58">
    <cfRule type="expression" dxfId="5463" priority="616">
      <formula>AND($A33&lt;&gt;"",MOD(ROW(),2))</formula>
    </cfRule>
  </conditionalFormatting>
  <conditionalFormatting sqref="K7:K58">
    <cfRule type="cellIs" dxfId="5462" priority="613" operator="equal">
      <formula>$C7</formula>
    </cfRule>
    <cfRule type="cellIs" dxfId="5461" priority="614" operator="greaterThan">
      <formula>$C7</formula>
    </cfRule>
    <cfRule type="cellIs" dxfId="5460" priority="615" operator="lessThan">
      <formula>$C7</formula>
    </cfRule>
  </conditionalFormatting>
  <conditionalFormatting sqref="K59:L84">
    <cfRule type="expression" dxfId="5459" priority="612">
      <formula>AND($A59&lt;&gt;"",MOD(ROW(),2))</formula>
    </cfRule>
  </conditionalFormatting>
  <conditionalFormatting sqref="K59:K84">
    <cfRule type="cellIs" dxfId="5458" priority="609" operator="equal">
      <formula>$C59</formula>
    </cfRule>
    <cfRule type="cellIs" dxfId="5457" priority="610" operator="greaterThan">
      <formula>$C59</formula>
    </cfRule>
    <cfRule type="cellIs" dxfId="5456" priority="611" operator="lessThan">
      <formula>$C59</formula>
    </cfRule>
  </conditionalFormatting>
  <conditionalFormatting sqref="K85:L110">
    <cfRule type="expression" dxfId="5455" priority="608">
      <formula>AND($A85&lt;&gt;"",MOD(ROW(),2))</formula>
    </cfRule>
  </conditionalFormatting>
  <conditionalFormatting sqref="K85:K110">
    <cfRule type="cellIs" dxfId="5454" priority="605" operator="equal">
      <formula>$C85</formula>
    </cfRule>
    <cfRule type="cellIs" dxfId="5453" priority="606" operator="greaterThan">
      <formula>$C85</formula>
    </cfRule>
    <cfRule type="cellIs" dxfId="5452" priority="607" operator="lessThan">
      <formula>$C85</formula>
    </cfRule>
  </conditionalFormatting>
  <conditionalFormatting sqref="K111:L136">
    <cfRule type="expression" dxfId="5451" priority="604">
      <formula>AND($A111&lt;&gt;"",MOD(ROW(),2))</formula>
    </cfRule>
  </conditionalFormatting>
  <conditionalFormatting sqref="K111:K136">
    <cfRule type="cellIs" dxfId="5450" priority="601" operator="equal">
      <formula>$C111</formula>
    </cfRule>
    <cfRule type="cellIs" dxfId="5449" priority="602" operator="greaterThan">
      <formula>$C111</formula>
    </cfRule>
    <cfRule type="cellIs" dxfId="5448" priority="603" operator="lessThan">
      <formula>$C111</formula>
    </cfRule>
  </conditionalFormatting>
  <conditionalFormatting sqref="K137:L162">
    <cfRule type="expression" dxfId="5447" priority="600">
      <formula>AND($A137&lt;&gt;"",MOD(ROW(),2))</formula>
    </cfRule>
  </conditionalFormatting>
  <conditionalFormatting sqref="K137:K162">
    <cfRule type="cellIs" dxfId="5446" priority="597" operator="equal">
      <formula>$C137</formula>
    </cfRule>
    <cfRule type="cellIs" dxfId="5445" priority="598" operator="greaterThan">
      <formula>$C137</formula>
    </cfRule>
    <cfRule type="cellIs" dxfId="5444" priority="599" operator="lessThan">
      <formula>$C137</formula>
    </cfRule>
  </conditionalFormatting>
  <conditionalFormatting sqref="K163:L188">
    <cfRule type="expression" dxfId="5443" priority="596">
      <formula>AND($A163&lt;&gt;"",MOD(ROW(),2))</formula>
    </cfRule>
  </conditionalFormatting>
  <conditionalFormatting sqref="K163:K188">
    <cfRule type="cellIs" dxfId="5442" priority="593" operator="equal">
      <formula>$C163</formula>
    </cfRule>
    <cfRule type="cellIs" dxfId="5441" priority="594" operator="greaterThan">
      <formula>$C163</formula>
    </cfRule>
    <cfRule type="cellIs" dxfId="5440" priority="595" operator="lessThan">
      <formula>$C163</formula>
    </cfRule>
  </conditionalFormatting>
  <conditionalFormatting sqref="K189:L214">
    <cfRule type="expression" dxfId="5439" priority="592">
      <formula>AND($A189&lt;&gt;"",MOD(ROW(),2))</formula>
    </cfRule>
  </conditionalFormatting>
  <conditionalFormatting sqref="K189:K214">
    <cfRule type="cellIs" dxfId="5438" priority="589" operator="equal">
      <formula>$C189</formula>
    </cfRule>
    <cfRule type="cellIs" dxfId="5437" priority="590" operator="greaterThan">
      <formula>$C189</formula>
    </cfRule>
    <cfRule type="cellIs" dxfId="5436" priority="591" operator="lessThan">
      <formula>$C189</formula>
    </cfRule>
  </conditionalFormatting>
  <conditionalFormatting sqref="K215:L240">
    <cfRule type="expression" dxfId="5435" priority="588">
      <formula>AND($A215&lt;&gt;"",MOD(ROW(),2))</formula>
    </cfRule>
  </conditionalFormatting>
  <conditionalFormatting sqref="K215:K240">
    <cfRule type="cellIs" dxfId="5434" priority="585" operator="equal">
      <formula>$C215</formula>
    </cfRule>
    <cfRule type="cellIs" dxfId="5433" priority="586" operator="greaterThan">
      <formula>$C215</formula>
    </cfRule>
    <cfRule type="cellIs" dxfId="5432" priority="587" operator="lessThan">
      <formula>$C215</formula>
    </cfRule>
  </conditionalFormatting>
  <conditionalFormatting sqref="K241:L266">
    <cfRule type="expression" dxfId="5431" priority="584">
      <formula>AND($A241&lt;&gt;"",MOD(ROW(),2))</formula>
    </cfRule>
  </conditionalFormatting>
  <conditionalFormatting sqref="K241:K266">
    <cfRule type="cellIs" dxfId="5430" priority="581" operator="equal">
      <formula>$C241</formula>
    </cfRule>
    <cfRule type="cellIs" dxfId="5429" priority="582" operator="greaterThan">
      <formula>$C241</formula>
    </cfRule>
    <cfRule type="cellIs" dxfId="5428" priority="583" operator="lessThan">
      <formula>$C241</formula>
    </cfRule>
  </conditionalFormatting>
  <conditionalFormatting sqref="K267:L292">
    <cfRule type="expression" dxfId="5427" priority="580">
      <formula>AND($A267&lt;&gt;"",MOD(ROW(),2))</formula>
    </cfRule>
  </conditionalFormatting>
  <conditionalFormatting sqref="K267:K292">
    <cfRule type="cellIs" dxfId="5426" priority="577" operator="equal">
      <formula>$C267</formula>
    </cfRule>
    <cfRule type="cellIs" dxfId="5425" priority="578" operator="greaterThan">
      <formula>$C267</formula>
    </cfRule>
    <cfRule type="cellIs" dxfId="5424" priority="579" operator="lessThan">
      <formula>$C267</formula>
    </cfRule>
  </conditionalFormatting>
  <conditionalFormatting sqref="K293:L318">
    <cfRule type="expression" dxfId="5423" priority="576">
      <formula>AND($A293&lt;&gt;"",MOD(ROW(),2))</formula>
    </cfRule>
  </conditionalFormatting>
  <conditionalFormatting sqref="K293:K318">
    <cfRule type="cellIs" dxfId="5422" priority="573" operator="equal">
      <formula>$C293</formula>
    </cfRule>
    <cfRule type="cellIs" dxfId="5421" priority="574" operator="greaterThan">
      <formula>$C293</formula>
    </cfRule>
    <cfRule type="cellIs" dxfId="5420" priority="575" operator="lessThan">
      <formula>$C293</formula>
    </cfRule>
  </conditionalFormatting>
  <conditionalFormatting sqref="F31:F2989">
    <cfRule type="containsText" dxfId="5419" priority="572" operator="containsText" text="Unpaid Rent">
      <formula>NOT(ISERROR(SEARCH("Unpaid Rent",F31)))</formula>
    </cfRule>
    <cfRule type="containsText" dxfId="5418" priority="617" stopIfTrue="1" operator="containsText" text="Closed Account">
      <formula>NOT(ISERROR(SEARCH("Closed Account",F31)))</formula>
    </cfRule>
  </conditionalFormatting>
  <conditionalFormatting sqref="M33:M58 L33:L318 L7:M32">
    <cfRule type="expression" dxfId="5417" priority="635">
      <formula>AND(#REF!&lt;&gt;"",MOD(ROW(),2))</formula>
    </cfRule>
  </conditionalFormatting>
  <conditionalFormatting sqref="M33:M58 L33:L318 L7:M32">
    <cfRule type="expression" dxfId="5416" priority="634">
      <formula>AND(#REF!&lt;&gt;"",MOD(ROW(),2))</formula>
    </cfRule>
  </conditionalFormatting>
  <conditionalFormatting sqref="M7:M58">
    <cfRule type="cellIs" dxfId="5415" priority="630" operator="equal">
      <formula>#REF!</formula>
    </cfRule>
    <cfRule type="cellIs" dxfId="5414" priority="631" operator="greaterThan">
      <formula>#REF!</formula>
    </cfRule>
    <cfRule type="cellIs" dxfId="5413" priority="632" operator="lessThan">
      <formula>#REF!</formula>
    </cfRule>
  </conditionalFormatting>
  <conditionalFormatting sqref="K319:L321">
    <cfRule type="expression" dxfId="5412" priority="566">
      <formula>AND($A319&lt;&gt;"",MOD(ROW(),2))</formula>
    </cfRule>
  </conditionalFormatting>
  <conditionalFormatting sqref="K319:K321">
    <cfRule type="cellIs" dxfId="5411" priority="563" operator="equal">
      <formula>$C319</formula>
    </cfRule>
    <cfRule type="cellIs" dxfId="5410" priority="564" operator="greaterThan">
      <formula>$C319</formula>
    </cfRule>
    <cfRule type="cellIs" dxfId="5409" priority="565" operator="lessThan">
      <formula>$C319</formula>
    </cfRule>
  </conditionalFormatting>
  <conditionalFormatting sqref="L319:L321">
    <cfRule type="expression" dxfId="5408" priority="568">
      <formula>AND(#REF!&lt;&gt;"",MOD(ROW(),2))</formula>
    </cfRule>
  </conditionalFormatting>
  <conditionalFormatting sqref="L319:L321">
    <cfRule type="expression" dxfId="5407" priority="567">
      <formula>AND(#REF!&lt;&gt;"",MOD(ROW(),2))</formula>
    </cfRule>
  </conditionalFormatting>
  <conditionalFormatting sqref="K322:L324">
    <cfRule type="expression" dxfId="5406" priority="560">
      <formula>AND($A322&lt;&gt;"",MOD(ROW(),2))</formula>
    </cfRule>
  </conditionalFormatting>
  <conditionalFormatting sqref="K322:K324">
    <cfRule type="cellIs" dxfId="5405" priority="557" operator="equal">
      <formula>$C322</formula>
    </cfRule>
    <cfRule type="cellIs" dxfId="5404" priority="558" operator="greaterThan">
      <formula>$C322</formula>
    </cfRule>
    <cfRule type="cellIs" dxfId="5403" priority="559" operator="lessThan">
      <formula>$C322</formula>
    </cfRule>
  </conditionalFormatting>
  <conditionalFormatting sqref="L322:L324">
    <cfRule type="expression" dxfId="5402" priority="562">
      <formula>AND(#REF!&lt;&gt;"",MOD(ROW(),2))</formula>
    </cfRule>
  </conditionalFormatting>
  <conditionalFormatting sqref="L322:L324">
    <cfRule type="expression" dxfId="5401" priority="561">
      <formula>AND(#REF!&lt;&gt;"",MOD(ROW(),2))</formula>
    </cfRule>
  </conditionalFormatting>
  <conditionalFormatting sqref="K325:L327">
    <cfRule type="expression" dxfId="5400" priority="554">
      <formula>AND($A325&lt;&gt;"",MOD(ROW(),2))</formula>
    </cfRule>
  </conditionalFormatting>
  <conditionalFormatting sqref="K325:K327">
    <cfRule type="cellIs" dxfId="5399" priority="551" operator="equal">
      <formula>$C325</formula>
    </cfRule>
    <cfRule type="cellIs" dxfId="5398" priority="552" operator="greaterThan">
      <formula>$C325</formula>
    </cfRule>
    <cfRule type="cellIs" dxfId="5397" priority="553" operator="lessThan">
      <formula>$C325</formula>
    </cfRule>
  </conditionalFormatting>
  <conditionalFormatting sqref="L325:L327">
    <cfRule type="expression" dxfId="5396" priority="556">
      <formula>AND(#REF!&lt;&gt;"",MOD(ROW(),2))</formula>
    </cfRule>
  </conditionalFormatting>
  <conditionalFormatting sqref="L325:L327">
    <cfRule type="expression" dxfId="5395" priority="555">
      <formula>AND(#REF!&lt;&gt;"",MOD(ROW(),2))</formula>
    </cfRule>
  </conditionalFormatting>
  <conditionalFormatting sqref="K328:L330">
    <cfRule type="expression" dxfId="5394" priority="548">
      <formula>AND($A328&lt;&gt;"",MOD(ROW(),2))</formula>
    </cfRule>
  </conditionalFormatting>
  <conditionalFormatting sqref="K328:K330">
    <cfRule type="cellIs" dxfId="5393" priority="545" operator="equal">
      <formula>$C328</formula>
    </cfRule>
    <cfRule type="cellIs" dxfId="5392" priority="546" operator="greaterThan">
      <formula>$C328</formula>
    </cfRule>
    <cfRule type="cellIs" dxfId="5391" priority="547" operator="lessThan">
      <formula>$C328</formula>
    </cfRule>
  </conditionalFormatting>
  <conditionalFormatting sqref="L328:L330">
    <cfRule type="expression" dxfId="5390" priority="550">
      <formula>AND(#REF!&lt;&gt;"",MOD(ROW(),2))</formula>
    </cfRule>
  </conditionalFormatting>
  <conditionalFormatting sqref="L328:L330">
    <cfRule type="expression" dxfId="5389" priority="549">
      <formula>AND(#REF!&lt;&gt;"",MOD(ROW(),2))</formula>
    </cfRule>
  </conditionalFormatting>
  <conditionalFormatting sqref="K331:L333">
    <cfRule type="expression" dxfId="5388" priority="542">
      <formula>AND($A331&lt;&gt;"",MOD(ROW(),2))</formula>
    </cfRule>
  </conditionalFormatting>
  <conditionalFormatting sqref="K331:K333">
    <cfRule type="cellIs" dxfId="5387" priority="539" operator="equal">
      <formula>$C331</formula>
    </cfRule>
    <cfRule type="cellIs" dxfId="5386" priority="540" operator="greaterThan">
      <formula>$C331</formula>
    </cfRule>
    <cfRule type="cellIs" dxfId="5385" priority="541" operator="lessThan">
      <formula>$C331</formula>
    </cfRule>
  </conditionalFormatting>
  <conditionalFormatting sqref="L331:L333">
    <cfRule type="expression" dxfId="5384" priority="544">
      <formula>AND(#REF!&lt;&gt;"",MOD(ROW(),2))</formula>
    </cfRule>
  </conditionalFormatting>
  <conditionalFormatting sqref="L331:L333">
    <cfRule type="expression" dxfId="5383" priority="543">
      <formula>AND(#REF!&lt;&gt;"",MOD(ROW(),2))</formula>
    </cfRule>
  </conditionalFormatting>
  <conditionalFormatting sqref="K334:L336">
    <cfRule type="expression" dxfId="5382" priority="536">
      <formula>AND($A334&lt;&gt;"",MOD(ROW(),2))</formula>
    </cfRule>
  </conditionalFormatting>
  <conditionalFormatting sqref="K334:K336">
    <cfRule type="cellIs" dxfId="5381" priority="533" operator="equal">
      <formula>$C334</formula>
    </cfRule>
    <cfRule type="cellIs" dxfId="5380" priority="534" operator="greaterThan">
      <formula>$C334</formula>
    </cfRule>
    <cfRule type="cellIs" dxfId="5379" priority="535" operator="lessThan">
      <formula>$C334</formula>
    </cfRule>
  </conditionalFormatting>
  <conditionalFormatting sqref="L334:L336">
    <cfRule type="expression" dxfId="5378" priority="538">
      <formula>AND(#REF!&lt;&gt;"",MOD(ROW(),2))</formula>
    </cfRule>
  </conditionalFormatting>
  <conditionalFormatting sqref="L334:L336">
    <cfRule type="expression" dxfId="5377" priority="537">
      <formula>AND(#REF!&lt;&gt;"",MOD(ROW(),2))</formula>
    </cfRule>
  </conditionalFormatting>
  <conditionalFormatting sqref="K337:L339">
    <cfRule type="expression" dxfId="5376" priority="530">
      <formula>AND($A337&lt;&gt;"",MOD(ROW(),2))</formula>
    </cfRule>
  </conditionalFormatting>
  <conditionalFormatting sqref="K337:K339">
    <cfRule type="cellIs" dxfId="5375" priority="527" operator="equal">
      <formula>$C337</formula>
    </cfRule>
    <cfRule type="cellIs" dxfId="5374" priority="528" operator="greaterThan">
      <formula>$C337</formula>
    </cfRule>
    <cfRule type="cellIs" dxfId="5373" priority="529" operator="lessThan">
      <formula>$C337</formula>
    </cfRule>
  </conditionalFormatting>
  <conditionalFormatting sqref="L337:L339">
    <cfRule type="expression" dxfId="5372" priority="532">
      <formula>AND(#REF!&lt;&gt;"",MOD(ROW(),2))</formula>
    </cfRule>
  </conditionalFormatting>
  <conditionalFormatting sqref="L337:L339">
    <cfRule type="expression" dxfId="5371" priority="531">
      <formula>AND(#REF!&lt;&gt;"",MOD(ROW(),2))</formula>
    </cfRule>
  </conditionalFormatting>
  <conditionalFormatting sqref="K340:L342">
    <cfRule type="expression" dxfId="5370" priority="524">
      <formula>AND($A340&lt;&gt;"",MOD(ROW(),2))</formula>
    </cfRule>
  </conditionalFormatting>
  <conditionalFormatting sqref="K340:K342">
    <cfRule type="cellIs" dxfId="5369" priority="521" operator="equal">
      <formula>$C340</formula>
    </cfRule>
    <cfRule type="cellIs" dxfId="5368" priority="522" operator="greaterThan">
      <formula>$C340</formula>
    </cfRule>
    <cfRule type="cellIs" dxfId="5367" priority="523" operator="lessThan">
      <formula>$C340</formula>
    </cfRule>
  </conditionalFormatting>
  <conditionalFormatting sqref="L340:L342">
    <cfRule type="expression" dxfId="5366" priority="526">
      <formula>AND(#REF!&lt;&gt;"",MOD(ROW(),2))</formula>
    </cfRule>
  </conditionalFormatting>
  <conditionalFormatting sqref="L340:L342">
    <cfRule type="expression" dxfId="5365" priority="525">
      <formula>AND(#REF!&lt;&gt;"",MOD(ROW(),2))</formula>
    </cfRule>
  </conditionalFormatting>
  <conditionalFormatting sqref="K343:L345">
    <cfRule type="expression" dxfId="5364" priority="518">
      <formula>AND($A343&lt;&gt;"",MOD(ROW(),2))</formula>
    </cfRule>
  </conditionalFormatting>
  <conditionalFormatting sqref="K343:K345">
    <cfRule type="cellIs" dxfId="5363" priority="515" operator="equal">
      <formula>$C343</formula>
    </cfRule>
    <cfRule type="cellIs" dxfId="5362" priority="516" operator="greaterThan">
      <formula>$C343</formula>
    </cfRule>
    <cfRule type="cellIs" dxfId="5361" priority="517" operator="lessThan">
      <formula>$C343</formula>
    </cfRule>
  </conditionalFormatting>
  <conditionalFormatting sqref="L343:L345">
    <cfRule type="expression" dxfId="5360" priority="520">
      <formula>AND(#REF!&lt;&gt;"",MOD(ROW(),2))</formula>
    </cfRule>
  </conditionalFormatting>
  <conditionalFormatting sqref="L343:L345">
    <cfRule type="expression" dxfId="5359" priority="519">
      <formula>AND(#REF!&lt;&gt;"",MOD(ROW(),2))</formula>
    </cfRule>
  </conditionalFormatting>
  <conditionalFormatting sqref="K346:L348">
    <cfRule type="expression" dxfId="5358" priority="512">
      <formula>AND($A346&lt;&gt;"",MOD(ROW(),2))</formula>
    </cfRule>
  </conditionalFormatting>
  <conditionalFormatting sqref="K346:K348">
    <cfRule type="cellIs" dxfId="5357" priority="509" operator="equal">
      <formula>$C346</formula>
    </cfRule>
    <cfRule type="cellIs" dxfId="5356" priority="510" operator="greaterThan">
      <formula>$C346</formula>
    </cfRule>
    <cfRule type="cellIs" dxfId="5355" priority="511" operator="lessThan">
      <formula>$C346</formula>
    </cfRule>
  </conditionalFormatting>
  <conditionalFormatting sqref="L346:L348">
    <cfRule type="expression" dxfId="5354" priority="514">
      <formula>AND(#REF!&lt;&gt;"",MOD(ROW(),2))</formula>
    </cfRule>
  </conditionalFormatting>
  <conditionalFormatting sqref="L346:L348">
    <cfRule type="expression" dxfId="5353" priority="513">
      <formula>AND(#REF!&lt;&gt;"",MOD(ROW(),2))</formula>
    </cfRule>
  </conditionalFormatting>
  <conditionalFormatting sqref="K349:L351">
    <cfRule type="expression" dxfId="5352" priority="506">
      <formula>AND($A349&lt;&gt;"",MOD(ROW(),2))</formula>
    </cfRule>
  </conditionalFormatting>
  <conditionalFormatting sqref="K349:K351">
    <cfRule type="cellIs" dxfId="5351" priority="503" operator="equal">
      <formula>$C349</formula>
    </cfRule>
    <cfRule type="cellIs" dxfId="5350" priority="504" operator="greaterThan">
      <formula>$C349</formula>
    </cfRule>
    <cfRule type="cellIs" dxfId="5349" priority="505" operator="lessThan">
      <formula>$C349</formula>
    </cfRule>
  </conditionalFormatting>
  <conditionalFormatting sqref="L349:L351">
    <cfRule type="expression" dxfId="5348" priority="508">
      <formula>AND(#REF!&lt;&gt;"",MOD(ROW(),2))</formula>
    </cfRule>
  </conditionalFormatting>
  <conditionalFormatting sqref="L349:L351">
    <cfRule type="expression" dxfId="5347" priority="507">
      <formula>AND(#REF!&lt;&gt;"",MOD(ROW(),2))</formula>
    </cfRule>
  </conditionalFormatting>
  <conditionalFormatting sqref="K352:L354">
    <cfRule type="expression" dxfId="5346" priority="500">
      <formula>AND($A352&lt;&gt;"",MOD(ROW(),2))</formula>
    </cfRule>
  </conditionalFormatting>
  <conditionalFormatting sqref="K352:K354">
    <cfRule type="cellIs" dxfId="5345" priority="497" operator="equal">
      <formula>$C352</formula>
    </cfRule>
    <cfRule type="cellIs" dxfId="5344" priority="498" operator="greaterThan">
      <formula>$C352</formula>
    </cfRule>
    <cfRule type="cellIs" dxfId="5343" priority="499" operator="lessThan">
      <formula>$C352</formula>
    </cfRule>
  </conditionalFormatting>
  <conditionalFormatting sqref="L352:L354">
    <cfRule type="expression" dxfId="5342" priority="502">
      <formula>AND(#REF!&lt;&gt;"",MOD(ROW(),2))</formula>
    </cfRule>
  </conditionalFormatting>
  <conditionalFormatting sqref="L352:L354">
    <cfRule type="expression" dxfId="5341" priority="501">
      <formula>AND(#REF!&lt;&gt;"",MOD(ROW(),2))</formula>
    </cfRule>
  </conditionalFormatting>
  <conditionalFormatting sqref="D7:E7">
    <cfRule type="expression" dxfId="5340" priority="352">
      <formula>AND($A7&lt;&gt;"",MOD(ROW(),2))</formula>
    </cfRule>
  </conditionalFormatting>
  <conditionalFormatting sqref="D7">
    <cfRule type="cellIs" dxfId="5339" priority="349" operator="equal">
      <formula>$C7</formula>
    </cfRule>
    <cfRule type="cellIs" dxfId="5338" priority="350" operator="greaterThan">
      <formula>$C7</formula>
    </cfRule>
    <cfRule type="cellIs" dxfId="5337" priority="351" operator="lessThan">
      <formula>$C7</formula>
    </cfRule>
  </conditionalFormatting>
  <conditionalFormatting sqref="D8:E8">
    <cfRule type="expression" dxfId="5336" priority="346">
      <formula>AND($A8&lt;&gt;"",MOD(ROW(),2))</formula>
    </cfRule>
  </conditionalFormatting>
  <conditionalFormatting sqref="D8">
    <cfRule type="cellIs" dxfId="5335" priority="343" operator="equal">
      <formula>$C8</formula>
    </cfRule>
    <cfRule type="cellIs" dxfId="5334" priority="344" operator="greaterThan">
      <formula>$C8</formula>
    </cfRule>
    <cfRule type="cellIs" dxfId="5333" priority="345" operator="lessThan">
      <formula>$C8</formula>
    </cfRule>
  </conditionalFormatting>
  <conditionalFormatting sqref="D9:E9">
    <cfRule type="expression" dxfId="5332" priority="342">
      <formula>AND($A9&lt;&gt;"",MOD(ROW(),2))</formula>
    </cfRule>
  </conditionalFormatting>
  <conditionalFormatting sqref="D9">
    <cfRule type="cellIs" dxfId="5331" priority="339" operator="equal">
      <formula>$C9</formula>
    </cfRule>
    <cfRule type="cellIs" dxfId="5330" priority="340" operator="greaterThan">
      <formula>$C9</formula>
    </cfRule>
    <cfRule type="cellIs" dxfId="5329" priority="341" operator="lessThan">
      <formula>$C9</formula>
    </cfRule>
  </conditionalFormatting>
  <conditionalFormatting sqref="D10:E10">
    <cfRule type="expression" dxfId="5328" priority="338">
      <formula>AND($A10&lt;&gt;"",MOD(ROW(),2))</formula>
    </cfRule>
  </conditionalFormatting>
  <conditionalFormatting sqref="D10">
    <cfRule type="cellIs" dxfId="5327" priority="335" operator="equal">
      <formula>$C10</formula>
    </cfRule>
    <cfRule type="cellIs" dxfId="5326" priority="336" operator="greaterThan">
      <formula>$C10</formula>
    </cfRule>
    <cfRule type="cellIs" dxfId="5325" priority="337" operator="lessThan">
      <formula>$C10</formula>
    </cfRule>
  </conditionalFormatting>
  <conditionalFormatting sqref="D11:E11">
    <cfRule type="expression" dxfId="5324" priority="334">
      <formula>AND($A11&lt;&gt;"",MOD(ROW(),2))</formula>
    </cfRule>
  </conditionalFormatting>
  <conditionalFormatting sqref="D11">
    <cfRule type="cellIs" dxfId="5323" priority="331" operator="equal">
      <formula>$C11</formula>
    </cfRule>
    <cfRule type="cellIs" dxfId="5322" priority="332" operator="greaterThan">
      <formula>$C11</formula>
    </cfRule>
    <cfRule type="cellIs" dxfId="5321" priority="333" operator="lessThan">
      <formula>$C11</formula>
    </cfRule>
  </conditionalFormatting>
  <conditionalFormatting sqref="D12:E12">
    <cfRule type="expression" dxfId="5320" priority="330">
      <formula>AND($A12&lt;&gt;"",MOD(ROW(),2))</formula>
    </cfRule>
  </conditionalFormatting>
  <conditionalFormatting sqref="D12">
    <cfRule type="cellIs" dxfId="5319" priority="327" operator="equal">
      <formula>$C12</formula>
    </cfRule>
    <cfRule type="cellIs" dxfId="5318" priority="328" operator="greaterThan">
      <formula>$C12</formula>
    </cfRule>
    <cfRule type="cellIs" dxfId="5317" priority="329" operator="lessThan">
      <formula>$C12</formula>
    </cfRule>
  </conditionalFormatting>
  <conditionalFormatting sqref="D13:E13">
    <cfRule type="expression" dxfId="5316" priority="326">
      <formula>AND($A13&lt;&gt;"",MOD(ROW(),2))</formula>
    </cfRule>
  </conditionalFormatting>
  <conditionalFormatting sqref="D13">
    <cfRule type="cellIs" dxfId="5315" priority="323" operator="equal">
      <formula>$C13</formula>
    </cfRule>
    <cfRule type="cellIs" dxfId="5314" priority="324" operator="greaterThan">
      <formula>$C13</formula>
    </cfRule>
    <cfRule type="cellIs" dxfId="5313" priority="325" operator="lessThan">
      <formula>$C13</formula>
    </cfRule>
  </conditionalFormatting>
  <conditionalFormatting sqref="D14:E14">
    <cfRule type="expression" dxfId="5312" priority="322">
      <formula>AND($A14&lt;&gt;"",MOD(ROW(),2))</formula>
    </cfRule>
  </conditionalFormatting>
  <conditionalFormatting sqref="D14">
    <cfRule type="cellIs" dxfId="5311" priority="319" operator="equal">
      <formula>$C14</formula>
    </cfRule>
    <cfRule type="cellIs" dxfId="5310" priority="320" operator="greaterThan">
      <formula>$C14</formula>
    </cfRule>
    <cfRule type="cellIs" dxfId="5309" priority="321" operator="lessThan">
      <formula>$C14</formula>
    </cfRule>
  </conditionalFormatting>
  <conditionalFormatting sqref="D15:E15">
    <cfRule type="expression" dxfId="5308" priority="318">
      <formula>AND($A15&lt;&gt;"",MOD(ROW(),2))</formula>
    </cfRule>
  </conditionalFormatting>
  <conditionalFormatting sqref="D15">
    <cfRule type="cellIs" dxfId="5307" priority="315" operator="equal">
      <formula>$C15</formula>
    </cfRule>
    <cfRule type="cellIs" dxfId="5306" priority="316" operator="greaterThan">
      <formula>$C15</formula>
    </cfRule>
    <cfRule type="cellIs" dxfId="5305" priority="317" operator="lessThan">
      <formula>$C15</formula>
    </cfRule>
  </conditionalFormatting>
  <conditionalFormatting sqref="D16:E16">
    <cfRule type="expression" dxfId="5304" priority="314">
      <formula>AND($A16&lt;&gt;"",MOD(ROW(),2))</formula>
    </cfRule>
  </conditionalFormatting>
  <conditionalFormatting sqref="D16">
    <cfRule type="cellIs" dxfId="5303" priority="311" operator="equal">
      <formula>$C16</formula>
    </cfRule>
    <cfRule type="cellIs" dxfId="5302" priority="312" operator="greaterThan">
      <formula>$C16</formula>
    </cfRule>
    <cfRule type="cellIs" dxfId="5301" priority="313" operator="lessThan">
      <formula>$C16</formula>
    </cfRule>
  </conditionalFormatting>
  <conditionalFormatting sqref="D17:E17">
    <cfRule type="expression" dxfId="5300" priority="310">
      <formula>AND($A17&lt;&gt;"",MOD(ROW(),2))</formula>
    </cfRule>
  </conditionalFormatting>
  <conditionalFormatting sqref="D17">
    <cfRule type="cellIs" dxfId="5299" priority="307" operator="equal">
      <formula>$C17</formula>
    </cfRule>
    <cfRule type="cellIs" dxfId="5298" priority="308" operator="greaterThan">
      <formula>$C17</formula>
    </cfRule>
    <cfRule type="cellIs" dxfId="5297" priority="309" operator="lessThan">
      <formula>$C17</formula>
    </cfRule>
  </conditionalFormatting>
  <conditionalFormatting sqref="F7:F17">
    <cfRule type="containsText" dxfId="5296" priority="279" operator="containsText" text="Unpaid Rent">
      <formula>NOT(ISERROR(SEARCH("Unpaid Rent",F7)))</formula>
    </cfRule>
    <cfRule type="containsText" dxfId="5295" priority="280" stopIfTrue="1" operator="containsText" text="Closed Account">
      <formula>NOT(ISERROR(SEARCH("Closed Account",F7)))</formula>
    </cfRule>
  </conditionalFormatting>
  <conditionalFormatting sqref="F21:F30">
    <cfRule type="containsText" dxfId="5294" priority="277" operator="containsText" text="Unpaid Rent">
      <formula>NOT(ISERROR(SEARCH("Unpaid Rent",F21)))</formula>
    </cfRule>
    <cfRule type="containsText" dxfId="5293" priority="278" stopIfTrue="1" operator="containsText" text="Closed Account">
      <formula>NOT(ISERROR(SEARCH("Closed Account",F21)))</formula>
    </cfRule>
  </conditionalFormatting>
  <conditionalFormatting sqref="D21:E21">
    <cfRule type="expression" dxfId="5292" priority="268">
      <formula>AND($A21&lt;&gt;"",MOD(ROW(),2))</formula>
    </cfRule>
  </conditionalFormatting>
  <conditionalFormatting sqref="D21">
    <cfRule type="cellIs" dxfId="5291" priority="265" operator="equal">
      <formula>$C21</formula>
    </cfRule>
    <cfRule type="cellIs" dxfId="5290" priority="266" operator="greaterThan">
      <formula>$C21</formula>
    </cfRule>
    <cfRule type="cellIs" dxfId="5289" priority="267" operator="lessThan">
      <formula>$C21</formula>
    </cfRule>
  </conditionalFormatting>
  <conditionalFormatting sqref="D22:E22">
    <cfRule type="expression" dxfId="5288" priority="264">
      <formula>AND($A22&lt;&gt;"",MOD(ROW(),2))</formula>
    </cfRule>
  </conditionalFormatting>
  <conditionalFormatting sqref="D22">
    <cfRule type="cellIs" dxfId="5287" priority="261" operator="equal">
      <formula>$C22</formula>
    </cfRule>
    <cfRule type="cellIs" dxfId="5286" priority="262" operator="greaterThan">
      <formula>$C22</formula>
    </cfRule>
    <cfRule type="cellIs" dxfId="5285" priority="263" operator="lessThan">
      <formula>$C22</formula>
    </cfRule>
  </conditionalFormatting>
  <conditionalFormatting sqref="D23:E23">
    <cfRule type="expression" dxfId="5284" priority="260">
      <formula>AND($A23&lt;&gt;"",MOD(ROW(),2))</formula>
    </cfRule>
  </conditionalFormatting>
  <conditionalFormatting sqref="D23">
    <cfRule type="cellIs" dxfId="5283" priority="257" operator="equal">
      <formula>$C23</formula>
    </cfRule>
    <cfRule type="cellIs" dxfId="5282" priority="258" operator="greaterThan">
      <formula>$C23</formula>
    </cfRule>
    <cfRule type="cellIs" dxfId="5281" priority="259" operator="lessThan">
      <formula>$C23</formula>
    </cfRule>
  </conditionalFormatting>
  <conditionalFormatting sqref="D24:E24">
    <cfRule type="expression" dxfId="5280" priority="256">
      <formula>AND($A24&lt;&gt;"",MOD(ROW(),2))</formula>
    </cfRule>
  </conditionalFormatting>
  <conditionalFormatting sqref="D24">
    <cfRule type="cellIs" dxfId="5279" priority="253" operator="equal">
      <formula>$C24</formula>
    </cfRule>
    <cfRule type="cellIs" dxfId="5278" priority="254" operator="greaterThan">
      <formula>$C24</formula>
    </cfRule>
    <cfRule type="cellIs" dxfId="5277" priority="255" operator="lessThan">
      <formula>$C24</formula>
    </cfRule>
  </conditionalFormatting>
  <conditionalFormatting sqref="D25:E25">
    <cfRule type="expression" dxfId="5276" priority="252">
      <formula>AND($A25&lt;&gt;"",MOD(ROW(),2))</formula>
    </cfRule>
  </conditionalFormatting>
  <conditionalFormatting sqref="D25">
    <cfRule type="cellIs" dxfId="5275" priority="249" operator="equal">
      <formula>$C25</formula>
    </cfRule>
    <cfRule type="cellIs" dxfId="5274" priority="250" operator="greaterThan">
      <formula>$C25</formula>
    </cfRule>
    <cfRule type="cellIs" dxfId="5273" priority="251" operator="lessThan">
      <formula>$C25</formula>
    </cfRule>
  </conditionalFormatting>
  <conditionalFormatting sqref="D26:E26">
    <cfRule type="expression" dxfId="5272" priority="248">
      <formula>AND($A26&lt;&gt;"",MOD(ROW(),2))</formula>
    </cfRule>
  </conditionalFormatting>
  <conditionalFormatting sqref="D26">
    <cfRule type="cellIs" dxfId="5271" priority="245" operator="equal">
      <formula>$C26</formula>
    </cfRule>
    <cfRule type="cellIs" dxfId="5270" priority="246" operator="greaterThan">
      <formula>$C26</formula>
    </cfRule>
    <cfRule type="cellIs" dxfId="5269" priority="247" operator="lessThan">
      <formula>$C26</formula>
    </cfRule>
  </conditionalFormatting>
  <conditionalFormatting sqref="D27:E27">
    <cfRule type="expression" dxfId="5268" priority="244">
      <formula>AND($A27&lt;&gt;"",MOD(ROW(),2))</formula>
    </cfRule>
  </conditionalFormatting>
  <conditionalFormatting sqref="D27">
    <cfRule type="cellIs" dxfId="5267" priority="241" operator="equal">
      <formula>$C27</formula>
    </cfRule>
    <cfRule type="cellIs" dxfId="5266" priority="242" operator="greaterThan">
      <formula>$C27</formula>
    </cfRule>
    <cfRule type="cellIs" dxfId="5265" priority="243" operator="lessThan">
      <formula>$C27</formula>
    </cfRule>
  </conditionalFormatting>
  <conditionalFormatting sqref="D28:E28">
    <cfRule type="expression" dxfId="5264" priority="240">
      <formula>AND($A28&lt;&gt;"",MOD(ROW(),2))</formula>
    </cfRule>
  </conditionalFormatting>
  <conditionalFormatting sqref="D28">
    <cfRule type="cellIs" dxfId="5263" priority="237" operator="equal">
      <formula>$C28</formula>
    </cfRule>
    <cfRule type="cellIs" dxfId="5262" priority="238" operator="greaterThan">
      <formula>$C28</formula>
    </cfRule>
    <cfRule type="cellIs" dxfId="5261" priority="239" operator="lessThan">
      <formula>$C28</formula>
    </cfRule>
  </conditionalFormatting>
  <conditionalFormatting sqref="D29:E29">
    <cfRule type="expression" dxfId="5260" priority="236">
      <formula>AND($A29&lt;&gt;"",MOD(ROW(),2))</formula>
    </cfRule>
  </conditionalFormatting>
  <conditionalFormatting sqref="D29">
    <cfRule type="cellIs" dxfId="5259" priority="233" operator="equal">
      <formula>$C29</formula>
    </cfRule>
    <cfRule type="cellIs" dxfId="5258" priority="234" operator="greaterThan">
      <formula>$C29</formula>
    </cfRule>
    <cfRule type="cellIs" dxfId="5257" priority="235" operator="lessThan">
      <formula>$C29</formula>
    </cfRule>
  </conditionalFormatting>
  <conditionalFormatting sqref="D30:E30">
    <cfRule type="expression" dxfId="5256" priority="232">
      <formula>AND($A30&lt;&gt;"",MOD(ROW(),2))</formula>
    </cfRule>
  </conditionalFormatting>
  <conditionalFormatting sqref="D30">
    <cfRule type="cellIs" dxfId="5255" priority="229" operator="equal">
      <formula>$C30</formula>
    </cfRule>
    <cfRule type="cellIs" dxfId="5254" priority="230" operator="greaterThan">
      <formula>$C30</formula>
    </cfRule>
    <cfRule type="cellIs" dxfId="5253" priority="231" operator="lessThan">
      <formula>$C30</formula>
    </cfRule>
  </conditionalFormatting>
  <conditionalFormatting sqref="D8:E8">
    <cfRule type="expression" dxfId="5252" priority="228">
      <formula>AND($A8&lt;&gt;"",MOD(ROW(),2))</formula>
    </cfRule>
  </conditionalFormatting>
  <conditionalFormatting sqref="D8">
    <cfRule type="cellIs" dxfId="5251" priority="225" operator="equal">
      <formula>$C8</formula>
    </cfRule>
    <cfRule type="cellIs" dxfId="5250" priority="226" operator="greaterThan">
      <formula>$C8</formula>
    </cfRule>
    <cfRule type="cellIs" dxfId="5249" priority="227" operator="lessThan">
      <formula>$C8</formula>
    </cfRule>
  </conditionalFormatting>
  <conditionalFormatting sqref="D9:E9">
    <cfRule type="expression" dxfId="5248" priority="224">
      <formula>AND($A9&lt;&gt;"",MOD(ROW(),2))</formula>
    </cfRule>
  </conditionalFormatting>
  <conditionalFormatting sqref="D9">
    <cfRule type="cellIs" dxfId="5247" priority="221" operator="equal">
      <formula>$C9</formula>
    </cfRule>
    <cfRule type="cellIs" dxfId="5246" priority="222" operator="greaterThan">
      <formula>$C9</formula>
    </cfRule>
    <cfRule type="cellIs" dxfId="5245" priority="223" operator="lessThan">
      <formula>$C9</formula>
    </cfRule>
  </conditionalFormatting>
  <conditionalFormatting sqref="D10:E10">
    <cfRule type="expression" dxfId="5244" priority="220">
      <formula>AND($A10&lt;&gt;"",MOD(ROW(),2))</formula>
    </cfRule>
  </conditionalFormatting>
  <conditionalFormatting sqref="D10">
    <cfRule type="cellIs" dxfId="5243" priority="217" operator="equal">
      <formula>$C10</formula>
    </cfRule>
    <cfRule type="cellIs" dxfId="5242" priority="218" operator="greaterThan">
      <formula>$C10</formula>
    </cfRule>
    <cfRule type="cellIs" dxfId="5241" priority="219" operator="lessThan">
      <formula>$C10</formula>
    </cfRule>
  </conditionalFormatting>
  <conditionalFormatting sqref="C18:C20 A18:A20 G18:I20">
    <cfRule type="expression" dxfId="5240" priority="216">
      <formula>AND($A18&lt;&gt;"",MOD(ROW(),2))</formula>
    </cfRule>
  </conditionalFormatting>
  <conditionalFormatting sqref="F18:F20">
    <cfRule type="containsText" dxfId="5239" priority="214" operator="containsText" text="Unpaid Rent">
      <formula>NOT(ISERROR(SEARCH("Unpaid Rent",F18)))</formula>
    </cfRule>
    <cfRule type="containsText" dxfId="5238" priority="215" stopIfTrue="1" operator="containsText" text="Closed Account">
      <formula>NOT(ISERROR(SEARCH("Closed Account",F18)))</formula>
    </cfRule>
  </conditionalFormatting>
  <conditionalFormatting sqref="D18:E18">
    <cfRule type="expression" dxfId="5237" priority="213">
      <formula>AND($A18&lt;&gt;"",MOD(ROW(),2))</formula>
    </cfRule>
  </conditionalFormatting>
  <conditionalFormatting sqref="D18">
    <cfRule type="cellIs" dxfId="5236" priority="210" operator="equal">
      <formula>$C18</formula>
    </cfRule>
    <cfRule type="cellIs" dxfId="5235" priority="211" operator="greaterThan">
      <formula>$C18</formula>
    </cfRule>
    <cfRule type="cellIs" dxfId="5234" priority="212" operator="lessThan">
      <formula>$C18</formula>
    </cfRule>
  </conditionalFormatting>
  <conditionalFormatting sqref="D19:E19">
    <cfRule type="expression" dxfId="5233" priority="209">
      <formula>AND($A19&lt;&gt;"",MOD(ROW(),2))</formula>
    </cfRule>
  </conditionalFormatting>
  <conditionalFormatting sqref="D19">
    <cfRule type="cellIs" dxfId="5232" priority="206" operator="equal">
      <formula>$C19</formula>
    </cfRule>
    <cfRule type="cellIs" dxfId="5231" priority="207" operator="greaterThan">
      <formula>$C19</formula>
    </cfRule>
    <cfRule type="cellIs" dxfId="5230" priority="208" operator="lessThan">
      <formula>$C19</formula>
    </cfRule>
  </conditionalFormatting>
  <conditionalFormatting sqref="D20:E20">
    <cfRule type="expression" dxfId="5229" priority="205">
      <formula>AND($A20&lt;&gt;"",MOD(ROW(),2))</formula>
    </cfRule>
  </conditionalFormatting>
  <conditionalFormatting sqref="D20">
    <cfRule type="cellIs" dxfId="5228" priority="202" operator="equal">
      <formula>$C20</formula>
    </cfRule>
    <cfRule type="cellIs" dxfId="5227" priority="203" operator="greaterThan">
      <formula>$C20</formula>
    </cfRule>
    <cfRule type="cellIs" dxfId="5226" priority="204" operator="lessThan">
      <formula>$C20</formula>
    </cfRule>
  </conditionalFormatting>
  <conditionalFormatting sqref="H21">
    <cfRule type="expression" dxfId="5225" priority="201">
      <formula>AND($A21&lt;&gt;"",MOD(ROW(),2))</formula>
    </cfRule>
  </conditionalFormatting>
  <conditionalFormatting sqref="H22">
    <cfRule type="expression" dxfId="5224" priority="200">
      <formula>AND($A22&lt;&gt;"",MOD(ROW(),2))</formula>
    </cfRule>
  </conditionalFormatting>
  <conditionalFormatting sqref="H23">
    <cfRule type="expression" dxfId="5223" priority="199">
      <formula>AND($A23&lt;&gt;"",MOD(ROW(),2))</formula>
    </cfRule>
  </conditionalFormatting>
  <conditionalFormatting sqref="D59">
    <cfRule type="expression" dxfId="5222" priority="196">
      <formula>AND($A59&lt;&gt;"",MOD(ROW(),2))</formula>
    </cfRule>
  </conditionalFormatting>
  <conditionalFormatting sqref="D59">
    <cfRule type="cellIs" dxfId="5221" priority="193" operator="equal">
      <formula>$C59</formula>
    </cfRule>
    <cfRule type="cellIs" dxfId="5220" priority="194" operator="greaterThan">
      <formula>$C59</formula>
    </cfRule>
    <cfRule type="cellIs" dxfId="5219" priority="195" operator="lessThan">
      <formula>$C59</formula>
    </cfRule>
  </conditionalFormatting>
  <conditionalFormatting sqref="D60">
    <cfRule type="expression" dxfId="5218" priority="192">
      <formula>AND($A60&lt;&gt;"",MOD(ROW(),2))</formula>
    </cfRule>
  </conditionalFormatting>
  <conditionalFormatting sqref="D60">
    <cfRule type="cellIs" dxfId="5217" priority="189" operator="equal">
      <formula>$C60</formula>
    </cfRule>
    <cfRule type="cellIs" dxfId="5216" priority="190" operator="greaterThan">
      <formula>$C60</formula>
    </cfRule>
    <cfRule type="cellIs" dxfId="5215" priority="191" operator="lessThan">
      <formula>$C60</formula>
    </cfRule>
  </conditionalFormatting>
  <conditionalFormatting sqref="D61">
    <cfRule type="expression" dxfId="5214" priority="180">
      <formula>AND($A61&lt;&gt;"",MOD(ROW(),2))</formula>
    </cfRule>
  </conditionalFormatting>
  <conditionalFormatting sqref="D61">
    <cfRule type="cellIs" dxfId="5213" priority="177" operator="equal">
      <formula>$C61</formula>
    </cfRule>
    <cfRule type="cellIs" dxfId="5212" priority="178" operator="greaterThan">
      <formula>$C61</formula>
    </cfRule>
    <cfRule type="cellIs" dxfId="5211" priority="179" operator="lessThan">
      <formula>$C61</formula>
    </cfRule>
  </conditionalFormatting>
  <conditionalFormatting sqref="D66">
    <cfRule type="expression" dxfId="5210" priority="125">
      <formula>AND($A66&lt;&gt;"",MOD(ROW(),2))</formula>
    </cfRule>
  </conditionalFormatting>
  <conditionalFormatting sqref="D66">
    <cfRule type="cellIs" dxfId="5209" priority="122" operator="equal">
      <formula>$C66</formula>
    </cfRule>
    <cfRule type="cellIs" dxfId="5208" priority="123" operator="greaterThan">
      <formula>$C66</formula>
    </cfRule>
    <cfRule type="cellIs" dxfId="5207" priority="124" operator="lessThan">
      <formula>$C66</formula>
    </cfRule>
  </conditionalFormatting>
  <conditionalFormatting sqref="C66">
    <cfRule type="expression" dxfId="5206" priority="126">
      <formula>AND($A66&lt;&gt;"",MOD(ROW(),2))</formula>
    </cfRule>
  </conditionalFormatting>
  <conditionalFormatting sqref="D65">
    <cfRule type="expression" dxfId="5205" priority="130">
      <formula>AND($A65&lt;&gt;"",MOD(ROW(),2))</formula>
    </cfRule>
  </conditionalFormatting>
  <conditionalFormatting sqref="D65">
    <cfRule type="cellIs" dxfId="5204" priority="127" operator="equal">
      <formula>$C65</formula>
    </cfRule>
    <cfRule type="cellIs" dxfId="5203" priority="128" operator="greaterThan">
      <formula>$C65</formula>
    </cfRule>
    <cfRule type="cellIs" dxfId="5202" priority="129" operator="lessThan">
      <formula>$C65</formula>
    </cfRule>
  </conditionalFormatting>
  <conditionalFormatting sqref="C65">
    <cfRule type="expression" dxfId="5201" priority="131">
      <formula>AND($A65&lt;&gt;"",MOD(ROW(),2))</formula>
    </cfRule>
  </conditionalFormatting>
  <conditionalFormatting sqref="H69">
    <cfRule type="expression" dxfId="5200" priority="148">
      <formula>AND($A69&lt;&gt;"",MOD(ROW(),2))</formula>
    </cfRule>
  </conditionalFormatting>
  <conditionalFormatting sqref="H70">
    <cfRule type="expression" dxfId="5199" priority="147">
      <formula>AND($A70&lt;&gt;"",MOD(ROW(),2))</formula>
    </cfRule>
  </conditionalFormatting>
  <conditionalFormatting sqref="C62">
    <cfRule type="expression" dxfId="5198" priority="146">
      <formula>AND($A62&lt;&gt;"",MOD(ROW(),2))</formula>
    </cfRule>
  </conditionalFormatting>
  <conditionalFormatting sqref="D62">
    <cfRule type="expression" dxfId="5197" priority="145">
      <formula>AND($A62&lt;&gt;"",MOD(ROW(),2))</formula>
    </cfRule>
  </conditionalFormatting>
  <conditionalFormatting sqref="D62">
    <cfRule type="cellIs" dxfId="5196" priority="142" operator="equal">
      <formula>$C62</formula>
    </cfRule>
    <cfRule type="cellIs" dxfId="5195" priority="143" operator="greaterThan">
      <formula>$C62</formula>
    </cfRule>
    <cfRule type="cellIs" dxfId="5194" priority="144" operator="lessThan">
      <formula>$C62</formula>
    </cfRule>
  </conditionalFormatting>
  <conditionalFormatting sqref="C63">
    <cfRule type="expression" dxfId="5193" priority="141">
      <formula>AND($A63&lt;&gt;"",MOD(ROW(),2))</formula>
    </cfRule>
  </conditionalFormatting>
  <conditionalFormatting sqref="D63">
    <cfRule type="expression" dxfId="5192" priority="140">
      <formula>AND($A63&lt;&gt;"",MOD(ROW(),2))</formula>
    </cfRule>
  </conditionalFormatting>
  <conditionalFormatting sqref="D63">
    <cfRule type="cellIs" dxfId="5191" priority="137" operator="equal">
      <formula>$C63</formula>
    </cfRule>
    <cfRule type="cellIs" dxfId="5190" priority="138" operator="greaterThan">
      <formula>$C63</formula>
    </cfRule>
    <cfRule type="cellIs" dxfId="5189" priority="139" operator="lessThan">
      <formula>$C63</formula>
    </cfRule>
  </conditionalFormatting>
  <conditionalFormatting sqref="C64">
    <cfRule type="expression" dxfId="5188" priority="136">
      <formula>AND($A64&lt;&gt;"",MOD(ROW(),2))</formula>
    </cfRule>
  </conditionalFormatting>
  <conditionalFormatting sqref="D64">
    <cfRule type="expression" dxfId="5187" priority="135">
      <formula>AND($A64&lt;&gt;"",MOD(ROW(),2))</formula>
    </cfRule>
  </conditionalFormatting>
  <conditionalFormatting sqref="D64">
    <cfRule type="cellIs" dxfId="5186" priority="132" operator="equal">
      <formula>$C64</formula>
    </cfRule>
    <cfRule type="cellIs" dxfId="5185" priority="133" operator="greaterThan">
      <formula>$C64</formula>
    </cfRule>
    <cfRule type="cellIs" dxfId="5184" priority="134" operator="lessThan">
      <formula>$C64</formula>
    </cfRule>
  </conditionalFormatting>
  <conditionalFormatting sqref="C67">
    <cfRule type="expression" dxfId="5183" priority="121">
      <formula>AND($A67&lt;&gt;"",MOD(ROW(),2))</formula>
    </cfRule>
  </conditionalFormatting>
  <conditionalFormatting sqref="D67">
    <cfRule type="expression" dxfId="5182" priority="120">
      <formula>AND($A67&lt;&gt;"",MOD(ROW(),2))</formula>
    </cfRule>
  </conditionalFormatting>
  <conditionalFormatting sqref="D67">
    <cfRule type="cellIs" dxfId="5181" priority="117" operator="equal">
      <formula>$C67</formula>
    </cfRule>
    <cfRule type="cellIs" dxfId="5180" priority="118" operator="greaterThan">
      <formula>$C67</formula>
    </cfRule>
    <cfRule type="cellIs" dxfId="5179" priority="119" operator="lessThan">
      <formula>$C67</formula>
    </cfRule>
  </conditionalFormatting>
  <conditionalFormatting sqref="C68">
    <cfRule type="expression" dxfId="5178" priority="116">
      <formula>AND($A68&lt;&gt;"",MOD(ROW(),2))</formula>
    </cfRule>
  </conditionalFormatting>
  <conditionalFormatting sqref="D68">
    <cfRule type="expression" dxfId="5177" priority="115">
      <formula>AND($A68&lt;&gt;"",MOD(ROW(),2))</formula>
    </cfRule>
  </conditionalFormatting>
  <conditionalFormatting sqref="D68">
    <cfRule type="cellIs" dxfId="5176" priority="112" operator="equal">
      <formula>$C68</formula>
    </cfRule>
    <cfRule type="cellIs" dxfId="5175" priority="113" operator="greaterThan">
      <formula>$C68</formula>
    </cfRule>
    <cfRule type="cellIs" dxfId="5174" priority="114" operator="lessThan">
      <formula>$C68</formula>
    </cfRule>
  </conditionalFormatting>
  <conditionalFormatting sqref="C69">
    <cfRule type="expression" dxfId="5173" priority="111">
      <formula>AND($A69&lt;&gt;"",MOD(ROW(),2))</formula>
    </cfRule>
  </conditionalFormatting>
  <conditionalFormatting sqref="D69">
    <cfRule type="expression" dxfId="5172" priority="110">
      <formula>AND($A69&lt;&gt;"",MOD(ROW(),2))</formula>
    </cfRule>
  </conditionalFormatting>
  <conditionalFormatting sqref="D69">
    <cfRule type="cellIs" dxfId="5171" priority="107" operator="equal">
      <formula>$C69</formula>
    </cfRule>
    <cfRule type="cellIs" dxfId="5170" priority="108" operator="greaterThan">
      <formula>$C69</formula>
    </cfRule>
    <cfRule type="cellIs" dxfId="5169" priority="109" operator="lessThan">
      <formula>$C69</formula>
    </cfRule>
  </conditionalFormatting>
  <conditionalFormatting sqref="C70">
    <cfRule type="expression" dxfId="5168" priority="106">
      <formula>AND($A70&lt;&gt;"",MOD(ROW(),2))</formula>
    </cfRule>
  </conditionalFormatting>
  <conditionalFormatting sqref="D70">
    <cfRule type="expression" dxfId="5167" priority="105">
      <formula>AND($A70&lt;&gt;"",MOD(ROW(),2))</formula>
    </cfRule>
  </conditionalFormatting>
  <conditionalFormatting sqref="D70">
    <cfRule type="cellIs" dxfId="5166" priority="102" operator="equal">
      <formula>$C70</formula>
    </cfRule>
    <cfRule type="cellIs" dxfId="5165" priority="103" operator="greaterThan">
      <formula>$C70</formula>
    </cfRule>
    <cfRule type="cellIs" dxfId="5164" priority="104" operator="lessThan">
      <formula>$C70</formula>
    </cfRule>
  </conditionalFormatting>
  <conditionalFormatting sqref="C71">
    <cfRule type="expression" dxfId="5163" priority="101">
      <formula>AND($A71&lt;&gt;"",MOD(ROW(),2))</formula>
    </cfRule>
  </conditionalFormatting>
  <conditionalFormatting sqref="D71">
    <cfRule type="expression" dxfId="5162" priority="100">
      <formula>AND($A71&lt;&gt;"",MOD(ROW(),2))</formula>
    </cfRule>
  </conditionalFormatting>
  <conditionalFormatting sqref="D71">
    <cfRule type="cellIs" dxfId="5161" priority="97" operator="equal">
      <formula>$C71</formula>
    </cfRule>
    <cfRule type="cellIs" dxfId="5160" priority="98" operator="greaterThan">
      <formula>$C71</formula>
    </cfRule>
    <cfRule type="cellIs" dxfId="5159" priority="99" operator="lessThan">
      <formula>$C71</formula>
    </cfRule>
  </conditionalFormatting>
  <conditionalFormatting sqref="H71">
    <cfRule type="expression" dxfId="5158" priority="96">
      <formula>AND($A71&lt;&gt;"",MOD(ROW(),2))</formula>
    </cfRule>
  </conditionalFormatting>
  <conditionalFormatting sqref="H72">
    <cfRule type="expression" dxfId="5157" priority="95">
      <formula>AND($A72&lt;&gt;"",MOD(ROW(),2))</formula>
    </cfRule>
  </conditionalFormatting>
  <conditionalFormatting sqref="C72">
    <cfRule type="expression" dxfId="5156" priority="94">
      <formula>AND($A72&lt;&gt;"",MOD(ROW(),2))</formula>
    </cfRule>
  </conditionalFormatting>
  <conditionalFormatting sqref="D72">
    <cfRule type="expression" dxfId="5155" priority="93">
      <formula>AND($A72&lt;&gt;"",MOD(ROW(),2))</formula>
    </cfRule>
  </conditionalFormatting>
  <conditionalFormatting sqref="D72">
    <cfRule type="cellIs" dxfId="5154" priority="90" operator="equal">
      <formula>$C72</formula>
    </cfRule>
    <cfRule type="cellIs" dxfId="5153" priority="91" operator="greaterThan">
      <formula>$C72</formula>
    </cfRule>
    <cfRule type="cellIs" dxfId="5152" priority="92" operator="lessThan">
      <formula>$C72</formula>
    </cfRule>
  </conditionalFormatting>
  <conditionalFormatting sqref="H73">
    <cfRule type="expression" dxfId="5151" priority="89">
      <formula>AND($A73&lt;&gt;"",MOD(ROW(),2))</formula>
    </cfRule>
  </conditionalFormatting>
  <conditionalFormatting sqref="C73">
    <cfRule type="expression" dxfId="5150" priority="88">
      <formula>AND($A73&lt;&gt;"",MOD(ROW(),2))</formula>
    </cfRule>
  </conditionalFormatting>
  <conditionalFormatting sqref="D73">
    <cfRule type="expression" dxfId="5149" priority="87">
      <formula>AND($A73&lt;&gt;"",MOD(ROW(),2))</formula>
    </cfRule>
  </conditionalFormatting>
  <conditionalFormatting sqref="D73">
    <cfRule type="cellIs" dxfId="5148" priority="84" operator="equal">
      <formula>$C73</formula>
    </cfRule>
    <cfRule type="cellIs" dxfId="5147" priority="85" operator="greaterThan">
      <formula>$C73</formula>
    </cfRule>
    <cfRule type="cellIs" dxfId="5146" priority="86" operator="lessThan">
      <formula>$C73</formula>
    </cfRule>
  </conditionalFormatting>
  <conditionalFormatting sqref="H74">
    <cfRule type="expression" dxfId="5145" priority="83">
      <formula>AND($A74&lt;&gt;"",MOD(ROW(),2))</formula>
    </cfRule>
  </conditionalFormatting>
  <conditionalFormatting sqref="C74">
    <cfRule type="expression" dxfId="5144" priority="82">
      <formula>AND($A74&lt;&gt;"",MOD(ROW(),2))</formula>
    </cfRule>
  </conditionalFormatting>
  <conditionalFormatting sqref="D74">
    <cfRule type="expression" dxfId="5143" priority="81">
      <formula>AND($A74&lt;&gt;"",MOD(ROW(),2))</formula>
    </cfRule>
  </conditionalFormatting>
  <conditionalFormatting sqref="D74">
    <cfRule type="cellIs" dxfId="5142" priority="78" operator="equal">
      <formula>$C74</formula>
    </cfRule>
    <cfRule type="cellIs" dxfId="5141" priority="79" operator="greaterThan">
      <formula>$C74</formula>
    </cfRule>
    <cfRule type="cellIs" dxfId="5140" priority="80" operator="lessThan">
      <formula>$C74</formula>
    </cfRule>
  </conditionalFormatting>
  <conditionalFormatting sqref="H75">
    <cfRule type="expression" dxfId="5139" priority="77">
      <formula>AND($A75&lt;&gt;"",MOD(ROW(),2))</formula>
    </cfRule>
  </conditionalFormatting>
  <conditionalFormatting sqref="H76:H113">
    <cfRule type="expression" dxfId="5138" priority="76">
      <formula>AND($A76&lt;&gt;"",MOD(ROW(),2))</formula>
    </cfRule>
  </conditionalFormatting>
  <conditionalFormatting sqref="C75">
    <cfRule type="expression" dxfId="5137" priority="75">
      <formula>AND($A75&lt;&gt;"",MOD(ROW(),2))</formula>
    </cfRule>
  </conditionalFormatting>
  <conditionalFormatting sqref="D75">
    <cfRule type="expression" dxfId="5136" priority="74">
      <formula>AND($A75&lt;&gt;"",MOD(ROW(),2))</formula>
    </cfRule>
  </conditionalFormatting>
  <conditionalFormatting sqref="D75">
    <cfRule type="cellIs" dxfId="5135" priority="71" operator="equal">
      <formula>$C75</formula>
    </cfRule>
    <cfRule type="cellIs" dxfId="5134" priority="72" operator="greaterThan">
      <formula>$C75</formula>
    </cfRule>
    <cfRule type="cellIs" dxfId="5133" priority="73" operator="lessThan">
      <formula>$C75</formula>
    </cfRule>
  </conditionalFormatting>
  <conditionalFormatting sqref="C76">
    <cfRule type="expression" dxfId="5132" priority="70">
      <formula>AND($A76&lt;&gt;"",MOD(ROW(),2))</formula>
    </cfRule>
  </conditionalFormatting>
  <conditionalFormatting sqref="D76">
    <cfRule type="expression" dxfId="5131" priority="69">
      <formula>AND($A76&lt;&gt;"",MOD(ROW(),2))</formula>
    </cfRule>
  </conditionalFormatting>
  <conditionalFormatting sqref="D76">
    <cfRule type="cellIs" dxfId="5130" priority="66" operator="equal">
      <formula>$C76</formula>
    </cfRule>
    <cfRule type="cellIs" dxfId="5129" priority="67" operator="greaterThan">
      <formula>$C76</formula>
    </cfRule>
    <cfRule type="cellIs" dxfId="5128" priority="68" operator="lessThan">
      <formula>$C76</formula>
    </cfRule>
  </conditionalFormatting>
  <conditionalFormatting sqref="C62">
    <cfRule type="expression" dxfId="5127" priority="65">
      <formula>AND($A62&lt;&gt;"",MOD(ROW(),2))</formula>
    </cfRule>
  </conditionalFormatting>
  <conditionalFormatting sqref="D62">
    <cfRule type="expression" dxfId="5126" priority="64">
      <formula>AND($A62&lt;&gt;"",MOD(ROW(),2))</formula>
    </cfRule>
  </conditionalFormatting>
  <conditionalFormatting sqref="D62">
    <cfRule type="cellIs" dxfId="5125" priority="61" operator="equal">
      <formula>$C62</formula>
    </cfRule>
    <cfRule type="cellIs" dxfId="5124" priority="62" operator="greaterThan">
      <formula>$C62</formula>
    </cfRule>
    <cfRule type="cellIs" dxfId="5123" priority="63" operator="lessThan">
      <formula>$C62</formula>
    </cfRule>
  </conditionalFormatting>
  <conditionalFormatting sqref="C63">
    <cfRule type="expression" dxfId="5122" priority="60">
      <formula>AND($A63&lt;&gt;"",MOD(ROW(),2))</formula>
    </cfRule>
  </conditionalFormatting>
  <conditionalFormatting sqref="D63">
    <cfRule type="expression" dxfId="5121" priority="59">
      <formula>AND($A63&lt;&gt;"",MOD(ROW(),2))</formula>
    </cfRule>
  </conditionalFormatting>
  <conditionalFormatting sqref="D63">
    <cfRule type="cellIs" dxfId="5120" priority="56" operator="equal">
      <formula>$C63</formula>
    </cfRule>
    <cfRule type="cellIs" dxfId="5119" priority="57" operator="greaterThan">
      <formula>$C63</formula>
    </cfRule>
    <cfRule type="cellIs" dxfId="5118" priority="58" operator="lessThan">
      <formula>$C63</formula>
    </cfRule>
  </conditionalFormatting>
  <conditionalFormatting sqref="C64">
    <cfRule type="expression" dxfId="5117" priority="55">
      <formula>AND($A64&lt;&gt;"",MOD(ROW(),2))</formula>
    </cfRule>
  </conditionalFormatting>
  <conditionalFormatting sqref="D64">
    <cfRule type="expression" dxfId="5116" priority="54">
      <formula>AND($A64&lt;&gt;"",MOD(ROW(),2))</formula>
    </cfRule>
  </conditionalFormatting>
  <conditionalFormatting sqref="D64">
    <cfRule type="cellIs" dxfId="5115" priority="51" operator="equal">
      <formula>$C64</formula>
    </cfRule>
    <cfRule type="cellIs" dxfId="5114" priority="52" operator="greaterThan">
      <formula>$C64</formula>
    </cfRule>
    <cfRule type="cellIs" dxfId="5113" priority="53" operator="lessThan">
      <formula>$C64</formula>
    </cfRule>
  </conditionalFormatting>
  <conditionalFormatting sqref="C65">
    <cfRule type="expression" dxfId="5112" priority="50">
      <formula>AND($A65&lt;&gt;"",MOD(ROW(),2))</formula>
    </cfRule>
  </conditionalFormatting>
  <conditionalFormatting sqref="D65">
    <cfRule type="expression" dxfId="5111" priority="49">
      <formula>AND($A65&lt;&gt;"",MOD(ROW(),2))</formula>
    </cfRule>
  </conditionalFormatting>
  <conditionalFormatting sqref="D65">
    <cfRule type="cellIs" dxfId="5110" priority="46" operator="equal">
      <formula>$C65</formula>
    </cfRule>
    <cfRule type="cellIs" dxfId="5109" priority="47" operator="greaterThan">
      <formula>$C65</formula>
    </cfRule>
    <cfRule type="cellIs" dxfId="5108" priority="48" operator="lessThan">
      <formula>$C65</formula>
    </cfRule>
  </conditionalFormatting>
  <conditionalFormatting sqref="C66">
    <cfRule type="expression" dxfId="5107" priority="45">
      <formula>AND($A66&lt;&gt;"",MOD(ROW(),2))</formula>
    </cfRule>
  </conditionalFormatting>
  <conditionalFormatting sqref="D66">
    <cfRule type="expression" dxfId="5106" priority="44">
      <formula>AND($A66&lt;&gt;"",MOD(ROW(),2))</formula>
    </cfRule>
  </conditionalFormatting>
  <conditionalFormatting sqref="D66">
    <cfRule type="cellIs" dxfId="5105" priority="41" operator="equal">
      <formula>$C66</formula>
    </cfRule>
    <cfRule type="cellIs" dxfId="5104" priority="42" operator="greaterThan">
      <formula>$C66</formula>
    </cfRule>
    <cfRule type="cellIs" dxfId="5103" priority="43" operator="lessThan">
      <formula>$C66</formula>
    </cfRule>
  </conditionalFormatting>
  <conditionalFormatting sqref="C67">
    <cfRule type="expression" dxfId="5102" priority="40">
      <formula>AND($A67&lt;&gt;"",MOD(ROW(),2))</formula>
    </cfRule>
  </conditionalFormatting>
  <conditionalFormatting sqref="D67">
    <cfRule type="expression" dxfId="5101" priority="39">
      <formula>AND($A67&lt;&gt;"",MOD(ROW(),2))</formula>
    </cfRule>
  </conditionalFormatting>
  <conditionalFormatting sqref="D67">
    <cfRule type="cellIs" dxfId="5100" priority="36" operator="equal">
      <formula>$C67</formula>
    </cfRule>
    <cfRule type="cellIs" dxfId="5099" priority="37" operator="greaterThan">
      <formula>$C67</formula>
    </cfRule>
    <cfRule type="cellIs" dxfId="5098" priority="38" operator="lessThan">
      <formula>$C67</formula>
    </cfRule>
  </conditionalFormatting>
  <conditionalFormatting sqref="C68">
    <cfRule type="expression" dxfId="5097" priority="35">
      <formula>AND($A68&lt;&gt;"",MOD(ROW(),2))</formula>
    </cfRule>
  </conditionalFormatting>
  <conditionalFormatting sqref="D68">
    <cfRule type="expression" dxfId="5096" priority="34">
      <formula>AND($A68&lt;&gt;"",MOD(ROW(),2))</formula>
    </cfRule>
  </conditionalFormatting>
  <conditionalFormatting sqref="D68">
    <cfRule type="cellIs" dxfId="5095" priority="31" operator="equal">
      <formula>$C68</formula>
    </cfRule>
    <cfRule type="cellIs" dxfId="5094" priority="32" operator="greaterThan">
      <formula>$C68</formula>
    </cfRule>
    <cfRule type="cellIs" dxfId="5093" priority="33" operator="lessThan">
      <formula>$C68</formula>
    </cfRule>
  </conditionalFormatting>
  <conditionalFormatting sqref="C69">
    <cfRule type="expression" dxfId="5092" priority="30">
      <formula>AND($A69&lt;&gt;"",MOD(ROW(),2))</formula>
    </cfRule>
  </conditionalFormatting>
  <conditionalFormatting sqref="D69">
    <cfRule type="expression" dxfId="5091" priority="29">
      <formula>AND($A69&lt;&gt;"",MOD(ROW(),2))</formula>
    </cfRule>
  </conditionalFormatting>
  <conditionalFormatting sqref="D69">
    <cfRule type="cellIs" dxfId="5090" priority="26" operator="equal">
      <formula>$C69</formula>
    </cfRule>
    <cfRule type="cellIs" dxfId="5089" priority="27" operator="greaterThan">
      <formula>$C69</formula>
    </cfRule>
    <cfRule type="cellIs" dxfId="5088" priority="28" operator="lessThan">
      <formula>$C69</formula>
    </cfRule>
  </conditionalFormatting>
  <conditionalFormatting sqref="C77">
    <cfRule type="expression" dxfId="5087" priority="25">
      <formula>AND($A77&lt;&gt;"",MOD(ROW(),2))</formula>
    </cfRule>
  </conditionalFormatting>
  <conditionalFormatting sqref="D77">
    <cfRule type="expression" dxfId="5086" priority="24">
      <formula>AND($A77&lt;&gt;"",MOD(ROW(),2))</formula>
    </cfRule>
  </conditionalFormatting>
  <conditionalFormatting sqref="D77">
    <cfRule type="cellIs" dxfId="5085" priority="21" operator="equal">
      <formula>$C77</formula>
    </cfRule>
    <cfRule type="cellIs" dxfId="5084" priority="22" operator="greaterThan">
      <formula>$C77</formula>
    </cfRule>
    <cfRule type="cellIs" dxfId="5083" priority="23" operator="lessThan">
      <formula>$C77</formula>
    </cfRule>
  </conditionalFormatting>
  <conditionalFormatting sqref="C78">
    <cfRule type="expression" dxfId="5082" priority="20">
      <formula>AND($A78&lt;&gt;"",MOD(ROW(),2))</formula>
    </cfRule>
  </conditionalFormatting>
  <conditionalFormatting sqref="D78">
    <cfRule type="expression" dxfId="5081" priority="19">
      <formula>AND($A78&lt;&gt;"",MOD(ROW(),2))</formula>
    </cfRule>
  </conditionalFormatting>
  <conditionalFormatting sqref="D78">
    <cfRule type="cellIs" dxfId="5080" priority="16" operator="equal">
      <formula>$C78</formula>
    </cfRule>
    <cfRule type="cellIs" dxfId="5079" priority="17" operator="greaterThan">
      <formula>$C78</formula>
    </cfRule>
    <cfRule type="cellIs" dxfId="5078" priority="18" operator="lessThan">
      <formula>$C78</formula>
    </cfRule>
  </conditionalFormatting>
  <conditionalFormatting sqref="C79">
    <cfRule type="expression" dxfId="5077" priority="15">
      <formula>AND($A79&lt;&gt;"",MOD(ROW(),2))</formula>
    </cfRule>
  </conditionalFormatting>
  <conditionalFormatting sqref="D79">
    <cfRule type="expression" dxfId="5076" priority="14">
      <formula>AND($A79&lt;&gt;"",MOD(ROW(),2))</formula>
    </cfRule>
  </conditionalFormatting>
  <conditionalFormatting sqref="D79">
    <cfRule type="cellIs" dxfId="5075" priority="11" operator="equal">
      <formula>$C79</formula>
    </cfRule>
    <cfRule type="cellIs" dxfId="5074" priority="12" operator="greaterThan">
      <formula>$C79</formula>
    </cfRule>
    <cfRule type="cellIs" dxfId="5073" priority="13" operator="lessThan">
      <formula>$C79</formula>
    </cfRule>
  </conditionalFormatting>
  <conditionalFormatting sqref="C80">
    <cfRule type="expression" dxfId="5072" priority="10">
      <formula>AND($A80&lt;&gt;"",MOD(ROW(),2))</formula>
    </cfRule>
  </conditionalFormatting>
  <conditionalFormatting sqref="D80">
    <cfRule type="expression" dxfId="5071" priority="9">
      <formula>AND($A80&lt;&gt;"",MOD(ROW(),2))</formula>
    </cfRule>
  </conditionalFormatting>
  <conditionalFormatting sqref="D80">
    <cfRule type="cellIs" dxfId="5070" priority="6" operator="equal">
      <formula>$C80</formula>
    </cfRule>
    <cfRule type="cellIs" dxfId="5069" priority="7" operator="greaterThan">
      <formula>$C80</formula>
    </cfRule>
    <cfRule type="cellIs" dxfId="5068" priority="8" operator="lessThan">
      <formula>$C80</formula>
    </cfRule>
  </conditionalFormatting>
  <conditionalFormatting sqref="C81:C113">
    <cfRule type="expression" dxfId="5067" priority="5">
      <formula>AND($A81&lt;&gt;"",MOD(ROW(),2))</formula>
    </cfRule>
  </conditionalFormatting>
  <conditionalFormatting sqref="D81:D113">
    <cfRule type="expression" dxfId="5066" priority="4">
      <formula>AND($A81&lt;&gt;"",MOD(ROW(),2))</formula>
    </cfRule>
  </conditionalFormatting>
  <conditionalFormatting sqref="D81:D113">
    <cfRule type="cellIs" dxfId="5065" priority="1" operator="equal">
      <formula>$C81</formula>
    </cfRule>
    <cfRule type="cellIs" dxfId="5064" priority="2" operator="greaterThan">
      <formula>$C81</formula>
    </cfRule>
    <cfRule type="cellIs" dxfId="5063" priority="3" operator="lessThan">
      <formula>$C81</formula>
    </cfRule>
  </conditionalFormatting>
  <pageMargins left="0.75" right="0.75" top="1" bottom="1" header="0.5" footer="0.5"/>
  <pageSetup paperSize="9" orientation="portrait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200-000000000000}">
          <x14:formula1>
            <xm:f>PullDownValues!$F$2:$F$14</xm:f>
          </x14:formula1>
          <xm:sqref>L7:L354</xm:sqref>
        </x14:dataValidation>
        <x14:dataValidation type="list" allowBlank="1" showInputMessage="1" showErrorMessage="1" prompt="Payment Method" xr:uid="{00000000-0002-0000-1200-000001000000}">
          <x14:formula1>
            <xm:f>PullDownValues!$B$2:$B$12</xm:f>
          </x14:formula1>
          <xm:sqref>F7:F289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354"/>
  <sheetViews>
    <sheetView zoomScaleNormal="100" workbookViewId="0">
      <pane ySplit="5" topLeftCell="A6" activePane="bottomLeft" state="frozen"/>
      <selection pane="bottomLeft" activeCell="I9" sqref="I9"/>
    </sheetView>
  </sheetViews>
  <sheetFormatPr defaultColWidth="8.85546875" defaultRowHeight="15" customHeight="1" x14ac:dyDescent="0.25"/>
  <cols>
    <col min="1" max="1" width="4" style="10" bestFit="1" customWidth="1"/>
    <col min="2" max="3" width="12.5703125" bestFit="1" customWidth="1"/>
    <col min="4" max="4" width="12.85546875" bestFit="1" customWidth="1"/>
    <col min="5" max="5" width="15.28515625" bestFit="1" customWidth="1"/>
    <col min="6" max="6" width="15.28515625" customWidth="1"/>
    <col min="7" max="7" width="9.42578125" style="31" bestFit="1" customWidth="1"/>
    <col min="8" max="8" width="11.5703125" bestFit="1" customWidth="1"/>
    <col min="9" max="9" width="12.7109375" bestFit="1" customWidth="1"/>
    <col min="10" max="10" width="12" bestFit="1" customWidth="1"/>
    <col min="11" max="11" width="11.5703125" bestFit="1" customWidth="1"/>
    <col min="12" max="12" width="12.5703125" bestFit="1" customWidth="1"/>
    <col min="13" max="13" width="10.7109375" bestFit="1" customWidth="1"/>
    <col min="14" max="14" width="12.5703125" bestFit="1" customWidth="1"/>
    <col min="16" max="16" width="11.28515625" bestFit="1" customWidth="1"/>
  </cols>
  <sheetData>
    <row r="1" spans="1:18" ht="35.1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5">
        <f>SUM(P6:P90)-O4</f>
        <v>0</v>
      </c>
      <c r="P1" s="255"/>
      <c r="Q1" s="114"/>
      <c r="R1" s="114"/>
    </row>
    <row r="2" spans="1:18" s="9" customFormat="1" ht="15.95" customHeight="1" x14ac:dyDescent="0.25">
      <c r="A2" s="287" t="s">
        <v>4</v>
      </c>
      <c r="B2" s="287"/>
      <c r="C2" s="287"/>
      <c r="D2" s="287"/>
      <c r="E2" s="287"/>
      <c r="F2" s="287"/>
      <c r="G2" s="336">
        <f>SUM($D$6:$D$2990)-SUMIF($F$7:$F$290,"Bond Received",$D$7:$D$2990)-SUMIF($F$7:$F$290,"Unpaid Rent",$D$7:$D$2990)-(SUMIF($F$7:$F$290,"Discount Rent",$D$7:$D$2990)*2)</f>
        <v>6320</v>
      </c>
      <c r="H2" s="336"/>
      <c r="I2" s="336"/>
      <c r="J2" s="260" t="s">
        <v>5</v>
      </c>
      <c r="K2" s="260"/>
      <c r="L2" s="260"/>
      <c r="M2" s="262">
        <f>SUM($K$6:$K$2989)-SUMIF($L$6:$L$2989,"Bond Return",$K$6:$K$2989)</f>
        <v>4982.0700000000006</v>
      </c>
      <c r="N2" s="263"/>
      <c r="O2" s="273">
        <f>G2-M2</f>
        <v>1337.9299999999994</v>
      </c>
      <c r="P2" s="274" t="e">
        <f>SUM(#REF!)</f>
        <v>#REF!</v>
      </c>
      <c r="Q2" s="35"/>
    </row>
    <row r="3" spans="1:18" s="9" customFormat="1" ht="15.95" customHeight="1" x14ac:dyDescent="0.25">
      <c r="A3" s="288"/>
      <c r="B3" s="288"/>
      <c r="C3" s="288"/>
      <c r="D3" s="288"/>
      <c r="E3" s="288"/>
      <c r="F3" s="288"/>
      <c r="G3" s="337"/>
      <c r="H3" s="337"/>
      <c r="I3" s="337"/>
      <c r="J3" s="261"/>
      <c r="K3" s="261"/>
      <c r="L3" s="261"/>
      <c r="M3" s="264"/>
      <c r="N3" s="264"/>
      <c r="O3" s="275"/>
      <c r="P3" s="275"/>
    </row>
    <row r="4" spans="1:18" s="9" customFormat="1" ht="15.95" customHeight="1" x14ac:dyDescent="0.25">
      <c r="A4" s="244" t="s">
        <v>6</v>
      </c>
      <c r="B4" s="244" t="s">
        <v>7</v>
      </c>
      <c r="C4" s="267" t="s">
        <v>8</v>
      </c>
      <c r="D4" s="269" t="s">
        <v>9</v>
      </c>
      <c r="E4" s="269" t="s">
        <v>10</v>
      </c>
      <c r="F4" s="252" t="s">
        <v>112</v>
      </c>
      <c r="G4" s="276" t="s">
        <v>11</v>
      </c>
      <c r="H4" s="244" t="s">
        <v>12</v>
      </c>
      <c r="I4" s="334" t="s">
        <v>113</v>
      </c>
      <c r="J4" s="246" t="s">
        <v>13</v>
      </c>
      <c r="K4" s="246" t="s">
        <v>14</v>
      </c>
      <c r="L4" s="248" t="s">
        <v>15</v>
      </c>
      <c r="M4" s="249"/>
      <c r="N4" s="271" t="s">
        <v>113</v>
      </c>
      <c r="O4" s="273">
        <f>G2-M2</f>
        <v>1337.9299999999994</v>
      </c>
      <c r="P4" s="274" t="e">
        <f>SUM(P2:P3)</f>
        <v>#REF!</v>
      </c>
      <c r="Q4" s="63"/>
    </row>
    <row r="5" spans="1:18" s="10" customFormat="1" x14ac:dyDescent="0.25">
      <c r="A5" s="245"/>
      <c r="B5" s="245"/>
      <c r="C5" s="268"/>
      <c r="D5" s="270"/>
      <c r="E5" s="270"/>
      <c r="F5" s="253"/>
      <c r="G5" s="277"/>
      <c r="H5" s="245"/>
      <c r="I5" s="335"/>
      <c r="J5" s="247"/>
      <c r="K5" s="247"/>
      <c r="L5" s="250"/>
      <c r="M5" s="251"/>
      <c r="N5" s="272"/>
      <c r="O5" s="275"/>
      <c r="P5" s="275"/>
      <c r="Q5" s="18"/>
      <c r="R5" s="64"/>
    </row>
    <row r="6" spans="1:18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1"/>
      <c r="K6" s="42"/>
      <c r="L6" s="43" t="s">
        <v>123</v>
      </c>
      <c r="M6" s="43"/>
      <c r="N6" s="43"/>
      <c r="O6"/>
    </row>
    <row r="7" spans="1:18" ht="15" customHeight="1" x14ac:dyDescent="0.25">
      <c r="A7" s="10">
        <v>1</v>
      </c>
      <c r="B7" s="48">
        <v>44597</v>
      </c>
      <c r="C7" s="17">
        <v>400</v>
      </c>
      <c r="D7" s="17">
        <v>400</v>
      </c>
      <c r="E7" s="16">
        <v>44576</v>
      </c>
      <c r="F7" t="s">
        <v>181</v>
      </c>
      <c r="H7" s="17">
        <f>IFERROR(IF(F6="Closed account",(IF(F7="Unpaid Rent",(C7),(C7-D7))),(IF(F7="Unpaid Rent",(C7+H6),(C7-D7+H6)))),"")</f>
        <v>0</v>
      </c>
      <c r="I7" s="17" t="s">
        <v>606</v>
      </c>
      <c r="J7" s="48">
        <v>44649</v>
      </c>
      <c r="K7" s="17">
        <v>115</v>
      </c>
      <c r="L7" s="49" t="s">
        <v>26</v>
      </c>
      <c r="N7" t="s">
        <v>606</v>
      </c>
      <c r="O7" t="s">
        <v>606</v>
      </c>
      <c r="P7" s="111">
        <f>SUMIF($I$6:$I$2992,O7,$D$6:$D$2992)-SUMIFS($D$6:$D$2992,$I$6:$I$2992,O7,$F$6:$F$2992,"Unpaid Rent")-(SUMIFS($D$6:$D$2992,$I$6:$I$2992,O7,$F$6:$F$2992,"Discount Rent")*2)-(SUMIFS($D$6:$D$2992,$I$6:$I$2992,O7,$F$6:$F$2992,"Bond Received"))-SUMIF($N$6:$N$2989,O7,$K$6:$K$2989)+SUMIFS($K$6:$K$2989,$N$6:$N$2989,O7,$L$6:$L$2989,"Bond Return")</f>
        <v>2046.6699999999996</v>
      </c>
    </row>
    <row r="8" spans="1:18" ht="15" customHeight="1" x14ac:dyDescent="0.25">
      <c r="A8" s="10">
        <v>1</v>
      </c>
      <c r="B8" s="48">
        <v>44597</v>
      </c>
      <c r="C8" s="17">
        <v>180</v>
      </c>
      <c r="D8" s="17">
        <v>180</v>
      </c>
      <c r="E8" s="16">
        <v>44576</v>
      </c>
      <c r="F8" t="s">
        <v>114</v>
      </c>
      <c r="H8" s="17">
        <f t="shared" ref="H8:H44" si="0">IFERROR(IF(F7="Closed account",(IF(F8="Unpaid Rent",(C8),(C8-D8))),(IF(F8="Unpaid Rent",(C8+H7),(C8-D8+H7)))),"")</f>
        <v>0</v>
      </c>
      <c r="I8" s="17" t="s">
        <v>606</v>
      </c>
      <c r="J8" s="48">
        <v>44701</v>
      </c>
      <c r="K8" s="17">
        <v>175.26</v>
      </c>
      <c r="L8" s="49" t="s">
        <v>20</v>
      </c>
      <c r="N8" t="s">
        <v>606</v>
      </c>
      <c r="O8" s="9" t="s">
        <v>14</v>
      </c>
      <c r="P8" s="111">
        <f t="shared" ref="P8:P43" si="1">SUMIF($I$6:$I$2992,O8,$D$6:$D$2992)-SUMIFS($D$6:$D$2992,$I$6:$I$2992,O8,$F$6:$F$2992,"Unpaid Rent")-(SUMIFS($D$6:$D$2992,$I$6:$I$2992,O8,$F$6:$F$2992,"Discount Rent")*2)-(SUMIFS($D$6:$D$2992,$I$6:$I$2992,O8,$F$6:$F$2992,"Bond Received"))-SUMIF($N$6:$N$2989,O8,$K$6:$K$2989)+SUMIFS($K$6:$K$2989,$N$6:$N$2989,O8,$L$6:$L$2989,"Bond Return")</f>
        <v>-1246.8900000000001</v>
      </c>
    </row>
    <row r="9" spans="1:18" ht="15" customHeight="1" x14ac:dyDescent="0.25">
      <c r="A9" s="10">
        <v>2</v>
      </c>
      <c r="B9" s="48">
        <f t="shared" ref="B9:B14" si="2">B8+7</f>
        <v>44604</v>
      </c>
      <c r="C9" s="17">
        <v>200</v>
      </c>
      <c r="D9" s="17">
        <v>200</v>
      </c>
      <c r="E9" s="16">
        <v>44583</v>
      </c>
      <c r="F9" t="s">
        <v>114</v>
      </c>
      <c r="H9" s="17">
        <f t="shared" si="0"/>
        <v>0</v>
      </c>
      <c r="I9" s="17" t="s">
        <v>606</v>
      </c>
      <c r="J9" s="72">
        <v>44741</v>
      </c>
      <c r="K9" s="17">
        <v>93.5</v>
      </c>
      <c r="L9" s="49" t="s">
        <v>17</v>
      </c>
      <c r="M9" t="s">
        <v>859</v>
      </c>
      <c r="N9" t="s">
        <v>606</v>
      </c>
      <c r="O9" s="13" t="s">
        <v>832</v>
      </c>
      <c r="P9" s="111">
        <f t="shared" si="1"/>
        <v>538.15000000000009</v>
      </c>
    </row>
    <row r="10" spans="1:18" ht="15" customHeight="1" x14ac:dyDescent="0.25">
      <c r="A10" s="10">
        <v>3</v>
      </c>
      <c r="B10" s="48">
        <f t="shared" si="2"/>
        <v>44611</v>
      </c>
      <c r="C10" s="17">
        <v>180</v>
      </c>
      <c r="D10" s="17">
        <v>180</v>
      </c>
      <c r="E10" s="16">
        <v>44591</v>
      </c>
      <c r="F10" t="s">
        <v>114</v>
      </c>
      <c r="H10" s="17">
        <f t="shared" si="0"/>
        <v>0</v>
      </c>
      <c r="I10" s="17" t="s">
        <v>606</v>
      </c>
      <c r="J10" s="72">
        <v>44741</v>
      </c>
      <c r="K10" s="17">
        <v>275</v>
      </c>
      <c r="L10" s="49" t="s">
        <v>17</v>
      </c>
      <c r="M10" t="s">
        <v>859</v>
      </c>
      <c r="N10" t="s">
        <v>606</v>
      </c>
      <c r="P10" s="111">
        <f t="shared" si="1"/>
        <v>0</v>
      </c>
    </row>
    <row r="11" spans="1:18" ht="15" customHeight="1" x14ac:dyDescent="0.25">
      <c r="A11" s="10">
        <v>4</v>
      </c>
      <c r="B11" s="48">
        <f t="shared" si="2"/>
        <v>44618</v>
      </c>
      <c r="C11" s="17">
        <v>180</v>
      </c>
      <c r="D11" s="17">
        <v>180</v>
      </c>
      <c r="E11" s="16">
        <v>44599</v>
      </c>
      <c r="F11" t="s">
        <v>114</v>
      </c>
      <c r="H11" s="17">
        <f t="shared" si="0"/>
        <v>0</v>
      </c>
      <c r="I11" s="17" t="s">
        <v>606</v>
      </c>
      <c r="J11" s="72">
        <v>44747</v>
      </c>
      <c r="K11" s="17">
        <v>-1000</v>
      </c>
      <c r="L11" s="49" t="s">
        <v>17</v>
      </c>
      <c r="M11" t="s">
        <v>839</v>
      </c>
      <c r="N11" t="s">
        <v>606</v>
      </c>
      <c r="P11" s="111">
        <f t="shared" si="1"/>
        <v>0</v>
      </c>
    </row>
    <row r="12" spans="1:18" ht="15" customHeight="1" x14ac:dyDescent="0.25">
      <c r="A12" s="10">
        <v>5</v>
      </c>
      <c r="B12" s="48">
        <f t="shared" si="2"/>
        <v>44625</v>
      </c>
      <c r="C12" s="17">
        <v>180</v>
      </c>
      <c r="D12" s="17">
        <v>180</v>
      </c>
      <c r="E12" s="16">
        <v>44627</v>
      </c>
      <c r="H12" s="17">
        <f t="shared" si="0"/>
        <v>0</v>
      </c>
      <c r="I12" s="17" t="s">
        <v>606</v>
      </c>
      <c r="J12" s="72">
        <v>44761</v>
      </c>
      <c r="K12" s="17">
        <v>16.059999999999999</v>
      </c>
      <c r="L12" s="49" t="s">
        <v>32</v>
      </c>
      <c r="N12" t="s">
        <v>14</v>
      </c>
      <c r="P12" s="111">
        <f t="shared" si="1"/>
        <v>0</v>
      </c>
    </row>
    <row r="13" spans="1:18" ht="15" customHeight="1" x14ac:dyDescent="0.25">
      <c r="A13" s="10">
        <v>6</v>
      </c>
      <c r="B13" s="48">
        <f t="shared" si="2"/>
        <v>44632</v>
      </c>
      <c r="C13" s="17">
        <v>180</v>
      </c>
      <c r="D13" s="17">
        <v>180</v>
      </c>
      <c r="E13" s="16">
        <v>44635</v>
      </c>
      <c r="F13" t="s">
        <v>114</v>
      </c>
      <c r="H13" s="17">
        <f t="shared" si="0"/>
        <v>0</v>
      </c>
      <c r="I13" s="17" t="s">
        <v>606</v>
      </c>
      <c r="J13" s="72">
        <v>44761</v>
      </c>
      <c r="K13" s="17">
        <v>34</v>
      </c>
      <c r="L13" s="49" t="s">
        <v>17</v>
      </c>
      <c r="M13" t="s">
        <v>588</v>
      </c>
      <c r="N13" t="s">
        <v>14</v>
      </c>
      <c r="P13" s="111">
        <f t="shared" si="1"/>
        <v>0</v>
      </c>
    </row>
    <row r="14" spans="1:18" ht="15" customHeight="1" x14ac:dyDescent="0.25">
      <c r="A14" s="10">
        <v>7</v>
      </c>
      <c r="B14" s="48">
        <f t="shared" si="2"/>
        <v>44639</v>
      </c>
      <c r="C14" s="17">
        <v>180</v>
      </c>
      <c r="D14" s="17">
        <v>180</v>
      </c>
      <c r="E14" s="16">
        <v>44641</v>
      </c>
      <c r="F14" t="s">
        <v>59</v>
      </c>
      <c r="H14" s="17">
        <f t="shared" si="0"/>
        <v>0</v>
      </c>
      <c r="I14" s="17" t="s">
        <v>606</v>
      </c>
      <c r="J14" s="72">
        <v>44764</v>
      </c>
      <c r="K14" s="17">
        <v>1000</v>
      </c>
      <c r="L14" s="49" t="s">
        <v>17</v>
      </c>
      <c r="M14" t="s">
        <v>839</v>
      </c>
      <c r="N14" t="s">
        <v>606</v>
      </c>
      <c r="P14" s="111">
        <f t="shared" si="1"/>
        <v>0</v>
      </c>
    </row>
    <row r="15" spans="1:18" ht="15" customHeight="1" x14ac:dyDescent="0.25">
      <c r="A15" s="10">
        <v>8</v>
      </c>
      <c r="B15" s="48">
        <f t="shared" ref="B15:B23" si="3">B14+7</f>
        <v>44646</v>
      </c>
      <c r="C15" s="17">
        <v>180</v>
      </c>
      <c r="D15" s="17">
        <v>180</v>
      </c>
      <c r="E15" s="16">
        <v>44648</v>
      </c>
      <c r="F15" t="s">
        <v>59</v>
      </c>
      <c r="H15" s="17">
        <f t="shared" si="0"/>
        <v>0</v>
      </c>
      <c r="I15" s="17" t="s">
        <v>606</v>
      </c>
      <c r="J15" s="72">
        <v>44769</v>
      </c>
      <c r="K15" s="17">
        <v>45.51</v>
      </c>
      <c r="L15" s="49" t="s">
        <v>32</v>
      </c>
      <c r="N15" t="s">
        <v>832</v>
      </c>
      <c r="P15" s="111">
        <f t="shared" si="1"/>
        <v>0</v>
      </c>
    </row>
    <row r="16" spans="1:18" ht="15" customHeight="1" x14ac:dyDescent="0.25">
      <c r="A16" s="10">
        <v>9</v>
      </c>
      <c r="B16" s="48">
        <f t="shared" si="3"/>
        <v>44653</v>
      </c>
      <c r="C16" s="17">
        <v>180</v>
      </c>
      <c r="D16" s="17">
        <v>180</v>
      </c>
      <c r="E16" s="16">
        <v>44655</v>
      </c>
      <c r="F16" t="s">
        <v>59</v>
      </c>
      <c r="H16" s="17">
        <f t="shared" si="0"/>
        <v>0</v>
      </c>
      <c r="I16" s="17" t="s">
        <v>606</v>
      </c>
      <c r="J16" s="48">
        <v>44776</v>
      </c>
      <c r="K16" s="17">
        <v>40</v>
      </c>
      <c r="L16" s="49" t="s">
        <v>53</v>
      </c>
      <c r="N16" t="s">
        <v>832</v>
      </c>
      <c r="P16" s="111">
        <f t="shared" si="1"/>
        <v>0</v>
      </c>
    </row>
    <row r="17" spans="1:16" ht="15" customHeight="1" x14ac:dyDescent="0.25">
      <c r="A17" s="10">
        <v>10</v>
      </c>
      <c r="B17" s="48">
        <f t="shared" si="3"/>
        <v>44660</v>
      </c>
      <c r="C17" s="17">
        <v>180</v>
      </c>
      <c r="D17" s="17">
        <v>180</v>
      </c>
      <c r="E17" s="16">
        <v>44662</v>
      </c>
      <c r="F17" t="s">
        <v>59</v>
      </c>
      <c r="H17" s="17">
        <f t="shared" si="0"/>
        <v>0</v>
      </c>
      <c r="I17" s="17" t="s">
        <v>606</v>
      </c>
      <c r="J17" s="48">
        <v>44797</v>
      </c>
      <c r="K17" s="17">
        <v>176.34</v>
      </c>
      <c r="L17" s="49" t="s">
        <v>20</v>
      </c>
      <c r="N17" t="s">
        <v>832</v>
      </c>
      <c r="P17" s="111">
        <f t="shared" si="1"/>
        <v>0</v>
      </c>
    </row>
    <row r="18" spans="1:16" ht="15" customHeight="1" x14ac:dyDescent="0.25">
      <c r="A18" s="10">
        <v>11</v>
      </c>
      <c r="B18" s="48">
        <f t="shared" si="3"/>
        <v>44667</v>
      </c>
      <c r="C18" s="17">
        <v>180</v>
      </c>
      <c r="D18" s="17">
        <v>180</v>
      </c>
      <c r="E18" s="16">
        <v>44670</v>
      </c>
      <c r="F18" t="s">
        <v>59</v>
      </c>
      <c r="H18" s="17">
        <f t="shared" ref="H18:H23" si="4">IFERROR(IF(F17="Closed account",(IF(F18="Unpaid Rent",(C18),(C18-D18))),(IF(F18="Unpaid Rent",(C18+H17),(C18-D18+H17)))),"")</f>
        <v>0</v>
      </c>
      <c r="I18" s="17" t="s">
        <v>606</v>
      </c>
      <c r="J18" s="48">
        <v>44799</v>
      </c>
      <c r="K18" s="17">
        <v>500</v>
      </c>
      <c r="L18" s="49" t="s">
        <v>17</v>
      </c>
      <c r="M18" t="s">
        <v>839</v>
      </c>
      <c r="N18" t="s">
        <v>832</v>
      </c>
      <c r="P18" s="111">
        <f t="shared" si="1"/>
        <v>0</v>
      </c>
    </row>
    <row r="19" spans="1:16" ht="15" customHeight="1" x14ac:dyDescent="0.25">
      <c r="A19" s="10">
        <v>12</v>
      </c>
      <c r="B19" s="48">
        <f t="shared" si="3"/>
        <v>44674</v>
      </c>
      <c r="C19" s="17">
        <v>180</v>
      </c>
      <c r="D19" s="17">
        <v>180</v>
      </c>
      <c r="E19" s="16">
        <v>44677</v>
      </c>
      <c r="F19" t="s">
        <v>59</v>
      </c>
      <c r="H19" s="17">
        <f t="shared" si="4"/>
        <v>0</v>
      </c>
      <c r="I19" s="17" t="s">
        <v>606</v>
      </c>
      <c r="J19" s="48">
        <v>44802</v>
      </c>
      <c r="K19" s="17">
        <v>500</v>
      </c>
      <c r="L19" s="49" t="s">
        <v>17</v>
      </c>
      <c r="M19" t="s">
        <v>839</v>
      </c>
      <c r="N19" t="s">
        <v>832</v>
      </c>
      <c r="P19" s="111">
        <f t="shared" si="1"/>
        <v>0</v>
      </c>
    </row>
    <row r="20" spans="1:16" ht="15" customHeight="1" x14ac:dyDescent="0.25">
      <c r="A20" s="10">
        <v>13</v>
      </c>
      <c r="B20" s="48">
        <f t="shared" si="3"/>
        <v>44681</v>
      </c>
      <c r="C20" s="17">
        <v>180</v>
      </c>
      <c r="D20" s="17">
        <v>180</v>
      </c>
      <c r="E20" s="16">
        <v>44683</v>
      </c>
      <c r="F20" t="s">
        <v>59</v>
      </c>
      <c r="H20" s="17">
        <f t="shared" si="4"/>
        <v>0</v>
      </c>
      <c r="I20" s="17" t="s">
        <v>606</v>
      </c>
      <c r="J20" s="48">
        <v>44847</v>
      </c>
      <c r="K20" s="17">
        <v>600</v>
      </c>
      <c r="L20" s="49" t="s">
        <v>17</v>
      </c>
      <c r="M20" t="s">
        <v>910</v>
      </c>
      <c r="N20" t="s">
        <v>606</v>
      </c>
      <c r="P20" s="111">
        <f t="shared" si="1"/>
        <v>0</v>
      </c>
    </row>
    <row r="21" spans="1:16" ht="15" customHeight="1" x14ac:dyDescent="0.25">
      <c r="A21" s="10">
        <v>14</v>
      </c>
      <c r="B21" s="48">
        <f t="shared" si="3"/>
        <v>44688</v>
      </c>
      <c r="C21" s="17">
        <v>180</v>
      </c>
      <c r="D21" s="17">
        <v>180</v>
      </c>
      <c r="E21" s="16">
        <v>44690</v>
      </c>
      <c r="F21" t="s">
        <v>59</v>
      </c>
      <c r="H21" s="17">
        <f t="shared" si="4"/>
        <v>0</v>
      </c>
      <c r="I21" s="17" t="s">
        <v>606</v>
      </c>
      <c r="J21" s="48">
        <v>44854</v>
      </c>
      <c r="K21" s="17">
        <v>40</v>
      </c>
      <c r="L21" s="49" t="s">
        <v>32</v>
      </c>
      <c r="N21" t="s">
        <v>606</v>
      </c>
      <c r="P21" s="111">
        <f t="shared" si="1"/>
        <v>0</v>
      </c>
    </row>
    <row r="22" spans="1:16" ht="15" customHeight="1" x14ac:dyDescent="0.25">
      <c r="A22" s="10">
        <v>15</v>
      </c>
      <c r="B22" s="48">
        <f t="shared" si="3"/>
        <v>44695</v>
      </c>
      <c r="C22" s="17">
        <v>180</v>
      </c>
      <c r="D22" s="17">
        <v>180</v>
      </c>
      <c r="E22" s="16">
        <v>44697</v>
      </c>
      <c r="F22" t="s">
        <v>59</v>
      </c>
      <c r="H22" s="17">
        <f t="shared" si="4"/>
        <v>0</v>
      </c>
      <c r="I22" s="17" t="s">
        <v>606</v>
      </c>
      <c r="J22" s="48">
        <v>44855</v>
      </c>
      <c r="K22" s="17">
        <v>396</v>
      </c>
      <c r="L22" s="49" t="s">
        <v>17</v>
      </c>
      <c r="M22" t="s">
        <v>859</v>
      </c>
      <c r="N22" t="s">
        <v>606</v>
      </c>
      <c r="P22" s="111">
        <f t="shared" si="1"/>
        <v>0</v>
      </c>
    </row>
    <row r="23" spans="1:16" ht="15" customHeight="1" x14ac:dyDescent="0.25">
      <c r="A23" s="10">
        <v>16</v>
      </c>
      <c r="B23" s="48">
        <f t="shared" si="3"/>
        <v>44702</v>
      </c>
      <c r="C23" s="17">
        <v>180</v>
      </c>
      <c r="D23" s="17">
        <v>180</v>
      </c>
      <c r="E23" s="16">
        <v>44704</v>
      </c>
      <c r="F23" t="s">
        <v>59</v>
      </c>
      <c r="H23" s="17">
        <f t="shared" si="4"/>
        <v>0</v>
      </c>
      <c r="I23" s="17" t="s">
        <v>606</v>
      </c>
      <c r="J23" s="48">
        <v>44860</v>
      </c>
      <c r="K23" s="17">
        <v>357.5</v>
      </c>
      <c r="L23" s="49" t="s">
        <v>17</v>
      </c>
      <c r="M23" t="s">
        <v>859</v>
      </c>
      <c r="N23" t="s">
        <v>606</v>
      </c>
      <c r="P23" s="111">
        <f t="shared" si="1"/>
        <v>0</v>
      </c>
    </row>
    <row r="24" spans="1:16" ht="15" customHeight="1" x14ac:dyDescent="0.25">
      <c r="A24" s="10">
        <v>17</v>
      </c>
      <c r="B24" s="48">
        <f t="shared" ref="B24:B29" si="5">B23+7</f>
        <v>44709</v>
      </c>
      <c r="C24" s="17">
        <v>180</v>
      </c>
      <c r="D24" s="17">
        <v>180</v>
      </c>
      <c r="E24" s="16">
        <v>44711</v>
      </c>
      <c r="F24" t="s">
        <v>59</v>
      </c>
      <c r="H24" s="17">
        <f t="shared" si="0"/>
        <v>0</v>
      </c>
      <c r="I24" s="17" t="s">
        <v>606</v>
      </c>
      <c r="J24" s="48">
        <v>44567</v>
      </c>
      <c r="K24" s="17">
        <v>370</v>
      </c>
      <c r="L24" s="49" t="s">
        <v>133</v>
      </c>
      <c r="N24" t="s">
        <v>606</v>
      </c>
      <c r="P24" s="111">
        <f t="shared" si="1"/>
        <v>0</v>
      </c>
    </row>
    <row r="25" spans="1:16" ht="15" customHeight="1" x14ac:dyDescent="0.25">
      <c r="A25" s="10">
        <v>18</v>
      </c>
      <c r="B25" s="48">
        <f t="shared" si="5"/>
        <v>44716</v>
      </c>
      <c r="C25" s="17">
        <v>180</v>
      </c>
      <c r="D25" s="17">
        <v>180</v>
      </c>
      <c r="E25" s="16">
        <v>44718</v>
      </c>
      <c r="F25" t="s">
        <v>59</v>
      </c>
      <c r="H25" s="17">
        <f t="shared" si="0"/>
        <v>0</v>
      </c>
      <c r="I25" s="17" t="s">
        <v>606</v>
      </c>
      <c r="J25" s="48">
        <v>44936</v>
      </c>
      <c r="K25" s="17">
        <v>51.07</v>
      </c>
      <c r="L25" s="49" t="s">
        <v>20</v>
      </c>
      <c r="M25" t="s">
        <v>964</v>
      </c>
      <c r="N25" t="s">
        <v>606</v>
      </c>
      <c r="P25" s="111">
        <f t="shared" si="1"/>
        <v>0</v>
      </c>
    </row>
    <row r="26" spans="1:16" ht="15" customHeight="1" x14ac:dyDescent="0.25">
      <c r="A26" s="10">
        <v>19</v>
      </c>
      <c r="B26" s="48">
        <f t="shared" si="5"/>
        <v>44723</v>
      </c>
      <c r="C26" s="17">
        <v>180</v>
      </c>
      <c r="D26" s="17">
        <v>180</v>
      </c>
      <c r="E26" s="16">
        <v>44725</v>
      </c>
      <c r="F26" t="s">
        <v>59</v>
      </c>
      <c r="H26" s="17">
        <f t="shared" si="0"/>
        <v>0</v>
      </c>
      <c r="I26" s="17" t="s">
        <v>606</v>
      </c>
      <c r="J26" s="48">
        <v>45031</v>
      </c>
      <c r="K26" s="17">
        <v>51.07</v>
      </c>
      <c r="L26" s="49" t="s">
        <v>20</v>
      </c>
      <c r="M26" t="s">
        <v>964</v>
      </c>
      <c r="N26" t="s">
        <v>14</v>
      </c>
      <c r="P26" s="111">
        <f t="shared" si="1"/>
        <v>0</v>
      </c>
    </row>
    <row r="27" spans="1:16" ht="15" customHeight="1" x14ac:dyDescent="0.25">
      <c r="A27" s="10">
        <v>20</v>
      </c>
      <c r="B27" s="48">
        <f t="shared" si="5"/>
        <v>44730</v>
      </c>
      <c r="C27" s="17">
        <v>180</v>
      </c>
      <c r="D27" s="17">
        <v>180</v>
      </c>
      <c r="E27" s="16">
        <v>44732</v>
      </c>
      <c r="F27" t="s">
        <v>59</v>
      </c>
      <c r="H27" s="17">
        <f t="shared" si="0"/>
        <v>0</v>
      </c>
      <c r="I27" s="17" t="s">
        <v>606</v>
      </c>
      <c r="J27" s="48">
        <v>45023</v>
      </c>
      <c r="K27" s="17">
        <v>175</v>
      </c>
      <c r="L27" s="49" t="s">
        <v>17</v>
      </c>
      <c r="M27" t="s">
        <v>1024</v>
      </c>
      <c r="N27" t="s">
        <v>14</v>
      </c>
      <c r="P27" s="111">
        <f t="shared" si="1"/>
        <v>0</v>
      </c>
    </row>
    <row r="28" spans="1:16" ht="15" customHeight="1" x14ac:dyDescent="0.25">
      <c r="A28" s="10">
        <v>21</v>
      </c>
      <c r="B28" s="48">
        <f t="shared" si="5"/>
        <v>44737</v>
      </c>
      <c r="C28" s="17">
        <v>180</v>
      </c>
      <c r="D28" s="17">
        <v>180</v>
      </c>
      <c r="E28" s="16">
        <v>44739</v>
      </c>
      <c r="F28" t="s">
        <v>59</v>
      </c>
      <c r="H28" s="17">
        <f t="shared" si="0"/>
        <v>0</v>
      </c>
      <c r="I28" s="17" t="s">
        <v>606</v>
      </c>
      <c r="J28" s="48">
        <v>45049</v>
      </c>
      <c r="K28" s="17">
        <v>414</v>
      </c>
      <c r="L28" s="49" t="s">
        <v>20</v>
      </c>
      <c r="N28" t="s">
        <v>14</v>
      </c>
      <c r="P28" s="111">
        <f t="shared" si="1"/>
        <v>0</v>
      </c>
    </row>
    <row r="29" spans="1:16" ht="15" customHeight="1" x14ac:dyDescent="0.25">
      <c r="A29" s="10">
        <v>22</v>
      </c>
      <c r="B29" s="48">
        <f t="shared" si="5"/>
        <v>44744</v>
      </c>
      <c r="C29" s="17">
        <v>180</v>
      </c>
      <c r="D29" s="17">
        <v>180</v>
      </c>
      <c r="E29" s="16">
        <v>44746</v>
      </c>
      <c r="F29" t="s">
        <v>59</v>
      </c>
      <c r="H29" s="17">
        <f t="shared" si="0"/>
        <v>0</v>
      </c>
      <c r="I29" s="17" t="s">
        <v>606</v>
      </c>
      <c r="J29" s="48">
        <v>45072</v>
      </c>
      <c r="K29" s="17">
        <v>15.32</v>
      </c>
      <c r="L29" s="49" t="s">
        <v>32</v>
      </c>
      <c r="N29" t="s">
        <v>14</v>
      </c>
      <c r="P29" s="111">
        <f t="shared" si="1"/>
        <v>0</v>
      </c>
    </row>
    <row r="30" spans="1:16" ht="15" customHeight="1" x14ac:dyDescent="0.25">
      <c r="A30" s="10">
        <v>23</v>
      </c>
      <c r="B30" s="48">
        <f>B29+7</f>
        <v>44751</v>
      </c>
      <c r="C30" s="17">
        <v>180</v>
      </c>
      <c r="D30" s="17">
        <v>180</v>
      </c>
      <c r="E30" s="16">
        <v>44753</v>
      </c>
      <c r="F30" t="s">
        <v>59</v>
      </c>
      <c r="H30" s="17">
        <f t="shared" si="0"/>
        <v>0</v>
      </c>
      <c r="I30" s="17" t="s">
        <v>606</v>
      </c>
      <c r="J30" s="48">
        <v>45072</v>
      </c>
      <c r="K30" s="17">
        <v>484.8</v>
      </c>
      <c r="L30" s="49" t="s">
        <v>17</v>
      </c>
      <c r="M30" t="s">
        <v>1038</v>
      </c>
      <c r="N30" t="s">
        <v>14</v>
      </c>
      <c r="P30" s="111">
        <f t="shared" si="1"/>
        <v>0</v>
      </c>
    </row>
    <row r="31" spans="1:16" ht="15" customHeight="1" x14ac:dyDescent="0.25">
      <c r="A31" s="10">
        <v>24</v>
      </c>
      <c r="B31" s="48">
        <f>B30+7</f>
        <v>44758</v>
      </c>
      <c r="C31" s="17">
        <v>180</v>
      </c>
      <c r="D31" s="17">
        <v>180</v>
      </c>
      <c r="E31" s="16">
        <v>44760</v>
      </c>
      <c r="F31" t="s">
        <v>124</v>
      </c>
      <c r="H31" s="17">
        <f t="shared" si="0"/>
        <v>0</v>
      </c>
      <c r="I31" s="17" t="s">
        <v>606</v>
      </c>
      <c r="J31" s="48">
        <v>45072</v>
      </c>
      <c r="K31" s="17">
        <v>56.64</v>
      </c>
      <c r="L31" s="49" t="s">
        <v>32</v>
      </c>
      <c r="N31" t="s">
        <v>14</v>
      </c>
      <c r="P31" s="111">
        <f t="shared" si="1"/>
        <v>0</v>
      </c>
    </row>
    <row r="32" spans="1:16" ht="15" customHeight="1" x14ac:dyDescent="0.25">
      <c r="A32" s="10">
        <v>25</v>
      </c>
      <c r="B32" s="48">
        <v>44768</v>
      </c>
      <c r="C32" s="17">
        <v>180</v>
      </c>
      <c r="D32" s="17">
        <v>180</v>
      </c>
      <c r="E32" s="16">
        <v>44768</v>
      </c>
      <c r="F32" t="s">
        <v>117</v>
      </c>
      <c r="H32" s="17">
        <f t="shared" si="0"/>
        <v>0</v>
      </c>
      <c r="I32" s="17" t="s">
        <v>832</v>
      </c>
      <c r="J32" s="48"/>
      <c r="K32" s="17"/>
      <c r="L32" s="49"/>
      <c r="P32" s="111">
        <f t="shared" si="1"/>
        <v>0</v>
      </c>
    </row>
    <row r="33" spans="1:16" ht="15" customHeight="1" x14ac:dyDescent="0.25">
      <c r="A33" s="10">
        <v>26</v>
      </c>
      <c r="B33" s="48">
        <f t="shared" ref="B33:B38" si="6">B32+7</f>
        <v>44775</v>
      </c>
      <c r="C33" s="17">
        <v>180</v>
      </c>
      <c r="D33" s="17">
        <v>180</v>
      </c>
      <c r="E33" s="16">
        <v>44776</v>
      </c>
      <c r="F33" t="s">
        <v>117</v>
      </c>
      <c r="H33" s="17">
        <f t="shared" si="0"/>
        <v>0</v>
      </c>
      <c r="I33" s="17" t="s">
        <v>832</v>
      </c>
      <c r="J33" s="48"/>
      <c r="K33" s="17"/>
      <c r="L33" s="49"/>
      <c r="P33" s="111">
        <f t="shared" si="1"/>
        <v>0</v>
      </c>
    </row>
    <row r="34" spans="1:16" ht="15" customHeight="1" x14ac:dyDescent="0.25">
      <c r="A34" s="10">
        <v>27</v>
      </c>
      <c r="B34" s="48">
        <f t="shared" si="6"/>
        <v>44782</v>
      </c>
      <c r="C34" s="17">
        <v>180</v>
      </c>
      <c r="D34" s="17">
        <v>180</v>
      </c>
      <c r="E34" s="16">
        <v>44781</v>
      </c>
      <c r="F34" t="s">
        <v>117</v>
      </c>
      <c r="H34" s="17">
        <f t="shared" si="0"/>
        <v>0</v>
      </c>
      <c r="I34" s="17" t="s">
        <v>832</v>
      </c>
      <c r="J34" s="48"/>
      <c r="K34" s="17"/>
      <c r="L34" s="49"/>
      <c r="P34" s="111">
        <f t="shared" si="1"/>
        <v>0</v>
      </c>
    </row>
    <row r="35" spans="1:16" ht="15" customHeight="1" x14ac:dyDescent="0.25">
      <c r="A35" s="10">
        <v>28</v>
      </c>
      <c r="B35" s="48">
        <f t="shared" si="6"/>
        <v>44789</v>
      </c>
      <c r="C35" s="17">
        <v>180</v>
      </c>
      <c r="D35" s="17">
        <v>180</v>
      </c>
      <c r="E35" s="16">
        <v>44788</v>
      </c>
      <c r="F35" t="s">
        <v>117</v>
      </c>
      <c r="H35" s="17">
        <f t="shared" si="0"/>
        <v>0</v>
      </c>
      <c r="I35" s="17" t="s">
        <v>832</v>
      </c>
      <c r="J35" s="48"/>
      <c r="K35" s="17"/>
      <c r="L35" s="49"/>
      <c r="P35" s="111">
        <f t="shared" si="1"/>
        <v>0</v>
      </c>
    </row>
    <row r="36" spans="1:16" ht="15" customHeight="1" x14ac:dyDescent="0.25">
      <c r="A36" s="10">
        <v>29</v>
      </c>
      <c r="B36" s="48">
        <f t="shared" si="6"/>
        <v>44796</v>
      </c>
      <c r="C36" s="17">
        <v>180</v>
      </c>
      <c r="D36" s="17">
        <v>180</v>
      </c>
      <c r="E36" s="16">
        <v>44796</v>
      </c>
      <c r="F36" t="s">
        <v>117</v>
      </c>
      <c r="H36" s="17">
        <f t="shared" si="0"/>
        <v>0</v>
      </c>
      <c r="I36" s="17" t="s">
        <v>832</v>
      </c>
      <c r="J36" s="48"/>
      <c r="K36" s="17"/>
      <c r="L36" s="49"/>
      <c r="P36" s="111">
        <f t="shared" si="1"/>
        <v>0</v>
      </c>
    </row>
    <row r="37" spans="1:16" ht="15" customHeight="1" x14ac:dyDescent="0.25">
      <c r="A37" s="10">
        <v>30</v>
      </c>
      <c r="B37" s="48">
        <f t="shared" si="6"/>
        <v>44803</v>
      </c>
      <c r="C37" s="17">
        <v>180</v>
      </c>
      <c r="D37" s="17">
        <v>180</v>
      </c>
      <c r="E37" s="16">
        <v>44803</v>
      </c>
      <c r="F37" t="s">
        <v>117</v>
      </c>
      <c r="H37" s="17">
        <f t="shared" si="0"/>
        <v>0</v>
      </c>
      <c r="I37" s="17" t="s">
        <v>832</v>
      </c>
      <c r="J37" s="48"/>
      <c r="K37" s="17"/>
      <c r="L37" s="49"/>
      <c r="P37" s="111">
        <f t="shared" si="1"/>
        <v>0</v>
      </c>
    </row>
    <row r="38" spans="1:16" ht="15" customHeight="1" x14ac:dyDescent="0.25">
      <c r="A38" s="10">
        <v>31</v>
      </c>
      <c r="B38" s="48">
        <f t="shared" si="6"/>
        <v>44810</v>
      </c>
      <c r="C38" s="17">
        <v>180</v>
      </c>
      <c r="D38" s="17">
        <v>180</v>
      </c>
      <c r="E38" s="16">
        <v>44810</v>
      </c>
      <c r="F38" t="s">
        <v>117</v>
      </c>
      <c r="H38" s="17">
        <f t="shared" si="0"/>
        <v>0</v>
      </c>
      <c r="I38" s="17" t="s">
        <v>832</v>
      </c>
      <c r="J38" s="48"/>
      <c r="K38" s="17"/>
      <c r="L38" s="49"/>
      <c r="P38" s="111">
        <f t="shared" si="1"/>
        <v>0</v>
      </c>
    </row>
    <row r="39" spans="1:16" ht="15" customHeight="1" x14ac:dyDescent="0.25">
      <c r="A39" s="10">
        <v>32</v>
      </c>
      <c r="B39" s="48">
        <f>B38+7</f>
        <v>44817</v>
      </c>
      <c r="C39" s="17">
        <v>180</v>
      </c>
      <c r="D39" s="17">
        <v>180</v>
      </c>
      <c r="E39" s="16">
        <v>44818</v>
      </c>
      <c r="F39" t="s">
        <v>117</v>
      </c>
      <c r="H39" s="17">
        <f t="shared" si="0"/>
        <v>0</v>
      </c>
      <c r="I39" s="17" t="s">
        <v>832</v>
      </c>
      <c r="J39" s="48"/>
      <c r="K39" s="17"/>
      <c r="L39" s="49"/>
      <c r="P39" s="111">
        <f t="shared" si="1"/>
        <v>0</v>
      </c>
    </row>
    <row r="40" spans="1:16" ht="15" customHeight="1" x14ac:dyDescent="0.25">
      <c r="A40" s="10">
        <v>33</v>
      </c>
      <c r="B40" s="48">
        <f>B39+7</f>
        <v>44824</v>
      </c>
      <c r="C40" s="17">
        <v>180</v>
      </c>
      <c r="D40" s="17">
        <v>180</v>
      </c>
      <c r="E40" s="16">
        <v>44824</v>
      </c>
      <c r="F40" t="s">
        <v>117</v>
      </c>
      <c r="H40" s="17">
        <f t="shared" si="0"/>
        <v>0</v>
      </c>
      <c r="I40" s="17" t="s">
        <v>832</v>
      </c>
      <c r="J40" s="48"/>
      <c r="K40" s="17"/>
      <c r="L40" s="49"/>
      <c r="P40" s="111">
        <f t="shared" si="1"/>
        <v>0</v>
      </c>
    </row>
    <row r="41" spans="1:16" ht="15" customHeight="1" x14ac:dyDescent="0.25">
      <c r="A41" s="10">
        <v>34</v>
      </c>
      <c r="B41" s="48">
        <f>B40+7</f>
        <v>44831</v>
      </c>
      <c r="C41" s="17">
        <v>180</v>
      </c>
      <c r="D41" s="17">
        <v>180</v>
      </c>
      <c r="E41" s="16">
        <v>44831</v>
      </c>
      <c r="F41" t="s">
        <v>117</v>
      </c>
      <c r="H41" s="17">
        <f t="shared" si="0"/>
        <v>0</v>
      </c>
      <c r="I41" s="17" t="s">
        <v>832</v>
      </c>
      <c r="J41" s="48"/>
      <c r="K41" s="17"/>
      <c r="L41" s="49"/>
      <c r="P41" s="111">
        <f t="shared" si="1"/>
        <v>0</v>
      </c>
    </row>
    <row r="42" spans="1:16" ht="15" customHeight="1" x14ac:dyDescent="0.25">
      <c r="A42" s="10">
        <v>35</v>
      </c>
      <c r="B42" s="48">
        <f>B41+7</f>
        <v>44838</v>
      </c>
      <c r="C42" s="17">
        <v>180</v>
      </c>
      <c r="D42" s="17">
        <v>180</v>
      </c>
      <c r="E42" s="16">
        <v>44840</v>
      </c>
      <c r="F42" t="s">
        <v>124</v>
      </c>
      <c r="H42" s="17">
        <f t="shared" si="0"/>
        <v>0</v>
      </c>
      <c r="I42" s="17" t="s">
        <v>606</v>
      </c>
      <c r="J42" s="48"/>
      <c r="K42" s="17"/>
      <c r="L42" s="49"/>
      <c r="P42" s="111">
        <f t="shared" si="1"/>
        <v>0</v>
      </c>
    </row>
    <row r="43" spans="1:16" ht="15" customHeight="1" x14ac:dyDescent="0.25">
      <c r="A43" s="10">
        <v>1</v>
      </c>
      <c r="B43" s="48">
        <v>45073</v>
      </c>
      <c r="C43" s="17">
        <v>2946.28</v>
      </c>
      <c r="D43" s="17"/>
      <c r="E43" s="16"/>
      <c r="H43" s="17">
        <f t="shared" si="0"/>
        <v>2946.28</v>
      </c>
      <c r="I43" s="17" t="s">
        <v>619</v>
      </c>
      <c r="J43" s="48"/>
      <c r="K43" s="17"/>
      <c r="L43" s="49"/>
      <c r="P43" s="111">
        <f t="shared" si="1"/>
        <v>0</v>
      </c>
    </row>
    <row r="44" spans="1:16" ht="15" customHeight="1" x14ac:dyDescent="0.25">
      <c r="A44" s="10">
        <v>1</v>
      </c>
      <c r="B44" s="48">
        <v>45073</v>
      </c>
      <c r="C44" s="17">
        <v>180</v>
      </c>
      <c r="D44" s="17"/>
      <c r="E44" s="16"/>
      <c r="H44" s="17">
        <f t="shared" si="0"/>
        <v>3126.28</v>
      </c>
      <c r="I44" s="17" t="s">
        <v>619</v>
      </c>
      <c r="J44" s="48"/>
      <c r="K44" s="17"/>
      <c r="L44" s="49"/>
      <c r="P44" s="111"/>
    </row>
    <row r="45" spans="1:16" ht="15" customHeight="1" x14ac:dyDescent="0.25">
      <c r="B45" s="48"/>
      <c r="C45" s="17"/>
      <c r="D45" s="17"/>
      <c r="E45" s="16"/>
      <c r="H45" s="17"/>
      <c r="I45" s="17"/>
      <c r="J45" s="48"/>
      <c r="K45" s="17"/>
      <c r="L45" s="49"/>
      <c r="P45" s="111"/>
    </row>
    <row r="46" spans="1:16" ht="15" customHeight="1" x14ac:dyDescent="0.25">
      <c r="B46" s="48"/>
      <c r="C46" s="17"/>
      <c r="D46" s="17"/>
      <c r="H46" s="17"/>
      <c r="I46" s="17"/>
      <c r="J46" s="48"/>
      <c r="K46" s="17"/>
      <c r="L46" s="49"/>
      <c r="P46" s="111"/>
    </row>
    <row r="47" spans="1:16" ht="15" customHeight="1" x14ac:dyDescent="0.25">
      <c r="B47" s="48"/>
      <c r="C47" s="17"/>
      <c r="D47" s="17"/>
      <c r="H47" s="17"/>
      <c r="I47" s="17"/>
      <c r="J47" s="48"/>
      <c r="K47" s="17"/>
      <c r="L47" s="49"/>
      <c r="P47" s="111"/>
    </row>
    <row r="48" spans="1:16" ht="15" customHeight="1" x14ac:dyDescent="0.25">
      <c r="B48" s="48"/>
      <c r="C48" s="17"/>
      <c r="D48" s="17"/>
      <c r="H48" s="17"/>
      <c r="I48" s="17"/>
      <c r="J48" s="48"/>
      <c r="K48" s="17"/>
      <c r="L48" s="49"/>
      <c r="P48" s="111"/>
    </row>
    <row r="49" spans="2:16" ht="15" customHeight="1" x14ac:dyDescent="0.25">
      <c r="B49" s="48"/>
      <c r="C49" s="17"/>
      <c r="D49" s="17"/>
      <c r="E49" s="16"/>
      <c r="H49" s="17"/>
      <c r="I49" s="17"/>
      <c r="J49" s="48"/>
      <c r="K49" s="17"/>
      <c r="L49" s="49"/>
      <c r="P49" s="111"/>
    </row>
    <row r="50" spans="2:16" ht="15" customHeight="1" x14ac:dyDescent="0.25">
      <c r="B50" s="48"/>
      <c r="C50" s="17"/>
      <c r="D50" s="17"/>
      <c r="E50" s="16"/>
      <c r="H50" s="17"/>
      <c r="I50" s="17"/>
      <c r="J50" s="48"/>
      <c r="K50" s="17"/>
      <c r="L50" s="49"/>
      <c r="P50" s="111"/>
    </row>
    <row r="51" spans="2:16" ht="15" customHeight="1" x14ac:dyDescent="0.25">
      <c r="B51" s="48"/>
      <c r="C51" s="17"/>
      <c r="D51" s="17"/>
      <c r="E51" s="16"/>
      <c r="H51" s="17"/>
      <c r="I51" s="17"/>
      <c r="J51" s="48"/>
      <c r="K51" s="17"/>
      <c r="L51" s="49"/>
      <c r="P51" s="111"/>
    </row>
    <row r="52" spans="2:16" ht="15" customHeight="1" x14ac:dyDescent="0.25">
      <c r="B52" s="48"/>
      <c r="C52" s="17"/>
      <c r="D52" s="17"/>
      <c r="E52" s="16"/>
      <c r="H52" s="17"/>
      <c r="I52" s="17"/>
      <c r="J52" s="48"/>
      <c r="K52" s="17"/>
      <c r="L52" s="49"/>
      <c r="P52" s="111"/>
    </row>
    <row r="53" spans="2:16" ht="15" customHeight="1" x14ac:dyDescent="0.25">
      <c r="B53" s="48"/>
      <c r="C53" s="17"/>
      <c r="D53" s="17"/>
      <c r="E53" s="16"/>
      <c r="H53" s="17"/>
      <c r="I53" s="17"/>
      <c r="J53" s="48"/>
      <c r="K53" s="17"/>
      <c r="L53" s="49"/>
      <c r="P53" s="111"/>
    </row>
    <row r="54" spans="2:16" ht="15" customHeight="1" x14ac:dyDescent="0.25">
      <c r="B54" s="48"/>
      <c r="C54" s="17"/>
      <c r="D54" s="17"/>
      <c r="E54" s="16"/>
      <c r="H54" s="17"/>
      <c r="I54" s="17"/>
      <c r="J54" s="48"/>
      <c r="K54" s="17"/>
      <c r="L54" s="49"/>
      <c r="P54" s="111"/>
    </row>
    <row r="55" spans="2:16" ht="15" customHeight="1" x14ac:dyDescent="0.25">
      <c r="B55" s="48"/>
      <c r="C55" s="17"/>
      <c r="D55" s="17"/>
      <c r="E55" s="16"/>
      <c r="H55" s="17"/>
      <c r="I55" s="17"/>
      <c r="J55" s="48"/>
      <c r="K55" s="17"/>
      <c r="L55" s="49"/>
      <c r="P55" s="111"/>
    </row>
    <row r="56" spans="2:16" ht="15" customHeight="1" x14ac:dyDescent="0.25">
      <c r="B56" s="48"/>
      <c r="C56" s="17"/>
      <c r="D56" s="17"/>
      <c r="E56" s="16"/>
      <c r="H56" s="17"/>
      <c r="I56" s="17"/>
      <c r="J56" s="48"/>
      <c r="K56" s="17"/>
      <c r="L56" s="49"/>
      <c r="P56" s="111"/>
    </row>
    <row r="57" spans="2:16" ht="15" customHeight="1" x14ac:dyDescent="0.25">
      <c r="B57" s="48"/>
      <c r="C57" s="17"/>
      <c r="D57" s="17"/>
      <c r="H57" s="17"/>
      <c r="I57" s="17"/>
      <c r="J57" s="48"/>
      <c r="K57" s="17"/>
      <c r="L57" s="49"/>
      <c r="P57" s="111"/>
    </row>
    <row r="58" spans="2:16" ht="15" customHeight="1" x14ac:dyDescent="0.25">
      <c r="B58" s="48"/>
      <c r="C58" s="17"/>
      <c r="D58" s="17"/>
      <c r="E58" s="16"/>
      <c r="H58" s="17"/>
      <c r="I58" s="17"/>
      <c r="J58" s="48"/>
      <c r="K58" s="17"/>
      <c r="L58" s="49"/>
      <c r="P58" s="111"/>
    </row>
    <row r="59" spans="2:16" ht="15" customHeight="1" x14ac:dyDescent="0.25">
      <c r="B59" s="48"/>
      <c r="C59" s="17"/>
      <c r="D59" s="17"/>
      <c r="E59" s="16"/>
      <c r="H59" s="17"/>
      <c r="I59" s="17"/>
      <c r="J59" s="48"/>
      <c r="K59" s="17"/>
      <c r="L59" s="49"/>
      <c r="P59" s="111"/>
    </row>
    <row r="60" spans="2:16" ht="15" customHeight="1" x14ac:dyDescent="0.25">
      <c r="B60" s="48"/>
      <c r="C60" s="17"/>
      <c r="D60" s="17"/>
      <c r="E60" s="16"/>
      <c r="H60" s="17"/>
      <c r="I60" s="17"/>
      <c r="J60" s="48"/>
      <c r="K60" s="17"/>
      <c r="L60" s="49"/>
      <c r="P60" s="111"/>
    </row>
    <row r="61" spans="2:16" ht="15" customHeight="1" x14ac:dyDescent="0.25">
      <c r="B61" s="48"/>
      <c r="C61" s="17"/>
      <c r="D61" s="17"/>
      <c r="E61" s="16"/>
      <c r="H61" s="17"/>
      <c r="I61" s="17"/>
      <c r="J61" s="48"/>
      <c r="K61" s="17"/>
      <c r="L61" s="49"/>
      <c r="P61" s="111"/>
    </row>
    <row r="62" spans="2:16" ht="15" customHeight="1" x14ac:dyDescent="0.25">
      <c r="B62" s="48"/>
      <c r="C62" s="17"/>
      <c r="D62" s="17"/>
      <c r="E62" s="16"/>
      <c r="H62" s="17"/>
      <c r="I62" s="17"/>
      <c r="J62" s="48"/>
      <c r="K62" s="17"/>
      <c r="L62" s="49"/>
      <c r="P62" s="111"/>
    </row>
    <row r="63" spans="2:16" ht="15" customHeight="1" x14ac:dyDescent="0.25">
      <c r="B63" s="48"/>
      <c r="C63" s="17"/>
      <c r="D63" s="17"/>
      <c r="E63" s="16"/>
      <c r="H63" s="17"/>
      <c r="I63" s="17"/>
      <c r="J63" s="48"/>
      <c r="K63" s="17"/>
      <c r="L63" s="49"/>
      <c r="P63" s="111"/>
    </row>
    <row r="64" spans="2:16" ht="15" customHeight="1" x14ac:dyDescent="0.25">
      <c r="B64" s="48"/>
      <c r="C64" s="17"/>
      <c r="D64" s="17"/>
      <c r="E64" s="16"/>
      <c r="H64" s="17"/>
      <c r="I64" s="17"/>
      <c r="J64" s="48"/>
      <c r="K64" s="17"/>
      <c r="L64" s="49"/>
      <c r="P64" s="111"/>
    </row>
    <row r="65" spans="1:16" ht="15" customHeight="1" x14ac:dyDescent="0.25">
      <c r="B65" s="48"/>
      <c r="C65" s="17"/>
      <c r="D65" s="17"/>
      <c r="E65" s="16"/>
      <c r="H65" s="17"/>
      <c r="I65" s="17"/>
      <c r="J65" s="48"/>
      <c r="K65" s="17"/>
      <c r="L65" s="49"/>
      <c r="P65" s="111"/>
    </row>
    <row r="66" spans="1:16" ht="15" customHeight="1" x14ac:dyDescent="0.25">
      <c r="B66" s="48"/>
      <c r="C66" s="17"/>
      <c r="D66" s="17"/>
      <c r="E66" s="16"/>
      <c r="H66" s="17"/>
      <c r="I66" s="17"/>
      <c r="J66" s="48"/>
      <c r="K66" s="17"/>
      <c r="L66" s="49"/>
      <c r="P66" s="111"/>
    </row>
    <row r="67" spans="1:16" ht="15" customHeight="1" x14ac:dyDescent="0.25">
      <c r="B67" s="48"/>
      <c r="C67" s="17"/>
      <c r="D67" s="17"/>
      <c r="E67" s="16"/>
      <c r="H67" s="17"/>
      <c r="I67" s="17"/>
      <c r="J67" s="48"/>
      <c r="K67" s="17"/>
      <c r="L67" s="49"/>
      <c r="P67" s="111"/>
    </row>
    <row r="68" spans="1:16" ht="15" customHeight="1" x14ac:dyDescent="0.25">
      <c r="B68" s="48"/>
      <c r="C68" s="17"/>
      <c r="D68" s="17"/>
      <c r="E68" s="16"/>
      <c r="H68" s="17"/>
      <c r="I68" s="17"/>
      <c r="J68" s="48"/>
      <c r="K68" s="17"/>
      <c r="L68" s="49"/>
      <c r="P68" s="111"/>
    </row>
    <row r="69" spans="1:16" ht="15" customHeight="1" x14ac:dyDescent="0.25">
      <c r="B69" s="48"/>
      <c r="C69" s="17"/>
      <c r="D69" s="17"/>
      <c r="E69" s="16"/>
      <c r="H69" s="17"/>
      <c r="I69" s="17"/>
      <c r="J69" s="48"/>
      <c r="K69" s="17"/>
      <c r="L69" s="49"/>
      <c r="P69" s="111"/>
    </row>
    <row r="70" spans="1:16" ht="15" customHeight="1" x14ac:dyDescent="0.25">
      <c r="B70" s="48"/>
      <c r="C70" s="17"/>
      <c r="D70" s="17"/>
      <c r="E70" s="16"/>
      <c r="H70" s="17"/>
      <c r="I70" s="17"/>
      <c r="J70" s="48"/>
      <c r="K70" s="17"/>
      <c r="L70" s="49"/>
      <c r="P70" s="111"/>
    </row>
    <row r="71" spans="1:16" ht="15" customHeight="1" x14ac:dyDescent="0.25">
      <c r="B71" s="48"/>
      <c r="C71" s="17"/>
      <c r="D71" s="17"/>
      <c r="E71" s="16"/>
      <c r="H71" s="17"/>
      <c r="I71" s="17"/>
      <c r="J71" s="48"/>
      <c r="K71" s="17"/>
      <c r="L71" s="49"/>
      <c r="P71" s="111"/>
    </row>
    <row r="72" spans="1:16" ht="15" customHeight="1" x14ac:dyDescent="0.25">
      <c r="B72" s="48"/>
      <c r="H72" s="17"/>
      <c r="J72" s="48"/>
      <c r="K72" s="17"/>
      <c r="L72" s="49"/>
    </row>
    <row r="73" spans="1:16" x14ac:dyDescent="0.25">
      <c r="A73"/>
      <c r="B73" s="50"/>
      <c r="H73" s="17"/>
      <c r="J73" s="48"/>
      <c r="K73" s="17"/>
      <c r="L73" s="49"/>
    </row>
    <row r="74" spans="1:16" x14ac:dyDescent="0.25">
      <c r="A74"/>
      <c r="B74" s="50"/>
      <c r="H74" s="17"/>
      <c r="J74" s="48"/>
      <c r="K74" s="17"/>
      <c r="L74" s="49"/>
    </row>
    <row r="75" spans="1:16" x14ac:dyDescent="0.25">
      <c r="A75"/>
      <c r="B75" s="50"/>
      <c r="H75" s="17"/>
      <c r="J75" s="48"/>
      <c r="K75" s="17"/>
      <c r="L75" s="49"/>
    </row>
    <row r="76" spans="1:16" x14ac:dyDescent="0.25">
      <c r="A76"/>
      <c r="B76" s="50"/>
      <c r="J76" s="48"/>
      <c r="K76" s="17"/>
      <c r="L76" s="49"/>
    </row>
    <row r="77" spans="1:16" x14ac:dyDescent="0.25">
      <c r="A77"/>
      <c r="B77" s="50"/>
      <c r="J77" s="48"/>
      <c r="K77" s="17"/>
      <c r="L77" s="49"/>
    </row>
    <row r="78" spans="1:16" x14ac:dyDescent="0.25">
      <c r="A78"/>
      <c r="B78" s="50"/>
      <c r="J78" s="48"/>
      <c r="K78" s="17"/>
      <c r="L78" s="49"/>
    </row>
    <row r="79" spans="1:16" x14ac:dyDescent="0.25">
      <c r="A79"/>
      <c r="B79" s="50"/>
      <c r="J79" s="48"/>
      <c r="K79" s="17"/>
      <c r="L79" s="49"/>
    </row>
    <row r="80" spans="1:16" x14ac:dyDescent="0.25">
      <c r="A80"/>
      <c r="B80" s="50"/>
      <c r="J80" s="48"/>
      <c r="K80" s="17"/>
      <c r="L80" s="49"/>
    </row>
    <row r="81" spans="1:12" x14ac:dyDescent="0.25">
      <c r="A81"/>
      <c r="B81" s="50"/>
      <c r="J81" s="48"/>
      <c r="K81" s="17"/>
      <c r="L81" s="49"/>
    </row>
    <row r="82" spans="1:12" x14ac:dyDescent="0.25">
      <c r="A82"/>
      <c r="B82" s="50"/>
      <c r="J82" s="48"/>
      <c r="K82" s="17"/>
      <c r="L82" s="49"/>
    </row>
    <row r="83" spans="1:12" x14ac:dyDescent="0.25">
      <c r="A83"/>
      <c r="B83" s="50"/>
      <c r="J83" s="48"/>
      <c r="K83" s="17"/>
      <c r="L83" s="49"/>
    </row>
    <row r="84" spans="1:12" x14ac:dyDescent="0.25">
      <c r="A84"/>
      <c r="B84" s="50"/>
      <c r="J84" s="48"/>
      <c r="K84" s="17"/>
      <c r="L84" s="49"/>
    </row>
    <row r="85" spans="1:12" x14ac:dyDescent="0.25">
      <c r="A85"/>
      <c r="B85" s="50"/>
      <c r="J85" s="48"/>
      <c r="K85" s="17"/>
      <c r="L85" s="49"/>
    </row>
    <row r="86" spans="1:12" x14ac:dyDescent="0.25">
      <c r="A86"/>
      <c r="B86" s="50"/>
      <c r="J86" s="48"/>
      <c r="K86" s="17"/>
      <c r="L86" s="49"/>
    </row>
    <row r="87" spans="1:12" x14ac:dyDescent="0.25">
      <c r="A87"/>
      <c r="B87" s="50"/>
      <c r="J87" s="48"/>
      <c r="K87" s="17"/>
      <c r="L87" s="49"/>
    </row>
    <row r="88" spans="1:12" x14ac:dyDescent="0.25">
      <c r="A88"/>
      <c r="B88" s="50"/>
      <c r="J88" s="48"/>
      <c r="K88" s="17"/>
      <c r="L88" s="49"/>
    </row>
    <row r="89" spans="1:12" x14ac:dyDescent="0.25">
      <c r="A89"/>
      <c r="B89" s="50"/>
      <c r="J89" s="48"/>
      <c r="K89" s="17"/>
      <c r="L89" s="49"/>
    </row>
    <row r="90" spans="1:12" x14ac:dyDescent="0.25">
      <c r="A90"/>
      <c r="B90" s="50"/>
      <c r="J90" s="48"/>
      <c r="K90" s="17"/>
      <c r="L90" s="49"/>
    </row>
    <row r="91" spans="1:12" x14ac:dyDescent="0.25">
      <c r="A91"/>
      <c r="B91" s="50"/>
      <c r="J91" s="48"/>
      <c r="K91" s="17"/>
      <c r="L91" s="49"/>
    </row>
    <row r="92" spans="1:12" x14ac:dyDescent="0.25">
      <c r="A92"/>
      <c r="B92" s="50"/>
      <c r="J92" s="48"/>
      <c r="K92" s="17"/>
      <c r="L92" s="49"/>
    </row>
    <row r="93" spans="1:12" x14ac:dyDescent="0.25">
      <c r="A93"/>
      <c r="B93" s="50"/>
      <c r="J93" s="48"/>
      <c r="K93" s="17"/>
      <c r="L93" s="49"/>
    </row>
    <row r="94" spans="1:12" x14ac:dyDescent="0.25">
      <c r="A94"/>
      <c r="B94" s="50"/>
      <c r="J94" s="48"/>
      <c r="K94" s="17"/>
      <c r="L94" s="49"/>
    </row>
    <row r="95" spans="1:12" x14ac:dyDescent="0.25">
      <c r="A95"/>
      <c r="B95" s="50"/>
      <c r="J95" s="48"/>
      <c r="K95" s="17"/>
      <c r="L95" s="49"/>
    </row>
    <row r="96" spans="1:12" x14ac:dyDescent="0.25">
      <c r="A96"/>
      <c r="B96" s="50"/>
      <c r="J96" s="48"/>
      <c r="K96" s="17"/>
      <c r="L96" s="49"/>
    </row>
    <row r="97" spans="1:12" x14ac:dyDescent="0.25">
      <c r="A97"/>
      <c r="B97" s="50"/>
      <c r="J97" s="48"/>
      <c r="K97" s="17"/>
      <c r="L97" s="49"/>
    </row>
    <row r="98" spans="1:12" x14ac:dyDescent="0.25">
      <c r="A98"/>
      <c r="B98" s="50"/>
      <c r="J98" s="48"/>
      <c r="K98" s="17"/>
      <c r="L98" s="49"/>
    </row>
    <row r="99" spans="1:12" x14ac:dyDescent="0.25">
      <c r="A99"/>
      <c r="B99" s="50"/>
      <c r="J99" s="48"/>
      <c r="K99" s="17"/>
      <c r="L99" s="49"/>
    </row>
    <row r="100" spans="1:12" x14ac:dyDescent="0.25">
      <c r="A100"/>
      <c r="B100" s="50"/>
      <c r="J100" s="48"/>
      <c r="K100" s="17"/>
      <c r="L100" s="49"/>
    </row>
    <row r="101" spans="1:12" x14ac:dyDescent="0.25">
      <c r="A101"/>
      <c r="B101" s="50"/>
      <c r="J101" s="48"/>
      <c r="K101" s="17"/>
      <c r="L101" s="49"/>
    </row>
    <row r="102" spans="1:12" x14ac:dyDescent="0.25">
      <c r="A102"/>
      <c r="B102" s="50"/>
      <c r="J102" s="48"/>
      <c r="K102" s="17"/>
      <c r="L102" s="49"/>
    </row>
    <row r="103" spans="1:12" x14ac:dyDescent="0.25">
      <c r="A103"/>
      <c r="B103" s="50"/>
      <c r="J103" s="48"/>
      <c r="K103" s="17"/>
      <c r="L103" s="49"/>
    </row>
    <row r="104" spans="1:12" x14ac:dyDescent="0.25">
      <c r="A104"/>
      <c r="B104" s="50"/>
      <c r="J104" s="48"/>
      <c r="K104" s="17"/>
      <c r="L104" s="49"/>
    </row>
    <row r="105" spans="1:12" x14ac:dyDescent="0.25">
      <c r="A105"/>
      <c r="B105" s="50"/>
      <c r="J105" s="48"/>
      <c r="K105" s="17"/>
      <c r="L105" s="49"/>
    </row>
    <row r="106" spans="1:12" x14ac:dyDescent="0.25">
      <c r="A106"/>
      <c r="B106" s="50"/>
      <c r="J106" s="48"/>
      <c r="K106" s="17"/>
      <c r="L106" s="49"/>
    </row>
    <row r="107" spans="1:12" x14ac:dyDescent="0.25">
      <c r="A107"/>
      <c r="B107" s="50"/>
      <c r="J107" s="48"/>
      <c r="K107" s="17"/>
      <c r="L107" s="49"/>
    </row>
    <row r="108" spans="1:12" x14ac:dyDescent="0.25">
      <c r="A108"/>
      <c r="B108" s="50"/>
      <c r="J108" s="48"/>
      <c r="K108" s="17"/>
      <c r="L108" s="49"/>
    </row>
    <row r="109" spans="1:12" x14ac:dyDescent="0.25">
      <c r="A109"/>
      <c r="B109" s="50"/>
      <c r="J109" s="48"/>
      <c r="K109" s="17"/>
      <c r="L109" s="49"/>
    </row>
    <row r="110" spans="1:12" x14ac:dyDescent="0.25">
      <c r="A110"/>
      <c r="B110" s="50"/>
      <c r="J110" s="48"/>
      <c r="K110" s="17"/>
      <c r="L110" s="49"/>
    </row>
    <row r="111" spans="1:12" x14ac:dyDescent="0.25">
      <c r="A111"/>
      <c r="B111" s="50"/>
      <c r="J111" s="48"/>
      <c r="K111" s="17"/>
      <c r="L111" s="49"/>
    </row>
    <row r="112" spans="1:12" x14ac:dyDescent="0.25">
      <c r="A112"/>
      <c r="B112" s="50"/>
      <c r="J112" s="48"/>
      <c r="K112" s="17"/>
      <c r="L112" s="49"/>
    </row>
    <row r="113" spans="1:12" x14ac:dyDescent="0.25">
      <c r="A113"/>
      <c r="B113" s="50"/>
      <c r="J113" s="48"/>
      <c r="K113" s="17"/>
      <c r="L113" s="49"/>
    </row>
    <row r="114" spans="1:12" x14ac:dyDescent="0.25">
      <c r="A114"/>
      <c r="B114" s="50"/>
      <c r="J114" s="48"/>
      <c r="K114" s="17"/>
      <c r="L114" s="49"/>
    </row>
    <row r="115" spans="1:12" x14ac:dyDescent="0.25">
      <c r="A115"/>
      <c r="B115" s="50"/>
      <c r="J115" s="48"/>
      <c r="K115" s="17"/>
      <c r="L115" s="49"/>
    </row>
    <row r="116" spans="1:12" x14ac:dyDescent="0.25">
      <c r="A116"/>
      <c r="B116" s="50"/>
      <c r="J116" s="48"/>
      <c r="K116" s="17"/>
      <c r="L116" s="49"/>
    </row>
    <row r="117" spans="1:12" x14ac:dyDescent="0.25">
      <c r="A117"/>
      <c r="B117" s="50"/>
      <c r="J117" s="48"/>
      <c r="K117" s="17"/>
      <c r="L117" s="49"/>
    </row>
    <row r="118" spans="1:12" x14ac:dyDescent="0.25">
      <c r="A118"/>
      <c r="B118" s="50"/>
      <c r="J118" s="48"/>
      <c r="K118" s="17"/>
      <c r="L118" s="49"/>
    </row>
    <row r="119" spans="1:12" x14ac:dyDescent="0.25">
      <c r="A119"/>
      <c r="B119" s="50"/>
      <c r="J119" s="48"/>
      <c r="K119" s="17"/>
      <c r="L119" s="49"/>
    </row>
    <row r="120" spans="1:12" x14ac:dyDescent="0.25">
      <c r="A120"/>
      <c r="B120" s="50"/>
      <c r="J120" s="48"/>
      <c r="K120" s="17"/>
      <c r="L120" s="49"/>
    </row>
    <row r="121" spans="1:12" x14ac:dyDescent="0.25">
      <c r="B121" s="50"/>
      <c r="J121" s="48"/>
      <c r="K121" s="17"/>
      <c r="L121" s="49"/>
    </row>
    <row r="122" spans="1:12" x14ac:dyDescent="0.25">
      <c r="B122" s="50"/>
      <c r="J122" s="48"/>
      <c r="K122" s="17"/>
      <c r="L122" s="49"/>
    </row>
    <row r="123" spans="1:12" x14ac:dyDescent="0.25">
      <c r="B123" s="50"/>
      <c r="J123" s="48"/>
      <c r="K123" s="17"/>
      <c r="L123" s="49"/>
    </row>
    <row r="124" spans="1:12" x14ac:dyDescent="0.25">
      <c r="B124" s="50"/>
      <c r="J124" s="48"/>
      <c r="K124" s="17"/>
      <c r="L124" s="49"/>
    </row>
    <row r="125" spans="1:12" x14ac:dyDescent="0.25">
      <c r="B125" s="50"/>
      <c r="J125" s="48"/>
      <c r="K125" s="17"/>
      <c r="L125" s="49"/>
    </row>
    <row r="126" spans="1:12" x14ac:dyDescent="0.25">
      <c r="B126" s="50"/>
      <c r="J126" s="48"/>
      <c r="K126" s="17"/>
      <c r="L126" s="49"/>
    </row>
    <row r="127" spans="1:12" x14ac:dyDescent="0.25">
      <c r="B127" s="50"/>
      <c r="J127" s="48"/>
      <c r="K127" s="17"/>
      <c r="L127" s="49"/>
    </row>
    <row r="128" spans="1:12" x14ac:dyDescent="0.25">
      <c r="B128" s="50"/>
      <c r="J128" s="48"/>
      <c r="K128" s="17"/>
      <c r="L128" s="49"/>
    </row>
    <row r="129" spans="1:12" x14ac:dyDescent="0.25">
      <c r="B129" s="50"/>
      <c r="J129" s="48"/>
      <c r="K129" s="17"/>
      <c r="L129" s="49"/>
    </row>
    <row r="130" spans="1:12" x14ac:dyDescent="0.25">
      <c r="B130" s="50"/>
      <c r="J130" s="48"/>
      <c r="K130" s="17"/>
      <c r="L130" s="49"/>
    </row>
    <row r="131" spans="1:12" x14ac:dyDescent="0.25">
      <c r="B131" s="50"/>
      <c r="J131" s="48"/>
      <c r="K131" s="17"/>
      <c r="L131" s="49"/>
    </row>
    <row r="132" spans="1:12" x14ac:dyDescent="0.25">
      <c r="B132" s="50"/>
      <c r="J132" s="48"/>
      <c r="K132" s="17"/>
      <c r="L132" s="49"/>
    </row>
    <row r="133" spans="1:12" x14ac:dyDescent="0.25">
      <c r="B133" s="50"/>
      <c r="J133" s="48"/>
      <c r="K133" s="17"/>
      <c r="L133" s="49"/>
    </row>
    <row r="134" spans="1:12" x14ac:dyDescent="0.25">
      <c r="B134" s="50"/>
      <c r="J134" s="48"/>
      <c r="K134" s="17"/>
      <c r="L134" s="49"/>
    </row>
    <row r="135" spans="1:12" x14ac:dyDescent="0.25">
      <c r="B135" s="50"/>
      <c r="J135" s="48"/>
      <c r="K135" s="17"/>
      <c r="L135" s="49"/>
    </row>
    <row r="136" spans="1:12" x14ac:dyDescent="0.25">
      <c r="A136" s="10" t="s">
        <v>18</v>
      </c>
      <c r="B136" s="50" t="str">
        <f>IF($A136&lt;&gt;"",IF(_term=26,IF(A136=1,first_payment,B135+14),IF(_term=52,IF(A136=1,first_payment,B135+7),DATE(YEAR(first_payment),MONTH(first_payment)+(A136-1)*per_year,IF(_term=24,IF(1-MOD(A136,2)=1,DAY(first_payment)+14,DAY(first_payment)),DAY(first_payment))))),"")</f>
        <v/>
      </c>
      <c r="H136" t="str">
        <f>IF($A136&lt;&gt;"",$H135-$D136,"")</f>
        <v/>
      </c>
      <c r="J136" s="48"/>
      <c r="K136" s="17"/>
      <c r="L136" s="49"/>
    </row>
    <row r="137" spans="1:12" x14ac:dyDescent="0.25">
      <c r="A137" s="10" t="s">
        <v>18</v>
      </c>
      <c r="B137" s="50" t="str">
        <f>IF($A137&lt;&gt;"",IF(_term=26,IF(A137=1,first_payment,B136+14),IF(_term=52,IF(A137=1,first_payment,B136+7),DATE(YEAR(first_payment),MONTH(first_payment)+(A137-1)*per_year,IF(_term=24,IF(1-MOD(A137,2)=1,DAY(first_payment)+14,DAY(first_payment)),DAY(first_payment))))),"")</f>
        <v/>
      </c>
      <c r="H137" t="str">
        <f>IF($A137&lt;&gt;"",$H136-$D137,"")</f>
        <v/>
      </c>
      <c r="J137" s="48"/>
      <c r="K137" s="17"/>
      <c r="L137" s="49"/>
    </row>
    <row r="138" spans="1:12" x14ac:dyDescent="0.25">
      <c r="A138" s="10" t="s">
        <v>18</v>
      </c>
      <c r="B138" s="50" t="str">
        <f>IF($A138&lt;&gt;"",IF(_term=26,IF(A138=1,first_payment,B137+14),IF(_term=52,IF(A138=1,first_payment,B137+7),DATE(YEAR(first_payment),MONTH(first_payment)+(A138-1)*per_year,IF(_term=24,IF(1-MOD(A138,2)=1,DAY(first_payment)+14,DAY(first_payment)),DAY(first_payment))))),"")</f>
        <v/>
      </c>
      <c r="H138" t="str">
        <f>IF($A138&lt;&gt;"",$H137-$D138,"")</f>
        <v/>
      </c>
      <c r="J138" s="48"/>
      <c r="K138" s="17"/>
      <c r="L138" s="49"/>
    </row>
    <row r="139" spans="1:12" x14ac:dyDescent="0.25">
      <c r="A139" s="10" t="s">
        <v>18</v>
      </c>
      <c r="B139" s="50" t="str">
        <f>IF($A139&lt;&gt;"",IF(_term=26,IF(A139=1,first_payment,B138+14),IF(_term=52,IF(A139=1,first_payment,B138+7),DATE(YEAR(first_payment),MONTH(first_payment)+(A139-1)*per_year,IF(_term=24,IF(1-MOD(A139,2)=1,DAY(first_payment)+14,DAY(first_payment)),DAY(first_payment))))),"")</f>
        <v/>
      </c>
      <c r="H139" t="str">
        <f>IF($A139&lt;&gt;"",$H138-$D139,"")</f>
        <v/>
      </c>
      <c r="J139" s="48"/>
      <c r="K139" s="17"/>
      <c r="L139" s="49"/>
    </row>
    <row r="140" spans="1:12" ht="15" customHeight="1" x14ac:dyDescent="0.25">
      <c r="J140" s="48"/>
      <c r="K140" s="17"/>
      <c r="L140" s="49"/>
    </row>
    <row r="141" spans="1:12" ht="15" customHeight="1" x14ac:dyDescent="0.25">
      <c r="J141" s="48"/>
      <c r="K141" s="17"/>
      <c r="L141" s="49"/>
    </row>
    <row r="142" spans="1:12" ht="15" customHeight="1" x14ac:dyDescent="0.25">
      <c r="J142" s="48"/>
      <c r="K142" s="17"/>
      <c r="L142" s="49"/>
    </row>
    <row r="143" spans="1:12" ht="15" customHeight="1" x14ac:dyDescent="0.25">
      <c r="J143" s="48"/>
      <c r="K143" s="17"/>
      <c r="L143" s="49"/>
    </row>
    <row r="144" spans="1:12" ht="15" customHeight="1" x14ac:dyDescent="0.25">
      <c r="J144" s="48"/>
      <c r="K144" s="17"/>
      <c r="L144" s="49"/>
    </row>
    <row r="145" spans="10:12" ht="15" customHeight="1" x14ac:dyDescent="0.25">
      <c r="J145" s="48"/>
      <c r="K145" s="17"/>
      <c r="L145" s="49"/>
    </row>
    <row r="146" spans="10:12" ht="15" customHeight="1" x14ac:dyDescent="0.25">
      <c r="J146" s="48"/>
      <c r="K146" s="17"/>
      <c r="L146" s="49"/>
    </row>
    <row r="147" spans="10:12" ht="15" customHeight="1" x14ac:dyDescent="0.25">
      <c r="J147" s="48"/>
      <c r="K147" s="17"/>
      <c r="L147" s="49"/>
    </row>
    <row r="148" spans="10:12" ht="15" customHeight="1" x14ac:dyDescent="0.25">
      <c r="J148" s="48"/>
      <c r="K148" s="17"/>
      <c r="L148" s="49"/>
    </row>
    <row r="149" spans="10:12" ht="15" customHeight="1" x14ac:dyDescent="0.25">
      <c r="J149" s="48"/>
      <c r="K149" s="17"/>
      <c r="L149" s="49"/>
    </row>
    <row r="150" spans="10:12" ht="15" customHeight="1" x14ac:dyDescent="0.25">
      <c r="J150" s="48"/>
      <c r="K150" s="17"/>
      <c r="L150" s="49"/>
    </row>
    <row r="151" spans="10:12" ht="15" customHeight="1" x14ac:dyDescent="0.25">
      <c r="J151" s="48"/>
      <c r="K151" s="17"/>
      <c r="L151" s="49"/>
    </row>
    <row r="152" spans="10:12" ht="15" customHeight="1" x14ac:dyDescent="0.25">
      <c r="J152" s="48"/>
      <c r="K152" s="17"/>
      <c r="L152" s="49"/>
    </row>
    <row r="153" spans="10:12" ht="15" customHeight="1" x14ac:dyDescent="0.25">
      <c r="J153" s="48"/>
      <c r="K153" s="17"/>
      <c r="L153" s="49"/>
    </row>
    <row r="154" spans="10:12" ht="15" customHeight="1" x14ac:dyDescent="0.25">
      <c r="J154" s="48"/>
      <c r="K154" s="17"/>
      <c r="L154" s="49"/>
    </row>
    <row r="155" spans="10:12" ht="15" customHeight="1" x14ac:dyDescent="0.25">
      <c r="J155" s="48"/>
      <c r="K155" s="17"/>
      <c r="L155" s="49"/>
    </row>
    <row r="156" spans="10:12" ht="15" customHeight="1" x14ac:dyDescent="0.25">
      <c r="J156" s="48"/>
      <c r="K156" s="17"/>
      <c r="L156" s="49"/>
    </row>
    <row r="157" spans="10:12" ht="15" customHeight="1" x14ac:dyDescent="0.25">
      <c r="J157" s="48"/>
      <c r="K157" s="17"/>
      <c r="L157" s="49"/>
    </row>
    <row r="158" spans="10:12" ht="15" customHeight="1" x14ac:dyDescent="0.25">
      <c r="J158" s="48"/>
      <c r="K158" s="17"/>
      <c r="L158" s="49"/>
    </row>
    <row r="159" spans="10:12" ht="15" customHeight="1" x14ac:dyDescent="0.25">
      <c r="J159" s="48"/>
      <c r="K159" s="17"/>
      <c r="L159" s="49"/>
    </row>
    <row r="160" spans="10:12" ht="15" customHeight="1" x14ac:dyDescent="0.25">
      <c r="J160" s="48"/>
      <c r="K160" s="17"/>
      <c r="L160" s="49"/>
    </row>
    <row r="161" spans="10:12" ht="15" customHeight="1" x14ac:dyDescent="0.25">
      <c r="J161" s="48"/>
      <c r="K161" s="17"/>
      <c r="L161" s="49"/>
    </row>
    <row r="162" spans="10:12" ht="15" customHeight="1" x14ac:dyDescent="0.25">
      <c r="J162" s="48"/>
      <c r="K162" s="17"/>
      <c r="L162" s="49"/>
    </row>
    <row r="163" spans="10:12" ht="15" customHeight="1" x14ac:dyDescent="0.25">
      <c r="J163" s="48"/>
      <c r="K163" s="17"/>
      <c r="L163" s="49"/>
    </row>
    <row r="164" spans="10:12" ht="15" customHeight="1" x14ac:dyDescent="0.25">
      <c r="J164" s="48"/>
      <c r="K164" s="17"/>
      <c r="L164" s="49"/>
    </row>
    <row r="165" spans="10:12" ht="15" customHeight="1" x14ac:dyDescent="0.25">
      <c r="J165" s="48"/>
      <c r="K165" s="17"/>
      <c r="L165" s="49"/>
    </row>
    <row r="166" spans="10:12" ht="15" customHeight="1" x14ac:dyDescent="0.25">
      <c r="J166" s="48"/>
      <c r="K166" s="17"/>
      <c r="L166" s="49"/>
    </row>
    <row r="167" spans="10:12" ht="15" customHeight="1" x14ac:dyDescent="0.25">
      <c r="J167" s="48"/>
      <c r="K167" s="17"/>
      <c r="L167" s="49"/>
    </row>
    <row r="168" spans="10:12" ht="15" customHeight="1" x14ac:dyDescent="0.25">
      <c r="J168" s="48"/>
      <c r="K168" s="17"/>
      <c r="L168" s="49"/>
    </row>
    <row r="169" spans="10:12" ht="15" customHeight="1" x14ac:dyDescent="0.25">
      <c r="J169" s="48"/>
      <c r="K169" s="17"/>
      <c r="L169" s="49"/>
    </row>
    <row r="170" spans="10:12" ht="15" customHeight="1" x14ac:dyDescent="0.25">
      <c r="J170" s="48"/>
      <c r="K170" s="17"/>
      <c r="L170" s="49"/>
    </row>
    <row r="171" spans="10:12" ht="15" customHeight="1" x14ac:dyDescent="0.25">
      <c r="J171" s="48"/>
      <c r="K171" s="17"/>
      <c r="L171" s="49"/>
    </row>
    <row r="172" spans="10:12" ht="15" customHeight="1" x14ac:dyDescent="0.25">
      <c r="J172" s="48"/>
      <c r="K172" s="17"/>
      <c r="L172" s="49"/>
    </row>
    <row r="173" spans="10:12" ht="15" customHeight="1" x14ac:dyDescent="0.25">
      <c r="J173" s="48"/>
      <c r="K173" s="17"/>
      <c r="L173" s="49"/>
    </row>
    <row r="174" spans="10:12" ht="15" customHeight="1" x14ac:dyDescent="0.25">
      <c r="J174" s="48"/>
      <c r="K174" s="17"/>
      <c r="L174" s="49"/>
    </row>
    <row r="175" spans="10:12" ht="15" customHeight="1" x14ac:dyDescent="0.25">
      <c r="J175" s="48"/>
      <c r="K175" s="17"/>
      <c r="L175" s="49"/>
    </row>
    <row r="176" spans="10:12" ht="15" customHeight="1" x14ac:dyDescent="0.25">
      <c r="J176" s="48"/>
      <c r="K176" s="17"/>
      <c r="L176" s="49"/>
    </row>
    <row r="177" spans="10:12" ht="15" customHeight="1" x14ac:dyDescent="0.25">
      <c r="J177" s="48"/>
      <c r="K177" s="17"/>
      <c r="L177" s="49"/>
    </row>
    <row r="178" spans="10:12" ht="15" customHeight="1" x14ac:dyDescent="0.25">
      <c r="J178" s="48"/>
      <c r="K178" s="17"/>
      <c r="L178" s="49"/>
    </row>
    <row r="179" spans="10:12" ht="15" customHeight="1" x14ac:dyDescent="0.25">
      <c r="J179" s="48"/>
      <c r="K179" s="17"/>
      <c r="L179" s="49"/>
    </row>
    <row r="180" spans="10:12" ht="15" customHeight="1" x14ac:dyDescent="0.25">
      <c r="J180" s="48"/>
      <c r="K180" s="17"/>
      <c r="L180" s="49"/>
    </row>
    <row r="181" spans="10:12" ht="15" customHeight="1" x14ac:dyDescent="0.25">
      <c r="J181" s="48"/>
      <c r="K181" s="17"/>
      <c r="L181" s="49"/>
    </row>
    <row r="182" spans="10:12" ht="15" customHeight="1" x14ac:dyDescent="0.25">
      <c r="J182" s="48"/>
      <c r="K182" s="17"/>
      <c r="L182" s="49"/>
    </row>
    <row r="183" spans="10:12" ht="15" customHeight="1" x14ac:dyDescent="0.25">
      <c r="J183" s="48"/>
      <c r="K183" s="17"/>
      <c r="L183" s="49"/>
    </row>
    <row r="184" spans="10:12" ht="15" customHeight="1" x14ac:dyDescent="0.25">
      <c r="J184" s="48"/>
      <c r="K184" s="17"/>
      <c r="L184" s="49"/>
    </row>
    <row r="185" spans="10:12" ht="15" customHeight="1" x14ac:dyDescent="0.25">
      <c r="J185" s="48"/>
      <c r="K185" s="17"/>
      <c r="L185" s="49"/>
    </row>
    <row r="186" spans="10:12" ht="15" customHeight="1" x14ac:dyDescent="0.25">
      <c r="J186" s="48"/>
      <c r="K186" s="17"/>
      <c r="L186" s="49"/>
    </row>
    <row r="187" spans="10:12" ht="15" customHeight="1" x14ac:dyDescent="0.25">
      <c r="J187" s="48"/>
      <c r="K187" s="17"/>
      <c r="L187" s="49"/>
    </row>
    <row r="188" spans="10:12" ht="15" customHeight="1" x14ac:dyDescent="0.25">
      <c r="J188" s="48"/>
      <c r="K188" s="17"/>
      <c r="L188" s="49"/>
    </row>
    <row r="189" spans="10:12" ht="15" customHeight="1" x14ac:dyDescent="0.25">
      <c r="J189" s="48"/>
      <c r="K189" s="17"/>
      <c r="L189" s="49"/>
    </row>
    <row r="190" spans="10:12" ht="15" customHeight="1" x14ac:dyDescent="0.25">
      <c r="J190" s="48"/>
      <c r="K190" s="17"/>
      <c r="L190" s="49"/>
    </row>
    <row r="191" spans="10:12" ht="15" customHeight="1" x14ac:dyDescent="0.25">
      <c r="J191" s="48"/>
      <c r="K191" s="17"/>
      <c r="L191" s="49"/>
    </row>
    <row r="192" spans="10:12" ht="15" customHeight="1" x14ac:dyDescent="0.25">
      <c r="J192" s="48"/>
      <c r="K192" s="17"/>
      <c r="L192" s="49"/>
    </row>
    <row r="193" spans="10:12" ht="15" customHeight="1" x14ac:dyDescent="0.25">
      <c r="J193" s="48"/>
      <c r="K193" s="17"/>
      <c r="L193" s="49"/>
    </row>
    <row r="194" spans="10:12" ht="15" customHeight="1" x14ac:dyDescent="0.25">
      <c r="J194" s="48"/>
      <c r="K194" s="17"/>
      <c r="L194" s="49"/>
    </row>
    <row r="195" spans="10:12" ht="15" customHeight="1" x14ac:dyDescent="0.25">
      <c r="J195" s="48"/>
      <c r="K195" s="17"/>
      <c r="L195" s="49"/>
    </row>
    <row r="196" spans="10:12" ht="15" customHeight="1" x14ac:dyDescent="0.25">
      <c r="J196" s="48"/>
      <c r="K196" s="17"/>
      <c r="L196" s="49"/>
    </row>
    <row r="197" spans="10:12" ht="15" customHeight="1" x14ac:dyDescent="0.25">
      <c r="J197" s="48"/>
      <c r="K197" s="17"/>
      <c r="L197" s="49"/>
    </row>
    <row r="198" spans="10:12" ht="15" customHeight="1" x14ac:dyDescent="0.25">
      <c r="J198" s="48"/>
      <c r="K198" s="17"/>
      <c r="L198" s="49"/>
    </row>
    <row r="199" spans="10:12" ht="15" customHeight="1" x14ac:dyDescent="0.25">
      <c r="J199" s="48"/>
      <c r="K199" s="17"/>
      <c r="L199" s="49"/>
    </row>
    <row r="200" spans="10:12" ht="15" customHeight="1" x14ac:dyDescent="0.25">
      <c r="J200" s="48"/>
      <c r="K200" s="17"/>
      <c r="L200" s="49"/>
    </row>
    <row r="201" spans="10:12" ht="15" customHeight="1" x14ac:dyDescent="0.25">
      <c r="J201" s="48"/>
      <c r="K201" s="17"/>
      <c r="L201" s="49"/>
    </row>
    <row r="202" spans="10:12" ht="15" customHeight="1" x14ac:dyDescent="0.25">
      <c r="J202" s="48"/>
      <c r="K202" s="17"/>
      <c r="L202" s="49"/>
    </row>
    <row r="203" spans="10:12" ht="15" customHeight="1" x14ac:dyDescent="0.25">
      <c r="J203" s="48"/>
      <c r="K203" s="17"/>
      <c r="L203" s="49"/>
    </row>
    <row r="204" spans="10:12" ht="15" customHeight="1" x14ac:dyDescent="0.25">
      <c r="J204" s="48"/>
      <c r="K204" s="17"/>
      <c r="L204" s="49"/>
    </row>
    <row r="205" spans="10:12" ht="15" customHeight="1" x14ac:dyDescent="0.25">
      <c r="J205" s="48"/>
      <c r="K205" s="17"/>
      <c r="L205" s="49"/>
    </row>
    <row r="206" spans="10:12" ht="15" customHeight="1" x14ac:dyDescent="0.25">
      <c r="J206" s="48"/>
      <c r="K206" s="17"/>
      <c r="L206" s="49"/>
    </row>
    <row r="207" spans="10:12" ht="15" customHeight="1" x14ac:dyDescent="0.25">
      <c r="J207" s="48"/>
      <c r="K207" s="17"/>
      <c r="L207" s="49"/>
    </row>
    <row r="208" spans="10:12" ht="15" customHeight="1" x14ac:dyDescent="0.25">
      <c r="J208" s="48"/>
      <c r="K208" s="17"/>
      <c r="L208" s="49"/>
    </row>
    <row r="209" spans="10:12" ht="15" customHeight="1" x14ac:dyDescent="0.25">
      <c r="J209" s="48"/>
      <c r="K209" s="17"/>
      <c r="L209" s="49"/>
    </row>
    <row r="210" spans="10:12" ht="15" customHeight="1" x14ac:dyDescent="0.25">
      <c r="J210" s="48"/>
      <c r="K210" s="17"/>
      <c r="L210" s="49"/>
    </row>
    <row r="211" spans="10:12" ht="15" customHeight="1" x14ac:dyDescent="0.25">
      <c r="J211" s="48"/>
      <c r="K211" s="17"/>
      <c r="L211" s="49"/>
    </row>
    <row r="212" spans="10:12" ht="15" customHeight="1" x14ac:dyDescent="0.25">
      <c r="J212" s="48"/>
      <c r="K212" s="17"/>
      <c r="L212" s="49"/>
    </row>
    <row r="213" spans="10:12" ht="15" customHeight="1" x14ac:dyDescent="0.25">
      <c r="J213" s="48"/>
      <c r="K213" s="17"/>
      <c r="L213" s="49"/>
    </row>
    <row r="214" spans="10:12" ht="15" customHeight="1" x14ac:dyDescent="0.25">
      <c r="J214" s="48"/>
      <c r="K214" s="17"/>
      <c r="L214" s="49"/>
    </row>
    <row r="215" spans="10:12" ht="15" customHeight="1" x14ac:dyDescent="0.25">
      <c r="J215" s="48"/>
      <c r="K215" s="17"/>
      <c r="L215" s="49"/>
    </row>
    <row r="216" spans="10:12" ht="15" customHeight="1" x14ac:dyDescent="0.25">
      <c r="J216" s="48"/>
      <c r="K216" s="17"/>
      <c r="L216" s="49"/>
    </row>
    <row r="217" spans="10:12" ht="15" customHeight="1" x14ac:dyDescent="0.25">
      <c r="J217" s="48"/>
      <c r="K217" s="17"/>
      <c r="L217" s="49"/>
    </row>
    <row r="218" spans="10:12" ht="15" customHeight="1" x14ac:dyDescent="0.25">
      <c r="J218" s="48"/>
      <c r="K218" s="17"/>
      <c r="L218" s="49"/>
    </row>
    <row r="219" spans="10:12" ht="15" customHeight="1" x14ac:dyDescent="0.25">
      <c r="J219" s="48"/>
      <c r="K219" s="17"/>
      <c r="L219" s="49"/>
    </row>
    <row r="220" spans="10:12" ht="15" customHeight="1" x14ac:dyDescent="0.25">
      <c r="J220" s="48"/>
      <c r="K220" s="17"/>
      <c r="L220" s="49"/>
    </row>
    <row r="221" spans="10:12" ht="15" customHeight="1" x14ac:dyDescent="0.25">
      <c r="J221" s="48"/>
      <c r="K221" s="17"/>
      <c r="L221" s="49"/>
    </row>
    <row r="222" spans="10:12" ht="15" customHeight="1" x14ac:dyDescent="0.25">
      <c r="J222" s="48"/>
      <c r="K222" s="17"/>
      <c r="L222" s="49"/>
    </row>
    <row r="223" spans="10:12" ht="15" customHeight="1" x14ac:dyDescent="0.25">
      <c r="J223" s="48"/>
      <c r="K223" s="17"/>
      <c r="L223" s="49"/>
    </row>
    <row r="224" spans="10:12" ht="15" customHeight="1" x14ac:dyDescent="0.25">
      <c r="J224" s="48"/>
      <c r="K224" s="17"/>
      <c r="L224" s="49"/>
    </row>
    <row r="225" spans="10:12" ht="15" customHeight="1" x14ac:dyDescent="0.25">
      <c r="J225" s="48"/>
      <c r="K225" s="17"/>
      <c r="L225" s="49"/>
    </row>
    <row r="226" spans="10:12" ht="15" customHeight="1" x14ac:dyDescent="0.25">
      <c r="J226" s="48"/>
      <c r="K226" s="17"/>
      <c r="L226" s="49"/>
    </row>
    <row r="227" spans="10:12" ht="15" customHeight="1" x14ac:dyDescent="0.25">
      <c r="J227" s="48"/>
      <c r="K227" s="17"/>
      <c r="L227" s="49"/>
    </row>
    <row r="228" spans="10:12" ht="15" customHeight="1" x14ac:dyDescent="0.25">
      <c r="J228" s="48"/>
      <c r="K228" s="17"/>
      <c r="L228" s="49"/>
    </row>
    <row r="229" spans="10:12" ht="15" customHeight="1" x14ac:dyDescent="0.25">
      <c r="J229" s="48"/>
      <c r="K229" s="17"/>
      <c r="L229" s="49"/>
    </row>
    <row r="230" spans="10:12" ht="15" customHeight="1" x14ac:dyDescent="0.25">
      <c r="J230" s="48"/>
      <c r="K230" s="17"/>
      <c r="L230" s="49"/>
    </row>
    <row r="231" spans="10:12" ht="15" customHeight="1" x14ac:dyDescent="0.25">
      <c r="J231" s="48"/>
      <c r="K231" s="17"/>
      <c r="L231" s="49"/>
    </row>
    <row r="232" spans="10:12" ht="15" customHeight="1" x14ac:dyDescent="0.25">
      <c r="J232" s="48"/>
      <c r="K232" s="17"/>
      <c r="L232" s="49"/>
    </row>
    <row r="233" spans="10:12" ht="15" customHeight="1" x14ac:dyDescent="0.25">
      <c r="J233" s="48"/>
      <c r="K233" s="17"/>
      <c r="L233" s="49"/>
    </row>
    <row r="234" spans="10:12" ht="15" customHeight="1" x14ac:dyDescent="0.25">
      <c r="J234" s="48"/>
      <c r="K234" s="17"/>
      <c r="L234" s="49"/>
    </row>
    <row r="235" spans="10:12" ht="15" customHeight="1" x14ac:dyDescent="0.25">
      <c r="J235" s="48"/>
      <c r="K235" s="17"/>
      <c r="L235" s="49"/>
    </row>
    <row r="236" spans="10:12" ht="15" customHeight="1" x14ac:dyDescent="0.25">
      <c r="J236" s="48"/>
      <c r="K236" s="17"/>
      <c r="L236" s="49"/>
    </row>
    <row r="237" spans="10:12" ht="15" customHeight="1" x14ac:dyDescent="0.25">
      <c r="J237" s="48"/>
      <c r="K237" s="17"/>
      <c r="L237" s="49"/>
    </row>
    <row r="238" spans="10:12" ht="15" customHeight="1" x14ac:dyDescent="0.25">
      <c r="J238" s="48"/>
      <c r="K238" s="17"/>
      <c r="L238" s="49"/>
    </row>
    <row r="239" spans="10:12" ht="15" customHeight="1" x14ac:dyDescent="0.25">
      <c r="J239" s="48"/>
      <c r="K239" s="17"/>
      <c r="L239" s="49"/>
    </row>
    <row r="240" spans="10:12" ht="15" customHeight="1" x14ac:dyDescent="0.25">
      <c r="J240" s="48"/>
      <c r="K240" s="17"/>
      <c r="L240" s="49"/>
    </row>
    <row r="241" spans="10:12" ht="15" customHeight="1" x14ac:dyDescent="0.25">
      <c r="J241" s="48"/>
      <c r="K241" s="17"/>
      <c r="L241" s="49"/>
    </row>
    <row r="242" spans="10:12" ht="15" customHeight="1" x14ac:dyDescent="0.25">
      <c r="J242" s="48"/>
      <c r="K242" s="17"/>
      <c r="L242" s="49"/>
    </row>
    <row r="243" spans="10:12" ht="15" customHeight="1" x14ac:dyDescent="0.25">
      <c r="J243" s="48"/>
      <c r="K243" s="17"/>
      <c r="L243" s="49"/>
    </row>
    <row r="244" spans="10:12" ht="15" customHeight="1" x14ac:dyDescent="0.25">
      <c r="J244" s="48"/>
      <c r="K244" s="17"/>
      <c r="L244" s="49"/>
    </row>
    <row r="245" spans="10:12" ht="15" customHeight="1" x14ac:dyDescent="0.25">
      <c r="J245" s="48"/>
      <c r="K245" s="17"/>
      <c r="L245" s="49"/>
    </row>
    <row r="246" spans="10:12" ht="15" customHeight="1" x14ac:dyDescent="0.25">
      <c r="J246" s="48"/>
      <c r="K246" s="17"/>
      <c r="L246" s="49"/>
    </row>
    <row r="247" spans="10:12" ht="15" customHeight="1" x14ac:dyDescent="0.25">
      <c r="J247" s="48"/>
      <c r="K247" s="17"/>
      <c r="L247" s="49"/>
    </row>
    <row r="248" spans="10:12" ht="15" customHeight="1" x14ac:dyDescent="0.25">
      <c r="J248" s="48"/>
      <c r="K248" s="17"/>
      <c r="L248" s="49"/>
    </row>
    <row r="249" spans="10:12" ht="15" customHeight="1" x14ac:dyDescent="0.25">
      <c r="J249" s="48"/>
      <c r="K249" s="17"/>
      <c r="L249" s="49"/>
    </row>
    <row r="250" spans="10:12" ht="15" customHeight="1" x14ac:dyDescent="0.25">
      <c r="J250" s="48"/>
      <c r="K250" s="17"/>
      <c r="L250" s="49"/>
    </row>
    <row r="251" spans="10:12" ht="15" customHeight="1" x14ac:dyDescent="0.25">
      <c r="J251" s="48"/>
      <c r="K251" s="17"/>
      <c r="L251" s="49"/>
    </row>
    <row r="252" spans="10:12" ht="15" customHeight="1" x14ac:dyDescent="0.25">
      <c r="J252" s="48"/>
      <c r="K252" s="17"/>
      <c r="L252" s="49"/>
    </row>
    <row r="253" spans="10:12" ht="15" customHeight="1" x14ac:dyDescent="0.25">
      <c r="J253" s="48"/>
      <c r="K253" s="17"/>
      <c r="L253" s="49"/>
    </row>
    <row r="254" spans="10:12" ht="15" customHeight="1" x14ac:dyDescent="0.25">
      <c r="J254" s="48"/>
      <c r="K254" s="17"/>
      <c r="L254" s="49"/>
    </row>
    <row r="255" spans="10:12" ht="15" customHeight="1" x14ac:dyDescent="0.25">
      <c r="J255" s="48"/>
      <c r="K255" s="17"/>
      <c r="L255" s="49"/>
    </row>
    <row r="256" spans="10:12" ht="15" customHeight="1" x14ac:dyDescent="0.25">
      <c r="J256" s="48"/>
      <c r="K256" s="17"/>
      <c r="L256" s="49"/>
    </row>
    <row r="257" spans="10:12" ht="15" customHeight="1" x14ac:dyDescent="0.25">
      <c r="J257" s="48"/>
      <c r="K257" s="17"/>
      <c r="L257" s="49"/>
    </row>
    <row r="258" spans="10:12" ht="15" customHeight="1" x14ac:dyDescent="0.25">
      <c r="J258" s="48"/>
      <c r="K258" s="17"/>
      <c r="L258" s="49"/>
    </row>
    <row r="259" spans="10:12" ht="15" customHeight="1" x14ac:dyDescent="0.25">
      <c r="J259" s="48"/>
      <c r="K259" s="17"/>
      <c r="L259" s="49"/>
    </row>
    <row r="260" spans="10:12" ht="15" customHeight="1" x14ac:dyDescent="0.25">
      <c r="J260" s="48"/>
      <c r="K260" s="17"/>
      <c r="L260" s="49"/>
    </row>
    <row r="261" spans="10:12" ht="15" customHeight="1" x14ac:dyDescent="0.25">
      <c r="J261" s="48"/>
      <c r="K261" s="17"/>
      <c r="L261" s="49"/>
    </row>
    <row r="262" spans="10:12" ht="15" customHeight="1" x14ac:dyDescent="0.25">
      <c r="J262" s="48"/>
      <c r="K262" s="17"/>
      <c r="L262" s="49"/>
    </row>
    <row r="263" spans="10:12" ht="15" customHeight="1" x14ac:dyDescent="0.25">
      <c r="J263" s="48"/>
      <c r="K263" s="17"/>
      <c r="L263" s="49"/>
    </row>
    <row r="264" spans="10:12" ht="15" customHeight="1" x14ac:dyDescent="0.25">
      <c r="J264" s="48"/>
      <c r="K264" s="17"/>
      <c r="L264" s="49"/>
    </row>
    <row r="265" spans="10:12" ht="15" customHeight="1" x14ac:dyDescent="0.25">
      <c r="J265" s="48"/>
      <c r="K265" s="17"/>
      <c r="L265" s="49"/>
    </row>
    <row r="266" spans="10:12" ht="15" customHeight="1" x14ac:dyDescent="0.25">
      <c r="J266" s="48"/>
      <c r="K266" s="17"/>
      <c r="L266" s="49"/>
    </row>
    <row r="267" spans="10:12" ht="15" customHeight="1" x14ac:dyDescent="0.25">
      <c r="J267" s="48"/>
      <c r="K267" s="17"/>
      <c r="L267" s="49"/>
    </row>
    <row r="268" spans="10:12" ht="15" customHeight="1" x14ac:dyDescent="0.25">
      <c r="J268" s="48"/>
      <c r="K268" s="17"/>
      <c r="L268" s="49"/>
    </row>
    <row r="269" spans="10:12" ht="15" customHeight="1" x14ac:dyDescent="0.25">
      <c r="J269" s="48"/>
      <c r="K269" s="17"/>
      <c r="L269" s="49"/>
    </row>
    <row r="270" spans="10:12" ht="15" customHeight="1" x14ac:dyDescent="0.25">
      <c r="J270" s="48"/>
      <c r="K270" s="17"/>
      <c r="L270" s="49"/>
    </row>
    <row r="271" spans="10:12" ht="15" customHeight="1" x14ac:dyDescent="0.25">
      <c r="J271" s="48"/>
      <c r="K271" s="17"/>
      <c r="L271" s="49"/>
    </row>
    <row r="272" spans="10:12" ht="15" customHeight="1" x14ac:dyDescent="0.25">
      <c r="J272" s="48"/>
      <c r="K272" s="17"/>
      <c r="L272" s="49"/>
    </row>
    <row r="273" spans="10:12" ht="15" customHeight="1" x14ac:dyDescent="0.25">
      <c r="J273" s="48"/>
      <c r="K273" s="17"/>
      <c r="L273" s="49"/>
    </row>
    <row r="274" spans="10:12" ht="15" customHeight="1" x14ac:dyDescent="0.25">
      <c r="J274" s="48"/>
      <c r="K274" s="17"/>
      <c r="L274" s="49"/>
    </row>
    <row r="275" spans="10:12" ht="15" customHeight="1" x14ac:dyDescent="0.25">
      <c r="J275" s="48"/>
      <c r="K275" s="17"/>
      <c r="L275" s="49"/>
    </row>
    <row r="276" spans="10:12" ht="15" customHeight="1" x14ac:dyDescent="0.25">
      <c r="J276" s="48"/>
      <c r="K276" s="17"/>
      <c r="L276" s="49"/>
    </row>
    <row r="277" spans="10:12" ht="15" customHeight="1" x14ac:dyDescent="0.25">
      <c r="J277" s="48"/>
      <c r="K277" s="17"/>
      <c r="L277" s="49"/>
    </row>
    <row r="278" spans="10:12" ht="15" customHeight="1" x14ac:dyDescent="0.25">
      <c r="J278" s="48"/>
      <c r="K278" s="17"/>
      <c r="L278" s="49"/>
    </row>
    <row r="279" spans="10:12" ht="15" customHeight="1" x14ac:dyDescent="0.25">
      <c r="J279" s="48"/>
      <c r="K279" s="17"/>
      <c r="L279" s="49"/>
    </row>
    <row r="280" spans="10:12" ht="15" customHeight="1" x14ac:dyDescent="0.25">
      <c r="J280" s="48"/>
      <c r="K280" s="17"/>
      <c r="L280" s="49"/>
    </row>
    <row r="281" spans="10:12" ht="15" customHeight="1" x14ac:dyDescent="0.25">
      <c r="J281" s="48"/>
      <c r="K281" s="17"/>
      <c r="L281" s="49"/>
    </row>
    <row r="282" spans="10:12" ht="15" customHeight="1" x14ac:dyDescent="0.25">
      <c r="J282" s="48"/>
      <c r="K282" s="17"/>
      <c r="L282" s="49"/>
    </row>
    <row r="283" spans="10:12" ht="15" customHeight="1" x14ac:dyDescent="0.25">
      <c r="J283" s="48"/>
      <c r="K283" s="17"/>
      <c r="L283" s="49"/>
    </row>
    <row r="284" spans="10:12" ht="15" customHeight="1" x14ac:dyDescent="0.25">
      <c r="J284" s="48"/>
      <c r="K284" s="17"/>
      <c r="L284" s="49"/>
    </row>
    <row r="285" spans="10:12" ht="15" customHeight="1" x14ac:dyDescent="0.25">
      <c r="J285" s="48"/>
      <c r="K285" s="17"/>
      <c r="L285" s="49"/>
    </row>
    <row r="286" spans="10:12" ht="15" customHeight="1" x14ac:dyDescent="0.25">
      <c r="J286" s="48"/>
      <c r="K286" s="17"/>
      <c r="L286" s="49"/>
    </row>
    <row r="287" spans="10:12" ht="15" customHeight="1" x14ac:dyDescent="0.25">
      <c r="J287" s="48"/>
      <c r="K287" s="17"/>
      <c r="L287" s="49"/>
    </row>
    <row r="288" spans="10:12" ht="15" customHeight="1" x14ac:dyDescent="0.25">
      <c r="J288" s="48"/>
      <c r="K288" s="17"/>
      <c r="L288" s="49"/>
    </row>
    <row r="289" spans="10:12" ht="15" customHeight="1" x14ac:dyDescent="0.25">
      <c r="J289" s="48"/>
      <c r="K289" s="17"/>
      <c r="L289" s="49"/>
    </row>
    <row r="290" spans="10:12" ht="15" customHeight="1" x14ac:dyDescent="0.25">
      <c r="J290" s="48"/>
      <c r="K290" s="17"/>
      <c r="L290" s="49"/>
    </row>
    <row r="291" spans="10:12" ht="15" customHeight="1" x14ac:dyDescent="0.25">
      <c r="J291" s="48"/>
      <c r="K291" s="17"/>
      <c r="L291" s="49"/>
    </row>
    <row r="292" spans="10:12" ht="15" customHeight="1" x14ac:dyDescent="0.25">
      <c r="J292" s="48"/>
      <c r="K292" s="17"/>
      <c r="L292" s="49"/>
    </row>
    <row r="293" spans="10:12" ht="15" customHeight="1" x14ac:dyDescent="0.25">
      <c r="J293" s="48"/>
      <c r="K293" s="17"/>
      <c r="L293" s="49"/>
    </row>
    <row r="294" spans="10:12" ht="15" customHeight="1" x14ac:dyDescent="0.25">
      <c r="J294" s="48"/>
      <c r="K294" s="17"/>
      <c r="L294" s="49"/>
    </row>
    <row r="295" spans="10:12" ht="15" customHeight="1" x14ac:dyDescent="0.25">
      <c r="J295" s="48"/>
      <c r="K295" s="17"/>
      <c r="L295" s="49"/>
    </row>
    <row r="296" spans="10:12" ht="15" customHeight="1" x14ac:dyDescent="0.25">
      <c r="J296" s="48"/>
      <c r="K296" s="17"/>
      <c r="L296" s="49"/>
    </row>
    <row r="297" spans="10:12" ht="15" customHeight="1" x14ac:dyDescent="0.25">
      <c r="J297" s="48"/>
      <c r="K297" s="17"/>
      <c r="L297" s="49"/>
    </row>
    <row r="298" spans="10:12" ht="15" customHeight="1" x14ac:dyDescent="0.25">
      <c r="J298" s="48"/>
      <c r="K298" s="17"/>
      <c r="L298" s="49"/>
    </row>
    <row r="299" spans="10:12" ht="15" customHeight="1" x14ac:dyDescent="0.25">
      <c r="J299" s="48"/>
      <c r="K299" s="17"/>
      <c r="L299" s="49"/>
    </row>
    <row r="300" spans="10:12" ht="15" customHeight="1" x14ac:dyDescent="0.25">
      <c r="J300" s="48"/>
      <c r="K300" s="17"/>
      <c r="L300" s="49"/>
    </row>
    <row r="301" spans="10:12" ht="15" customHeight="1" x14ac:dyDescent="0.25">
      <c r="J301" s="48"/>
      <c r="K301" s="17"/>
      <c r="L301" s="49"/>
    </row>
    <row r="302" spans="10:12" ht="15" customHeight="1" x14ac:dyDescent="0.25">
      <c r="J302" s="48"/>
      <c r="K302" s="17"/>
      <c r="L302" s="49"/>
    </row>
    <row r="303" spans="10:12" ht="15" customHeight="1" x14ac:dyDescent="0.25">
      <c r="J303" s="48"/>
      <c r="K303" s="17"/>
      <c r="L303" s="49"/>
    </row>
    <row r="304" spans="10:12" ht="15" customHeight="1" x14ac:dyDescent="0.25">
      <c r="J304" s="48"/>
      <c r="K304" s="17"/>
      <c r="L304" s="49"/>
    </row>
    <row r="305" spans="10:12" ht="15" customHeight="1" x14ac:dyDescent="0.25">
      <c r="J305" s="48"/>
      <c r="K305" s="17"/>
      <c r="L305" s="49"/>
    </row>
    <row r="306" spans="10:12" ht="15" customHeight="1" x14ac:dyDescent="0.25">
      <c r="J306" s="48"/>
      <c r="K306" s="17"/>
      <c r="L306" s="49"/>
    </row>
    <row r="307" spans="10:12" ht="15" customHeight="1" x14ac:dyDescent="0.25">
      <c r="J307" s="48"/>
      <c r="K307" s="17"/>
      <c r="L307" s="49"/>
    </row>
    <row r="308" spans="10:12" ht="15" customHeight="1" x14ac:dyDescent="0.25">
      <c r="J308" s="48"/>
      <c r="K308" s="17"/>
      <c r="L308" s="49"/>
    </row>
    <row r="309" spans="10:12" ht="15" customHeight="1" x14ac:dyDescent="0.25">
      <c r="J309" s="48"/>
      <c r="K309" s="17"/>
      <c r="L309" s="49"/>
    </row>
    <row r="310" spans="10:12" ht="15" customHeight="1" x14ac:dyDescent="0.25">
      <c r="J310" s="48"/>
      <c r="K310" s="17"/>
      <c r="L310" s="49"/>
    </row>
    <row r="311" spans="10:12" ht="15" customHeight="1" x14ac:dyDescent="0.25">
      <c r="J311" s="48"/>
      <c r="K311" s="17"/>
      <c r="L311" s="49"/>
    </row>
    <row r="312" spans="10:12" ht="15" customHeight="1" x14ac:dyDescent="0.25">
      <c r="J312" s="48"/>
      <c r="K312" s="17"/>
      <c r="L312" s="49"/>
    </row>
    <row r="313" spans="10:12" ht="15" customHeight="1" x14ac:dyDescent="0.25">
      <c r="J313" s="48"/>
      <c r="K313" s="17"/>
      <c r="L313" s="49"/>
    </row>
    <row r="314" spans="10:12" ht="15" customHeight="1" x14ac:dyDescent="0.25">
      <c r="J314" s="48"/>
      <c r="K314" s="17"/>
      <c r="L314" s="49"/>
    </row>
    <row r="315" spans="10:12" ht="15" customHeight="1" x14ac:dyDescent="0.25">
      <c r="J315" s="48"/>
      <c r="K315" s="17"/>
      <c r="L315" s="49"/>
    </row>
    <row r="316" spans="10:12" ht="15" customHeight="1" x14ac:dyDescent="0.25">
      <c r="J316" s="48"/>
      <c r="K316" s="17"/>
      <c r="L316" s="49"/>
    </row>
    <row r="317" spans="10:12" ht="15" customHeight="1" x14ac:dyDescent="0.25">
      <c r="J317" s="48"/>
      <c r="K317" s="17"/>
      <c r="L317" s="49"/>
    </row>
    <row r="318" spans="10:12" ht="15" customHeight="1" x14ac:dyDescent="0.25">
      <c r="J318" s="48"/>
      <c r="K318" s="17"/>
      <c r="L318" s="49"/>
    </row>
    <row r="319" spans="10:12" ht="15" customHeight="1" x14ac:dyDescent="0.25">
      <c r="J319" s="16"/>
      <c r="K319" s="17"/>
      <c r="L319" s="49"/>
    </row>
    <row r="320" spans="10:12" ht="15" customHeight="1" x14ac:dyDescent="0.25">
      <c r="J320" s="16"/>
      <c r="K320" s="17"/>
      <c r="L320" s="49"/>
    </row>
    <row r="321" spans="10:12" ht="15" customHeight="1" x14ac:dyDescent="0.25">
      <c r="J321" s="16"/>
      <c r="K321" s="17"/>
      <c r="L321" s="49"/>
    </row>
    <row r="322" spans="10:12" ht="15" customHeight="1" x14ac:dyDescent="0.25">
      <c r="J322" s="16"/>
      <c r="K322" s="17"/>
      <c r="L322" s="49"/>
    </row>
    <row r="323" spans="10:12" ht="15" customHeight="1" x14ac:dyDescent="0.25">
      <c r="J323" s="16"/>
      <c r="K323" s="17"/>
      <c r="L323" s="49"/>
    </row>
    <row r="324" spans="10:12" ht="15" customHeight="1" x14ac:dyDescent="0.25">
      <c r="J324" s="16"/>
      <c r="K324" s="17"/>
      <c r="L324" s="49"/>
    </row>
    <row r="325" spans="10:12" ht="15" customHeight="1" x14ac:dyDescent="0.25">
      <c r="J325" s="16"/>
      <c r="K325" s="17"/>
      <c r="L325" s="49"/>
    </row>
    <row r="326" spans="10:12" ht="15" customHeight="1" x14ac:dyDescent="0.25">
      <c r="J326" s="16"/>
      <c r="K326" s="17"/>
      <c r="L326" s="49"/>
    </row>
    <row r="327" spans="10:12" ht="15" customHeight="1" x14ac:dyDescent="0.25">
      <c r="J327" s="16"/>
      <c r="K327" s="17"/>
      <c r="L327" s="49"/>
    </row>
    <row r="328" spans="10:12" ht="15" customHeight="1" x14ac:dyDescent="0.25">
      <c r="J328" s="16"/>
      <c r="K328" s="17"/>
      <c r="L328" s="49"/>
    </row>
    <row r="329" spans="10:12" ht="15" customHeight="1" x14ac:dyDescent="0.25">
      <c r="J329" s="16"/>
      <c r="K329" s="17"/>
      <c r="L329" s="49"/>
    </row>
    <row r="330" spans="10:12" ht="15" customHeight="1" x14ac:dyDescent="0.25">
      <c r="J330" s="16"/>
      <c r="K330" s="17"/>
      <c r="L330" s="49"/>
    </row>
    <row r="331" spans="10:12" ht="15" customHeight="1" x14ac:dyDescent="0.25">
      <c r="J331" s="16"/>
      <c r="K331" s="17"/>
      <c r="L331" s="49"/>
    </row>
    <row r="332" spans="10:12" ht="15" customHeight="1" x14ac:dyDescent="0.25">
      <c r="J332" s="16"/>
      <c r="K332" s="17"/>
      <c r="L332" s="49"/>
    </row>
    <row r="333" spans="10:12" ht="15" customHeight="1" x14ac:dyDescent="0.25">
      <c r="J333" s="16"/>
      <c r="K333" s="17"/>
      <c r="L333" s="49"/>
    </row>
    <row r="334" spans="10:12" ht="15" customHeight="1" x14ac:dyDescent="0.25">
      <c r="J334" s="16"/>
      <c r="K334" s="17"/>
      <c r="L334" s="49"/>
    </row>
    <row r="335" spans="10:12" ht="15" customHeight="1" x14ac:dyDescent="0.25">
      <c r="J335" s="16"/>
      <c r="K335" s="17"/>
      <c r="L335" s="49"/>
    </row>
    <row r="336" spans="10:12" ht="15" customHeight="1" x14ac:dyDescent="0.25">
      <c r="J336" s="16"/>
      <c r="K336" s="17"/>
      <c r="L336" s="49"/>
    </row>
    <row r="337" spans="10:12" ht="15" customHeight="1" x14ac:dyDescent="0.25">
      <c r="J337" s="16"/>
      <c r="K337" s="17"/>
      <c r="L337" s="49"/>
    </row>
    <row r="338" spans="10:12" ht="15" customHeight="1" x14ac:dyDescent="0.25">
      <c r="J338" s="16"/>
      <c r="K338" s="17"/>
      <c r="L338" s="49"/>
    </row>
    <row r="339" spans="10:12" ht="15" customHeight="1" x14ac:dyDescent="0.25">
      <c r="J339" s="16"/>
      <c r="K339" s="17"/>
      <c r="L339" s="49"/>
    </row>
    <row r="340" spans="10:12" ht="15" customHeight="1" x14ac:dyDescent="0.25">
      <c r="J340" s="16"/>
      <c r="K340" s="17"/>
      <c r="L340" s="49"/>
    </row>
    <row r="341" spans="10:12" ht="15" customHeight="1" x14ac:dyDescent="0.25">
      <c r="J341" s="16"/>
      <c r="K341" s="17"/>
      <c r="L341" s="49"/>
    </row>
    <row r="342" spans="10:12" ht="15" customHeight="1" x14ac:dyDescent="0.25">
      <c r="J342" s="16"/>
      <c r="K342" s="17"/>
      <c r="L342" s="49"/>
    </row>
    <row r="343" spans="10:12" ht="15" customHeight="1" x14ac:dyDescent="0.25">
      <c r="J343" s="16"/>
      <c r="K343" s="17"/>
      <c r="L343" s="49"/>
    </row>
    <row r="344" spans="10:12" ht="15" customHeight="1" x14ac:dyDescent="0.25">
      <c r="J344" s="16"/>
      <c r="K344" s="17"/>
      <c r="L344" s="49"/>
    </row>
    <row r="345" spans="10:12" ht="15" customHeight="1" x14ac:dyDescent="0.25">
      <c r="J345" s="16"/>
      <c r="K345" s="17"/>
      <c r="L345" s="49"/>
    </row>
    <row r="346" spans="10:12" ht="15" customHeight="1" x14ac:dyDescent="0.25">
      <c r="J346" s="16"/>
      <c r="K346" s="17"/>
      <c r="L346" s="49"/>
    </row>
    <row r="347" spans="10:12" ht="15" customHeight="1" x14ac:dyDescent="0.25">
      <c r="J347" s="16"/>
      <c r="K347" s="17"/>
      <c r="L347" s="49"/>
    </row>
    <row r="348" spans="10:12" ht="15" customHeight="1" x14ac:dyDescent="0.25">
      <c r="J348" s="16"/>
      <c r="K348" s="17"/>
      <c r="L348" s="49"/>
    </row>
    <row r="349" spans="10:12" ht="15" customHeight="1" x14ac:dyDescent="0.25">
      <c r="J349" s="16"/>
      <c r="K349" s="17"/>
      <c r="L349" s="49"/>
    </row>
    <row r="350" spans="10:12" ht="15" customHeight="1" x14ac:dyDescent="0.25">
      <c r="J350" s="16"/>
      <c r="K350" s="17"/>
      <c r="L350" s="49"/>
    </row>
    <row r="351" spans="10:12" ht="15" customHeight="1" x14ac:dyDescent="0.25">
      <c r="J351" s="16"/>
      <c r="K351" s="17"/>
      <c r="L351" s="49"/>
    </row>
    <row r="352" spans="10:12" ht="15" customHeight="1" x14ac:dyDescent="0.25">
      <c r="J352" s="16"/>
      <c r="K352" s="17"/>
      <c r="L352" s="49"/>
    </row>
    <row r="353" spans="10:12" ht="15" customHeight="1" x14ac:dyDescent="0.25">
      <c r="J353" s="16"/>
      <c r="K353" s="17"/>
      <c r="L353" s="49"/>
    </row>
    <row r="354" spans="10:12" ht="15" customHeight="1" x14ac:dyDescent="0.25">
      <c r="J354" s="16"/>
      <c r="K354" s="17"/>
      <c r="L354" s="49"/>
    </row>
  </sheetData>
  <autoFilter ref="A5:R72" xr:uid="{00000000-0009-0000-0000-000013000000}">
    <filterColumn colId="11" showButton="0"/>
  </autoFilter>
  <mergeCells count="21">
    <mergeCell ref="A2:F3"/>
    <mergeCell ref="G2:I3"/>
    <mergeCell ref="J2:L3"/>
    <mergeCell ref="M2:N3"/>
    <mergeCell ref="A1:N1"/>
    <mergeCell ref="O1:P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M5"/>
    <mergeCell ref="O2:P3"/>
    <mergeCell ref="O4:P5"/>
    <mergeCell ref="N4:N5"/>
  </mergeCells>
  <conditionalFormatting sqref="A7:A58 K9:L32 C7:C30 C31:E58 C59:D62 C65:D66 G7:I42 G43:G58 I43:I71 H43:H75">
    <cfRule type="expression" dxfId="5062" priority="493">
      <formula>AND($A7&lt;&gt;"",MOD(ROW(),2))</formula>
    </cfRule>
  </conditionalFormatting>
  <conditionalFormatting sqref="D31:D62 D65:D66">
    <cfRule type="cellIs" dxfId="5061" priority="490" operator="equal">
      <formula>$C31</formula>
    </cfRule>
    <cfRule type="cellIs" dxfId="5060" priority="491" operator="greaterThan">
      <formula>$C31</formula>
    </cfRule>
    <cfRule type="cellIs" dxfId="5059" priority="492" operator="lessThan">
      <formula>$C31</formula>
    </cfRule>
  </conditionalFormatting>
  <conditionalFormatting sqref="M9:M58">
    <cfRule type="expression" dxfId="5058" priority="486">
      <formula>AND($A9&lt;&gt;"",MOD(ROW(),2))</formula>
    </cfRule>
  </conditionalFormatting>
  <conditionalFormatting sqref="K33:L58">
    <cfRule type="expression" dxfId="5057" priority="469">
      <formula>AND($A33&lt;&gt;"",MOD(ROW(),2))</formula>
    </cfRule>
  </conditionalFormatting>
  <conditionalFormatting sqref="K9:K58">
    <cfRule type="cellIs" dxfId="5056" priority="466" operator="equal">
      <formula>$C9</formula>
    </cfRule>
    <cfRule type="cellIs" dxfId="5055" priority="467" operator="greaterThan">
      <formula>$C9</formula>
    </cfRule>
    <cfRule type="cellIs" dxfId="5054" priority="468" operator="lessThan">
      <formula>$C9</formula>
    </cfRule>
  </conditionalFormatting>
  <conditionalFormatting sqref="K59:L84">
    <cfRule type="expression" dxfId="5053" priority="465">
      <formula>AND($A59&lt;&gt;"",MOD(ROW(),2))</formula>
    </cfRule>
  </conditionalFormatting>
  <conditionalFormatting sqref="K59:K84">
    <cfRule type="cellIs" dxfId="5052" priority="462" operator="equal">
      <formula>$C59</formula>
    </cfRule>
    <cfRule type="cellIs" dxfId="5051" priority="463" operator="greaterThan">
      <formula>$C59</formula>
    </cfRule>
    <cfRule type="cellIs" dxfId="5050" priority="464" operator="lessThan">
      <formula>$C59</formula>
    </cfRule>
  </conditionalFormatting>
  <conditionalFormatting sqref="K85:L110">
    <cfRule type="expression" dxfId="5049" priority="461">
      <formula>AND($A85&lt;&gt;"",MOD(ROW(),2))</formula>
    </cfRule>
  </conditionalFormatting>
  <conditionalFormatting sqref="K85:K110">
    <cfRule type="cellIs" dxfId="5048" priority="458" operator="equal">
      <formula>$C85</formula>
    </cfRule>
    <cfRule type="cellIs" dxfId="5047" priority="459" operator="greaterThan">
      <formula>$C85</formula>
    </cfRule>
    <cfRule type="cellIs" dxfId="5046" priority="460" operator="lessThan">
      <formula>$C85</formula>
    </cfRule>
  </conditionalFormatting>
  <conditionalFormatting sqref="K111:L136">
    <cfRule type="expression" dxfId="5045" priority="457">
      <formula>AND($A111&lt;&gt;"",MOD(ROW(),2))</formula>
    </cfRule>
  </conditionalFormatting>
  <conditionalFormatting sqref="K111:K136">
    <cfRule type="cellIs" dxfId="5044" priority="454" operator="equal">
      <formula>$C111</formula>
    </cfRule>
    <cfRule type="cellIs" dxfId="5043" priority="455" operator="greaterThan">
      <formula>$C111</formula>
    </cfRule>
    <cfRule type="cellIs" dxfId="5042" priority="456" operator="lessThan">
      <formula>$C111</formula>
    </cfRule>
  </conditionalFormatting>
  <conditionalFormatting sqref="K137:L162">
    <cfRule type="expression" dxfId="5041" priority="453">
      <formula>AND($A137&lt;&gt;"",MOD(ROW(),2))</formula>
    </cfRule>
  </conditionalFormatting>
  <conditionalFormatting sqref="K137:K162">
    <cfRule type="cellIs" dxfId="5040" priority="450" operator="equal">
      <formula>$C137</formula>
    </cfRule>
    <cfRule type="cellIs" dxfId="5039" priority="451" operator="greaterThan">
      <formula>$C137</formula>
    </cfRule>
    <cfRule type="cellIs" dxfId="5038" priority="452" operator="lessThan">
      <formula>$C137</formula>
    </cfRule>
  </conditionalFormatting>
  <conditionalFormatting sqref="K163:L188">
    <cfRule type="expression" dxfId="5037" priority="449">
      <formula>AND($A163&lt;&gt;"",MOD(ROW(),2))</formula>
    </cfRule>
  </conditionalFormatting>
  <conditionalFormatting sqref="K163:K188">
    <cfRule type="cellIs" dxfId="5036" priority="446" operator="equal">
      <formula>$C163</formula>
    </cfRule>
    <cfRule type="cellIs" dxfId="5035" priority="447" operator="greaterThan">
      <formula>$C163</formula>
    </cfRule>
    <cfRule type="cellIs" dxfId="5034" priority="448" operator="lessThan">
      <formula>$C163</formula>
    </cfRule>
  </conditionalFormatting>
  <conditionalFormatting sqref="K189:L214">
    <cfRule type="expression" dxfId="5033" priority="445">
      <formula>AND($A189&lt;&gt;"",MOD(ROW(),2))</formula>
    </cfRule>
  </conditionalFormatting>
  <conditionalFormatting sqref="K189:K214">
    <cfRule type="cellIs" dxfId="5032" priority="442" operator="equal">
      <formula>$C189</formula>
    </cfRule>
    <cfRule type="cellIs" dxfId="5031" priority="443" operator="greaterThan">
      <formula>$C189</formula>
    </cfRule>
    <cfRule type="cellIs" dxfId="5030" priority="444" operator="lessThan">
      <formula>$C189</formula>
    </cfRule>
  </conditionalFormatting>
  <conditionalFormatting sqref="K215:L240">
    <cfRule type="expression" dxfId="5029" priority="441">
      <formula>AND($A215&lt;&gt;"",MOD(ROW(),2))</formula>
    </cfRule>
  </conditionalFormatting>
  <conditionalFormatting sqref="K215:K240">
    <cfRule type="cellIs" dxfId="5028" priority="438" operator="equal">
      <formula>$C215</formula>
    </cfRule>
    <cfRule type="cellIs" dxfId="5027" priority="439" operator="greaterThan">
      <formula>$C215</formula>
    </cfRule>
    <cfRule type="cellIs" dxfId="5026" priority="440" operator="lessThan">
      <formula>$C215</formula>
    </cfRule>
  </conditionalFormatting>
  <conditionalFormatting sqref="K241:L266">
    <cfRule type="expression" dxfId="5025" priority="437">
      <formula>AND($A241&lt;&gt;"",MOD(ROW(),2))</formula>
    </cfRule>
  </conditionalFormatting>
  <conditionalFormatting sqref="K241:K266">
    <cfRule type="cellIs" dxfId="5024" priority="434" operator="equal">
      <formula>$C241</formula>
    </cfRule>
    <cfRule type="cellIs" dxfId="5023" priority="435" operator="greaterThan">
      <formula>$C241</formula>
    </cfRule>
    <cfRule type="cellIs" dxfId="5022" priority="436" operator="lessThan">
      <formula>$C241</formula>
    </cfRule>
  </conditionalFormatting>
  <conditionalFormatting sqref="K267:L292">
    <cfRule type="expression" dxfId="5021" priority="433">
      <formula>AND($A267&lt;&gt;"",MOD(ROW(),2))</formula>
    </cfRule>
  </conditionalFormatting>
  <conditionalFormatting sqref="K267:K292">
    <cfRule type="cellIs" dxfId="5020" priority="430" operator="equal">
      <formula>$C267</formula>
    </cfRule>
    <cfRule type="cellIs" dxfId="5019" priority="431" operator="greaterThan">
      <formula>$C267</formula>
    </cfRule>
    <cfRule type="cellIs" dxfId="5018" priority="432" operator="lessThan">
      <formula>$C267</formula>
    </cfRule>
  </conditionalFormatting>
  <conditionalFormatting sqref="K293:L318">
    <cfRule type="expression" dxfId="5017" priority="429">
      <formula>AND($A293&lt;&gt;"",MOD(ROW(),2))</formula>
    </cfRule>
  </conditionalFormatting>
  <conditionalFormatting sqref="K293:K318">
    <cfRule type="cellIs" dxfId="5016" priority="426" operator="equal">
      <formula>$C293</formula>
    </cfRule>
    <cfRule type="cellIs" dxfId="5015" priority="427" operator="greaterThan">
      <formula>$C293</formula>
    </cfRule>
    <cfRule type="cellIs" dxfId="5014" priority="428" operator="lessThan">
      <formula>$C293</formula>
    </cfRule>
  </conditionalFormatting>
  <conditionalFormatting sqref="F31:F2989">
    <cfRule type="containsText" dxfId="5013" priority="425" operator="containsText" text="Unpaid Rent">
      <formula>NOT(ISERROR(SEARCH("Unpaid Rent",F31)))</formula>
    </cfRule>
    <cfRule type="containsText" dxfId="5012" priority="470" stopIfTrue="1" operator="containsText" text="Closed Account">
      <formula>NOT(ISERROR(SEARCH("Closed Account",F31)))</formula>
    </cfRule>
  </conditionalFormatting>
  <conditionalFormatting sqref="L9:M32 M33:M58 L33:L318">
    <cfRule type="expression" dxfId="5011" priority="488">
      <formula>AND(#REF!&lt;&gt;"",MOD(ROW(),2))</formula>
    </cfRule>
  </conditionalFormatting>
  <conditionalFormatting sqref="L9:M32 M33:M58 L33:L318">
    <cfRule type="expression" dxfId="5010" priority="487">
      <formula>AND(#REF!&lt;&gt;"",MOD(ROW(),2))</formula>
    </cfRule>
  </conditionalFormatting>
  <conditionalFormatting sqref="M9:M58">
    <cfRule type="cellIs" dxfId="5009" priority="483" operator="equal">
      <formula>#REF!</formula>
    </cfRule>
    <cfRule type="cellIs" dxfId="5008" priority="484" operator="greaterThan">
      <formula>#REF!</formula>
    </cfRule>
    <cfRule type="cellIs" dxfId="5007" priority="485" operator="lessThan">
      <formula>#REF!</formula>
    </cfRule>
  </conditionalFormatting>
  <conditionalFormatting sqref="K319:L321">
    <cfRule type="expression" dxfId="5006" priority="419">
      <formula>AND($A319&lt;&gt;"",MOD(ROW(),2))</formula>
    </cfRule>
  </conditionalFormatting>
  <conditionalFormatting sqref="K319:K321">
    <cfRule type="cellIs" dxfId="5005" priority="416" operator="equal">
      <formula>$C319</formula>
    </cfRule>
    <cfRule type="cellIs" dxfId="5004" priority="417" operator="greaterThan">
      <formula>$C319</formula>
    </cfRule>
    <cfRule type="cellIs" dxfId="5003" priority="418" operator="lessThan">
      <formula>$C319</formula>
    </cfRule>
  </conditionalFormatting>
  <conditionalFormatting sqref="L319:L321">
    <cfRule type="expression" dxfId="5002" priority="421">
      <formula>AND(#REF!&lt;&gt;"",MOD(ROW(),2))</formula>
    </cfRule>
  </conditionalFormatting>
  <conditionalFormatting sqref="L319:L321">
    <cfRule type="expression" dxfId="5001" priority="420">
      <formula>AND(#REF!&lt;&gt;"",MOD(ROW(),2))</formula>
    </cfRule>
  </conditionalFormatting>
  <conditionalFormatting sqref="K322:L324">
    <cfRule type="expression" dxfId="5000" priority="413">
      <formula>AND($A322&lt;&gt;"",MOD(ROW(),2))</formula>
    </cfRule>
  </conditionalFormatting>
  <conditionalFormatting sqref="K322:K324">
    <cfRule type="cellIs" dxfId="4999" priority="410" operator="equal">
      <formula>$C322</formula>
    </cfRule>
    <cfRule type="cellIs" dxfId="4998" priority="411" operator="greaterThan">
      <formula>$C322</formula>
    </cfRule>
    <cfRule type="cellIs" dxfId="4997" priority="412" operator="lessThan">
      <formula>$C322</formula>
    </cfRule>
  </conditionalFormatting>
  <conditionalFormatting sqref="L322:L324">
    <cfRule type="expression" dxfId="4996" priority="415">
      <formula>AND(#REF!&lt;&gt;"",MOD(ROW(),2))</formula>
    </cfRule>
  </conditionalFormatting>
  <conditionalFormatting sqref="L322:L324">
    <cfRule type="expression" dxfId="4995" priority="414">
      <formula>AND(#REF!&lt;&gt;"",MOD(ROW(),2))</formula>
    </cfRule>
  </conditionalFormatting>
  <conditionalFormatting sqref="K325:L327">
    <cfRule type="expression" dxfId="4994" priority="407">
      <formula>AND($A325&lt;&gt;"",MOD(ROW(),2))</formula>
    </cfRule>
  </conditionalFormatting>
  <conditionalFormatting sqref="K325:K327">
    <cfRule type="cellIs" dxfId="4993" priority="404" operator="equal">
      <formula>$C325</formula>
    </cfRule>
    <cfRule type="cellIs" dxfId="4992" priority="405" operator="greaterThan">
      <formula>$C325</formula>
    </cfRule>
    <cfRule type="cellIs" dxfId="4991" priority="406" operator="lessThan">
      <formula>$C325</formula>
    </cfRule>
  </conditionalFormatting>
  <conditionalFormatting sqref="L325:L327">
    <cfRule type="expression" dxfId="4990" priority="409">
      <formula>AND(#REF!&lt;&gt;"",MOD(ROW(),2))</formula>
    </cfRule>
  </conditionalFormatting>
  <conditionalFormatting sqref="L325:L327">
    <cfRule type="expression" dxfId="4989" priority="408">
      <formula>AND(#REF!&lt;&gt;"",MOD(ROW(),2))</formula>
    </cfRule>
  </conditionalFormatting>
  <conditionalFormatting sqref="K328:L330">
    <cfRule type="expression" dxfId="4988" priority="401">
      <formula>AND($A328&lt;&gt;"",MOD(ROW(),2))</formula>
    </cfRule>
  </conditionalFormatting>
  <conditionalFormatting sqref="K328:K330">
    <cfRule type="cellIs" dxfId="4987" priority="398" operator="equal">
      <formula>$C328</formula>
    </cfRule>
    <cfRule type="cellIs" dxfId="4986" priority="399" operator="greaterThan">
      <formula>$C328</formula>
    </cfRule>
    <cfRule type="cellIs" dxfId="4985" priority="400" operator="lessThan">
      <formula>$C328</formula>
    </cfRule>
  </conditionalFormatting>
  <conditionalFormatting sqref="L328:L330">
    <cfRule type="expression" dxfId="4984" priority="403">
      <formula>AND(#REF!&lt;&gt;"",MOD(ROW(),2))</formula>
    </cfRule>
  </conditionalFormatting>
  <conditionalFormatting sqref="L328:L330">
    <cfRule type="expression" dxfId="4983" priority="402">
      <formula>AND(#REF!&lt;&gt;"",MOD(ROW(),2))</formula>
    </cfRule>
  </conditionalFormatting>
  <conditionalFormatting sqref="K331:L333">
    <cfRule type="expression" dxfId="4982" priority="395">
      <formula>AND($A331&lt;&gt;"",MOD(ROW(),2))</formula>
    </cfRule>
  </conditionalFormatting>
  <conditionalFormatting sqref="K331:K333">
    <cfRule type="cellIs" dxfId="4981" priority="392" operator="equal">
      <formula>$C331</formula>
    </cfRule>
    <cfRule type="cellIs" dxfId="4980" priority="393" operator="greaterThan">
      <formula>$C331</formula>
    </cfRule>
    <cfRule type="cellIs" dxfId="4979" priority="394" operator="lessThan">
      <formula>$C331</formula>
    </cfRule>
  </conditionalFormatting>
  <conditionalFormatting sqref="L331:L333">
    <cfRule type="expression" dxfId="4978" priority="397">
      <formula>AND(#REF!&lt;&gt;"",MOD(ROW(),2))</formula>
    </cfRule>
  </conditionalFormatting>
  <conditionalFormatting sqref="L331:L333">
    <cfRule type="expression" dxfId="4977" priority="396">
      <formula>AND(#REF!&lt;&gt;"",MOD(ROW(),2))</formula>
    </cfRule>
  </conditionalFormatting>
  <conditionalFormatting sqref="K334:L336">
    <cfRule type="expression" dxfId="4976" priority="389">
      <formula>AND($A334&lt;&gt;"",MOD(ROW(),2))</formula>
    </cfRule>
  </conditionalFormatting>
  <conditionalFormatting sqref="K334:K336">
    <cfRule type="cellIs" dxfId="4975" priority="386" operator="equal">
      <formula>$C334</formula>
    </cfRule>
    <cfRule type="cellIs" dxfId="4974" priority="387" operator="greaterThan">
      <formula>$C334</formula>
    </cfRule>
    <cfRule type="cellIs" dxfId="4973" priority="388" operator="lessThan">
      <formula>$C334</formula>
    </cfRule>
  </conditionalFormatting>
  <conditionalFormatting sqref="L334:L336">
    <cfRule type="expression" dxfId="4972" priority="391">
      <formula>AND(#REF!&lt;&gt;"",MOD(ROW(),2))</formula>
    </cfRule>
  </conditionalFormatting>
  <conditionalFormatting sqref="L334:L336">
    <cfRule type="expression" dxfId="4971" priority="390">
      <formula>AND(#REF!&lt;&gt;"",MOD(ROW(),2))</formula>
    </cfRule>
  </conditionalFormatting>
  <conditionalFormatting sqref="K337:L339">
    <cfRule type="expression" dxfId="4970" priority="383">
      <formula>AND($A337&lt;&gt;"",MOD(ROW(),2))</formula>
    </cfRule>
  </conditionalFormatting>
  <conditionalFormatting sqref="K337:K339">
    <cfRule type="cellIs" dxfId="4969" priority="380" operator="equal">
      <formula>$C337</formula>
    </cfRule>
    <cfRule type="cellIs" dxfId="4968" priority="381" operator="greaterThan">
      <formula>$C337</formula>
    </cfRule>
    <cfRule type="cellIs" dxfId="4967" priority="382" operator="lessThan">
      <formula>$C337</formula>
    </cfRule>
  </conditionalFormatting>
  <conditionalFormatting sqref="L337:L339">
    <cfRule type="expression" dxfId="4966" priority="385">
      <formula>AND(#REF!&lt;&gt;"",MOD(ROW(),2))</formula>
    </cfRule>
  </conditionalFormatting>
  <conditionalFormatting sqref="L337:L339">
    <cfRule type="expression" dxfId="4965" priority="384">
      <formula>AND(#REF!&lt;&gt;"",MOD(ROW(),2))</formula>
    </cfRule>
  </conditionalFormatting>
  <conditionalFormatting sqref="K340:L342">
    <cfRule type="expression" dxfId="4964" priority="377">
      <formula>AND($A340&lt;&gt;"",MOD(ROW(),2))</formula>
    </cfRule>
  </conditionalFormatting>
  <conditionalFormatting sqref="K340:K342">
    <cfRule type="cellIs" dxfId="4963" priority="374" operator="equal">
      <formula>$C340</formula>
    </cfRule>
    <cfRule type="cellIs" dxfId="4962" priority="375" operator="greaterThan">
      <formula>$C340</formula>
    </cfRule>
    <cfRule type="cellIs" dxfId="4961" priority="376" operator="lessThan">
      <formula>$C340</formula>
    </cfRule>
  </conditionalFormatting>
  <conditionalFormatting sqref="L340:L342">
    <cfRule type="expression" dxfId="4960" priority="379">
      <formula>AND(#REF!&lt;&gt;"",MOD(ROW(),2))</formula>
    </cfRule>
  </conditionalFormatting>
  <conditionalFormatting sqref="L340:L342">
    <cfRule type="expression" dxfId="4959" priority="378">
      <formula>AND(#REF!&lt;&gt;"",MOD(ROW(),2))</formula>
    </cfRule>
  </conditionalFormatting>
  <conditionalFormatting sqref="K343:L345">
    <cfRule type="expression" dxfId="4958" priority="371">
      <formula>AND($A343&lt;&gt;"",MOD(ROW(),2))</formula>
    </cfRule>
  </conditionalFormatting>
  <conditionalFormatting sqref="K343:K345">
    <cfRule type="cellIs" dxfId="4957" priority="368" operator="equal">
      <formula>$C343</formula>
    </cfRule>
    <cfRule type="cellIs" dxfId="4956" priority="369" operator="greaterThan">
      <formula>$C343</formula>
    </cfRule>
    <cfRule type="cellIs" dxfId="4955" priority="370" operator="lessThan">
      <formula>$C343</formula>
    </cfRule>
  </conditionalFormatting>
  <conditionalFormatting sqref="L343:L345">
    <cfRule type="expression" dxfId="4954" priority="373">
      <formula>AND(#REF!&lt;&gt;"",MOD(ROW(),2))</formula>
    </cfRule>
  </conditionalFormatting>
  <conditionalFormatting sqref="L343:L345">
    <cfRule type="expression" dxfId="4953" priority="372">
      <formula>AND(#REF!&lt;&gt;"",MOD(ROW(),2))</formula>
    </cfRule>
  </conditionalFormatting>
  <conditionalFormatting sqref="K346:L348">
    <cfRule type="expression" dxfId="4952" priority="365">
      <formula>AND($A346&lt;&gt;"",MOD(ROW(),2))</formula>
    </cfRule>
  </conditionalFormatting>
  <conditionalFormatting sqref="K346:K348">
    <cfRule type="cellIs" dxfId="4951" priority="362" operator="equal">
      <formula>$C346</formula>
    </cfRule>
    <cfRule type="cellIs" dxfId="4950" priority="363" operator="greaterThan">
      <formula>$C346</formula>
    </cfRule>
    <cfRule type="cellIs" dxfId="4949" priority="364" operator="lessThan">
      <formula>$C346</formula>
    </cfRule>
  </conditionalFormatting>
  <conditionalFormatting sqref="L346:L348">
    <cfRule type="expression" dxfId="4948" priority="367">
      <formula>AND(#REF!&lt;&gt;"",MOD(ROW(),2))</formula>
    </cfRule>
  </conditionalFormatting>
  <conditionalFormatting sqref="L346:L348">
    <cfRule type="expression" dxfId="4947" priority="366">
      <formula>AND(#REF!&lt;&gt;"",MOD(ROW(),2))</formula>
    </cfRule>
  </conditionalFormatting>
  <conditionalFormatting sqref="K349:L351">
    <cfRule type="expression" dxfId="4946" priority="359">
      <formula>AND($A349&lt;&gt;"",MOD(ROW(),2))</formula>
    </cfRule>
  </conditionalFormatting>
  <conditionalFormatting sqref="K349:K351">
    <cfRule type="cellIs" dxfId="4945" priority="356" operator="equal">
      <formula>$C349</formula>
    </cfRule>
    <cfRule type="cellIs" dxfId="4944" priority="357" operator="greaterThan">
      <formula>$C349</formula>
    </cfRule>
    <cfRule type="cellIs" dxfId="4943" priority="358" operator="lessThan">
      <formula>$C349</formula>
    </cfRule>
  </conditionalFormatting>
  <conditionalFormatting sqref="L349:L351">
    <cfRule type="expression" dxfId="4942" priority="361">
      <formula>AND(#REF!&lt;&gt;"",MOD(ROW(),2))</formula>
    </cfRule>
  </conditionalFormatting>
  <conditionalFormatting sqref="L349:L351">
    <cfRule type="expression" dxfId="4941" priority="360">
      <formula>AND(#REF!&lt;&gt;"",MOD(ROW(),2))</formula>
    </cfRule>
  </conditionalFormatting>
  <conditionalFormatting sqref="K352:L354">
    <cfRule type="expression" dxfId="4940" priority="353">
      <formula>AND($A352&lt;&gt;"",MOD(ROW(),2))</formula>
    </cfRule>
  </conditionalFormatting>
  <conditionalFormatting sqref="K352:K354">
    <cfRule type="cellIs" dxfId="4939" priority="350" operator="equal">
      <formula>$C352</formula>
    </cfRule>
    <cfRule type="cellIs" dxfId="4938" priority="351" operator="greaterThan">
      <formula>$C352</formula>
    </cfRule>
    <cfRule type="cellIs" dxfId="4937" priority="352" operator="lessThan">
      <formula>$C352</formula>
    </cfRule>
  </conditionalFormatting>
  <conditionalFormatting sqref="L352:L354">
    <cfRule type="expression" dxfId="4936" priority="355">
      <formula>AND(#REF!&lt;&gt;"",MOD(ROW(),2))</formula>
    </cfRule>
  </conditionalFormatting>
  <conditionalFormatting sqref="L352:L354">
    <cfRule type="expression" dxfId="4935" priority="354">
      <formula>AND(#REF!&lt;&gt;"",MOD(ROW(),2))</formula>
    </cfRule>
  </conditionalFormatting>
  <conditionalFormatting sqref="D7:E7">
    <cfRule type="expression" dxfId="4934" priority="205">
      <formula>AND($A7&lt;&gt;"",MOD(ROW(),2))</formula>
    </cfRule>
  </conditionalFormatting>
  <conditionalFormatting sqref="D7">
    <cfRule type="cellIs" dxfId="4933" priority="202" operator="equal">
      <formula>$C7</formula>
    </cfRule>
    <cfRule type="cellIs" dxfId="4932" priority="203" operator="greaterThan">
      <formula>$C7</formula>
    </cfRule>
    <cfRule type="cellIs" dxfId="4931" priority="204" operator="lessThan">
      <formula>$C7</formula>
    </cfRule>
  </conditionalFormatting>
  <conditionalFormatting sqref="D8:E8">
    <cfRule type="expression" dxfId="4930" priority="199">
      <formula>AND($A8&lt;&gt;"",MOD(ROW(),2))</formula>
    </cfRule>
  </conditionalFormatting>
  <conditionalFormatting sqref="D8">
    <cfRule type="cellIs" dxfId="4929" priority="196" operator="equal">
      <formula>$C8</formula>
    </cfRule>
    <cfRule type="cellIs" dxfId="4928" priority="197" operator="greaterThan">
      <formula>$C8</formula>
    </cfRule>
    <cfRule type="cellIs" dxfId="4927" priority="198" operator="lessThan">
      <formula>$C8</formula>
    </cfRule>
  </conditionalFormatting>
  <conditionalFormatting sqref="D9:E9">
    <cfRule type="expression" dxfId="4926" priority="195">
      <formula>AND($A9&lt;&gt;"",MOD(ROW(),2))</formula>
    </cfRule>
  </conditionalFormatting>
  <conditionalFormatting sqref="D9">
    <cfRule type="cellIs" dxfId="4925" priority="192" operator="equal">
      <formula>$C9</formula>
    </cfRule>
    <cfRule type="cellIs" dxfId="4924" priority="193" operator="greaterThan">
      <formula>$C9</formula>
    </cfRule>
    <cfRule type="cellIs" dxfId="4923" priority="194" operator="lessThan">
      <formula>$C9</formula>
    </cfRule>
  </conditionalFormatting>
  <conditionalFormatting sqref="D10:E10">
    <cfRule type="expression" dxfId="4922" priority="191">
      <formula>AND($A10&lt;&gt;"",MOD(ROW(),2))</formula>
    </cfRule>
  </conditionalFormatting>
  <conditionalFormatting sqref="D10">
    <cfRule type="cellIs" dxfId="4921" priority="188" operator="equal">
      <formula>$C10</formula>
    </cfRule>
    <cfRule type="cellIs" dxfId="4920" priority="189" operator="greaterThan">
      <formula>$C10</formula>
    </cfRule>
    <cfRule type="cellIs" dxfId="4919" priority="190" operator="lessThan">
      <formula>$C10</formula>
    </cfRule>
  </conditionalFormatting>
  <conditionalFormatting sqref="D11:E11">
    <cfRule type="expression" dxfId="4918" priority="187">
      <formula>AND($A11&lt;&gt;"",MOD(ROW(),2))</formula>
    </cfRule>
  </conditionalFormatting>
  <conditionalFormatting sqref="D11">
    <cfRule type="cellIs" dxfId="4917" priority="184" operator="equal">
      <formula>$C11</formula>
    </cfRule>
    <cfRule type="cellIs" dxfId="4916" priority="185" operator="greaterThan">
      <formula>$C11</formula>
    </cfRule>
    <cfRule type="cellIs" dxfId="4915" priority="186" operator="lessThan">
      <formula>$C11</formula>
    </cfRule>
  </conditionalFormatting>
  <conditionalFormatting sqref="D12:E12">
    <cfRule type="expression" dxfId="4914" priority="183">
      <formula>AND($A12&lt;&gt;"",MOD(ROW(),2))</formula>
    </cfRule>
  </conditionalFormatting>
  <conditionalFormatting sqref="D12">
    <cfRule type="cellIs" dxfId="4913" priority="180" operator="equal">
      <formula>$C12</formula>
    </cfRule>
    <cfRule type="cellIs" dxfId="4912" priority="181" operator="greaterThan">
      <formula>$C12</formula>
    </cfRule>
    <cfRule type="cellIs" dxfId="4911" priority="182" operator="lessThan">
      <formula>$C12</formula>
    </cfRule>
  </conditionalFormatting>
  <conditionalFormatting sqref="D15:E15">
    <cfRule type="expression" dxfId="4910" priority="171">
      <formula>AND($A15&lt;&gt;"",MOD(ROW(),2))</formula>
    </cfRule>
  </conditionalFormatting>
  <conditionalFormatting sqref="D15">
    <cfRule type="cellIs" dxfId="4909" priority="168" operator="equal">
      <formula>$C15</formula>
    </cfRule>
    <cfRule type="cellIs" dxfId="4908" priority="169" operator="greaterThan">
      <formula>$C15</formula>
    </cfRule>
    <cfRule type="cellIs" dxfId="4907" priority="170" operator="lessThan">
      <formula>$C15</formula>
    </cfRule>
  </conditionalFormatting>
  <conditionalFormatting sqref="D16:E16">
    <cfRule type="expression" dxfId="4906" priority="167">
      <formula>AND($A16&lt;&gt;"",MOD(ROW(),2))</formula>
    </cfRule>
  </conditionalFormatting>
  <conditionalFormatting sqref="D16">
    <cfRule type="cellIs" dxfId="4905" priority="164" operator="equal">
      <formula>$C16</formula>
    </cfRule>
    <cfRule type="cellIs" dxfId="4904" priority="165" operator="greaterThan">
      <formula>$C16</formula>
    </cfRule>
    <cfRule type="cellIs" dxfId="4903" priority="166" operator="lessThan">
      <formula>$C16</formula>
    </cfRule>
  </conditionalFormatting>
  <conditionalFormatting sqref="D17:E17">
    <cfRule type="expression" dxfId="4902" priority="163">
      <formula>AND($A17&lt;&gt;"",MOD(ROW(),2))</formula>
    </cfRule>
  </conditionalFormatting>
  <conditionalFormatting sqref="D17">
    <cfRule type="cellIs" dxfId="4901" priority="160" operator="equal">
      <formula>$C17</formula>
    </cfRule>
    <cfRule type="cellIs" dxfId="4900" priority="161" operator="greaterThan">
      <formula>$C17</formula>
    </cfRule>
    <cfRule type="cellIs" dxfId="4899" priority="162" operator="lessThan">
      <formula>$C17</formula>
    </cfRule>
  </conditionalFormatting>
  <conditionalFormatting sqref="D18:E18">
    <cfRule type="expression" dxfId="4898" priority="159">
      <formula>AND($A18&lt;&gt;"",MOD(ROW(),2))</formula>
    </cfRule>
  </conditionalFormatting>
  <conditionalFormatting sqref="D18">
    <cfRule type="cellIs" dxfId="4897" priority="156" operator="equal">
      <formula>$C18</formula>
    </cfRule>
    <cfRule type="cellIs" dxfId="4896" priority="157" operator="greaterThan">
      <formula>$C18</formula>
    </cfRule>
    <cfRule type="cellIs" dxfId="4895" priority="158" operator="lessThan">
      <formula>$C18</formula>
    </cfRule>
  </conditionalFormatting>
  <conditionalFormatting sqref="F7:F18">
    <cfRule type="containsText" dxfId="4894" priority="132" operator="containsText" text="Unpaid Rent">
      <formula>NOT(ISERROR(SEARCH("Unpaid Rent",F7)))</formula>
    </cfRule>
    <cfRule type="containsText" dxfId="4893" priority="133" stopIfTrue="1" operator="containsText" text="Closed Account">
      <formula>NOT(ISERROR(SEARCH("Closed Account",F7)))</formula>
    </cfRule>
  </conditionalFormatting>
  <conditionalFormatting sqref="F19:F30">
    <cfRule type="containsText" dxfId="4892" priority="130" operator="containsText" text="Unpaid Rent">
      <formula>NOT(ISERROR(SEARCH("Unpaid Rent",F19)))</formula>
    </cfRule>
    <cfRule type="containsText" dxfId="4891" priority="131" stopIfTrue="1" operator="containsText" text="Closed Account">
      <formula>NOT(ISERROR(SEARCH("Closed Account",F19)))</formula>
    </cfRule>
  </conditionalFormatting>
  <conditionalFormatting sqref="D19:E19">
    <cfRule type="expression" dxfId="4890" priority="129">
      <formula>AND($A19&lt;&gt;"",MOD(ROW(),2))</formula>
    </cfRule>
  </conditionalFormatting>
  <conditionalFormatting sqref="D19">
    <cfRule type="cellIs" dxfId="4889" priority="126" operator="equal">
      <formula>$C19</formula>
    </cfRule>
    <cfRule type="cellIs" dxfId="4888" priority="127" operator="greaterThan">
      <formula>$C19</formula>
    </cfRule>
    <cfRule type="cellIs" dxfId="4887" priority="128" operator="lessThan">
      <formula>$C19</formula>
    </cfRule>
  </conditionalFormatting>
  <conditionalFormatting sqref="D20:E20">
    <cfRule type="expression" dxfId="4886" priority="125">
      <formula>AND($A20&lt;&gt;"",MOD(ROW(),2))</formula>
    </cfRule>
  </conditionalFormatting>
  <conditionalFormatting sqref="D20">
    <cfRule type="cellIs" dxfId="4885" priority="122" operator="equal">
      <formula>$C20</formula>
    </cfRule>
    <cfRule type="cellIs" dxfId="4884" priority="123" operator="greaterThan">
      <formula>$C20</formula>
    </cfRule>
    <cfRule type="cellIs" dxfId="4883" priority="124" operator="lessThan">
      <formula>$C20</formula>
    </cfRule>
  </conditionalFormatting>
  <conditionalFormatting sqref="D21:E21">
    <cfRule type="expression" dxfId="4882" priority="121">
      <formula>AND($A21&lt;&gt;"",MOD(ROW(),2))</formula>
    </cfRule>
  </conditionalFormatting>
  <conditionalFormatting sqref="D21">
    <cfRule type="cellIs" dxfId="4881" priority="118" operator="equal">
      <formula>$C21</formula>
    </cfRule>
    <cfRule type="cellIs" dxfId="4880" priority="119" operator="greaterThan">
      <formula>$C21</formula>
    </cfRule>
    <cfRule type="cellIs" dxfId="4879" priority="120" operator="lessThan">
      <formula>$C21</formula>
    </cfRule>
  </conditionalFormatting>
  <conditionalFormatting sqref="D22:E22">
    <cfRule type="expression" dxfId="4878" priority="117">
      <formula>AND($A22&lt;&gt;"",MOD(ROW(),2))</formula>
    </cfRule>
  </conditionalFormatting>
  <conditionalFormatting sqref="D22">
    <cfRule type="cellIs" dxfId="4877" priority="114" operator="equal">
      <formula>$C22</formula>
    </cfRule>
    <cfRule type="cellIs" dxfId="4876" priority="115" operator="greaterThan">
      <formula>$C22</formula>
    </cfRule>
    <cfRule type="cellIs" dxfId="4875" priority="116" operator="lessThan">
      <formula>$C22</formula>
    </cfRule>
  </conditionalFormatting>
  <conditionalFormatting sqref="D23:E23">
    <cfRule type="expression" dxfId="4874" priority="113">
      <formula>AND($A23&lt;&gt;"",MOD(ROW(),2))</formula>
    </cfRule>
  </conditionalFormatting>
  <conditionalFormatting sqref="D23">
    <cfRule type="cellIs" dxfId="4873" priority="110" operator="equal">
      <formula>$C23</formula>
    </cfRule>
    <cfRule type="cellIs" dxfId="4872" priority="111" operator="greaterThan">
      <formula>$C23</formula>
    </cfRule>
    <cfRule type="cellIs" dxfId="4871" priority="112" operator="lessThan">
      <formula>$C23</formula>
    </cfRule>
  </conditionalFormatting>
  <conditionalFormatting sqref="D24:E24">
    <cfRule type="expression" dxfId="4870" priority="109">
      <formula>AND($A24&lt;&gt;"",MOD(ROW(),2))</formula>
    </cfRule>
  </conditionalFormatting>
  <conditionalFormatting sqref="D24">
    <cfRule type="cellIs" dxfId="4869" priority="106" operator="equal">
      <formula>$C24</formula>
    </cfRule>
    <cfRule type="cellIs" dxfId="4868" priority="107" operator="greaterThan">
      <formula>$C24</formula>
    </cfRule>
    <cfRule type="cellIs" dxfId="4867" priority="108" operator="lessThan">
      <formula>$C24</formula>
    </cfRule>
  </conditionalFormatting>
  <conditionalFormatting sqref="D25:E25">
    <cfRule type="expression" dxfId="4866" priority="105">
      <formula>AND($A25&lt;&gt;"",MOD(ROW(),2))</formula>
    </cfRule>
  </conditionalFormatting>
  <conditionalFormatting sqref="D25">
    <cfRule type="cellIs" dxfId="4865" priority="102" operator="equal">
      <formula>$C25</formula>
    </cfRule>
    <cfRule type="cellIs" dxfId="4864" priority="103" operator="greaterThan">
      <formula>$C25</formula>
    </cfRule>
    <cfRule type="cellIs" dxfId="4863" priority="104" operator="lessThan">
      <formula>$C25</formula>
    </cfRule>
  </conditionalFormatting>
  <conditionalFormatting sqref="D26:E26">
    <cfRule type="expression" dxfId="4862" priority="101">
      <formula>AND($A26&lt;&gt;"",MOD(ROW(),2))</formula>
    </cfRule>
  </conditionalFormatting>
  <conditionalFormatting sqref="D26">
    <cfRule type="cellIs" dxfId="4861" priority="98" operator="equal">
      <formula>$C26</formula>
    </cfRule>
    <cfRule type="cellIs" dxfId="4860" priority="99" operator="greaterThan">
      <formula>$C26</formula>
    </cfRule>
    <cfRule type="cellIs" dxfId="4859" priority="100" operator="lessThan">
      <formula>$C26</formula>
    </cfRule>
  </conditionalFormatting>
  <conditionalFormatting sqref="D27:E27">
    <cfRule type="expression" dxfId="4858" priority="97">
      <formula>AND($A27&lt;&gt;"",MOD(ROW(),2))</formula>
    </cfRule>
  </conditionalFormatting>
  <conditionalFormatting sqref="D27">
    <cfRule type="cellIs" dxfId="4857" priority="94" operator="equal">
      <formula>$C27</formula>
    </cfRule>
    <cfRule type="cellIs" dxfId="4856" priority="95" operator="greaterThan">
      <formula>$C27</formula>
    </cfRule>
    <cfRule type="cellIs" dxfId="4855" priority="96" operator="lessThan">
      <formula>$C27</formula>
    </cfRule>
  </conditionalFormatting>
  <conditionalFormatting sqref="D28:E28">
    <cfRule type="expression" dxfId="4854" priority="93">
      <formula>AND($A28&lt;&gt;"",MOD(ROW(),2))</formula>
    </cfRule>
  </conditionalFormatting>
  <conditionalFormatting sqref="D28">
    <cfRule type="cellIs" dxfId="4853" priority="90" operator="equal">
      <formula>$C28</formula>
    </cfRule>
    <cfRule type="cellIs" dxfId="4852" priority="91" operator="greaterThan">
      <formula>$C28</formula>
    </cfRule>
    <cfRule type="cellIs" dxfId="4851" priority="92" operator="lessThan">
      <formula>$C28</formula>
    </cfRule>
  </conditionalFormatting>
  <conditionalFormatting sqref="D29:E29">
    <cfRule type="expression" dxfId="4850" priority="89">
      <formula>AND($A29&lt;&gt;"",MOD(ROW(),2))</formula>
    </cfRule>
  </conditionalFormatting>
  <conditionalFormatting sqref="D29">
    <cfRule type="cellIs" dxfId="4849" priority="86" operator="equal">
      <formula>$C29</formula>
    </cfRule>
    <cfRule type="cellIs" dxfId="4848" priority="87" operator="greaterThan">
      <formula>$C29</formula>
    </cfRule>
    <cfRule type="cellIs" dxfId="4847" priority="88" operator="lessThan">
      <formula>$C29</formula>
    </cfRule>
  </conditionalFormatting>
  <conditionalFormatting sqref="D30:E30">
    <cfRule type="expression" dxfId="4846" priority="85">
      <formula>AND($A30&lt;&gt;"",MOD(ROW(),2))</formula>
    </cfRule>
  </conditionalFormatting>
  <conditionalFormatting sqref="D30">
    <cfRule type="cellIs" dxfId="4845" priority="82" operator="equal">
      <formula>$C30</formula>
    </cfRule>
    <cfRule type="cellIs" dxfId="4844" priority="83" operator="greaterThan">
      <formula>$C30</formula>
    </cfRule>
    <cfRule type="cellIs" dxfId="4843" priority="84" operator="lessThan">
      <formula>$C30</formula>
    </cfRule>
  </conditionalFormatting>
  <conditionalFormatting sqref="K7:L8">
    <cfRule type="expression" dxfId="4842" priority="81">
      <formula>AND($A7&lt;&gt;"",MOD(ROW(),2))</formula>
    </cfRule>
  </conditionalFormatting>
  <conditionalFormatting sqref="M7:M8">
    <cfRule type="expression" dxfId="4841" priority="78">
      <formula>AND($A7&lt;&gt;"",MOD(ROW(),2))</formula>
    </cfRule>
  </conditionalFormatting>
  <conditionalFormatting sqref="K7:K8">
    <cfRule type="cellIs" dxfId="4840" priority="72" operator="equal">
      <formula>$C7</formula>
    </cfRule>
    <cfRule type="cellIs" dxfId="4839" priority="73" operator="greaterThan">
      <formula>$C7</formula>
    </cfRule>
    <cfRule type="cellIs" dxfId="4838" priority="74" operator="lessThan">
      <formula>$C7</formula>
    </cfRule>
  </conditionalFormatting>
  <conditionalFormatting sqref="L7:M8">
    <cfRule type="expression" dxfId="4837" priority="80">
      <formula>AND(#REF!&lt;&gt;"",MOD(ROW(),2))</formula>
    </cfRule>
  </conditionalFormatting>
  <conditionalFormatting sqref="L7:M8">
    <cfRule type="expression" dxfId="4836" priority="79">
      <formula>AND(#REF!&lt;&gt;"",MOD(ROW(),2))</formula>
    </cfRule>
  </conditionalFormatting>
  <conditionalFormatting sqref="M7:M8">
    <cfRule type="cellIs" dxfId="4835" priority="75" operator="equal">
      <formula>#REF!</formula>
    </cfRule>
    <cfRule type="cellIs" dxfId="4834" priority="76" operator="greaterThan">
      <formula>#REF!</formula>
    </cfRule>
    <cfRule type="cellIs" dxfId="4833" priority="77" operator="lessThan">
      <formula>#REF!</formula>
    </cfRule>
  </conditionalFormatting>
  <conditionalFormatting sqref="D22:E22">
    <cfRule type="expression" dxfId="4832" priority="69">
      <formula>AND($A22&lt;&gt;"",MOD(ROW(),2))</formula>
    </cfRule>
  </conditionalFormatting>
  <conditionalFormatting sqref="D22">
    <cfRule type="cellIs" dxfId="4831" priority="66" operator="equal">
      <formula>$C22</formula>
    </cfRule>
    <cfRule type="cellIs" dxfId="4830" priority="67" operator="greaterThan">
      <formula>$C22</formula>
    </cfRule>
    <cfRule type="cellIs" dxfId="4829" priority="68" operator="lessThan">
      <formula>$C22</formula>
    </cfRule>
  </conditionalFormatting>
  <conditionalFormatting sqref="D23:E23">
    <cfRule type="expression" dxfId="4828" priority="65">
      <formula>AND($A23&lt;&gt;"",MOD(ROW(),2))</formula>
    </cfRule>
  </conditionalFormatting>
  <conditionalFormatting sqref="D23">
    <cfRule type="cellIs" dxfId="4827" priority="62" operator="equal">
      <formula>$C23</formula>
    </cfRule>
    <cfRule type="cellIs" dxfId="4826" priority="63" operator="greaterThan">
      <formula>$C23</formula>
    </cfRule>
    <cfRule type="cellIs" dxfId="4825" priority="64" operator="lessThan">
      <formula>$C23</formula>
    </cfRule>
  </conditionalFormatting>
  <conditionalFormatting sqref="D24:E24">
    <cfRule type="expression" dxfId="4824" priority="61">
      <formula>AND($A24&lt;&gt;"",MOD(ROW(),2))</formula>
    </cfRule>
  </conditionalFormatting>
  <conditionalFormatting sqref="D24">
    <cfRule type="cellIs" dxfId="4823" priority="58" operator="equal">
      <formula>$C24</formula>
    </cfRule>
    <cfRule type="cellIs" dxfId="4822" priority="59" operator="greaterThan">
      <formula>$C24</formula>
    </cfRule>
    <cfRule type="cellIs" dxfId="4821" priority="60" operator="lessThan">
      <formula>$C24</formula>
    </cfRule>
  </conditionalFormatting>
  <conditionalFormatting sqref="C67:D67">
    <cfRule type="expression" dxfId="4820" priority="48">
      <formula>AND($A67&lt;&gt;"",MOD(ROW(),2))</formula>
    </cfRule>
  </conditionalFormatting>
  <conditionalFormatting sqref="D67">
    <cfRule type="cellIs" dxfId="4819" priority="45" operator="equal">
      <formula>$C67</formula>
    </cfRule>
    <cfRule type="cellIs" dxfId="4818" priority="46" operator="greaterThan">
      <formula>$C67</formula>
    </cfRule>
    <cfRule type="cellIs" dxfId="4817" priority="47" operator="lessThan">
      <formula>$C67</formula>
    </cfRule>
  </conditionalFormatting>
  <conditionalFormatting sqref="C68:D68">
    <cfRule type="expression" dxfId="4816" priority="43">
      <formula>AND($A68&lt;&gt;"",MOD(ROW(),2))</formula>
    </cfRule>
  </conditionalFormatting>
  <conditionalFormatting sqref="D68">
    <cfRule type="cellIs" dxfId="4815" priority="40" operator="equal">
      <formula>$C68</formula>
    </cfRule>
    <cfRule type="cellIs" dxfId="4814" priority="41" operator="greaterThan">
      <formula>$C68</formula>
    </cfRule>
    <cfRule type="cellIs" dxfId="4813" priority="42" operator="lessThan">
      <formula>$C68</formula>
    </cfRule>
  </conditionalFormatting>
  <conditionalFormatting sqref="C69:D69">
    <cfRule type="expression" dxfId="4812" priority="38">
      <formula>AND($A69&lt;&gt;"",MOD(ROW(),2))</formula>
    </cfRule>
  </conditionalFormatting>
  <conditionalFormatting sqref="D69">
    <cfRule type="cellIs" dxfId="4811" priority="35" operator="equal">
      <formula>$C69</formula>
    </cfRule>
    <cfRule type="cellIs" dxfId="4810" priority="36" operator="greaterThan">
      <formula>$C69</formula>
    </cfRule>
    <cfRule type="cellIs" dxfId="4809" priority="37" operator="lessThan">
      <formula>$C69</formula>
    </cfRule>
  </conditionalFormatting>
  <conditionalFormatting sqref="C70:D70">
    <cfRule type="expression" dxfId="4808" priority="32">
      <formula>AND($A70&lt;&gt;"",MOD(ROW(),2))</formula>
    </cfRule>
  </conditionalFormatting>
  <conditionalFormatting sqref="D70">
    <cfRule type="cellIs" dxfId="4807" priority="29" operator="equal">
      <formula>$C70</formula>
    </cfRule>
    <cfRule type="cellIs" dxfId="4806" priority="30" operator="greaterThan">
      <formula>$C70</formula>
    </cfRule>
    <cfRule type="cellIs" dxfId="4805" priority="31" operator="lessThan">
      <formula>$C70</formula>
    </cfRule>
  </conditionalFormatting>
  <conditionalFormatting sqref="C71:D71">
    <cfRule type="expression" dxfId="4804" priority="28">
      <formula>AND($A71&lt;&gt;"",MOD(ROW(),2))</formula>
    </cfRule>
  </conditionalFormatting>
  <conditionalFormatting sqref="D71">
    <cfRule type="cellIs" dxfId="4803" priority="25" operator="equal">
      <formula>$C71</formula>
    </cfRule>
    <cfRule type="cellIs" dxfId="4802" priority="26" operator="greaterThan">
      <formula>$C71</formula>
    </cfRule>
    <cfRule type="cellIs" dxfId="4801" priority="27" operator="lessThan">
      <formula>$C71</formula>
    </cfRule>
  </conditionalFormatting>
  <conditionalFormatting sqref="C63:D63">
    <cfRule type="expression" dxfId="4800" priority="24">
      <formula>AND($A63&lt;&gt;"",MOD(ROW(),2))</formula>
    </cfRule>
  </conditionalFormatting>
  <conditionalFormatting sqref="D63">
    <cfRule type="cellIs" dxfId="4799" priority="21" operator="equal">
      <formula>$C63</formula>
    </cfRule>
    <cfRule type="cellIs" dxfId="4798" priority="22" operator="greaterThan">
      <formula>$C63</formula>
    </cfRule>
    <cfRule type="cellIs" dxfId="4797" priority="23" operator="lessThan">
      <formula>$C63</formula>
    </cfRule>
  </conditionalFormatting>
  <conditionalFormatting sqref="C64:D64">
    <cfRule type="expression" dxfId="4796" priority="20">
      <formula>AND($A64&lt;&gt;"",MOD(ROW(),2))</formula>
    </cfRule>
  </conditionalFormatting>
  <conditionalFormatting sqref="D64">
    <cfRule type="cellIs" dxfId="4795" priority="17" operator="equal">
      <formula>$C64</formula>
    </cfRule>
    <cfRule type="cellIs" dxfId="4794" priority="18" operator="greaterThan">
      <formula>$C64</formula>
    </cfRule>
    <cfRule type="cellIs" dxfId="4793" priority="19" operator="lessThan">
      <formula>$C64</formula>
    </cfRule>
  </conditionalFormatting>
  <conditionalFormatting sqref="D13:E13">
    <cfRule type="expression" dxfId="4792" priority="16">
      <formula>AND($A13&lt;&gt;"",MOD(ROW(),2))</formula>
    </cfRule>
  </conditionalFormatting>
  <conditionalFormatting sqref="D13">
    <cfRule type="cellIs" dxfId="4791" priority="13" operator="equal">
      <formula>$C13</formula>
    </cfRule>
    <cfRule type="cellIs" dxfId="4790" priority="14" operator="greaterThan">
      <formula>$C13</formula>
    </cfRule>
    <cfRule type="cellIs" dxfId="4789" priority="15" operator="lessThan">
      <formula>$C13</formula>
    </cfRule>
  </conditionalFormatting>
  <conditionalFormatting sqref="D14:E14">
    <cfRule type="expression" dxfId="4788" priority="12">
      <formula>AND($A14&lt;&gt;"",MOD(ROW(),2))</formula>
    </cfRule>
  </conditionalFormatting>
  <conditionalFormatting sqref="D14">
    <cfRule type="cellIs" dxfId="4787" priority="9" operator="equal">
      <formula>$C14</formula>
    </cfRule>
    <cfRule type="cellIs" dxfId="4786" priority="10" operator="greaterThan">
      <formula>$C14</formula>
    </cfRule>
    <cfRule type="cellIs" dxfId="4785" priority="11" operator="lessThan">
      <formula>$C14</formula>
    </cfRule>
  </conditionalFormatting>
  <conditionalFormatting sqref="D12:E12">
    <cfRule type="expression" dxfId="4784" priority="8">
      <formula>AND($A12&lt;&gt;"",MOD(ROW(),2))</formula>
    </cfRule>
  </conditionalFormatting>
  <conditionalFormatting sqref="D12">
    <cfRule type="cellIs" dxfId="4783" priority="5" operator="equal">
      <formula>$C12</formula>
    </cfRule>
    <cfRule type="cellIs" dxfId="4782" priority="6" operator="greaterThan">
      <formula>$C12</formula>
    </cfRule>
    <cfRule type="cellIs" dxfId="4781" priority="7" operator="lessThan">
      <formula>$C12</formula>
    </cfRule>
  </conditionalFormatting>
  <conditionalFormatting sqref="D13:E13">
    <cfRule type="expression" dxfId="4780" priority="4">
      <formula>AND($A13&lt;&gt;"",MOD(ROW(),2))</formula>
    </cfRule>
  </conditionalFormatting>
  <conditionalFormatting sqref="D13">
    <cfRule type="cellIs" dxfId="4779" priority="1" operator="equal">
      <formula>$C13</formula>
    </cfRule>
    <cfRule type="cellIs" dxfId="4778" priority="2" operator="greaterThan">
      <formula>$C13</formula>
    </cfRule>
    <cfRule type="cellIs" dxfId="4777" priority="3" operator="lessThan">
      <formula>$C13</formula>
    </cfRule>
  </conditionalFormatting>
  <pageMargins left="0.75" right="0.75" top="1" bottom="1" header="0.5" footer="0.5"/>
  <pageSetup paperSize="9" orientation="landscape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300-000000000000}">
          <x14:formula1>
            <xm:f>PullDownValues!$F$2:$F$14</xm:f>
          </x14:formula1>
          <xm:sqref>L7:L354</xm:sqref>
        </x14:dataValidation>
        <x14:dataValidation type="list" allowBlank="1" showInputMessage="1" showErrorMessage="1" prompt="Payment Method" xr:uid="{00000000-0002-0000-1300-000001000000}">
          <x14:formula1>
            <xm:f>PullDownValues!$B$2:$B$12</xm:f>
          </x14:formula1>
          <xm:sqref>F7:F289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R354"/>
  <sheetViews>
    <sheetView topLeftCell="D1" zoomScaleNormal="100" workbookViewId="0">
      <pane ySplit="5" topLeftCell="A38" activePane="bottomLeft" state="frozen"/>
      <selection pane="bottomLeft" activeCell="H49" sqref="H49"/>
    </sheetView>
  </sheetViews>
  <sheetFormatPr defaultColWidth="8.85546875" defaultRowHeight="15" customHeight="1" x14ac:dyDescent="0.25"/>
  <cols>
    <col min="1" max="1" width="3.28515625" style="10" bestFit="1" customWidth="1"/>
    <col min="2" max="3" width="12.5703125" bestFit="1" customWidth="1"/>
    <col min="4" max="4" width="12.85546875" bestFit="1" customWidth="1"/>
    <col min="5" max="5" width="15.28515625" bestFit="1" customWidth="1"/>
    <col min="6" max="6" width="15.28515625" customWidth="1"/>
    <col min="7" max="7" width="9.42578125" style="31" bestFit="1" customWidth="1"/>
    <col min="8" max="8" width="11.5703125" bestFit="1" customWidth="1"/>
    <col min="9" max="9" width="12.7109375" bestFit="1" customWidth="1"/>
    <col min="10" max="10" width="15.140625" bestFit="1" customWidth="1"/>
    <col min="11" max="11" width="10.5703125" bestFit="1" customWidth="1"/>
    <col min="12" max="12" width="12.5703125" bestFit="1" customWidth="1"/>
    <col min="13" max="13" width="10.7109375" bestFit="1" customWidth="1"/>
    <col min="14" max="14" width="12.7109375" bestFit="1" customWidth="1"/>
    <col min="15" max="15" width="10.5703125" bestFit="1" customWidth="1"/>
    <col min="16" max="16" width="11.28515625" bestFit="1" customWidth="1"/>
    <col min="18" max="18" width="15.7109375" bestFit="1" customWidth="1"/>
  </cols>
  <sheetData>
    <row r="1" spans="1:18" ht="35.1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5">
        <f>SUM(P6:P90)-O4</f>
        <v>0</v>
      </c>
      <c r="P1" s="255"/>
      <c r="Q1" s="114"/>
      <c r="R1" s="211"/>
    </row>
    <row r="2" spans="1:18" s="9" customFormat="1" ht="15.95" customHeight="1" x14ac:dyDescent="0.25">
      <c r="A2" s="283" t="s">
        <v>4</v>
      </c>
      <c r="B2" s="283"/>
      <c r="C2" s="283"/>
      <c r="D2" s="283"/>
      <c r="E2" s="283"/>
      <c r="F2" s="283"/>
      <c r="G2" s="285">
        <f>SUM($D$6:$D$2990)-SUMIF($F$7:$F$290,"Bond Received",$D$7:$D$2990)-SUMIF($F$7:$F$290,"Unpaid Rent",$D$7:$D$2990)-(SUMIF($F$7:$F$290,"Discount Rent",$D$7:$D$2990)*2)</f>
        <v>19490</v>
      </c>
      <c r="H2" s="285"/>
      <c r="I2" s="285"/>
      <c r="J2" s="260" t="s">
        <v>5</v>
      </c>
      <c r="K2" s="260"/>
      <c r="L2" s="260"/>
      <c r="M2" s="262">
        <f>SUM($K$6:$K$2989)-SUMIF($L$6:$L$2989,"Bond Return",$K$6:$K$2989)</f>
        <v>9680.090000000002</v>
      </c>
      <c r="N2" s="263"/>
      <c r="O2" s="265"/>
      <c r="P2" s="265"/>
      <c r="Q2" s="35"/>
    </row>
    <row r="3" spans="1:18" s="9" customFormat="1" ht="15.95" customHeight="1" x14ac:dyDescent="0.25">
      <c r="A3" s="284"/>
      <c r="B3" s="284"/>
      <c r="C3" s="284"/>
      <c r="D3" s="284"/>
      <c r="E3" s="284"/>
      <c r="F3" s="284"/>
      <c r="G3" s="286"/>
      <c r="H3" s="286"/>
      <c r="I3" s="286"/>
      <c r="J3" s="261"/>
      <c r="K3" s="261"/>
      <c r="L3" s="261"/>
      <c r="M3" s="264"/>
      <c r="N3" s="264"/>
      <c r="O3" s="266"/>
      <c r="P3" s="266"/>
    </row>
    <row r="4" spans="1:18" s="9" customFormat="1" ht="15.95" customHeight="1" x14ac:dyDescent="0.25">
      <c r="A4" s="244" t="s">
        <v>6</v>
      </c>
      <c r="B4" s="244" t="s">
        <v>7</v>
      </c>
      <c r="C4" s="267" t="s">
        <v>8</v>
      </c>
      <c r="D4" s="269" t="s">
        <v>9</v>
      </c>
      <c r="E4" s="269" t="s">
        <v>10</v>
      </c>
      <c r="F4" s="252" t="s">
        <v>112</v>
      </c>
      <c r="G4" s="276" t="s">
        <v>11</v>
      </c>
      <c r="H4" s="244" t="s">
        <v>12</v>
      </c>
      <c r="I4" s="322" t="s">
        <v>113</v>
      </c>
      <c r="J4" s="246" t="s">
        <v>13</v>
      </c>
      <c r="K4" s="246" t="s">
        <v>14</v>
      </c>
      <c r="L4" s="248" t="s">
        <v>15</v>
      </c>
      <c r="M4" s="249"/>
      <c r="N4" s="326" t="s">
        <v>113</v>
      </c>
      <c r="O4" s="273">
        <f>G2-M2</f>
        <v>9809.909999999998</v>
      </c>
      <c r="P4" s="274">
        <f>SUM(P2:P3)</f>
        <v>0</v>
      </c>
      <c r="Q4" s="63">
        <f>SUM(Q2:Q3)</f>
        <v>0</v>
      </c>
    </row>
    <row r="5" spans="1:18" s="10" customFormat="1" x14ac:dyDescent="0.25">
      <c r="A5" s="245"/>
      <c r="B5" s="245"/>
      <c r="C5" s="268"/>
      <c r="D5" s="270"/>
      <c r="E5" s="270"/>
      <c r="F5" s="253"/>
      <c r="G5" s="277"/>
      <c r="H5" s="245"/>
      <c r="I5" s="323"/>
      <c r="J5" s="247"/>
      <c r="K5" s="247"/>
      <c r="L5" s="250"/>
      <c r="M5" s="251"/>
      <c r="N5" s="293"/>
      <c r="O5" s="275"/>
      <c r="P5" s="275"/>
      <c r="Q5" s="18"/>
      <c r="R5" s="64"/>
    </row>
    <row r="6" spans="1:18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1"/>
      <c r="K6" s="42"/>
      <c r="L6" s="43" t="s">
        <v>123</v>
      </c>
      <c r="M6" s="43"/>
      <c r="N6" s="43"/>
      <c r="O6"/>
    </row>
    <row r="7" spans="1:18" ht="15" customHeight="1" x14ac:dyDescent="0.25">
      <c r="A7" s="10">
        <v>1</v>
      </c>
      <c r="B7" s="48">
        <v>44085</v>
      </c>
      <c r="C7" s="17">
        <v>360</v>
      </c>
      <c r="D7" s="17">
        <v>360</v>
      </c>
      <c r="E7" s="16">
        <v>44085</v>
      </c>
      <c r="F7" t="s">
        <v>181</v>
      </c>
      <c r="H7" s="17">
        <f>IFERROR(IF(F6="Closed account",(IF(F7="Unpaid Rent",(C7),(C7-D7))),(IF(F7="Unpaid Rent",(C7+H6),(C7-D7+H6)))),"")</f>
        <v>0</v>
      </c>
      <c r="I7" s="17" t="s">
        <v>420</v>
      </c>
      <c r="J7" s="48">
        <v>44056</v>
      </c>
      <c r="K7" s="17">
        <v>21.3</v>
      </c>
      <c r="L7" s="49" t="s">
        <v>32</v>
      </c>
      <c r="N7" t="s">
        <v>14</v>
      </c>
      <c r="O7" t="s">
        <v>14</v>
      </c>
      <c r="P7" s="111">
        <f>SUMIF($I$6:$I$2992,O7,$D$6:$D$2992)-SUMIFS($D$6:$D$2992,$I$6:$I$2992,O7,$F$6:$F$2992,"Unpaid Rent")-(SUMIFS($D$6:$D$2992,$I$6:$I$2992,O7,$F$6:$F$2992,"Discount Rent")*2)-(SUMIFS($D$6:$D$2992,$I$6:$I$2992,O7,$F$6:$F$2992,"Bond Received"))-SUMIF($N$6:$N$2989,O7,$K$6:$K$2989)+SUMIFS($K$6:$K$2989,$N$6:$N$2989,O7,$L$6:$L$2989,"Bond Return")</f>
        <v>-2546.37</v>
      </c>
    </row>
    <row r="8" spans="1:18" ht="15" customHeight="1" x14ac:dyDescent="0.25">
      <c r="A8" s="10">
        <v>1</v>
      </c>
      <c r="B8" s="48">
        <v>44085</v>
      </c>
      <c r="C8" s="17">
        <v>180</v>
      </c>
      <c r="D8" s="17">
        <v>180</v>
      </c>
      <c r="E8" s="16">
        <v>44085</v>
      </c>
      <c r="F8" t="s">
        <v>117</v>
      </c>
      <c r="H8" s="17">
        <f t="shared" ref="H8:H68" si="0">IFERROR(IF(F7="Closed account",(IF(F8="Unpaid Rent",(C8),(C8-D8))),(IF(F8="Unpaid Rent",(C8+H7),(C8-D8+H7)))),"")</f>
        <v>0</v>
      </c>
      <c r="I8" s="17" t="s">
        <v>420</v>
      </c>
      <c r="J8" s="72">
        <v>44085</v>
      </c>
      <c r="K8" s="17">
        <v>175</v>
      </c>
      <c r="L8" s="49" t="s">
        <v>17</v>
      </c>
      <c r="N8" t="s">
        <v>14</v>
      </c>
      <c r="O8" t="s">
        <v>420</v>
      </c>
      <c r="P8" s="111">
        <f t="shared" ref="P8:P75" si="1">SUMIF($I$6:$I$2992,O8,$D$6:$D$2992)-SUMIFS($D$6:$D$2992,$I$6:$I$2992,O8,$F$6:$F$2992,"Unpaid Rent")-(SUMIFS($D$6:$D$2992,$I$6:$I$2992,O8,$F$6:$F$2992,"Discount Rent")*2)-(SUMIFS($D$6:$D$2992,$I$6:$I$2992,O8,$F$6:$F$2992,"Bond Received"))-SUMIF($N$6:$N$2989,O8,$K$6:$K$2989)+SUMIFS($K$6:$K$2989,$N$6:$N$2989,O8,$L$6:$L$2989,"Bond Return")</f>
        <v>3842.83</v>
      </c>
    </row>
    <row r="9" spans="1:18" ht="15" customHeight="1" x14ac:dyDescent="0.25">
      <c r="A9" s="10">
        <v>2</v>
      </c>
      <c r="B9" s="48">
        <f t="shared" ref="B9:B15" si="2">B8+7</f>
        <v>44092</v>
      </c>
      <c r="C9" s="17">
        <v>180</v>
      </c>
      <c r="D9" s="17">
        <v>180</v>
      </c>
      <c r="E9" s="16">
        <v>44096</v>
      </c>
      <c r="F9" t="s">
        <v>117</v>
      </c>
      <c r="H9" s="17">
        <f t="shared" si="0"/>
        <v>0</v>
      </c>
      <c r="I9" s="17" t="s">
        <v>420</v>
      </c>
      <c r="J9" s="72">
        <v>44085</v>
      </c>
      <c r="K9" s="17">
        <v>20</v>
      </c>
      <c r="L9" s="49" t="s">
        <v>53</v>
      </c>
      <c r="N9" t="s">
        <v>14</v>
      </c>
      <c r="O9" t="s">
        <v>737</v>
      </c>
      <c r="P9" s="111">
        <f t="shared" si="1"/>
        <v>5613.81</v>
      </c>
    </row>
    <row r="10" spans="1:18" ht="15" customHeight="1" x14ac:dyDescent="0.25">
      <c r="A10" s="10">
        <v>3</v>
      </c>
      <c r="B10" s="48">
        <f t="shared" si="2"/>
        <v>44099</v>
      </c>
      <c r="C10" s="17">
        <v>180</v>
      </c>
      <c r="D10" s="17">
        <v>180</v>
      </c>
      <c r="E10" s="16">
        <v>44102</v>
      </c>
      <c r="F10" t="s">
        <v>117</v>
      </c>
      <c r="H10" s="17">
        <f t="shared" si="0"/>
        <v>0</v>
      </c>
      <c r="I10" s="17" t="s">
        <v>420</v>
      </c>
      <c r="J10" s="72">
        <v>44104</v>
      </c>
      <c r="K10" s="17">
        <v>88.35</v>
      </c>
      <c r="L10" s="49" t="s">
        <v>16</v>
      </c>
      <c r="M10" t="s">
        <v>434</v>
      </c>
      <c r="N10" t="s">
        <v>420</v>
      </c>
      <c r="O10" t="s">
        <v>992</v>
      </c>
      <c r="P10" s="111">
        <f t="shared" si="1"/>
        <v>2899.64</v>
      </c>
    </row>
    <row r="11" spans="1:18" ht="15" customHeight="1" x14ac:dyDescent="0.25">
      <c r="A11" s="10">
        <v>4</v>
      </c>
      <c r="B11" s="48">
        <f t="shared" si="2"/>
        <v>44106</v>
      </c>
      <c r="C11" s="17">
        <v>180</v>
      </c>
      <c r="D11" s="17">
        <v>180</v>
      </c>
      <c r="E11" s="16">
        <v>44110</v>
      </c>
      <c r="F11" t="s">
        <v>117</v>
      </c>
      <c r="H11" s="17">
        <f t="shared" si="0"/>
        <v>0</v>
      </c>
      <c r="I11" s="17" t="s">
        <v>420</v>
      </c>
      <c r="J11" s="72">
        <v>44118</v>
      </c>
      <c r="K11" s="17">
        <v>88.26</v>
      </c>
      <c r="L11" s="49" t="s">
        <v>16</v>
      </c>
      <c r="M11" t="s">
        <v>434</v>
      </c>
      <c r="N11" t="s">
        <v>420</v>
      </c>
      <c r="P11" s="111">
        <f t="shared" si="1"/>
        <v>0</v>
      </c>
    </row>
    <row r="12" spans="1:18" ht="15" customHeight="1" x14ac:dyDescent="0.25">
      <c r="A12" s="10">
        <v>5</v>
      </c>
      <c r="B12" s="48">
        <f t="shared" si="2"/>
        <v>44113</v>
      </c>
      <c r="C12" s="17">
        <v>180</v>
      </c>
      <c r="D12" s="17"/>
      <c r="E12" s="16"/>
      <c r="H12" s="17">
        <f t="shared" si="0"/>
        <v>180</v>
      </c>
      <c r="I12" s="17" t="s">
        <v>420</v>
      </c>
      <c r="J12" s="72">
        <v>44154</v>
      </c>
      <c r="K12" s="17">
        <v>198.52</v>
      </c>
      <c r="L12" s="49" t="s">
        <v>20</v>
      </c>
      <c r="N12" t="s">
        <v>420</v>
      </c>
      <c r="P12" s="111">
        <f t="shared" si="1"/>
        <v>0</v>
      </c>
    </row>
    <row r="13" spans="1:18" ht="15" customHeight="1" x14ac:dyDescent="0.25">
      <c r="A13" s="10">
        <v>6</v>
      </c>
      <c r="B13" s="48">
        <f t="shared" si="2"/>
        <v>44120</v>
      </c>
      <c r="C13" s="17">
        <v>180</v>
      </c>
      <c r="D13" s="17"/>
      <c r="E13" s="16"/>
      <c r="H13" s="17">
        <f t="shared" si="0"/>
        <v>360</v>
      </c>
      <c r="I13" s="17" t="s">
        <v>420</v>
      </c>
      <c r="J13" s="48">
        <v>44222</v>
      </c>
      <c r="K13" s="17">
        <v>123.9</v>
      </c>
      <c r="L13" s="49" t="s">
        <v>45</v>
      </c>
      <c r="N13" t="s">
        <v>420</v>
      </c>
      <c r="P13" s="111">
        <f t="shared" si="1"/>
        <v>0</v>
      </c>
    </row>
    <row r="14" spans="1:18" ht="15" customHeight="1" x14ac:dyDescent="0.25">
      <c r="A14" s="10">
        <v>7</v>
      </c>
      <c r="B14" s="48">
        <f t="shared" si="2"/>
        <v>44127</v>
      </c>
      <c r="C14" s="17">
        <v>180</v>
      </c>
      <c r="D14" s="17"/>
      <c r="E14" s="16"/>
      <c r="H14" s="17">
        <f t="shared" si="0"/>
        <v>540</v>
      </c>
      <c r="I14" s="17" t="s">
        <v>420</v>
      </c>
      <c r="J14" s="48">
        <v>44245</v>
      </c>
      <c r="K14" s="17">
        <v>198.52</v>
      </c>
      <c r="L14" s="49" t="s">
        <v>20</v>
      </c>
      <c r="N14" t="s">
        <v>420</v>
      </c>
      <c r="P14" s="111">
        <f t="shared" si="1"/>
        <v>0</v>
      </c>
    </row>
    <row r="15" spans="1:18" ht="15" customHeight="1" x14ac:dyDescent="0.25">
      <c r="A15" s="10">
        <v>8</v>
      </c>
      <c r="B15" s="48">
        <f t="shared" si="2"/>
        <v>44134</v>
      </c>
      <c r="C15" s="17">
        <v>180</v>
      </c>
      <c r="D15" s="17">
        <v>360</v>
      </c>
      <c r="E15" s="16">
        <v>44127</v>
      </c>
      <c r="F15" t="s">
        <v>117</v>
      </c>
      <c r="H15" s="17">
        <f t="shared" si="0"/>
        <v>360</v>
      </c>
      <c r="I15" s="17" t="s">
        <v>420</v>
      </c>
      <c r="J15" s="48">
        <v>44245</v>
      </c>
      <c r="K15" s="17">
        <v>121.52</v>
      </c>
      <c r="L15" s="49" t="s">
        <v>45</v>
      </c>
      <c r="N15" t="s">
        <v>420</v>
      </c>
      <c r="P15" s="111">
        <f t="shared" si="1"/>
        <v>0</v>
      </c>
    </row>
    <row r="16" spans="1:18" ht="15" customHeight="1" x14ac:dyDescent="0.25">
      <c r="A16" s="10">
        <v>9</v>
      </c>
      <c r="B16" s="48">
        <f t="shared" ref="B16:B21" si="3">B15+7</f>
        <v>44141</v>
      </c>
      <c r="C16" s="17">
        <v>200</v>
      </c>
      <c r="D16" s="17">
        <v>360</v>
      </c>
      <c r="E16" s="16">
        <v>44138</v>
      </c>
      <c r="F16" t="s">
        <v>117</v>
      </c>
      <c r="H16" s="17">
        <f t="shared" si="0"/>
        <v>200</v>
      </c>
      <c r="I16" s="17" t="s">
        <v>420</v>
      </c>
      <c r="J16" s="48">
        <v>44259</v>
      </c>
      <c r="K16" s="17">
        <v>259.41000000000003</v>
      </c>
      <c r="L16" s="49" t="s">
        <v>45</v>
      </c>
      <c r="N16" t="s">
        <v>420</v>
      </c>
      <c r="P16" s="111">
        <f t="shared" si="1"/>
        <v>0</v>
      </c>
    </row>
    <row r="17" spans="1:16" ht="15" customHeight="1" x14ac:dyDescent="0.25">
      <c r="A17" s="10">
        <v>10</v>
      </c>
      <c r="B17" s="48">
        <f t="shared" si="3"/>
        <v>44148</v>
      </c>
      <c r="C17" s="17">
        <v>200</v>
      </c>
      <c r="D17" s="17">
        <v>400</v>
      </c>
      <c r="E17" s="16">
        <v>44152</v>
      </c>
      <c r="F17" t="s">
        <v>117</v>
      </c>
      <c r="H17" s="17">
        <f t="shared" si="0"/>
        <v>0</v>
      </c>
      <c r="I17" s="17" t="s">
        <v>420</v>
      </c>
      <c r="J17" s="48">
        <v>44336</v>
      </c>
      <c r="K17" s="17">
        <v>198.52</v>
      </c>
      <c r="L17" s="49" t="s">
        <v>20</v>
      </c>
      <c r="N17" t="s">
        <v>420</v>
      </c>
      <c r="P17" s="111">
        <f t="shared" si="1"/>
        <v>0</v>
      </c>
    </row>
    <row r="18" spans="1:16" ht="15" customHeight="1" x14ac:dyDescent="0.25">
      <c r="A18" s="10">
        <v>11</v>
      </c>
      <c r="B18" s="48">
        <f t="shared" si="3"/>
        <v>44155</v>
      </c>
      <c r="C18" s="17">
        <v>200</v>
      </c>
      <c r="D18" s="17"/>
      <c r="E18" s="16"/>
      <c r="H18" s="17">
        <f t="shared" si="0"/>
        <v>200</v>
      </c>
      <c r="I18" s="17" t="s">
        <v>420</v>
      </c>
      <c r="J18" s="48">
        <v>44358</v>
      </c>
      <c r="K18" s="17">
        <v>325</v>
      </c>
      <c r="L18" s="49" t="s">
        <v>17</v>
      </c>
      <c r="M18" t="s">
        <v>627</v>
      </c>
      <c r="N18" t="s">
        <v>420</v>
      </c>
      <c r="P18" s="111">
        <f t="shared" si="1"/>
        <v>0</v>
      </c>
    </row>
    <row r="19" spans="1:16" ht="15" customHeight="1" x14ac:dyDescent="0.25">
      <c r="A19" s="10">
        <v>12</v>
      </c>
      <c r="B19" s="48">
        <f t="shared" si="3"/>
        <v>44162</v>
      </c>
      <c r="C19" s="17">
        <v>200</v>
      </c>
      <c r="D19" s="17">
        <v>400</v>
      </c>
      <c r="E19" s="16">
        <v>44166</v>
      </c>
      <c r="F19" t="s">
        <v>117</v>
      </c>
      <c r="H19" s="17">
        <f t="shared" si="0"/>
        <v>0</v>
      </c>
      <c r="I19" s="17" t="s">
        <v>420</v>
      </c>
      <c r="J19" s="48">
        <v>44358</v>
      </c>
      <c r="K19" s="17">
        <v>1050</v>
      </c>
      <c r="L19" s="49" t="s">
        <v>17</v>
      </c>
      <c r="M19" t="s">
        <v>628</v>
      </c>
      <c r="N19" t="s">
        <v>420</v>
      </c>
      <c r="P19" s="111">
        <f t="shared" si="1"/>
        <v>0</v>
      </c>
    </row>
    <row r="20" spans="1:16" ht="15" customHeight="1" x14ac:dyDescent="0.25">
      <c r="A20" s="10">
        <v>13</v>
      </c>
      <c r="B20" s="48">
        <f t="shared" si="3"/>
        <v>44169</v>
      </c>
      <c r="C20" s="17">
        <v>200</v>
      </c>
      <c r="D20" s="17"/>
      <c r="E20" s="16"/>
      <c r="H20" s="17">
        <f t="shared" si="0"/>
        <v>200</v>
      </c>
      <c r="I20" s="17" t="s">
        <v>420</v>
      </c>
      <c r="J20" s="48">
        <v>44358</v>
      </c>
      <c r="K20" s="17">
        <v>175</v>
      </c>
      <c r="L20" s="49" t="s">
        <v>17</v>
      </c>
      <c r="M20" t="s">
        <v>629</v>
      </c>
      <c r="N20" t="s">
        <v>420</v>
      </c>
      <c r="P20" s="111">
        <f t="shared" si="1"/>
        <v>0</v>
      </c>
    </row>
    <row r="21" spans="1:16" ht="15" customHeight="1" x14ac:dyDescent="0.25">
      <c r="A21" s="10">
        <v>14</v>
      </c>
      <c r="B21" s="48">
        <f t="shared" si="3"/>
        <v>44176</v>
      </c>
      <c r="C21" s="17">
        <v>200</v>
      </c>
      <c r="D21" s="17">
        <v>400</v>
      </c>
      <c r="E21" s="16">
        <v>44180</v>
      </c>
      <c r="F21" t="s">
        <v>117</v>
      </c>
      <c r="H21" s="17">
        <f t="shared" si="0"/>
        <v>0</v>
      </c>
      <c r="I21" s="17" t="s">
        <v>420</v>
      </c>
      <c r="J21" s="48">
        <v>44358</v>
      </c>
      <c r="K21" s="17">
        <v>125</v>
      </c>
      <c r="L21" s="49" t="s">
        <v>17</v>
      </c>
      <c r="M21" t="s">
        <v>630</v>
      </c>
      <c r="N21" t="s">
        <v>420</v>
      </c>
      <c r="P21" s="111">
        <f t="shared" si="1"/>
        <v>0</v>
      </c>
    </row>
    <row r="22" spans="1:16" ht="15" customHeight="1" x14ac:dyDescent="0.25">
      <c r="A22" s="10">
        <v>15</v>
      </c>
      <c r="B22" s="48">
        <f t="shared" ref="B22:B27" si="4">B21+7</f>
        <v>44183</v>
      </c>
      <c r="C22" s="17">
        <v>200</v>
      </c>
      <c r="D22" s="17"/>
      <c r="E22" s="16"/>
      <c r="H22" s="17">
        <f t="shared" si="0"/>
        <v>200</v>
      </c>
      <c r="I22" s="17" t="s">
        <v>420</v>
      </c>
      <c r="J22" s="48">
        <v>44391</v>
      </c>
      <c r="K22" s="17">
        <v>500</v>
      </c>
      <c r="L22" s="49" t="s">
        <v>17</v>
      </c>
      <c r="M22" t="s">
        <v>551</v>
      </c>
      <c r="N22" t="s">
        <v>420</v>
      </c>
      <c r="P22" s="111">
        <f t="shared" si="1"/>
        <v>0</v>
      </c>
    </row>
    <row r="23" spans="1:16" ht="15" customHeight="1" x14ac:dyDescent="0.25">
      <c r="A23" s="10">
        <v>16</v>
      </c>
      <c r="B23" s="48">
        <f t="shared" si="4"/>
        <v>44190</v>
      </c>
      <c r="C23" s="17">
        <v>200</v>
      </c>
      <c r="D23" s="17"/>
      <c r="E23" s="16"/>
      <c r="H23" s="17">
        <f t="shared" si="0"/>
        <v>400</v>
      </c>
      <c r="I23" s="17" t="s">
        <v>420</v>
      </c>
      <c r="J23" s="48">
        <v>44439</v>
      </c>
      <c r="K23" s="17">
        <v>201.31</v>
      </c>
      <c r="L23" s="49" t="s">
        <v>20</v>
      </c>
      <c r="N23" t="s">
        <v>14</v>
      </c>
      <c r="P23" s="111">
        <f t="shared" si="1"/>
        <v>0</v>
      </c>
    </row>
    <row r="24" spans="1:16" ht="15" customHeight="1" x14ac:dyDescent="0.25">
      <c r="A24" s="10">
        <v>17</v>
      </c>
      <c r="B24" s="48">
        <f t="shared" si="4"/>
        <v>44197</v>
      </c>
      <c r="C24" s="17">
        <v>200</v>
      </c>
      <c r="D24" s="17"/>
      <c r="E24" s="16"/>
      <c r="H24" s="17">
        <f t="shared" si="0"/>
        <v>600</v>
      </c>
      <c r="I24" s="17" t="s">
        <v>420</v>
      </c>
      <c r="J24" s="48">
        <v>44481</v>
      </c>
      <c r="K24" s="17">
        <v>30.44</v>
      </c>
      <c r="L24" s="49" t="s">
        <v>32</v>
      </c>
      <c r="N24" t="s">
        <v>14</v>
      </c>
      <c r="P24" s="111">
        <f t="shared" si="1"/>
        <v>0</v>
      </c>
    </row>
    <row r="25" spans="1:16" ht="15" customHeight="1" x14ac:dyDescent="0.25">
      <c r="A25" s="10">
        <v>18</v>
      </c>
      <c r="B25" s="48">
        <f t="shared" si="4"/>
        <v>44204</v>
      </c>
      <c r="C25" s="17">
        <v>200</v>
      </c>
      <c r="D25" s="17"/>
      <c r="E25" s="16"/>
      <c r="H25" s="17">
        <f t="shared" si="0"/>
        <v>800</v>
      </c>
      <c r="I25" s="17" t="s">
        <v>420</v>
      </c>
      <c r="J25" s="48">
        <v>44488</v>
      </c>
      <c r="K25" s="17">
        <v>81.319999999999993</v>
      </c>
      <c r="L25" s="49" t="s">
        <v>17</v>
      </c>
      <c r="M25" t="s">
        <v>711</v>
      </c>
      <c r="N25" t="s">
        <v>14</v>
      </c>
      <c r="P25" s="111">
        <f t="shared" si="1"/>
        <v>0</v>
      </c>
    </row>
    <row r="26" spans="1:16" ht="15" customHeight="1" x14ac:dyDescent="0.25">
      <c r="A26" s="10">
        <v>19</v>
      </c>
      <c r="B26" s="48">
        <f t="shared" si="4"/>
        <v>44211</v>
      </c>
      <c r="C26" s="17">
        <v>200</v>
      </c>
      <c r="D26" s="17">
        <v>800</v>
      </c>
      <c r="E26" s="16">
        <v>44210</v>
      </c>
      <c r="F26" t="s">
        <v>117</v>
      </c>
      <c r="G26" s="31" t="s">
        <v>534</v>
      </c>
      <c r="H26" s="17">
        <f t="shared" si="0"/>
        <v>200</v>
      </c>
      <c r="I26" s="17" t="s">
        <v>420</v>
      </c>
      <c r="J26" s="48">
        <v>44525</v>
      </c>
      <c r="K26" s="17">
        <v>5.5</v>
      </c>
      <c r="L26" s="49" t="s">
        <v>22</v>
      </c>
      <c r="N26" t="s">
        <v>737</v>
      </c>
      <c r="P26" s="111">
        <f t="shared" si="1"/>
        <v>0</v>
      </c>
    </row>
    <row r="27" spans="1:16" ht="15" customHeight="1" x14ac:dyDescent="0.25">
      <c r="A27" s="10">
        <v>20</v>
      </c>
      <c r="B27" s="48">
        <f t="shared" si="4"/>
        <v>44218</v>
      </c>
      <c r="C27" s="17">
        <v>200</v>
      </c>
      <c r="D27" s="17"/>
      <c r="E27" s="16"/>
      <c r="H27" s="17">
        <f t="shared" si="0"/>
        <v>400</v>
      </c>
      <c r="I27" s="17" t="s">
        <v>420</v>
      </c>
      <c r="J27" s="48">
        <v>44569</v>
      </c>
      <c r="K27" s="17">
        <v>230</v>
      </c>
      <c r="L27" s="49" t="s">
        <v>17</v>
      </c>
      <c r="M27" t="s">
        <v>436</v>
      </c>
      <c r="N27" t="s">
        <v>14</v>
      </c>
      <c r="P27" s="111">
        <f t="shared" si="1"/>
        <v>0</v>
      </c>
    </row>
    <row r="28" spans="1:16" ht="15" customHeight="1" x14ac:dyDescent="0.25">
      <c r="A28" s="10">
        <v>21</v>
      </c>
      <c r="B28" s="48">
        <f t="shared" ref="B28:B33" si="5">B27+7</f>
        <v>44225</v>
      </c>
      <c r="C28" s="17">
        <v>200</v>
      </c>
      <c r="D28" s="17">
        <v>400</v>
      </c>
      <c r="E28" s="16">
        <v>44220</v>
      </c>
      <c r="F28" t="s">
        <v>117</v>
      </c>
      <c r="G28" s="31" t="s">
        <v>536</v>
      </c>
      <c r="H28" s="17">
        <f t="shared" si="0"/>
        <v>200</v>
      </c>
      <c r="I28" s="17" t="s">
        <v>420</v>
      </c>
      <c r="J28" s="48">
        <v>44569</v>
      </c>
      <c r="K28" s="17">
        <f>132+1655</f>
        <v>1787</v>
      </c>
      <c r="L28" s="49" t="s">
        <v>17</v>
      </c>
      <c r="M28" t="s">
        <v>675</v>
      </c>
      <c r="N28" t="s">
        <v>14</v>
      </c>
      <c r="P28" s="111">
        <f t="shared" si="1"/>
        <v>0</v>
      </c>
    </row>
    <row r="29" spans="1:16" ht="15" customHeight="1" x14ac:dyDescent="0.25">
      <c r="A29" s="10">
        <v>22</v>
      </c>
      <c r="B29" s="48">
        <f t="shared" si="5"/>
        <v>44232</v>
      </c>
      <c r="C29" s="17">
        <v>200</v>
      </c>
      <c r="D29" s="17"/>
      <c r="E29" s="16"/>
      <c r="H29" s="17">
        <f t="shared" si="0"/>
        <v>400</v>
      </c>
      <c r="I29" s="17" t="s">
        <v>420</v>
      </c>
      <c r="J29" s="48">
        <v>44567</v>
      </c>
      <c r="K29" s="17">
        <v>0.99</v>
      </c>
      <c r="L29" s="49" t="s">
        <v>22</v>
      </c>
      <c r="N29" t="s">
        <v>737</v>
      </c>
      <c r="P29" s="111">
        <f t="shared" si="1"/>
        <v>0</v>
      </c>
    </row>
    <row r="30" spans="1:16" ht="15" customHeight="1" x14ac:dyDescent="0.25">
      <c r="A30" s="10">
        <v>23</v>
      </c>
      <c r="B30" s="48">
        <f t="shared" si="5"/>
        <v>44239</v>
      </c>
      <c r="C30" s="17">
        <v>200</v>
      </c>
      <c r="D30" s="17">
        <v>400</v>
      </c>
      <c r="E30" s="16">
        <v>44239</v>
      </c>
      <c r="F30" t="s">
        <v>117</v>
      </c>
      <c r="H30" s="17">
        <f t="shared" si="0"/>
        <v>200</v>
      </c>
      <c r="I30" s="17" t="s">
        <v>420</v>
      </c>
      <c r="J30" s="48">
        <v>44574</v>
      </c>
      <c r="K30" s="17">
        <v>0.99</v>
      </c>
      <c r="L30" s="49" t="s">
        <v>22</v>
      </c>
      <c r="N30" t="s">
        <v>737</v>
      </c>
      <c r="P30" s="111">
        <f t="shared" si="1"/>
        <v>0</v>
      </c>
    </row>
    <row r="31" spans="1:16" ht="15" customHeight="1" x14ac:dyDescent="0.25">
      <c r="A31" s="10">
        <v>24</v>
      </c>
      <c r="B31" s="48">
        <f t="shared" si="5"/>
        <v>44246</v>
      </c>
      <c r="C31" s="17">
        <v>200</v>
      </c>
      <c r="D31" s="17">
        <v>400</v>
      </c>
      <c r="E31" s="16">
        <v>44250</v>
      </c>
      <c r="F31" t="s">
        <v>117</v>
      </c>
      <c r="G31" s="31" t="s">
        <v>536</v>
      </c>
      <c r="H31" s="17">
        <f t="shared" si="0"/>
        <v>0</v>
      </c>
      <c r="I31" s="17" t="s">
        <v>420</v>
      </c>
      <c r="J31" s="48">
        <v>44573</v>
      </c>
      <c r="K31" s="17">
        <v>2.75</v>
      </c>
      <c r="L31" s="49" t="s">
        <v>22</v>
      </c>
      <c r="N31" t="s">
        <v>737</v>
      </c>
      <c r="P31" s="111">
        <f t="shared" si="1"/>
        <v>0</v>
      </c>
    </row>
    <row r="32" spans="1:16" ht="15" customHeight="1" x14ac:dyDescent="0.25">
      <c r="A32" s="10">
        <v>25</v>
      </c>
      <c r="B32" s="48">
        <f t="shared" si="5"/>
        <v>44253</v>
      </c>
      <c r="C32" s="17">
        <v>200</v>
      </c>
      <c r="D32" s="17"/>
      <c r="H32" s="17">
        <f t="shared" si="0"/>
        <v>200</v>
      </c>
      <c r="I32" s="17" t="s">
        <v>420</v>
      </c>
      <c r="J32" s="48">
        <v>44609</v>
      </c>
      <c r="K32" s="17">
        <v>0.99</v>
      </c>
      <c r="L32" s="49" t="s">
        <v>22</v>
      </c>
      <c r="N32" t="s">
        <v>737</v>
      </c>
      <c r="P32" s="111">
        <f t="shared" si="1"/>
        <v>0</v>
      </c>
    </row>
    <row r="33" spans="1:16" ht="15" customHeight="1" x14ac:dyDescent="0.25">
      <c r="A33" s="10">
        <v>26</v>
      </c>
      <c r="B33" s="48">
        <f t="shared" si="5"/>
        <v>44260</v>
      </c>
      <c r="C33" s="17">
        <v>200</v>
      </c>
      <c r="D33" s="17"/>
      <c r="H33" s="17">
        <f t="shared" si="0"/>
        <v>400</v>
      </c>
      <c r="I33" s="17" t="s">
        <v>420</v>
      </c>
      <c r="J33" s="48">
        <v>44616</v>
      </c>
      <c r="K33" s="17">
        <v>0.99</v>
      </c>
      <c r="L33" s="49" t="s">
        <v>22</v>
      </c>
      <c r="N33" t="s">
        <v>737</v>
      </c>
      <c r="P33" s="111">
        <f t="shared" si="1"/>
        <v>0</v>
      </c>
    </row>
    <row r="34" spans="1:16" ht="15" customHeight="1" x14ac:dyDescent="0.25">
      <c r="A34" s="10">
        <v>27</v>
      </c>
      <c r="B34" s="48">
        <f t="shared" ref="B34:B39" si="6">B33+7</f>
        <v>44267</v>
      </c>
      <c r="C34" s="17">
        <v>200</v>
      </c>
      <c r="D34" s="17"/>
      <c r="H34" s="17">
        <f t="shared" si="0"/>
        <v>600</v>
      </c>
      <c r="I34" s="17" t="s">
        <v>420</v>
      </c>
      <c r="J34" s="48">
        <v>44615</v>
      </c>
      <c r="K34" s="17">
        <v>2.75</v>
      </c>
      <c r="L34" s="49" t="s">
        <v>22</v>
      </c>
      <c r="N34" t="s">
        <v>737</v>
      </c>
      <c r="P34" s="111">
        <f t="shared" si="1"/>
        <v>0</v>
      </c>
    </row>
    <row r="35" spans="1:16" ht="15" customHeight="1" x14ac:dyDescent="0.25">
      <c r="A35" s="10">
        <v>28</v>
      </c>
      <c r="B35" s="48">
        <f t="shared" si="6"/>
        <v>44274</v>
      </c>
      <c r="C35" s="17">
        <v>200</v>
      </c>
      <c r="D35" s="17">
        <v>400</v>
      </c>
      <c r="E35" s="16">
        <v>44278</v>
      </c>
      <c r="F35" t="s">
        <v>117</v>
      </c>
      <c r="H35" s="17">
        <f t="shared" si="0"/>
        <v>400</v>
      </c>
      <c r="I35" s="17" t="s">
        <v>420</v>
      </c>
      <c r="J35" s="48">
        <v>44628</v>
      </c>
      <c r="K35" s="17">
        <v>68.13</v>
      </c>
      <c r="L35" s="49" t="s">
        <v>133</v>
      </c>
      <c r="M35" t="s">
        <v>206</v>
      </c>
      <c r="N35" t="s">
        <v>737</v>
      </c>
      <c r="P35" s="111">
        <f t="shared" si="1"/>
        <v>0</v>
      </c>
    </row>
    <row r="36" spans="1:16" ht="15" customHeight="1" x14ac:dyDescent="0.25">
      <c r="A36" s="10">
        <v>28</v>
      </c>
      <c r="B36" s="48">
        <f t="shared" si="6"/>
        <v>44281</v>
      </c>
      <c r="C36" s="17">
        <v>200</v>
      </c>
      <c r="D36" s="17"/>
      <c r="H36" s="17">
        <f t="shared" si="0"/>
        <v>600</v>
      </c>
      <c r="I36" s="17" t="s">
        <v>420</v>
      </c>
      <c r="J36" s="48">
        <v>44623</v>
      </c>
      <c r="K36" s="17">
        <v>0.99</v>
      </c>
      <c r="L36" s="49" t="s">
        <v>22</v>
      </c>
      <c r="N36" t="s">
        <v>737</v>
      </c>
      <c r="P36" s="111">
        <f t="shared" si="1"/>
        <v>0</v>
      </c>
    </row>
    <row r="37" spans="1:16" ht="15" customHeight="1" x14ac:dyDescent="0.25">
      <c r="A37" s="10">
        <v>29</v>
      </c>
      <c r="B37" s="48">
        <f t="shared" si="6"/>
        <v>44288</v>
      </c>
      <c r="C37" s="17">
        <v>200</v>
      </c>
      <c r="D37" s="17">
        <v>400</v>
      </c>
      <c r="E37" s="16">
        <v>44289</v>
      </c>
      <c r="F37" t="s">
        <v>117</v>
      </c>
      <c r="H37" s="17">
        <f t="shared" si="0"/>
        <v>400</v>
      </c>
      <c r="I37" s="17" t="s">
        <v>420</v>
      </c>
      <c r="J37" s="48">
        <v>44622</v>
      </c>
      <c r="K37" s="17">
        <v>2.75</v>
      </c>
      <c r="L37" s="49" t="s">
        <v>22</v>
      </c>
      <c r="N37" t="s">
        <v>737</v>
      </c>
      <c r="P37" s="111">
        <f t="shared" si="1"/>
        <v>0</v>
      </c>
    </row>
    <row r="38" spans="1:16" ht="15" customHeight="1" x14ac:dyDescent="0.25">
      <c r="A38" s="10">
        <v>30</v>
      </c>
      <c r="B38" s="48">
        <f t="shared" si="6"/>
        <v>44295</v>
      </c>
      <c r="C38" s="17">
        <v>200</v>
      </c>
      <c r="D38" s="17"/>
      <c r="H38" s="17">
        <f t="shared" si="0"/>
        <v>600</v>
      </c>
      <c r="I38" s="17" t="s">
        <v>420</v>
      </c>
      <c r="J38" s="48">
        <v>44630</v>
      </c>
      <c r="K38" s="17">
        <v>0.99</v>
      </c>
      <c r="L38" s="49" t="s">
        <v>22</v>
      </c>
      <c r="N38" t="s">
        <v>737</v>
      </c>
      <c r="P38" s="111">
        <f t="shared" si="1"/>
        <v>0</v>
      </c>
    </row>
    <row r="39" spans="1:16" ht="15" customHeight="1" x14ac:dyDescent="0.25">
      <c r="A39" s="10">
        <v>31</v>
      </c>
      <c r="B39" s="48">
        <f t="shared" si="6"/>
        <v>44302</v>
      </c>
      <c r="C39" s="17">
        <v>200</v>
      </c>
      <c r="D39" s="17"/>
      <c r="H39" s="17">
        <f t="shared" si="0"/>
        <v>800</v>
      </c>
      <c r="I39" s="17" t="s">
        <v>420</v>
      </c>
      <c r="J39" s="48">
        <v>44629</v>
      </c>
      <c r="K39" s="17">
        <v>2.75</v>
      </c>
      <c r="L39" s="49" t="s">
        <v>22</v>
      </c>
      <c r="N39" t="s">
        <v>737</v>
      </c>
      <c r="P39" s="111">
        <f t="shared" si="1"/>
        <v>0</v>
      </c>
    </row>
    <row r="40" spans="1:16" ht="15" customHeight="1" x14ac:dyDescent="0.25">
      <c r="A40" s="10">
        <v>32</v>
      </c>
      <c r="B40" s="48">
        <f t="shared" ref="B40:B45" si="7">B39+7</f>
        <v>44309</v>
      </c>
      <c r="C40" s="17">
        <v>200</v>
      </c>
      <c r="D40" s="17"/>
      <c r="H40" s="17">
        <f t="shared" si="0"/>
        <v>1000</v>
      </c>
      <c r="I40" s="17" t="s">
        <v>420</v>
      </c>
      <c r="J40" s="48">
        <v>44637</v>
      </c>
      <c r="K40" s="17">
        <v>0.99</v>
      </c>
      <c r="L40" s="49" t="s">
        <v>22</v>
      </c>
      <c r="N40" t="s">
        <v>737</v>
      </c>
      <c r="P40" s="111">
        <f t="shared" si="1"/>
        <v>0</v>
      </c>
    </row>
    <row r="41" spans="1:16" ht="15" customHeight="1" x14ac:dyDescent="0.25">
      <c r="A41" s="10">
        <v>33</v>
      </c>
      <c r="B41" s="48">
        <f t="shared" si="7"/>
        <v>44316</v>
      </c>
      <c r="C41" s="17">
        <v>200</v>
      </c>
      <c r="D41" s="17"/>
      <c r="H41" s="17">
        <f t="shared" si="0"/>
        <v>1200</v>
      </c>
      <c r="I41" s="17" t="s">
        <v>420</v>
      </c>
      <c r="J41" s="48">
        <v>44636</v>
      </c>
      <c r="K41" s="17">
        <v>2.75</v>
      </c>
      <c r="L41" s="49" t="s">
        <v>22</v>
      </c>
      <c r="N41" t="s">
        <v>737</v>
      </c>
      <c r="P41" s="111">
        <f t="shared" si="1"/>
        <v>0</v>
      </c>
    </row>
    <row r="42" spans="1:16" ht="15" customHeight="1" x14ac:dyDescent="0.25">
      <c r="A42" s="10">
        <v>34</v>
      </c>
      <c r="B42" s="48">
        <f t="shared" si="7"/>
        <v>44323</v>
      </c>
      <c r="C42" s="17">
        <v>200</v>
      </c>
      <c r="D42" s="17"/>
      <c r="H42" s="17">
        <f t="shared" si="0"/>
        <v>1400</v>
      </c>
      <c r="I42" s="17" t="s">
        <v>420</v>
      </c>
      <c r="J42" s="48">
        <v>44643</v>
      </c>
      <c r="K42" s="17">
        <v>2.75</v>
      </c>
      <c r="L42" s="49" t="s">
        <v>22</v>
      </c>
      <c r="N42" t="s">
        <v>737</v>
      </c>
      <c r="P42" s="111">
        <f t="shared" si="1"/>
        <v>0</v>
      </c>
    </row>
    <row r="43" spans="1:16" ht="15" customHeight="1" x14ac:dyDescent="0.25">
      <c r="A43" s="10">
        <v>35</v>
      </c>
      <c r="B43" s="48">
        <f t="shared" si="7"/>
        <v>44330</v>
      </c>
      <c r="C43" s="17">
        <v>200</v>
      </c>
      <c r="D43" s="17"/>
      <c r="H43" s="17">
        <f t="shared" si="0"/>
        <v>1600</v>
      </c>
      <c r="I43" s="17" t="s">
        <v>420</v>
      </c>
      <c r="J43" s="48">
        <v>44651</v>
      </c>
      <c r="K43" s="17">
        <v>0.99</v>
      </c>
      <c r="L43" s="49" t="s">
        <v>22</v>
      </c>
      <c r="N43" t="s">
        <v>737</v>
      </c>
      <c r="P43" s="111">
        <f t="shared" si="1"/>
        <v>0</v>
      </c>
    </row>
    <row r="44" spans="1:16" ht="15" customHeight="1" x14ac:dyDescent="0.25">
      <c r="A44" s="10">
        <v>36</v>
      </c>
      <c r="B44" s="48">
        <f t="shared" si="7"/>
        <v>44337</v>
      </c>
      <c r="C44" s="17">
        <v>200</v>
      </c>
      <c r="D44" s="17"/>
      <c r="H44" s="17">
        <f t="shared" si="0"/>
        <v>1800</v>
      </c>
      <c r="I44" s="17" t="s">
        <v>420</v>
      </c>
      <c r="J44" s="48">
        <v>44658</v>
      </c>
      <c r="K44" s="17">
        <v>64.7</v>
      </c>
      <c r="L44" s="49" t="s">
        <v>133</v>
      </c>
      <c r="M44" t="s">
        <v>206</v>
      </c>
      <c r="N44" t="s">
        <v>737</v>
      </c>
      <c r="P44" s="111">
        <f t="shared" si="1"/>
        <v>0</v>
      </c>
    </row>
    <row r="45" spans="1:16" ht="15" customHeight="1" x14ac:dyDescent="0.25">
      <c r="A45" s="10">
        <v>37</v>
      </c>
      <c r="B45" s="48">
        <f t="shared" si="7"/>
        <v>44344</v>
      </c>
      <c r="C45" s="17">
        <v>200</v>
      </c>
      <c r="D45" s="17">
        <f>400+300</f>
        <v>700</v>
      </c>
      <c r="E45" s="16">
        <v>44345</v>
      </c>
      <c r="F45" t="s">
        <v>117</v>
      </c>
      <c r="H45" s="17">
        <f t="shared" si="0"/>
        <v>1300</v>
      </c>
      <c r="I45" s="17" t="s">
        <v>420</v>
      </c>
      <c r="J45" s="48">
        <v>44658</v>
      </c>
      <c r="K45" s="17">
        <v>0.99</v>
      </c>
      <c r="L45" s="49" t="s">
        <v>22</v>
      </c>
      <c r="N45" t="s">
        <v>737</v>
      </c>
      <c r="P45" s="111">
        <f t="shared" si="1"/>
        <v>0</v>
      </c>
    </row>
    <row r="46" spans="1:16" ht="15" customHeight="1" x14ac:dyDescent="0.25">
      <c r="A46" s="10">
        <v>38</v>
      </c>
      <c r="B46" s="48">
        <f>B45+7</f>
        <v>44351</v>
      </c>
      <c r="C46" s="17">
        <v>200</v>
      </c>
      <c r="D46" s="17">
        <v>400</v>
      </c>
      <c r="E46" s="16">
        <v>44349</v>
      </c>
      <c r="F46" t="s">
        <v>117</v>
      </c>
      <c r="H46" s="17">
        <f t="shared" si="0"/>
        <v>1100</v>
      </c>
      <c r="I46" s="17" t="s">
        <v>420</v>
      </c>
      <c r="J46" s="48">
        <v>44657</v>
      </c>
      <c r="K46" s="17">
        <v>2.75</v>
      </c>
      <c r="L46" s="49" t="s">
        <v>22</v>
      </c>
      <c r="N46" t="s">
        <v>737</v>
      </c>
      <c r="P46" s="111">
        <f t="shared" si="1"/>
        <v>0</v>
      </c>
    </row>
    <row r="47" spans="1:16" ht="15" customHeight="1" x14ac:dyDescent="0.25">
      <c r="A47" s="10">
        <v>39</v>
      </c>
      <c r="B47" s="48">
        <f>B46+7</f>
        <v>44358</v>
      </c>
      <c r="C47" s="17">
        <v>200</v>
      </c>
      <c r="D47" s="17">
        <v>250</v>
      </c>
      <c r="E47" s="16">
        <v>44360</v>
      </c>
      <c r="F47" t="s">
        <v>117</v>
      </c>
      <c r="H47" s="17">
        <f t="shared" si="0"/>
        <v>1050</v>
      </c>
      <c r="I47" s="17" t="s">
        <v>420</v>
      </c>
      <c r="J47" s="48">
        <v>44664</v>
      </c>
      <c r="K47" s="17">
        <v>2.75</v>
      </c>
      <c r="L47" s="49" t="s">
        <v>22</v>
      </c>
      <c r="N47" t="s">
        <v>737</v>
      </c>
      <c r="P47" s="111">
        <f t="shared" si="1"/>
        <v>0</v>
      </c>
    </row>
    <row r="48" spans="1:16" ht="15" customHeight="1" x14ac:dyDescent="0.25">
      <c r="A48" s="10">
        <v>40</v>
      </c>
      <c r="B48" s="48">
        <f>B47+7</f>
        <v>44365</v>
      </c>
      <c r="C48" s="17"/>
      <c r="D48" s="17"/>
      <c r="H48" s="17">
        <f t="shared" si="0"/>
        <v>1050</v>
      </c>
      <c r="I48" s="17" t="s">
        <v>420</v>
      </c>
      <c r="J48" s="48">
        <v>44665</v>
      </c>
      <c r="K48" s="17">
        <v>0.99</v>
      </c>
      <c r="L48" s="49" t="s">
        <v>22</v>
      </c>
      <c r="N48" t="s">
        <v>737</v>
      </c>
      <c r="P48" s="111">
        <f t="shared" si="1"/>
        <v>0</v>
      </c>
    </row>
    <row r="49" spans="1:16" ht="15" customHeight="1" x14ac:dyDescent="0.25">
      <c r="A49" s="10">
        <v>41</v>
      </c>
      <c r="B49" s="48">
        <f>B48+7</f>
        <v>44372</v>
      </c>
      <c r="C49" s="17"/>
      <c r="D49" s="17"/>
      <c r="F49" t="s">
        <v>124</v>
      </c>
      <c r="H49" s="17">
        <f t="shared" si="0"/>
        <v>1050</v>
      </c>
      <c r="I49" s="17" t="s">
        <v>420</v>
      </c>
      <c r="J49" s="48">
        <v>44684</v>
      </c>
      <c r="K49" s="17">
        <v>94.88</v>
      </c>
      <c r="L49" s="49" t="s">
        <v>26</v>
      </c>
      <c r="M49" t="s">
        <v>437</v>
      </c>
      <c r="N49" t="s">
        <v>737</v>
      </c>
      <c r="P49" s="111">
        <f t="shared" si="1"/>
        <v>0</v>
      </c>
    </row>
    <row r="50" spans="1:16" ht="15" customHeight="1" x14ac:dyDescent="0.25">
      <c r="A50" s="10">
        <v>1</v>
      </c>
      <c r="B50" s="48">
        <v>44517</v>
      </c>
      <c r="C50" s="17">
        <v>400</v>
      </c>
      <c r="D50" s="17">
        <v>400</v>
      </c>
      <c r="E50" s="16">
        <v>44517</v>
      </c>
      <c r="F50" t="s">
        <v>181</v>
      </c>
      <c r="H50" s="17">
        <f t="shared" si="0"/>
        <v>0</v>
      </c>
      <c r="I50" s="17" t="s">
        <v>737</v>
      </c>
      <c r="J50" s="48">
        <v>44687</v>
      </c>
      <c r="K50" s="17">
        <v>50</v>
      </c>
      <c r="L50" s="49" t="s">
        <v>26</v>
      </c>
      <c r="N50" t="s">
        <v>737</v>
      </c>
      <c r="P50" s="111">
        <f t="shared" si="1"/>
        <v>0</v>
      </c>
    </row>
    <row r="51" spans="1:16" ht="15" customHeight="1" x14ac:dyDescent="0.25">
      <c r="A51" s="10">
        <v>1</v>
      </c>
      <c r="B51" s="48">
        <v>44517</v>
      </c>
      <c r="C51" s="17">
        <v>210</v>
      </c>
      <c r="D51" s="17">
        <v>210</v>
      </c>
      <c r="E51" s="16">
        <v>44517</v>
      </c>
      <c r="F51" t="s">
        <v>117</v>
      </c>
      <c r="H51" s="17">
        <f t="shared" si="0"/>
        <v>0</v>
      </c>
      <c r="I51" s="17" t="s">
        <v>737</v>
      </c>
      <c r="J51" s="48">
        <v>44679</v>
      </c>
      <c r="K51" s="17">
        <v>2.75</v>
      </c>
      <c r="L51" s="49" t="s">
        <v>22</v>
      </c>
      <c r="N51" t="s">
        <v>737</v>
      </c>
      <c r="P51" s="111">
        <f t="shared" si="1"/>
        <v>0</v>
      </c>
    </row>
    <row r="52" spans="1:16" ht="15" customHeight="1" x14ac:dyDescent="0.25">
      <c r="A52" s="10">
        <v>2</v>
      </c>
      <c r="B52" s="48">
        <f>B50+7</f>
        <v>44524</v>
      </c>
      <c r="C52" s="17">
        <v>210</v>
      </c>
      <c r="D52" s="17">
        <v>210</v>
      </c>
      <c r="E52" s="16">
        <v>44525</v>
      </c>
      <c r="F52" t="s">
        <v>59</v>
      </c>
      <c r="H52" s="17">
        <f t="shared" si="0"/>
        <v>0</v>
      </c>
      <c r="I52" s="17" t="s">
        <v>737</v>
      </c>
      <c r="J52" s="48">
        <v>44673</v>
      </c>
      <c r="K52" s="17">
        <v>2.75</v>
      </c>
      <c r="L52" s="49" t="s">
        <v>22</v>
      </c>
      <c r="N52" t="s">
        <v>737</v>
      </c>
      <c r="P52" s="111">
        <f t="shared" si="1"/>
        <v>0</v>
      </c>
    </row>
    <row r="53" spans="1:16" ht="15" customHeight="1" x14ac:dyDescent="0.25">
      <c r="A53" s="10">
        <v>3</v>
      </c>
      <c r="B53" s="48">
        <f t="shared" ref="B53:B59" si="8">B52+7</f>
        <v>44531</v>
      </c>
      <c r="C53" s="17">
        <v>210</v>
      </c>
      <c r="D53" s="17">
        <v>210</v>
      </c>
      <c r="E53" s="16">
        <v>44532</v>
      </c>
      <c r="F53" t="s">
        <v>59</v>
      </c>
      <c r="H53" s="17">
        <f t="shared" si="0"/>
        <v>0</v>
      </c>
      <c r="I53" s="17" t="s">
        <v>737</v>
      </c>
      <c r="J53" s="48">
        <v>44698</v>
      </c>
      <c r="K53" s="17">
        <v>22.71</v>
      </c>
      <c r="L53" s="49" t="s">
        <v>133</v>
      </c>
      <c r="M53" t="s">
        <v>453</v>
      </c>
      <c r="N53" t="s">
        <v>737</v>
      </c>
      <c r="P53" s="111">
        <f t="shared" si="1"/>
        <v>0</v>
      </c>
    </row>
    <row r="54" spans="1:16" ht="15" customHeight="1" x14ac:dyDescent="0.25">
      <c r="A54" s="10">
        <v>4</v>
      </c>
      <c r="B54" s="48">
        <f t="shared" si="8"/>
        <v>44538</v>
      </c>
      <c r="C54" s="17">
        <v>210</v>
      </c>
      <c r="D54" s="17">
        <v>210</v>
      </c>
      <c r="E54" s="16">
        <v>44539</v>
      </c>
      <c r="F54" t="s">
        <v>59</v>
      </c>
      <c r="H54" s="17">
        <f t="shared" si="0"/>
        <v>0</v>
      </c>
      <c r="I54" s="17" t="s">
        <v>737</v>
      </c>
      <c r="J54" s="48">
        <v>44698</v>
      </c>
      <c r="K54" s="17">
        <v>42.78</v>
      </c>
      <c r="L54" s="49" t="s">
        <v>133</v>
      </c>
      <c r="M54" t="s">
        <v>716</v>
      </c>
      <c r="N54" t="s">
        <v>737</v>
      </c>
      <c r="P54" s="111">
        <f t="shared" si="1"/>
        <v>0</v>
      </c>
    </row>
    <row r="55" spans="1:16" ht="15" customHeight="1" x14ac:dyDescent="0.25">
      <c r="A55" s="10">
        <v>5</v>
      </c>
      <c r="B55" s="48">
        <f t="shared" si="8"/>
        <v>44545</v>
      </c>
      <c r="C55" s="17">
        <v>210</v>
      </c>
      <c r="D55" s="17">
        <v>210</v>
      </c>
      <c r="E55" s="16">
        <v>44546</v>
      </c>
      <c r="F55" t="s">
        <v>59</v>
      </c>
      <c r="H55" s="17">
        <f t="shared" si="0"/>
        <v>0</v>
      </c>
      <c r="I55" s="17" t="s">
        <v>737</v>
      </c>
      <c r="J55" s="48">
        <v>44699</v>
      </c>
      <c r="K55" s="17">
        <v>201.31</v>
      </c>
      <c r="L55" s="49" t="s">
        <v>20</v>
      </c>
      <c r="N55" t="s">
        <v>737</v>
      </c>
      <c r="P55" s="111">
        <f t="shared" si="1"/>
        <v>0</v>
      </c>
    </row>
    <row r="56" spans="1:16" ht="15" customHeight="1" x14ac:dyDescent="0.25">
      <c r="A56" s="10">
        <v>6</v>
      </c>
      <c r="B56" s="48">
        <f t="shared" si="8"/>
        <v>44552</v>
      </c>
      <c r="C56" s="17">
        <v>210</v>
      </c>
      <c r="D56" s="17">
        <v>210</v>
      </c>
      <c r="E56" s="16">
        <v>44553</v>
      </c>
      <c r="F56" t="s">
        <v>59</v>
      </c>
      <c r="H56" s="17">
        <f t="shared" si="0"/>
        <v>0</v>
      </c>
      <c r="I56" s="17" t="s">
        <v>737</v>
      </c>
      <c r="J56" s="48">
        <v>44712</v>
      </c>
      <c r="K56" s="17">
        <v>22.71</v>
      </c>
      <c r="L56" s="49" t="s">
        <v>133</v>
      </c>
      <c r="M56" t="s">
        <v>453</v>
      </c>
      <c r="N56" t="s">
        <v>737</v>
      </c>
      <c r="P56" s="111">
        <f t="shared" si="1"/>
        <v>0</v>
      </c>
    </row>
    <row r="57" spans="1:16" ht="15" customHeight="1" x14ac:dyDescent="0.25">
      <c r="A57" s="10">
        <v>7</v>
      </c>
      <c r="B57" s="48">
        <f t="shared" si="8"/>
        <v>44559</v>
      </c>
      <c r="C57" s="17">
        <v>210</v>
      </c>
      <c r="D57" s="17">
        <v>210</v>
      </c>
      <c r="E57" s="16">
        <v>44560</v>
      </c>
      <c r="F57" t="s">
        <v>59</v>
      </c>
      <c r="H57" s="17">
        <f t="shared" si="0"/>
        <v>0</v>
      </c>
      <c r="I57" s="17" t="s">
        <v>737</v>
      </c>
      <c r="J57" s="48">
        <v>44733</v>
      </c>
      <c r="K57" s="17">
        <v>142.03</v>
      </c>
      <c r="L57" s="49" t="s">
        <v>133</v>
      </c>
      <c r="M57" t="s">
        <v>453</v>
      </c>
      <c r="N57" t="s">
        <v>737</v>
      </c>
      <c r="P57" s="111">
        <f t="shared" si="1"/>
        <v>0</v>
      </c>
    </row>
    <row r="58" spans="1:16" ht="15" customHeight="1" x14ac:dyDescent="0.25">
      <c r="A58" s="10">
        <v>8</v>
      </c>
      <c r="B58" s="48">
        <f t="shared" si="8"/>
        <v>44566</v>
      </c>
      <c r="C58" s="17">
        <v>210</v>
      </c>
      <c r="D58" s="17"/>
      <c r="H58" s="17">
        <f t="shared" si="0"/>
        <v>210</v>
      </c>
      <c r="I58" s="17" t="s">
        <v>737</v>
      </c>
      <c r="J58" s="48">
        <v>44761</v>
      </c>
      <c r="K58" s="17">
        <v>18.39</v>
      </c>
      <c r="L58" s="49" t="s">
        <v>133</v>
      </c>
      <c r="M58" t="s">
        <v>453</v>
      </c>
      <c r="N58" t="s">
        <v>737</v>
      </c>
      <c r="P58" s="111">
        <f t="shared" si="1"/>
        <v>0</v>
      </c>
    </row>
    <row r="59" spans="1:16" ht="15" customHeight="1" x14ac:dyDescent="0.25">
      <c r="A59" s="10">
        <v>9</v>
      </c>
      <c r="B59" s="48">
        <f t="shared" si="8"/>
        <v>44573</v>
      </c>
      <c r="C59" s="17">
        <v>210</v>
      </c>
      <c r="D59" s="17">
        <v>210</v>
      </c>
      <c r="E59" s="16">
        <v>44580</v>
      </c>
      <c r="F59" t="s">
        <v>59</v>
      </c>
      <c r="H59" s="17">
        <f t="shared" si="0"/>
        <v>210</v>
      </c>
      <c r="I59" s="17" t="s">
        <v>737</v>
      </c>
      <c r="J59" s="48">
        <v>44782</v>
      </c>
      <c r="K59" s="17">
        <v>36.92</v>
      </c>
      <c r="L59" s="49" t="s">
        <v>133</v>
      </c>
      <c r="M59" t="s">
        <v>453</v>
      </c>
      <c r="N59" t="s">
        <v>737</v>
      </c>
      <c r="P59" s="111">
        <f t="shared" si="1"/>
        <v>0</v>
      </c>
    </row>
    <row r="60" spans="1:16" ht="15" customHeight="1" x14ac:dyDescent="0.25">
      <c r="A60" s="10">
        <v>10</v>
      </c>
      <c r="B60" s="48">
        <f t="shared" ref="B60:B68" si="9">B59+7</f>
        <v>44580</v>
      </c>
      <c r="C60" s="17">
        <v>210</v>
      </c>
      <c r="D60" s="17">
        <v>210</v>
      </c>
      <c r="E60" s="16">
        <v>44581</v>
      </c>
      <c r="F60" t="s">
        <v>59</v>
      </c>
      <c r="H60" s="17">
        <f t="shared" si="0"/>
        <v>210</v>
      </c>
      <c r="I60" s="17" t="s">
        <v>737</v>
      </c>
      <c r="J60" s="48">
        <v>44786</v>
      </c>
      <c r="K60" s="17">
        <v>205.68</v>
      </c>
      <c r="L60" s="49" t="s">
        <v>20</v>
      </c>
      <c r="N60" t="s">
        <v>737</v>
      </c>
      <c r="P60" s="111">
        <f t="shared" si="1"/>
        <v>0</v>
      </c>
    </row>
    <row r="61" spans="1:16" ht="15" customHeight="1" x14ac:dyDescent="0.25">
      <c r="A61" s="10">
        <v>11</v>
      </c>
      <c r="B61" s="48">
        <f t="shared" si="9"/>
        <v>44587</v>
      </c>
      <c r="C61" s="17">
        <v>210</v>
      </c>
      <c r="D61" s="17">
        <v>210</v>
      </c>
      <c r="E61" s="16">
        <v>44588</v>
      </c>
      <c r="F61" t="s">
        <v>59</v>
      </c>
      <c r="H61" s="17">
        <f t="shared" si="0"/>
        <v>210</v>
      </c>
      <c r="I61" s="17" t="s">
        <v>737</v>
      </c>
      <c r="J61" s="48">
        <v>44801</v>
      </c>
      <c r="K61" s="17">
        <v>150</v>
      </c>
      <c r="L61" s="49" t="s">
        <v>26</v>
      </c>
      <c r="M61" t="s">
        <v>855</v>
      </c>
      <c r="N61" t="s">
        <v>737</v>
      </c>
      <c r="P61" s="111">
        <f t="shared" si="1"/>
        <v>0</v>
      </c>
    </row>
    <row r="62" spans="1:16" ht="15" customHeight="1" x14ac:dyDescent="0.25">
      <c r="A62" s="10">
        <v>12</v>
      </c>
      <c r="B62" s="48">
        <f t="shared" si="9"/>
        <v>44594</v>
      </c>
      <c r="C62" s="17">
        <v>210</v>
      </c>
      <c r="D62" s="17">
        <v>210</v>
      </c>
      <c r="E62" s="16">
        <v>44595</v>
      </c>
      <c r="F62" t="s">
        <v>59</v>
      </c>
      <c r="H62" s="17">
        <f t="shared" si="0"/>
        <v>210</v>
      </c>
      <c r="I62" s="17" t="s">
        <v>737</v>
      </c>
      <c r="J62" s="48">
        <v>44812</v>
      </c>
      <c r="K62" s="17">
        <v>190</v>
      </c>
      <c r="L62" s="49" t="s">
        <v>17</v>
      </c>
      <c r="M62" t="s">
        <v>620</v>
      </c>
      <c r="N62" t="s">
        <v>737</v>
      </c>
      <c r="P62" s="111">
        <f t="shared" si="1"/>
        <v>0</v>
      </c>
    </row>
    <row r="63" spans="1:16" ht="15" customHeight="1" x14ac:dyDescent="0.25">
      <c r="A63" s="10">
        <v>13</v>
      </c>
      <c r="B63" s="48">
        <f t="shared" si="9"/>
        <v>44601</v>
      </c>
      <c r="C63" s="17">
        <v>210</v>
      </c>
      <c r="D63" s="17">
        <v>210</v>
      </c>
      <c r="E63" s="16">
        <v>44602</v>
      </c>
      <c r="F63" t="s">
        <v>59</v>
      </c>
      <c r="H63" s="17">
        <f t="shared" si="0"/>
        <v>210</v>
      </c>
      <c r="I63" s="17" t="s">
        <v>737</v>
      </c>
      <c r="J63" s="48">
        <v>44845</v>
      </c>
      <c r="K63" s="17">
        <v>34.17</v>
      </c>
      <c r="L63" s="49" t="s">
        <v>133</v>
      </c>
      <c r="M63" t="s">
        <v>206</v>
      </c>
      <c r="N63" t="s">
        <v>737</v>
      </c>
      <c r="P63" s="111">
        <f t="shared" si="1"/>
        <v>0</v>
      </c>
    </row>
    <row r="64" spans="1:16" ht="15" customHeight="1" x14ac:dyDescent="0.25">
      <c r="A64" s="10">
        <v>14</v>
      </c>
      <c r="B64" s="48">
        <f t="shared" si="9"/>
        <v>44608</v>
      </c>
      <c r="C64" s="17">
        <v>210</v>
      </c>
      <c r="D64" s="17"/>
      <c r="E64" s="16"/>
      <c r="H64" s="17">
        <f t="shared" si="0"/>
        <v>420</v>
      </c>
      <c r="I64" t="s">
        <v>737</v>
      </c>
      <c r="J64" s="48">
        <v>44881</v>
      </c>
      <c r="K64" s="17">
        <v>205.68</v>
      </c>
      <c r="L64" s="49" t="s">
        <v>20</v>
      </c>
      <c r="N64" t="s">
        <v>737</v>
      </c>
      <c r="P64" s="111">
        <f t="shared" si="1"/>
        <v>0</v>
      </c>
    </row>
    <row r="65" spans="1:18" ht="15" customHeight="1" x14ac:dyDescent="0.25">
      <c r="A65" s="10">
        <v>15</v>
      </c>
      <c r="B65" s="48">
        <f t="shared" si="9"/>
        <v>44615</v>
      </c>
      <c r="C65" s="17">
        <v>210</v>
      </c>
      <c r="D65" s="17"/>
      <c r="E65" s="16"/>
      <c r="H65" s="17">
        <f t="shared" si="0"/>
        <v>630</v>
      </c>
      <c r="I65" t="s">
        <v>737</v>
      </c>
      <c r="J65" s="48">
        <v>44932</v>
      </c>
      <c r="K65" s="17">
        <v>211.6</v>
      </c>
      <c r="L65" s="49" t="s">
        <v>133</v>
      </c>
      <c r="M65" t="s">
        <v>954</v>
      </c>
      <c r="N65" t="s">
        <v>737</v>
      </c>
      <c r="P65" s="111">
        <f t="shared" si="1"/>
        <v>0</v>
      </c>
    </row>
    <row r="66" spans="1:18" ht="15" customHeight="1" x14ac:dyDescent="0.25">
      <c r="A66" s="10">
        <v>16</v>
      </c>
      <c r="B66" s="48">
        <f t="shared" si="9"/>
        <v>44622</v>
      </c>
      <c r="C66" s="17">
        <v>210</v>
      </c>
      <c r="D66" s="17"/>
      <c r="E66" s="16"/>
      <c r="H66" s="17">
        <f t="shared" si="0"/>
        <v>840</v>
      </c>
      <c r="I66" t="s">
        <v>737</v>
      </c>
      <c r="J66" s="48">
        <v>44932</v>
      </c>
      <c r="K66" s="17">
        <v>211.6</v>
      </c>
      <c r="L66" s="49" t="s">
        <v>133</v>
      </c>
      <c r="M66" t="s">
        <v>954</v>
      </c>
      <c r="N66" t="s">
        <v>737</v>
      </c>
      <c r="P66" s="111">
        <f t="shared" si="1"/>
        <v>0</v>
      </c>
    </row>
    <row r="67" spans="1:18" ht="15" customHeight="1" x14ac:dyDescent="0.25">
      <c r="A67" s="10">
        <v>17</v>
      </c>
      <c r="B67" s="48">
        <f t="shared" si="9"/>
        <v>44629</v>
      </c>
      <c r="C67" s="17">
        <v>210</v>
      </c>
      <c r="D67" s="17"/>
      <c r="E67" s="16"/>
      <c r="H67" s="17">
        <f t="shared" si="0"/>
        <v>1050</v>
      </c>
      <c r="I67" t="s">
        <v>737</v>
      </c>
      <c r="J67" s="48">
        <v>44945</v>
      </c>
      <c r="K67" s="17">
        <v>315.2</v>
      </c>
      <c r="L67" s="49" t="s">
        <v>133</v>
      </c>
      <c r="M67" t="s">
        <v>954</v>
      </c>
      <c r="N67" t="s">
        <v>737</v>
      </c>
      <c r="P67" s="111">
        <f t="shared" si="1"/>
        <v>0</v>
      </c>
    </row>
    <row r="68" spans="1:18" ht="15" customHeight="1" x14ac:dyDescent="0.25">
      <c r="A68" s="10">
        <v>18</v>
      </c>
      <c r="B68" s="48">
        <f t="shared" si="9"/>
        <v>44636</v>
      </c>
      <c r="C68" s="17">
        <v>210</v>
      </c>
      <c r="D68" s="17"/>
      <c r="E68" s="16"/>
      <c r="H68" s="17">
        <f t="shared" si="0"/>
        <v>1260</v>
      </c>
      <c r="I68" t="s">
        <v>737</v>
      </c>
      <c r="J68" s="48">
        <v>44945</v>
      </c>
      <c r="K68" s="17">
        <v>315.2</v>
      </c>
      <c r="L68" s="49" t="s">
        <v>133</v>
      </c>
      <c r="M68" t="s">
        <v>954</v>
      </c>
      <c r="N68" t="s">
        <v>737</v>
      </c>
      <c r="P68" s="111">
        <f t="shared" si="1"/>
        <v>0</v>
      </c>
    </row>
    <row r="69" spans="1:18" ht="15" customHeight="1" x14ac:dyDescent="0.25">
      <c r="A69" s="10">
        <v>19</v>
      </c>
      <c r="B69" s="48">
        <f t="shared" ref="B69:B77" si="10">B68+7</f>
        <v>44643</v>
      </c>
      <c r="C69" s="17">
        <v>210</v>
      </c>
      <c r="D69" s="17">
        <v>210</v>
      </c>
      <c r="E69" s="16">
        <v>44644</v>
      </c>
      <c r="F69" t="s">
        <v>59</v>
      </c>
      <c r="H69" s="17">
        <f t="shared" ref="H69:H79" si="11">IFERROR(IF(F68="Closed account",(IF(F69="Unpaid Rent",(C69),(C69-D69))),(IF(F69="Unpaid Rent",(C69+H68),(C69-D69+H68)))),"")</f>
        <v>1260</v>
      </c>
      <c r="I69" t="s">
        <v>737</v>
      </c>
      <c r="J69" s="48">
        <v>44945</v>
      </c>
      <c r="K69" s="17">
        <v>409.6</v>
      </c>
      <c r="L69" s="49" t="s">
        <v>133</v>
      </c>
      <c r="M69" t="s">
        <v>954</v>
      </c>
      <c r="N69" t="s">
        <v>737</v>
      </c>
      <c r="P69" s="111">
        <f t="shared" si="1"/>
        <v>0</v>
      </c>
    </row>
    <row r="70" spans="1:18" ht="15" customHeight="1" x14ac:dyDescent="0.25">
      <c r="A70" s="10">
        <v>20</v>
      </c>
      <c r="B70" s="48">
        <f t="shared" si="10"/>
        <v>44650</v>
      </c>
      <c r="C70" s="17">
        <v>210</v>
      </c>
      <c r="D70" s="17"/>
      <c r="H70" s="17">
        <f t="shared" si="11"/>
        <v>1470</v>
      </c>
      <c r="I70" t="s">
        <v>737</v>
      </c>
      <c r="J70" s="48">
        <v>44965</v>
      </c>
      <c r="K70" s="17">
        <v>205.68</v>
      </c>
      <c r="L70" s="49" t="s">
        <v>20</v>
      </c>
      <c r="N70" t="s">
        <v>992</v>
      </c>
      <c r="P70" s="111">
        <f t="shared" si="1"/>
        <v>0</v>
      </c>
    </row>
    <row r="71" spans="1:18" ht="15" customHeight="1" x14ac:dyDescent="0.25">
      <c r="A71" s="10">
        <v>21</v>
      </c>
      <c r="B71" s="48">
        <f t="shared" si="10"/>
        <v>44657</v>
      </c>
      <c r="C71" s="17">
        <v>210</v>
      </c>
      <c r="D71" s="17"/>
      <c r="H71" s="17">
        <f t="shared" si="11"/>
        <v>1680</v>
      </c>
      <c r="I71" t="s">
        <v>737</v>
      </c>
      <c r="J71" s="48">
        <v>44972</v>
      </c>
      <c r="K71" s="17">
        <v>220</v>
      </c>
      <c r="L71" s="49" t="s">
        <v>17</v>
      </c>
      <c r="M71" t="s">
        <v>675</v>
      </c>
      <c r="N71" t="s">
        <v>992</v>
      </c>
      <c r="P71" s="111">
        <f t="shared" si="1"/>
        <v>0</v>
      </c>
    </row>
    <row r="72" spans="1:18" ht="15" customHeight="1" x14ac:dyDescent="0.25">
      <c r="A72" s="10">
        <v>22</v>
      </c>
      <c r="B72" s="48">
        <f t="shared" si="10"/>
        <v>44664</v>
      </c>
      <c r="C72" s="17">
        <v>210</v>
      </c>
      <c r="D72" s="17"/>
      <c r="H72" s="17">
        <f t="shared" si="11"/>
        <v>1890</v>
      </c>
      <c r="I72" t="s">
        <v>737</v>
      </c>
      <c r="J72" s="48">
        <v>45029</v>
      </c>
      <c r="K72" s="17">
        <v>100</v>
      </c>
      <c r="L72" s="49" t="s">
        <v>17</v>
      </c>
      <c r="M72" t="s">
        <v>1016</v>
      </c>
      <c r="N72" t="s">
        <v>992</v>
      </c>
      <c r="P72" s="111">
        <f t="shared" si="1"/>
        <v>0</v>
      </c>
    </row>
    <row r="73" spans="1:18" x14ac:dyDescent="0.25">
      <c r="A73" s="10">
        <v>23</v>
      </c>
      <c r="B73" s="48">
        <f t="shared" si="10"/>
        <v>44671</v>
      </c>
      <c r="C73" s="17">
        <v>210</v>
      </c>
      <c r="D73" s="17"/>
      <c r="H73" s="17">
        <f t="shared" si="11"/>
        <v>2100</v>
      </c>
      <c r="I73" t="s">
        <v>737</v>
      </c>
      <c r="J73" s="48">
        <v>45038</v>
      </c>
      <c r="K73" s="17">
        <v>320</v>
      </c>
      <c r="L73" s="49" t="s">
        <v>17</v>
      </c>
      <c r="M73" t="s">
        <v>835</v>
      </c>
      <c r="N73" t="s">
        <v>992</v>
      </c>
      <c r="P73" s="111">
        <f t="shared" si="1"/>
        <v>0</v>
      </c>
    </row>
    <row r="74" spans="1:18" x14ac:dyDescent="0.25">
      <c r="A74" s="10">
        <v>24</v>
      </c>
      <c r="B74" s="48">
        <f t="shared" si="10"/>
        <v>44678</v>
      </c>
      <c r="C74" s="17">
        <v>210</v>
      </c>
      <c r="D74" s="17">
        <v>1000</v>
      </c>
      <c r="E74" s="16">
        <v>44679</v>
      </c>
      <c r="F74" t="s">
        <v>117</v>
      </c>
      <c r="H74" s="17">
        <f t="shared" si="11"/>
        <v>1310</v>
      </c>
      <c r="I74" t="s">
        <v>737</v>
      </c>
      <c r="J74" s="48">
        <v>45041</v>
      </c>
      <c r="K74" s="17">
        <v>79</v>
      </c>
      <c r="L74" s="49" t="s">
        <v>17</v>
      </c>
      <c r="M74" t="s">
        <v>1019</v>
      </c>
      <c r="N74" t="s">
        <v>992</v>
      </c>
      <c r="P74" s="111">
        <f t="shared" si="1"/>
        <v>0</v>
      </c>
    </row>
    <row r="75" spans="1:18" x14ac:dyDescent="0.25">
      <c r="A75" s="10">
        <v>25</v>
      </c>
      <c r="B75" s="48">
        <f t="shared" si="10"/>
        <v>44685</v>
      </c>
      <c r="C75" s="17">
        <v>210</v>
      </c>
      <c r="D75" s="17"/>
      <c r="H75" s="17">
        <f t="shared" si="11"/>
        <v>1520</v>
      </c>
      <c r="I75" t="s">
        <v>737</v>
      </c>
      <c r="J75" s="48">
        <v>45062</v>
      </c>
      <c r="K75" s="17">
        <v>205.68</v>
      </c>
      <c r="L75" s="49" t="s">
        <v>20</v>
      </c>
      <c r="N75" t="s">
        <v>992</v>
      </c>
      <c r="P75" s="111">
        <f t="shared" si="1"/>
        <v>0</v>
      </c>
    </row>
    <row r="76" spans="1:18" x14ac:dyDescent="0.25">
      <c r="A76" s="10">
        <v>26</v>
      </c>
      <c r="B76" s="48">
        <f t="shared" si="10"/>
        <v>44692</v>
      </c>
      <c r="C76" s="17">
        <v>210</v>
      </c>
      <c r="D76" s="17"/>
      <c r="H76" s="17">
        <f t="shared" si="11"/>
        <v>1730</v>
      </c>
      <c r="I76" t="s">
        <v>737</v>
      </c>
      <c r="J76" s="48"/>
      <c r="K76" s="17"/>
      <c r="L76" s="49"/>
    </row>
    <row r="77" spans="1:18" x14ac:dyDescent="0.25">
      <c r="A77" s="10">
        <v>27</v>
      </c>
      <c r="B77" s="48">
        <f t="shared" si="10"/>
        <v>44699</v>
      </c>
      <c r="C77" s="17"/>
      <c r="D77" s="17"/>
      <c r="H77" s="17">
        <f t="shared" si="11"/>
        <v>1730</v>
      </c>
      <c r="I77" t="s">
        <v>737</v>
      </c>
      <c r="J77" s="48"/>
      <c r="K77" s="17"/>
      <c r="L77" s="49"/>
    </row>
    <row r="78" spans="1:18" x14ac:dyDescent="0.25">
      <c r="A78" s="10">
        <v>28</v>
      </c>
      <c r="B78" s="48">
        <f t="shared" ref="B78:B83" si="12">B77+7</f>
        <v>44706</v>
      </c>
      <c r="C78" s="17">
        <v>210</v>
      </c>
      <c r="D78" s="17">
        <v>1800</v>
      </c>
      <c r="E78" s="16">
        <v>44707</v>
      </c>
      <c r="F78" t="s">
        <v>117</v>
      </c>
      <c r="H78" s="17">
        <f t="shared" si="11"/>
        <v>140</v>
      </c>
      <c r="I78" t="s">
        <v>737</v>
      </c>
      <c r="J78" s="48"/>
      <c r="K78" s="17"/>
      <c r="L78" s="49"/>
    </row>
    <row r="79" spans="1:18" x14ac:dyDescent="0.25">
      <c r="A79" s="10">
        <v>29</v>
      </c>
      <c r="B79" s="48">
        <f t="shared" si="12"/>
        <v>44713</v>
      </c>
      <c r="C79" s="17">
        <v>210</v>
      </c>
      <c r="D79" s="17"/>
      <c r="H79" s="17">
        <f t="shared" si="11"/>
        <v>350</v>
      </c>
      <c r="I79" t="s">
        <v>737</v>
      </c>
      <c r="J79" s="48"/>
      <c r="K79" s="17"/>
      <c r="L79" s="49"/>
      <c r="R79" s="17"/>
    </row>
    <row r="80" spans="1:18" x14ac:dyDescent="0.25">
      <c r="A80" s="10">
        <v>30</v>
      </c>
      <c r="B80" s="48">
        <f t="shared" si="12"/>
        <v>44720</v>
      </c>
      <c r="C80" s="17">
        <v>210</v>
      </c>
      <c r="D80" s="17"/>
      <c r="H80" s="17">
        <f t="shared" ref="H80:H85" si="13">IFERROR(IF(F79="Closed account",(IF(F80="Unpaid Rent",(C80),(C80-D80))),(IF(F80="Unpaid Rent",(C80+H79),(C80-D80+H79)))),"")</f>
        <v>560</v>
      </c>
      <c r="I80" t="s">
        <v>737</v>
      </c>
      <c r="J80" s="48"/>
      <c r="K80" s="17"/>
      <c r="L80" s="49"/>
    </row>
    <row r="81" spans="1:12" x14ac:dyDescent="0.25">
      <c r="A81" s="10">
        <v>31</v>
      </c>
      <c r="B81" s="48">
        <f t="shared" si="12"/>
        <v>44727</v>
      </c>
      <c r="C81" s="17">
        <v>210</v>
      </c>
      <c r="D81" s="17"/>
      <c r="H81" s="17">
        <f t="shared" si="13"/>
        <v>770</v>
      </c>
      <c r="I81" t="s">
        <v>737</v>
      </c>
      <c r="J81" s="48"/>
      <c r="K81" s="17"/>
      <c r="L81" s="49"/>
    </row>
    <row r="82" spans="1:12" x14ac:dyDescent="0.25">
      <c r="A82" s="10">
        <v>32</v>
      </c>
      <c r="B82" s="48">
        <f t="shared" si="12"/>
        <v>44734</v>
      </c>
      <c r="C82" s="17">
        <v>210</v>
      </c>
      <c r="D82" s="17"/>
      <c r="H82" s="17">
        <f t="shared" si="13"/>
        <v>980</v>
      </c>
      <c r="I82" t="s">
        <v>737</v>
      </c>
      <c r="J82" s="48"/>
      <c r="K82" s="17"/>
      <c r="L82" s="49"/>
    </row>
    <row r="83" spans="1:12" x14ac:dyDescent="0.25">
      <c r="A83" s="10">
        <v>33</v>
      </c>
      <c r="B83" s="48">
        <f t="shared" si="12"/>
        <v>44741</v>
      </c>
      <c r="C83" s="17">
        <v>210</v>
      </c>
      <c r="D83" s="17"/>
      <c r="H83" s="17">
        <f t="shared" si="13"/>
        <v>1190</v>
      </c>
      <c r="I83" t="s">
        <v>737</v>
      </c>
      <c r="J83" s="48"/>
      <c r="K83" s="17"/>
      <c r="L83" s="49"/>
    </row>
    <row r="84" spans="1:12" x14ac:dyDescent="0.25">
      <c r="A84" s="10">
        <v>34</v>
      </c>
      <c r="B84" s="48">
        <f t="shared" ref="B84:B91" si="14">B83+7</f>
        <v>44748</v>
      </c>
      <c r="C84" s="17">
        <v>210</v>
      </c>
      <c r="D84" s="17"/>
      <c r="H84" s="17">
        <f t="shared" si="13"/>
        <v>1400</v>
      </c>
      <c r="I84" t="s">
        <v>737</v>
      </c>
      <c r="J84" s="48"/>
      <c r="K84" s="17"/>
      <c r="L84" s="49"/>
    </row>
    <row r="85" spans="1:12" x14ac:dyDescent="0.25">
      <c r="A85" s="10">
        <v>35</v>
      </c>
      <c r="B85" s="48">
        <f t="shared" si="14"/>
        <v>44755</v>
      </c>
      <c r="C85" s="17">
        <v>210</v>
      </c>
      <c r="D85" s="17">
        <v>840</v>
      </c>
      <c r="E85" s="16">
        <v>44757</v>
      </c>
      <c r="F85" t="s">
        <v>117</v>
      </c>
      <c r="G85" s="31" t="s">
        <v>534</v>
      </c>
      <c r="H85" s="17">
        <f t="shared" si="13"/>
        <v>770</v>
      </c>
      <c r="I85" t="s">
        <v>737</v>
      </c>
      <c r="J85" s="48"/>
      <c r="K85" s="17"/>
      <c r="L85" s="49"/>
    </row>
    <row r="86" spans="1:12" x14ac:dyDescent="0.25">
      <c r="A86" s="10">
        <v>36</v>
      </c>
      <c r="B86" s="48">
        <f t="shared" si="14"/>
        <v>44762</v>
      </c>
      <c r="C86" s="17">
        <v>210</v>
      </c>
      <c r="D86" s="17"/>
      <c r="H86" s="17">
        <f t="shared" ref="H86:H92" si="15">IFERROR(IF(F85="Closed account",(IF(F86="Unpaid Rent",(C86),(C86-D86))),(IF(F86="Unpaid Rent",(C86+H85),(C86-D86+H85)))),"")</f>
        <v>980</v>
      </c>
      <c r="I86" t="s">
        <v>737</v>
      </c>
      <c r="J86" s="48"/>
      <c r="K86" s="17"/>
      <c r="L86" s="49"/>
    </row>
    <row r="87" spans="1:12" x14ac:dyDescent="0.25">
      <c r="A87" s="10">
        <v>37</v>
      </c>
      <c r="B87" s="48">
        <f t="shared" si="14"/>
        <v>44769</v>
      </c>
      <c r="C87" s="17">
        <v>210</v>
      </c>
      <c r="D87" s="17"/>
      <c r="H87" s="17">
        <f t="shared" si="15"/>
        <v>1190</v>
      </c>
      <c r="I87" t="s">
        <v>737</v>
      </c>
      <c r="J87" s="48"/>
      <c r="K87" s="17"/>
      <c r="L87" s="49"/>
    </row>
    <row r="88" spans="1:12" x14ac:dyDescent="0.25">
      <c r="A88" s="10">
        <v>38</v>
      </c>
      <c r="B88" s="48">
        <f t="shared" si="14"/>
        <v>44776</v>
      </c>
      <c r="C88" s="17">
        <v>210</v>
      </c>
      <c r="D88" s="17">
        <v>400</v>
      </c>
      <c r="E88" s="16">
        <v>44782</v>
      </c>
      <c r="F88" t="s">
        <v>117</v>
      </c>
      <c r="G88" s="31" t="s">
        <v>534</v>
      </c>
      <c r="H88" s="17">
        <f t="shared" si="15"/>
        <v>1000</v>
      </c>
      <c r="I88" t="s">
        <v>737</v>
      </c>
      <c r="J88" s="48"/>
      <c r="K88" s="17"/>
      <c r="L88" s="49"/>
    </row>
    <row r="89" spans="1:12" x14ac:dyDescent="0.25">
      <c r="A89" s="10">
        <v>39</v>
      </c>
      <c r="B89" s="48">
        <f t="shared" si="14"/>
        <v>44783</v>
      </c>
      <c r="C89" s="17">
        <v>210</v>
      </c>
      <c r="D89" s="17"/>
      <c r="E89" s="16"/>
      <c r="H89" s="17">
        <f t="shared" si="15"/>
        <v>1210</v>
      </c>
      <c r="I89" t="s">
        <v>737</v>
      </c>
      <c r="J89" s="48"/>
      <c r="K89" s="17"/>
      <c r="L89" s="49"/>
    </row>
    <row r="90" spans="1:12" x14ac:dyDescent="0.25">
      <c r="A90" s="10">
        <v>40</v>
      </c>
      <c r="B90" s="48">
        <f t="shared" si="14"/>
        <v>44790</v>
      </c>
      <c r="C90" s="17">
        <v>210</v>
      </c>
      <c r="D90" s="17"/>
      <c r="E90" s="16"/>
      <c r="H90" s="17">
        <f t="shared" si="15"/>
        <v>1420</v>
      </c>
      <c r="I90" t="s">
        <v>737</v>
      </c>
      <c r="J90" s="48"/>
      <c r="K90" s="17"/>
      <c r="L90" s="49"/>
    </row>
    <row r="91" spans="1:12" x14ac:dyDescent="0.25">
      <c r="A91" s="10">
        <v>41</v>
      </c>
      <c r="B91" s="48">
        <f t="shared" si="14"/>
        <v>44797</v>
      </c>
      <c r="C91" s="17">
        <v>210</v>
      </c>
      <c r="D91" s="17">
        <v>800</v>
      </c>
      <c r="E91" s="16">
        <v>44805</v>
      </c>
      <c r="F91" t="s">
        <v>117</v>
      </c>
      <c r="H91" s="17">
        <f t="shared" si="15"/>
        <v>830</v>
      </c>
      <c r="I91" t="s">
        <v>737</v>
      </c>
      <c r="J91" s="48"/>
      <c r="K91" s="17"/>
      <c r="L91" s="49"/>
    </row>
    <row r="92" spans="1:12" x14ac:dyDescent="0.25">
      <c r="A92" s="10">
        <v>42</v>
      </c>
      <c r="B92" s="48">
        <f>B91+7</f>
        <v>44804</v>
      </c>
      <c r="C92" s="17">
        <v>210</v>
      </c>
      <c r="D92" s="17"/>
      <c r="E92" s="16"/>
      <c r="H92" s="17">
        <f t="shared" si="15"/>
        <v>1040</v>
      </c>
      <c r="I92" t="s">
        <v>737</v>
      </c>
      <c r="J92" s="48"/>
      <c r="K92" s="17"/>
      <c r="L92" s="49"/>
    </row>
    <row r="93" spans="1:12" x14ac:dyDescent="0.25">
      <c r="A93" s="10">
        <v>43</v>
      </c>
      <c r="B93" s="48">
        <f t="shared" ref="B93:B104" si="16">B92+7</f>
        <v>44811</v>
      </c>
      <c r="C93" s="17">
        <v>210</v>
      </c>
      <c r="E93" s="16"/>
      <c r="H93" s="17">
        <f t="shared" ref="H93:H104" si="17">IFERROR(IF(F92="Closed account",(IF(F93="Unpaid Rent",(C93),(C93-D93))),(IF(F93="Unpaid Rent",(C93+H92),(C93-D93+H92)))),"")</f>
        <v>1250</v>
      </c>
      <c r="I93" t="s">
        <v>737</v>
      </c>
      <c r="J93" s="48"/>
      <c r="K93" s="17"/>
      <c r="L93" s="49"/>
    </row>
    <row r="94" spans="1:12" x14ac:dyDescent="0.25">
      <c r="A94" s="10">
        <v>44</v>
      </c>
      <c r="B94" s="48">
        <f t="shared" si="16"/>
        <v>44818</v>
      </c>
      <c r="C94" s="17">
        <v>210</v>
      </c>
      <c r="H94" s="17">
        <f t="shared" si="17"/>
        <v>1460</v>
      </c>
      <c r="I94" t="s">
        <v>737</v>
      </c>
      <c r="J94" s="48"/>
      <c r="K94" s="17"/>
      <c r="L94" s="49"/>
    </row>
    <row r="95" spans="1:12" x14ac:dyDescent="0.25">
      <c r="A95" s="10">
        <v>45</v>
      </c>
      <c r="B95" s="48">
        <f t="shared" si="16"/>
        <v>44825</v>
      </c>
      <c r="C95" s="17">
        <v>210</v>
      </c>
      <c r="G95" s="31" t="s">
        <v>557</v>
      </c>
      <c r="H95" s="17">
        <f t="shared" si="17"/>
        <v>1670</v>
      </c>
      <c r="I95" t="s">
        <v>737</v>
      </c>
      <c r="J95" s="48"/>
      <c r="K95" s="17"/>
      <c r="L95" s="49"/>
    </row>
    <row r="96" spans="1:12" x14ac:dyDescent="0.25">
      <c r="A96" s="10">
        <v>46</v>
      </c>
      <c r="B96" s="48">
        <f t="shared" si="16"/>
        <v>44832</v>
      </c>
      <c r="C96" s="17">
        <v>210</v>
      </c>
      <c r="H96" s="17">
        <f t="shared" si="17"/>
        <v>1880</v>
      </c>
      <c r="I96" t="s">
        <v>737</v>
      </c>
      <c r="J96" s="48"/>
      <c r="K96" s="17"/>
      <c r="L96" s="49"/>
    </row>
    <row r="97" spans="1:12" x14ac:dyDescent="0.25">
      <c r="A97" s="10">
        <v>47</v>
      </c>
      <c r="B97" s="48">
        <f t="shared" si="16"/>
        <v>44839</v>
      </c>
      <c r="C97" s="17">
        <v>210</v>
      </c>
      <c r="H97" s="17">
        <f t="shared" si="17"/>
        <v>2090</v>
      </c>
      <c r="I97" t="s">
        <v>737</v>
      </c>
      <c r="J97" s="48"/>
      <c r="K97" s="17"/>
      <c r="L97" s="49"/>
    </row>
    <row r="98" spans="1:12" x14ac:dyDescent="0.25">
      <c r="A98" s="10">
        <v>48</v>
      </c>
      <c r="B98" s="48">
        <f t="shared" si="16"/>
        <v>44846</v>
      </c>
      <c r="C98" s="17">
        <v>210</v>
      </c>
      <c r="H98" s="17">
        <f t="shared" si="17"/>
        <v>2300</v>
      </c>
      <c r="I98" t="s">
        <v>737</v>
      </c>
      <c r="J98" s="48"/>
      <c r="K98" s="17"/>
      <c r="L98" s="49"/>
    </row>
    <row r="99" spans="1:12" x14ac:dyDescent="0.25">
      <c r="A99" s="10">
        <v>49</v>
      </c>
      <c r="B99" s="48">
        <f t="shared" si="16"/>
        <v>44853</v>
      </c>
      <c r="C99" s="17">
        <v>210</v>
      </c>
      <c r="D99" s="17">
        <v>1100</v>
      </c>
      <c r="E99" s="16">
        <v>44854</v>
      </c>
      <c r="F99" t="s">
        <v>117</v>
      </c>
      <c r="H99" s="17">
        <f t="shared" si="17"/>
        <v>1410</v>
      </c>
      <c r="I99" t="s">
        <v>737</v>
      </c>
      <c r="J99" s="48"/>
      <c r="K99" s="17"/>
      <c r="L99" s="49"/>
    </row>
    <row r="100" spans="1:12" x14ac:dyDescent="0.25">
      <c r="A100" s="10">
        <v>50</v>
      </c>
      <c r="B100" s="48">
        <f t="shared" si="16"/>
        <v>44860</v>
      </c>
      <c r="C100" s="17">
        <v>210</v>
      </c>
      <c r="D100" s="17"/>
      <c r="H100" s="17">
        <f t="shared" si="17"/>
        <v>1620</v>
      </c>
      <c r="I100" t="s">
        <v>737</v>
      </c>
      <c r="J100" s="48"/>
      <c r="K100" s="17"/>
      <c r="L100" s="49"/>
    </row>
    <row r="101" spans="1:12" x14ac:dyDescent="0.25">
      <c r="A101" s="10">
        <v>51</v>
      </c>
      <c r="B101" s="48">
        <f t="shared" si="16"/>
        <v>44867</v>
      </c>
      <c r="C101" s="17">
        <v>210</v>
      </c>
      <c r="D101" s="17"/>
      <c r="H101" s="17">
        <f t="shared" si="17"/>
        <v>1830</v>
      </c>
      <c r="I101" t="s">
        <v>737</v>
      </c>
      <c r="J101" s="48"/>
      <c r="K101" s="17"/>
      <c r="L101" s="49"/>
    </row>
    <row r="102" spans="1:12" x14ac:dyDescent="0.25">
      <c r="A102" s="10">
        <v>52</v>
      </c>
      <c r="B102" s="48">
        <f t="shared" si="16"/>
        <v>44874</v>
      </c>
      <c r="C102" s="17">
        <v>210</v>
      </c>
      <c r="D102" s="17"/>
      <c r="H102" s="17">
        <f t="shared" si="17"/>
        <v>2040</v>
      </c>
      <c r="I102" t="s">
        <v>737</v>
      </c>
      <c r="J102" s="48"/>
      <c r="K102" s="17"/>
      <c r="L102" s="49"/>
    </row>
    <row r="103" spans="1:12" x14ac:dyDescent="0.25">
      <c r="A103" s="10">
        <v>53</v>
      </c>
      <c r="B103" s="48">
        <f t="shared" si="16"/>
        <v>44881</v>
      </c>
      <c r="C103" s="17">
        <v>210</v>
      </c>
      <c r="D103" s="17"/>
      <c r="H103" s="17">
        <f t="shared" si="17"/>
        <v>2250</v>
      </c>
      <c r="I103" t="s">
        <v>737</v>
      </c>
      <c r="J103" s="48"/>
      <c r="K103" s="17"/>
      <c r="L103" s="49"/>
    </row>
    <row r="104" spans="1:12" x14ac:dyDescent="0.25">
      <c r="A104" s="10">
        <v>54</v>
      </c>
      <c r="B104" s="48">
        <f t="shared" si="16"/>
        <v>44888</v>
      </c>
      <c r="C104" s="17">
        <v>210</v>
      </c>
      <c r="D104" s="17"/>
      <c r="H104" s="17">
        <f t="shared" si="17"/>
        <v>2460</v>
      </c>
      <c r="I104" t="s">
        <v>737</v>
      </c>
      <c r="J104" s="48"/>
      <c r="K104" s="17"/>
      <c r="L104" s="49"/>
    </row>
    <row r="105" spans="1:12" x14ac:dyDescent="0.25">
      <c r="A105" s="10">
        <v>55</v>
      </c>
      <c r="B105" s="48">
        <v>44888</v>
      </c>
      <c r="C105" s="17">
        <v>390</v>
      </c>
      <c r="D105" s="17"/>
      <c r="G105" s="31" t="s">
        <v>620</v>
      </c>
      <c r="H105" s="17">
        <f t="shared" ref="H105:H124" si="18">IFERROR(IF(F104="Closed account",(IF(F105="Unpaid Rent",(C105),(C105-D105))),(IF(F105="Unpaid Rent",(C105+H104),(C105-D105+H104)))),"")</f>
        <v>2850</v>
      </c>
      <c r="I105" t="s">
        <v>737</v>
      </c>
      <c r="J105" s="48"/>
      <c r="K105" s="17"/>
      <c r="L105" s="49"/>
    </row>
    <row r="106" spans="1:12" x14ac:dyDescent="0.25">
      <c r="A106" s="10">
        <v>56</v>
      </c>
      <c r="B106" s="48">
        <v>44888</v>
      </c>
      <c r="C106" s="17">
        <v>452.54</v>
      </c>
      <c r="D106" s="17"/>
      <c r="F106" t="s">
        <v>124</v>
      </c>
      <c r="G106" s="31" t="s">
        <v>206</v>
      </c>
      <c r="H106" s="17">
        <f t="shared" si="18"/>
        <v>3302.54</v>
      </c>
      <c r="I106" t="s">
        <v>737</v>
      </c>
      <c r="J106" s="48"/>
      <c r="K106" s="17"/>
      <c r="L106" s="49"/>
    </row>
    <row r="107" spans="1:12" x14ac:dyDescent="0.25">
      <c r="A107" s="10">
        <v>1</v>
      </c>
      <c r="B107" s="48">
        <v>44954</v>
      </c>
      <c r="C107" s="17">
        <v>400</v>
      </c>
      <c r="D107" s="17">
        <v>400</v>
      </c>
      <c r="E107" s="16">
        <v>44954</v>
      </c>
      <c r="F107" t="s">
        <v>117</v>
      </c>
      <c r="H107" s="17">
        <f t="shared" si="18"/>
        <v>0</v>
      </c>
      <c r="I107" t="s">
        <v>992</v>
      </c>
      <c r="J107" s="48"/>
      <c r="K107" s="17"/>
      <c r="L107" s="49"/>
    </row>
    <row r="108" spans="1:12" x14ac:dyDescent="0.25">
      <c r="A108" s="10">
        <v>1</v>
      </c>
      <c r="B108" s="48">
        <v>44954</v>
      </c>
      <c r="C108" s="17">
        <v>90</v>
      </c>
      <c r="D108" s="17">
        <v>320</v>
      </c>
      <c r="E108" s="16">
        <v>44954</v>
      </c>
      <c r="F108" t="s">
        <v>117</v>
      </c>
      <c r="H108" s="17">
        <f t="shared" si="18"/>
        <v>-230</v>
      </c>
      <c r="I108" t="s">
        <v>992</v>
      </c>
      <c r="J108" s="48"/>
      <c r="K108" s="17"/>
      <c r="L108" s="49"/>
    </row>
    <row r="109" spans="1:12" x14ac:dyDescent="0.25">
      <c r="A109" s="10">
        <v>2</v>
      </c>
      <c r="B109" s="48">
        <v>44959</v>
      </c>
      <c r="C109" s="17">
        <v>230</v>
      </c>
      <c r="D109" s="17"/>
      <c r="E109" s="16"/>
      <c r="H109" s="17">
        <f t="shared" si="18"/>
        <v>0</v>
      </c>
      <c r="I109" t="s">
        <v>992</v>
      </c>
      <c r="J109" s="48"/>
      <c r="K109" s="17"/>
      <c r="L109" s="49"/>
    </row>
    <row r="110" spans="1:12" x14ac:dyDescent="0.25">
      <c r="A110" s="10">
        <v>3</v>
      </c>
      <c r="B110" s="48">
        <f>B109+7</f>
        <v>44966</v>
      </c>
      <c r="C110" s="17">
        <v>230</v>
      </c>
      <c r="D110" s="17">
        <v>230</v>
      </c>
      <c r="E110" s="16">
        <v>44967</v>
      </c>
      <c r="F110" t="s">
        <v>117</v>
      </c>
      <c r="H110" s="17">
        <f t="shared" si="18"/>
        <v>0</v>
      </c>
      <c r="I110" t="s">
        <v>992</v>
      </c>
      <c r="J110" s="48"/>
      <c r="K110" s="17"/>
      <c r="L110" s="49"/>
    </row>
    <row r="111" spans="1:12" x14ac:dyDescent="0.25">
      <c r="A111" s="10">
        <v>4</v>
      </c>
      <c r="B111" s="48">
        <f>B110+7</f>
        <v>44973</v>
      </c>
      <c r="C111" s="17">
        <v>230</v>
      </c>
      <c r="D111" s="17">
        <v>230</v>
      </c>
      <c r="E111" s="16">
        <v>44976</v>
      </c>
      <c r="F111" t="s">
        <v>117</v>
      </c>
      <c r="H111" s="17">
        <f t="shared" si="18"/>
        <v>0</v>
      </c>
      <c r="I111" t="s">
        <v>992</v>
      </c>
      <c r="J111" s="48"/>
      <c r="K111" s="17"/>
      <c r="L111" s="49"/>
    </row>
    <row r="112" spans="1:12" x14ac:dyDescent="0.25">
      <c r="A112" s="10">
        <v>5</v>
      </c>
      <c r="B112" s="48">
        <f>B111+7</f>
        <v>44980</v>
      </c>
      <c r="C112" s="17">
        <v>230</v>
      </c>
      <c r="D112" s="17">
        <v>230</v>
      </c>
      <c r="E112" s="16">
        <v>44984</v>
      </c>
      <c r="F112" t="s">
        <v>117</v>
      </c>
      <c r="H112" s="17">
        <f t="shared" si="18"/>
        <v>0</v>
      </c>
      <c r="I112" t="s">
        <v>992</v>
      </c>
      <c r="J112" s="48"/>
      <c r="K112" s="17"/>
      <c r="L112" s="49"/>
    </row>
    <row r="113" spans="1:12" x14ac:dyDescent="0.25">
      <c r="A113" s="10">
        <v>6</v>
      </c>
      <c r="B113" s="48">
        <f>B112+7</f>
        <v>44987</v>
      </c>
      <c r="C113" s="17">
        <v>230</v>
      </c>
      <c r="D113" s="17">
        <v>230</v>
      </c>
      <c r="E113" s="16">
        <v>44988</v>
      </c>
      <c r="F113" t="s">
        <v>117</v>
      </c>
      <c r="H113" s="17">
        <f t="shared" si="18"/>
        <v>0</v>
      </c>
      <c r="I113" t="s">
        <v>992</v>
      </c>
      <c r="J113" s="48"/>
      <c r="K113" s="17"/>
      <c r="L113" s="49"/>
    </row>
    <row r="114" spans="1:12" x14ac:dyDescent="0.25">
      <c r="A114" s="10">
        <v>7</v>
      </c>
      <c r="B114" s="48">
        <f>B113+7</f>
        <v>44994</v>
      </c>
      <c r="C114" s="17">
        <v>230</v>
      </c>
      <c r="D114" s="17">
        <v>230</v>
      </c>
      <c r="E114" s="16">
        <v>44997</v>
      </c>
      <c r="F114" t="s">
        <v>117</v>
      </c>
      <c r="H114" s="17">
        <f t="shared" si="18"/>
        <v>0</v>
      </c>
      <c r="I114" t="s">
        <v>992</v>
      </c>
      <c r="J114" s="48"/>
      <c r="K114" s="17"/>
      <c r="L114" s="49"/>
    </row>
    <row r="115" spans="1:12" x14ac:dyDescent="0.25">
      <c r="A115" s="10">
        <v>8</v>
      </c>
      <c r="B115" s="48">
        <f t="shared" ref="B115:B120" si="19">B114+7</f>
        <v>45001</v>
      </c>
      <c r="C115" s="17">
        <v>230</v>
      </c>
      <c r="D115" s="17">
        <v>230</v>
      </c>
      <c r="E115" s="16">
        <v>45002</v>
      </c>
      <c r="F115" t="s">
        <v>117</v>
      </c>
      <c r="H115" s="17">
        <f t="shared" si="18"/>
        <v>0</v>
      </c>
      <c r="I115" t="s">
        <v>992</v>
      </c>
      <c r="J115" s="48"/>
      <c r="K115" s="17"/>
      <c r="L115" s="49"/>
    </row>
    <row r="116" spans="1:12" x14ac:dyDescent="0.25">
      <c r="A116" s="10">
        <v>9</v>
      </c>
      <c r="B116" s="48">
        <f t="shared" si="19"/>
        <v>45008</v>
      </c>
      <c r="C116" s="17">
        <v>220</v>
      </c>
      <c r="D116" s="17">
        <v>220</v>
      </c>
      <c r="E116" s="16">
        <v>45009</v>
      </c>
      <c r="F116" t="s">
        <v>117</v>
      </c>
      <c r="H116" s="17">
        <f t="shared" si="18"/>
        <v>0</v>
      </c>
      <c r="I116" t="s">
        <v>992</v>
      </c>
      <c r="J116" s="48"/>
      <c r="K116" s="17"/>
      <c r="L116" s="49"/>
    </row>
    <row r="117" spans="1:12" x14ac:dyDescent="0.25">
      <c r="A117" s="10">
        <v>10</v>
      </c>
      <c r="B117" s="48">
        <f t="shared" si="19"/>
        <v>45015</v>
      </c>
      <c r="C117" s="17">
        <v>220</v>
      </c>
      <c r="D117" s="17">
        <v>220</v>
      </c>
      <c r="E117" s="16">
        <v>45017</v>
      </c>
      <c r="F117" t="s">
        <v>117</v>
      </c>
      <c r="H117" s="17">
        <f t="shared" si="18"/>
        <v>0</v>
      </c>
      <c r="I117" t="s">
        <v>992</v>
      </c>
      <c r="J117" s="48"/>
      <c r="K117" s="17"/>
      <c r="L117" s="49"/>
    </row>
    <row r="118" spans="1:12" x14ac:dyDescent="0.25">
      <c r="A118" s="10">
        <v>11</v>
      </c>
      <c r="B118" s="48">
        <f t="shared" si="19"/>
        <v>45022</v>
      </c>
      <c r="C118" s="17">
        <v>220</v>
      </c>
      <c r="D118" s="17">
        <v>220</v>
      </c>
      <c r="E118" s="16">
        <v>45022</v>
      </c>
      <c r="F118" t="s">
        <v>117</v>
      </c>
      <c r="H118" s="17">
        <f t="shared" si="18"/>
        <v>0</v>
      </c>
      <c r="I118" t="s">
        <v>992</v>
      </c>
      <c r="J118" s="48"/>
      <c r="K118" s="17"/>
      <c r="L118" s="49"/>
    </row>
    <row r="119" spans="1:12" x14ac:dyDescent="0.25">
      <c r="A119" s="10">
        <v>12</v>
      </c>
      <c r="B119" s="48">
        <f t="shared" si="19"/>
        <v>45029</v>
      </c>
      <c r="C119" s="17">
        <v>220</v>
      </c>
      <c r="D119" s="17">
        <v>220</v>
      </c>
      <c r="E119" s="16">
        <v>45029</v>
      </c>
      <c r="F119" t="s">
        <v>117</v>
      </c>
      <c r="H119" s="17">
        <f t="shared" si="18"/>
        <v>0</v>
      </c>
      <c r="I119" t="s">
        <v>992</v>
      </c>
      <c r="J119" s="48"/>
      <c r="K119" s="17"/>
      <c r="L119" s="49"/>
    </row>
    <row r="120" spans="1:12" x14ac:dyDescent="0.25">
      <c r="A120" s="10">
        <v>13</v>
      </c>
      <c r="B120" s="48">
        <f t="shared" si="19"/>
        <v>45036</v>
      </c>
      <c r="C120" s="17">
        <v>210</v>
      </c>
      <c r="D120" s="17">
        <v>210</v>
      </c>
      <c r="E120" s="16">
        <v>45037</v>
      </c>
      <c r="F120" t="s">
        <v>117</v>
      </c>
      <c r="H120" s="17">
        <f t="shared" si="18"/>
        <v>0</v>
      </c>
      <c r="I120" t="s">
        <v>992</v>
      </c>
      <c r="J120" s="48"/>
      <c r="K120" s="17"/>
      <c r="L120" s="49"/>
    </row>
    <row r="121" spans="1:12" x14ac:dyDescent="0.25">
      <c r="A121" s="10">
        <v>14</v>
      </c>
      <c r="B121" s="48">
        <f>B120+7</f>
        <v>45043</v>
      </c>
      <c r="C121" s="17">
        <v>210</v>
      </c>
      <c r="D121" s="17">
        <v>210</v>
      </c>
      <c r="E121" s="16">
        <v>45045</v>
      </c>
      <c r="F121" t="s">
        <v>117</v>
      </c>
      <c r="H121" s="17">
        <f t="shared" si="18"/>
        <v>0</v>
      </c>
      <c r="I121" t="s">
        <v>992</v>
      </c>
      <c r="J121" s="48"/>
      <c r="K121" s="17"/>
      <c r="L121" s="49"/>
    </row>
    <row r="122" spans="1:12" x14ac:dyDescent="0.25">
      <c r="A122" s="10">
        <v>15</v>
      </c>
      <c r="B122" s="48">
        <f>B121+7</f>
        <v>45050</v>
      </c>
      <c r="C122" s="17">
        <v>210</v>
      </c>
      <c r="D122" s="17">
        <v>210</v>
      </c>
      <c r="E122" s="16">
        <v>45053</v>
      </c>
      <c r="F122" t="s">
        <v>117</v>
      </c>
      <c r="H122" s="17">
        <f t="shared" si="18"/>
        <v>0</v>
      </c>
      <c r="I122" t="s">
        <v>992</v>
      </c>
      <c r="J122" s="48"/>
      <c r="K122" s="17"/>
      <c r="L122" s="49"/>
    </row>
    <row r="123" spans="1:12" x14ac:dyDescent="0.25">
      <c r="A123" s="10">
        <v>16</v>
      </c>
      <c r="B123" s="48">
        <f>B122+7</f>
        <v>45057</v>
      </c>
      <c r="C123" s="17">
        <v>210</v>
      </c>
      <c r="D123" s="17">
        <v>210</v>
      </c>
      <c r="E123" s="16">
        <v>45060</v>
      </c>
      <c r="F123" t="s">
        <v>117</v>
      </c>
      <c r="H123" s="17">
        <f t="shared" si="18"/>
        <v>0</v>
      </c>
      <c r="I123" t="s">
        <v>992</v>
      </c>
      <c r="J123" s="48"/>
      <c r="K123" s="17"/>
      <c r="L123" s="49"/>
    </row>
    <row r="124" spans="1:12" x14ac:dyDescent="0.25">
      <c r="A124" s="10">
        <v>17</v>
      </c>
      <c r="B124" s="48">
        <f>B123+7</f>
        <v>45064</v>
      </c>
      <c r="C124" s="17">
        <v>210</v>
      </c>
      <c r="D124" s="17">
        <v>210</v>
      </c>
      <c r="E124" s="16">
        <v>45067</v>
      </c>
      <c r="F124" t="s">
        <v>117</v>
      </c>
      <c r="H124" s="17">
        <f t="shared" si="18"/>
        <v>0</v>
      </c>
      <c r="I124" t="s">
        <v>992</v>
      </c>
      <c r="J124" s="48"/>
      <c r="K124" s="17"/>
      <c r="L124" s="49"/>
    </row>
    <row r="125" spans="1:12" x14ac:dyDescent="0.25">
      <c r="B125" s="50"/>
      <c r="J125" s="48"/>
      <c r="K125" s="17"/>
      <c r="L125" s="49"/>
    </row>
    <row r="126" spans="1:12" x14ac:dyDescent="0.25">
      <c r="B126" s="50"/>
      <c r="J126" s="48"/>
      <c r="K126" s="17"/>
      <c r="L126" s="49"/>
    </row>
    <row r="127" spans="1:12" x14ac:dyDescent="0.25">
      <c r="B127" s="50"/>
      <c r="J127" s="48"/>
      <c r="K127" s="17"/>
      <c r="L127" s="49"/>
    </row>
    <row r="128" spans="1:12" x14ac:dyDescent="0.25">
      <c r="B128" s="50"/>
      <c r="J128" s="48"/>
      <c r="K128" s="17"/>
      <c r="L128" s="49"/>
    </row>
    <row r="129" spans="1:12" x14ac:dyDescent="0.25">
      <c r="B129" s="50"/>
      <c r="J129" s="48"/>
      <c r="K129" s="17"/>
      <c r="L129" s="49"/>
    </row>
    <row r="130" spans="1:12" x14ac:dyDescent="0.25">
      <c r="B130" s="50"/>
      <c r="J130" s="48"/>
      <c r="K130" s="17"/>
      <c r="L130" s="49"/>
    </row>
    <row r="131" spans="1:12" x14ac:dyDescent="0.25">
      <c r="B131" s="50"/>
      <c r="J131" s="48"/>
      <c r="K131" s="17"/>
      <c r="L131" s="49"/>
    </row>
    <row r="132" spans="1:12" x14ac:dyDescent="0.25">
      <c r="B132" s="50"/>
      <c r="J132" s="48"/>
      <c r="K132" s="17"/>
      <c r="L132" s="49"/>
    </row>
    <row r="133" spans="1:12" x14ac:dyDescent="0.25">
      <c r="B133" s="50"/>
      <c r="J133" s="48"/>
      <c r="K133" s="17"/>
      <c r="L133" s="49"/>
    </row>
    <row r="134" spans="1:12" x14ac:dyDescent="0.25">
      <c r="B134" s="50"/>
      <c r="J134" s="48"/>
      <c r="K134" s="17"/>
      <c r="L134" s="49"/>
    </row>
    <row r="135" spans="1:12" x14ac:dyDescent="0.25">
      <c r="B135" s="50"/>
      <c r="J135" s="48"/>
      <c r="K135" s="17"/>
      <c r="L135" s="49"/>
    </row>
    <row r="136" spans="1:12" x14ac:dyDescent="0.25">
      <c r="A136" s="10" t="s">
        <v>18</v>
      </c>
      <c r="B136" s="50" t="str">
        <f>IF($A136&lt;&gt;"",IF(_term=26,IF(A136=1,first_payment,B135+14),IF(_term=52,IF(A136=1,first_payment,B135+7),DATE(YEAR(first_payment),MONTH(first_payment)+(A136-1)*per_year,IF(_term=24,IF(1-MOD(A136,2)=1,DAY(first_payment)+14,DAY(first_payment)),DAY(first_payment))))),"")</f>
        <v/>
      </c>
      <c r="H136" t="str">
        <f>IF($A136&lt;&gt;"",$H135-$D136,"")</f>
        <v/>
      </c>
      <c r="J136" s="48"/>
      <c r="K136" s="17"/>
      <c r="L136" s="49"/>
    </row>
    <row r="137" spans="1:12" x14ac:dyDescent="0.25">
      <c r="A137" s="10" t="s">
        <v>18</v>
      </c>
      <c r="B137" s="50" t="str">
        <f>IF($A137&lt;&gt;"",IF(_term=26,IF(A137=1,first_payment,B136+14),IF(_term=52,IF(A137=1,first_payment,B136+7),DATE(YEAR(first_payment),MONTH(first_payment)+(A137-1)*per_year,IF(_term=24,IF(1-MOD(A137,2)=1,DAY(first_payment)+14,DAY(first_payment)),DAY(first_payment))))),"")</f>
        <v/>
      </c>
      <c r="H137" t="str">
        <f>IF($A137&lt;&gt;"",$H136-$D137,"")</f>
        <v/>
      </c>
      <c r="J137" s="48"/>
      <c r="K137" s="17"/>
      <c r="L137" s="49"/>
    </row>
    <row r="138" spans="1:12" x14ac:dyDescent="0.25">
      <c r="A138" s="10" t="s">
        <v>18</v>
      </c>
      <c r="B138" s="50" t="str">
        <f>IF($A138&lt;&gt;"",IF(_term=26,IF(A138=1,first_payment,B137+14),IF(_term=52,IF(A138=1,first_payment,B137+7),DATE(YEAR(first_payment),MONTH(first_payment)+(A138-1)*per_year,IF(_term=24,IF(1-MOD(A138,2)=1,DAY(first_payment)+14,DAY(first_payment)),DAY(first_payment))))),"")</f>
        <v/>
      </c>
      <c r="H138" t="str">
        <f>IF($A138&lt;&gt;"",$H137-$D138,"")</f>
        <v/>
      </c>
      <c r="J138" s="48"/>
      <c r="K138" s="17"/>
      <c r="L138" s="49"/>
    </row>
    <row r="139" spans="1:12" x14ac:dyDescent="0.25">
      <c r="A139" s="10" t="s">
        <v>18</v>
      </c>
      <c r="B139" s="50" t="str">
        <f>IF($A139&lt;&gt;"",IF(_term=26,IF(A139=1,first_payment,B138+14),IF(_term=52,IF(A139=1,first_payment,B138+7),DATE(YEAR(first_payment),MONTH(first_payment)+(A139-1)*per_year,IF(_term=24,IF(1-MOD(A139,2)=1,DAY(first_payment)+14,DAY(first_payment)),DAY(first_payment))))),"")</f>
        <v/>
      </c>
      <c r="H139" t="str">
        <f>IF($A139&lt;&gt;"",$H138-$D139,"")</f>
        <v/>
      </c>
      <c r="J139" s="48"/>
      <c r="K139" s="17"/>
      <c r="L139" s="49"/>
    </row>
    <row r="140" spans="1:12" ht="15" customHeight="1" x14ac:dyDescent="0.25">
      <c r="J140" s="48"/>
      <c r="K140" s="17"/>
      <c r="L140" s="49"/>
    </row>
    <row r="141" spans="1:12" ht="15" customHeight="1" x14ac:dyDescent="0.25">
      <c r="J141" s="48"/>
      <c r="K141" s="17"/>
      <c r="L141" s="49"/>
    </row>
    <row r="142" spans="1:12" ht="15" customHeight="1" x14ac:dyDescent="0.25">
      <c r="J142" s="48"/>
      <c r="K142" s="17"/>
      <c r="L142" s="49"/>
    </row>
    <row r="143" spans="1:12" ht="15" customHeight="1" x14ac:dyDescent="0.25">
      <c r="J143" s="48"/>
      <c r="K143" s="17"/>
      <c r="L143" s="49"/>
    </row>
    <row r="144" spans="1:12" ht="15" customHeight="1" x14ac:dyDescent="0.25">
      <c r="J144" s="48"/>
      <c r="K144" s="17"/>
      <c r="L144" s="49"/>
    </row>
    <row r="145" spans="10:12" ht="15" customHeight="1" x14ac:dyDescent="0.25">
      <c r="J145" s="48"/>
      <c r="K145" s="17"/>
      <c r="L145" s="49"/>
    </row>
    <row r="146" spans="10:12" ht="15" customHeight="1" x14ac:dyDescent="0.25">
      <c r="J146" s="48"/>
      <c r="K146" s="17"/>
      <c r="L146" s="49"/>
    </row>
    <row r="147" spans="10:12" ht="15" customHeight="1" x14ac:dyDescent="0.25">
      <c r="J147" s="48"/>
      <c r="K147" s="17"/>
      <c r="L147" s="49"/>
    </row>
    <row r="148" spans="10:12" ht="15" customHeight="1" x14ac:dyDescent="0.25">
      <c r="J148" s="48"/>
      <c r="K148" s="17"/>
      <c r="L148" s="49"/>
    </row>
    <row r="149" spans="10:12" ht="15" customHeight="1" x14ac:dyDescent="0.25">
      <c r="J149" s="48"/>
      <c r="K149" s="17"/>
      <c r="L149" s="49"/>
    </row>
    <row r="150" spans="10:12" ht="15" customHeight="1" x14ac:dyDescent="0.25">
      <c r="J150" s="48"/>
      <c r="K150" s="17"/>
      <c r="L150" s="49"/>
    </row>
    <row r="151" spans="10:12" ht="15" customHeight="1" x14ac:dyDescent="0.25">
      <c r="J151" s="48"/>
      <c r="K151" s="17"/>
      <c r="L151" s="49"/>
    </row>
    <row r="152" spans="10:12" ht="15" customHeight="1" x14ac:dyDescent="0.25">
      <c r="J152" s="48"/>
      <c r="K152" s="17"/>
      <c r="L152" s="49"/>
    </row>
    <row r="153" spans="10:12" ht="15" customHeight="1" x14ac:dyDescent="0.25">
      <c r="J153" s="48"/>
      <c r="K153" s="17"/>
      <c r="L153" s="49"/>
    </row>
    <row r="154" spans="10:12" ht="15" customHeight="1" x14ac:dyDescent="0.25">
      <c r="J154" s="48"/>
      <c r="K154" s="17"/>
      <c r="L154" s="49"/>
    </row>
    <row r="155" spans="10:12" ht="15" customHeight="1" x14ac:dyDescent="0.25">
      <c r="J155" s="48"/>
      <c r="K155" s="17"/>
      <c r="L155" s="49"/>
    </row>
    <row r="156" spans="10:12" ht="15" customHeight="1" x14ac:dyDescent="0.25">
      <c r="J156" s="48"/>
      <c r="K156" s="17"/>
      <c r="L156" s="49"/>
    </row>
    <row r="157" spans="10:12" ht="15" customHeight="1" x14ac:dyDescent="0.25">
      <c r="J157" s="48"/>
      <c r="K157" s="17"/>
      <c r="L157" s="49"/>
    </row>
    <row r="158" spans="10:12" ht="15" customHeight="1" x14ac:dyDescent="0.25">
      <c r="J158" s="48"/>
      <c r="K158" s="17"/>
      <c r="L158" s="49"/>
    </row>
    <row r="159" spans="10:12" ht="15" customHeight="1" x14ac:dyDescent="0.25">
      <c r="J159" s="48"/>
      <c r="K159" s="17"/>
      <c r="L159" s="49"/>
    </row>
    <row r="160" spans="10:12" ht="15" customHeight="1" x14ac:dyDescent="0.25">
      <c r="J160" s="48"/>
      <c r="K160" s="17"/>
      <c r="L160" s="49"/>
    </row>
    <row r="161" spans="10:12" ht="15" customHeight="1" x14ac:dyDescent="0.25">
      <c r="J161" s="48"/>
      <c r="K161" s="17"/>
      <c r="L161" s="49"/>
    </row>
    <row r="162" spans="10:12" ht="15" customHeight="1" x14ac:dyDescent="0.25">
      <c r="J162" s="48"/>
      <c r="K162" s="17"/>
      <c r="L162" s="49"/>
    </row>
    <row r="163" spans="10:12" ht="15" customHeight="1" x14ac:dyDescent="0.25">
      <c r="J163" s="48"/>
      <c r="K163" s="17"/>
      <c r="L163" s="49"/>
    </row>
    <row r="164" spans="10:12" ht="15" customHeight="1" x14ac:dyDescent="0.25">
      <c r="J164" s="48"/>
      <c r="K164" s="17"/>
      <c r="L164" s="49"/>
    </row>
    <row r="165" spans="10:12" ht="15" customHeight="1" x14ac:dyDescent="0.25">
      <c r="J165" s="48"/>
      <c r="K165" s="17"/>
      <c r="L165" s="49"/>
    </row>
    <row r="166" spans="10:12" ht="15" customHeight="1" x14ac:dyDescent="0.25">
      <c r="J166" s="48"/>
      <c r="K166" s="17"/>
      <c r="L166" s="49"/>
    </row>
    <row r="167" spans="10:12" ht="15" customHeight="1" x14ac:dyDescent="0.25">
      <c r="J167" s="48"/>
      <c r="K167" s="17"/>
      <c r="L167" s="49"/>
    </row>
    <row r="168" spans="10:12" ht="15" customHeight="1" x14ac:dyDescent="0.25">
      <c r="J168" s="48"/>
      <c r="K168" s="17"/>
      <c r="L168" s="49"/>
    </row>
    <row r="169" spans="10:12" ht="15" customHeight="1" x14ac:dyDescent="0.25">
      <c r="J169" s="48"/>
      <c r="K169" s="17"/>
      <c r="L169" s="49"/>
    </row>
    <row r="170" spans="10:12" ht="15" customHeight="1" x14ac:dyDescent="0.25">
      <c r="J170" s="48"/>
      <c r="K170" s="17"/>
      <c r="L170" s="49"/>
    </row>
    <row r="171" spans="10:12" ht="15" customHeight="1" x14ac:dyDescent="0.25">
      <c r="J171" s="48"/>
      <c r="K171" s="17"/>
      <c r="L171" s="49"/>
    </row>
    <row r="172" spans="10:12" ht="15" customHeight="1" x14ac:dyDescent="0.25">
      <c r="J172" s="48"/>
      <c r="K172" s="17"/>
      <c r="L172" s="49"/>
    </row>
    <row r="173" spans="10:12" ht="15" customHeight="1" x14ac:dyDescent="0.25">
      <c r="J173" s="48"/>
      <c r="K173" s="17"/>
      <c r="L173" s="49"/>
    </row>
    <row r="174" spans="10:12" ht="15" customHeight="1" x14ac:dyDescent="0.25">
      <c r="J174" s="48"/>
      <c r="K174" s="17"/>
      <c r="L174" s="49"/>
    </row>
    <row r="175" spans="10:12" ht="15" customHeight="1" x14ac:dyDescent="0.25">
      <c r="J175" s="48"/>
      <c r="K175" s="17"/>
      <c r="L175" s="49"/>
    </row>
    <row r="176" spans="10:12" ht="15" customHeight="1" x14ac:dyDescent="0.25">
      <c r="J176" s="48"/>
      <c r="K176" s="17"/>
      <c r="L176" s="49"/>
    </row>
    <row r="177" spans="10:12" ht="15" customHeight="1" x14ac:dyDescent="0.25">
      <c r="J177" s="48"/>
      <c r="K177" s="17"/>
      <c r="L177" s="49"/>
    </row>
    <row r="178" spans="10:12" ht="15" customHeight="1" x14ac:dyDescent="0.25">
      <c r="J178" s="48"/>
      <c r="K178" s="17"/>
      <c r="L178" s="49"/>
    </row>
    <row r="179" spans="10:12" ht="15" customHeight="1" x14ac:dyDescent="0.25">
      <c r="J179" s="48"/>
      <c r="K179" s="17"/>
      <c r="L179" s="49"/>
    </row>
    <row r="180" spans="10:12" ht="15" customHeight="1" x14ac:dyDescent="0.25">
      <c r="J180" s="48"/>
      <c r="K180" s="17"/>
      <c r="L180" s="49"/>
    </row>
    <row r="181" spans="10:12" ht="15" customHeight="1" x14ac:dyDescent="0.25">
      <c r="J181" s="48"/>
      <c r="K181" s="17"/>
      <c r="L181" s="49"/>
    </row>
    <row r="182" spans="10:12" ht="15" customHeight="1" x14ac:dyDescent="0.25">
      <c r="J182" s="48"/>
      <c r="K182" s="17"/>
      <c r="L182" s="49"/>
    </row>
    <row r="183" spans="10:12" ht="15" customHeight="1" x14ac:dyDescent="0.25">
      <c r="J183" s="48"/>
      <c r="K183" s="17"/>
      <c r="L183" s="49"/>
    </row>
    <row r="184" spans="10:12" ht="15" customHeight="1" x14ac:dyDescent="0.25">
      <c r="J184" s="48"/>
      <c r="K184" s="17"/>
      <c r="L184" s="49"/>
    </row>
    <row r="185" spans="10:12" ht="15" customHeight="1" x14ac:dyDescent="0.25">
      <c r="J185" s="48"/>
      <c r="K185" s="17"/>
      <c r="L185" s="49"/>
    </row>
    <row r="186" spans="10:12" ht="15" customHeight="1" x14ac:dyDescent="0.25">
      <c r="J186" s="48"/>
      <c r="K186" s="17"/>
      <c r="L186" s="49"/>
    </row>
    <row r="187" spans="10:12" ht="15" customHeight="1" x14ac:dyDescent="0.25">
      <c r="J187" s="48"/>
      <c r="K187" s="17"/>
      <c r="L187" s="49"/>
    </row>
    <row r="188" spans="10:12" ht="15" customHeight="1" x14ac:dyDescent="0.25">
      <c r="J188" s="48"/>
      <c r="K188" s="17"/>
      <c r="L188" s="49"/>
    </row>
    <row r="189" spans="10:12" ht="15" customHeight="1" x14ac:dyDescent="0.25">
      <c r="J189" s="48"/>
      <c r="K189" s="17"/>
      <c r="L189" s="49"/>
    </row>
    <row r="190" spans="10:12" ht="15" customHeight="1" x14ac:dyDescent="0.25">
      <c r="J190" s="48"/>
      <c r="K190" s="17"/>
      <c r="L190" s="49"/>
    </row>
    <row r="191" spans="10:12" ht="15" customHeight="1" x14ac:dyDescent="0.25">
      <c r="J191" s="48"/>
      <c r="K191" s="17"/>
      <c r="L191" s="49"/>
    </row>
    <row r="192" spans="10:12" ht="15" customHeight="1" x14ac:dyDescent="0.25">
      <c r="J192" s="48"/>
      <c r="K192" s="17"/>
      <c r="L192" s="49"/>
    </row>
    <row r="193" spans="10:12" ht="15" customHeight="1" x14ac:dyDescent="0.25">
      <c r="J193" s="48"/>
      <c r="K193" s="17"/>
      <c r="L193" s="49"/>
    </row>
    <row r="194" spans="10:12" ht="15" customHeight="1" x14ac:dyDescent="0.25">
      <c r="J194" s="48"/>
      <c r="K194" s="17"/>
      <c r="L194" s="49"/>
    </row>
    <row r="195" spans="10:12" ht="15" customHeight="1" x14ac:dyDescent="0.25">
      <c r="J195" s="48"/>
      <c r="K195" s="17"/>
      <c r="L195" s="49"/>
    </row>
    <row r="196" spans="10:12" ht="15" customHeight="1" x14ac:dyDescent="0.25">
      <c r="J196" s="48"/>
      <c r="K196" s="17"/>
      <c r="L196" s="49"/>
    </row>
    <row r="197" spans="10:12" ht="15" customHeight="1" x14ac:dyDescent="0.25">
      <c r="J197" s="48"/>
      <c r="K197" s="17"/>
      <c r="L197" s="49"/>
    </row>
    <row r="198" spans="10:12" ht="15" customHeight="1" x14ac:dyDescent="0.25">
      <c r="J198" s="48"/>
      <c r="K198" s="17"/>
      <c r="L198" s="49"/>
    </row>
    <row r="199" spans="10:12" ht="15" customHeight="1" x14ac:dyDescent="0.25">
      <c r="J199" s="48"/>
      <c r="K199" s="17"/>
      <c r="L199" s="49"/>
    </row>
    <row r="200" spans="10:12" ht="15" customHeight="1" x14ac:dyDescent="0.25">
      <c r="J200" s="48"/>
      <c r="K200" s="17"/>
      <c r="L200" s="49"/>
    </row>
    <row r="201" spans="10:12" ht="15" customHeight="1" x14ac:dyDescent="0.25">
      <c r="J201" s="48"/>
      <c r="K201" s="17"/>
      <c r="L201" s="49"/>
    </row>
    <row r="202" spans="10:12" ht="15" customHeight="1" x14ac:dyDescent="0.25">
      <c r="J202" s="48"/>
      <c r="K202" s="17"/>
      <c r="L202" s="49"/>
    </row>
    <row r="203" spans="10:12" ht="15" customHeight="1" x14ac:dyDescent="0.25">
      <c r="J203" s="48"/>
      <c r="K203" s="17"/>
      <c r="L203" s="49"/>
    </row>
    <row r="204" spans="10:12" ht="15" customHeight="1" x14ac:dyDescent="0.25">
      <c r="J204" s="48"/>
      <c r="K204" s="17"/>
      <c r="L204" s="49"/>
    </row>
    <row r="205" spans="10:12" ht="15" customHeight="1" x14ac:dyDescent="0.25">
      <c r="J205" s="48"/>
      <c r="K205" s="17"/>
      <c r="L205" s="49"/>
    </row>
    <row r="206" spans="10:12" ht="15" customHeight="1" x14ac:dyDescent="0.25">
      <c r="J206" s="48"/>
      <c r="K206" s="17"/>
      <c r="L206" s="49"/>
    </row>
    <row r="207" spans="10:12" ht="15" customHeight="1" x14ac:dyDescent="0.25">
      <c r="J207" s="48"/>
      <c r="K207" s="17"/>
      <c r="L207" s="49"/>
    </row>
    <row r="208" spans="10:12" ht="15" customHeight="1" x14ac:dyDescent="0.25">
      <c r="J208" s="48"/>
      <c r="K208" s="17"/>
      <c r="L208" s="49"/>
    </row>
    <row r="209" spans="10:12" ht="15" customHeight="1" x14ac:dyDescent="0.25">
      <c r="J209" s="48"/>
      <c r="K209" s="17"/>
      <c r="L209" s="49"/>
    </row>
    <row r="210" spans="10:12" ht="15" customHeight="1" x14ac:dyDescent="0.25">
      <c r="J210" s="48"/>
      <c r="K210" s="17"/>
      <c r="L210" s="49"/>
    </row>
    <row r="211" spans="10:12" ht="15" customHeight="1" x14ac:dyDescent="0.25">
      <c r="J211" s="48"/>
      <c r="K211" s="17"/>
      <c r="L211" s="49"/>
    </row>
    <row r="212" spans="10:12" ht="15" customHeight="1" x14ac:dyDescent="0.25">
      <c r="J212" s="48"/>
      <c r="K212" s="17"/>
      <c r="L212" s="49"/>
    </row>
    <row r="213" spans="10:12" ht="15" customHeight="1" x14ac:dyDescent="0.25">
      <c r="J213" s="48"/>
      <c r="K213" s="17"/>
      <c r="L213" s="49"/>
    </row>
    <row r="214" spans="10:12" ht="15" customHeight="1" x14ac:dyDescent="0.25">
      <c r="J214" s="48"/>
      <c r="K214" s="17"/>
      <c r="L214" s="49"/>
    </row>
    <row r="215" spans="10:12" ht="15" customHeight="1" x14ac:dyDescent="0.25">
      <c r="J215" s="48"/>
      <c r="K215" s="17"/>
      <c r="L215" s="49"/>
    </row>
    <row r="216" spans="10:12" ht="15" customHeight="1" x14ac:dyDescent="0.25">
      <c r="J216" s="48"/>
      <c r="K216" s="17"/>
      <c r="L216" s="49"/>
    </row>
    <row r="217" spans="10:12" ht="15" customHeight="1" x14ac:dyDescent="0.25">
      <c r="J217" s="48"/>
      <c r="K217" s="17"/>
      <c r="L217" s="49"/>
    </row>
    <row r="218" spans="10:12" ht="15" customHeight="1" x14ac:dyDescent="0.25">
      <c r="J218" s="48"/>
      <c r="K218" s="17"/>
      <c r="L218" s="49"/>
    </row>
    <row r="219" spans="10:12" ht="15" customHeight="1" x14ac:dyDescent="0.25">
      <c r="J219" s="48"/>
      <c r="K219" s="17"/>
      <c r="L219" s="49"/>
    </row>
    <row r="220" spans="10:12" ht="15" customHeight="1" x14ac:dyDescent="0.25">
      <c r="J220" s="48"/>
      <c r="K220" s="17"/>
      <c r="L220" s="49"/>
    </row>
    <row r="221" spans="10:12" ht="15" customHeight="1" x14ac:dyDescent="0.25">
      <c r="J221" s="48"/>
      <c r="K221" s="17"/>
      <c r="L221" s="49"/>
    </row>
    <row r="222" spans="10:12" ht="15" customHeight="1" x14ac:dyDescent="0.25">
      <c r="J222" s="48"/>
      <c r="K222" s="17"/>
      <c r="L222" s="49"/>
    </row>
    <row r="223" spans="10:12" ht="15" customHeight="1" x14ac:dyDescent="0.25">
      <c r="J223" s="48"/>
      <c r="K223" s="17"/>
      <c r="L223" s="49"/>
    </row>
    <row r="224" spans="10:12" ht="15" customHeight="1" x14ac:dyDescent="0.25">
      <c r="J224" s="48"/>
      <c r="K224" s="17"/>
      <c r="L224" s="49"/>
    </row>
    <row r="225" spans="10:12" ht="15" customHeight="1" x14ac:dyDescent="0.25">
      <c r="J225" s="48"/>
      <c r="K225" s="17"/>
      <c r="L225" s="49"/>
    </row>
    <row r="226" spans="10:12" ht="15" customHeight="1" x14ac:dyDescent="0.25">
      <c r="J226" s="48"/>
      <c r="K226" s="17"/>
      <c r="L226" s="49"/>
    </row>
    <row r="227" spans="10:12" ht="15" customHeight="1" x14ac:dyDescent="0.25">
      <c r="J227" s="48"/>
      <c r="K227" s="17"/>
      <c r="L227" s="49"/>
    </row>
    <row r="228" spans="10:12" ht="15" customHeight="1" x14ac:dyDescent="0.25">
      <c r="J228" s="48"/>
      <c r="K228" s="17"/>
      <c r="L228" s="49"/>
    </row>
    <row r="229" spans="10:12" ht="15" customHeight="1" x14ac:dyDescent="0.25">
      <c r="J229" s="48"/>
      <c r="K229" s="17"/>
      <c r="L229" s="49"/>
    </row>
    <row r="230" spans="10:12" ht="15" customHeight="1" x14ac:dyDescent="0.25">
      <c r="J230" s="48"/>
      <c r="K230" s="17"/>
      <c r="L230" s="49"/>
    </row>
    <row r="231" spans="10:12" ht="15" customHeight="1" x14ac:dyDescent="0.25">
      <c r="J231" s="48"/>
      <c r="K231" s="17"/>
      <c r="L231" s="49"/>
    </row>
    <row r="232" spans="10:12" ht="15" customHeight="1" x14ac:dyDescent="0.25">
      <c r="J232" s="48"/>
      <c r="K232" s="17"/>
      <c r="L232" s="49"/>
    </row>
    <row r="233" spans="10:12" ht="15" customHeight="1" x14ac:dyDescent="0.25">
      <c r="J233" s="48"/>
      <c r="K233" s="17"/>
      <c r="L233" s="49"/>
    </row>
    <row r="234" spans="10:12" ht="15" customHeight="1" x14ac:dyDescent="0.25">
      <c r="J234" s="48"/>
      <c r="K234" s="17"/>
      <c r="L234" s="49"/>
    </row>
    <row r="235" spans="10:12" ht="15" customHeight="1" x14ac:dyDescent="0.25">
      <c r="J235" s="48"/>
      <c r="K235" s="17"/>
      <c r="L235" s="49"/>
    </row>
    <row r="236" spans="10:12" ht="15" customHeight="1" x14ac:dyDescent="0.25">
      <c r="J236" s="48"/>
      <c r="K236" s="17"/>
      <c r="L236" s="49"/>
    </row>
    <row r="237" spans="10:12" ht="15" customHeight="1" x14ac:dyDescent="0.25">
      <c r="J237" s="48"/>
      <c r="K237" s="17"/>
      <c r="L237" s="49"/>
    </row>
    <row r="238" spans="10:12" ht="15" customHeight="1" x14ac:dyDescent="0.25">
      <c r="J238" s="48"/>
      <c r="K238" s="17"/>
      <c r="L238" s="49"/>
    </row>
    <row r="239" spans="10:12" ht="15" customHeight="1" x14ac:dyDescent="0.25">
      <c r="J239" s="48"/>
      <c r="K239" s="17"/>
      <c r="L239" s="49"/>
    </row>
    <row r="240" spans="10:12" ht="15" customHeight="1" x14ac:dyDescent="0.25">
      <c r="J240" s="48"/>
      <c r="K240" s="17"/>
      <c r="L240" s="49"/>
    </row>
    <row r="241" spans="10:12" ht="15" customHeight="1" x14ac:dyDescent="0.25">
      <c r="J241" s="48"/>
      <c r="K241" s="17"/>
      <c r="L241" s="49"/>
    </row>
    <row r="242" spans="10:12" ht="15" customHeight="1" x14ac:dyDescent="0.25">
      <c r="J242" s="48"/>
      <c r="K242" s="17"/>
      <c r="L242" s="49"/>
    </row>
    <row r="243" spans="10:12" ht="15" customHeight="1" x14ac:dyDescent="0.25">
      <c r="J243" s="48"/>
      <c r="K243" s="17"/>
      <c r="L243" s="49"/>
    </row>
    <row r="244" spans="10:12" ht="15" customHeight="1" x14ac:dyDescent="0.25">
      <c r="J244" s="48"/>
      <c r="K244" s="17"/>
      <c r="L244" s="49"/>
    </row>
    <row r="245" spans="10:12" ht="15" customHeight="1" x14ac:dyDescent="0.25">
      <c r="J245" s="48"/>
      <c r="K245" s="17"/>
      <c r="L245" s="49"/>
    </row>
    <row r="246" spans="10:12" ht="15" customHeight="1" x14ac:dyDescent="0.25">
      <c r="J246" s="48"/>
      <c r="K246" s="17"/>
      <c r="L246" s="49"/>
    </row>
    <row r="247" spans="10:12" ht="15" customHeight="1" x14ac:dyDescent="0.25">
      <c r="J247" s="48"/>
      <c r="K247" s="17"/>
      <c r="L247" s="49"/>
    </row>
    <row r="248" spans="10:12" ht="15" customHeight="1" x14ac:dyDescent="0.25">
      <c r="J248" s="48"/>
      <c r="K248" s="17"/>
      <c r="L248" s="49"/>
    </row>
    <row r="249" spans="10:12" ht="15" customHeight="1" x14ac:dyDescent="0.25">
      <c r="J249" s="48"/>
      <c r="K249" s="17"/>
      <c r="L249" s="49"/>
    </row>
    <row r="250" spans="10:12" ht="15" customHeight="1" x14ac:dyDescent="0.25">
      <c r="J250" s="48"/>
      <c r="K250" s="17"/>
      <c r="L250" s="49"/>
    </row>
    <row r="251" spans="10:12" ht="15" customHeight="1" x14ac:dyDescent="0.25">
      <c r="J251" s="48"/>
      <c r="K251" s="17"/>
      <c r="L251" s="49"/>
    </row>
    <row r="252" spans="10:12" ht="15" customHeight="1" x14ac:dyDescent="0.25">
      <c r="J252" s="48"/>
      <c r="K252" s="17"/>
      <c r="L252" s="49"/>
    </row>
    <row r="253" spans="10:12" ht="15" customHeight="1" x14ac:dyDescent="0.25">
      <c r="J253" s="48"/>
      <c r="K253" s="17"/>
      <c r="L253" s="49"/>
    </row>
    <row r="254" spans="10:12" ht="15" customHeight="1" x14ac:dyDescent="0.25">
      <c r="J254" s="48"/>
      <c r="K254" s="17"/>
      <c r="L254" s="49"/>
    </row>
    <row r="255" spans="10:12" ht="15" customHeight="1" x14ac:dyDescent="0.25">
      <c r="J255" s="48"/>
      <c r="K255" s="17"/>
      <c r="L255" s="49"/>
    </row>
    <row r="256" spans="10:12" ht="15" customHeight="1" x14ac:dyDescent="0.25">
      <c r="J256" s="48"/>
      <c r="K256" s="17"/>
      <c r="L256" s="49"/>
    </row>
    <row r="257" spans="10:12" ht="15" customHeight="1" x14ac:dyDescent="0.25">
      <c r="J257" s="48"/>
      <c r="K257" s="17"/>
      <c r="L257" s="49"/>
    </row>
    <row r="258" spans="10:12" ht="15" customHeight="1" x14ac:dyDescent="0.25">
      <c r="J258" s="48"/>
      <c r="K258" s="17"/>
      <c r="L258" s="49"/>
    </row>
    <row r="259" spans="10:12" ht="15" customHeight="1" x14ac:dyDescent="0.25">
      <c r="J259" s="48"/>
      <c r="K259" s="17"/>
      <c r="L259" s="49"/>
    </row>
    <row r="260" spans="10:12" ht="15" customHeight="1" x14ac:dyDescent="0.25">
      <c r="J260" s="48"/>
      <c r="K260" s="17"/>
      <c r="L260" s="49"/>
    </row>
    <row r="261" spans="10:12" ht="15" customHeight="1" x14ac:dyDescent="0.25">
      <c r="J261" s="48"/>
      <c r="K261" s="17"/>
      <c r="L261" s="49"/>
    </row>
    <row r="262" spans="10:12" ht="15" customHeight="1" x14ac:dyDescent="0.25">
      <c r="J262" s="48"/>
      <c r="K262" s="17"/>
      <c r="L262" s="49"/>
    </row>
    <row r="263" spans="10:12" ht="15" customHeight="1" x14ac:dyDescent="0.25">
      <c r="J263" s="48"/>
      <c r="K263" s="17"/>
      <c r="L263" s="49"/>
    </row>
    <row r="264" spans="10:12" ht="15" customHeight="1" x14ac:dyDescent="0.25">
      <c r="J264" s="48"/>
      <c r="K264" s="17"/>
      <c r="L264" s="49"/>
    </row>
    <row r="265" spans="10:12" ht="15" customHeight="1" x14ac:dyDescent="0.25">
      <c r="J265" s="48"/>
      <c r="K265" s="17"/>
      <c r="L265" s="49"/>
    </row>
    <row r="266" spans="10:12" ht="15" customHeight="1" x14ac:dyDescent="0.25">
      <c r="J266" s="48"/>
      <c r="K266" s="17"/>
      <c r="L266" s="49"/>
    </row>
    <row r="267" spans="10:12" ht="15" customHeight="1" x14ac:dyDescent="0.25">
      <c r="J267" s="48"/>
      <c r="K267" s="17"/>
      <c r="L267" s="49"/>
    </row>
    <row r="268" spans="10:12" ht="15" customHeight="1" x14ac:dyDescent="0.25">
      <c r="J268" s="48"/>
      <c r="K268" s="17"/>
      <c r="L268" s="49"/>
    </row>
    <row r="269" spans="10:12" ht="15" customHeight="1" x14ac:dyDescent="0.25">
      <c r="J269" s="48"/>
      <c r="K269" s="17"/>
      <c r="L269" s="49"/>
    </row>
    <row r="270" spans="10:12" ht="15" customHeight="1" x14ac:dyDescent="0.25">
      <c r="J270" s="48"/>
      <c r="K270" s="17"/>
      <c r="L270" s="49"/>
    </row>
    <row r="271" spans="10:12" ht="15" customHeight="1" x14ac:dyDescent="0.25">
      <c r="J271" s="48"/>
      <c r="K271" s="17"/>
      <c r="L271" s="49"/>
    </row>
    <row r="272" spans="10:12" ht="15" customHeight="1" x14ac:dyDescent="0.25">
      <c r="J272" s="48"/>
      <c r="K272" s="17"/>
      <c r="L272" s="49"/>
    </row>
    <row r="273" spans="10:12" ht="15" customHeight="1" x14ac:dyDescent="0.25">
      <c r="J273" s="48"/>
      <c r="K273" s="17"/>
      <c r="L273" s="49"/>
    </row>
    <row r="274" spans="10:12" ht="15" customHeight="1" x14ac:dyDescent="0.25">
      <c r="J274" s="48"/>
      <c r="K274" s="17"/>
      <c r="L274" s="49"/>
    </row>
    <row r="275" spans="10:12" ht="15" customHeight="1" x14ac:dyDescent="0.25">
      <c r="J275" s="48"/>
      <c r="K275" s="17"/>
      <c r="L275" s="49"/>
    </row>
    <row r="276" spans="10:12" ht="15" customHeight="1" x14ac:dyDescent="0.25">
      <c r="J276" s="48"/>
      <c r="K276" s="17"/>
      <c r="L276" s="49"/>
    </row>
    <row r="277" spans="10:12" ht="15" customHeight="1" x14ac:dyDescent="0.25">
      <c r="J277" s="48"/>
      <c r="K277" s="17"/>
      <c r="L277" s="49"/>
    </row>
    <row r="278" spans="10:12" ht="15" customHeight="1" x14ac:dyDescent="0.25">
      <c r="J278" s="48"/>
      <c r="K278" s="17"/>
      <c r="L278" s="49"/>
    </row>
    <row r="279" spans="10:12" ht="15" customHeight="1" x14ac:dyDescent="0.25">
      <c r="J279" s="48"/>
      <c r="K279" s="17"/>
      <c r="L279" s="49"/>
    </row>
    <row r="280" spans="10:12" ht="15" customHeight="1" x14ac:dyDescent="0.25">
      <c r="J280" s="48"/>
      <c r="K280" s="17"/>
      <c r="L280" s="49"/>
    </row>
    <row r="281" spans="10:12" ht="15" customHeight="1" x14ac:dyDescent="0.25">
      <c r="J281" s="48"/>
      <c r="K281" s="17"/>
      <c r="L281" s="49"/>
    </row>
    <row r="282" spans="10:12" ht="15" customHeight="1" x14ac:dyDescent="0.25">
      <c r="J282" s="48"/>
      <c r="K282" s="17"/>
      <c r="L282" s="49"/>
    </row>
    <row r="283" spans="10:12" ht="15" customHeight="1" x14ac:dyDescent="0.25">
      <c r="J283" s="48"/>
      <c r="K283" s="17"/>
      <c r="L283" s="49"/>
    </row>
    <row r="284" spans="10:12" ht="15" customHeight="1" x14ac:dyDescent="0.25">
      <c r="J284" s="48"/>
      <c r="K284" s="17"/>
      <c r="L284" s="49"/>
    </row>
    <row r="285" spans="10:12" ht="15" customHeight="1" x14ac:dyDescent="0.25">
      <c r="J285" s="48"/>
      <c r="K285" s="17"/>
      <c r="L285" s="49"/>
    </row>
    <row r="286" spans="10:12" ht="15" customHeight="1" x14ac:dyDescent="0.25">
      <c r="J286" s="48"/>
      <c r="K286" s="17"/>
      <c r="L286" s="49"/>
    </row>
    <row r="287" spans="10:12" ht="15" customHeight="1" x14ac:dyDescent="0.25">
      <c r="J287" s="48"/>
      <c r="K287" s="17"/>
      <c r="L287" s="49"/>
    </row>
    <row r="288" spans="10:12" ht="15" customHeight="1" x14ac:dyDescent="0.25">
      <c r="J288" s="48"/>
      <c r="K288" s="17"/>
      <c r="L288" s="49"/>
    </row>
    <row r="289" spans="10:12" ht="15" customHeight="1" x14ac:dyDescent="0.25">
      <c r="J289" s="48"/>
      <c r="K289" s="17"/>
      <c r="L289" s="49"/>
    </row>
    <row r="290" spans="10:12" ht="15" customHeight="1" x14ac:dyDescent="0.25">
      <c r="J290" s="48"/>
      <c r="K290" s="17"/>
      <c r="L290" s="49"/>
    </row>
    <row r="291" spans="10:12" ht="15" customHeight="1" x14ac:dyDescent="0.25">
      <c r="J291" s="48"/>
      <c r="K291" s="17"/>
      <c r="L291" s="49"/>
    </row>
    <row r="292" spans="10:12" ht="15" customHeight="1" x14ac:dyDescent="0.25">
      <c r="J292" s="48"/>
      <c r="K292" s="17"/>
      <c r="L292" s="49"/>
    </row>
    <row r="293" spans="10:12" ht="15" customHeight="1" x14ac:dyDescent="0.25">
      <c r="J293" s="48"/>
      <c r="K293" s="17"/>
      <c r="L293" s="49"/>
    </row>
    <row r="294" spans="10:12" ht="15" customHeight="1" x14ac:dyDescent="0.25">
      <c r="J294" s="48"/>
      <c r="K294" s="17"/>
      <c r="L294" s="49"/>
    </row>
    <row r="295" spans="10:12" ht="15" customHeight="1" x14ac:dyDescent="0.25">
      <c r="J295" s="48"/>
      <c r="K295" s="17"/>
      <c r="L295" s="49"/>
    </row>
    <row r="296" spans="10:12" ht="15" customHeight="1" x14ac:dyDescent="0.25">
      <c r="J296" s="48"/>
      <c r="K296" s="17"/>
      <c r="L296" s="49"/>
    </row>
    <row r="297" spans="10:12" ht="15" customHeight="1" x14ac:dyDescent="0.25">
      <c r="J297" s="48"/>
      <c r="K297" s="17"/>
      <c r="L297" s="49"/>
    </row>
    <row r="298" spans="10:12" ht="15" customHeight="1" x14ac:dyDescent="0.25">
      <c r="J298" s="48"/>
      <c r="K298" s="17"/>
      <c r="L298" s="49"/>
    </row>
    <row r="299" spans="10:12" ht="15" customHeight="1" x14ac:dyDescent="0.25">
      <c r="J299" s="48"/>
      <c r="K299" s="17"/>
      <c r="L299" s="49"/>
    </row>
    <row r="300" spans="10:12" ht="15" customHeight="1" x14ac:dyDescent="0.25">
      <c r="J300" s="48"/>
      <c r="K300" s="17"/>
      <c r="L300" s="49"/>
    </row>
    <row r="301" spans="10:12" ht="15" customHeight="1" x14ac:dyDescent="0.25">
      <c r="J301" s="48"/>
      <c r="K301" s="17"/>
      <c r="L301" s="49"/>
    </row>
    <row r="302" spans="10:12" ht="15" customHeight="1" x14ac:dyDescent="0.25">
      <c r="J302" s="48"/>
      <c r="K302" s="17"/>
      <c r="L302" s="49"/>
    </row>
    <row r="303" spans="10:12" ht="15" customHeight="1" x14ac:dyDescent="0.25">
      <c r="J303" s="48"/>
      <c r="K303" s="17"/>
      <c r="L303" s="49"/>
    </row>
    <row r="304" spans="10:12" ht="15" customHeight="1" x14ac:dyDescent="0.25">
      <c r="J304" s="48"/>
      <c r="K304" s="17"/>
      <c r="L304" s="49"/>
    </row>
    <row r="305" spans="10:12" ht="15" customHeight="1" x14ac:dyDescent="0.25">
      <c r="J305" s="48"/>
      <c r="K305" s="17"/>
      <c r="L305" s="49"/>
    </row>
    <row r="306" spans="10:12" ht="15" customHeight="1" x14ac:dyDescent="0.25">
      <c r="J306" s="48"/>
      <c r="K306" s="17"/>
      <c r="L306" s="49"/>
    </row>
    <row r="307" spans="10:12" ht="15" customHeight="1" x14ac:dyDescent="0.25">
      <c r="J307" s="48"/>
      <c r="K307" s="17"/>
      <c r="L307" s="49"/>
    </row>
    <row r="308" spans="10:12" ht="15" customHeight="1" x14ac:dyDescent="0.25">
      <c r="J308" s="48"/>
      <c r="K308" s="17"/>
      <c r="L308" s="49"/>
    </row>
    <row r="309" spans="10:12" ht="15" customHeight="1" x14ac:dyDescent="0.25">
      <c r="J309" s="48"/>
      <c r="K309" s="17"/>
      <c r="L309" s="49"/>
    </row>
    <row r="310" spans="10:12" ht="15" customHeight="1" x14ac:dyDescent="0.25">
      <c r="J310" s="48"/>
      <c r="K310" s="17"/>
      <c r="L310" s="49"/>
    </row>
    <row r="311" spans="10:12" ht="15" customHeight="1" x14ac:dyDescent="0.25">
      <c r="J311" s="48"/>
      <c r="K311" s="17"/>
      <c r="L311" s="49"/>
    </row>
    <row r="312" spans="10:12" ht="15" customHeight="1" x14ac:dyDescent="0.25">
      <c r="J312" s="48"/>
      <c r="K312" s="17"/>
      <c r="L312" s="49"/>
    </row>
    <row r="313" spans="10:12" ht="15" customHeight="1" x14ac:dyDescent="0.25">
      <c r="J313" s="48"/>
      <c r="K313" s="17"/>
      <c r="L313" s="49"/>
    </row>
    <row r="314" spans="10:12" ht="15" customHeight="1" x14ac:dyDescent="0.25">
      <c r="J314" s="48"/>
      <c r="K314" s="17"/>
      <c r="L314" s="49"/>
    </row>
    <row r="315" spans="10:12" ht="15" customHeight="1" x14ac:dyDescent="0.25">
      <c r="J315" s="48"/>
      <c r="K315" s="17"/>
      <c r="L315" s="49"/>
    </row>
    <row r="316" spans="10:12" ht="15" customHeight="1" x14ac:dyDescent="0.25">
      <c r="J316" s="48"/>
      <c r="K316" s="17"/>
      <c r="L316" s="49"/>
    </row>
    <row r="317" spans="10:12" ht="15" customHeight="1" x14ac:dyDescent="0.25">
      <c r="J317" s="48"/>
      <c r="K317" s="17"/>
      <c r="L317" s="49"/>
    </row>
    <row r="318" spans="10:12" ht="15" customHeight="1" x14ac:dyDescent="0.25">
      <c r="J318" s="48"/>
      <c r="K318" s="17"/>
      <c r="L318" s="49"/>
    </row>
    <row r="319" spans="10:12" ht="15" customHeight="1" x14ac:dyDescent="0.25">
      <c r="J319" s="16"/>
      <c r="K319" s="17"/>
      <c r="L319" s="49"/>
    </row>
    <row r="320" spans="10:12" ht="15" customHeight="1" x14ac:dyDescent="0.25">
      <c r="J320" s="16"/>
      <c r="K320" s="17"/>
      <c r="L320" s="49"/>
    </row>
    <row r="321" spans="10:12" ht="15" customHeight="1" x14ac:dyDescent="0.25">
      <c r="J321" s="16"/>
      <c r="K321" s="17"/>
      <c r="L321" s="49"/>
    </row>
    <row r="322" spans="10:12" ht="15" customHeight="1" x14ac:dyDescent="0.25">
      <c r="J322" s="16"/>
      <c r="K322" s="17"/>
      <c r="L322" s="49"/>
    </row>
    <row r="323" spans="10:12" ht="15" customHeight="1" x14ac:dyDescent="0.25">
      <c r="J323" s="16"/>
      <c r="K323" s="17"/>
      <c r="L323" s="49"/>
    </row>
    <row r="324" spans="10:12" ht="15" customHeight="1" x14ac:dyDescent="0.25">
      <c r="J324" s="16"/>
      <c r="K324" s="17"/>
      <c r="L324" s="49"/>
    </row>
    <row r="325" spans="10:12" ht="15" customHeight="1" x14ac:dyDescent="0.25">
      <c r="J325" s="16"/>
      <c r="K325" s="17"/>
      <c r="L325" s="49"/>
    </row>
    <row r="326" spans="10:12" ht="15" customHeight="1" x14ac:dyDescent="0.25">
      <c r="J326" s="16"/>
      <c r="K326" s="17"/>
      <c r="L326" s="49"/>
    </row>
    <row r="327" spans="10:12" ht="15" customHeight="1" x14ac:dyDescent="0.25">
      <c r="J327" s="16"/>
      <c r="K327" s="17"/>
      <c r="L327" s="49"/>
    </row>
    <row r="328" spans="10:12" ht="15" customHeight="1" x14ac:dyDescent="0.25">
      <c r="J328" s="16"/>
      <c r="K328" s="17"/>
      <c r="L328" s="49"/>
    </row>
    <row r="329" spans="10:12" ht="15" customHeight="1" x14ac:dyDescent="0.25">
      <c r="J329" s="16"/>
      <c r="K329" s="17"/>
      <c r="L329" s="49"/>
    </row>
    <row r="330" spans="10:12" ht="15" customHeight="1" x14ac:dyDescent="0.25">
      <c r="J330" s="16"/>
      <c r="K330" s="17"/>
      <c r="L330" s="49"/>
    </row>
    <row r="331" spans="10:12" ht="15" customHeight="1" x14ac:dyDescent="0.25">
      <c r="J331" s="16"/>
      <c r="K331" s="17"/>
      <c r="L331" s="49"/>
    </row>
    <row r="332" spans="10:12" ht="15" customHeight="1" x14ac:dyDescent="0.25">
      <c r="J332" s="16"/>
      <c r="K332" s="17"/>
      <c r="L332" s="49"/>
    </row>
    <row r="333" spans="10:12" ht="15" customHeight="1" x14ac:dyDescent="0.25">
      <c r="J333" s="16"/>
      <c r="K333" s="17"/>
      <c r="L333" s="49"/>
    </row>
    <row r="334" spans="10:12" ht="15" customHeight="1" x14ac:dyDescent="0.25">
      <c r="J334" s="16"/>
      <c r="K334" s="17"/>
      <c r="L334" s="49"/>
    </row>
    <row r="335" spans="10:12" ht="15" customHeight="1" x14ac:dyDescent="0.25">
      <c r="J335" s="16"/>
      <c r="K335" s="17"/>
      <c r="L335" s="49"/>
    </row>
    <row r="336" spans="10:12" ht="15" customHeight="1" x14ac:dyDescent="0.25">
      <c r="J336" s="16"/>
      <c r="K336" s="17"/>
      <c r="L336" s="49"/>
    </row>
    <row r="337" spans="10:12" ht="15" customHeight="1" x14ac:dyDescent="0.25">
      <c r="J337" s="16"/>
      <c r="K337" s="17"/>
      <c r="L337" s="49"/>
    </row>
    <row r="338" spans="10:12" ht="15" customHeight="1" x14ac:dyDescent="0.25">
      <c r="J338" s="16"/>
      <c r="K338" s="17"/>
      <c r="L338" s="49"/>
    </row>
    <row r="339" spans="10:12" ht="15" customHeight="1" x14ac:dyDescent="0.25">
      <c r="J339" s="16"/>
      <c r="K339" s="17"/>
      <c r="L339" s="49"/>
    </row>
    <row r="340" spans="10:12" ht="15" customHeight="1" x14ac:dyDescent="0.25">
      <c r="J340" s="16"/>
      <c r="K340" s="17"/>
      <c r="L340" s="49"/>
    </row>
    <row r="341" spans="10:12" ht="15" customHeight="1" x14ac:dyDescent="0.25">
      <c r="J341" s="16"/>
      <c r="K341" s="17"/>
      <c r="L341" s="49"/>
    </row>
    <row r="342" spans="10:12" ht="15" customHeight="1" x14ac:dyDescent="0.25">
      <c r="J342" s="16"/>
      <c r="K342" s="17"/>
      <c r="L342" s="49"/>
    </row>
    <row r="343" spans="10:12" ht="15" customHeight="1" x14ac:dyDescent="0.25">
      <c r="J343" s="16"/>
      <c r="K343" s="17"/>
      <c r="L343" s="49"/>
    </row>
    <row r="344" spans="10:12" ht="15" customHeight="1" x14ac:dyDescent="0.25">
      <c r="J344" s="16"/>
      <c r="K344" s="17"/>
      <c r="L344" s="49"/>
    </row>
    <row r="345" spans="10:12" ht="15" customHeight="1" x14ac:dyDescent="0.25">
      <c r="J345" s="16"/>
      <c r="K345" s="17"/>
      <c r="L345" s="49"/>
    </row>
    <row r="346" spans="10:12" ht="15" customHeight="1" x14ac:dyDescent="0.25">
      <c r="J346" s="16"/>
      <c r="K346" s="17"/>
      <c r="L346" s="49"/>
    </row>
    <row r="347" spans="10:12" ht="15" customHeight="1" x14ac:dyDescent="0.25">
      <c r="J347" s="16"/>
      <c r="K347" s="17"/>
      <c r="L347" s="49"/>
    </row>
    <row r="348" spans="10:12" ht="15" customHeight="1" x14ac:dyDescent="0.25">
      <c r="J348" s="16"/>
      <c r="K348" s="17"/>
      <c r="L348" s="49"/>
    </row>
    <row r="349" spans="10:12" ht="15" customHeight="1" x14ac:dyDescent="0.25">
      <c r="J349" s="16"/>
      <c r="K349" s="17"/>
      <c r="L349" s="49"/>
    </row>
    <row r="350" spans="10:12" ht="15" customHeight="1" x14ac:dyDescent="0.25">
      <c r="J350" s="16"/>
      <c r="K350" s="17"/>
      <c r="L350" s="49"/>
    </row>
    <row r="351" spans="10:12" ht="15" customHeight="1" x14ac:dyDescent="0.25">
      <c r="J351" s="16"/>
      <c r="K351" s="17"/>
      <c r="L351" s="49"/>
    </row>
    <row r="352" spans="10:12" ht="15" customHeight="1" x14ac:dyDescent="0.25">
      <c r="J352" s="16"/>
      <c r="K352" s="17"/>
      <c r="L352" s="49"/>
    </row>
    <row r="353" spans="10:12" ht="15" customHeight="1" x14ac:dyDescent="0.25">
      <c r="J353" s="16"/>
      <c r="K353" s="17"/>
      <c r="L353" s="49"/>
    </row>
    <row r="354" spans="10:12" ht="15" customHeight="1" x14ac:dyDescent="0.25">
      <c r="J354" s="16"/>
      <c r="K354" s="17"/>
      <c r="L354" s="49"/>
    </row>
  </sheetData>
  <autoFilter ref="A5:R124" xr:uid="{00000000-0009-0000-0000-000014000000}">
    <filterColumn colId="11" showButton="0"/>
  </autoFilter>
  <mergeCells count="21">
    <mergeCell ref="A2:F3"/>
    <mergeCell ref="G2:I3"/>
    <mergeCell ref="J2:L3"/>
    <mergeCell ref="M2:N3"/>
    <mergeCell ref="A1:N1"/>
    <mergeCell ref="O1:P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M5"/>
    <mergeCell ref="O2:P3"/>
    <mergeCell ref="O4:P5"/>
    <mergeCell ref="N4:N5"/>
  </mergeCells>
  <conditionalFormatting sqref="A7:A58 C31:E58 G7:I32 K8:L32 C7:C30 C59:D60 C62:D62 G33:G58 I33:I59 H33:H124">
    <cfRule type="expression" dxfId="4776" priority="490">
      <formula>AND($A7&lt;&gt;"",MOD(ROW(),2))</formula>
    </cfRule>
  </conditionalFormatting>
  <conditionalFormatting sqref="D31:D60 D62">
    <cfRule type="cellIs" dxfId="4775" priority="487" operator="equal">
      <formula>$C31</formula>
    </cfRule>
    <cfRule type="cellIs" dxfId="4774" priority="488" operator="greaterThan">
      <formula>$C31</formula>
    </cfRule>
    <cfRule type="cellIs" dxfId="4773" priority="489" operator="lessThan">
      <formula>$C31</formula>
    </cfRule>
  </conditionalFormatting>
  <conditionalFormatting sqref="M8:M59 M61:M63 M65:M69 M71:M74">
    <cfRule type="expression" dxfId="4772" priority="483">
      <formula>AND($A8&lt;&gt;"",MOD(ROW(),2))</formula>
    </cfRule>
  </conditionalFormatting>
  <conditionalFormatting sqref="K33:L58">
    <cfRule type="expression" dxfId="4771" priority="466">
      <formula>AND($A33&lt;&gt;"",MOD(ROW(),2))</formula>
    </cfRule>
  </conditionalFormatting>
  <conditionalFormatting sqref="K8:K58">
    <cfRule type="cellIs" dxfId="4770" priority="463" operator="equal">
      <formula>$C8</formula>
    </cfRule>
    <cfRule type="cellIs" dxfId="4769" priority="464" operator="greaterThan">
      <formula>$C8</formula>
    </cfRule>
    <cfRule type="cellIs" dxfId="4768" priority="465" operator="lessThan">
      <formula>$C8</formula>
    </cfRule>
  </conditionalFormatting>
  <conditionalFormatting sqref="K59:L84">
    <cfRule type="expression" dxfId="4767" priority="462">
      <formula>AND($A59&lt;&gt;"",MOD(ROW(),2))</formula>
    </cfRule>
  </conditionalFormatting>
  <conditionalFormatting sqref="K59:K84">
    <cfRule type="cellIs" dxfId="4766" priority="459" operator="equal">
      <formula>$C59</formula>
    </cfRule>
    <cfRule type="cellIs" dxfId="4765" priority="460" operator="greaterThan">
      <formula>$C59</formula>
    </cfRule>
    <cfRule type="cellIs" dxfId="4764" priority="461" operator="lessThan">
      <formula>$C59</formula>
    </cfRule>
  </conditionalFormatting>
  <conditionalFormatting sqref="K85:L110">
    <cfRule type="expression" dxfId="4763" priority="458">
      <formula>AND($A85&lt;&gt;"",MOD(ROW(),2))</formula>
    </cfRule>
  </conditionalFormatting>
  <conditionalFormatting sqref="K85:K110">
    <cfRule type="cellIs" dxfId="4762" priority="455" operator="equal">
      <formula>$C85</formula>
    </cfRule>
    <cfRule type="cellIs" dxfId="4761" priority="456" operator="greaterThan">
      <formula>$C85</formula>
    </cfRule>
    <cfRule type="cellIs" dxfId="4760" priority="457" operator="lessThan">
      <formula>$C85</formula>
    </cfRule>
  </conditionalFormatting>
  <conditionalFormatting sqref="K111:L136">
    <cfRule type="expression" dxfId="4759" priority="454">
      <formula>AND($A111&lt;&gt;"",MOD(ROW(),2))</formula>
    </cfRule>
  </conditionalFormatting>
  <conditionalFormatting sqref="K111:K136">
    <cfRule type="cellIs" dxfId="4758" priority="451" operator="equal">
      <formula>$C111</formula>
    </cfRule>
    <cfRule type="cellIs" dxfId="4757" priority="452" operator="greaterThan">
      <formula>$C111</formula>
    </cfRule>
    <cfRule type="cellIs" dxfId="4756" priority="453" operator="lessThan">
      <formula>$C111</formula>
    </cfRule>
  </conditionalFormatting>
  <conditionalFormatting sqref="K137:L162">
    <cfRule type="expression" dxfId="4755" priority="450">
      <formula>AND($A137&lt;&gt;"",MOD(ROW(),2))</formula>
    </cfRule>
  </conditionalFormatting>
  <conditionalFormatting sqref="K137:K162">
    <cfRule type="cellIs" dxfId="4754" priority="447" operator="equal">
      <formula>$C137</formula>
    </cfRule>
    <cfRule type="cellIs" dxfId="4753" priority="448" operator="greaterThan">
      <formula>$C137</formula>
    </cfRule>
    <cfRule type="cellIs" dxfId="4752" priority="449" operator="lessThan">
      <formula>$C137</formula>
    </cfRule>
  </conditionalFormatting>
  <conditionalFormatting sqref="K163:L188">
    <cfRule type="expression" dxfId="4751" priority="446">
      <formula>AND($A163&lt;&gt;"",MOD(ROW(),2))</formula>
    </cfRule>
  </conditionalFormatting>
  <conditionalFormatting sqref="K163:K188">
    <cfRule type="cellIs" dxfId="4750" priority="443" operator="equal">
      <formula>$C163</formula>
    </cfRule>
    <cfRule type="cellIs" dxfId="4749" priority="444" operator="greaterThan">
      <formula>$C163</formula>
    </cfRule>
    <cfRule type="cellIs" dxfId="4748" priority="445" operator="lessThan">
      <formula>$C163</formula>
    </cfRule>
  </conditionalFormatting>
  <conditionalFormatting sqref="K189:L214">
    <cfRule type="expression" dxfId="4747" priority="442">
      <formula>AND($A189&lt;&gt;"",MOD(ROW(),2))</formula>
    </cfRule>
  </conditionalFormatting>
  <conditionalFormatting sqref="K189:K214">
    <cfRule type="cellIs" dxfId="4746" priority="439" operator="equal">
      <formula>$C189</formula>
    </cfRule>
    <cfRule type="cellIs" dxfId="4745" priority="440" operator="greaterThan">
      <formula>$C189</formula>
    </cfRule>
    <cfRule type="cellIs" dxfId="4744" priority="441" operator="lessThan">
      <formula>$C189</formula>
    </cfRule>
  </conditionalFormatting>
  <conditionalFormatting sqref="K215:L240">
    <cfRule type="expression" dxfId="4743" priority="438">
      <formula>AND($A215&lt;&gt;"",MOD(ROW(),2))</formula>
    </cfRule>
  </conditionalFormatting>
  <conditionalFormatting sqref="K215:K240">
    <cfRule type="cellIs" dxfId="4742" priority="435" operator="equal">
      <formula>$C215</formula>
    </cfRule>
    <cfRule type="cellIs" dxfId="4741" priority="436" operator="greaterThan">
      <formula>$C215</formula>
    </cfRule>
    <cfRule type="cellIs" dxfId="4740" priority="437" operator="lessThan">
      <formula>$C215</formula>
    </cfRule>
  </conditionalFormatting>
  <conditionalFormatting sqref="K241:L266">
    <cfRule type="expression" dxfId="4739" priority="434">
      <formula>AND($A241&lt;&gt;"",MOD(ROW(),2))</formula>
    </cfRule>
  </conditionalFormatting>
  <conditionalFormatting sqref="K241:K266">
    <cfRule type="cellIs" dxfId="4738" priority="431" operator="equal">
      <formula>$C241</formula>
    </cfRule>
    <cfRule type="cellIs" dxfId="4737" priority="432" operator="greaterThan">
      <formula>$C241</formula>
    </cfRule>
    <cfRule type="cellIs" dxfId="4736" priority="433" operator="lessThan">
      <formula>$C241</formula>
    </cfRule>
  </conditionalFormatting>
  <conditionalFormatting sqref="K267:L292">
    <cfRule type="expression" dxfId="4735" priority="430">
      <formula>AND($A267&lt;&gt;"",MOD(ROW(),2))</formula>
    </cfRule>
  </conditionalFormatting>
  <conditionalFormatting sqref="K267:K292">
    <cfRule type="cellIs" dxfId="4734" priority="427" operator="equal">
      <formula>$C267</formula>
    </cfRule>
    <cfRule type="cellIs" dxfId="4733" priority="428" operator="greaterThan">
      <formula>$C267</formula>
    </cfRule>
    <cfRule type="cellIs" dxfId="4732" priority="429" operator="lessThan">
      <formula>$C267</formula>
    </cfRule>
  </conditionalFormatting>
  <conditionalFormatting sqref="K293:L318">
    <cfRule type="expression" dxfId="4731" priority="426">
      <formula>AND($A293&lt;&gt;"",MOD(ROW(),2))</formula>
    </cfRule>
  </conditionalFormatting>
  <conditionalFormatting sqref="K293:K318">
    <cfRule type="cellIs" dxfId="4730" priority="423" operator="equal">
      <formula>$C293</formula>
    </cfRule>
    <cfRule type="cellIs" dxfId="4729" priority="424" operator="greaterThan">
      <formula>$C293</formula>
    </cfRule>
    <cfRule type="cellIs" dxfId="4728" priority="425" operator="lessThan">
      <formula>$C293</formula>
    </cfRule>
  </conditionalFormatting>
  <conditionalFormatting sqref="F31:F2989">
    <cfRule type="containsText" dxfId="4727" priority="422" operator="containsText" text="Unpaid Rent">
      <formula>NOT(ISERROR(SEARCH("Unpaid Rent",F31)))</formula>
    </cfRule>
    <cfRule type="containsText" dxfId="4726" priority="467" stopIfTrue="1" operator="containsText" text="Closed Account">
      <formula>NOT(ISERROR(SEARCH("Closed Account",F31)))</formula>
    </cfRule>
  </conditionalFormatting>
  <conditionalFormatting sqref="L8:M32 L33:L318 M33:M59 M61:M63 M65:M69 M71:M74">
    <cfRule type="expression" dxfId="4725" priority="485">
      <formula>AND(#REF!&lt;&gt;"",MOD(ROW(),2))</formula>
    </cfRule>
  </conditionalFormatting>
  <conditionalFormatting sqref="L8:M32 L33:L318 M33:M59 M61:M63 M65:M69 M71:M74">
    <cfRule type="expression" dxfId="4724" priority="484">
      <formula>AND(#REF!&lt;&gt;"",MOD(ROW(),2))</formula>
    </cfRule>
  </conditionalFormatting>
  <conditionalFormatting sqref="M8:M59 M61:M63 M65:M69 M71:M74">
    <cfRule type="cellIs" dxfId="4723" priority="480" operator="equal">
      <formula>#REF!</formula>
    </cfRule>
    <cfRule type="cellIs" dxfId="4722" priority="481" operator="greaterThan">
      <formula>#REF!</formula>
    </cfRule>
    <cfRule type="cellIs" dxfId="4721" priority="482" operator="lessThan">
      <formula>#REF!</formula>
    </cfRule>
  </conditionalFormatting>
  <conditionalFormatting sqref="K319:L321">
    <cfRule type="expression" dxfId="4720" priority="416">
      <formula>AND($A319&lt;&gt;"",MOD(ROW(),2))</formula>
    </cfRule>
  </conditionalFormatting>
  <conditionalFormatting sqref="K319:K321">
    <cfRule type="cellIs" dxfId="4719" priority="413" operator="equal">
      <formula>$C319</formula>
    </cfRule>
    <cfRule type="cellIs" dxfId="4718" priority="414" operator="greaterThan">
      <formula>$C319</formula>
    </cfRule>
    <cfRule type="cellIs" dxfId="4717" priority="415" operator="lessThan">
      <formula>$C319</formula>
    </cfRule>
  </conditionalFormatting>
  <conditionalFormatting sqref="L319:L321">
    <cfRule type="expression" dxfId="4716" priority="418">
      <formula>AND(#REF!&lt;&gt;"",MOD(ROW(),2))</formula>
    </cfRule>
  </conditionalFormatting>
  <conditionalFormatting sqref="L319:L321">
    <cfRule type="expression" dxfId="4715" priority="417">
      <formula>AND(#REF!&lt;&gt;"",MOD(ROW(),2))</formula>
    </cfRule>
  </conditionalFormatting>
  <conditionalFormatting sqref="K322:L324">
    <cfRule type="expression" dxfId="4714" priority="410">
      <formula>AND($A322&lt;&gt;"",MOD(ROW(),2))</formula>
    </cfRule>
  </conditionalFormatting>
  <conditionalFormatting sqref="K322:K324">
    <cfRule type="cellIs" dxfId="4713" priority="407" operator="equal">
      <formula>$C322</formula>
    </cfRule>
    <cfRule type="cellIs" dxfId="4712" priority="408" operator="greaterThan">
      <formula>$C322</formula>
    </cfRule>
    <cfRule type="cellIs" dxfId="4711" priority="409" operator="lessThan">
      <formula>$C322</formula>
    </cfRule>
  </conditionalFormatting>
  <conditionalFormatting sqref="L322:L324">
    <cfRule type="expression" dxfId="4710" priority="412">
      <formula>AND(#REF!&lt;&gt;"",MOD(ROW(),2))</formula>
    </cfRule>
  </conditionalFormatting>
  <conditionalFormatting sqref="L322:L324">
    <cfRule type="expression" dxfId="4709" priority="411">
      <formula>AND(#REF!&lt;&gt;"",MOD(ROW(),2))</formula>
    </cfRule>
  </conditionalFormatting>
  <conditionalFormatting sqref="K325:L327">
    <cfRule type="expression" dxfId="4708" priority="404">
      <formula>AND($A325&lt;&gt;"",MOD(ROW(),2))</formula>
    </cfRule>
  </conditionalFormatting>
  <conditionalFormatting sqref="K325:K327">
    <cfRule type="cellIs" dxfId="4707" priority="401" operator="equal">
      <formula>$C325</formula>
    </cfRule>
    <cfRule type="cellIs" dxfId="4706" priority="402" operator="greaterThan">
      <formula>$C325</formula>
    </cfRule>
    <cfRule type="cellIs" dxfId="4705" priority="403" operator="lessThan">
      <formula>$C325</formula>
    </cfRule>
  </conditionalFormatting>
  <conditionalFormatting sqref="L325:L327">
    <cfRule type="expression" dxfId="4704" priority="406">
      <formula>AND(#REF!&lt;&gt;"",MOD(ROW(),2))</formula>
    </cfRule>
  </conditionalFormatting>
  <conditionalFormatting sqref="L325:L327">
    <cfRule type="expression" dxfId="4703" priority="405">
      <formula>AND(#REF!&lt;&gt;"",MOD(ROW(),2))</formula>
    </cfRule>
  </conditionalFormatting>
  <conditionalFormatting sqref="K328:L330">
    <cfRule type="expression" dxfId="4702" priority="398">
      <formula>AND($A328&lt;&gt;"",MOD(ROW(),2))</formula>
    </cfRule>
  </conditionalFormatting>
  <conditionalFormatting sqref="K328:K330">
    <cfRule type="cellIs" dxfId="4701" priority="395" operator="equal">
      <formula>$C328</formula>
    </cfRule>
    <cfRule type="cellIs" dxfId="4700" priority="396" operator="greaterThan">
      <formula>$C328</formula>
    </cfRule>
    <cfRule type="cellIs" dxfId="4699" priority="397" operator="lessThan">
      <formula>$C328</formula>
    </cfRule>
  </conditionalFormatting>
  <conditionalFormatting sqref="L328:L330">
    <cfRule type="expression" dxfId="4698" priority="400">
      <formula>AND(#REF!&lt;&gt;"",MOD(ROW(),2))</formula>
    </cfRule>
  </conditionalFormatting>
  <conditionalFormatting sqref="L328:L330">
    <cfRule type="expression" dxfId="4697" priority="399">
      <formula>AND(#REF!&lt;&gt;"",MOD(ROW(),2))</formula>
    </cfRule>
  </conditionalFormatting>
  <conditionalFormatting sqref="K331:L333">
    <cfRule type="expression" dxfId="4696" priority="392">
      <formula>AND($A331&lt;&gt;"",MOD(ROW(),2))</formula>
    </cfRule>
  </conditionalFormatting>
  <conditionalFormatting sqref="K331:K333">
    <cfRule type="cellIs" dxfId="4695" priority="389" operator="equal">
      <formula>$C331</formula>
    </cfRule>
    <cfRule type="cellIs" dxfId="4694" priority="390" operator="greaterThan">
      <formula>$C331</formula>
    </cfRule>
    <cfRule type="cellIs" dxfId="4693" priority="391" operator="lessThan">
      <formula>$C331</formula>
    </cfRule>
  </conditionalFormatting>
  <conditionalFormatting sqref="L331:L333">
    <cfRule type="expression" dxfId="4692" priority="394">
      <formula>AND(#REF!&lt;&gt;"",MOD(ROW(),2))</formula>
    </cfRule>
  </conditionalFormatting>
  <conditionalFormatting sqref="L331:L333">
    <cfRule type="expression" dxfId="4691" priority="393">
      <formula>AND(#REF!&lt;&gt;"",MOD(ROW(),2))</formula>
    </cfRule>
  </conditionalFormatting>
  <conditionalFormatting sqref="K334:L336">
    <cfRule type="expression" dxfId="4690" priority="386">
      <formula>AND($A334&lt;&gt;"",MOD(ROW(),2))</formula>
    </cfRule>
  </conditionalFormatting>
  <conditionalFormatting sqref="K334:K336">
    <cfRule type="cellIs" dxfId="4689" priority="383" operator="equal">
      <formula>$C334</formula>
    </cfRule>
    <cfRule type="cellIs" dxfId="4688" priority="384" operator="greaterThan">
      <formula>$C334</formula>
    </cfRule>
    <cfRule type="cellIs" dxfId="4687" priority="385" operator="lessThan">
      <formula>$C334</formula>
    </cfRule>
  </conditionalFormatting>
  <conditionalFormatting sqref="L334:L336">
    <cfRule type="expression" dxfId="4686" priority="388">
      <formula>AND(#REF!&lt;&gt;"",MOD(ROW(),2))</formula>
    </cfRule>
  </conditionalFormatting>
  <conditionalFormatting sqref="L334:L336">
    <cfRule type="expression" dxfId="4685" priority="387">
      <formula>AND(#REF!&lt;&gt;"",MOD(ROW(),2))</formula>
    </cfRule>
  </conditionalFormatting>
  <conditionalFormatting sqref="K337:L339">
    <cfRule type="expression" dxfId="4684" priority="380">
      <formula>AND($A337&lt;&gt;"",MOD(ROW(),2))</formula>
    </cfRule>
  </conditionalFormatting>
  <conditionalFormatting sqref="K337:K339">
    <cfRule type="cellIs" dxfId="4683" priority="377" operator="equal">
      <formula>$C337</formula>
    </cfRule>
    <cfRule type="cellIs" dxfId="4682" priority="378" operator="greaterThan">
      <formula>$C337</formula>
    </cfRule>
    <cfRule type="cellIs" dxfId="4681" priority="379" operator="lessThan">
      <formula>$C337</formula>
    </cfRule>
  </conditionalFormatting>
  <conditionalFormatting sqref="L337:L339">
    <cfRule type="expression" dxfId="4680" priority="382">
      <formula>AND(#REF!&lt;&gt;"",MOD(ROW(),2))</formula>
    </cfRule>
  </conditionalFormatting>
  <conditionalFormatting sqref="L337:L339">
    <cfRule type="expression" dxfId="4679" priority="381">
      <formula>AND(#REF!&lt;&gt;"",MOD(ROW(),2))</formula>
    </cfRule>
  </conditionalFormatting>
  <conditionalFormatting sqref="K340:L342">
    <cfRule type="expression" dxfId="4678" priority="374">
      <formula>AND($A340&lt;&gt;"",MOD(ROW(),2))</formula>
    </cfRule>
  </conditionalFormatting>
  <conditionalFormatting sqref="K340:K342">
    <cfRule type="cellIs" dxfId="4677" priority="371" operator="equal">
      <formula>$C340</formula>
    </cfRule>
    <cfRule type="cellIs" dxfId="4676" priority="372" operator="greaterThan">
      <formula>$C340</formula>
    </cfRule>
    <cfRule type="cellIs" dxfId="4675" priority="373" operator="lessThan">
      <formula>$C340</formula>
    </cfRule>
  </conditionalFormatting>
  <conditionalFormatting sqref="L340:L342">
    <cfRule type="expression" dxfId="4674" priority="376">
      <formula>AND(#REF!&lt;&gt;"",MOD(ROW(),2))</formula>
    </cfRule>
  </conditionalFormatting>
  <conditionalFormatting sqref="L340:L342">
    <cfRule type="expression" dxfId="4673" priority="375">
      <formula>AND(#REF!&lt;&gt;"",MOD(ROW(),2))</formula>
    </cfRule>
  </conditionalFormatting>
  <conditionalFormatting sqref="K343:L345">
    <cfRule type="expression" dxfId="4672" priority="368">
      <formula>AND($A343&lt;&gt;"",MOD(ROW(),2))</formula>
    </cfRule>
  </conditionalFormatting>
  <conditionalFormatting sqref="K343:K345">
    <cfRule type="cellIs" dxfId="4671" priority="365" operator="equal">
      <formula>$C343</formula>
    </cfRule>
    <cfRule type="cellIs" dxfId="4670" priority="366" operator="greaterThan">
      <formula>$C343</formula>
    </cfRule>
    <cfRule type="cellIs" dxfId="4669" priority="367" operator="lessThan">
      <formula>$C343</formula>
    </cfRule>
  </conditionalFormatting>
  <conditionalFormatting sqref="L343:L345">
    <cfRule type="expression" dxfId="4668" priority="370">
      <formula>AND(#REF!&lt;&gt;"",MOD(ROW(),2))</formula>
    </cfRule>
  </conditionalFormatting>
  <conditionalFormatting sqref="L343:L345">
    <cfRule type="expression" dxfId="4667" priority="369">
      <formula>AND(#REF!&lt;&gt;"",MOD(ROW(),2))</formula>
    </cfRule>
  </conditionalFormatting>
  <conditionalFormatting sqref="K346:L348">
    <cfRule type="expression" dxfId="4666" priority="362">
      <formula>AND($A346&lt;&gt;"",MOD(ROW(),2))</formula>
    </cfRule>
  </conditionalFormatting>
  <conditionalFormatting sqref="K346:K348">
    <cfRule type="cellIs" dxfId="4665" priority="359" operator="equal">
      <formula>$C346</formula>
    </cfRule>
    <cfRule type="cellIs" dxfId="4664" priority="360" operator="greaterThan">
      <formula>$C346</formula>
    </cfRule>
    <cfRule type="cellIs" dxfId="4663" priority="361" operator="lessThan">
      <formula>$C346</formula>
    </cfRule>
  </conditionalFormatting>
  <conditionalFormatting sqref="L346:L348">
    <cfRule type="expression" dxfId="4662" priority="364">
      <formula>AND(#REF!&lt;&gt;"",MOD(ROW(),2))</formula>
    </cfRule>
  </conditionalFormatting>
  <conditionalFormatting sqref="L346:L348">
    <cfRule type="expression" dxfId="4661" priority="363">
      <formula>AND(#REF!&lt;&gt;"",MOD(ROW(),2))</formula>
    </cfRule>
  </conditionalFormatting>
  <conditionalFormatting sqref="K349:L351">
    <cfRule type="expression" dxfId="4660" priority="356">
      <formula>AND($A349&lt;&gt;"",MOD(ROW(),2))</formula>
    </cfRule>
  </conditionalFormatting>
  <conditionalFormatting sqref="K349:K351">
    <cfRule type="cellIs" dxfId="4659" priority="353" operator="equal">
      <formula>$C349</formula>
    </cfRule>
    <cfRule type="cellIs" dxfId="4658" priority="354" operator="greaterThan">
      <formula>$C349</formula>
    </cfRule>
    <cfRule type="cellIs" dxfId="4657" priority="355" operator="lessThan">
      <formula>$C349</formula>
    </cfRule>
  </conditionalFormatting>
  <conditionalFormatting sqref="L349:L351">
    <cfRule type="expression" dxfId="4656" priority="358">
      <formula>AND(#REF!&lt;&gt;"",MOD(ROW(),2))</formula>
    </cfRule>
  </conditionalFormatting>
  <conditionalFormatting sqref="L349:L351">
    <cfRule type="expression" dxfId="4655" priority="357">
      <formula>AND(#REF!&lt;&gt;"",MOD(ROW(),2))</formula>
    </cfRule>
  </conditionalFormatting>
  <conditionalFormatting sqref="K352:L354">
    <cfRule type="expression" dxfId="4654" priority="350">
      <formula>AND($A352&lt;&gt;"",MOD(ROW(),2))</formula>
    </cfRule>
  </conditionalFormatting>
  <conditionalFormatting sqref="K352:K354">
    <cfRule type="cellIs" dxfId="4653" priority="347" operator="equal">
      <formula>$C352</formula>
    </cfRule>
    <cfRule type="cellIs" dxfId="4652" priority="348" operator="greaterThan">
      <formula>$C352</formula>
    </cfRule>
    <cfRule type="cellIs" dxfId="4651" priority="349" operator="lessThan">
      <formula>$C352</formula>
    </cfRule>
  </conditionalFormatting>
  <conditionalFormatting sqref="L352:L354">
    <cfRule type="expression" dxfId="4650" priority="352">
      <formula>AND(#REF!&lt;&gt;"",MOD(ROW(),2))</formula>
    </cfRule>
  </conditionalFormatting>
  <conditionalFormatting sqref="L352:L354">
    <cfRule type="expression" dxfId="4649" priority="351">
      <formula>AND(#REF!&lt;&gt;"",MOD(ROW(),2))</formula>
    </cfRule>
  </conditionalFormatting>
  <conditionalFormatting sqref="D7:E7">
    <cfRule type="expression" dxfId="4648" priority="202">
      <formula>AND($A7&lt;&gt;"",MOD(ROW(),2))</formula>
    </cfRule>
  </conditionalFormatting>
  <conditionalFormatting sqref="D7">
    <cfRule type="cellIs" dxfId="4647" priority="199" operator="equal">
      <formula>$C7</formula>
    </cfRule>
    <cfRule type="cellIs" dxfId="4646" priority="200" operator="greaterThan">
      <formula>$C7</formula>
    </cfRule>
    <cfRule type="cellIs" dxfId="4645" priority="201" operator="lessThan">
      <formula>$C7</formula>
    </cfRule>
  </conditionalFormatting>
  <conditionalFormatting sqref="D8:E8">
    <cfRule type="expression" dxfId="4644" priority="196">
      <formula>AND($A8&lt;&gt;"",MOD(ROW(),2))</formula>
    </cfRule>
  </conditionalFormatting>
  <conditionalFormatting sqref="D8">
    <cfRule type="cellIs" dxfId="4643" priority="193" operator="equal">
      <formula>$C8</formula>
    </cfRule>
    <cfRule type="cellIs" dxfId="4642" priority="194" operator="greaterThan">
      <formula>$C8</formula>
    </cfRule>
    <cfRule type="cellIs" dxfId="4641" priority="195" operator="lessThan">
      <formula>$C8</formula>
    </cfRule>
  </conditionalFormatting>
  <conditionalFormatting sqref="D9:E9">
    <cfRule type="expression" dxfId="4640" priority="192">
      <formula>AND($A9&lt;&gt;"",MOD(ROW(),2))</formula>
    </cfRule>
  </conditionalFormatting>
  <conditionalFormatting sqref="D9">
    <cfRule type="cellIs" dxfId="4639" priority="189" operator="equal">
      <formula>$C9</formula>
    </cfRule>
    <cfRule type="cellIs" dxfId="4638" priority="190" operator="greaterThan">
      <formula>$C9</formula>
    </cfRule>
    <cfRule type="cellIs" dxfId="4637" priority="191" operator="lessThan">
      <formula>$C9</formula>
    </cfRule>
  </conditionalFormatting>
  <conditionalFormatting sqref="D10:E10">
    <cfRule type="expression" dxfId="4636" priority="188">
      <formula>AND($A10&lt;&gt;"",MOD(ROW(),2))</formula>
    </cfRule>
  </conditionalFormatting>
  <conditionalFormatting sqref="D10">
    <cfRule type="cellIs" dxfId="4635" priority="185" operator="equal">
      <formula>$C10</formula>
    </cfRule>
    <cfRule type="cellIs" dxfId="4634" priority="186" operator="greaterThan">
      <formula>$C10</formula>
    </cfRule>
    <cfRule type="cellIs" dxfId="4633" priority="187" operator="lessThan">
      <formula>$C10</formula>
    </cfRule>
  </conditionalFormatting>
  <conditionalFormatting sqref="D11:E11">
    <cfRule type="expression" dxfId="4632" priority="184">
      <formula>AND($A11&lt;&gt;"",MOD(ROW(),2))</formula>
    </cfRule>
  </conditionalFormatting>
  <conditionalFormatting sqref="D11">
    <cfRule type="cellIs" dxfId="4631" priority="181" operator="equal">
      <formula>$C11</formula>
    </cfRule>
    <cfRule type="cellIs" dxfId="4630" priority="182" operator="greaterThan">
      <formula>$C11</formula>
    </cfRule>
    <cfRule type="cellIs" dxfId="4629" priority="183" operator="lessThan">
      <formula>$C11</formula>
    </cfRule>
  </conditionalFormatting>
  <conditionalFormatting sqref="D12:E12">
    <cfRule type="expression" dxfId="4628" priority="180">
      <formula>AND($A12&lt;&gt;"",MOD(ROW(),2))</formula>
    </cfRule>
  </conditionalFormatting>
  <conditionalFormatting sqref="D12">
    <cfRule type="cellIs" dxfId="4627" priority="177" operator="equal">
      <formula>$C12</formula>
    </cfRule>
    <cfRule type="cellIs" dxfId="4626" priority="178" operator="greaterThan">
      <formula>$C12</formula>
    </cfRule>
    <cfRule type="cellIs" dxfId="4625" priority="179" operator="lessThan">
      <formula>$C12</formula>
    </cfRule>
  </conditionalFormatting>
  <conditionalFormatting sqref="D13:E13">
    <cfRule type="expression" dxfId="4624" priority="176">
      <formula>AND($A13&lt;&gt;"",MOD(ROW(),2))</formula>
    </cfRule>
  </conditionalFormatting>
  <conditionalFormatting sqref="D13">
    <cfRule type="cellIs" dxfId="4623" priority="173" operator="equal">
      <formula>$C13</formula>
    </cfRule>
    <cfRule type="cellIs" dxfId="4622" priority="174" operator="greaterThan">
      <formula>$C13</formula>
    </cfRule>
    <cfRule type="cellIs" dxfId="4621" priority="175" operator="lessThan">
      <formula>$C13</formula>
    </cfRule>
  </conditionalFormatting>
  <conditionalFormatting sqref="D14:E14">
    <cfRule type="expression" dxfId="4620" priority="172">
      <formula>AND($A14&lt;&gt;"",MOD(ROW(),2))</formula>
    </cfRule>
  </conditionalFormatting>
  <conditionalFormatting sqref="D14">
    <cfRule type="cellIs" dxfId="4619" priority="169" operator="equal">
      <formula>$C14</formula>
    </cfRule>
    <cfRule type="cellIs" dxfId="4618" priority="170" operator="greaterThan">
      <formula>$C14</formula>
    </cfRule>
    <cfRule type="cellIs" dxfId="4617" priority="171" operator="lessThan">
      <formula>$C14</formula>
    </cfRule>
  </conditionalFormatting>
  <conditionalFormatting sqref="D15:E15">
    <cfRule type="expression" dxfId="4616" priority="168">
      <formula>AND($A15&lt;&gt;"",MOD(ROW(),2))</formula>
    </cfRule>
  </conditionalFormatting>
  <conditionalFormatting sqref="D15">
    <cfRule type="cellIs" dxfId="4615" priority="165" operator="equal">
      <formula>$C15</formula>
    </cfRule>
    <cfRule type="cellIs" dxfId="4614" priority="166" operator="greaterThan">
      <formula>$C15</formula>
    </cfRule>
    <cfRule type="cellIs" dxfId="4613" priority="167" operator="lessThan">
      <formula>$C15</formula>
    </cfRule>
  </conditionalFormatting>
  <conditionalFormatting sqref="D16:E16">
    <cfRule type="expression" dxfId="4612" priority="164">
      <formula>AND($A16&lt;&gt;"",MOD(ROW(),2))</formula>
    </cfRule>
  </conditionalFormatting>
  <conditionalFormatting sqref="D16">
    <cfRule type="cellIs" dxfId="4611" priority="161" operator="equal">
      <formula>$C16</formula>
    </cfRule>
    <cfRule type="cellIs" dxfId="4610" priority="162" operator="greaterThan">
      <formula>$C16</formula>
    </cfRule>
    <cfRule type="cellIs" dxfId="4609" priority="163" operator="lessThan">
      <formula>$C16</formula>
    </cfRule>
  </conditionalFormatting>
  <conditionalFormatting sqref="D17:E17">
    <cfRule type="expression" dxfId="4608" priority="160">
      <formula>AND($A17&lt;&gt;"",MOD(ROW(),2))</formula>
    </cfRule>
  </conditionalFormatting>
  <conditionalFormatting sqref="D17">
    <cfRule type="cellIs" dxfId="4607" priority="157" operator="equal">
      <formula>$C17</formula>
    </cfRule>
    <cfRule type="cellIs" dxfId="4606" priority="158" operator="greaterThan">
      <formula>$C17</formula>
    </cfRule>
    <cfRule type="cellIs" dxfId="4605" priority="159" operator="lessThan">
      <formula>$C17</formula>
    </cfRule>
  </conditionalFormatting>
  <conditionalFormatting sqref="D18:E18">
    <cfRule type="expression" dxfId="4604" priority="156">
      <formula>AND($A18&lt;&gt;"",MOD(ROW(),2))</formula>
    </cfRule>
  </conditionalFormatting>
  <conditionalFormatting sqref="D18">
    <cfRule type="cellIs" dxfId="4603" priority="153" operator="equal">
      <formula>$C18</formula>
    </cfRule>
    <cfRule type="cellIs" dxfId="4602" priority="154" operator="greaterThan">
      <formula>$C18</formula>
    </cfRule>
    <cfRule type="cellIs" dxfId="4601" priority="155" operator="lessThan">
      <formula>$C18</formula>
    </cfRule>
  </conditionalFormatting>
  <conditionalFormatting sqref="F7:F18">
    <cfRule type="containsText" dxfId="4600" priority="129" operator="containsText" text="Unpaid Rent">
      <formula>NOT(ISERROR(SEARCH("Unpaid Rent",F7)))</formula>
    </cfRule>
    <cfRule type="containsText" dxfId="4599" priority="130" stopIfTrue="1" operator="containsText" text="Closed Account">
      <formula>NOT(ISERROR(SEARCH("Closed Account",F7)))</formula>
    </cfRule>
  </conditionalFormatting>
  <conditionalFormatting sqref="F19:F30">
    <cfRule type="containsText" dxfId="4598" priority="127" operator="containsText" text="Unpaid Rent">
      <formula>NOT(ISERROR(SEARCH("Unpaid Rent",F19)))</formula>
    </cfRule>
    <cfRule type="containsText" dxfId="4597" priority="128" stopIfTrue="1" operator="containsText" text="Closed Account">
      <formula>NOT(ISERROR(SEARCH("Closed Account",F19)))</formula>
    </cfRule>
  </conditionalFormatting>
  <conditionalFormatting sqref="D19:E19">
    <cfRule type="expression" dxfId="4596" priority="126">
      <formula>AND($A19&lt;&gt;"",MOD(ROW(),2))</formula>
    </cfRule>
  </conditionalFormatting>
  <conditionalFormatting sqref="D19">
    <cfRule type="cellIs" dxfId="4595" priority="123" operator="equal">
      <formula>$C19</formula>
    </cfRule>
    <cfRule type="cellIs" dxfId="4594" priority="124" operator="greaterThan">
      <formula>$C19</formula>
    </cfRule>
    <cfRule type="cellIs" dxfId="4593" priority="125" operator="lessThan">
      <formula>$C19</formula>
    </cfRule>
  </conditionalFormatting>
  <conditionalFormatting sqref="D20:E20">
    <cfRule type="expression" dxfId="4592" priority="122">
      <formula>AND($A20&lt;&gt;"",MOD(ROW(),2))</formula>
    </cfRule>
  </conditionalFormatting>
  <conditionalFormatting sqref="D20">
    <cfRule type="cellIs" dxfId="4591" priority="119" operator="equal">
      <formula>$C20</formula>
    </cfRule>
    <cfRule type="cellIs" dxfId="4590" priority="120" operator="greaterThan">
      <formula>$C20</formula>
    </cfRule>
    <cfRule type="cellIs" dxfId="4589" priority="121" operator="lessThan">
      <formula>$C20</formula>
    </cfRule>
  </conditionalFormatting>
  <conditionalFormatting sqref="D21:E21">
    <cfRule type="expression" dxfId="4588" priority="118">
      <formula>AND($A21&lt;&gt;"",MOD(ROW(),2))</formula>
    </cfRule>
  </conditionalFormatting>
  <conditionalFormatting sqref="D21">
    <cfRule type="cellIs" dxfId="4587" priority="115" operator="equal">
      <formula>$C21</formula>
    </cfRule>
    <cfRule type="cellIs" dxfId="4586" priority="116" operator="greaterThan">
      <formula>$C21</formula>
    </cfRule>
    <cfRule type="cellIs" dxfId="4585" priority="117" operator="lessThan">
      <formula>$C21</formula>
    </cfRule>
  </conditionalFormatting>
  <conditionalFormatting sqref="D22:E22">
    <cfRule type="expression" dxfId="4584" priority="114">
      <formula>AND($A22&lt;&gt;"",MOD(ROW(),2))</formula>
    </cfRule>
  </conditionalFormatting>
  <conditionalFormatting sqref="D22">
    <cfRule type="cellIs" dxfId="4583" priority="111" operator="equal">
      <formula>$C22</formula>
    </cfRule>
    <cfRule type="cellIs" dxfId="4582" priority="112" operator="greaterThan">
      <formula>$C22</formula>
    </cfRule>
    <cfRule type="cellIs" dxfId="4581" priority="113" operator="lessThan">
      <formula>$C22</formula>
    </cfRule>
  </conditionalFormatting>
  <conditionalFormatting sqref="D23:E23">
    <cfRule type="expression" dxfId="4580" priority="110">
      <formula>AND($A23&lt;&gt;"",MOD(ROW(),2))</formula>
    </cfRule>
  </conditionalFormatting>
  <conditionalFormatting sqref="D23">
    <cfRule type="cellIs" dxfId="4579" priority="107" operator="equal">
      <formula>$C23</formula>
    </cfRule>
    <cfRule type="cellIs" dxfId="4578" priority="108" operator="greaterThan">
      <formula>$C23</formula>
    </cfRule>
    <cfRule type="cellIs" dxfId="4577" priority="109" operator="lessThan">
      <formula>$C23</formula>
    </cfRule>
  </conditionalFormatting>
  <conditionalFormatting sqref="D24:E24">
    <cfRule type="expression" dxfId="4576" priority="106">
      <formula>AND($A24&lt;&gt;"",MOD(ROW(),2))</formula>
    </cfRule>
  </conditionalFormatting>
  <conditionalFormatting sqref="D24">
    <cfRule type="cellIs" dxfId="4575" priority="103" operator="equal">
      <formula>$C24</formula>
    </cfRule>
    <cfRule type="cellIs" dxfId="4574" priority="104" operator="greaterThan">
      <formula>$C24</formula>
    </cfRule>
    <cfRule type="cellIs" dxfId="4573" priority="105" operator="lessThan">
      <formula>$C24</formula>
    </cfRule>
  </conditionalFormatting>
  <conditionalFormatting sqref="D25:E25">
    <cfRule type="expression" dxfId="4572" priority="102">
      <formula>AND($A25&lt;&gt;"",MOD(ROW(),2))</formula>
    </cfRule>
  </conditionalFormatting>
  <conditionalFormatting sqref="D25">
    <cfRule type="cellIs" dxfId="4571" priority="99" operator="equal">
      <formula>$C25</formula>
    </cfRule>
    <cfRule type="cellIs" dxfId="4570" priority="100" operator="greaterThan">
      <formula>$C25</formula>
    </cfRule>
    <cfRule type="cellIs" dxfId="4569" priority="101" operator="lessThan">
      <formula>$C25</formula>
    </cfRule>
  </conditionalFormatting>
  <conditionalFormatting sqref="D26:E26">
    <cfRule type="expression" dxfId="4568" priority="98">
      <formula>AND($A26&lt;&gt;"",MOD(ROW(),2))</formula>
    </cfRule>
  </conditionalFormatting>
  <conditionalFormatting sqref="D26">
    <cfRule type="cellIs" dxfId="4567" priority="95" operator="equal">
      <formula>$C26</formula>
    </cfRule>
    <cfRule type="cellIs" dxfId="4566" priority="96" operator="greaterThan">
      <formula>$C26</formula>
    </cfRule>
    <cfRule type="cellIs" dxfId="4565" priority="97" operator="lessThan">
      <formula>$C26</formula>
    </cfRule>
  </conditionalFormatting>
  <conditionalFormatting sqref="D27:E27">
    <cfRule type="expression" dxfId="4564" priority="94">
      <formula>AND($A27&lt;&gt;"",MOD(ROW(),2))</formula>
    </cfRule>
  </conditionalFormatting>
  <conditionalFormatting sqref="D27">
    <cfRule type="cellIs" dxfId="4563" priority="91" operator="equal">
      <formula>$C27</formula>
    </cfRule>
    <cfRule type="cellIs" dxfId="4562" priority="92" operator="greaterThan">
      <formula>$C27</formula>
    </cfRule>
    <cfRule type="cellIs" dxfId="4561" priority="93" operator="lessThan">
      <formula>$C27</formula>
    </cfRule>
  </conditionalFormatting>
  <conditionalFormatting sqref="D28:E28">
    <cfRule type="expression" dxfId="4560" priority="90">
      <formula>AND($A28&lt;&gt;"",MOD(ROW(),2))</formula>
    </cfRule>
  </conditionalFormatting>
  <conditionalFormatting sqref="D28">
    <cfRule type="cellIs" dxfId="4559" priority="87" operator="equal">
      <formula>$C28</formula>
    </cfRule>
    <cfRule type="cellIs" dxfId="4558" priority="88" operator="greaterThan">
      <formula>$C28</formula>
    </cfRule>
    <cfRule type="cellIs" dxfId="4557" priority="89" operator="lessThan">
      <formula>$C28</formula>
    </cfRule>
  </conditionalFormatting>
  <conditionalFormatting sqref="D29:E29">
    <cfRule type="expression" dxfId="4556" priority="86">
      <formula>AND($A29&lt;&gt;"",MOD(ROW(),2))</formula>
    </cfRule>
  </conditionalFormatting>
  <conditionalFormatting sqref="D29">
    <cfRule type="cellIs" dxfId="4555" priority="83" operator="equal">
      <formula>$C29</formula>
    </cfRule>
    <cfRule type="cellIs" dxfId="4554" priority="84" operator="greaterThan">
      <formula>$C29</formula>
    </cfRule>
    <cfRule type="cellIs" dxfId="4553" priority="85" operator="lessThan">
      <formula>$C29</formula>
    </cfRule>
  </conditionalFormatting>
  <conditionalFormatting sqref="D30:E30">
    <cfRule type="expression" dxfId="4552" priority="82">
      <formula>AND($A30&lt;&gt;"",MOD(ROW(),2))</formula>
    </cfRule>
  </conditionalFormatting>
  <conditionalFormatting sqref="D30">
    <cfRule type="cellIs" dxfId="4551" priority="79" operator="equal">
      <formula>$C30</formula>
    </cfRule>
    <cfRule type="cellIs" dxfId="4550" priority="80" operator="greaterThan">
      <formula>$C30</formula>
    </cfRule>
    <cfRule type="cellIs" dxfId="4549" priority="81" operator="lessThan">
      <formula>$C30</formula>
    </cfRule>
  </conditionalFormatting>
  <conditionalFormatting sqref="K7:L7">
    <cfRule type="expression" dxfId="4548" priority="78">
      <formula>AND($A7&lt;&gt;"",MOD(ROW(),2))</formula>
    </cfRule>
  </conditionalFormatting>
  <conditionalFormatting sqref="M7">
    <cfRule type="expression" dxfId="4547" priority="75">
      <formula>AND($A7&lt;&gt;"",MOD(ROW(),2))</formula>
    </cfRule>
  </conditionalFormatting>
  <conditionalFormatting sqref="K7">
    <cfRule type="cellIs" dxfId="4546" priority="69" operator="equal">
      <formula>$C7</formula>
    </cfRule>
    <cfRule type="cellIs" dxfId="4545" priority="70" operator="greaterThan">
      <formula>$C7</formula>
    </cfRule>
    <cfRule type="cellIs" dxfId="4544" priority="71" operator="lessThan">
      <formula>$C7</formula>
    </cfRule>
  </conditionalFormatting>
  <conditionalFormatting sqref="L7:M7">
    <cfRule type="expression" dxfId="4543" priority="77">
      <formula>AND(#REF!&lt;&gt;"",MOD(ROW(),2))</formula>
    </cfRule>
  </conditionalFormatting>
  <conditionalFormatting sqref="L7:M7">
    <cfRule type="expression" dxfId="4542" priority="76">
      <formula>AND(#REF!&lt;&gt;"",MOD(ROW(),2))</formula>
    </cfRule>
  </conditionalFormatting>
  <conditionalFormatting sqref="M7">
    <cfRule type="cellIs" dxfId="4541" priority="72" operator="equal">
      <formula>#REF!</formula>
    </cfRule>
    <cfRule type="cellIs" dxfId="4540" priority="73" operator="greaterThan">
      <formula>#REF!</formula>
    </cfRule>
    <cfRule type="cellIs" dxfId="4539" priority="74" operator="lessThan">
      <formula>#REF!</formula>
    </cfRule>
  </conditionalFormatting>
  <conditionalFormatting sqref="I60">
    <cfRule type="expression" dxfId="4538" priority="68">
      <formula>AND($A60&lt;&gt;"",MOD(ROW(),2))</formula>
    </cfRule>
  </conditionalFormatting>
  <conditionalFormatting sqref="I61">
    <cfRule type="expression" dxfId="4537" priority="67">
      <formula>AND($A61&lt;&gt;"",MOD(ROW(),2))</formula>
    </cfRule>
  </conditionalFormatting>
  <conditionalFormatting sqref="C61:D61">
    <cfRule type="expression" dxfId="4536" priority="66">
      <formula>AND($A61&lt;&gt;"",MOD(ROW(),2))</formula>
    </cfRule>
  </conditionalFormatting>
  <conditionalFormatting sqref="D61">
    <cfRule type="cellIs" dxfId="4535" priority="63" operator="equal">
      <formula>$C61</formula>
    </cfRule>
    <cfRule type="cellIs" dxfId="4534" priority="64" operator="greaterThan">
      <formula>$C61</formula>
    </cfRule>
    <cfRule type="cellIs" dxfId="4533" priority="65" operator="lessThan">
      <formula>$C61</formula>
    </cfRule>
  </conditionalFormatting>
  <conditionalFormatting sqref="I62">
    <cfRule type="expression" dxfId="4532" priority="62">
      <formula>AND($A62&lt;&gt;"",MOD(ROW(),2))</formula>
    </cfRule>
  </conditionalFormatting>
  <conditionalFormatting sqref="I63">
    <cfRule type="expression" dxfId="4531" priority="61">
      <formula>AND($A63&lt;&gt;"",MOD(ROW(),2))</formula>
    </cfRule>
  </conditionalFormatting>
  <conditionalFormatting sqref="C63:D63">
    <cfRule type="expression" dxfId="4530" priority="60">
      <formula>AND($A63&lt;&gt;"",MOD(ROW(),2))</formula>
    </cfRule>
  </conditionalFormatting>
  <conditionalFormatting sqref="D63">
    <cfRule type="cellIs" dxfId="4529" priority="57" operator="equal">
      <formula>$C63</formula>
    </cfRule>
    <cfRule type="cellIs" dxfId="4528" priority="58" operator="greaterThan">
      <formula>$C63</formula>
    </cfRule>
    <cfRule type="cellIs" dxfId="4527" priority="59" operator="lessThan">
      <formula>$C63</formula>
    </cfRule>
  </conditionalFormatting>
  <conditionalFormatting sqref="C64:D64">
    <cfRule type="expression" dxfId="4526" priority="56">
      <formula>AND($A64&lt;&gt;"",MOD(ROW(),2))</formula>
    </cfRule>
  </conditionalFormatting>
  <conditionalFormatting sqref="D64">
    <cfRule type="cellIs" dxfId="4525" priority="53" operator="equal">
      <formula>$C64</formula>
    </cfRule>
    <cfRule type="cellIs" dxfId="4524" priority="54" operator="greaterThan">
      <formula>$C64</formula>
    </cfRule>
    <cfRule type="cellIs" dxfId="4523" priority="55" operator="lessThan">
      <formula>$C64</formula>
    </cfRule>
  </conditionalFormatting>
  <conditionalFormatting sqref="C65:D65">
    <cfRule type="expression" dxfId="4522" priority="52">
      <formula>AND($A65&lt;&gt;"",MOD(ROW(),2))</formula>
    </cfRule>
  </conditionalFormatting>
  <conditionalFormatting sqref="D65">
    <cfRule type="cellIs" dxfId="4521" priority="49" operator="equal">
      <formula>$C65</formula>
    </cfRule>
    <cfRule type="cellIs" dxfId="4520" priority="50" operator="greaterThan">
      <formula>$C65</formula>
    </cfRule>
    <cfRule type="cellIs" dxfId="4519" priority="51" operator="lessThan">
      <formula>$C65</formula>
    </cfRule>
  </conditionalFormatting>
  <conditionalFormatting sqref="C66:D66">
    <cfRule type="expression" dxfId="4518" priority="48">
      <formula>AND($A66&lt;&gt;"",MOD(ROW(),2))</formula>
    </cfRule>
  </conditionalFormatting>
  <conditionalFormatting sqref="D66">
    <cfRule type="cellIs" dxfId="4517" priority="45" operator="equal">
      <formula>$C66</formula>
    </cfRule>
    <cfRule type="cellIs" dxfId="4516" priority="46" operator="greaterThan">
      <formula>$C66</formula>
    </cfRule>
    <cfRule type="cellIs" dxfId="4515" priority="47" operator="lessThan">
      <formula>$C66</formula>
    </cfRule>
  </conditionalFormatting>
  <conditionalFormatting sqref="C67:D67">
    <cfRule type="expression" dxfId="4514" priority="44">
      <formula>AND($A67&lt;&gt;"",MOD(ROW(),2))</formula>
    </cfRule>
  </conditionalFormatting>
  <conditionalFormatting sqref="D67">
    <cfRule type="cellIs" dxfId="4513" priority="41" operator="equal">
      <formula>$C67</formula>
    </cfRule>
    <cfRule type="cellIs" dxfId="4512" priority="42" operator="greaterThan">
      <formula>$C67</formula>
    </cfRule>
    <cfRule type="cellIs" dxfId="4511" priority="43" operator="lessThan">
      <formula>$C67</formula>
    </cfRule>
  </conditionalFormatting>
  <conditionalFormatting sqref="C68:D68">
    <cfRule type="expression" dxfId="4510" priority="40">
      <formula>AND($A68&lt;&gt;"",MOD(ROW(),2))</formula>
    </cfRule>
  </conditionalFormatting>
  <conditionalFormatting sqref="D68">
    <cfRule type="cellIs" dxfId="4509" priority="37" operator="equal">
      <formula>$C68</formula>
    </cfRule>
    <cfRule type="cellIs" dxfId="4508" priority="38" operator="greaterThan">
      <formula>$C68</formula>
    </cfRule>
    <cfRule type="cellIs" dxfId="4507" priority="39" operator="lessThan">
      <formula>$C68</formula>
    </cfRule>
  </conditionalFormatting>
  <conditionalFormatting sqref="C69:D69">
    <cfRule type="expression" dxfId="4506" priority="36">
      <formula>AND($A69&lt;&gt;"",MOD(ROW(),2))</formula>
    </cfRule>
  </conditionalFormatting>
  <conditionalFormatting sqref="D69:D92">
    <cfRule type="cellIs" dxfId="4505" priority="33" operator="equal">
      <formula>$C69</formula>
    </cfRule>
    <cfRule type="cellIs" dxfId="4504" priority="34" operator="greaterThan">
      <formula>$C69</formula>
    </cfRule>
    <cfRule type="cellIs" dxfId="4503" priority="35" operator="lessThan">
      <formula>$C69</formula>
    </cfRule>
  </conditionalFormatting>
  <conditionalFormatting sqref="C70:D70">
    <cfRule type="expression" dxfId="4502" priority="32">
      <formula>AND($A70&lt;&gt;"",MOD(ROW(),2))</formula>
    </cfRule>
  </conditionalFormatting>
  <conditionalFormatting sqref="C71:D71">
    <cfRule type="expression" dxfId="4501" priority="31">
      <formula>AND($A71&lt;&gt;"",MOD(ROW(),2))</formula>
    </cfRule>
  </conditionalFormatting>
  <conditionalFormatting sqref="C72:D72">
    <cfRule type="expression" dxfId="4500" priority="30">
      <formula>AND($A72&lt;&gt;"",MOD(ROW(),2))</formula>
    </cfRule>
  </conditionalFormatting>
  <conditionalFormatting sqref="C73:D73">
    <cfRule type="expression" dxfId="4499" priority="29">
      <formula>AND($A73&lt;&gt;"",MOD(ROW(),2))</formula>
    </cfRule>
  </conditionalFormatting>
  <conditionalFormatting sqref="C74:D74">
    <cfRule type="expression" dxfId="4498" priority="28">
      <formula>AND($A74&lt;&gt;"",MOD(ROW(),2))</formula>
    </cfRule>
  </conditionalFormatting>
  <conditionalFormatting sqref="C75:D75">
    <cfRule type="expression" dxfId="4497" priority="27">
      <formula>AND($A75&lt;&gt;"",MOD(ROW(),2))</formula>
    </cfRule>
  </conditionalFormatting>
  <conditionalFormatting sqref="C76:D76">
    <cfRule type="expression" dxfId="4496" priority="26">
      <formula>AND($A76&lt;&gt;"",MOD(ROW(),2))</formula>
    </cfRule>
  </conditionalFormatting>
  <conditionalFormatting sqref="C77:D77">
    <cfRule type="expression" dxfId="4495" priority="25">
      <formula>AND($A77&lt;&gt;"",MOD(ROW(),2))</formula>
    </cfRule>
  </conditionalFormatting>
  <conditionalFormatting sqref="C78:D78">
    <cfRule type="expression" dxfId="4494" priority="24">
      <formula>AND($A78&lt;&gt;"",MOD(ROW(),2))</formula>
    </cfRule>
  </conditionalFormatting>
  <conditionalFormatting sqref="C79:D79">
    <cfRule type="expression" dxfId="4493" priority="18">
      <formula>AND($A79&lt;&gt;"",MOD(ROW(),2))</formula>
    </cfRule>
  </conditionalFormatting>
  <conditionalFormatting sqref="C80:D80">
    <cfRule type="expression" dxfId="4492" priority="17">
      <formula>AND($A80&lt;&gt;"",MOD(ROW(),2))</formula>
    </cfRule>
  </conditionalFormatting>
  <conditionalFormatting sqref="C81:D81">
    <cfRule type="expression" dxfId="4491" priority="16">
      <formula>AND($A81&lt;&gt;"",MOD(ROW(),2))</formula>
    </cfRule>
  </conditionalFormatting>
  <conditionalFormatting sqref="C82:D82">
    <cfRule type="expression" dxfId="4490" priority="15">
      <formula>AND($A82&lt;&gt;"",MOD(ROW(),2))</formula>
    </cfRule>
  </conditionalFormatting>
  <conditionalFormatting sqref="C83:D83">
    <cfRule type="expression" dxfId="4489" priority="14">
      <formula>AND($A83&lt;&gt;"",MOD(ROW(),2))</formula>
    </cfRule>
  </conditionalFormatting>
  <conditionalFormatting sqref="C84:D84">
    <cfRule type="expression" dxfId="4488" priority="13">
      <formula>AND($A84&lt;&gt;"",MOD(ROW(),2))</formula>
    </cfRule>
  </conditionalFormatting>
  <conditionalFormatting sqref="C85:D85">
    <cfRule type="expression" dxfId="4487" priority="12">
      <formula>AND($A85&lt;&gt;"",MOD(ROW(),2))</formula>
    </cfRule>
  </conditionalFormatting>
  <conditionalFormatting sqref="C86:D86">
    <cfRule type="expression" dxfId="4486" priority="11">
      <formula>AND($A86&lt;&gt;"",MOD(ROW(),2))</formula>
    </cfRule>
  </conditionalFormatting>
  <conditionalFormatting sqref="C87:D87">
    <cfRule type="expression" dxfId="4485" priority="10">
      <formula>AND($A87&lt;&gt;"",MOD(ROW(),2))</formula>
    </cfRule>
  </conditionalFormatting>
  <conditionalFormatting sqref="C88:D88">
    <cfRule type="expression" dxfId="4484" priority="9">
      <formula>AND($A88&lt;&gt;"",MOD(ROW(),2))</formula>
    </cfRule>
  </conditionalFormatting>
  <conditionalFormatting sqref="C89:D89">
    <cfRule type="expression" dxfId="4483" priority="8">
      <formula>AND($A89&lt;&gt;"",MOD(ROW(),2))</formula>
    </cfRule>
  </conditionalFormatting>
  <conditionalFormatting sqref="C90:D90">
    <cfRule type="expression" dxfId="4482" priority="7">
      <formula>AND($A90&lt;&gt;"",MOD(ROW(),2))</formula>
    </cfRule>
  </conditionalFormatting>
  <conditionalFormatting sqref="C91:D91">
    <cfRule type="expression" dxfId="4481" priority="6">
      <formula>AND($A91&lt;&gt;"",MOD(ROW(),2))</formula>
    </cfRule>
  </conditionalFormatting>
  <conditionalFormatting sqref="C92:D92 C93:C124">
    <cfRule type="expression" dxfId="4480" priority="5">
      <formula>AND($A92&lt;&gt;"",MOD(ROW(),2))</formula>
    </cfRule>
  </conditionalFormatting>
  <conditionalFormatting sqref="D99:D124">
    <cfRule type="cellIs" dxfId="4479" priority="2" operator="equal">
      <formula>$C99</formula>
    </cfRule>
    <cfRule type="cellIs" dxfId="4478" priority="3" operator="greaterThan">
      <formula>$C99</formula>
    </cfRule>
    <cfRule type="cellIs" dxfId="4477" priority="4" operator="lessThan">
      <formula>$C99</formula>
    </cfRule>
  </conditionalFormatting>
  <conditionalFormatting sqref="D99:D124">
    <cfRule type="expression" dxfId="4476" priority="1">
      <formula>AND($A99&lt;&gt;"",MOD(ROW(),2))</formula>
    </cfRule>
  </conditionalFormatting>
  <pageMargins left="0.75" right="0.75" top="1" bottom="1" header="0.5" footer="0.5"/>
  <pageSetup paperSize="9" orientation="portrait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400-000000000000}">
          <x14:formula1>
            <xm:f>PullDownValues!$F$2:$F$14</xm:f>
          </x14:formula1>
          <xm:sqref>L7:L354</xm:sqref>
        </x14:dataValidation>
        <x14:dataValidation type="list" allowBlank="1" showInputMessage="1" showErrorMessage="1" prompt="Payment Method" xr:uid="{00000000-0002-0000-1400-000001000000}">
          <x14:formula1>
            <xm:f>PullDownValues!$B$2:$B$12</xm:f>
          </x14:formula1>
          <xm:sqref>F7:F289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A536"/>
  <sheetViews>
    <sheetView zoomScaleNormal="100" workbookViewId="0">
      <pane ySplit="5" topLeftCell="A147" activePane="bottomLeft" state="frozen"/>
      <selection pane="bottomLeft" activeCell="K538" sqref="K538"/>
    </sheetView>
  </sheetViews>
  <sheetFormatPr defaultColWidth="8.85546875" defaultRowHeight="15" customHeight="1" x14ac:dyDescent="0.25"/>
  <cols>
    <col min="1" max="1" width="3.28515625" style="10" bestFit="1" customWidth="1"/>
    <col min="2" max="2" width="12" bestFit="1" customWidth="1"/>
    <col min="3" max="3" width="12.42578125" bestFit="1" customWidth="1"/>
    <col min="4" max="4" width="12.7109375" bestFit="1" customWidth="1"/>
    <col min="5" max="5" width="10.7109375" bestFit="1" customWidth="1"/>
    <col min="6" max="6" width="15" bestFit="1" customWidth="1"/>
    <col min="7" max="7" width="9.42578125" style="228" bestFit="1" customWidth="1"/>
    <col min="8" max="8" width="10.5703125" bestFit="1" customWidth="1"/>
    <col min="9" max="9" width="10.5703125" customWidth="1"/>
    <col min="10" max="10" width="12.7109375" bestFit="1" customWidth="1"/>
    <col min="11" max="11" width="12" bestFit="1" customWidth="1"/>
    <col min="12" max="12" width="10.5703125" style="236" bestFit="1" customWidth="1"/>
    <col min="13" max="13" width="12.5703125" bestFit="1" customWidth="1"/>
    <col min="14" max="15" width="12.28515625" customWidth="1"/>
    <col min="16" max="16" width="12.5703125" bestFit="1" customWidth="1"/>
    <col min="17" max="17" width="11.28515625" bestFit="1" customWidth="1"/>
    <col min="18" max="18" width="11.5703125" bestFit="1" customWidth="1"/>
    <col min="19" max="20" width="11.5703125" customWidth="1"/>
    <col min="21" max="21" width="10.7109375" style="181" bestFit="1" customWidth="1"/>
    <col min="22" max="22" width="14.85546875" bestFit="1" customWidth="1"/>
    <col min="23" max="23" width="11.5703125" bestFit="1" customWidth="1"/>
    <col min="24" max="24" width="10.5703125" bestFit="1" customWidth="1"/>
    <col min="26" max="26" width="14.7109375" customWidth="1"/>
  </cols>
  <sheetData>
    <row r="1" spans="1:27" ht="35.1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5">
        <f>SUM(R6:R90)-Q4</f>
        <v>-83960.380000000121</v>
      </c>
      <c r="R1" s="255"/>
      <c r="S1" s="114"/>
      <c r="T1" s="114"/>
      <c r="U1" s="186"/>
    </row>
    <row r="2" spans="1:27" s="9" customFormat="1" ht="15.95" customHeight="1" x14ac:dyDescent="0.25">
      <c r="A2" s="283" t="s">
        <v>4</v>
      </c>
      <c r="B2" s="283"/>
      <c r="C2" s="283"/>
      <c r="D2" s="283"/>
      <c r="E2" s="283"/>
      <c r="F2" s="283"/>
      <c r="G2" s="285">
        <f>SUM($D$6:$D$2994)-SUMIF($F$6:$F$292,"Bond Received",$D$6:$D$2992)-SUMIF($F$6:$F$292,"Unpaid Rent",$D$6:$D$2992)-(SUMIF($F$6:$F$292,"Discount Rent",$D$6:$D$2992)*2)</f>
        <v>94483.41</v>
      </c>
      <c r="H2" s="285"/>
      <c r="I2" s="285"/>
      <c r="J2" s="285"/>
      <c r="K2" s="287" t="s">
        <v>5</v>
      </c>
      <c r="L2" s="287"/>
      <c r="M2" s="287"/>
      <c r="N2" s="262">
        <f>SUM($L$6:$L$2990)-SUMIF($M$6:$M$2990,"Bond Return",$L$6:$L$2990)</f>
        <v>55930.78999999987</v>
      </c>
      <c r="O2" s="262"/>
      <c r="P2" s="263"/>
      <c r="Q2" s="289" t="s">
        <v>271</v>
      </c>
      <c r="R2" s="289"/>
      <c r="S2" s="35"/>
      <c r="T2" s="35"/>
      <c r="U2" s="263" t="s">
        <v>640</v>
      </c>
      <c r="V2" s="263"/>
      <c r="W2" s="263"/>
      <c r="X2" s="263"/>
    </row>
    <row r="3" spans="1:27" s="9" customFormat="1" ht="15.95" customHeight="1" x14ac:dyDescent="0.25">
      <c r="A3" s="284"/>
      <c r="B3" s="284"/>
      <c r="C3" s="284"/>
      <c r="D3" s="284"/>
      <c r="E3" s="284"/>
      <c r="F3" s="284"/>
      <c r="G3" s="286"/>
      <c r="H3" s="286"/>
      <c r="I3" s="286"/>
      <c r="J3" s="286"/>
      <c r="K3" s="288"/>
      <c r="L3" s="288"/>
      <c r="M3" s="288"/>
      <c r="N3" s="264"/>
      <c r="O3" s="264"/>
      <c r="P3" s="264"/>
      <c r="Q3" s="290"/>
      <c r="R3" s="290"/>
      <c r="U3" s="264"/>
      <c r="V3" s="264"/>
      <c r="W3" s="264"/>
      <c r="X3" s="264"/>
    </row>
    <row r="4" spans="1:27" s="9" customFormat="1" ht="15.95" customHeight="1" x14ac:dyDescent="0.25">
      <c r="A4" s="244" t="s">
        <v>6</v>
      </c>
      <c r="B4" s="244" t="s">
        <v>7</v>
      </c>
      <c r="C4" s="267" t="s">
        <v>8</v>
      </c>
      <c r="D4" s="269" t="s">
        <v>9</v>
      </c>
      <c r="E4" s="269" t="s">
        <v>10</v>
      </c>
      <c r="F4" s="281" t="s">
        <v>112</v>
      </c>
      <c r="G4" s="294" t="s">
        <v>11</v>
      </c>
      <c r="H4" s="295" t="s">
        <v>12</v>
      </c>
      <c r="I4" s="291" t="s">
        <v>563</v>
      </c>
      <c r="J4" s="297" t="s">
        <v>113</v>
      </c>
      <c r="K4" s="248" t="s">
        <v>13</v>
      </c>
      <c r="L4" s="299" t="s">
        <v>14</v>
      </c>
      <c r="M4" s="248" t="s">
        <v>15</v>
      </c>
      <c r="N4" s="249"/>
      <c r="O4" s="292" t="s">
        <v>563</v>
      </c>
      <c r="P4" s="271" t="s">
        <v>113</v>
      </c>
      <c r="Q4" s="278">
        <f>G2-N2</f>
        <v>38552.620000000134</v>
      </c>
      <c r="R4" s="279"/>
      <c r="S4" s="63"/>
      <c r="T4" s="63"/>
      <c r="U4" s="271" t="s">
        <v>13</v>
      </c>
      <c r="V4" s="271" t="s">
        <v>15</v>
      </c>
      <c r="W4" s="271" t="s">
        <v>633</v>
      </c>
      <c r="X4" s="271" t="s">
        <v>637</v>
      </c>
      <c r="Y4" s="278">
        <f>SUM(W7:W10000)</f>
        <v>-21599.460000000003</v>
      </c>
      <c r="Z4" s="279"/>
    </row>
    <row r="5" spans="1:27" s="10" customFormat="1" ht="15" customHeight="1" x14ac:dyDescent="0.25">
      <c r="A5" s="245"/>
      <c r="B5" s="245"/>
      <c r="C5" s="268"/>
      <c r="D5" s="270"/>
      <c r="E5" s="270"/>
      <c r="F5" s="282"/>
      <c r="G5" s="294"/>
      <c r="H5" s="296"/>
      <c r="I5" s="253"/>
      <c r="J5" s="298"/>
      <c r="K5" s="250"/>
      <c r="L5" s="299"/>
      <c r="M5" s="250"/>
      <c r="N5" s="251"/>
      <c r="O5" s="293"/>
      <c r="P5" s="272"/>
      <c r="Q5" s="280"/>
      <c r="R5" s="280"/>
      <c r="S5" s="18"/>
      <c r="T5" s="18"/>
      <c r="U5" s="272"/>
      <c r="V5" s="272"/>
      <c r="W5" s="272"/>
      <c r="X5" s="272"/>
      <c r="Y5" s="280"/>
      <c r="Z5" s="280"/>
      <c r="AA5" s="64"/>
    </row>
    <row r="6" spans="1:27" s="10" customFormat="1" ht="15" hidden="1" customHeight="1" x14ac:dyDescent="0.25">
      <c r="A6" s="44"/>
      <c r="B6" s="44"/>
      <c r="C6" s="45" t="s">
        <v>123</v>
      </c>
      <c r="D6" s="45"/>
      <c r="E6" s="44"/>
      <c r="F6" s="44"/>
      <c r="G6" s="227"/>
      <c r="H6" s="47"/>
      <c r="I6" s="47"/>
      <c r="J6" s="47"/>
      <c r="K6" s="41"/>
      <c r="L6" s="233"/>
      <c r="M6" s="43" t="s">
        <v>123</v>
      </c>
      <c r="N6" s="43"/>
      <c r="O6" s="43"/>
      <c r="P6" s="43"/>
      <c r="Q6" s="60"/>
      <c r="R6" s="47" t="s">
        <v>51</v>
      </c>
      <c r="S6" s="47" t="s">
        <v>108</v>
      </c>
      <c r="T6" s="47"/>
      <c r="U6" s="187" t="s">
        <v>13</v>
      </c>
      <c r="V6" s="10" t="s">
        <v>632</v>
      </c>
      <c r="W6" s="10" t="s">
        <v>633</v>
      </c>
      <c r="Y6" s="10" t="s">
        <v>19</v>
      </c>
      <c r="Z6" s="111">
        <f t="shared" ref="Z6:Z18" si="0">SUMIF($X$7:$X$1000,Y6,$W$7:$W$1000)</f>
        <v>-528.69999999999982</v>
      </c>
    </row>
    <row r="7" spans="1:27" ht="15" hidden="1" customHeight="1" x14ac:dyDescent="0.25">
      <c r="A7" s="10">
        <v>1</v>
      </c>
      <c r="B7" s="48">
        <v>43734</v>
      </c>
      <c r="C7" s="17">
        <v>360</v>
      </c>
      <c r="D7" s="17">
        <v>360</v>
      </c>
      <c r="E7" s="16">
        <v>43734</v>
      </c>
      <c r="F7" s="16" t="s">
        <v>181</v>
      </c>
      <c r="G7" s="228">
        <v>181025</v>
      </c>
      <c r="H7" s="17">
        <f>IFERROR(IF(F6="Closed account",(IF(F7="Unpaid Rent",(C7),(C7-D7))),(IF(F7="Unpaid Rent",(C7+H6),(C7-D7+H6)))),"")</f>
        <v>0</v>
      </c>
      <c r="I7" s="17" t="s">
        <v>19</v>
      </c>
      <c r="J7" s="17" t="s">
        <v>137</v>
      </c>
      <c r="K7" s="230">
        <v>43731</v>
      </c>
      <c r="L7" s="234">
        <v>52.8</v>
      </c>
      <c r="M7" s="49" t="s">
        <v>34</v>
      </c>
      <c r="O7" t="s">
        <v>19</v>
      </c>
      <c r="P7" t="s">
        <v>137</v>
      </c>
      <c r="Q7" s="60" t="s">
        <v>137</v>
      </c>
      <c r="R7" s="111">
        <f>SUMIF($J$6:$J$2992,Q7,$D$6:$D$2992)-SUMIFS($D$6:$D$2992,$J$6:$J$2992,Q7,$F$6:$F$2992,"Unpaid Rent")-(SUMIFS($D$6:$D$2992,$J$6:$J$2992,Q7,$F$6:$F$2992,"Discount Rent")*2)-(SUMIFS($D$6:$D$2992,$J$6:$J$2992,Q7,$F$6:$F$2992,"Bond Received"))-SUMIF($P$6:$P$2989,Q7,$L$6:$L$2989)+SUMIFS($L$6:$L$2989,$P$6:$P$2989,Q7,$M$6:$M$2989,"Bond Return")</f>
        <v>985.17000000000007</v>
      </c>
      <c r="S7" s="111">
        <v>0</v>
      </c>
      <c r="T7" s="111"/>
      <c r="U7" s="181">
        <v>43731</v>
      </c>
      <c r="V7" t="s">
        <v>631</v>
      </c>
      <c r="W7" s="194">
        <v>-7600</v>
      </c>
      <c r="X7" t="s">
        <v>19</v>
      </c>
      <c r="Y7" s="10" t="s">
        <v>44</v>
      </c>
      <c r="Z7" s="111">
        <f t="shared" si="0"/>
        <v>-5790.5999999999985</v>
      </c>
    </row>
    <row r="8" spans="1:27" ht="15" hidden="1" customHeight="1" x14ac:dyDescent="0.25">
      <c r="A8" s="10">
        <v>1</v>
      </c>
      <c r="B8" s="48">
        <v>43734</v>
      </c>
      <c r="C8" s="17">
        <v>185</v>
      </c>
      <c r="D8" s="17">
        <v>185</v>
      </c>
      <c r="E8" s="16">
        <v>43733</v>
      </c>
      <c r="F8" s="16" t="s">
        <v>59</v>
      </c>
      <c r="H8" s="17">
        <f t="shared" ref="H8:H71" si="1">IFERROR(IF(F7="Closed account",(IF(F8="Unpaid Rent",(C8),(C8-D8))),(IF(F8="Unpaid Rent",(C8+H7),(C8-D8+H7)))),"")</f>
        <v>0</v>
      </c>
      <c r="I8" s="17" t="s">
        <v>19</v>
      </c>
      <c r="J8" s="17" t="s">
        <v>137</v>
      </c>
      <c r="K8" s="230">
        <v>43731</v>
      </c>
      <c r="L8" s="234">
        <v>55.1</v>
      </c>
      <c r="M8" s="49" t="s">
        <v>54</v>
      </c>
      <c r="O8" t="s">
        <v>19</v>
      </c>
      <c r="P8" t="s">
        <v>137</v>
      </c>
      <c r="Q8" s="16" t="s">
        <v>138</v>
      </c>
      <c r="R8" s="112">
        <f t="shared" ref="R8:R71" si="2">SUMIF($J$6:$J$2992,Q8,$D$6:$D$2992)-SUMIFS($D$6:$D$2992,$J$6:$J$2992,Q8,$F$6:$F$2992,"Unpaid Rent")-(SUMIFS($D$6:$D$2992,$J$6:$J$2992,Q8,$F$6:$F$2992,"Discount Rent")*2)-(SUMIFS($D$6:$D$2992,$J$6:$J$2992,Q8,$F$6:$F$2992,"Bond Received"))-SUMIF($P$6:$P$2989,Q8,$L$6:$L$2989)+SUMIFS($L$6:$L$2989,$P$6:$P$2989,Q8,$M$6:$M$2989,"Bond Return")</f>
        <v>600</v>
      </c>
      <c r="S8" s="112">
        <v>0</v>
      </c>
      <c r="T8" s="112"/>
      <c r="U8" s="181">
        <v>2019</v>
      </c>
      <c r="V8" t="s">
        <v>33</v>
      </c>
      <c r="W8" s="194">
        <v>-250.7</v>
      </c>
      <c r="X8" t="s">
        <v>19</v>
      </c>
      <c r="Y8" s="10" t="s">
        <v>167</v>
      </c>
      <c r="Z8" s="111">
        <f t="shared" si="0"/>
        <v>-3649.8999999999996</v>
      </c>
    </row>
    <row r="9" spans="1:27" ht="15" hidden="1" customHeight="1" x14ac:dyDescent="0.25">
      <c r="A9" s="10">
        <v>2</v>
      </c>
      <c r="B9" s="48">
        <v>43741</v>
      </c>
      <c r="C9" s="17">
        <v>185</v>
      </c>
      <c r="D9" s="17">
        <v>185</v>
      </c>
      <c r="E9" s="16">
        <v>43741</v>
      </c>
      <c r="F9" s="16" t="s">
        <v>59</v>
      </c>
      <c r="H9" s="17">
        <f t="shared" si="1"/>
        <v>0</v>
      </c>
      <c r="I9" s="17" t="s">
        <v>19</v>
      </c>
      <c r="J9" s="17" t="s">
        <v>137</v>
      </c>
      <c r="K9" s="230">
        <v>43734</v>
      </c>
      <c r="L9" s="234">
        <v>131.65</v>
      </c>
      <c r="M9" s="49" t="s">
        <v>16</v>
      </c>
      <c r="O9" t="s">
        <v>19</v>
      </c>
      <c r="P9" t="s">
        <v>137</v>
      </c>
      <c r="Q9" t="s">
        <v>139</v>
      </c>
      <c r="R9" s="112">
        <f t="shared" si="2"/>
        <v>3592.56</v>
      </c>
      <c r="S9" s="112">
        <v>0</v>
      </c>
      <c r="T9" s="112"/>
      <c r="U9" s="181">
        <v>43977</v>
      </c>
      <c r="V9" t="s">
        <v>180</v>
      </c>
      <c r="W9" s="194">
        <v>7322</v>
      </c>
      <c r="X9" t="s">
        <v>19</v>
      </c>
      <c r="Y9" s="10" t="s">
        <v>23</v>
      </c>
      <c r="Z9" s="111">
        <f t="shared" si="0"/>
        <v>-1089.8600000000006</v>
      </c>
    </row>
    <row r="10" spans="1:27" ht="15" hidden="1" customHeight="1" x14ac:dyDescent="0.25">
      <c r="A10" s="10">
        <v>3</v>
      </c>
      <c r="B10" s="48">
        <v>43748</v>
      </c>
      <c r="C10" s="17">
        <v>185</v>
      </c>
      <c r="D10" s="17">
        <v>180</v>
      </c>
      <c r="E10" s="16">
        <v>43747</v>
      </c>
      <c r="F10" s="16" t="s">
        <v>59</v>
      </c>
      <c r="H10" s="17">
        <f t="shared" si="1"/>
        <v>5</v>
      </c>
      <c r="I10" s="17" t="s">
        <v>19</v>
      </c>
      <c r="J10" s="17" t="s">
        <v>137</v>
      </c>
      <c r="K10" s="230">
        <v>43732</v>
      </c>
      <c r="L10" s="234">
        <v>117.49</v>
      </c>
      <c r="M10" s="49" t="s">
        <v>17</v>
      </c>
      <c r="O10" t="s">
        <v>19</v>
      </c>
      <c r="P10" t="s">
        <v>137</v>
      </c>
      <c r="Q10" t="s">
        <v>142</v>
      </c>
      <c r="R10" s="112">
        <f t="shared" si="2"/>
        <v>1520.1</v>
      </c>
      <c r="S10" s="112">
        <v>0</v>
      </c>
      <c r="T10" s="112"/>
      <c r="U10" s="181">
        <v>43738</v>
      </c>
      <c r="V10" t="s">
        <v>631</v>
      </c>
      <c r="W10" s="194">
        <v>-6800</v>
      </c>
      <c r="X10" t="s">
        <v>634</v>
      </c>
      <c r="Y10" s="10" t="s">
        <v>457</v>
      </c>
      <c r="Z10" s="111">
        <f t="shared" si="0"/>
        <v>-2256.1799999999985</v>
      </c>
    </row>
    <row r="11" spans="1:27" ht="15" hidden="1" customHeight="1" x14ac:dyDescent="0.25">
      <c r="A11" s="10">
        <v>4</v>
      </c>
      <c r="B11" s="48">
        <v>43755</v>
      </c>
      <c r="C11" s="17">
        <v>185</v>
      </c>
      <c r="D11" s="17">
        <v>190</v>
      </c>
      <c r="E11" s="16">
        <v>43755</v>
      </c>
      <c r="F11" s="16" t="s">
        <v>59</v>
      </c>
      <c r="H11" s="17">
        <f t="shared" si="1"/>
        <v>0</v>
      </c>
      <c r="I11" s="17" t="s">
        <v>19</v>
      </c>
      <c r="J11" s="17" t="s">
        <v>137</v>
      </c>
      <c r="K11" s="230">
        <v>43765</v>
      </c>
      <c r="L11" s="234">
        <v>212.34</v>
      </c>
      <c r="M11" s="49" t="s">
        <v>20</v>
      </c>
      <c r="O11" t="s">
        <v>19</v>
      </c>
      <c r="P11" t="s">
        <v>137</v>
      </c>
      <c r="Q11" t="s">
        <v>143</v>
      </c>
      <c r="R11" s="112">
        <f t="shared" si="2"/>
        <v>308.52</v>
      </c>
      <c r="S11" s="112">
        <v>550</v>
      </c>
      <c r="T11" s="112"/>
      <c r="U11" s="181">
        <v>43742</v>
      </c>
      <c r="V11" t="s">
        <v>33</v>
      </c>
      <c r="W11" s="194">
        <v>-191.9</v>
      </c>
      <c r="X11" t="s">
        <v>634</v>
      </c>
      <c r="Y11" s="10" t="s">
        <v>521</v>
      </c>
      <c r="Z11" s="111">
        <f t="shared" si="0"/>
        <v>3955.88</v>
      </c>
    </row>
    <row r="12" spans="1:27" ht="15" hidden="1" customHeight="1" x14ac:dyDescent="0.25">
      <c r="A12" s="10">
        <v>5</v>
      </c>
      <c r="B12" s="48">
        <v>43762</v>
      </c>
      <c r="C12" s="17">
        <v>180</v>
      </c>
      <c r="D12" s="17">
        <v>180</v>
      </c>
      <c r="E12" s="16">
        <v>43762</v>
      </c>
      <c r="F12" s="16" t="s">
        <v>59</v>
      </c>
      <c r="H12" s="17">
        <f t="shared" si="1"/>
        <v>0</v>
      </c>
      <c r="I12" s="17" t="s">
        <v>19</v>
      </c>
      <c r="J12" s="17" t="s">
        <v>137</v>
      </c>
      <c r="K12" s="230">
        <v>43766</v>
      </c>
      <c r="L12" s="234">
        <v>175.15</v>
      </c>
      <c r="M12" s="49" t="s">
        <v>16</v>
      </c>
      <c r="O12" t="s">
        <v>19</v>
      </c>
      <c r="P12" t="s">
        <v>137</v>
      </c>
      <c r="Q12" t="s">
        <v>92</v>
      </c>
      <c r="R12" s="112">
        <f t="shared" si="2"/>
        <v>740.3</v>
      </c>
      <c r="S12" s="112">
        <v>750</v>
      </c>
      <c r="T12" s="112"/>
      <c r="U12" s="181">
        <v>43748</v>
      </c>
      <c r="V12" t="s">
        <v>145</v>
      </c>
      <c r="W12" s="194">
        <v>-217.7</v>
      </c>
      <c r="X12" t="s">
        <v>634</v>
      </c>
      <c r="Y12" s="10" t="s">
        <v>31</v>
      </c>
      <c r="Z12" s="111">
        <f t="shared" si="0"/>
        <v>1077.8999999999996</v>
      </c>
    </row>
    <row r="13" spans="1:27" ht="15" hidden="1" customHeight="1" x14ac:dyDescent="0.25">
      <c r="A13" s="10">
        <v>6</v>
      </c>
      <c r="B13" s="48">
        <v>43769</v>
      </c>
      <c r="C13" s="17">
        <v>180</v>
      </c>
      <c r="D13" s="17">
        <v>180</v>
      </c>
      <c r="E13" s="16">
        <v>43769</v>
      </c>
      <c r="F13" s="16" t="s">
        <v>59</v>
      </c>
      <c r="H13" s="17">
        <f t="shared" si="1"/>
        <v>0</v>
      </c>
      <c r="I13" s="17" t="s">
        <v>19</v>
      </c>
      <c r="J13" s="17" t="s">
        <v>137</v>
      </c>
      <c r="K13" s="230">
        <v>43795</v>
      </c>
      <c r="L13" s="234">
        <v>175.15</v>
      </c>
      <c r="M13" s="49" t="s">
        <v>16</v>
      </c>
      <c r="O13" t="s">
        <v>19</v>
      </c>
      <c r="P13" t="s">
        <v>137</v>
      </c>
      <c r="Q13" t="s">
        <v>144</v>
      </c>
      <c r="R13" s="112">
        <f t="shared" si="2"/>
        <v>840</v>
      </c>
      <c r="U13" s="181">
        <v>43822</v>
      </c>
      <c r="V13" t="s">
        <v>635</v>
      </c>
      <c r="W13" s="194">
        <v>-110</v>
      </c>
      <c r="X13" t="s">
        <v>634</v>
      </c>
      <c r="Y13" s="10" t="s">
        <v>439</v>
      </c>
      <c r="Z13" s="111">
        <f t="shared" si="0"/>
        <v>-4472.3999999999996</v>
      </c>
    </row>
    <row r="14" spans="1:27" ht="15" hidden="1" customHeight="1" x14ac:dyDescent="0.25">
      <c r="A14" s="10">
        <v>7</v>
      </c>
      <c r="B14" s="48">
        <v>43776</v>
      </c>
      <c r="C14" s="17">
        <v>180</v>
      </c>
      <c r="D14" s="17">
        <v>180</v>
      </c>
      <c r="E14" s="16">
        <v>43776</v>
      </c>
      <c r="F14" s="16" t="s">
        <v>59</v>
      </c>
      <c r="H14" s="17">
        <f t="shared" si="1"/>
        <v>0</v>
      </c>
      <c r="I14" s="17" t="s">
        <v>19</v>
      </c>
      <c r="J14" s="17" t="s">
        <v>137</v>
      </c>
      <c r="K14" s="230">
        <v>43785</v>
      </c>
      <c r="L14" s="234">
        <v>360</v>
      </c>
      <c r="M14" s="49" t="s">
        <v>45</v>
      </c>
      <c r="O14" t="s">
        <v>19</v>
      </c>
      <c r="P14" t="s">
        <v>137</v>
      </c>
      <c r="Q14" t="s">
        <v>14</v>
      </c>
      <c r="R14" s="113">
        <f t="shared" si="2"/>
        <v>-26399.059999999998</v>
      </c>
      <c r="U14" s="181">
        <v>43833</v>
      </c>
      <c r="V14" t="s">
        <v>636</v>
      </c>
      <c r="W14" s="194">
        <v>-2530</v>
      </c>
      <c r="X14" t="s">
        <v>634</v>
      </c>
      <c r="Y14" s="10" t="s">
        <v>29</v>
      </c>
      <c r="Z14" s="111">
        <f t="shared" si="0"/>
        <v>-1800.7000000000007</v>
      </c>
    </row>
    <row r="15" spans="1:27" ht="15" hidden="1" customHeight="1" x14ac:dyDescent="0.25">
      <c r="A15" s="10">
        <v>8</v>
      </c>
      <c r="B15" s="48">
        <v>43783</v>
      </c>
      <c r="C15" s="17">
        <v>180</v>
      </c>
      <c r="D15" s="17">
        <v>180</v>
      </c>
      <c r="E15" s="16">
        <v>43784</v>
      </c>
      <c r="F15" s="16" t="s">
        <v>59</v>
      </c>
      <c r="H15" s="17">
        <f t="shared" si="1"/>
        <v>0</v>
      </c>
      <c r="I15" s="17" t="s">
        <v>19</v>
      </c>
      <c r="J15" s="17" t="s">
        <v>137</v>
      </c>
      <c r="K15" s="231">
        <v>43825</v>
      </c>
      <c r="L15" s="234">
        <v>175.15</v>
      </c>
      <c r="M15" s="49" t="s">
        <v>16</v>
      </c>
      <c r="O15" t="s">
        <v>19</v>
      </c>
      <c r="P15" t="s">
        <v>137</v>
      </c>
      <c r="Q15" t="s">
        <v>259</v>
      </c>
      <c r="R15" s="113">
        <f t="shared" si="2"/>
        <v>4262.3599999999997</v>
      </c>
      <c r="U15" s="181">
        <v>43872</v>
      </c>
      <c r="V15" t="s">
        <v>180</v>
      </c>
      <c r="W15" s="194">
        <v>4059</v>
      </c>
      <c r="X15" t="s">
        <v>634</v>
      </c>
      <c r="Y15" s="10" t="s">
        <v>201</v>
      </c>
      <c r="Z15" s="111">
        <f t="shared" si="0"/>
        <v>1497.04</v>
      </c>
    </row>
    <row r="16" spans="1:27" ht="15" hidden="1" customHeight="1" x14ac:dyDescent="0.25">
      <c r="A16" s="10">
        <v>9</v>
      </c>
      <c r="B16" s="48">
        <v>43790</v>
      </c>
      <c r="C16" s="17">
        <v>180</v>
      </c>
      <c r="D16" s="17">
        <v>180</v>
      </c>
      <c r="E16" s="16">
        <v>43793</v>
      </c>
      <c r="F16" s="16" t="s">
        <v>59</v>
      </c>
      <c r="H16" s="17">
        <f t="shared" si="1"/>
        <v>0</v>
      </c>
      <c r="I16" s="17" t="s">
        <v>19</v>
      </c>
      <c r="J16" s="77" t="s">
        <v>137</v>
      </c>
      <c r="K16" s="230">
        <v>43837</v>
      </c>
      <c r="L16" s="234">
        <v>48.76</v>
      </c>
      <c r="M16" s="49" t="s">
        <v>32</v>
      </c>
      <c r="O16" t="s">
        <v>19</v>
      </c>
      <c r="P16" t="s">
        <v>139</v>
      </c>
      <c r="Q16" t="s">
        <v>199</v>
      </c>
      <c r="R16" s="112">
        <f t="shared" si="2"/>
        <v>0</v>
      </c>
      <c r="U16" s="181">
        <v>43815</v>
      </c>
      <c r="V16" t="s">
        <v>631</v>
      </c>
      <c r="W16" s="194">
        <v>-5700</v>
      </c>
      <c r="X16" t="s">
        <v>167</v>
      </c>
      <c r="Y16" s="10" t="s">
        <v>795</v>
      </c>
      <c r="Z16" s="111">
        <f t="shared" si="0"/>
        <v>-2177.5199999999995</v>
      </c>
    </row>
    <row r="17" spans="1:26" ht="15" hidden="1" customHeight="1" x14ac:dyDescent="0.25">
      <c r="A17" s="10">
        <v>10</v>
      </c>
      <c r="B17" s="48">
        <v>43797</v>
      </c>
      <c r="C17" s="17">
        <v>180</v>
      </c>
      <c r="D17" s="17">
        <v>180</v>
      </c>
      <c r="E17" s="16">
        <v>43797</v>
      </c>
      <c r="F17" s="16" t="s">
        <v>59</v>
      </c>
      <c r="H17" s="17">
        <f t="shared" si="1"/>
        <v>0</v>
      </c>
      <c r="I17" s="17" t="s">
        <v>19</v>
      </c>
      <c r="J17" s="17" t="s">
        <v>137</v>
      </c>
      <c r="K17" s="230">
        <v>43840</v>
      </c>
      <c r="L17" s="234">
        <v>212.34</v>
      </c>
      <c r="M17" s="49" t="s">
        <v>20</v>
      </c>
      <c r="O17" t="s">
        <v>19</v>
      </c>
      <c r="P17" t="s">
        <v>139</v>
      </c>
      <c r="Q17" t="s">
        <v>146</v>
      </c>
      <c r="R17" s="112">
        <f t="shared" si="2"/>
        <v>472.21000000000004</v>
      </c>
      <c r="U17" s="181">
        <v>43819</v>
      </c>
      <c r="V17" t="s">
        <v>33</v>
      </c>
      <c r="W17" s="194">
        <v>-191.9</v>
      </c>
      <c r="X17" t="s">
        <v>167</v>
      </c>
      <c r="Y17" s="10" t="s">
        <v>100</v>
      </c>
      <c r="Z17" s="111">
        <f t="shared" si="0"/>
        <v>4760.5499999999975</v>
      </c>
    </row>
    <row r="18" spans="1:26" ht="15" hidden="1" customHeight="1" x14ac:dyDescent="0.25">
      <c r="A18" s="10">
        <v>11</v>
      </c>
      <c r="B18" s="48">
        <v>43804</v>
      </c>
      <c r="C18" s="17">
        <v>180</v>
      </c>
      <c r="D18" s="17">
        <v>180</v>
      </c>
      <c r="E18" s="16">
        <v>43804</v>
      </c>
      <c r="F18" s="16" t="s">
        <v>59</v>
      </c>
      <c r="H18" s="17">
        <f t="shared" si="1"/>
        <v>0</v>
      </c>
      <c r="I18" s="17" t="s">
        <v>19</v>
      </c>
      <c r="J18" s="17" t="s">
        <v>137</v>
      </c>
      <c r="K18" s="230">
        <v>43858</v>
      </c>
      <c r="L18" s="234">
        <v>5.5</v>
      </c>
      <c r="M18" s="49" t="s">
        <v>22</v>
      </c>
      <c r="O18" t="s">
        <v>19</v>
      </c>
      <c r="P18" t="s">
        <v>139</v>
      </c>
      <c r="Q18" t="s">
        <v>94</v>
      </c>
      <c r="R18" s="112">
        <f t="shared" si="2"/>
        <v>1074.7299999999996</v>
      </c>
      <c r="U18" s="181">
        <v>43822</v>
      </c>
      <c r="V18" t="s">
        <v>48</v>
      </c>
      <c r="W18" s="194">
        <v>-160</v>
      </c>
      <c r="X18" t="s">
        <v>167</v>
      </c>
      <c r="Y18" s="10" t="s">
        <v>595</v>
      </c>
      <c r="Z18" s="111">
        <f t="shared" si="0"/>
        <v>4078.7700000000004</v>
      </c>
    </row>
    <row r="19" spans="1:26" ht="15" hidden="1" customHeight="1" x14ac:dyDescent="0.25">
      <c r="A19" s="10">
        <v>12</v>
      </c>
      <c r="B19" s="48">
        <v>43811</v>
      </c>
      <c r="C19" s="17">
        <v>80</v>
      </c>
      <c r="D19" s="17">
        <v>80</v>
      </c>
      <c r="E19" s="16">
        <v>43810</v>
      </c>
      <c r="F19" s="16" t="s">
        <v>124</v>
      </c>
      <c r="H19" s="17">
        <f t="shared" si="1"/>
        <v>0</v>
      </c>
      <c r="I19" s="17" t="s">
        <v>19</v>
      </c>
      <c r="J19" s="17" t="s">
        <v>137</v>
      </c>
      <c r="K19" s="230">
        <v>43858</v>
      </c>
      <c r="L19" s="234">
        <v>166.04</v>
      </c>
      <c r="M19" s="49" t="s">
        <v>16</v>
      </c>
      <c r="O19" t="s">
        <v>19</v>
      </c>
      <c r="P19" t="s">
        <v>139</v>
      </c>
      <c r="Q19" t="s">
        <v>639</v>
      </c>
      <c r="R19" s="112">
        <f t="shared" si="2"/>
        <v>0</v>
      </c>
      <c r="U19" s="181">
        <v>43878</v>
      </c>
      <c r="V19" t="s">
        <v>641</v>
      </c>
      <c r="W19" s="194">
        <v>-650</v>
      </c>
      <c r="X19" t="s">
        <v>167</v>
      </c>
    </row>
    <row r="20" spans="1:26" ht="15" hidden="1" customHeight="1" x14ac:dyDescent="0.25">
      <c r="A20" s="10">
        <v>1</v>
      </c>
      <c r="B20" s="48">
        <v>43831</v>
      </c>
      <c r="C20" s="17">
        <v>300</v>
      </c>
      <c r="D20" s="17">
        <v>300</v>
      </c>
      <c r="E20" s="16">
        <v>43831</v>
      </c>
      <c r="F20" s="16" t="s">
        <v>114</v>
      </c>
      <c r="H20" s="17">
        <f t="shared" si="1"/>
        <v>0</v>
      </c>
      <c r="I20" s="17" t="s">
        <v>19</v>
      </c>
      <c r="J20" s="77" t="s">
        <v>138</v>
      </c>
      <c r="K20" s="230">
        <v>43864</v>
      </c>
      <c r="L20" s="234">
        <v>460</v>
      </c>
      <c r="M20" s="49" t="s">
        <v>45</v>
      </c>
      <c r="O20" t="s">
        <v>19</v>
      </c>
      <c r="P20" t="s">
        <v>139</v>
      </c>
      <c r="Q20" t="s">
        <v>155</v>
      </c>
      <c r="R20" s="112">
        <f t="shared" si="2"/>
        <v>1440.3600000000001</v>
      </c>
      <c r="U20" s="181">
        <v>43885</v>
      </c>
      <c r="V20" t="s">
        <v>17</v>
      </c>
      <c r="W20" s="194">
        <v>-450</v>
      </c>
      <c r="X20" t="s">
        <v>167</v>
      </c>
    </row>
    <row r="21" spans="1:26" ht="15" hidden="1" customHeight="1" x14ac:dyDescent="0.25">
      <c r="A21" s="10">
        <v>2</v>
      </c>
      <c r="B21" s="48">
        <v>43838</v>
      </c>
      <c r="C21" s="17">
        <v>300</v>
      </c>
      <c r="D21" s="17">
        <v>300</v>
      </c>
      <c r="E21" s="16">
        <v>43831</v>
      </c>
      <c r="F21" s="16" t="s">
        <v>124</v>
      </c>
      <c r="H21" s="17">
        <f t="shared" si="1"/>
        <v>0</v>
      </c>
      <c r="I21" s="17" t="s">
        <v>19</v>
      </c>
      <c r="J21" s="17" t="s">
        <v>138</v>
      </c>
      <c r="K21" s="230">
        <v>43877</v>
      </c>
      <c r="L21" s="234">
        <v>63.86</v>
      </c>
      <c r="M21" s="49" t="s">
        <v>26</v>
      </c>
      <c r="O21" t="s">
        <v>19</v>
      </c>
      <c r="P21" t="s">
        <v>142</v>
      </c>
      <c r="Q21" t="s">
        <v>24</v>
      </c>
      <c r="R21" s="112">
        <f t="shared" si="2"/>
        <v>119.51999999999998</v>
      </c>
      <c r="U21" s="181">
        <v>43900</v>
      </c>
      <c r="V21" t="s">
        <v>269</v>
      </c>
      <c r="W21" s="194">
        <v>-198</v>
      </c>
      <c r="X21" t="s">
        <v>167</v>
      </c>
    </row>
    <row r="22" spans="1:26" ht="15" hidden="1" customHeight="1" x14ac:dyDescent="0.25">
      <c r="A22" s="10">
        <v>1</v>
      </c>
      <c r="B22" s="48">
        <v>43845</v>
      </c>
      <c r="C22" s="17">
        <v>460</v>
      </c>
      <c r="D22" s="17">
        <v>460</v>
      </c>
      <c r="E22" s="16">
        <v>43844</v>
      </c>
      <c r="F22" s="16" t="s">
        <v>181</v>
      </c>
      <c r="H22" s="17">
        <f>IFERROR(IF(F20="Closed account",(IF(F22="Unpaid Rent",(C22),(C22-D22))),(IF(F22="Unpaid Rent",(C22+H20),(C22-D22+H20)))),"")</f>
        <v>0</v>
      </c>
      <c r="I22" s="17" t="s">
        <v>19</v>
      </c>
      <c r="J22" s="17" t="s">
        <v>139</v>
      </c>
      <c r="K22" s="230">
        <v>43887</v>
      </c>
      <c r="L22" s="234">
        <v>166.04</v>
      </c>
      <c r="M22" s="49" t="s">
        <v>16</v>
      </c>
      <c r="O22" t="s">
        <v>19</v>
      </c>
      <c r="P22" t="s">
        <v>142</v>
      </c>
      <c r="Q22" t="s">
        <v>158</v>
      </c>
      <c r="R22" s="112">
        <f t="shared" si="2"/>
        <v>35</v>
      </c>
      <c r="U22" s="181">
        <v>43910</v>
      </c>
      <c r="V22" t="s">
        <v>165</v>
      </c>
      <c r="W22" s="194">
        <v>-800</v>
      </c>
      <c r="X22" t="s">
        <v>167</v>
      </c>
    </row>
    <row r="23" spans="1:26" ht="15" hidden="1" customHeight="1" x14ac:dyDescent="0.25">
      <c r="A23" s="10">
        <v>1</v>
      </c>
      <c r="B23" s="48">
        <v>43845</v>
      </c>
      <c r="C23" s="17">
        <v>230</v>
      </c>
      <c r="D23" s="17">
        <v>230</v>
      </c>
      <c r="E23" s="16">
        <v>43844</v>
      </c>
      <c r="F23" s="16" t="s">
        <v>59</v>
      </c>
      <c r="H23" s="17">
        <f>IFERROR(IF(F21="Closed account",(IF(F23="Unpaid Rent",(C23),(C23-D23))),(IF(F23="Unpaid Rent",(C23+H21),(C23-D23+H21)))),"")</f>
        <v>0</v>
      </c>
      <c r="I23" s="17" t="s">
        <v>19</v>
      </c>
      <c r="J23" s="17" t="s">
        <v>139</v>
      </c>
      <c r="K23" s="230">
        <v>43890</v>
      </c>
      <c r="L23" s="234">
        <v>300</v>
      </c>
      <c r="M23" s="49" t="s">
        <v>17</v>
      </c>
      <c r="O23" t="s">
        <v>19</v>
      </c>
      <c r="P23" t="s">
        <v>14</v>
      </c>
      <c r="Q23" t="s">
        <v>93</v>
      </c>
      <c r="R23" s="112">
        <f t="shared" si="2"/>
        <v>3677.7000000000003</v>
      </c>
      <c r="U23" s="181">
        <v>43896</v>
      </c>
      <c r="V23" t="s">
        <v>180</v>
      </c>
      <c r="W23" s="194">
        <v>4500</v>
      </c>
      <c r="X23" t="s">
        <v>167</v>
      </c>
    </row>
    <row r="24" spans="1:26" ht="15" hidden="1" customHeight="1" x14ac:dyDescent="0.25">
      <c r="A24" s="10">
        <v>2</v>
      </c>
      <c r="B24" s="48">
        <v>43852</v>
      </c>
      <c r="C24" s="17">
        <v>230</v>
      </c>
      <c r="D24" s="17">
        <v>230</v>
      </c>
      <c r="E24" s="16">
        <v>43852</v>
      </c>
      <c r="F24" s="16" t="s">
        <v>59</v>
      </c>
      <c r="H24" s="17">
        <f t="shared" si="1"/>
        <v>0</v>
      </c>
      <c r="I24" s="17" t="s">
        <v>19</v>
      </c>
      <c r="J24" s="17" t="s">
        <v>139</v>
      </c>
      <c r="K24" s="230">
        <v>43890</v>
      </c>
      <c r="L24" s="234">
        <v>380</v>
      </c>
      <c r="M24" s="49" t="s">
        <v>17</v>
      </c>
      <c r="O24" t="s">
        <v>19</v>
      </c>
      <c r="P24" t="s">
        <v>14</v>
      </c>
      <c r="Q24" t="s">
        <v>465</v>
      </c>
      <c r="R24" s="112">
        <f t="shared" si="2"/>
        <v>640</v>
      </c>
      <c r="U24" s="181">
        <v>43766</v>
      </c>
      <c r="V24" t="s">
        <v>631</v>
      </c>
      <c r="W24" s="194">
        <v>-9000</v>
      </c>
      <c r="X24" t="s">
        <v>23</v>
      </c>
    </row>
    <row r="25" spans="1:26" ht="15" hidden="1" customHeight="1" x14ac:dyDescent="0.25">
      <c r="A25" s="10">
        <v>3</v>
      </c>
      <c r="B25" s="48">
        <v>43859</v>
      </c>
      <c r="C25" s="17">
        <v>230</v>
      </c>
      <c r="D25" s="17">
        <v>230</v>
      </c>
      <c r="E25" s="16">
        <v>43859</v>
      </c>
      <c r="F25" s="16" t="s">
        <v>183</v>
      </c>
      <c r="H25" s="17">
        <f t="shared" si="1"/>
        <v>0</v>
      </c>
      <c r="I25" s="17" t="s">
        <v>19</v>
      </c>
      <c r="J25" s="17" t="s">
        <v>139</v>
      </c>
      <c r="K25" s="230">
        <v>43891</v>
      </c>
      <c r="L25" s="234">
        <v>39.36</v>
      </c>
      <c r="M25" s="49" t="s">
        <v>26</v>
      </c>
      <c r="O25" t="s">
        <v>19</v>
      </c>
      <c r="P25" t="s">
        <v>14</v>
      </c>
      <c r="Q25" t="s">
        <v>467</v>
      </c>
      <c r="R25" s="112">
        <f t="shared" si="2"/>
        <v>155</v>
      </c>
      <c r="U25" s="181">
        <v>43776</v>
      </c>
      <c r="V25" t="s">
        <v>33</v>
      </c>
      <c r="W25" s="194">
        <v>-410.19</v>
      </c>
      <c r="X25" t="s">
        <v>23</v>
      </c>
    </row>
    <row r="26" spans="1:26" ht="15" hidden="1" customHeight="1" x14ac:dyDescent="0.25">
      <c r="A26" s="10">
        <v>4</v>
      </c>
      <c r="B26" s="48">
        <v>43860</v>
      </c>
      <c r="C26" s="17">
        <v>230</v>
      </c>
      <c r="D26" s="17">
        <v>230</v>
      </c>
      <c r="E26" s="16">
        <v>43860</v>
      </c>
      <c r="F26" s="16" t="s">
        <v>124</v>
      </c>
      <c r="H26" s="17">
        <f t="shared" si="1"/>
        <v>0</v>
      </c>
      <c r="I26" s="17" t="s">
        <v>19</v>
      </c>
      <c r="J26" s="17" t="s">
        <v>139</v>
      </c>
      <c r="K26" s="230">
        <v>43897</v>
      </c>
      <c r="L26" s="234">
        <v>357.18</v>
      </c>
      <c r="M26" s="49" t="s">
        <v>17</v>
      </c>
      <c r="O26" t="s">
        <v>19</v>
      </c>
      <c r="P26" t="s">
        <v>14</v>
      </c>
      <c r="Q26" t="s">
        <v>107</v>
      </c>
      <c r="R26" s="112">
        <f t="shared" si="2"/>
        <v>204.26</v>
      </c>
      <c r="U26" s="181">
        <v>44217</v>
      </c>
      <c r="V26" t="s">
        <v>180</v>
      </c>
      <c r="W26" s="194">
        <f>8320.33</f>
        <v>8320.33</v>
      </c>
      <c r="X26" s="14" t="s">
        <v>23</v>
      </c>
    </row>
    <row r="27" spans="1:26" ht="15" hidden="1" customHeight="1" x14ac:dyDescent="0.25">
      <c r="A27" s="10">
        <v>1</v>
      </c>
      <c r="B27" s="48">
        <v>43866</v>
      </c>
      <c r="C27" s="17">
        <v>350</v>
      </c>
      <c r="D27" s="17"/>
      <c r="E27" s="16"/>
      <c r="H27" s="17">
        <f t="shared" si="1"/>
        <v>350</v>
      </c>
      <c r="I27" s="17" t="s">
        <v>19</v>
      </c>
      <c r="J27" s="17" t="s">
        <v>142</v>
      </c>
      <c r="K27" s="230">
        <v>43897</v>
      </c>
      <c r="L27" s="234">
        <v>156.99</v>
      </c>
      <c r="M27" s="49" t="s">
        <v>17</v>
      </c>
      <c r="O27" t="s">
        <v>19</v>
      </c>
      <c r="P27" t="s">
        <v>14</v>
      </c>
      <c r="Q27" t="s">
        <v>192</v>
      </c>
      <c r="R27" s="112">
        <f t="shared" si="2"/>
        <v>518.37</v>
      </c>
      <c r="U27" s="181">
        <v>44155</v>
      </c>
      <c r="V27" t="s">
        <v>631</v>
      </c>
      <c r="W27" s="194">
        <v>-8600</v>
      </c>
      <c r="X27" t="s">
        <v>457</v>
      </c>
    </row>
    <row r="28" spans="1:26" ht="15" hidden="1" customHeight="1" x14ac:dyDescent="0.25">
      <c r="A28" s="10">
        <v>2</v>
      </c>
      <c r="B28" s="48">
        <v>43873</v>
      </c>
      <c r="C28" s="17">
        <v>350</v>
      </c>
      <c r="D28" s="17"/>
      <c r="E28" s="16"/>
      <c r="F28" s="16"/>
      <c r="H28" s="17">
        <f t="shared" si="1"/>
        <v>700</v>
      </c>
      <c r="I28" s="17" t="s">
        <v>19</v>
      </c>
      <c r="J28" s="17" t="s">
        <v>142</v>
      </c>
      <c r="K28" s="230">
        <v>43902</v>
      </c>
      <c r="L28" s="234">
        <v>162.46</v>
      </c>
      <c r="M28" s="49" t="s">
        <v>17</v>
      </c>
      <c r="N28" t="s">
        <v>140</v>
      </c>
      <c r="O28" t="s">
        <v>19</v>
      </c>
      <c r="P28" t="s">
        <v>14</v>
      </c>
      <c r="Q28" t="s">
        <v>217</v>
      </c>
      <c r="R28" s="112">
        <f t="shared" si="2"/>
        <v>-907.3599999999999</v>
      </c>
      <c r="U28" s="181">
        <v>44161</v>
      </c>
      <c r="V28" t="s">
        <v>17</v>
      </c>
      <c r="W28" s="194">
        <v>-102.5</v>
      </c>
      <c r="X28" t="s">
        <v>457</v>
      </c>
    </row>
    <row r="29" spans="1:26" ht="15" hidden="1" customHeight="1" x14ac:dyDescent="0.25">
      <c r="A29" s="10">
        <v>3</v>
      </c>
      <c r="B29" s="48">
        <v>43880</v>
      </c>
      <c r="C29" s="17">
        <v>350</v>
      </c>
      <c r="D29" s="17">
        <v>850</v>
      </c>
      <c r="E29" s="16">
        <v>43885</v>
      </c>
      <c r="F29" s="16" t="s">
        <v>117</v>
      </c>
      <c r="H29" s="17">
        <f t="shared" si="1"/>
        <v>200</v>
      </c>
      <c r="I29" s="17" t="s">
        <v>19</v>
      </c>
      <c r="J29" s="17" t="s">
        <v>142</v>
      </c>
      <c r="K29" s="230">
        <v>43902</v>
      </c>
      <c r="L29" s="234">
        <v>7.99</v>
      </c>
      <c r="M29" s="49" t="s">
        <v>17</v>
      </c>
      <c r="N29" t="s">
        <v>84</v>
      </c>
      <c r="O29" t="s">
        <v>19</v>
      </c>
      <c r="P29" t="s">
        <v>14</v>
      </c>
      <c r="Q29" t="s">
        <v>422</v>
      </c>
      <c r="R29" s="112">
        <f t="shared" si="2"/>
        <v>1310.48</v>
      </c>
      <c r="U29" s="181">
        <v>44175</v>
      </c>
      <c r="V29" t="s">
        <v>33</v>
      </c>
      <c r="W29" s="194">
        <v>-173.38</v>
      </c>
      <c r="X29" t="s">
        <v>457</v>
      </c>
    </row>
    <row r="30" spans="1:26" ht="15" hidden="1" customHeight="1" x14ac:dyDescent="0.25">
      <c r="A30" s="10">
        <v>4</v>
      </c>
      <c r="B30" s="48">
        <v>43887</v>
      </c>
      <c r="C30" s="17">
        <v>350</v>
      </c>
      <c r="D30" s="17"/>
      <c r="E30" s="16">
        <v>43889</v>
      </c>
      <c r="F30" t="s">
        <v>117</v>
      </c>
      <c r="H30" s="17">
        <f t="shared" si="1"/>
        <v>550</v>
      </c>
      <c r="I30" s="17" t="s">
        <v>19</v>
      </c>
      <c r="J30" s="17" t="s">
        <v>142</v>
      </c>
      <c r="K30" s="230">
        <v>43902</v>
      </c>
      <c r="L30" s="234">
        <v>139.96</v>
      </c>
      <c r="M30" s="49" t="s">
        <v>17</v>
      </c>
      <c r="N30" t="s">
        <v>84</v>
      </c>
      <c r="O30" t="s">
        <v>19</v>
      </c>
      <c r="P30" t="s">
        <v>14</v>
      </c>
      <c r="Q30" t="s">
        <v>440</v>
      </c>
      <c r="R30" s="112">
        <f t="shared" si="2"/>
        <v>0</v>
      </c>
      <c r="U30" s="181">
        <v>44180</v>
      </c>
      <c r="V30" t="s">
        <v>17</v>
      </c>
      <c r="W30" s="194">
        <v>-326.3</v>
      </c>
      <c r="X30" t="s">
        <v>457</v>
      </c>
    </row>
    <row r="31" spans="1:26" ht="15" hidden="1" customHeight="1" x14ac:dyDescent="0.25">
      <c r="A31" s="10">
        <v>5</v>
      </c>
      <c r="B31" s="48">
        <v>43894</v>
      </c>
      <c r="C31" s="17">
        <v>350</v>
      </c>
      <c r="D31" s="17">
        <v>900</v>
      </c>
      <c r="E31" s="16">
        <v>43901</v>
      </c>
      <c r="F31" t="s">
        <v>124</v>
      </c>
      <c r="H31" s="17">
        <f>IFERROR(IF(F29="Closed account",(IF(F31="Unpaid Rent",(C31),(C31-D31))),(IF(F31="Unpaid Rent",(C31+H29),(C31-D31+H29)))),"")</f>
        <v>-350</v>
      </c>
      <c r="I31" s="17" t="s">
        <v>19</v>
      </c>
      <c r="J31" s="17" t="s">
        <v>142</v>
      </c>
      <c r="K31" s="230">
        <v>43902</v>
      </c>
      <c r="L31" s="234">
        <v>181.97</v>
      </c>
      <c r="M31" s="49" t="s">
        <v>26</v>
      </c>
      <c r="N31" t="s">
        <v>141</v>
      </c>
      <c r="O31" t="s">
        <v>19</v>
      </c>
      <c r="P31" t="s">
        <v>14</v>
      </c>
      <c r="Q31" t="s">
        <v>447</v>
      </c>
      <c r="R31" s="112">
        <f t="shared" si="2"/>
        <v>650</v>
      </c>
      <c r="U31" s="181">
        <v>44212</v>
      </c>
      <c r="V31" t="s">
        <v>17</v>
      </c>
      <c r="W31" s="194">
        <v>-415</v>
      </c>
      <c r="X31" t="s">
        <v>457</v>
      </c>
    </row>
    <row r="32" spans="1:26" ht="15" hidden="1" customHeight="1" x14ac:dyDescent="0.25">
      <c r="A32" s="10">
        <v>1</v>
      </c>
      <c r="B32" s="48">
        <v>43903</v>
      </c>
      <c r="C32" s="17">
        <v>250</v>
      </c>
      <c r="D32" s="17">
        <v>250</v>
      </c>
      <c r="E32" s="16">
        <v>43903</v>
      </c>
      <c r="F32" t="s">
        <v>181</v>
      </c>
      <c r="H32" s="17">
        <f>IFERROR(IF(F30="Closed account",(IF(F32="Unpaid Rent",(C32),(C32-D32))),(IF(F32="Unpaid Rent",(C32+H30),(C32-D32+H30)))),"")</f>
        <v>550</v>
      </c>
      <c r="I32" s="17" t="s">
        <v>19</v>
      </c>
      <c r="J32" s="17" t="s">
        <v>143</v>
      </c>
      <c r="K32" s="230">
        <v>43903</v>
      </c>
      <c r="L32" s="234">
        <v>56.03</v>
      </c>
      <c r="M32" s="49" t="s">
        <v>32</v>
      </c>
      <c r="O32" t="s">
        <v>19</v>
      </c>
      <c r="P32" t="s">
        <v>143</v>
      </c>
      <c r="Q32" t="s">
        <v>509</v>
      </c>
      <c r="R32" s="112">
        <f t="shared" si="2"/>
        <v>455</v>
      </c>
      <c r="U32" s="181">
        <v>44242</v>
      </c>
      <c r="V32" t="s">
        <v>17</v>
      </c>
      <c r="W32" s="194">
        <v>-150</v>
      </c>
      <c r="X32" t="s">
        <v>457</v>
      </c>
    </row>
    <row r="33" spans="1:24" ht="15" hidden="1" customHeight="1" x14ac:dyDescent="0.25">
      <c r="A33" s="10">
        <v>1</v>
      </c>
      <c r="B33" s="48">
        <v>43903</v>
      </c>
      <c r="C33" s="17">
        <v>250</v>
      </c>
      <c r="D33" s="17"/>
      <c r="E33" s="16"/>
      <c r="H33" s="17">
        <f t="shared" si="1"/>
        <v>800</v>
      </c>
      <c r="I33" s="17" t="s">
        <v>19</v>
      </c>
      <c r="J33" s="17" t="s">
        <v>143</v>
      </c>
      <c r="K33" s="230">
        <v>43903</v>
      </c>
      <c r="L33" s="234">
        <v>155</v>
      </c>
      <c r="M33" s="49" t="s">
        <v>26</v>
      </c>
      <c r="O33" t="s">
        <v>19</v>
      </c>
      <c r="P33" t="s">
        <v>143</v>
      </c>
      <c r="Q33" t="s">
        <v>614</v>
      </c>
      <c r="R33" s="112">
        <f t="shared" si="2"/>
        <v>920</v>
      </c>
      <c r="U33" s="181">
        <v>44246</v>
      </c>
      <c r="V33" t="s">
        <v>17</v>
      </c>
      <c r="W33" s="194">
        <v>-550</v>
      </c>
      <c r="X33" t="s">
        <v>457</v>
      </c>
    </row>
    <row r="34" spans="1:24" ht="15" hidden="1" customHeight="1" x14ac:dyDescent="0.25">
      <c r="A34" s="10">
        <v>2</v>
      </c>
      <c r="B34" s="48">
        <v>43910</v>
      </c>
      <c r="C34" s="17">
        <v>180</v>
      </c>
      <c r="D34" s="17">
        <v>380</v>
      </c>
      <c r="E34" s="16">
        <v>43917</v>
      </c>
      <c r="F34" t="s">
        <v>124</v>
      </c>
      <c r="H34" s="17">
        <f t="shared" si="1"/>
        <v>600</v>
      </c>
      <c r="I34" s="17" t="s">
        <v>19</v>
      </c>
      <c r="J34" s="77" t="s">
        <v>143</v>
      </c>
      <c r="K34" s="230">
        <v>43917</v>
      </c>
      <c r="L34" s="234">
        <v>146.59</v>
      </c>
      <c r="M34" s="49" t="s">
        <v>16</v>
      </c>
      <c r="O34" t="s">
        <v>19</v>
      </c>
      <c r="P34" t="s">
        <v>143</v>
      </c>
      <c r="Q34" t="s">
        <v>173</v>
      </c>
      <c r="R34" s="112">
        <f t="shared" si="2"/>
        <v>1615.13</v>
      </c>
      <c r="U34" s="181">
        <v>44214</v>
      </c>
      <c r="V34" t="s">
        <v>500</v>
      </c>
      <c r="W34" s="194">
        <v>-150</v>
      </c>
      <c r="X34" t="s">
        <v>457</v>
      </c>
    </row>
    <row r="35" spans="1:24" ht="15" hidden="1" customHeight="1" x14ac:dyDescent="0.25">
      <c r="A35" s="10">
        <v>1</v>
      </c>
      <c r="B35" s="48">
        <v>43929</v>
      </c>
      <c r="C35" s="17">
        <v>180</v>
      </c>
      <c r="D35" s="17">
        <v>180</v>
      </c>
      <c r="E35" s="16">
        <v>43929</v>
      </c>
      <c r="F35" t="s">
        <v>181</v>
      </c>
      <c r="H35" s="17">
        <f>IFERROR(IF(F33="Closed account",(IF(F35="Unpaid Rent",(C35),(C35-D35))),(IF(F35="Unpaid Rent",(C35+H33),(C35-D35+H33)))),"")</f>
        <v>800</v>
      </c>
      <c r="I35" s="17" t="s">
        <v>19</v>
      </c>
      <c r="J35" s="17" t="s">
        <v>92</v>
      </c>
      <c r="K35" s="230">
        <v>43920</v>
      </c>
      <c r="L35" s="234">
        <v>5.5</v>
      </c>
      <c r="M35" s="49" t="s">
        <v>22</v>
      </c>
      <c r="O35" t="s">
        <v>19</v>
      </c>
      <c r="P35" t="s">
        <v>143</v>
      </c>
      <c r="Q35" s="9" t="s">
        <v>151</v>
      </c>
      <c r="R35" s="112">
        <f t="shared" si="2"/>
        <v>2436.4300000000003</v>
      </c>
      <c r="U35" s="181">
        <v>44280</v>
      </c>
      <c r="V35" t="s">
        <v>642</v>
      </c>
      <c r="W35" s="194">
        <v>-250</v>
      </c>
      <c r="X35" t="s">
        <v>457</v>
      </c>
    </row>
    <row r="36" spans="1:24" ht="15" hidden="1" customHeight="1" x14ac:dyDescent="0.25">
      <c r="A36" s="10">
        <v>1</v>
      </c>
      <c r="B36" s="48">
        <v>43929</v>
      </c>
      <c r="C36" s="17">
        <v>180</v>
      </c>
      <c r="D36" s="17">
        <v>180</v>
      </c>
      <c r="E36" s="16">
        <v>43928</v>
      </c>
      <c r="F36" t="s">
        <v>114</v>
      </c>
      <c r="H36" s="17">
        <f>IFERROR(IF(F34="Closed account",(IF(F36="Unpaid Rent",(C36),(C36-D36))),(IF(F36="Unpaid Rent",(C36+H34),(C36-D36+H34)))),"")</f>
        <v>0</v>
      </c>
      <c r="I36" s="17" t="s">
        <v>19</v>
      </c>
      <c r="J36" s="17" t="s">
        <v>92</v>
      </c>
      <c r="K36" s="230">
        <v>43917</v>
      </c>
      <c r="L36" s="234">
        <v>250</v>
      </c>
      <c r="M36" s="49" t="s">
        <v>45</v>
      </c>
      <c r="O36" t="s">
        <v>19</v>
      </c>
      <c r="P36" t="s">
        <v>143</v>
      </c>
      <c r="Q36" t="s">
        <v>329</v>
      </c>
      <c r="R36" s="112">
        <f t="shared" si="2"/>
        <v>1121.4299999999998</v>
      </c>
      <c r="U36" s="181">
        <v>44330</v>
      </c>
      <c r="V36" t="s">
        <v>180</v>
      </c>
      <c r="W36" s="194">
        <v>8461</v>
      </c>
      <c r="X36" t="s">
        <v>457</v>
      </c>
    </row>
    <row r="37" spans="1:24" ht="15" hidden="1" customHeight="1" x14ac:dyDescent="0.25">
      <c r="A37" s="10">
        <v>2</v>
      </c>
      <c r="B37" s="48">
        <v>43936</v>
      </c>
      <c r="C37" s="17">
        <v>180</v>
      </c>
      <c r="D37" s="17"/>
      <c r="E37" s="16"/>
      <c r="H37" s="17">
        <f t="shared" si="1"/>
        <v>180</v>
      </c>
      <c r="I37" s="17" t="s">
        <v>19</v>
      </c>
      <c r="J37" s="17" t="s">
        <v>92</v>
      </c>
      <c r="K37" s="230">
        <v>43928</v>
      </c>
      <c r="L37" s="234">
        <v>212.34</v>
      </c>
      <c r="M37" s="49" t="s">
        <v>20</v>
      </c>
      <c r="O37" t="s">
        <v>19</v>
      </c>
      <c r="P37" t="s">
        <v>92</v>
      </c>
      <c r="Q37" t="s">
        <v>455</v>
      </c>
      <c r="R37" s="112">
        <f t="shared" si="2"/>
        <v>1492.8</v>
      </c>
      <c r="U37" s="181">
        <v>44146</v>
      </c>
      <c r="V37" t="s">
        <v>631</v>
      </c>
      <c r="W37" s="194">
        <v>-4700</v>
      </c>
      <c r="X37" t="s">
        <v>521</v>
      </c>
    </row>
    <row r="38" spans="1:24" ht="15" hidden="1" customHeight="1" x14ac:dyDescent="0.25">
      <c r="A38" s="10">
        <v>3</v>
      </c>
      <c r="B38" s="48">
        <v>43943</v>
      </c>
      <c r="C38" s="17">
        <v>180</v>
      </c>
      <c r="D38" s="17"/>
      <c r="E38" s="16"/>
      <c r="H38" s="17">
        <f t="shared" si="1"/>
        <v>360</v>
      </c>
      <c r="I38" s="17" t="s">
        <v>19</v>
      </c>
      <c r="J38" s="17" t="s">
        <v>92</v>
      </c>
      <c r="K38" s="231">
        <v>43949</v>
      </c>
      <c r="L38" s="234">
        <v>192.76</v>
      </c>
      <c r="M38" s="49" t="s">
        <v>16</v>
      </c>
      <c r="O38" t="s">
        <v>19</v>
      </c>
      <c r="P38" t="s">
        <v>92</v>
      </c>
      <c r="Q38" t="s">
        <v>544</v>
      </c>
      <c r="R38" s="112">
        <f t="shared" si="2"/>
        <v>500</v>
      </c>
      <c r="U38" s="181">
        <v>44149</v>
      </c>
      <c r="V38" t="s">
        <v>196</v>
      </c>
      <c r="W38" s="194">
        <v>-80.2</v>
      </c>
      <c r="X38" t="s">
        <v>521</v>
      </c>
    </row>
    <row r="39" spans="1:24" ht="15" hidden="1" customHeight="1" x14ac:dyDescent="0.25">
      <c r="A39" s="10">
        <v>4</v>
      </c>
      <c r="B39" s="48">
        <v>43950</v>
      </c>
      <c r="C39" s="17">
        <v>180</v>
      </c>
      <c r="D39" s="17"/>
      <c r="E39" s="16"/>
      <c r="H39" s="17">
        <f t="shared" si="1"/>
        <v>540</v>
      </c>
      <c r="I39" s="17" t="s">
        <v>19</v>
      </c>
      <c r="J39" s="17" t="s">
        <v>92</v>
      </c>
      <c r="K39" s="230">
        <v>43993</v>
      </c>
      <c r="L39" s="234">
        <v>94.6</v>
      </c>
      <c r="M39" s="49" t="s">
        <v>45</v>
      </c>
      <c r="O39" t="s">
        <v>19</v>
      </c>
      <c r="P39" t="s">
        <v>92</v>
      </c>
      <c r="Q39" t="s">
        <v>650</v>
      </c>
      <c r="R39" s="112">
        <f t="shared" si="2"/>
        <v>535.17999999999995</v>
      </c>
      <c r="U39" s="181">
        <v>44149</v>
      </c>
      <c r="V39" t="s">
        <v>32</v>
      </c>
      <c r="W39" s="194">
        <v>-14.45</v>
      </c>
      <c r="X39" t="s">
        <v>521</v>
      </c>
    </row>
    <row r="40" spans="1:24" ht="15" hidden="1" customHeight="1" x14ac:dyDescent="0.25">
      <c r="A40" s="10">
        <v>5</v>
      </c>
      <c r="B40" s="48">
        <v>43957</v>
      </c>
      <c r="C40" s="17">
        <v>180</v>
      </c>
      <c r="D40" s="17">
        <v>360</v>
      </c>
      <c r="E40" s="16">
        <v>43962</v>
      </c>
      <c r="F40" t="s">
        <v>117</v>
      </c>
      <c r="H40" s="17">
        <f t="shared" si="1"/>
        <v>360</v>
      </c>
      <c r="I40" s="17" t="s">
        <v>19</v>
      </c>
      <c r="J40" s="17" t="s">
        <v>92</v>
      </c>
      <c r="K40" s="230">
        <v>44000</v>
      </c>
      <c r="L40" s="234">
        <v>85.4</v>
      </c>
      <c r="M40" s="49" t="s">
        <v>45</v>
      </c>
      <c r="N40" t="s">
        <v>206</v>
      </c>
      <c r="O40" t="s">
        <v>19</v>
      </c>
      <c r="P40" t="s">
        <v>92</v>
      </c>
      <c r="Q40" t="s">
        <v>143</v>
      </c>
      <c r="R40" s="112">
        <f t="shared" si="2"/>
        <v>308.52</v>
      </c>
      <c r="U40" s="181">
        <v>44161</v>
      </c>
      <c r="V40" t="s">
        <v>643</v>
      </c>
      <c r="W40" s="194">
        <v>-250</v>
      </c>
      <c r="X40" t="s">
        <v>521</v>
      </c>
    </row>
    <row r="41" spans="1:24" ht="15" hidden="1" customHeight="1" x14ac:dyDescent="0.25">
      <c r="A41" s="10">
        <v>6</v>
      </c>
      <c r="B41" s="48">
        <v>43964</v>
      </c>
      <c r="C41" s="17">
        <v>180</v>
      </c>
      <c r="D41" s="17"/>
      <c r="E41" s="16"/>
      <c r="H41" s="17">
        <f t="shared" si="1"/>
        <v>540</v>
      </c>
      <c r="I41" s="17" t="s">
        <v>19</v>
      </c>
      <c r="J41" s="17" t="s">
        <v>92</v>
      </c>
      <c r="K41" s="230">
        <v>43843</v>
      </c>
      <c r="L41" s="234">
        <v>176.12</v>
      </c>
      <c r="M41" s="49" t="s">
        <v>17</v>
      </c>
      <c r="O41" t="s">
        <v>19</v>
      </c>
      <c r="P41" t="s">
        <v>14</v>
      </c>
      <c r="Q41" s="9" t="s">
        <v>14</v>
      </c>
      <c r="R41" s="112">
        <f t="shared" si="2"/>
        <v>-26399.059999999998</v>
      </c>
      <c r="U41" s="181">
        <v>44168</v>
      </c>
      <c r="V41" t="s">
        <v>48</v>
      </c>
      <c r="W41" s="194">
        <v>-450</v>
      </c>
      <c r="X41" t="s">
        <v>521</v>
      </c>
    </row>
    <row r="42" spans="1:24" ht="15" hidden="1" customHeight="1" x14ac:dyDescent="0.25">
      <c r="A42" s="10">
        <v>7</v>
      </c>
      <c r="B42" s="48">
        <v>43971</v>
      </c>
      <c r="C42" s="17">
        <v>180</v>
      </c>
      <c r="D42" s="17">
        <v>360</v>
      </c>
      <c r="E42" s="16">
        <v>43970</v>
      </c>
      <c r="F42" t="s">
        <v>117</v>
      </c>
      <c r="H42" s="17">
        <f t="shared" si="1"/>
        <v>360</v>
      </c>
      <c r="I42" s="17" t="s">
        <v>19</v>
      </c>
      <c r="J42" s="17" t="s">
        <v>92</v>
      </c>
      <c r="K42" s="230">
        <v>44000</v>
      </c>
      <c r="L42" s="234">
        <v>84.6</v>
      </c>
      <c r="M42" s="49" t="s">
        <v>43</v>
      </c>
      <c r="N42" t="s">
        <v>206</v>
      </c>
      <c r="O42" t="s">
        <v>19</v>
      </c>
      <c r="P42" t="s">
        <v>92</v>
      </c>
      <c r="Q42" s="13" t="s">
        <v>216</v>
      </c>
      <c r="R42" s="112">
        <f t="shared" si="2"/>
        <v>526.01</v>
      </c>
      <c r="U42" s="181">
        <v>44168</v>
      </c>
      <c r="V42" t="s">
        <v>644</v>
      </c>
      <c r="W42" s="194">
        <v>-49.47</v>
      </c>
      <c r="X42" t="s">
        <v>521</v>
      </c>
    </row>
    <row r="43" spans="1:24" ht="15" hidden="1" customHeight="1" x14ac:dyDescent="0.25">
      <c r="A43" s="10">
        <v>8</v>
      </c>
      <c r="B43" s="48">
        <v>43978</v>
      </c>
      <c r="C43" s="17">
        <v>180</v>
      </c>
      <c r="D43" s="17">
        <v>180</v>
      </c>
      <c r="E43" s="16">
        <v>43987</v>
      </c>
      <c r="F43" t="s">
        <v>117</v>
      </c>
      <c r="H43" s="17">
        <f t="shared" si="1"/>
        <v>360</v>
      </c>
      <c r="I43" s="17" t="s">
        <v>19</v>
      </c>
      <c r="J43" s="17" t="s">
        <v>92</v>
      </c>
      <c r="K43" s="230">
        <v>43739</v>
      </c>
      <c r="L43" s="234">
        <v>52.8</v>
      </c>
      <c r="M43" s="49" t="s">
        <v>98</v>
      </c>
      <c r="O43" t="s">
        <v>44</v>
      </c>
      <c r="P43" t="s">
        <v>146</v>
      </c>
      <c r="Q43" t="s">
        <v>329</v>
      </c>
      <c r="R43" s="112">
        <f t="shared" si="2"/>
        <v>1121.4299999999998</v>
      </c>
      <c r="U43" s="181">
        <v>44243</v>
      </c>
      <c r="V43" t="s">
        <v>180</v>
      </c>
      <c r="W43" s="194">
        <v>9500</v>
      </c>
      <c r="X43" t="s">
        <v>521</v>
      </c>
    </row>
    <row r="44" spans="1:24" ht="15" hidden="1" customHeight="1" x14ac:dyDescent="0.25">
      <c r="A44" s="10">
        <v>9</v>
      </c>
      <c r="B44" s="48">
        <v>43985</v>
      </c>
      <c r="C44" s="17">
        <v>180</v>
      </c>
      <c r="D44" s="17"/>
      <c r="E44" s="16"/>
      <c r="H44" s="17">
        <f t="shared" si="1"/>
        <v>540</v>
      </c>
      <c r="I44" s="17" t="s">
        <v>19</v>
      </c>
      <c r="J44" s="17" t="s">
        <v>92</v>
      </c>
      <c r="K44" s="230">
        <v>43739</v>
      </c>
      <c r="L44" s="234">
        <v>55.1</v>
      </c>
      <c r="M44" s="49" t="s">
        <v>54</v>
      </c>
      <c r="O44" t="s">
        <v>44</v>
      </c>
      <c r="P44" t="s">
        <v>146</v>
      </c>
      <c r="Q44" t="s">
        <v>461</v>
      </c>
      <c r="R44" s="112">
        <f t="shared" si="2"/>
        <v>200</v>
      </c>
      <c r="U44" s="181">
        <v>43904</v>
      </c>
      <c r="V44" t="s">
        <v>631</v>
      </c>
      <c r="W44" s="194">
        <v>-8700</v>
      </c>
      <c r="X44" t="s">
        <v>31</v>
      </c>
    </row>
    <row r="45" spans="1:24" ht="15" hidden="1" customHeight="1" x14ac:dyDescent="0.25">
      <c r="A45" s="10">
        <v>10</v>
      </c>
      <c r="B45" s="48">
        <v>43992</v>
      </c>
      <c r="C45" s="17">
        <v>180</v>
      </c>
      <c r="D45" s="17"/>
      <c r="E45" s="16"/>
      <c r="H45" s="17">
        <f t="shared" si="1"/>
        <v>720</v>
      </c>
      <c r="I45" s="17" t="s">
        <v>19</v>
      </c>
      <c r="J45" s="17" t="s">
        <v>92</v>
      </c>
      <c r="K45" s="230">
        <v>43746</v>
      </c>
      <c r="L45" s="234">
        <v>196.2</v>
      </c>
      <c r="M45" s="49" t="s">
        <v>16</v>
      </c>
      <c r="O45" t="s">
        <v>44</v>
      </c>
      <c r="P45" t="s">
        <v>146</v>
      </c>
      <c r="Q45" t="s">
        <v>418</v>
      </c>
      <c r="R45" s="112">
        <f t="shared" si="2"/>
        <v>2713.14</v>
      </c>
      <c r="U45" s="181">
        <v>43910</v>
      </c>
      <c r="V45" t="s">
        <v>33</v>
      </c>
      <c r="W45" s="194">
        <v>-259.10000000000002</v>
      </c>
      <c r="X45" t="s">
        <v>31</v>
      </c>
    </row>
    <row r="46" spans="1:24" ht="15" hidden="1" customHeight="1" x14ac:dyDescent="0.25">
      <c r="A46" s="10">
        <v>11</v>
      </c>
      <c r="B46" s="48">
        <v>43999</v>
      </c>
      <c r="C46" s="17">
        <v>180</v>
      </c>
      <c r="D46" s="17">
        <v>150</v>
      </c>
      <c r="E46" s="16">
        <v>43999</v>
      </c>
      <c r="F46" t="s">
        <v>124</v>
      </c>
      <c r="H46" s="17">
        <f t="shared" si="1"/>
        <v>750</v>
      </c>
      <c r="I46" s="17" t="s">
        <v>19</v>
      </c>
      <c r="J46" s="17" t="s">
        <v>92</v>
      </c>
      <c r="K46" s="230">
        <v>43740</v>
      </c>
      <c r="L46" s="234">
        <v>20</v>
      </c>
      <c r="M46" s="49" t="s">
        <v>32</v>
      </c>
      <c r="O46" t="s">
        <v>44</v>
      </c>
      <c r="P46" t="s">
        <v>146</v>
      </c>
      <c r="Q46" t="s">
        <v>520</v>
      </c>
      <c r="R46" s="112">
        <f t="shared" si="2"/>
        <v>280</v>
      </c>
      <c r="U46" s="181">
        <v>43994</v>
      </c>
      <c r="V46" t="s">
        <v>179</v>
      </c>
      <c r="W46" s="194">
        <v>-160</v>
      </c>
      <c r="X46" t="s">
        <v>31</v>
      </c>
    </row>
    <row r="47" spans="1:24" ht="15" hidden="1" customHeight="1" x14ac:dyDescent="0.25">
      <c r="A47" s="10">
        <v>1</v>
      </c>
      <c r="B47" s="48">
        <v>44014</v>
      </c>
      <c r="C47" s="17">
        <v>840</v>
      </c>
      <c r="D47" s="17">
        <v>840</v>
      </c>
      <c r="E47" s="16">
        <v>44014</v>
      </c>
      <c r="F47" t="s">
        <v>124</v>
      </c>
      <c r="H47" s="17">
        <f t="shared" si="1"/>
        <v>0</v>
      </c>
      <c r="I47" s="17" t="s">
        <v>19</v>
      </c>
      <c r="J47" s="17" t="s">
        <v>144</v>
      </c>
      <c r="K47" s="230">
        <v>43748</v>
      </c>
      <c r="L47" s="234">
        <v>212.34</v>
      </c>
      <c r="M47" s="49" t="s">
        <v>20</v>
      </c>
      <c r="O47" t="s">
        <v>44</v>
      </c>
      <c r="P47" t="s">
        <v>146</v>
      </c>
      <c r="Q47" t="s">
        <v>510</v>
      </c>
      <c r="R47" s="112">
        <f t="shared" si="2"/>
        <v>1520.69</v>
      </c>
      <c r="U47" s="181">
        <v>44217</v>
      </c>
      <c r="V47" t="s">
        <v>180</v>
      </c>
      <c r="W47" s="194">
        <v>10197</v>
      </c>
      <c r="X47" t="s">
        <v>31</v>
      </c>
    </row>
    <row r="48" spans="1:24" ht="15" hidden="1" customHeight="1" x14ac:dyDescent="0.25">
      <c r="A48" s="10">
        <v>1</v>
      </c>
      <c r="B48" s="48">
        <v>43889</v>
      </c>
      <c r="C48" s="17">
        <v>4262.3599999999997</v>
      </c>
      <c r="D48" s="17">
        <v>4262.3599999999997</v>
      </c>
      <c r="E48" s="16">
        <v>43889</v>
      </c>
      <c r="F48" t="s">
        <v>111</v>
      </c>
      <c r="H48" s="17">
        <f t="shared" si="1"/>
        <v>0</v>
      </c>
      <c r="I48" s="17" t="s">
        <v>19</v>
      </c>
      <c r="J48" s="17" t="s">
        <v>259</v>
      </c>
      <c r="K48" s="230">
        <v>43775</v>
      </c>
      <c r="L48" s="234">
        <v>196.2</v>
      </c>
      <c r="M48" s="49" t="s">
        <v>16</v>
      </c>
      <c r="O48" t="s">
        <v>44</v>
      </c>
      <c r="P48" t="s">
        <v>146</v>
      </c>
      <c r="Q48" t="s">
        <v>546</v>
      </c>
      <c r="R48" s="112">
        <f t="shared" si="2"/>
        <v>220</v>
      </c>
      <c r="U48" s="181">
        <v>44126</v>
      </c>
      <c r="V48" t="s">
        <v>647</v>
      </c>
      <c r="W48" s="194">
        <v>-1110.5</v>
      </c>
      <c r="X48" t="s">
        <v>439</v>
      </c>
    </row>
    <row r="49" spans="1:24" ht="15" hidden="1" customHeight="1" x14ac:dyDescent="0.25">
      <c r="A49" s="10">
        <v>1</v>
      </c>
      <c r="B49" s="48">
        <v>43749</v>
      </c>
      <c r="C49" s="17">
        <v>400</v>
      </c>
      <c r="D49" s="17">
        <v>400</v>
      </c>
      <c r="E49" s="16">
        <v>43749</v>
      </c>
      <c r="F49" s="16" t="s">
        <v>181</v>
      </c>
      <c r="H49" s="17">
        <f t="shared" si="1"/>
        <v>0</v>
      </c>
      <c r="I49" s="17" t="s">
        <v>44</v>
      </c>
      <c r="J49" s="17" t="s">
        <v>146</v>
      </c>
      <c r="K49" s="230">
        <v>43792</v>
      </c>
      <c r="L49" s="234">
        <v>330</v>
      </c>
      <c r="M49" s="49" t="s">
        <v>26</v>
      </c>
      <c r="N49" t="s">
        <v>204</v>
      </c>
      <c r="O49" t="s">
        <v>44</v>
      </c>
      <c r="P49" t="s">
        <v>146</v>
      </c>
      <c r="Q49" t="s">
        <v>558</v>
      </c>
      <c r="R49" s="112">
        <f t="shared" si="2"/>
        <v>277.58000000000004</v>
      </c>
      <c r="U49" s="181">
        <v>44125</v>
      </c>
      <c r="V49" t="s">
        <v>631</v>
      </c>
      <c r="W49" s="194">
        <v>-4100</v>
      </c>
      <c r="X49" t="s">
        <v>439</v>
      </c>
    </row>
    <row r="50" spans="1:24" ht="15" hidden="1" customHeight="1" x14ac:dyDescent="0.25">
      <c r="A50" s="10">
        <v>1</v>
      </c>
      <c r="B50" s="48">
        <v>43749</v>
      </c>
      <c r="C50" s="17">
        <v>200</v>
      </c>
      <c r="D50" s="17"/>
      <c r="E50" s="16"/>
      <c r="F50" s="16" t="s">
        <v>114</v>
      </c>
      <c r="H50" s="17">
        <f t="shared" si="1"/>
        <v>200</v>
      </c>
      <c r="I50" s="17" t="s">
        <v>44</v>
      </c>
      <c r="J50" s="17" t="s">
        <v>146</v>
      </c>
      <c r="K50" s="230">
        <v>43805</v>
      </c>
      <c r="L50" s="234">
        <v>196.2</v>
      </c>
      <c r="M50" s="49" t="s">
        <v>16</v>
      </c>
      <c r="O50" t="s">
        <v>44</v>
      </c>
      <c r="P50" t="s">
        <v>146</v>
      </c>
      <c r="Q50" t="s">
        <v>600</v>
      </c>
      <c r="R50" s="112">
        <f t="shared" si="2"/>
        <v>816.77</v>
      </c>
      <c r="U50" s="181">
        <v>44175</v>
      </c>
      <c r="V50" t="s">
        <v>48</v>
      </c>
      <c r="W50" s="194">
        <v>-137.5</v>
      </c>
      <c r="X50" t="s">
        <v>439</v>
      </c>
    </row>
    <row r="51" spans="1:24" ht="15" hidden="1" customHeight="1" x14ac:dyDescent="0.25">
      <c r="A51" s="10">
        <v>2</v>
      </c>
      <c r="B51" s="48">
        <v>43756</v>
      </c>
      <c r="C51" s="17">
        <v>200</v>
      </c>
      <c r="D51" s="17">
        <v>400</v>
      </c>
      <c r="E51" s="16">
        <v>43756</v>
      </c>
      <c r="F51" s="16" t="s">
        <v>114</v>
      </c>
      <c r="H51" s="17">
        <f t="shared" si="1"/>
        <v>0</v>
      </c>
      <c r="I51" s="17" t="s">
        <v>44</v>
      </c>
      <c r="J51" s="17" t="s">
        <v>146</v>
      </c>
      <c r="K51" s="230">
        <v>43809</v>
      </c>
      <c r="L51" s="234">
        <v>400</v>
      </c>
      <c r="M51" s="49" t="s">
        <v>45</v>
      </c>
      <c r="O51" t="s">
        <v>44</v>
      </c>
      <c r="P51" t="s">
        <v>146</v>
      </c>
      <c r="Q51" t="s">
        <v>176</v>
      </c>
      <c r="R51" s="112">
        <f t="shared" si="2"/>
        <v>0</v>
      </c>
      <c r="U51" s="181">
        <v>44204</v>
      </c>
      <c r="V51" t="s">
        <v>648</v>
      </c>
      <c r="W51" s="194">
        <v>-2222</v>
      </c>
      <c r="X51" t="s">
        <v>439</v>
      </c>
    </row>
    <row r="52" spans="1:24" ht="15" hidden="1" customHeight="1" x14ac:dyDescent="0.25">
      <c r="A52" s="10">
        <v>3</v>
      </c>
      <c r="B52" s="48">
        <v>43763</v>
      </c>
      <c r="C52" s="17">
        <v>200</v>
      </c>
      <c r="D52" s="17">
        <v>200</v>
      </c>
      <c r="E52" s="16">
        <v>43766</v>
      </c>
      <c r="F52" s="16" t="s">
        <v>114</v>
      </c>
      <c r="H52" s="17">
        <f t="shared" si="1"/>
        <v>0</v>
      </c>
      <c r="I52" s="17" t="s">
        <v>44</v>
      </c>
      <c r="J52" s="17" t="s">
        <v>146</v>
      </c>
      <c r="K52" s="230">
        <v>43819</v>
      </c>
      <c r="L52" s="234">
        <v>480</v>
      </c>
      <c r="M52" s="49" t="s">
        <v>45</v>
      </c>
      <c r="O52" t="s">
        <v>44</v>
      </c>
      <c r="P52" t="s">
        <v>94</v>
      </c>
      <c r="Q52" t="s">
        <v>770</v>
      </c>
      <c r="R52" s="112">
        <f t="shared" si="2"/>
        <v>943.51</v>
      </c>
      <c r="U52" s="181">
        <v>44204</v>
      </c>
      <c r="V52" t="s">
        <v>22</v>
      </c>
      <c r="W52" s="194">
        <v>-2.5</v>
      </c>
      <c r="X52" t="s">
        <v>439</v>
      </c>
    </row>
    <row r="53" spans="1:24" ht="15" hidden="1" customHeight="1" x14ac:dyDescent="0.25">
      <c r="A53" s="10">
        <v>4</v>
      </c>
      <c r="B53" s="48">
        <v>43770</v>
      </c>
      <c r="C53" s="17">
        <v>200</v>
      </c>
      <c r="D53" s="17">
        <v>200</v>
      </c>
      <c r="E53" s="16">
        <v>43774</v>
      </c>
      <c r="F53" s="16" t="s">
        <v>114</v>
      </c>
      <c r="H53" s="17">
        <f t="shared" si="1"/>
        <v>0</v>
      </c>
      <c r="I53" s="17" t="s">
        <v>44</v>
      </c>
      <c r="J53" s="17" t="s">
        <v>146</v>
      </c>
      <c r="K53" s="230">
        <v>43836</v>
      </c>
      <c r="L53" s="234">
        <v>60</v>
      </c>
      <c r="M53" s="49" t="s">
        <v>53</v>
      </c>
      <c r="O53" t="s">
        <v>44</v>
      </c>
      <c r="P53" t="s">
        <v>147</v>
      </c>
      <c r="Q53" t="s">
        <v>465</v>
      </c>
      <c r="R53" s="112">
        <f t="shared" si="2"/>
        <v>640</v>
      </c>
      <c r="U53" s="181">
        <v>44210</v>
      </c>
      <c r="V53" t="s">
        <v>17</v>
      </c>
      <c r="W53" s="194">
        <v>-149.9</v>
      </c>
      <c r="X53" t="s">
        <v>439</v>
      </c>
    </row>
    <row r="54" spans="1:24" ht="15" hidden="1" customHeight="1" x14ac:dyDescent="0.25">
      <c r="A54" s="10">
        <v>5</v>
      </c>
      <c r="B54" s="48">
        <v>43777</v>
      </c>
      <c r="C54" s="17">
        <v>200</v>
      </c>
      <c r="D54" s="17">
        <v>200</v>
      </c>
      <c r="E54" s="16">
        <v>43780</v>
      </c>
      <c r="F54" s="16" t="s">
        <v>114</v>
      </c>
      <c r="H54" s="17">
        <f t="shared" si="1"/>
        <v>0</v>
      </c>
      <c r="I54" s="17" t="s">
        <v>44</v>
      </c>
      <c r="J54" s="17" t="s">
        <v>146</v>
      </c>
      <c r="K54" s="231">
        <v>43841</v>
      </c>
      <c r="L54" s="234">
        <v>89.2</v>
      </c>
      <c r="M54" s="49" t="s">
        <v>16</v>
      </c>
      <c r="O54" t="s">
        <v>44</v>
      </c>
      <c r="P54" t="s">
        <v>147</v>
      </c>
      <c r="Q54" s="60" t="s">
        <v>14</v>
      </c>
      <c r="R54" s="112">
        <f t="shared" si="2"/>
        <v>-26399.059999999998</v>
      </c>
      <c r="U54" s="181">
        <v>43823</v>
      </c>
      <c r="V54" t="s">
        <v>631</v>
      </c>
      <c r="W54" s="194">
        <v>-8400</v>
      </c>
      <c r="X54" t="s">
        <v>29</v>
      </c>
    </row>
    <row r="55" spans="1:24" ht="15" hidden="1" customHeight="1" x14ac:dyDescent="0.25">
      <c r="A55" s="10">
        <v>6</v>
      </c>
      <c r="B55" s="48">
        <v>43784</v>
      </c>
      <c r="C55" s="17">
        <v>200</v>
      </c>
      <c r="D55" s="17">
        <v>200</v>
      </c>
      <c r="E55" s="16">
        <v>43787</v>
      </c>
      <c r="F55" s="16" t="s">
        <v>114</v>
      </c>
      <c r="H55" s="17">
        <f t="shared" si="1"/>
        <v>0</v>
      </c>
      <c r="I55" s="17" t="s">
        <v>44</v>
      </c>
      <c r="J55" s="17" t="s">
        <v>146</v>
      </c>
      <c r="K55" s="231">
        <v>43872</v>
      </c>
      <c r="L55" s="235">
        <v>89.2</v>
      </c>
      <c r="M55" s="78" t="s">
        <v>16</v>
      </c>
      <c r="O55" t="s">
        <v>44</v>
      </c>
      <c r="P55" t="s">
        <v>14</v>
      </c>
      <c r="Q55" s="16" t="s">
        <v>655</v>
      </c>
      <c r="R55" s="112">
        <f t="shared" si="2"/>
        <v>3854.5</v>
      </c>
      <c r="U55" s="181">
        <v>43838</v>
      </c>
      <c r="V55" t="s">
        <v>33</v>
      </c>
      <c r="W55" s="194">
        <v>-250.7</v>
      </c>
      <c r="X55" t="s">
        <v>29</v>
      </c>
    </row>
    <row r="56" spans="1:24" ht="15" hidden="1" customHeight="1" x14ac:dyDescent="0.25">
      <c r="A56" s="10">
        <v>7</v>
      </c>
      <c r="B56" s="48">
        <v>43791</v>
      </c>
      <c r="C56" s="17">
        <v>200</v>
      </c>
      <c r="D56" s="17">
        <v>200</v>
      </c>
      <c r="E56" s="16">
        <v>43794</v>
      </c>
      <c r="F56" s="16" t="s">
        <v>114</v>
      </c>
      <c r="H56" s="17">
        <f t="shared" si="1"/>
        <v>0</v>
      </c>
      <c r="I56" s="17" t="s">
        <v>44</v>
      </c>
      <c r="J56" s="17" t="s">
        <v>146</v>
      </c>
      <c r="K56" s="231">
        <v>43901</v>
      </c>
      <c r="L56" s="235">
        <v>89.2</v>
      </c>
      <c r="M56" s="78" t="s">
        <v>16</v>
      </c>
      <c r="O56" t="s">
        <v>44</v>
      </c>
      <c r="P56" t="s">
        <v>14</v>
      </c>
      <c r="Q56" t="s">
        <v>465</v>
      </c>
      <c r="R56" s="112">
        <f t="shared" si="2"/>
        <v>640</v>
      </c>
      <c r="U56" s="181">
        <v>44414</v>
      </c>
      <c r="V56" t="s">
        <v>180</v>
      </c>
      <c r="W56" s="194">
        <v>6850</v>
      </c>
      <c r="X56" t="s">
        <v>29</v>
      </c>
    </row>
    <row r="57" spans="1:24" ht="15" hidden="1" customHeight="1" x14ac:dyDescent="0.25">
      <c r="A57" s="10">
        <v>8</v>
      </c>
      <c r="B57" s="48">
        <v>43798</v>
      </c>
      <c r="C57" s="17">
        <v>200</v>
      </c>
      <c r="D57" s="17"/>
      <c r="E57" s="16"/>
      <c r="F57" s="16" t="s">
        <v>114</v>
      </c>
      <c r="H57" s="17">
        <f t="shared" si="1"/>
        <v>200</v>
      </c>
      <c r="I57" s="17" t="s">
        <v>44</v>
      </c>
      <c r="J57" s="17" t="s">
        <v>146</v>
      </c>
      <c r="K57" s="230">
        <v>43818</v>
      </c>
      <c r="L57" s="234">
        <v>60</v>
      </c>
      <c r="M57" s="49" t="s">
        <v>53</v>
      </c>
      <c r="N57" t="s">
        <v>163</v>
      </c>
      <c r="O57" t="s">
        <v>167</v>
      </c>
      <c r="P57" t="s">
        <v>14</v>
      </c>
      <c r="Q57" t="s">
        <v>696</v>
      </c>
      <c r="R57" s="112">
        <f t="shared" si="2"/>
        <v>467.9</v>
      </c>
      <c r="U57" s="181">
        <v>44417</v>
      </c>
      <c r="V57" t="s">
        <v>180</v>
      </c>
      <c r="W57" s="194">
        <v>3250</v>
      </c>
      <c r="X57" t="s">
        <v>439</v>
      </c>
    </row>
    <row r="58" spans="1:24" ht="15" hidden="1" customHeight="1" x14ac:dyDescent="0.25">
      <c r="A58" s="10">
        <v>9</v>
      </c>
      <c r="B58" s="48">
        <v>43805</v>
      </c>
      <c r="C58" s="17">
        <f>200-68.95</f>
        <v>131.05000000000001</v>
      </c>
      <c r="D58" s="17">
        <v>331.05</v>
      </c>
      <c r="E58" s="16">
        <v>43808</v>
      </c>
      <c r="F58" s="16" t="s">
        <v>124</v>
      </c>
      <c r="H58" s="17">
        <f t="shared" si="1"/>
        <v>0</v>
      </c>
      <c r="I58" s="17" t="s">
        <v>44</v>
      </c>
      <c r="J58" s="17" t="s">
        <v>146</v>
      </c>
      <c r="K58" s="230">
        <v>43818</v>
      </c>
      <c r="L58" s="234">
        <v>21.99</v>
      </c>
      <c r="M58" s="49" t="s">
        <v>53</v>
      </c>
      <c r="N58" t="s">
        <v>164</v>
      </c>
      <c r="O58" t="s">
        <v>167</v>
      </c>
      <c r="P58" t="s">
        <v>14</v>
      </c>
      <c r="Q58" t="s">
        <v>676</v>
      </c>
      <c r="R58" s="112">
        <f t="shared" si="2"/>
        <v>6684.920000000001</v>
      </c>
      <c r="U58" s="181">
        <v>44771</v>
      </c>
      <c r="V58" t="s">
        <v>180</v>
      </c>
      <c r="W58" s="194">
        <v>8200</v>
      </c>
      <c r="X58" t="s">
        <v>201</v>
      </c>
    </row>
    <row r="59" spans="1:24" ht="15" hidden="1" customHeight="1" x14ac:dyDescent="0.25">
      <c r="A59" s="10">
        <v>1</v>
      </c>
      <c r="B59" s="48">
        <v>43809</v>
      </c>
      <c r="C59" s="17">
        <v>480</v>
      </c>
      <c r="D59" s="17">
        <v>480</v>
      </c>
      <c r="E59" s="16">
        <v>43809</v>
      </c>
      <c r="F59" s="16" t="s">
        <v>181</v>
      </c>
      <c r="H59" s="17">
        <f t="shared" si="1"/>
        <v>0</v>
      </c>
      <c r="I59" s="17" t="s">
        <v>44</v>
      </c>
      <c r="J59" s="17" t="s">
        <v>94</v>
      </c>
      <c r="K59" s="230">
        <v>43818</v>
      </c>
      <c r="L59" s="234">
        <v>22</v>
      </c>
      <c r="M59" s="49" t="s">
        <v>34</v>
      </c>
      <c r="O59" t="s">
        <v>167</v>
      </c>
      <c r="P59" t="s">
        <v>94</v>
      </c>
      <c r="Q59" t="s">
        <v>159</v>
      </c>
      <c r="R59" s="112">
        <f t="shared" si="2"/>
        <v>983.3</v>
      </c>
      <c r="U59" s="181">
        <v>44041</v>
      </c>
      <c r="V59" t="s">
        <v>631</v>
      </c>
      <c r="W59" s="194">
        <v>-5528</v>
      </c>
      <c r="X59" t="s">
        <v>201</v>
      </c>
    </row>
    <row r="60" spans="1:24" ht="15" hidden="1" customHeight="1" x14ac:dyDescent="0.25">
      <c r="A60" s="10">
        <v>1</v>
      </c>
      <c r="B60" s="48">
        <v>43809</v>
      </c>
      <c r="C60" s="17">
        <v>240</v>
      </c>
      <c r="D60" s="17">
        <v>240</v>
      </c>
      <c r="E60" s="16">
        <v>43810</v>
      </c>
      <c r="F60" s="16" t="s">
        <v>124</v>
      </c>
      <c r="H60" s="17">
        <f t="shared" si="1"/>
        <v>0</v>
      </c>
      <c r="I60" s="17" t="s">
        <v>44</v>
      </c>
      <c r="J60" s="17" t="s">
        <v>94</v>
      </c>
      <c r="K60" s="230">
        <v>43819</v>
      </c>
      <c r="L60" s="234">
        <v>60</v>
      </c>
      <c r="M60" s="49" t="s">
        <v>34</v>
      </c>
      <c r="O60" t="s">
        <v>167</v>
      </c>
      <c r="P60" t="s">
        <v>94</v>
      </c>
      <c r="Q60" s="9" t="s">
        <v>149</v>
      </c>
      <c r="R60" s="112">
        <f t="shared" si="2"/>
        <v>280.64999999999998</v>
      </c>
      <c r="U60" s="181">
        <v>44015</v>
      </c>
      <c r="V60" t="s">
        <v>196</v>
      </c>
      <c r="W60" s="194">
        <v>-64.040000000000006</v>
      </c>
      <c r="X60" t="s">
        <v>201</v>
      </c>
    </row>
    <row r="61" spans="1:24" ht="15" hidden="1" customHeight="1" x14ac:dyDescent="0.25">
      <c r="A61" s="10">
        <v>1</v>
      </c>
      <c r="B61" s="48">
        <v>43828</v>
      </c>
      <c r="C61" s="17">
        <v>240</v>
      </c>
      <c r="D61" s="17">
        <v>240</v>
      </c>
      <c r="E61" s="16">
        <v>43828</v>
      </c>
      <c r="F61" s="16" t="s">
        <v>124</v>
      </c>
      <c r="H61" s="17">
        <f t="shared" si="1"/>
        <v>0</v>
      </c>
      <c r="I61" s="17" t="s">
        <v>44</v>
      </c>
      <c r="J61" s="17" t="s">
        <v>147</v>
      </c>
      <c r="K61" s="230">
        <v>43819</v>
      </c>
      <c r="L61" s="234">
        <v>55.1</v>
      </c>
      <c r="M61" s="49" t="s">
        <v>54</v>
      </c>
      <c r="O61" t="s">
        <v>167</v>
      </c>
      <c r="P61" t="s">
        <v>94</v>
      </c>
      <c r="Q61" s="13" t="s">
        <v>94</v>
      </c>
      <c r="R61" s="112">
        <f t="shared" si="2"/>
        <v>1074.7299999999996</v>
      </c>
      <c r="U61" s="181">
        <v>44015</v>
      </c>
      <c r="V61" t="s">
        <v>104</v>
      </c>
      <c r="W61" s="194">
        <v>-100</v>
      </c>
      <c r="X61" t="s">
        <v>201</v>
      </c>
    </row>
    <row r="62" spans="1:24" ht="15" hidden="1" customHeight="1" x14ac:dyDescent="0.25">
      <c r="A62" s="10">
        <v>1</v>
      </c>
      <c r="B62" s="48">
        <v>43816</v>
      </c>
      <c r="C62" s="17">
        <v>480</v>
      </c>
      <c r="D62" s="17">
        <v>480</v>
      </c>
      <c r="E62" s="16">
        <v>43822</v>
      </c>
      <c r="F62" s="16" t="s">
        <v>181</v>
      </c>
      <c r="G62" s="228">
        <v>90075</v>
      </c>
      <c r="H62" s="17">
        <f t="shared" si="1"/>
        <v>0</v>
      </c>
      <c r="I62" s="17" t="s">
        <v>167</v>
      </c>
      <c r="J62" s="17" t="s">
        <v>94</v>
      </c>
      <c r="K62" s="230">
        <v>43822</v>
      </c>
      <c r="L62" s="234">
        <v>72.069999999999993</v>
      </c>
      <c r="M62" s="49" t="s">
        <v>32</v>
      </c>
      <c r="O62" t="s">
        <v>167</v>
      </c>
      <c r="P62" t="s">
        <v>94</v>
      </c>
      <c r="Q62" s="19" t="s">
        <v>162</v>
      </c>
      <c r="R62" s="112">
        <f t="shared" si="2"/>
        <v>454.5</v>
      </c>
      <c r="U62" s="181">
        <v>44023</v>
      </c>
      <c r="V62" t="s">
        <v>48</v>
      </c>
      <c r="W62" s="194">
        <v>-600</v>
      </c>
      <c r="X62" t="s">
        <v>201</v>
      </c>
    </row>
    <row r="63" spans="1:24" ht="15" hidden="1" customHeight="1" x14ac:dyDescent="0.25">
      <c r="A63" s="10">
        <v>1</v>
      </c>
      <c r="B63" s="48">
        <v>43816</v>
      </c>
      <c r="C63" s="17">
        <v>235</v>
      </c>
      <c r="D63" s="17">
        <v>235</v>
      </c>
      <c r="E63" s="16">
        <v>43822</v>
      </c>
      <c r="F63" s="16" t="s">
        <v>58</v>
      </c>
      <c r="G63" s="228">
        <v>90075</v>
      </c>
      <c r="H63" s="17">
        <f t="shared" si="1"/>
        <v>0</v>
      </c>
      <c r="I63" s="17" t="s">
        <v>167</v>
      </c>
      <c r="J63" s="17" t="s">
        <v>94</v>
      </c>
      <c r="K63" s="230">
        <v>43822</v>
      </c>
      <c r="L63" s="234">
        <v>150</v>
      </c>
      <c r="M63" s="49" t="s">
        <v>26</v>
      </c>
      <c r="N63" t="s">
        <v>26</v>
      </c>
      <c r="O63" t="s">
        <v>167</v>
      </c>
      <c r="P63" t="s">
        <v>94</v>
      </c>
      <c r="Q63" s="9" t="s">
        <v>139</v>
      </c>
      <c r="R63" s="112">
        <f t="shared" si="2"/>
        <v>3592.56</v>
      </c>
      <c r="U63" s="181">
        <v>44023</v>
      </c>
      <c r="V63" t="s">
        <v>196</v>
      </c>
      <c r="W63" s="194">
        <v>-49.47</v>
      </c>
      <c r="X63" t="s">
        <v>201</v>
      </c>
    </row>
    <row r="64" spans="1:24" ht="15" hidden="1" customHeight="1" x14ac:dyDescent="0.25">
      <c r="A64" s="10">
        <v>2</v>
      </c>
      <c r="B64" s="48">
        <v>43823</v>
      </c>
      <c r="C64" s="17">
        <v>225</v>
      </c>
      <c r="D64" s="17">
        <v>225</v>
      </c>
      <c r="E64" s="16">
        <v>43823</v>
      </c>
      <c r="F64" s="16" t="s">
        <v>58</v>
      </c>
      <c r="H64" s="17">
        <f t="shared" si="1"/>
        <v>0</v>
      </c>
      <c r="I64" s="17" t="s">
        <v>167</v>
      </c>
      <c r="J64" s="17" t="s">
        <v>94</v>
      </c>
      <c r="K64" s="230">
        <v>43822</v>
      </c>
      <c r="L64" s="234">
        <v>197.45</v>
      </c>
      <c r="M64" s="49" t="s">
        <v>20</v>
      </c>
      <c r="O64" t="s">
        <v>167</v>
      </c>
      <c r="P64" t="s">
        <v>94</v>
      </c>
      <c r="Q64" t="s">
        <v>14</v>
      </c>
      <c r="R64" s="112">
        <f t="shared" si="2"/>
        <v>-26399.059999999998</v>
      </c>
      <c r="U64" s="181">
        <v>44041</v>
      </c>
      <c r="V64" t="s">
        <v>33</v>
      </c>
      <c r="W64" s="194">
        <v>-361.45</v>
      </c>
      <c r="X64" t="s">
        <v>201</v>
      </c>
    </row>
    <row r="65" spans="1:25" ht="15" hidden="1" customHeight="1" x14ac:dyDescent="0.25">
      <c r="A65" s="10">
        <v>3</v>
      </c>
      <c r="B65" s="48">
        <v>43830</v>
      </c>
      <c r="C65" s="17">
        <v>225</v>
      </c>
      <c r="D65" s="17">
        <v>225</v>
      </c>
      <c r="E65" s="16">
        <v>43830</v>
      </c>
      <c r="F65" s="16" t="s">
        <v>124</v>
      </c>
      <c r="G65" s="228">
        <v>97167</v>
      </c>
      <c r="H65" s="17">
        <f t="shared" si="1"/>
        <v>0</v>
      </c>
      <c r="I65" s="17" t="s">
        <v>167</v>
      </c>
      <c r="J65" s="17" t="s">
        <v>94</v>
      </c>
      <c r="K65" s="230">
        <v>43822</v>
      </c>
      <c r="L65" s="234">
        <v>5.5</v>
      </c>
      <c r="M65" s="49" t="s">
        <v>22</v>
      </c>
      <c r="O65" t="s">
        <v>167</v>
      </c>
      <c r="P65" t="s">
        <v>94</v>
      </c>
      <c r="Q65" s="9" t="s">
        <v>215</v>
      </c>
      <c r="R65" s="112">
        <f t="shared" si="2"/>
        <v>320</v>
      </c>
      <c r="U65" s="181">
        <v>44593</v>
      </c>
      <c r="V65" t="s">
        <v>180</v>
      </c>
      <c r="W65" s="194">
        <v>4000</v>
      </c>
      <c r="X65" t="s">
        <v>795</v>
      </c>
    </row>
    <row r="66" spans="1:25" ht="15" hidden="1" customHeight="1" x14ac:dyDescent="0.25">
      <c r="A66" s="10">
        <v>4</v>
      </c>
      <c r="B66" s="48">
        <v>43837</v>
      </c>
      <c r="C66" s="17">
        <v>225</v>
      </c>
      <c r="D66" s="17">
        <v>225</v>
      </c>
      <c r="E66" s="16">
        <v>43837</v>
      </c>
      <c r="F66" s="16"/>
      <c r="H66" s="17">
        <f t="shared" si="1"/>
        <v>0</v>
      </c>
      <c r="I66" s="17" t="s">
        <v>167</v>
      </c>
      <c r="J66" s="17" t="s">
        <v>94</v>
      </c>
      <c r="K66" s="230">
        <v>43822</v>
      </c>
      <c r="L66" s="234">
        <v>130.28</v>
      </c>
      <c r="M66" s="49" t="s">
        <v>16</v>
      </c>
      <c r="O66" t="s">
        <v>167</v>
      </c>
      <c r="P66" t="s">
        <v>94</v>
      </c>
      <c r="Q66" t="s">
        <v>418</v>
      </c>
      <c r="R66" s="112">
        <f t="shared" si="2"/>
        <v>2713.14</v>
      </c>
      <c r="U66" s="181">
        <v>44273</v>
      </c>
      <c r="V66" t="s">
        <v>631</v>
      </c>
      <c r="W66" s="194">
        <v>-1000</v>
      </c>
      <c r="X66" t="s">
        <v>795</v>
      </c>
    </row>
    <row r="67" spans="1:25" ht="15" hidden="1" customHeight="1" x14ac:dyDescent="0.25">
      <c r="A67" s="10">
        <v>5</v>
      </c>
      <c r="B67" s="48">
        <v>43844</v>
      </c>
      <c r="C67" s="17">
        <v>225</v>
      </c>
      <c r="D67" s="17">
        <v>225</v>
      </c>
      <c r="E67" s="16">
        <v>43844</v>
      </c>
      <c r="H67" s="17">
        <f t="shared" si="1"/>
        <v>0</v>
      </c>
      <c r="I67" s="17" t="s">
        <v>167</v>
      </c>
      <c r="J67" s="17" t="s">
        <v>94</v>
      </c>
      <c r="K67" s="230">
        <v>43851</v>
      </c>
      <c r="L67" s="234">
        <v>130.28</v>
      </c>
      <c r="M67" s="49" t="s">
        <v>16</v>
      </c>
      <c r="O67" t="s">
        <v>167</v>
      </c>
      <c r="P67" t="s">
        <v>94</v>
      </c>
      <c r="Q67" t="s">
        <v>464</v>
      </c>
      <c r="R67" s="112">
        <f t="shared" si="2"/>
        <v>1400</v>
      </c>
      <c r="U67" s="181">
        <v>44273</v>
      </c>
      <c r="V67" t="s">
        <v>104</v>
      </c>
      <c r="W67" s="194">
        <v>-120</v>
      </c>
      <c r="X67" t="s">
        <v>795</v>
      </c>
    </row>
    <row r="68" spans="1:25" ht="15" hidden="1" customHeight="1" x14ac:dyDescent="0.25">
      <c r="A68" s="10">
        <v>6</v>
      </c>
      <c r="B68" s="48">
        <v>43851</v>
      </c>
      <c r="C68" s="17">
        <v>225</v>
      </c>
      <c r="D68" s="17">
        <v>225</v>
      </c>
      <c r="E68" s="16">
        <v>43851</v>
      </c>
      <c r="H68" s="17">
        <f t="shared" si="1"/>
        <v>0</v>
      </c>
      <c r="I68" s="17" t="s">
        <v>167</v>
      </c>
      <c r="J68" s="17" t="s">
        <v>94</v>
      </c>
      <c r="K68" s="230">
        <v>43864</v>
      </c>
      <c r="L68" s="234">
        <v>410</v>
      </c>
      <c r="M68" s="49" t="s">
        <v>17</v>
      </c>
      <c r="O68" t="s">
        <v>167</v>
      </c>
      <c r="P68" t="s">
        <v>14</v>
      </c>
      <c r="Q68" t="s">
        <v>510</v>
      </c>
      <c r="R68" s="112">
        <f t="shared" si="2"/>
        <v>1520.69</v>
      </c>
      <c r="U68" s="181">
        <v>44273</v>
      </c>
      <c r="V68" t="s">
        <v>235</v>
      </c>
      <c r="W68" s="194">
        <v>-80</v>
      </c>
      <c r="X68" t="s">
        <v>795</v>
      </c>
    </row>
    <row r="69" spans="1:25" ht="15" hidden="1" customHeight="1" x14ac:dyDescent="0.25">
      <c r="A69" s="10">
        <v>7</v>
      </c>
      <c r="B69" s="48">
        <v>43858</v>
      </c>
      <c r="C69" s="17">
        <v>225</v>
      </c>
      <c r="D69" s="17">
        <v>225</v>
      </c>
      <c r="E69" s="16">
        <v>43858</v>
      </c>
      <c r="H69" s="17">
        <f t="shared" si="1"/>
        <v>0</v>
      </c>
      <c r="I69" s="17" t="s">
        <v>167</v>
      </c>
      <c r="J69" s="17" t="s">
        <v>94</v>
      </c>
      <c r="K69" s="230">
        <v>43889</v>
      </c>
      <c r="L69" s="234">
        <v>79.42</v>
      </c>
      <c r="M69" s="49" t="s">
        <v>32</v>
      </c>
      <c r="O69" t="s">
        <v>167</v>
      </c>
      <c r="P69" t="s">
        <v>94</v>
      </c>
      <c r="Q69" t="s">
        <v>553</v>
      </c>
      <c r="R69" s="112">
        <f t="shared" si="2"/>
        <v>300</v>
      </c>
      <c r="U69" s="181">
        <v>44290</v>
      </c>
      <c r="V69" t="s">
        <v>235</v>
      </c>
      <c r="W69" s="194">
        <v>-135</v>
      </c>
      <c r="X69" t="s">
        <v>795</v>
      </c>
    </row>
    <row r="70" spans="1:25" ht="15" hidden="1" customHeight="1" x14ac:dyDescent="0.25">
      <c r="A70" s="10">
        <v>1</v>
      </c>
      <c r="B70" s="48">
        <v>43774</v>
      </c>
      <c r="C70" s="17">
        <v>460</v>
      </c>
      <c r="D70" s="17">
        <v>460</v>
      </c>
      <c r="E70" s="16">
        <v>43774</v>
      </c>
      <c r="F70" s="16" t="s">
        <v>181</v>
      </c>
      <c r="G70" s="228">
        <v>136035</v>
      </c>
      <c r="H70" s="17">
        <f t="shared" si="1"/>
        <v>0</v>
      </c>
      <c r="I70" s="17" t="s">
        <v>23</v>
      </c>
      <c r="J70" s="17" t="s">
        <v>155</v>
      </c>
      <c r="K70" s="230">
        <v>43910</v>
      </c>
      <c r="L70" s="234">
        <v>197.45</v>
      </c>
      <c r="M70" s="49" t="s">
        <v>20</v>
      </c>
      <c r="O70" t="s">
        <v>167</v>
      </c>
      <c r="P70" t="s">
        <v>94</v>
      </c>
      <c r="Q70" t="s">
        <v>655</v>
      </c>
      <c r="R70" s="112">
        <f t="shared" si="2"/>
        <v>3854.5</v>
      </c>
      <c r="U70" s="181">
        <v>44303</v>
      </c>
      <c r="V70" t="s">
        <v>620</v>
      </c>
      <c r="W70" s="194">
        <v>-700</v>
      </c>
      <c r="X70" t="s">
        <v>795</v>
      </c>
    </row>
    <row r="71" spans="1:25" ht="15" hidden="1" customHeight="1" x14ac:dyDescent="0.25">
      <c r="A71" s="10">
        <v>1</v>
      </c>
      <c r="B71" s="48">
        <v>43774</v>
      </c>
      <c r="C71" s="17">
        <v>230</v>
      </c>
      <c r="D71" s="17">
        <v>230</v>
      </c>
      <c r="E71" s="16">
        <v>43774</v>
      </c>
      <c r="F71" s="16" t="s">
        <v>114</v>
      </c>
      <c r="H71" s="17">
        <f t="shared" si="1"/>
        <v>0</v>
      </c>
      <c r="I71" s="17" t="s">
        <v>23</v>
      </c>
      <c r="J71" s="17" t="s">
        <v>155</v>
      </c>
      <c r="K71" s="230">
        <v>43913</v>
      </c>
      <c r="L71" s="234">
        <v>98.22</v>
      </c>
      <c r="M71" s="49" t="s">
        <v>16</v>
      </c>
      <c r="O71" t="s">
        <v>167</v>
      </c>
      <c r="P71" t="s">
        <v>94</v>
      </c>
      <c r="Q71" t="s">
        <v>736</v>
      </c>
      <c r="R71" s="112">
        <f t="shared" si="2"/>
        <v>294.5</v>
      </c>
      <c r="U71" s="181">
        <v>44310</v>
      </c>
      <c r="V71" t="s">
        <v>196</v>
      </c>
      <c r="W71" s="194">
        <v>-64.040000000000006</v>
      </c>
      <c r="X71" t="s">
        <v>795</v>
      </c>
    </row>
    <row r="72" spans="1:25" ht="15" hidden="1" customHeight="1" x14ac:dyDescent="0.25">
      <c r="A72" s="10">
        <v>2</v>
      </c>
      <c r="B72" s="48">
        <v>43781</v>
      </c>
      <c r="C72" s="17">
        <v>230</v>
      </c>
      <c r="D72" s="17">
        <v>230</v>
      </c>
      <c r="E72" s="16">
        <v>43781</v>
      </c>
      <c r="F72" s="16" t="s">
        <v>59</v>
      </c>
      <c r="H72" s="17">
        <f t="shared" ref="H72:H135" si="3">IFERROR(IF(F71="Closed account",(IF(F72="Unpaid Rent",(C72),(C72-D72))),(IF(F72="Unpaid Rent",(C72+H71),(C72-D72+H71)))),"")</f>
        <v>0</v>
      </c>
      <c r="I72" s="17" t="s">
        <v>23</v>
      </c>
      <c r="J72" s="17" t="s">
        <v>155</v>
      </c>
      <c r="K72" s="230">
        <v>43918</v>
      </c>
      <c r="L72" s="234">
        <v>2.5</v>
      </c>
      <c r="M72" s="49" t="s">
        <v>22</v>
      </c>
      <c r="O72" t="s">
        <v>167</v>
      </c>
      <c r="P72" t="s">
        <v>94</v>
      </c>
      <c r="Q72" t="s">
        <v>866</v>
      </c>
      <c r="R72" s="112">
        <f t="shared" ref="R72:R88" si="4">SUMIF($J$6:$J$2992,Q72,$D$6:$D$2992)-SUMIFS($D$6:$D$2992,$J$6:$J$2992,Q72,$F$6:$F$2992,"Unpaid Rent")-(SUMIFS($D$6:$D$2992,$J$6:$J$2992,Q72,$F$6:$F$2992,"Discount Rent")*2)-(SUMIFS($D$6:$D$2992,$J$6:$J$2992,Q72,$F$6:$F$2992,"Bond Received"))-SUMIF($P$6:$P$2989,Q72,$L$6:$L$2989)+SUMIFS($L$6:$L$2989,$P$6:$P$2989,Q72,$M$6:$M$2989,"Bond Return")</f>
        <v>-111.04</v>
      </c>
      <c r="U72" s="181">
        <v>44380</v>
      </c>
      <c r="V72" t="s">
        <v>32</v>
      </c>
      <c r="W72" s="194">
        <v>-11.21</v>
      </c>
      <c r="X72" t="s">
        <v>795</v>
      </c>
    </row>
    <row r="73" spans="1:25" hidden="1" x14ac:dyDescent="0.25">
      <c r="A73" s="10">
        <v>3</v>
      </c>
      <c r="B73" s="48">
        <v>43788</v>
      </c>
      <c r="C73" s="17">
        <v>230</v>
      </c>
      <c r="D73" s="17">
        <v>220</v>
      </c>
      <c r="E73" s="16">
        <v>43788</v>
      </c>
      <c r="F73" s="16" t="s">
        <v>59</v>
      </c>
      <c r="H73" s="17">
        <f t="shared" si="3"/>
        <v>10</v>
      </c>
      <c r="I73" s="17" t="s">
        <v>23</v>
      </c>
      <c r="J73" s="17" t="s">
        <v>155</v>
      </c>
      <c r="K73" s="230">
        <v>43920</v>
      </c>
      <c r="L73" s="234">
        <v>150</v>
      </c>
      <c r="M73" s="49" t="s">
        <v>17</v>
      </c>
      <c r="N73" t="s">
        <v>156</v>
      </c>
      <c r="O73" t="s">
        <v>167</v>
      </c>
      <c r="P73" t="s">
        <v>14</v>
      </c>
      <c r="Q73" t="s">
        <v>771</v>
      </c>
      <c r="R73" s="112">
        <f t="shared" si="4"/>
        <v>351.13</v>
      </c>
      <c r="U73" s="181">
        <v>44383</v>
      </c>
      <c r="V73" t="s">
        <v>160</v>
      </c>
      <c r="W73" s="194">
        <v>-137.09</v>
      </c>
      <c r="X73" t="s">
        <v>795</v>
      </c>
    </row>
    <row r="74" spans="1:25" hidden="1" x14ac:dyDescent="0.25">
      <c r="A74" s="10">
        <v>4</v>
      </c>
      <c r="B74" s="48">
        <v>43795</v>
      </c>
      <c r="C74" s="17">
        <v>230</v>
      </c>
      <c r="D74" s="17">
        <v>220</v>
      </c>
      <c r="E74" s="16">
        <v>43797</v>
      </c>
      <c r="F74" s="16" t="s">
        <v>59</v>
      </c>
      <c r="H74" s="17">
        <f t="shared" si="3"/>
        <v>20</v>
      </c>
      <c r="I74" s="17" t="s">
        <v>23</v>
      </c>
      <c r="J74" s="17" t="s">
        <v>155</v>
      </c>
      <c r="K74" s="230">
        <v>43922</v>
      </c>
      <c r="L74" s="234">
        <v>480</v>
      </c>
      <c r="M74" s="49" t="s">
        <v>45</v>
      </c>
      <c r="O74" t="s">
        <v>167</v>
      </c>
      <c r="P74" t="s">
        <v>94</v>
      </c>
      <c r="Q74" t="s">
        <v>159</v>
      </c>
      <c r="R74" s="112">
        <f t="shared" si="4"/>
        <v>983.3</v>
      </c>
      <c r="U74" s="181">
        <v>44392</v>
      </c>
      <c r="V74" t="s">
        <v>33</v>
      </c>
      <c r="W74" s="194">
        <v>-327.63</v>
      </c>
      <c r="X74" t="s">
        <v>795</v>
      </c>
    </row>
    <row r="75" spans="1:25" hidden="1" x14ac:dyDescent="0.25">
      <c r="A75" s="10">
        <v>5</v>
      </c>
      <c r="B75" s="48">
        <v>43802</v>
      </c>
      <c r="C75" s="17">
        <v>230</v>
      </c>
      <c r="D75" s="17">
        <v>220</v>
      </c>
      <c r="E75" s="16">
        <v>43802</v>
      </c>
      <c r="F75" s="16" t="s">
        <v>59</v>
      </c>
      <c r="H75" s="17">
        <f t="shared" si="3"/>
        <v>30</v>
      </c>
      <c r="I75" s="17" t="s">
        <v>23</v>
      </c>
      <c r="J75" s="17" t="s">
        <v>155</v>
      </c>
      <c r="K75" s="230">
        <v>43774</v>
      </c>
      <c r="L75" s="234">
        <v>139.82</v>
      </c>
      <c r="M75" s="49" t="s">
        <v>16</v>
      </c>
      <c r="O75" t="s">
        <v>23</v>
      </c>
      <c r="P75" t="s">
        <v>155</v>
      </c>
      <c r="Q75" s="9" t="s">
        <v>149</v>
      </c>
      <c r="R75" s="112">
        <f t="shared" si="4"/>
        <v>280.64999999999998</v>
      </c>
      <c r="U75" s="181">
        <v>44405</v>
      </c>
      <c r="V75" t="s">
        <v>235</v>
      </c>
      <c r="W75" s="194">
        <v>-13.5</v>
      </c>
      <c r="X75" t="s">
        <v>795</v>
      </c>
    </row>
    <row r="76" spans="1:25" hidden="1" x14ac:dyDescent="0.25">
      <c r="A76" s="10">
        <v>6</v>
      </c>
      <c r="B76" s="48">
        <v>43809</v>
      </c>
      <c r="C76" s="17">
        <v>200</v>
      </c>
      <c r="D76" s="17">
        <v>240</v>
      </c>
      <c r="E76" s="16">
        <v>43809</v>
      </c>
      <c r="F76" s="16" t="s">
        <v>59</v>
      </c>
      <c r="H76" s="17">
        <f t="shared" si="3"/>
        <v>-10</v>
      </c>
      <c r="I76" s="17" t="s">
        <v>23</v>
      </c>
      <c r="J76" s="17" t="s">
        <v>155</v>
      </c>
      <c r="K76" s="230">
        <v>43781</v>
      </c>
      <c r="L76" s="234">
        <v>80</v>
      </c>
      <c r="M76" s="49" t="s">
        <v>17</v>
      </c>
      <c r="N76" t="s">
        <v>203</v>
      </c>
      <c r="O76" t="s">
        <v>23</v>
      </c>
      <c r="P76" t="s">
        <v>155</v>
      </c>
      <c r="Q76" s="13" t="s">
        <v>94</v>
      </c>
      <c r="R76" s="112">
        <f t="shared" si="4"/>
        <v>1074.7299999999996</v>
      </c>
      <c r="U76" s="181">
        <v>44411</v>
      </c>
      <c r="V76" t="s">
        <v>235</v>
      </c>
      <c r="W76" s="194">
        <v>-21.55</v>
      </c>
      <c r="X76" t="s">
        <v>795</v>
      </c>
    </row>
    <row r="77" spans="1:25" hidden="1" x14ac:dyDescent="0.25">
      <c r="A77" s="10">
        <v>7</v>
      </c>
      <c r="B77" s="48">
        <v>43816</v>
      </c>
      <c r="C77" s="17">
        <v>200</v>
      </c>
      <c r="D77" s="17">
        <v>240</v>
      </c>
      <c r="E77" s="16">
        <v>43818</v>
      </c>
      <c r="F77" s="16" t="s">
        <v>59</v>
      </c>
      <c r="H77" s="17">
        <f t="shared" si="3"/>
        <v>-50</v>
      </c>
      <c r="I77" s="17" t="s">
        <v>23</v>
      </c>
      <c r="J77" s="17" t="s">
        <v>155</v>
      </c>
      <c r="K77" s="230">
        <v>43797</v>
      </c>
      <c r="L77" s="234">
        <v>150</v>
      </c>
      <c r="M77" s="49" t="s">
        <v>26</v>
      </c>
      <c r="O77" t="s">
        <v>23</v>
      </c>
      <c r="P77" t="s">
        <v>155</v>
      </c>
      <c r="Q77" s="19" t="s">
        <v>162</v>
      </c>
      <c r="R77" s="112">
        <f t="shared" si="4"/>
        <v>454.5</v>
      </c>
      <c r="U77" s="181">
        <v>44431</v>
      </c>
      <c r="V77" t="s">
        <v>17</v>
      </c>
      <c r="W77" s="194">
        <v>-150</v>
      </c>
      <c r="X77" t="s">
        <v>795</v>
      </c>
      <c r="Y77" t="s">
        <v>864</v>
      </c>
    </row>
    <row r="78" spans="1:25" hidden="1" x14ac:dyDescent="0.25">
      <c r="A78" s="10">
        <v>8</v>
      </c>
      <c r="B78" s="48">
        <v>43823</v>
      </c>
      <c r="C78" s="17">
        <v>200</v>
      </c>
      <c r="D78" s="17"/>
      <c r="E78" s="16"/>
      <c r="F78" s="16" t="s">
        <v>59</v>
      </c>
      <c r="H78" s="17">
        <f t="shared" si="3"/>
        <v>150</v>
      </c>
      <c r="I78" t="s">
        <v>23</v>
      </c>
      <c r="J78" s="17" t="s">
        <v>155</v>
      </c>
      <c r="K78" s="230">
        <v>43809</v>
      </c>
      <c r="L78" s="234">
        <v>139.82</v>
      </c>
      <c r="M78" s="49" t="s">
        <v>16</v>
      </c>
      <c r="O78" t="s">
        <v>23</v>
      </c>
      <c r="P78" t="s">
        <v>155</v>
      </c>
      <c r="Q78" s="9" t="s">
        <v>139</v>
      </c>
      <c r="R78" s="112">
        <f t="shared" si="4"/>
        <v>3592.56</v>
      </c>
      <c r="U78" s="181">
        <v>44431</v>
      </c>
      <c r="V78" t="s">
        <v>17</v>
      </c>
      <c r="W78" s="194">
        <v>-3250.5</v>
      </c>
      <c r="X78" t="s">
        <v>795</v>
      </c>
    </row>
    <row r="79" spans="1:25" hidden="1" x14ac:dyDescent="0.25">
      <c r="A79" s="10">
        <v>9</v>
      </c>
      <c r="B79" s="48">
        <v>43830</v>
      </c>
      <c r="C79" s="17">
        <v>200</v>
      </c>
      <c r="D79" s="17">
        <v>350</v>
      </c>
      <c r="E79" s="16">
        <v>43831</v>
      </c>
      <c r="F79" s="16" t="s">
        <v>124</v>
      </c>
      <c r="H79" s="17">
        <f t="shared" si="3"/>
        <v>0</v>
      </c>
      <c r="I79" t="s">
        <v>23</v>
      </c>
      <c r="J79" s="17" t="s">
        <v>155</v>
      </c>
      <c r="K79" s="230">
        <v>43800</v>
      </c>
      <c r="L79" s="234">
        <v>460</v>
      </c>
      <c r="M79" s="49" t="s">
        <v>45</v>
      </c>
      <c r="O79" t="s">
        <v>23</v>
      </c>
      <c r="P79" t="s">
        <v>155</v>
      </c>
      <c r="Q79" t="s">
        <v>14</v>
      </c>
      <c r="R79" s="112">
        <f t="shared" si="4"/>
        <v>-26399.059999999998</v>
      </c>
      <c r="U79" s="181">
        <v>44431</v>
      </c>
      <c r="V79" t="s">
        <v>644</v>
      </c>
      <c r="W79" s="194">
        <v>-107</v>
      </c>
      <c r="X79" t="s">
        <v>795</v>
      </c>
    </row>
    <row r="80" spans="1:25" hidden="1" x14ac:dyDescent="0.25">
      <c r="A80" s="10">
        <v>1</v>
      </c>
      <c r="B80" s="48">
        <v>43835</v>
      </c>
      <c r="C80" s="17">
        <v>250</v>
      </c>
      <c r="D80" s="17">
        <v>250</v>
      </c>
      <c r="E80" s="16">
        <v>43835</v>
      </c>
      <c r="F80" s="16" t="s">
        <v>114</v>
      </c>
      <c r="H80" s="17">
        <f t="shared" si="3"/>
        <v>0</v>
      </c>
      <c r="I80" t="s">
        <v>23</v>
      </c>
      <c r="J80" s="17" t="s">
        <v>24</v>
      </c>
      <c r="K80" s="230">
        <v>43835</v>
      </c>
      <c r="L80" s="234">
        <v>86.03</v>
      </c>
      <c r="M80" s="49" t="s">
        <v>32</v>
      </c>
      <c r="O80" t="s">
        <v>23</v>
      </c>
      <c r="P80" t="s">
        <v>24</v>
      </c>
      <c r="Q80" s="9" t="s">
        <v>215</v>
      </c>
      <c r="R80" s="112">
        <f t="shared" si="4"/>
        <v>320</v>
      </c>
      <c r="U80" s="181">
        <v>44451</v>
      </c>
      <c r="V80" t="s">
        <v>235</v>
      </c>
      <c r="W80" s="194">
        <v>-60</v>
      </c>
      <c r="X80" t="s">
        <v>795</v>
      </c>
    </row>
    <row r="81" spans="1:24" hidden="1" x14ac:dyDescent="0.25">
      <c r="A81" s="10">
        <v>2</v>
      </c>
      <c r="B81" s="48">
        <v>43842</v>
      </c>
      <c r="C81" s="17">
        <v>250</v>
      </c>
      <c r="D81" s="17"/>
      <c r="E81" s="16"/>
      <c r="F81" s="16"/>
      <c r="H81" s="17">
        <f t="shared" si="3"/>
        <v>250</v>
      </c>
      <c r="I81" t="s">
        <v>23</v>
      </c>
      <c r="J81" s="17" t="s">
        <v>24</v>
      </c>
      <c r="K81" s="230">
        <v>43837</v>
      </c>
      <c r="L81" s="234">
        <v>110.98</v>
      </c>
      <c r="M81" s="49" t="s">
        <v>16</v>
      </c>
      <c r="O81" t="s">
        <v>23</v>
      </c>
      <c r="P81" t="s">
        <v>24</v>
      </c>
      <c r="Q81" t="s">
        <v>418</v>
      </c>
      <c r="R81" s="112">
        <f t="shared" si="4"/>
        <v>2713.14</v>
      </c>
      <c r="U81" s="181">
        <v>43993</v>
      </c>
      <c r="V81" t="s">
        <v>631</v>
      </c>
      <c r="W81" s="194">
        <v>-9122</v>
      </c>
      <c r="X81" t="s">
        <v>100</v>
      </c>
    </row>
    <row r="82" spans="1:24" hidden="1" x14ac:dyDescent="0.25">
      <c r="A82" s="10">
        <v>3</v>
      </c>
      <c r="B82" s="48">
        <v>43849</v>
      </c>
      <c r="C82" s="17">
        <v>250</v>
      </c>
      <c r="D82" s="17">
        <v>200</v>
      </c>
      <c r="E82" s="16">
        <v>43851</v>
      </c>
      <c r="F82" s="16"/>
      <c r="H82" s="17">
        <f t="shared" si="3"/>
        <v>300</v>
      </c>
      <c r="I82" t="s">
        <v>23</v>
      </c>
      <c r="J82" s="77" t="s">
        <v>24</v>
      </c>
      <c r="K82" s="230">
        <v>43866</v>
      </c>
      <c r="L82" s="234">
        <v>110.98</v>
      </c>
      <c r="M82" s="49" t="s">
        <v>16</v>
      </c>
      <c r="O82" t="s">
        <v>23</v>
      </c>
      <c r="P82" t="s">
        <v>24</v>
      </c>
      <c r="Q82" t="s">
        <v>464</v>
      </c>
      <c r="R82" s="112">
        <f t="shared" si="4"/>
        <v>1400</v>
      </c>
      <c r="U82" s="181">
        <v>43978</v>
      </c>
      <c r="V82" t="s">
        <v>196</v>
      </c>
      <c r="W82" s="194">
        <v>-57.41</v>
      </c>
      <c r="X82" t="s">
        <v>100</v>
      </c>
    </row>
    <row r="83" spans="1:24" hidden="1" x14ac:dyDescent="0.25">
      <c r="A83" s="10">
        <v>4</v>
      </c>
      <c r="B83" s="48">
        <v>43856</v>
      </c>
      <c r="C83" s="17">
        <v>250</v>
      </c>
      <c r="D83" s="17"/>
      <c r="E83" s="16"/>
      <c r="F83" s="16"/>
      <c r="H83" s="17">
        <f t="shared" si="3"/>
        <v>550</v>
      </c>
      <c r="I83" t="s">
        <v>23</v>
      </c>
      <c r="J83" s="17" t="s">
        <v>24</v>
      </c>
      <c r="K83" s="230">
        <v>43864</v>
      </c>
      <c r="L83" s="234">
        <v>5.5</v>
      </c>
      <c r="M83" s="49" t="s">
        <v>22</v>
      </c>
      <c r="O83" t="s">
        <v>23</v>
      </c>
      <c r="P83" t="s">
        <v>24</v>
      </c>
      <c r="Q83" t="s">
        <v>510</v>
      </c>
      <c r="R83" s="112">
        <f t="shared" si="4"/>
        <v>1520.69</v>
      </c>
      <c r="U83" s="181">
        <v>43983</v>
      </c>
      <c r="V83" t="s">
        <v>197</v>
      </c>
      <c r="W83" s="194">
        <v>-49</v>
      </c>
      <c r="X83" t="s">
        <v>100</v>
      </c>
    </row>
    <row r="84" spans="1:24" hidden="1" x14ac:dyDescent="0.25">
      <c r="A84" s="10">
        <v>5</v>
      </c>
      <c r="B84" s="48">
        <v>43863</v>
      </c>
      <c r="C84" s="17">
        <v>250</v>
      </c>
      <c r="D84" s="17">
        <v>500</v>
      </c>
      <c r="E84" s="16">
        <v>43864</v>
      </c>
      <c r="F84" s="16" t="s">
        <v>59</v>
      </c>
      <c r="H84" s="17">
        <f t="shared" si="3"/>
        <v>300</v>
      </c>
      <c r="I84" t="s">
        <v>23</v>
      </c>
      <c r="J84" s="17" t="s">
        <v>24</v>
      </c>
      <c r="K84" s="230">
        <v>43874</v>
      </c>
      <c r="L84" s="234">
        <v>290</v>
      </c>
      <c r="M84" s="49" t="s">
        <v>17</v>
      </c>
      <c r="N84" t="s">
        <v>156</v>
      </c>
      <c r="O84" t="s">
        <v>23</v>
      </c>
      <c r="P84" t="s">
        <v>14</v>
      </c>
      <c r="Q84" t="s">
        <v>553</v>
      </c>
      <c r="R84" s="112">
        <f t="shared" si="4"/>
        <v>300</v>
      </c>
      <c r="U84" s="181">
        <v>43984</v>
      </c>
      <c r="V84" t="s">
        <v>48</v>
      </c>
      <c r="W84" s="194">
        <v>-350</v>
      </c>
      <c r="X84" t="s">
        <v>100</v>
      </c>
    </row>
    <row r="85" spans="1:24" hidden="1" x14ac:dyDescent="0.25">
      <c r="A85" s="10">
        <v>6</v>
      </c>
      <c r="B85" s="48">
        <v>43870</v>
      </c>
      <c r="C85" s="17">
        <v>250</v>
      </c>
      <c r="D85" s="17"/>
      <c r="E85" s="16"/>
      <c r="F85" s="16"/>
      <c r="H85" s="17">
        <f t="shared" si="3"/>
        <v>550</v>
      </c>
      <c r="I85" t="s">
        <v>23</v>
      </c>
      <c r="J85" s="17" t="s">
        <v>24</v>
      </c>
      <c r="K85" s="230">
        <v>43895</v>
      </c>
      <c r="L85" s="234">
        <v>110.98</v>
      </c>
      <c r="M85" s="49" t="s">
        <v>16</v>
      </c>
      <c r="O85" t="s">
        <v>23</v>
      </c>
      <c r="P85" t="s">
        <v>24</v>
      </c>
      <c r="Q85" t="s">
        <v>655</v>
      </c>
      <c r="R85" s="112">
        <f t="shared" si="4"/>
        <v>3854.5</v>
      </c>
      <c r="U85" s="181">
        <v>43991</v>
      </c>
      <c r="V85" t="s">
        <v>196</v>
      </c>
      <c r="W85" s="194">
        <v>-46.35</v>
      </c>
      <c r="X85" t="s">
        <v>100</v>
      </c>
    </row>
    <row r="86" spans="1:24" hidden="1" x14ac:dyDescent="0.25">
      <c r="A86" s="10">
        <v>7</v>
      </c>
      <c r="B86" s="48">
        <v>43877</v>
      </c>
      <c r="C86" s="17">
        <v>250</v>
      </c>
      <c r="D86" s="17"/>
      <c r="E86" s="16"/>
      <c r="F86" s="16"/>
      <c r="H86" s="17">
        <f t="shared" si="3"/>
        <v>800</v>
      </c>
      <c r="I86" t="s">
        <v>23</v>
      </c>
      <c r="J86" s="17" t="s">
        <v>24</v>
      </c>
      <c r="K86" s="230">
        <v>43896</v>
      </c>
      <c r="L86" s="234">
        <v>150</v>
      </c>
      <c r="M86" s="49" t="s">
        <v>26</v>
      </c>
      <c r="O86" t="s">
        <v>23</v>
      </c>
      <c r="P86" t="s">
        <v>24</v>
      </c>
      <c r="Q86" t="s">
        <v>736</v>
      </c>
      <c r="R86" s="112">
        <f t="shared" si="4"/>
        <v>294.5</v>
      </c>
      <c r="U86" s="181">
        <v>43991</v>
      </c>
      <c r="V86" t="s">
        <v>33</v>
      </c>
      <c r="W86" s="194">
        <v>-378.45</v>
      </c>
      <c r="X86" t="s">
        <v>100</v>
      </c>
    </row>
    <row r="87" spans="1:24" hidden="1" x14ac:dyDescent="0.25">
      <c r="A87" s="10">
        <v>9</v>
      </c>
      <c r="B87" s="48">
        <v>43884</v>
      </c>
      <c r="C87" s="17">
        <v>250</v>
      </c>
      <c r="D87" s="17"/>
      <c r="E87" s="16"/>
      <c r="H87" s="17">
        <f t="shared" si="3"/>
        <v>1050</v>
      </c>
      <c r="I87" t="s">
        <v>23</v>
      </c>
      <c r="J87" s="17" t="s">
        <v>24</v>
      </c>
      <c r="K87" s="230">
        <v>43896</v>
      </c>
      <c r="L87" s="234">
        <v>71.959999999999994</v>
      </c>
      <c r="M87" s="49" t="s">
        <v>32</v>
      </c>
      <c r="O87" t="s">
        <v>23</v>
      </c>
      <c r="P87" t="s">
        <v>24</v>
      </c>
      <c r="Q87" t="s">
        <v>866</v>
      </c>
      <c r="R87" s="112">
        <f t="shared" si="4"/>
        <v>-111.04</v>
      </c>
      <c r="U87" s="181">
        <v>43998</v>
      </c>
      <c r="V87" t="s">
        <v>198</v>
      </c>
      <c r="W87" s="194">
        <v>-1850</v>
      </c>
      <c r="X87" t="s">
        <v>100</v>
      </c>
    </row>
    <row r="88" spans="1:24" hidden="1" x14ac:dyDescent="0.25">
      <c r="A88" s="10">
        <v>10</v>
      </c>
      <c r="B88" s="48">
        <v>43891</v>
      </c>
      <c r="C88" s="17">
        <v>250</v>
      </c>
      <c r="D88" s="17"/>
      <c r="E88" s="16"/>
      <c r="F88" t="s">
        <v>124</v>
      </c>
      <c r="H88" s="237">
        <f t="shared" si="3"/>
        <v>1300</v>
      </c>
      <c r="I88" t="s">
        <v>23</v>
      </c>
      <c r="J88" s="17" t="s">
        <v>24</v>
      </c>
      <c r="K88" s="230">
        <v>43896</v>
      </c>
      <c r="L88" s="234">
        <v>25.99</v>
      </c>
      <c r="M88" s="49" t="s">
        <v>26</v>
      </c>
      <c r="O88" t="s">
        <v>23</v>
      </c>
      <c r="P88" t="s">
        <v>24</v>
      </c>
      <c r="Q88" t="s">
        <v>771</v>
      </c>
      <c r="R88" s="112">
        <f t="shared" si="4"/>
        <v>351.13</v>
      </c>
      <c r="U88" s="181">
        <v>43977</v>
      </c>
      <c r="V88" t="s">
        <v>659</v>
      </c>
      <c r="W88" s="194">
        <v>-320</v>
      </c>
      <c r="X88" t="s">
        <v>100</v>
      </c>
    </row>
    <row r="89" spans="1:24" hidden="1" x14ac:dyDescent="0.25">
      <c r="A89" s="10">
        <v>1</v>
      </c>
      <c r="B89" s="48">
        <v>43897</v>
      </c>
      <c r="C89" s="17">
        <v>250</v>
      </c>
      <c r="D89" s="17">
        <v>250</v>
      </c>
      <c r="E89" s="16">
        <v>43896</v>
      </c>
      <c r="F89" s="16" t="s">
        <v>181</v>
      </c>
      <c r="H89" s="17">
        <f t="shared" si="3"/>
        <v>0</v>
      </c>
      <c r="I89" t="s">
        <v>23</v>
      </c>
      <c r="J89" s="17" t="s">
        <v>158</v>
      </c>
      <c r="K89" s="230">
        <v>43896</v>
      </c>
      <c r="L89" s="234">
        <v>158.06</v>
      </c>
      <c r="M89" s="49" t="s">
        <v>26</v>
      </c>
      <c r="O89" t="s">
        <v>23</v>
      </c>
      <c r="P89" t="s">
        <v>24</v>
      </c>
      <c r="U89" s="181">
        <v>44687</v>
      </c>
      <c r="V89" t="s">
        <v>180</v>
      </c>
      <c r="W89" s="194">
        <v>16933.759999999998</v>
      </c>
      <c r="X89" t="s">
        <v>100</v>
      </c>
    </row>
    <row r="90" spans="1:24" hidden="1" x14ac:dyDescent="0.25">
      <c r="A90" s="10">
        <v>1</v>
      </c>
      <c r="B90" s="48">
        <v>43897</v>
      </c>
      <c r="C90" s="17">
        <v>250</v>
      </c>
      <c r="D90" s="17"/>
      <c r="E90" s="16"/>
      <c r="F90" s="16"/>
      <c r="H90" s="17">
        <f t="shared" si="3"/>
        <v>250</v>
      </c>
      <c r="I90" t="s">
        <v>23</v>
      </c>
      <c r="J90" s="17" t="s">
        <v>158</v>
      </c>
      <c r="K90" s="230">
        <v>43912</v>
      </c>
      <c r="L90" s="234">
        <v>250</v>
      </c>
      <c r="M90" s="49" t="s">
        <v>45</v>
      </c>
      <c r="O90" t="s">
        <v>23</v>
      </c>
      <c r="P90" t="s">
        <v>158</v>
      </c>
      <c r="U90" s="181">
        <v>44900</v>
      </c>
      <c r="V90" t="s">
        <v>180</v>
      </c>
      <c r="W90" s="194">
        <v>3312.5</v>
      </c>
      <c r="X90" t="s">
        <v>595</v>
      </c>
    </row>
    <row r="91" spans="1:24" hidden="1" x14ac:dyDescent="0.25">
      <c r="A91" s="10">
        <v>2</v>
      </c>
      <c r="B91" s="48">
        <v>43904</v>
      </c>
      <c r="C91" s="17">
        <v>250</v>
      </c>
      <c r="D91" s="17"/>
      <c r="E91" s="16"/>
      <c r="F91" s="16"/>
      <c r="H91" s="17">
        <f t="shared" si="3"/>
        <v>500</v>
      </c>
      <c r="I91" t="s">
        <v>23</v>
      </c>
      <c r="J91" s="17" t="s">
        <v>158</v>
      </c>
      <c r="K91" s="230">
        <v>43917</v>
      </c>
      <c r="L91" s="234">
        <v>7.95</v>
      </c>
      <c r="M91" s="49" t="s">
        <v>53</v>
      </c>
      <c r="N91" t="s">
        <v>187</v>
      </c>
      <c r="O91" t="s">
        <v>23</v>
      </c>
      <c r="P91" t="s">
        <v>93</v>
      </c>
      <c r="U91" s="181">
        <v>44815</v>
      </c>
      <c r="V91" t="s">
        <v>180</v>
      </c>
      <c r="W91" s="17">
        <v>14697.27</v>
      </c>
      <c r="X91" t="s">
        <v>595</v>
      </c>
    </row>
    <row r="92" spans="1:24" hidden="1" x14ac:dyDescent="0.25">
      <c r="A92" s="10">
        <v>3</v>
      </c>
      <c r="B92" s="48">
        <v>43911</v>
      </c>
      <c r="C92" s="17">
        <v>35</v>
      </c>
      <c r="D92" s="17">
        <v>35</v>
      </c>
      <c r="E92" s="16">
        <v>43912</v>
      </c>
      <c r="F92" s="16" t="s">
        <v>124</v>
      </c>
      <c r="H92" s="17">
        <f t="shared" si="3"/>
        <v>500</v>
      </c>
      <c r="I92" t="s">
        <v>23</v>
      </c>
      <c r="J92" s="17" t="s">
        <v>158</v>
      </c>
      <c r="K92" s="230">
        <v>43928</v>
      </c>
      <c r="L92" s="234">
        <v>146.19</v>
      </c>
      <c r="M92" s="49" t="s">
        <v>16</v>
      </c>
      <c r="O92" t="s">
        <v>23</v>
      </c>
      <c r="P92" t="s">
        <v>93</v>
      </c>
      <c r="U92" s="16">
        <v>44338</v>
      </c>
      <c r="V92" t="s">
        <v>264</v>
      </c>
      <c r="W92" s="17">
        <v>-500</v>
      </c>
      <c r="X92" t="s">
        <v>595</v>
      </c>
    </row>
    <row r="93" spans="1:24" hidden="1" x14ac:dyDescent="0.25">
      <c r="A93" s="10">
        <v>1</v>
      </c>
      <c r="B93" s="48">
        <v>43917</v>
      </c>
      <c r="C93" s="17">
        <v>180</v>
      </c>
      <c r="D93" s="17">
        <v>180</v>
      </c>
      <c r="E93" s="16">
        <v>43917</v>
      </c>
      <c r="F93" s="16" t="s">
        <v>181</v>
      </c>
      <c r="H93" s="17">
        <f t="shared" si="3"/>
        <v>0</v>
      </c>
      <c r="I93" t="s">
        <v>23</v>
      </c>
      <c r="J93" s="17" t="s">
        <v>93</v>
      </c>
      <c r="K93" s="230">
        <v>43948</v>
      </c>
      <c r="L93" s="234">
        <v>5.5</v>
      </c>
      <c r="M93" s="49" t="s">
        <v>22</v>
      </c>
      <c r="O93" t="s">
        <v>23</v>
      </c>
      <c r="P93" t="s">
        <v>93</v>
      </c>
      <c r="U93" s="16">
        <v>44343</v>
      </c>
      <c r="V93" t="s">
        <v>264</v>
      </c>
      <c r="W93" s="17">
        <v>-12000</v>
      </c>
      <c r="X93" t="s">
        <v>595</v>
      </c>
    </row>
    <row r="94" spans="1:24" hidden="1" x14ac:dyDescent="0.25">
      <c r="A94" s="10">
        <v>1</v>
      </c>
      <c r="B94" s="48">
        <v>43917</v>
      </c>
      <c r="C94" s="17">
        <v>180</v>
      </c>
      <c r="D94" s="17"/>
      <c r="E94" s="16"/>
      <c r="F94" s="16"/>
      <c r="H94" s="17">
        <f t="shared" si="3"/>
        <v>180</v>
      </c>
      <c r="I94" t="s">
        <v>23</v>
      </c>
      <c r="J94" s="17" t="s">
        <v>93</v>
      </c>
      <c r="K94" s="230">
        <v>43971</v>
      </c>
      <c r="L94" s="234">
        <v>60</v>
      </c>
      <c r="M94" s="49" t="s">
        <v>34</v>
      </c>
      <c r="O94" t="s">
        <v>23</v>
      </c>
      <c r="P94" t="s">
        <v>93</v>
      </c>
      <c r="U94" s="16">
        <v>44343</v>
      </c>
      <c r="V94" t="s">
        <v>264</v>
      </c>
      <c r="W94" s="17">
        <v>-1731</v>
      </c>
      <c r="X94" t="s">
        <v>595</v>
      </c>
    </row>
    <row r="95" spans="1:24" hidden="1" x14ac:dyDescent="0.25">
      <c r="A95" s="10">
        <v>2</v>
      </c>
      <c r="B95" s="48">
        <v>43924</v>
      </c>
      <c r="C95" s="17"/>
      <c r="D95" s="17"/>
      <c r="E95" s="16"/>
      <c r="F95" s="16"/>
      <c r="H95" s="17">
        <f t="shared" si="3"/>
        <v>180</v>
      </c>
      <c r="I95" t="s">
        <v>23</v>
      </c>
      <c r="J95" s="17" t="s">
        <v>93</v>
      </c>
      <c r="K95" s="230">
        <v>43974</v>
      </c>
      <c r="L95" s="234">
        <v>22</v>
      </c>
      <c r="M95" s="49" t="s">
        <v>34</v>
      </c>
      <c r="O95" t="s">
        <v>23</v>
      </c>
      <c r="P95" t="s">
        <v>93</v>
      </c>
      <c r="U95" s="16">
        <v>44343</v>
      </c>
      <c r="V95" t="s">
        <v>264</v>
      </c>
      <c r="W95" s="17">
        <v>300</v>
      </c>
      <c r="X95" t="s">
        <v>595</v>
      </c>
    </row>
    <row r="96" spans="1:24" hidden="1" x14ac:dyDescent="0.25">
      <c r="A96" s="10">
        <v>3</v>
      </c>
      <c r="B96" s="48">
        <v>43931</v>
      </c>
      <c r="C96" s="17"/>
      <c r="D96" s="17"/>
      <c r="E96" s="16">
        <v>43941</v>
      </c>
      <c r="F96" s="16" t="s">
        <v>59</v>
      </c>
      <c r="H96" s="17">
        <f t="shared" si="3"/>
        <v>180</v>
      </c>
      <c r="I96" t="s">
        <v>23</v>
      </c>
      <c r="J96" s="17" t="s">
        <v>93</v>
      </c>
      <c r="K96" s="230">
        <v>43978</v>
      </c>
      <c r="L96" s="234">
        <v>56.9</v>
      </c>
      <c r="M96" s="49" t="s">
        <v>17</v>
      </c>
      <c r="N96" t="s">
        <v>188</v>
      </c>
      <c r="O96" t="s">
        <v>23</v>
      </c>
      <c r="P96" t="s">
        <v>14</v>
      </c>
      <c r="U96" s="16">
        <v>43774</v>
      </c>
      <c r="V96" t="s">
        <v>264</v>
      </c>
      <c r="W96" s="17">
        <v>-6800</v>
      </c>
      <c r="X96" t="s">
        <v>25</v>
      </c>
    </row>
    <row r="97" spans="1:25" hidden="1" x14ac:dyDescent="0.25">
      <c r="A97" s="10">
        <v>4</v>
      </c>
      <c r="B97" s="48">
        <v>43938</v>
      </c>
      <c r="C97" s="17">
        <v>180</v>
      </c>
      <c r="D97" s="17">
        <v>180</v>
      </c>
      <c r="E97" s="16">
        <v>43942</v>
      </c>
      <c r="F97" s="16" t="s">
        <v>59</v>
      </c>
      <c r="H97" s="17">
        <f t="shared" si="3"/>
        <v>180</v>
      </c>
      <c r="I97" t="s">
        <v>23</v>
      </c>
      <c r="J97" s="17" t="s">
        <v>93</v>
      </c>
      <c r="K97" s="230">
        <v>43956</v>
      </c>
      <c r="L97" s="234">
        <v>146.19</v>
      </c>
      <c r="M97" s="49" t="s">
        <v>16</v>
      </c>
      <c r="O97" t="s">
        <v>23</v>
      </c>
      <c r="P97" t="s">
        <v>93</v>
      </c>
      <c r="U97" s="16">
        <v>43774</v>
      </c>
      <c r="V97" t="s">
        <v>264</v>
      </c>
      <c r="W97" s="17">
        <v>-326.3</v>
      </c>
      <c r="X97" t="s">
        <v>25</v>
      </c>
      <c r="Y97" t="s">
        <v>33</v>
      </c>
    </row>
    <row r="98" spans="1:25" hidden="1" x14ac:dyDescent="0.25">
      <c r="A98" s="10">
        <v>5</v>
      </c>
      <c r="B98" s="48">
        <v>43945</v>
      </c>
      <c r="C98" s="17">
        <v>180</v>
      </c>
      <c r="D98" s="17"/>
      <c r="E98" s="16"/>
      <c r="F98" s="16"/>
      <c r="H98" s="17">
        <f t="shared" si="3"/>
        <v>360</v>
      </c>
      <c r="I98" t="s">
        <v>23</v>
      </c>
      <c r="J98" s="17" t="s">
        <v>93</v>
      </c>
      <c r="K98" s="230">
        <v>43979</v>
      </c>
      <c r="L98" s="234">
        <v>320</v>
      </c>
      <c r="M98" s="49" t="s">
        <v>17</v>
      </c>
      <c r="N98" t="s">
        <v>178</v>
      </c>
      <c r="O98" t="s">
        <v>23</v>
      </c>
      <c r="P98" t="s">
        <v>14</v>
      </c>
      <c r="U98" s="212">
        <v>44932</v>
      </c>
      <c r="V98" s="14" t="s">
        <v>180</v>
      </c>
      <c r="W98" s="77">
        <f>1532.5+500</f>
        <v>2032.5</v>
      </c>
      <c r="X98" s="14" t="s">
        <v>25</v>
      </c>
      <c r="Y98" s="14"/>
    </row>
    <row r="99" spans="1:25" hidden="1" x14ac:dyDescent="0.25">
      <c r="A99" s="10">
        <v>6</v>
      </c>
      <c r="B99" s="48">
        <v>43952</v>
      </c>
      <c r="C99" s="17">
        <v>180</v>
      </c>
      <c r="D99" s="17">
        <v>360</v>
      </c>
      <c r="E99" s="16">
        <v>43955</v>
      </c>
      <c r="F99" s="16" t="s">
        <v>59</v>
      </c>
      <c r="H99" s="17">
        <f t="shared" si="3"/>
        <v>180</v>
      </c>
      <c r="I99" t="s">
        <v>23</v>
      </c>
      <c r="J99" s="17" t="s">
        <v>93</v>
      </c>
      <c r="K99" s="230">
        <v>44020</v>
      </c>
      <c r="L99" s="234">
        <v>130</v>
      </c>
      <c r="M99" s="49" t="s">
        <v>26</v>
      </c>
      <c r="O99" t="s">
        <v>23</v>
      </c>
      <c r="P99" t="s">
        <v>93</v>
      </c>
      <c r="U99" s="16">
        <v>44887</v>
      </c>
      <c r="V99" t="s">
        <v>264</v>
      </c>
      <c r="W99" s="17">
        <v>-1245.57</v>
      </c>
      <c r="X99" t="s">
        <v>930</v>
      </c>
    </row>
    <row r="100" spans="1:25" hidden="1" x14ac:dyDescent="0.25">
      <c r="A100" s="10">
        <v>7</v>
      </c>
      <c r="B100" s="48">
        <v>43959</v>
      </c>
      <c r="C100" s="17">
        <v>180</v>
      </c>
      <c r="D100" s="17"/>
      <c r="E100" s="16"/>
      <c r="H100" s="17">
        <f t="shared" si="3"/>
        <v>360</v>
      </c>
      <c r="I100" t="s">
        <v>23</v>
      </c>
      <c r="J100" s="17" t="s">
        <v>93</v>
      </c>
      <c r="K100" s="230">
        <v>44069</v>
      </c>
      <c r="L100" s="234">
        <v>0.99</v>
      </c>
      <c r="M100" s="49" t="s">
        <v>22</v>
      </c>
      <c r="O100" t="s">
        <v>23</v>
      </c>
      <c r="P100" t="s">
        <v>93</v>
      </c>
      <c r="U100" s="16">
        <v>44942</v>
      </c>
      <c r="V100" t="s">
        <v>264</v>
      </c>
      <c r="W100" s="17">
        <v>-250</v>
      </c>
      <c r="X100" t="s">
        <v>930</v>
      </c>
      <c r="Y100" t="s">
        <v>796</v>
      </c>
    </row>
    <row r="101" spans="1:25" hidden="1" x14ac:dyDescent="0.25">
      <c r="A101" s="10">
        <v>8</v>
      </c>
      <c r="B101" s="48">
        <v>43966</v>
      </c>
      <c r="C101" s="17">
        <v>180</v>
      </c>
      <c r="D101" s="17"/>
      <c r="E101" s="16"/>
      <c r="F101" s="16"/>
      <c r="H101" s="17">
        <f t="shared" si="3"/>
        <v>540</v>
      </c>
      <c r="I101" t="s">
        <v>23</v>
      </c>
      <c r="J101" s="17" t="s">
        <v>93</v>
      </c>
      <c r="K101" s="230">
        <v>44081</v>
      </c>
      <c r="L101" s="234">
        <v>135.59</v>
      </c>
      <c r="M101" s="49" t="s">
        <v>16</v>
      </c>
      <c r="O101" t="s">
        <v>23</v>
      </c>
      <c r="P101" t="s">
        <v>93</v>
      </c>
      <c r="U101" s="16">
        <v>44942</v>
      </c>
      <c r="V101" t="s">
        <v>264</v>
      </c>
      <c r="W101" s="17">
        <v>-250</v>
      </c>
      <c r="X101" t="s">
        <v>930</v>
      </c>
      <c r="Y101" t="s">
        <v>968</v>
      </c>
    </row>
    <row r="102" spans="1:25" hidden="1" x14ac:dyDescent="0.25">
      <c r="A102" s="10">
        <v>9</v>
      </c>
      <c r="B102" s="48">
        <v>43973</v>
      </c>
      <c r="C102" s="17">
        <v>180</v>
      </c>
      <c r="D102" s="17"/>
      <c r="E102" s="16"/>
      <c r="F102" s="16"/>
      <c r="H102" s="17">
        <f t="shared" si="3"/>
        <v>720</v>
      </c>
      <c r="I102" t="s">
        <v>23</v>
      </c>
      <c r="J102" s="17" t="s">
        <v>93</v>
      </c>
      <c r="K102" s="230">
        <v>44088</v>
      </c>
      <c r="L102" s="234">
        <v>220</v>
      </c>
      <c r="M102" s="49" t="s">
        <v>26</v>
      </c>
      <c r="O102" t="s">
        <v>23</v>
      </c>
      <c r="P102" t="s">
        <v>93</v>
      </c>
      <c r="U102" s="212">
        <v>44932</v>
      </c>
      <c r="V102" s="14" t="s">
        <v>180</v>
      </c>
      <c r="W102" s="77">
        <v>232.5</v>
      </c>
      <c r="X102" s="14" t="s">
        <v>930</v>
      </c>
      <c r="Y102" s="14"/>
    </row>
    <row r="103" spans="1:25" hidden="1" x14ac:dyDescent="0.25">
      <c r="A103" s="10">
        <v>10</v>
      </c>
      <c r="B103" s="48">
        <v>43980</v>
      </c>
      <c r="C103" s="17">
        <v>180</v>
      </c>
      <c r="D103" s="17">
        <v>360</v>
      </c>
      <c r="E103" s="16">
        <v>43978</v>
      </c>
      <c r="F103" s="16" t="s">
        <v>59</v>
      </c>
      <c r="H103" s="17">
        <f t="shared" si="3"/>
        <v>540</v>
      </c>
      <c r="I103" t="s">
        <v>23</v>
      </c>
      <c r="J103" s="17" t="s">
        <v>93</v>
      </c>
      <c r="K103" s="230">
        <v>44083</v>
      </c>
      <c r="L103" s="234">
        <v>0.99</v>
      </c>
      <c r="M103" s="49" t="s">
        <v>22</v>
      </c>
      <c r="O103" t="s">
        <v>23</v>
      </c>
      <c r="P103" t="s">
        <v>93</v>
      </c>
      <c r="U103" s="16">
        <v>44312</v>
      </c>
      <c r="V103" t="s">
        <v>264</v>
      </c>
      <c r="W103" s="17">
        <v>-1636.52</v>
      </c>
      <c r="X103" t="s">
        <v>579</v>
      </c>
    </row>
    <row r="104" spans="1:25" hidden="1" x14ac:dyDescent="0.25">
      <c r="A104" s="10">
        <v>11</v>
      </c>
      <c r="B104" s="48">
        <v>43987</v>
      </c>
      <c r="C104" s="17">
        <v>180</v>
      </c>
      <c r="D104" s="17">
        <v>360</v>
      </c>
      <c r="E104" s="16">
        <v>43992</v>
      </c>
      <c r="F104" s="16" t="s">
        <v>59</v>
      </c>
      <c r="H104" s="17">
        <f t="shared" si="3"/>
        <v>360</v>
      </c>
      <c r="I104" t="s">
        <v>23</v>
      </c>
      <c r="J104" s="17" t="s">
        <v>93</v>
      </c>
      <c r="K104" s="230">
        <v>44090</v>
      </c>
      <c r="L104" s="234">
        <v>2.75</v>
      </c>
      <c r="M104" s="49" t="s">
        <v>22</v>
      </c>
      <c r="O104" t="s">
        <v>23</v>
      </c>
      <c r="P104" t="s">
        <v>93</v>
      </c>
      <c r="U104" s="16">
        <v>44313</v>
      </c>
      <c r="V104" t="s">
        <v>264</v>
      </c>
      <c r="W104" s="17">
        <v>-505.61</v>
      </c>
      <c r="X104" t="s">
        <v>579</v>
      </c>
    </row>
    <row r="105" spans="1:25" hidden="1" x14ac:dyDescent="0.25">
      <c r="A105" s="10">
        <v>12</v>
      </c>
      <c r="B105" s="48">
        <v>43994</v>
      </c>
      <c r="C105" s="17">
        <v>180</v>
      </c>
      <c r="D105" s="17"/>
      <c r="E105" s="16"/>
      <c r="H105" s="17">
        <f t="shared" si="3"/>
        <v>540</v>
      </c>
      <c r="I105" t="s">
        <v>23</v>
      </c>
      <c r="J105" s="17" t="s">
        <v>93</v>
      </c>
      <c r="K105" s="230">
        <v>44113</v>
      </c>
      <c r="L105" s="234">
        <v>135.59</v>
      </c>
      <c r="M105" s="49" t="s">
        <v>16</v>
      </c>
      <c r="O105" t="s">
        <v>23</v>
      </c>
      <c r="P105" t="s">
        <v>93</v>
      </c>
      <c r="U105" s="16">
        <v>44344</v>
      </c>
      <c r="V105" t="s">
        <v>264</v>
      </c>
      <c r="W105" s="17">
        <v>-430</v>
      </c>
      <c r="X105" t="s">
        <v>579</v>
      </c>
      <c r="Y105" t="s">
        <v>601</v>
      </c>
    </row>
    <row r="106" spans="1:25" hidden="1" x14ac:dyDescent="0.25">
      <c r="A106" s="10">
        <v>13</v>
      </c>
      <c r="B106" s="48">
        <v>44001</v>
      </c>
      <c r="C106" s="17">
        <v>180</v>
      </c>
      <c r="D106" s="17"/>
      <c r="E106" s="16"/>
      <c r="F106" s="16"/>
      <c r="H106" s="17">
        <f t="shared" si="3"/>
        <v>720</v>
      </c>
      <c r="I106" t="s">
        <v>23</v>
      </c>
      <c r="J106" s="17" t="s">
        <v>93</v>
      </c>
      <c r="K106" s="230">
        <v>44117</v>
      </c>
      <c r="L106" s="234">
        <v>55.1</v>
      </c>
      <c r="M106" s="49" t="s">
        <v>54</v>
      </c>
      <c r="O106" t="s">
        <v>23</v>
      </c>
      <c r="P106" t="s">
        <v>93</v>
      </c>
      <c r="U106" s="16">
        <v>44348</v>
      </c>
      <c r="V106" t="s">
        <v>264</v>
      </c>
      <c r="W106" s="17">
        <v>-64.040000000000006</v>
      </c>
      <c r="X106" t="s">
        <v>579</v>
      </c>
      <c r="Y106" t="s">
        <v>196</v>
      </c>
    </row>
    <row r="107" spans="1:25" hidden="1" x14ac:dyDescent="0.25">
      <c r="A107" s="10">
        <v>14</v>
      </c>
      <c r="B107" s="48">
        <v>44008</v>
      </c>
      <c r="C107" s="17">
        <v>180</v>
      </c>
      <c r="D107" s="17"/>
      <c r="E107" s="16"/>
      <c r="F107" s="16"/>
      <c r="H107" s="17">
        <f t="shared" si="3"/>
        <v>900</v>
      </c>
      <c r="I107" t="s">
        <v>23</v>
      </c>
      <c r="J107" s="17" t="s">
        <v>93</v>
      </c>
      <c r="K107" s="230">
        <v>44111</v>
      </c>
      <c r="L107" s="234">
        <v>0.99</v>
      </c>
      <c r="M107" s="49" t="s">
        <v>22</v>
      </c>
      <c r="O107" t="s">
        <v>23</v>
      </c>
      <c r="P107" t="s">
        <v>93</v>
      </c>
      <c r="U107" s="16">
        <v>44351</v>
      </c>
      <c r="V107" t="s">
        <v>264</v>
      </c>
      <c r="W107" s="17">
        <v>-1000</v>
      </c>
      <c r="X107" t="s">
        <v>579</v>
      </c>
    </row>
    <row r="108" spans="1:25" hidden="1" x14ac:dyDescent="0.25">
      <c r="A108" s="10">
        <v>15</v>
      </c>
      <c r="B108" s="48">
        <v>44015</v>
      </c>
      <c r="C108" s="17">
        <v>180</v>
      </c>
      <c r="D108" s="17">
        <v>540</v>
      </c>
      <c r="E108" s="16">
        <v>44013</v>
      </c>
      <c r="F108" t="s">
        <v>59</v>
      </c>
      <c r="H108" s="17">
        <f t="shared" si="3"/>
        <v>540</v>
      </c>
      <c r="I108" t="s">
        <v>23</v>
      </c>
      <c r="J108" s="17" t="s">
        <v>93</v>
      </c>
      <c r="K108" s="230">
        <v>44130</v>
      </c>
      <c r="L108" s="234">
        <v>198</v>
      </c>
      <c r="M108" s="49" t="s">
        <v>20</v>
      </c>
      <c r="O108" t="s">
        <v>23</v>
      </c>
      <c r="P108" t="s">
        <v>93</v>
      </c>
      <c r="U108" s="16">
        <v>44355</v>
      </c>
      <c r="V108" t="s">
        <v>264</v>
      </c>
      <c r="W108" s="17">
        <v>-54.2</v>
      </c>
      <c r="X108" t="s">
        <v>579</v>
      </c>
    </row>
    <row r="109" spans="1:25" hidden="1" x14ac:dyDescent="0.25">
      <c r="A109" s="10">
        <v>16</v>
      </c>
      <c r="B109" s="48">
        <v>44022</v>
      </c>
      <c r="C109" s="17">
        <v>180</v>
      </c>
      <c r="D109" s="17">
        <v>180</v>
      </c>
      <c r="E109" s="16">
        <v>44020</v>
      </c>
      <c r="F109" t="s">
        <v>59</v>
      </c>
      <c r="H109" s="17">
        <f t="shared" si="3"/>
        <v>540</v>
      </c>
      <c r="I109" t="s">
        <v>23</v>
      </c>
      <c r="J109" s="17" t="s">
        <v>93</v>
      </c>
      <c r="K109" s="230">
        <v>44146</v>
      </c>
      <c r="L109" s="234">
        <v>0.99</v>
      </c>
      <c r="M109" s="49" t="s">
        <v>22</v>
      </c>
      <c r="O109" t="s">
        <v>23</v>
      </c>
      <c r="P109" t="s">
        <v>93</v>
      </c>
      <c r="U109" s="16">
        <v>44360</v>
      </c>
      <c r="V109" t="s">
        <v>264</v>
      </c>
      <c r="W109" s="17">
        <v>-100</v>
      </c>
      <c r="X109" t="s">
        <v>579</v>
      </c>
      <c r="Y109" t="s">
        <v>104</v>
      </c>
    </row>
    <row r="110" spans="1:25" hidden="1" x14ac:dyDescent="0.25">
      <c r="A110" s="10">
        <v>17</v>
      </c>
      <c r="B110" s="48">
        <v>44029</v>
      </c>
      <c r="C110" s="17">
        <v>180</v>
      </c>
      <c r="D110" s="17">
        <v>180</v>
      </c>
      <c r="E110" s="16">
        <v>44027</v>
      </c>
      <c r="F110" t="s">
        <v>59</v>
      </c>
      <c r="H110" s="17">
        <f t="shared" si="3"/>
        <v>540</v>
      </c>
      <c r="I110" t="s">
        <v>23</v>
      </c>
      <c r="J110" s="17" t="s">
        <v>93</v>
      </c>
      <c r="K110" s="230">
        <v>44153</v>
      </c>
      <c r="L110" s="234">
        <v>0.99</v>
      </c>
      <c r="M110" s="49" t="s">
        <v>22</v>
      </c>
      <c r="O110" t="s">
        <v>23</v>
      </c>
      <c r="P110" t="s">
        <v>93</v>
      </c>
      <c r="U110" s="16">
        <v>44360</v>
      </c>
      <c r="V110" t="s">
        <v>264</v>
      </c>
      <c r="W110" s="17">
        <v>-100</v>
      </c>
      <c r="X110" t="s">
        <v>579</v>
      </c>
      <c r="Y110" t="s">
        <v>617</v>
      </c>
    </row>
    <row r="111" spans="1:25" hidden="1" x14ac:dyDescent="0.25">
      <c r="A111" s="10">
        <v>18</v>
      </c>
      <c r="B111" s="48">
        <v>44036</v>
      </c>
      <c r="C111" s="17">
        <v>180</v>
      </c>
      <c r="D111" s="17">
        <v>180</v>
      </c>
      <c r="E111" s="16">
        <v>44034</v>
      </c>
      <c r="F111" t="s">
        <v>59</v>
      </c>
      <c r="H111" s="17">
        <f t="shared" si="3"/>
        <v>540</v>
      </c>
      <c r="I111" t="s">
        <v>23</v>
      </c>
      <c r="J111" s="17" t="s">
        <v>93</v>
      </c>
      <c r="K111" s="230">
        <v>44153</v>
      </c>
      <c r="L111" s="234">
        <v>2.75</v>
      </c>
      <c r="M111" s="49" t="s">
        <v>22</v>
      </c>
      <c r="O111" t="s">
        <v>23</v>
      </c>
      <c r="P111" t="s">
        <v>93</v>
      </c>
      <c r="U111" s="16">
        <v>44358</v>
      </c>
      <c r="V111" t="s">
        <v>264</v>
      </c>
      <c r="W111" s="17">
        <v>-325</v>
      </c>
      <c r="X111" t="s">
        <v>579</v>
      </c>
    </row>
    <row r="112" spans="1:25" hidden="1" x14ac:dyDescent="0.25">
      <c r="A112" s="10">
        <v>19</v>
      </c>
      <c r="B112" s="48">
        <v>44043</v>
      </c>
      <c r="C112" s="17">
        <v>150</v>
      </c>
      <c r="D112" s="17">
        <v>250</v>
      </c>
      <c r="E112" s="16">
        <v>44044</v>
      </c>
      <c r="F112" t="s">
        <v>117</v>
      </c>
      <c r="G112" s="228" t="s">
        <v>592</v>
      </c>
      <c r="H112" s="17">
        <f t="shared" si="3"/>
        <v>440</v>
      </c>
      <c r="I112" t="s">
        <v>23</v>
      </c>
      <c r="J112" s="17" t="s">
        <v>93</v>
      </c>
      <c r="K112" s="230">
        <v>44160</v>
      </c>
      <c r="L112" s="234">
        <v>2.75</v>
      </c>
      <c r="M112" s="49" t="s">
        <v>22</v>
      </c>
      <c r="O112" t="s">
        <v>23</v>
      </c>
      <c r="P112" t="s">
        <v>93</v>
      </c>
      <c r="U112" s="16">
        <v>44378</v>
      </c>
      <c r="V112" t="s">
        <v>264</v>
      </c>
      <c r="W112" s="17">
        <v>-49.9</v>
      </c>
      <c r="X112" t="s">
        <v>579</v>
      </c>
    </row>
    <row r="113" spans="1:25" hidden="1" x14ac:dyDescent="0.25">
      <c r="A113" s="10">
        <v>20</v>
      </c>
      <c r="B113" s="48">
        <v>44050</v>
      </c>
      <c r="C113" s="17">
        <v>150</v>
      </c>
      <c r="D113" s="17"/>
      <c r="E113" s="16"/>
      <c r="H113" s="17">
        <f t="shared" si="3"/>
        <v>590</v>
      </c>
      <c r="I113" t="s">
        <v>23</v>
      </c>
      <c r="J113" s="17" t="s">
        <v>93</v>
      </c>
      <c r="K113" s="230">
        <v>44167</v>
      </c>
      <c r="L113" s="234">
        <v>0.99</v>
      </c>
      <c r="M113" s="49" t="s">
        <v>22</v>
      </c>
      <c r="O113" t="s">
        <v>23</v>
      </c>
      <c r="P113" t="s">
        <v>93</v>
      </c>
      <c r="U113" s="16">
        <v>44460</v>
      </c>
      <c r="V113" t="s">
        <v>264</v>
      </c>
      <c r="W113" s="17">
        <v>-700</v>
      </c>
      <c r="X113" t="s">
        <v>579</v>
      </c>
    </row>
    <row r="114" spans="1:25" hidden="1" x14ac:dyDescent="0.25">
      <c r="A114" s="10">
        <v>21</v>
      </c>
      <c r="B114" s="48">
        <v>44057</v>
      </c>
      <c r="C114" s="17">
        <v>150</v>
      </c>
      <c r="D114" s="17">
        <v>300</v>
      </c>
      <c r="E114" s="16">
        <v>44062</v>
      </c>
      <c r="F114" t="s">
        <v>59</v>
      </c>
      <c r="H114" s="17">
        <f t="shared" si="3"/>
        <v>440</v>
      </c>
      <c r="I114" t="s">
        <v>23</v>
      </c>
      <c r="J114" s="17" t="s">
        <v>93</v>
      </c>
      <c r="K114" s="230">
        <v>44176</v>
      </c>
      <c r="L114" s="234">
        <v>460</v>
      </c>
      <c r="M114" s="49" t="s">
        <v>17</v>
      </c>
      <c r="N114" t="s">
        <v>178</v>
      </c>
      <c r="O114" t="s">
        <v>23</v>
      </c>
      <c r="P114" t="s">
        <v>93</v>
      </c>
      <c r="U114" s="16">
        <v>44532</v>
      </c>
      <c r="V114" t="s">
        <v>264</v>
      </c>
      <c r="W114" s="17">
        <v>-425</v>
      </c>
      <c r="X114" t="s">
        <v>579</v>
      </c>
    </row>
    <row r="115" spans="1:25" hidden="1" x14ac:dyDescent="0.25">
      <c r="A115" s="10">
        <v>22</v>
      </c>
      <c r="B115" s="48">
        <v>44064</v>
      </c>
      <c r="C115" s="17">
        <v>150</v>
      </c>
      <c r="D115" s="17"/>
      <c r="E115" s="16">
        <v>44061</v>
      </c>
      <c r="F115" t="s">
        <v>117</v>
      </c>
      <c r="H115" s="17">
        <f t="shared" si="3"/>
        <v>590</v>
      </c>
      <c r="I115" t="s">
        <v>23</v>
      </c>
      <c r="J115" s="17" t="s">
        <v>93</v>
      </c>
      <c r="K115" s="230">
        <v>44205</v>
      </c>
      <c r="L115" s="234">
        <v>39.44</v>
      </c>
      <c r="M115" s="49" t="s">
        <v>45</v>
      </c>
      <c r="N115" t="s">
        <v>32</v>
      </c>
      <c r="O115" t="s">
        <v>23</v>
      </c>
      <c r="P115" t="s">
        <v>93</v>
      </c>
      <c r="U115" s="16">
        <v>44539</v>
      </c>
      <c r="V115" t="s">
        <v>264</v>
      </c>
      <c r="W115" s="17">
        <v>-64.45</v>
      </c>
      <c r="X115" t="s">
        <v>579</v>
      </c>
    </row>
    <row r="116" spans="1:25" hidden="1" x14ac:dyDescent="0.25">
      <c r="A116" s="10">
        <v>23</v>
      </c>
      <c r="B116" s="48">
        <f t="shared" ref="B116:B133" si="5">B115+7</f>
        <v>44071</v>
      </c>
      <c r="C116" s="17">
        <f>C115</f>
        <v>150</v>
      </c>
      <c r="D116" s="17">
        <v>300</v>
      </c>
      <c r="E116" s="16">
        <v>44076</v>
      </c>
      <c r="F116" t="s">
        <v>59</v>
      </c>
      <c r="G116" s="229"/>
      <c r="H116" s="17">
        <f t="shared" si="3"/>
        <v>440</v>
      </c>
      <c r="I116" t="s">
        <v>23</v>
      </c>
      <c r="J116" s="17" t="s">
        <v>93</v>
      </c>
      <c r="K116" s="230">
        <v>44211</v>
      </c>
      <c r="L116" s="234">
        <v>726</v>
      </c>
      <c r="M116" s="49" t="s">
        <v>17</v>
      </c>
      <c r="O116" t="s">
        <v>23</v>
      </c>
      <c r="P116" t="s">
        <v>93</v>
      </c>
      <c r="U116" s="16">
        <v>44540</v>
      </c>
      <c r="V116" t="s">
        <v>264</v>
      </c>
      <c r="W116" s="17">
        <v>-600</v>
      </c>
      <c r="X116" t="s">
        <v>579</v>
      </c>
      <c r="Y116" t="s">
        <v>759</v>
      </c>
    </row>
    <row r="117" spans="1:25" hidden="1" x14ac:dyDescent="0.25">
      <c r="A117" s="10">
        <v>24</v>
      </c>
      <c r="B117" s="48">
        <f t="shared" si="5"/>
        <v>44078</v>
      </c>
      <c r="C117" s="17">
        <f>C116</f>
        <v>150</v>
      </c>
      <c r="D117" s="17"/>
      <c r="H117" s="17">
        <f t="shared" si="3"/>
        <v>590</v>
      </c>
      <c r="I117" t="s">
        <v>23</v>
      </c>
      <c r="J117" s="17" t="s">
        <v>93</v>
      </c>
      <c r="K117" s="230">
        <v>44243</v>
      </c>
      <c r="L117" s="234">
        <v>140</v>
      </c>
      <c r="M117" s="49" t="s">
        <v>45</v>
      </c>
      <c r="N117" t="s">
        <v>206</v>
      </c>
      <c r="O117" t="s">
        <v>23</v>
      </c>
      <c r="P117" t="s">
        <v>93</v>
      </c>
      <c r="U117" s="16">
        <v>44558</v>
      </c>
      <c r="V117" t="s">
        <v>264</v>
      </c>
      <c r="W117" s="17">
        <v>-25.61</v>
      </c>
      <c r="X117" t="s">
        <v>579</v>
      </c>
      <c r="Y117" t="s">
        <v>32</v>
      </c>
    </row>
    <row r="118" spans="1:25" hidden="1" x14ac:dyDescent="0.25">
      <c r="A118" s="10">
        <v>25</v>
      </c>
      <c r="B118" s="48">
        <f t="shared" si="5"/>
        <v>44085</v>
      </c>
      <c r="C118" s="17">
        <v>150</v>
      </c>
      <c r="D118" s="17"/>
      <c r="H118" s="17">
        <f t="shared" si="3"/>
        <v>740</v>
      </c>
      <c r="I118" t="s">
        <v>23</v>
      </c>
      <c r="J118" s="17" t="s">
        <v>93</v>
      </c>
      <c r="K118" s="230">
        <v>44259</v>
      </c>
      <c r="L118" s="234">
        <v>189.04</v>
      </c>
      <c r="M118" s="49" t="s">
        <v>45</v>
      </c>
      <c r="N118" t="s">
        <v>206</v>
      </c>
      <c r="O118" t="s">
        <v>23</v>
      </c>
      <c r="P118" t="s">
        <v>93</v>
      </c>
      <c r="U118" s="16">
        <v>44558</v>
      </c>
      <c r="V118" t="s">
        <v>264</v>
      </c>
      <c r="W118" s="17">
        <v>-50</v>
      </c>
      <c r="X118" t="s">
        <v>579</v>
      </c>
      <c r="Y118" t="s">
        <v>48</v>
      </c>
    </row>
    <row r="119" spans="1:25" hidden="1" x14ac:dyDescent="0.25">
      <c r="A119" s="10">
        <v>26</v>
      </c>
      <c r="B119" s="48">
        <f t="shared" si="5"/>
        <v>44092</v>
      </c>
      <c r="C119" s="17">
        <v>150</v>
      </c>
      <c r="D119" s="17">
        <v>300</v>
      </c>
      <c r="E119" s="16">
        <v>44097</v>
      </c>
      <c r="F119" t="s">
        <v>59</v>
      </c>
      <c r="H119" s="17">
        <f t="shared" si="3"/>
        <v>590</v>
      </c>
      <c r="I119" t="s">
        <v>23</v>
      </c>
      <c r="J119" s="17" t="s">
        <v>93</v>
      </c>
      <c r="K119" s="230">
        <v>44170</v>
      </c>
      <c r="L119" s="234">
        <v>200</v>
      </c>
      <c r="M119" s="49" t="s">
        <v>45</v>
      </c>
      <c r="O119" t="s">
        <v>457</v>
      </c>
      <c r="P119" t="s">
        <v>465</v>
      </c>
      <c r="U119" s="16">
        <v>44558</v>
      </c>
      <c r="V119" t="s">
        <v>264</v>
      </c>
      <c r="W119" s="17">
        <v>-550</v>
      </c>
      <c r="X119" t="s">
        <v>579</v>
      </c>
      <c r="Y119" t="s">
        <v>48</v>
      </c>
    </row>
    <row r="120" spans="1:25" hidden="1" x14ac:dyDescent="0.25">
      <c r="A120" s="10">
        <v>27</v>
      </c>
      <c r="B120" s="48">
        <f t="shared" si="5"/>
        <v>44099</v>
      </c>
      <c r="C120" s="17">
        <v>150</v>
      </c>
      <c r="D120" s="17"/>
      <c r="H120" s="17">
        <f t="shared" si="3"/>
        <v>740</v>
      </c>
      <c r="I120" t="s">
        <v>23</v>
      </c>
      <c r="J120" s="17" t="s">
        <v>93</v>
      </c>
      <c r="K120" s="230">
        <v>44180</v>
      </c>
      <c r="L120" s="234">
        <v>105</v>
      </c>
      <c r="M120" s="49" t="s">
        <v>16</v>
      </c>
      <c r="O120" t="s">
        <v>457</v>
      </c>
      <c r="P120" t="s">
        <v>14</v>
      </c>
      <c r="U120" s="16">
        <v>44558</v>
      </c>
      <c r="V120" t="s">
        <v>264</v>
      </c>
      <c r="W120" s="17">
        <v>-2.5</v>
      </c>
      <c r="X120" t="s">
        <v>579</v>
      </c>
      <c r="Y120" t="s">
        <v>767</v>
      </c>
    </row>
    <row r="121" spans="1:25" hidden="1" x14ac:dyDescent="0.25">
      <c r="A121" s="10">
        <v>28</v>
      </c>
      <c r="B121" s="48">
        <f t="shared" si="5"/>
        <v>44106</v>
      </c>
      <c r="C121" s="17">
        <v>150</v>
      </c>
      <c r="D121" s="17"/>
      <c r="H121" s="17">
        <f t="shared" si="3"/>
        <v>890</v>
      </c>
      <c r="I121" t="s">
        <v>23</v>
      </c>
      <c r="J121" s="17" t="s">
        <v>93</v>
      </c>
      <c r="K121" s="230">
        <v>44178</v>
      </c>
      <c r="L121" s="234">
        <v>700</v>
      </c>
      <c r="M121" s="49" t="s">
        <v>45</v>
      </c>
      <c r="O121" t="s">
        <v>457</v>
      </c>
      <c r="P121" t="s">
        <v>467</v>
      </c>
      <c r="U121" s="16">
        <v>44566</v>
      </c>
      <c r="V121" t="s">
        <v>264</v>
      </c>
      <c r="W121" s="17">
        <v>-50.17</v>
      </c>
      <c r="X121" t="s">
        <v>579</v>
      </c>
    </row>
    <row r="122" spans="1:25" hidden="1" x14ac:dyDescent="0.25">
      <c r="A122" s="10">
        <v>29</v>
      </c>
      <c r="B122" s="48">
        <f t="shared" si="5"/>
        <v>44113</v>
      </c>
      <c r="C122" s="17">
        <v>150</v>
      </c>
      <c r="D122" s="17">
        <v>300</v>
      </c>
      <c r="E122" s="16">
        <v>44118</v>
      </c>
      <c r="F122" t="s">
        <v>59</v>
      </c>
      <c r="H122" s="17">
        <f t="shared" si="3"/>
        <v>740</v>
      </c>
      <c r="I122" t="s">
        <v>23</v>
      </c>
      <c r="J122" s="17" t="s">
        <v>93</v>
      </c>
      <c r="K122" s="230">
        <v>44229</v>
      </c>
      <c r="L122" s="234">
        <v>180</v>
      </c>
      <c r="M122" s="49" t="s">
        <v>20</v>
      </c>
      <c r="O122" t="s">
        <v>457</v>
      </c>
      <c r="P122" t="s">
        <v>14</v>
      </c>
      <c r="U122" s="16">
        <v>44569</v>
      </c>
      <c r="V122" t="s">
        <v>264</v>
      </c>
      <c r="W122" s="17">
        <v>-1500</v>
      </c>
      <c r="X122" t="s">
        <v>579</v>
      </c>
      <c r="Y122" t="s">
        <v>601</v>
      </c>
    </row>
    <row r="123" spans="1:25" hidden="1" x14ac:dyDescent="0.25">
      <c r="A123" s="10">
        <v>30</v>
      </c>
      <c r="B123" s="48">
        <f t="shared" si="5"/>
        <v>44120</v>
      </c>
      <c r="C123" s="17">
        <v>150</v>
      </c>
      <c r="D123" s="17">
        <v>300</v>
      </c>
      <c r="E123" s="16">
        <v>44125</v>
      </c>
      <c r="F123" t="s">
        <v>59</v>
      </c>
      <c r="H123" s="17">
        <f t="shared" si="3"/>
        <v>590</v>
      </c>
      <c r="I123" t="s">
        <v>23</v>
      </c>
      <c r="J123" s="17" t="s">
        <v>93</v>
      </c>
      <c r="K123" s="230">
        <v>44229</v>
      </c>
      <c r="L123" s="234">
        <v>188.48</v>
      </c>
      <c r="M123" s="49" t="s">
        <v>17</v>
      </c>
      <c r="O123" t="s">
        <v>457</v>
      </c>
      <c r="P123" t="s">
        <v>14</v>
      </c>
      <c r="U123" s="16">
        <v>44574</v>
      </c>
      <c r="V123" t="s">
        <v>264</v>
      </c>
      <c r="W123" s="17">
        <v>-414.26</v>
      </c>
      <c r="X123" t="s">
        <v>579</v>
      </c>
    </row>
    <row r="124" spans="1:25" hidden="1" x14ac:dyDescent="0.25">
      <c r="A124" s="10">
        <v>31</v>
      </c>
      <c r="B124" s="48">
        <f t="shared" si="5"/>
        <v>44127</v>
      </c>
      <c r="C124" s="17">
        <v>150</v>
      </c>
      <c r="D124" s="17"/>
      <c r="H124" s="17">
        <f t="shared" si="3"/>
        <v>740</v>
      </c>
      <c r="I124" t="s">
        <v>23</v>
      </c>
      <c r="J124" s="17" t="s">
        <v>93</v>
      </c>
      <c r="K124" s="230">
        <v>44280</v>
      </c>
      <c r="L124" s="236">
        <v>179.03</v>
      </c>
      <c r="M124" t="s">
        <v>20</v>
      </c>
      <c r="O124" t="s">
        <v>457</v>
      </c>
      <c r="P124" t="s">
        <v>14</v>
      </c>
      <c r="U124" s="16">
        <v>44574</v>
      </c>
      <c r="V124" t="s">
        <v>264</v>
      </c>
      <c r="W124" s="17">
        <v>-100</v>
      </c>
      <c r="X124" t="s">
        <v>579</v>
      </c>
      <c r="Y124" t="s">
        <v>786</v>
      </c>
    </row>
    <row r="125" spans="1:25" hidden="1" x14ac:dyDescent="0.25">
      <c r="A125" s="10">
        <v>32</v>
      </c>
      <c r="B125" s="48">
        <f t="shared" si="5"/>
        <v>44134</v>
      </c>
      <c r="C125" s="17">
        <v>150</v>
      </c>
      <c r="D125" s="17">
        <v>300</v>
      </c>
      <c r="E125" s="16">
        <v>44137</v>
      </c>
      <c r="F125" t="s">
        <v>117</v>
      </c>
      <c r="G125" s="228" t="s">
        <v>592</v>
      </c>
      <c r="H125" s="17">
        <f t="shared" si="3"/>
        <v>590</v>
      </c>
      <c r="I125" t="s">
        <v>23</v>
      </c>
      <c r="J125" s="17" t="s">
        <v>93</v>
      </c>
      <c r="K125" s="230">
        <v>44281</v>
      </c>
      <c r="L125" s="236">
        <v>130</v>
      </c>
      <c r="M125" t="s">
        <v>543</v>
      </c>
      <c r="O125" t="s">
        <v>457</v>
      </c>
      <c r="P125" t="s">
        <v>14</v>
      </c>
      <c r="U125" s="16">
        <v>44578</v>
      </c>
      <c r="V125" t="s">
        <v>264</v>
      </c>
      <c r="W125" s="17">
        <v>-330</v>
      </c>
      <c r="X125" t="s">
        <v>579</v>
      </c>
      <c r="Y125" t="s">
        <v>786</v>
      </c>
    </row>
    <row r="126" spans="1:25" hidden="1" x14ac:dyDescent="0.25">
      <c r="A126" s="10">
        <v>33</v>
      </c>
      <c r="B126" s="48">
        <f t="shared" si="5"/>
        <v>44141</v>
      </c>
      <c r="C126" s="17">
        <v>180</v>
      </c>
      <c r="D126" s="17"/>
      <c r="E126" s="16"/>
      <c r="H126" s="17">
        <f t="shared" si="3"/>
        <v>770</v>
      </c>
      <c r="I126" t="s">
        <v>23</v>
      </c>
      <c r="J126" s="17" t="s">
        <v>93</v>
      </c>
      <c r="K126" s="230">
        <v>44282</v>
      </c>
      <c r="L126" s="236">
        <f>88.97+0.11</f>
        <v>89.08</v>
      </c>
      <c r="M126" t="s">
        <v>32</v>
      </c>
      <c r="O126" t="s">
        <v>457</v>
      </c>
      <c r="P126" t="s">
        <v>14</v>
      </c>
      <c r="U126" s="16">
        <v>44614</v>
      </c>
      <c r="V126" t="s">
        <v>264</v>
      </c>
      <c r="W126" s="17">
        <v>-10.48</v>
      </c>
      <c r="X126" t="s">
        <v>579</v>
      </c>
      <c r="Y126" t="s">
        <v>32</v>
      </c>
    </row>
    <row r="127" spans="1:25" hidden="1" x14ac:dyDescent="0.25">
      <c r="A127" s="10">
        <v>34</v>
      </c>
      <c r="B127" s="48">
        <f t="shared" si="5"/>
        <v>44148</v>
      </c>
      <c r="C127" s="17">
        <v>180</v>
      </c>
      <c r="D127" s="17">
        <v>200</v>
      </c>
      <c r="E127" s="16">
        <v>44277</v>
      </c>
      <c r="F127" t="s">
        <v>117</v>
      </c>
      <c r="H127" s="17">
        <f t="shared" si="3"/>
        <v>750</v>
      </c>
      <c r="I127" t="s">
        <v>23</v>
      </c>
      <c r="J127" s="17" t="s">
        <v>93</v>
      </c>
      <c r="K127" s="230">
        <v>44285</v>
      </c>
      <c r="L127" s="234">
        <v>19.97</v>
      </c>
      <c r="M127" s="49" t="s">
        <v>32</v>
      </c>
      <c r="O127" t="s">
        <v>457</v>
      </c>
      <c r="P127" t="s">
        <v>14</v>
      </c>
      <c r="U127" s="16">
        <v>44615</v>
      </c>
      <c r="V127" t="s">
        <v>264</v>
      </c>
      <c r="W127" s="17">
        <v>-36.159999999999997</v>
      </c>
      <c r="X127" t="s">
        <v>579</v>
      </c>
      <c r="Y127" t="s">
        <v>32</v>
      </c>
    </row>
    <row r="128" spans="1:25" hidden="1" x14ac:dyDescent="0.25">
      <c r="A128" s="10">
        <v>35</v>
      </c>
      <c r="B128" s="48">
        <f t="shared" si="5"/>
        <v>44155</v>
      </c>
      <c r="C128" s="17">
        <v>180</v>
      </c>
      <c r="D128" s="17">
        <v>300</v>
      </c>
      <c r="E128" s="16">
        <v>44155</v>
      </c>
      <c r="F128" t="s">
        <v>511</v>
      </c>
      <c r="G128" s="228" t="s">
        <v>591</v>
      </c>
      <c r="H128" s="17">
        <f t="shared" si="3"/>
        <v>630</v>
      </c>
      <c r="I128" t="s">
        <v>23</v>
      </c>
      <c r="J128" s="17" t="s">
        <v>93</v>
      </c>
      <c r="K128" s="230">
        <v>43909</v>
      </c>
      <c r="L128" s="234">
        <v>42.83</v>
      </c>
      <c r="M128" s="49" t="s">
        <v>32</v>
      </c>
      <c r="O128" t="s">
        <v>31</v>
      </c>
      <c r="P128" t="s">
        <v>107</v>
      </c>
      <c r="U128" s="16">
        <v>44625</v>
      </c>
      <c r="V128" t="s">
        <v>264</v>
      </c>
      <c r="W128" s="17">
        <v>-100</v>
      </c>
      <c r="X128" t="s">
        <v>579</v>
      </c>
      <c r="Y128" t="s">
        <v>802</v>
      </c>
    </row>
    <row r="129" spans="1:25" hidden="1" x14ac:dyDescent="0.25">
      <c r="A129" s="10">
        <v>36</v>
      </c>
      <c r="B129" s="48">
        <f t="shared" si="5"/>
        <v>44162</v>
      </c>
      <c r="C129" s="17">
        <v>180</v>
      </c>
      <c r="D129" s="17"/>
      <c r="E129" s="16"/>
      <c r="H129" s="17">
        <f t="shared" si="3"/>
        <v>810</v>
      </c>
      <c r="I129" t="s">
        <v>23</v>
      </c>
      <c r="J129" s="17" t="s">
        <v>93</v>
      </c>
      <c r="K129" s="230">
        <v>43910</v>
      </c>
      <c r="L129" s="234">
        <v>60</v>
      </c>
      <c r="M129" s="49" t="s">
        <v>34</v>
      </c>
      <c r="O129" t="s">
        <v>31</v>
      </c>
      <c r="P129" t="s">
        <v>107</v>
      </c>
      <c r="U129" s="16">
        <v>44632</v>
      </c>
      <c r="V129" t="s">
        <v>264</v>
      </c>
      <c r="W129" s="17">
        <v>-253</v>
      </c>
      <c r="X129" t="s">
        <v>579</v>
      </c>
      <c r="Y129" t="s">
        <v>805</v>
      </c>
    </row>
    <row r="130" spans="1:25" hidden="1" x14ac:dyDescent="0.25">
      <c r="A130" s="10">
        <v>37</v>
      </c>
      <c r="B130" s="48">
        <f t="shared" si="5"/>
        <v>44169</v>
      </c>
      <c r="C130" s="17">
        <v>180</v>
      </c>
      <c r="D130" s="17">
        <v>260</v>
      </c>
      <c r="E130" s="16">
        <v>44172</v>
      </c>
      <c r="F130" t="s">
        <v>511</v>
      </c>
      <c r="G130" s="228" t="s">
        <v>591</v>
      </c>
      <c r="H130" s="17">
        <f t="shared" si="3"/>
        <v>730</v>
      </c>
      <c r="I130" t="s">
        <v>23</v>
      </c>
      <c r="J130" s="17" t="s">
        <v>93</v>
      </c>
      <c r="K130" s="230">
        <v>43910</v>
      </c>
      <c r="L130" s="234">
        <v>96.2</v>
      </c>
      <c r="M130" s="49" t="s">
        <v>26</v>
      </c>
      <c r="O130" t="s">
        <v>31</v>
      </c>
      <c r="P130" t="s">
        <v>107</v>
      </c>
      <c r="U130" s="16">
        <v>44673</v>
      </c>
      <c r="V130" t="s">
        <v>264</v>
      </c>
      <c r="W130" s="17">
        <v>-259.64999999999998</v>
      </c>
      <c r="X130" t="s">
        <v>579</v>
      </c>
      <c r="Y130" t="s">
        <v>20</v>
      </c>
    </row>
    <row r="131" spans="1:25" hidden="1" x14ac:dyDescent="0.25">
      <c r="A131" s="10">
        <v>38</v>
      </c>
      <c r="B131" s="48">
        <f t="shared" si="5"/>
        <v>44176</v>
      </c>
      <c r="C131" s="17">
        <v>180</v>
      </c>
      <c r="D131" s="17">
        <f>460-270</f>
        <v>190</v>
      </c>
      <c r="E131" s="16">
        <v>44176</v>
      </c>
      <c r="F131" t="s">
        <v>117</v>
      </c>
      <c r="H131" s="17">
        <f t="shared" si="3"/>
        <v>720</v>
      </c>
      <c r="I131" t="s">
        <v>23</v>
      </c>
      <c r="J131" s="17" t="s">
        <v>93</v>
      </c>
      <c r="K131" s="230">
        <v>43912</v>
      </c>
      <c r="L131" s="234">
        <v>5.99</v>
      </c>
      <c r="M131" s="49" t="s">
        <v>17</v>
      </c>
      <c r="N131" t="s">
        <v>177</v>
      </c>
      <c r="O131" t="s">
        <v>31</v>
      </c>
      <c r="P131" t="s">
        <v>14</v>
      </c>
      <c r="U131" s="16">
        <v>44674</v>
      </c>
      <c r="V131" t="s">
        <v>264</v>
      </c>
      <c r="W131" s="17">
        <v>-26.12</v>
      </c>
      <c r="X131" t="s">
        <v>579</v>
      </c>
      <c r="Y131" t="s">
        <v>32</v>
      </c>
    </row>
    <row r="132" spans="1:25" hidden="1" x14ac:dyDescent="0.25">
      <c r="A132" s="10">
        <v>39</v>
      </c>
      <c r="B132" s="48">
        <f t="shared" si="5"/>
        <v>44183</v>
      </c>
      <c r="C132" s="17">
        <v>180</v>
      </c>
      <c r="D132" s="17">
        <v>200</v>
      </c>
      <c r="E132" s="16">
        <v>44184</v>
      </c>
      <c r="F132" t="s">
        <v>117</v>
      </c>
      <c r="G132" s="228" t="s">
        <v>592</v>
      </c>
      <c r="H132" s="17">
        <f t="shared" si="3"/>
        <v>700</v>
      </c>
      <c r="I132" t="s">
        <v>23</v>
      </c>
      <c r="J132" s="17" t="s">
        <v>93</v>
      </c>
      <c r="K132" s="230">
        <v>43918</v>
      </c>
      <c r="L132" s="234">
        <v>17.75</v>
      </c>
      <c r="M132" s="49" t="s">
        <v>32</v>
      </c>
      <c r="O132" t="s">
        <v>31</v>
      </c>
      <c r="P132" t="s">
        <v>107</v>
      </c>
      <c r="U132" s="16">
        <v>44716</v>
      </c>
      <c r="V132" t="s">
        <v>264</v>
      </c>
      <c r="W132" s="17">
        <v>-19.989999999999998</v>
      </c>
      <c r="X132" t="s">
        <v>579</v>
      </c>
      <c r="Y132" t="s">
        <v>32</v>
      </c>
    </row>
    <row r="133" spans="1:25" hidden="1" x14ac:dyDescent="0.25">
      <c r="A133" s="10">
        <v>40</v>
      </c>
      <c r="B133" s="48">
        <f t="shared" si="5"/>
        <v>44190</v>
      </c>
      <c r="C133" s="17">
        <v>200</v>
      </c>
      <c r="D133" s="17">
        <v>200</v>
      </c>
      <c r="E133" s="16">
        <v>44194</v>
      </c>
      <c r="F133" t="s">
        <v>117</v>
      </c>
      <c r="G133" s="228" t="s">
        <v>592</v>
      </c>
      <c r="H133" s="17">
        <f t="shared" si="3"/>
        <v>700</v>
      </c>
      <c r="I133" t="s">
        <v>23</v>
      </c>
      <c r="J133" s="17" t="s">
        <v>93</v>
      </c>
      <c r="K133" s="230">
        <v>43955</v>
      </c>
      <c r="L133" s="234">
        <v>5.5</v>
      </c>
      <c r="M133" s="49" t="s">
        <v>22</v>
      </c>
      <c r="O133" t="s">
        <v>31</v>
      </c>
      <c r="P133" t="s">
        <v>107</v>
      </c>
      <c r="U133" s="16">
        <v>44761</v>
      </c>
      <c r="V133" t="s">
        <v>264</v>
      </c>
      <c r="W133" s="17">
        <v>-22.71</v>
      </c>
      <c r="X133" t="s">
        <v>579</v>
      </c>
      <c r="Y133" t="s">
        <v>453</v>
      </c>
    </row>
    <row r="134" spans="1:25" hidden="1" x14ac:dyDescent="0.25">
      <c r="A134" s="10">
        <v>42</v>
      </c>
      <c r="B134" s="48">
        <f>B133+7</f>
        <v>44197</v>
      </c>
      <c r="C134" s="17">
        <v>200</v>
      </c>
      <c r="D134" s="17">
        <v>200</v>
      </c>
      <c r="E134" s="16">
        <v>43834</v>
      </c>
      <c r="F134" t="s">
        <v>117</v>
      </c>
      <c r="G134" s="228" t="s">
        <v>592</v>
      </c>
      <c r="H134" s="17">
        <f t="shared" si="3"/>
        <v>700</v>
      </c>
      <c r="I134" t="s">
        <v>23</v>
      </c>
      <c r="J134" s="17" t="s">
        <v>93</v>
      </c>
      <c r="K134" s="230">
        <v>43962</v>
      </c>
      <c r="L134" s="234">
        <v>240</v>
      </c>
      <c r="M134" s="49" t="s">
        <v>17</v>
      </c>
      <c r="N134" t="s">
        <v>178</v>
      </c>
      <c r="O134" t="s">
        <v>31</v>
      </c>
      <c r="P134" t="s">
        <v>14</v>
      </c>
      <c r="U134" s="16">
        <v>44816</v>
      </c>
      <c r="V134" t="s">
        <v>180</v>
      </c>
      <c r="W134" s="17">
        <v>1532.5</v>
      </c>
      <c r="X134" t="s">
        <v>579</v>
      </c>
    </row>
    <row r="135" spans="1:25" hidden="1" x14ac:dyDescent="0.25">
      <c r="A135" s="10">
        <v>43</v>
      </c>
      <c r="B135" s="48">
        <f>B134+7</f>
        <v>44204</v>
      </c>
      <c r="C135" s="17">
        <f>57-17</f>
        <v>40</v>
      </c>
      <c r="D135" s="17">
        <v>200</v>
      </c>
      <c r="E135" s="16">
        <v>44263</v>
      </c>
      <c r="F135" t="s">
        <v>124</v>
      </c>
      <c r="H135" s="17">
        <f t="shared" si="3"/>
        <v>540</v>
      </c>
      <c r="I135" t="s">
        <v>23</v>
      </c>
      <c r="J135" s="17" t="s">
        <v>93</v>
      </c>
      <c r="K135" s="230">
        <v>43963</v>
      </c>
      <c r="L135" s="234">
        <v>150</v>
      </c>
      <c r="M135" s="49" t="s">
        <v>26</v>
      </c>
      <c r="O135" t="s">
        <v>31</v>
      </c>
      <c r="P135" t="s">
        <v>107</v>
      </c>
      <c r="U135" s="16">
        <v>44887</v>
      </c>
      <c r="V135" t="s">
        <v>264</v>
      </c>
      <c r="W135" s="17">
        <v>-974</v>
      </c>
      <c r="X135" t="s">
        <v>929</v>
      </c>
    </row>
    <row r="136" spans="1:25" hidden="1" x14ac:dyDescent="0.25">
      <c r="A136">
        <v>1</v>
      </c>
      <c r="B136" s="50">
        <v>44160</v>
      </c>
      <c r="C136">
        <v>40</v>
      </c>
      <c r="D136">
        <v>40</v>
      </c>
      <c r="E136" s="16">
        <v>44160</v>
      </c>
      <c r="F136" t="s">
        <v>117</v>
      </c>
      <c r="H136" s="17">
        <f t="shared" ref="H136:H191" si="6">IFERROR(IF(F135="Closed account",(IF(F136="Unpaid Rent",(C136),(C136-D136))),(IF(F136="Unpaid Rent",(C136+H135),(C136-D136+H135)))),"")</f>
        <v>0</v>
      </c>
      <c r="I136" t="s">
        <v>457</v>
      </c>
      <c r="J136" t="s">
        <v>465</v>
      </c>
      <c r="K136" s="230">
        <v>43970</v>
      </c>
      <c r="L136" s="234">
        <v>89.7</v>
      </c>
      <c r="M136" s="49" t="s">
        <v>16</v>
      </c>
      <c r="O136" t="s">
        <v>31</v>
      </c>
      <c r="P136" t="s">
        <v>107</v>
      </c>
      <c r="U136" s="181">
        <v>44942</v>
      </c>
      <c r="V136" t="s">
        <v>264</v>
      </c>
      <c r="W136" s="17">
        <v>-600</v>
      </c>
      <c r="X136" t="s">
        <v>929</v>
      </c>
      <c r="Y136" t="s">
        <v>796</v>
      </c>
    </row>
    <row r="137" spans="1:25" hidden="1" x14ac:dyDescent="0.25">
      <c r="A137">
        <v>1</v>
      </c>
      <c r="B137" s="50">
        <v>44169</v>
      </c>
      <c r="C137">
        <v>200</v>
      </c>
      <c r="D137">
        <v>200</v>
      </c>
      <c r="E137" s="16">
        <v>44169</v>
      </c>
      <c r="F137" t="s">
        <v>181</v>
      </c>
      <c r="H137" s="17">
        <f t="shared" si="6"/>
        <v>0</v>
      </c>
      <c r="I137" t="s">
        <v>457</v>
      </c>
      <c r="J137" t="s">
        <v>465</v>
      </c>
      <c r="K137" s="230">
        <v>43983</v>
      </c>
      <c r="L137" s="234">
        <v>60</v>
      </c>
      <c r="M137" s="49" t="s">
        <v>34</v>
      </c>
      <c r="O137" t="s">
        <v>31</v>
      </c>
      <c r="P137" t="s">
        <v>107</v>
      </c>
      <c r="U137" s="212">
        <v>44932</v>
      </c>
      <c r="V137" s="14" t="s">
        <v>180</v>
      </c>
      <c r="W137" s="77">
        <v>1500</v>
      </c>
      <c r="X137" s="14" t="s">
        <v>929</v>
      </c>
      <c r="Y137" s="14"/>
    </row>
    <row r="138" spans="1:25" hidden="1" x14ac:dyDescent="0.25">
      <c r="A138">
        <v>1</v>
      </c>
      <c r="B138" s="50">
        <v>44169</v>
      </c>
      <c r="C138">
        <v>80</v>
      </c>
      <c r="D138">
        <v>80</v>
      </c>
      <c r="E138" s="16">
        <v>44169</v>
      </c>
      <c r="F138" t="s">
        <v>124</v>
      </c>
      <c r="H138" s="17">
        <f t="shared" si="6"/>
        <v>0</v>
      </c>
      <c r="I138" t="s">
        <v>457</v>
      </c>
      <c r="J138" t="s">
        <v>465</v>
      </c>
      <c r="K138" s="230">
        <v>43986</v>
      </c>
      <c r="L138" s="234">
        <v>350</v>
      </c>
      <c r="M138" s="49" t="s">
        <v>17</v>
      </c>
      <c r="N138" t="s">
        <v>178</v>
      </c>
      <c r="O138" t="s">
        <v>31</v>
      </c>
      <c r="P138" t="s">
        <v>14</v>
      </c>
      <c r="U138" s="181">
        <v>44942</v>
      </c>
      <c r="V138" t="s">
        <v>264</v>
      </c>
      <c r="W138" s="17">
        <v>-2750</v>
      </c>
      <c r="X138" t="s">
        <v>971</v>
      </c>
    </row>
    <row r="139" spans="1:25" hidden="1" x14ac:dyDescent="0.25">
      <c r="A139">
        <v>1</v>
      </c>
      <c r="B139" s="50">
        <v>44174</v>
      </c>
      <c r="C139">
        <v>700</v>
      </c>
      <c r="D139">
        <v>700</v>
      </c>
      <c r="E139" s="16">
        <v>44174</v>
      </c>
      <c r="F139" t="s">
        <v>181</v>
      </c>
      <c r="H139" s="17">
        <f t="shared" si="6"/>
        <v>0</v>
      </c>
      <c r="I139" t="s">
        <v>457</v>
      </c>
      <c r="J139" t="s">
        <v>467</v>
      </c>
      <c r="K139" s="230">
        <v>43993</v>
      </c>
      <c r="L139" s="234">
        <v>198.52</v>
      </c>
      <c r="M139" s="49" t="s">
        <v>20</v>
      </c>
      <c r="O139" t="s">
        <v>31</v>
      </c>
      <c r="P139" t="s">
        <v>107</v>
      </c>
      <c r="U139" s="181">
        <v>44942</v>
      </c>
      <c r="V139" t="s">
        <v>264</v>
      </c>
      <c r="W139" s="17"/>
      <c r="X139" t="s">
        <v>971</v>
      </c>
    </row>
    <row r="140" spans="1:25" ht="15" hidden="1" customHeight="1" x14ac:dyDescent="0.25">
      <c r="A140">
        <v>1</v>
      </c>
      <c r="B140" s="50">
        <v>44174</v>
      </c>
      <c r="C140">
        <v>350</v>
      </c>
      <c r="D140">
        <v>350</v>
      </c>
      <c r="E140" s="16">
        <v>44174</v>
      </c>
      <c r="F140" t="s">
        <v>117</v>
      </c>
      <c r="H140" s="17">
        <f t="shared" si="6"/>
        <v>0</v>
      </c>
      <c r="I140" t="s">
        <v>457</v>
      </c>
      <c r="J140" t="s">
        <v>467</v>
      </c>
      <c r="K140" s="230">
        <v>43998</v>
      </c>
      <c r="L140" s="234">
        <v>55.1</v>
      </c>
      <c r="M140" s="49" t="s">
        <v>54</v>
      </c>
      <c r="O140" t="s">
        <v>31</v>
      </c>
      <c r="P140" t="s">
        <v>107</v>
      </c>
      <c r="U140" s="212">
        <v>44932</v>
      </c>
      <c r="V140" s="14" t="s">
        <v>180</v>
      </c>
      <c r="W140" s="77">
        <v>2500</v>
      </c>
      <c r="X140" s="14" t="s">
        <v>971</v>
      </c>
      <c r="Y140" s="14"/>
    </row>
    <row r="141" spans="1:25" ht="15" hidden="1" customHeight="1" x14ac:dyDescent="0.25">
      <c r="A141">
        <v>1</v>
      </c>
      <c r="B141" s="50">
        <v>44175</v>
      </c>
      <c r="C141">
        <v>-75</v>
      </c>
      <c r="D141">
        <v>-75</v>
      </c>
      <c r="E141" s="16">
        <v>44175</v>
      </c>
      <c r="F141" t="s">
        <v>117</v>
      </c>
      <c r="H141" s="17">
        <f t="shared" si="6"/>
        <v>0</v>
      </c>
      <c r="I141" t="s">
        <v>457</v>
      </c>
      <c r="J141" t="s">
        <v>467</v>
      </c>
      <c r="K141" s="230">
        <v>43998</v>
      </c>
      <c r="L141" s="234">
        <v>100.14</v>
      </c>
      <c r="M141" s="49" t="s">
        <v>16</v>
      </c>
      <c r="O141" t="s">
        <v>31</v>
      </c>
      <c r="P141" t="s">
        <v>107</v>
      </c>
    </row>
    <row r="142" spans="1:25" ht="15" hidden="1" customHeight="1" x14ac:dyDescent="0.25">
      <c r="A142">
        <v>1</v>
      </c>
      <c r="B142" s="50">
        <v>44178</v>
      </c>
      <c r="C142">
        <v>-120</v>
      </c>
      <c r="D142">
        <v>-120</v>
      </c>
      <c r="E142" s="16">
        <v>44178</v>
      </c>
      <c r="F142" t="s">
        <v>117</v>
      </c>
      <c r="H142" s="17">
        <f t="shared" si="6"/>
        <v>0</v>
      </c>
      <c r="I142" t="s">
        <v>457</v>
      </c>
      <c r="J142" t="s">
        <v>467</v>
      </c>
      <c r="K142" s="230">
        <v>44012</v>
      </c>
      <c r="L142" s="234">
        <v>120</v>
      </c>
      <c r="M142" s="49" t="s">
        <v>45</v>
      </c>
      <c r="O142" t="s">
        <v>31</v>
      </c>
      <c r="P142" t="s">
        <v>107</v>
      </c>
    </row>
    <row r="143" spans="1:25" ht="15" hidden="1" customHeight="1" x14ac:dyDescent="0.25">
      <c r="A143" s="10">
        <v>1</v>
      </c>
      <c r="B143" s="48">
        <v>43943</v>
      </c>
      <c r="C143" s="17">
        <v>120</v>
      </c>
      <c r="D143" s="17">
        <v>120</v>
      </c>
      <c r="E143" s="16">
        <v>43942</v>
      </c>
      <c r="F143" s="16" t="s">
        <v>181</v>
      </c>
      <c r="G143" s="228">
        <v>128271</v>
      </c>
      <c r="H143" s="17">
        <f t="shared" si="6"/>
        <v>0</v>
      </c>
      <c r="I143" t="s">
        <v>31</v>
      </c>
      <c r="J143" s="77" t="s">
        <v>107</v>
      </c>
      <c r="K143" s="230">
        <v>44026</v>
      </c>
      <c r="L143" s="234">
        <v>100.14</v>
      </c>
      <c r="M143" s="49" t="s">
        <v>16</v>
      </c>
      <c r="O143" t="s">
        <v>31</v>
      </c>
      <c r="P143" t="s">
        <v>192</v>
      </c>
    </row>
    <row r="144" spans="1:25" ht="15" hidden="1" customHeight="1" x14ac:dyDescent="0.25">
      <c r="A144" s="10">
        <v>1</v>
      </c>
      <c r="B144" s="48">
        <v>43943</v>
      </c>
      <c r="C144" s="17">
        <v>120</v>
      </c>
      <c r="D144" s="17">
        <v>120</v>
      </c>
      <c r="E144" s="16">
        <v>43942</v>
      </c>
      <c r="F144" s="16" t="s">
        <v>114</v>
      </c>
      <c r="H144" s="17">
        <f t="shared" si="6"/>
        <v>0</v>
      </c>
      <c r="I144" t="s">
        <v>31</v>
      </c>
      <c r="J144" s="77" t="s">
        <v>107</v>
      </c>
      <c r="K144" s="230">
        <v>44057</v>
      </c>
      <c r="L144" s="234">
        <v>100.14</v>
      </c>
      <c r="M144" s="49" t="s">
        <v>16</v>
      </c>
      <c r="O144" t="s">
        <v>31</v>
      </c>
      <c r="P144" t="s">
        <v>192</v>
      </c>
    </row>
    <row r="145" spans="1:16" ht="15" hidden="1" customHeight="1" x14ac:dyDescent="0.25">
      <c r="A145" s="10">
        <v>2</v>
      </c>
      <c r="B145" s="48">
        <v>43950</v>
      </c>
      <c r="C145" s="17">
        <v>120</v>
      </c>
      <c r="D145" s="17">
        <v>120</v>
      </c>
      <c r="E145" s="16">
        <v>43950</v>
      </c>
      <c r="F145" s="16" t="s">
        <v>114</v>
      </c>
      <c r="H145" s="17">
        <f t="shared" si="6"/>
        <v>0</v>
      </c>
      <c r="I145" t="s">
        <v>31</v>
      </c>
      <c r="J145" s="17" t="s">
        <v>107</v>
      </c>
      <c r="K145" s="230">
        <v>44084</v>
      </c>
      <c r="L145" s="234">
        <v>198.52</v>
      </c>
      <c r="M145" s="49" t="s">
        <v>20</v>
      </c>
      <c r="O145" t="s">
        <v>31</v>
      </c>
      <c r="P145" t="s">
        <v>192</v>
      </c>
    </row>
    <row r="146" spans="1:16" ht="15" hidden="1" customHeight="1" x14ac:dyDescent="0.25">
      <c r="A146" s="10">
        <v>3</v>
      </c>
      <c r="B146" s="48">
        <v>43957</v>
      </c>
      <c r="C146" s="17">
        <v>120</v>
      </c>
      <c r="D146" s="17">
        <v>120</v>
      </c>
      <c r="E146" s="16">
        <v>43964</v>
      </c>
      <c r="F146" s="16" t="s">
        <v>114</v>
      </c>
      <c r="H146" s="17">
        <f t="shared" si="6"/>
        <v>0</v>
      </c>
      <c r="I146" t="s">
        <v>31</v>
      </c>
      <c r="J146" s="17" t="s">
        <v>107</v>
      </c>
      <c r="K146" s="230">
        <v>44092</v>
      </c>
      <c r="L146" s="234">
        <v>84.83</v>
      </c>
      <c r="M146" s="49" t="s">
        <v>16</v>
      </c>
      <c r="O146" t="s">
        <v>31</v>
      </c>
      <c r="P146" t="s">
        <v>192</v>
      </c>
    </row>
    <row r="147" spans="1:16" ht="15" customHeight="1" x14ac:dyDescent="0.25">
      <c r="A147" s="10">
        <v>4</v>
      </c>
      <c r="B147" s="48">
        <v>43964</v>
      </c>
      <c r="C147" s="17">
        <v>120</v>
      </c>
      <c r="D147" s="17">
        <v>120</v>
      </c>
      <c r="E147" s="16">
        <v>43964</v>
      </c>
      <c r="F147" s="16" t="s">
        <v>114</v>
      </c>
      <c r="H147" s="17">
        <f t="shared" si="6"/>
        <v>0</v>
      </c>
      <c r="I147" t="s">
        <v>31</v>
      </c>
      <c r="J147" s="17" t="s">
        <v>107</v>
      </c>
      <c r="K147" s="230">
        <v>44099</v>
      </c>
      <c r="L147" s="234">
        <v>950</v>
      </c>
      <c r="M147" s="49" t="s">
        <v>133</v>
      </c>
      <c r="N147" t="s">
        <v>421</v>
      </c>
      <c r="O147" t="s">
        <v>31</v>
      </c>
      <c r="P147" t="s">
        <v>217</v>
      </c>
    </row>
    <row r="148" spans="1:16" ht="15" hidden="1" customHeight="1" x14ac:dyDescent="0.25">
      <c r="A148" s="10">
        <v>5</v>
      </c>
      <c r="B148" s="48">
        <v>43971</v>
      </c>
      <c r="C148" s="17">
        <v>120</v>
      </c>
      <c r="D148" s="17">
        <v>120</v>
      </c>
      <c r="E148" s="16">
        <v>43971</v>
      </c>
      <c r="F148" s="16" t="s">
        <v>114</v>
      </c>
      <c r="H148" s="17">
        <f t="shared" si="6"/>
        <v>0</v>
      </c>
      <c r="I148" t="s">
        <v>31</v>
      </c>
      <c r="J148" s="17" t="s">
        <v>107</v>
      </c>
      <c r="K148" s="230">
        <v>44100</v>
      </c>
      <c r="L148" s="234">
        <v>30.4</v>
      </c>
      <c r="M148" s="49" t="s">
        <v>53</v>
      </c>
      <c r="O148" t="s">
        <v>31</v>
      </c>
      <c r="P148" t="s">
        <v>217</v>
      </c>
    </row>
    <row r="149" spans="1:16" ht="15" customHeight="1" x14ac:dyDescent="0.25">
      <c r="A149" s="10">
        <v>6</v>
      </c>
      <c r="B149" s="48">
        <v>43978</v>
      </c>
      <c r="C149" s="17">
        <v>120</v>
      </c>
      <c r="D149" s="17">
        <v>120</v>
      </c>
      <c r="E149" s="16">
        <v>43978</v>
      </c>
      <c r="F149" s="16" t="s">
        <v>114</v>
      </c>
      <c r="H149" s="17">
        <f t="shared" si="6"/>
        <v>0</v>
      </c>
      <c r="I149" t="s">
        <v>31</v>
      </c>
      <c r="J149" s="17" t="s">
        <v>107</v>
      </c>
      <c r="K149" s="230">
        <v>44104</v>
      </c>
      <c r="L149" s="234">
        <v>51.11</v>
      </c>
      <c r="M149" s="49" t="s">
        <v>133</v>
      </c>
      <c r="O149" t="s">
        <v>31</v>
      </c>
      <c r="P149" t="s">
        <v>217</v>
      </c>
    </row>
    <row r="150" spans="1:16" ht="15" hidden="1" customHeight="1" x14ac:dyDescent="0.25">
      <c r="A150" s="10">
        <v>7</v>
      </c>
      <c r="B150" s="48">
        <v>43985</v>
      </c>
      <c r="C150" s="17">
        <v>120</v>
      </c>
      <c r="D150" s="17">
        <v>120</v>
      </c>
      <c r="E150" s="16">
        <v>43985</v>
      </c>
      <c r="F150" s="16" t="s">
        <v>114</v>
      </c>
      <c r="H150" s="17">
        <f t="shared" si="6"/>
        <v>0</v>
      </c>
      <c r="I150" t="s">
        <v>31</v>
      </c>
      <c r="J150" s="17" t="s">
        <v>107</v>
      </c>
      <c r="K150" s="230">
        <v>44104</v>
      </c>
      <c r="L150" s="234">
        <v>45.85</v>
      </c>
      <c r="M150" s="49" t="s">
        <v>32</v>
      </c>
      <c r="O150" t="s">
        <v>31</v>
      </c>
      <c r="P150" t="s">
        <v>217</v>
      </c>
    </row>
    <row r="151" spans="1:16" ht="15" hidden="1" customHeight="1" x14ac:dyDescent="0.25">
      <c r="A151" s="10">
        <v>8</v>
      </c>
      <c r="B151" s="48">
        <v>43992</v>
      </c>
      <c r="C151" s="17">
        <v>120</v>
      </c>
      <c r="D151" s="17"/>
      <c r="E151" s="16"/>
      <c r="F151" s="16" t="s">
        <v>114</v>
      </c>
      <c r="H151" s="17">
        <f t="shared" si="6"/>
        <v>120</v>
      </c>
      <c r="I151" t="s">
        <v>31</v>
      </c>
      <c r="J151" s="17" t="s">
        <v>107</v>
      </c>
      <c r="K151" s="230">
        <v>44104</v>
      </c>
      <c r="L151" s="234">
        <v>250</v>
      </c>
      <c r="M151" s="49" t="s">
        <v>17</v>
      </c>
      <c r="N151" t="s">
        <v>204</v>
      </c>
      <c r="O151" t="s">
        <v>31</v>
      </c>
      <c r="P151" t="s">
        <v>422</v>
      </c>
    </row>
    <row r="152" spans="1:16" ht="15" hidden="1" customHeight="1" x14ac:dyDescent="0.25">
      <c r="A152" s="10">
        <v>9</v>
      </c>
      <c r="B152" s="48">
        <v>43999</v>
      </c>
      <c r="C152" s="17">
        <v>120</v>
      </c>
      <c r="D152" s="17">
        <v>120</v>
      </c>
      <c r="E152" s="16">
        <v>44021</v>
      </c>
      <c r="F152" s="16" t="s">
        <v>114</v>
      </c>
      <c r="H152" s="17">
        <f t="shared" si="6"/>
        <v>120</v>
      </c>
      <c r="I152" t="s">
        <v>31</v>
      </c>
      <c r="J152" s="17" t="s">
        <v>107</v>
      </c>
      <c r="K152" s="230">
        <v>44110</v>
      </c>
      <c r="L152" s="234">
        <v>150</v>
      </c>
      <c r="M152" s="49" t="s">
        <v>26</v>
      </c>
      <c r="O152" t="s">
        <v>31</v>
      </c>
      <c r="P152" t="s">
        <v>422</v>
      </c>
    </row>
    <row r="153" spans="1:16" ht="15" hidden="1" customHeight="1" x14ac:dyDescent="0.25">
      <c r="A153" s="10">
        <v>10</v>
      </c>
      <c r="B153" s="48">
        <v>44006</v>
      </c>
      <c r="C153" s="17">
        <v>120</v>
      </c>
      <c r="D153" s="17">
        <v>120</v>
      </c>
      <c r="E153" s="16">
        <v>44012</v>
      </c>
      <c r="F153" s="16" t="s">
        <v>124</v>
      </c>
      <c r="H153" s="17">
        <f t="shared" si="6"/>
        <v>120</v>
      </c>
      <c r="I153" t="s">
        <v>31</v>
      </c>
      <c r="J153" s="17" t="s">
        <v>107</v>
      </c>
      <c r="K153" s="230">
        <v>44166</v>
      </c>
      <c r="L153" s="234">
        <v>198.52</v>
      </c>
      <c r="M153" s="49" t="s">
        <v>20</v>
      </c>
      <c r="O153" t="s">
        <v>31</v>
      </c>
      <c r="P153" t="s">
        <v>422</v>
      </c>
    </row>
    <row r="154" spans="1:16" ht="15" hidden="1" customHeight="1" x14ac:dyDescent="0.25">
      <c r="A154" s="10">
        <v>1</v>
      </c>
      <c r="B154" s="48">
        <v>44022</v>
      </c>
      <c r="C154" s="17">
        <v>180</v>
      </c>
      <c r="D154" s="17">
        <v>180</v>
      </c>
      <c r="E154" s="16">
        <v>44022</v>
      </c>
      <c r="F154" t="s">
        <v>117</v>
      </c>
      <c r="H154" s="17">
        <f t="shared" si="6"/>
        <v>0</v>
      </c>
      <c r="I154" t="s">
        <v>31</v>
      </c>
      <c r="J154" s="17" t="s">
        <v>192</v>
      </c>
      <c r="K154" s="230">
        <v>44188</v>
      </c>
      <c r="L154" s="234">
        <v>300</v>
      </c>
      <c r="M154" s="49" t="s">
        <v>45</v>
      </c>
      <c r="O154" t="s">
        <v>31</v>
      </c>
      <c r="P154" t="s">
        <v>422</v>
      </c>
    </row>
    <row r="155" spans="1:16" ht="15" hidden="1" customHeight="1" x14ac:dyDescent="0.25">
      <c r="A155" s="10">
        <v>2</v>
      </c>
      <c r="B155" s="48">
        <v>44029</v>
      </c>
      <c r="C155" s="17">
        <v>180</v>
      </c>
      <c r="D155" s="17">
        <v>180</v>
      </c>
      <c r="E155" s="16">
        <v>44029</v>
      </c>
      <c r="F155" t="s">
        <v>117</v>
      </c>
      <c r="H155" s="17">
        <f t="shared" si="6"/>
        <v>0</v>
      </c>
      <c r="I155" t="s">
        <v>31</v>
      </c>
      <c r="J155" s="17" t="s">
        <v>192</v>
      </c>
      <c r="K155" s="230">
        <v>44125</v>
      </c>
      <c r="L155" s="234">
        <v>9.8000000000000007</v>
      </c>
      <c r="M155" s="49" t="s">
        <v>32</v>
      </c>
      <c r="O155" t="s">
        <v>439</v>
      </c>
      <c r="P155" t="s">
        <v>14</v>
      </c>
    </row>
    <row r="156" spans="1:16" ht="15" hidden="1" customHeight="1" x14ac:dyDescent="0.25">
      <c r="A156" s="10">
        <v>3</v>
      </c>
      <c r="B156" s="48">
        <v>44036</v>
      </c>
      <c r="C156" s="17">
        <v>180</v>
      </c>
      <c r="D156" s="17"/>
      <c r="E156" s="16"/>
      <c r="H156" s="17">
        <f t="shared" si="6"/>
        <v>180</v>
      </c>
      <c r="I156" t="s">
        <v>31</v>
      </c>
      <c r="J156" s="77" t="s">
        <v>192</v>
      </c>
      <c r="K156" s="230">
        <v>44131</v>
      </c>
      <c r="L156" s="234">
        <v>600</v>
      </c>
      <c r="M156" s="49" t="s">
        <v>45</v>
      </c>
      <c r="O156" t="s">
        <v>439</v>
      </c>
      <c r="P156" t="s">
        <v>440</v>
      </c>
    </row>
    <row r="157" spans="1:16" ht="15" hidden="1" customHeight="1" x14ac:dyDescent="0.25">
      <c r="A157" s="10">
        <v>4</v>
      </c>
      <c r="B157" s="48">
        <v>44043</v>
      </c>
      <c r="C157" s="17">
        <v>180</v>
      </c>
      <c r="D157" s="17">
        <v>180</v>
      </c>
      <c r="E157" s="16">
        <v>44046</v>
      </c>
      <c r="F157" t="s">
        <v>117</v>
      </c>
      <c r="H157" s="17">
        <f t="shared" si="6"/>
        <v>180</v>
      </c>
      <c r="I157" t="s">
        <v>31</v>
      </c>
      <c r="J157" s="17" t="s">
        <v>192</v>
      </c>
      <c r="K157" s="230">
        <v>44121</v>
      </c>
      <c r="L157" s="234">
        <v>100.74</v>
      </c>
      <c r="M157" s="49" t="s">
        <v>16</v>
      </c>
      <c r="O157" t="s">
        <v>439</v>
      </c>
      <c r="P157" t="s">
        <v>14</v>
      </c>
    </row>
    <row r="158" spans="1:16" ht="15" hidden="1" customHeight="1" x14ac:dyDescent="0.25">
      <c r="A158" s="10">
        <v>5</v>
      </c>
      <c r="B158" s="48">
        <v>44050</v>
      </c>
      <c r="C158" s="17">
        <v>180</v>
      </c>
      <c r="D158" s="17">
        <v>175</v>
      </c>
      <c r="E158" s="16">
        <v>44053</v>
      </c>
      <c r="F158" t="s">
        <v>117</v>
      </c>
      <c r="H158" s="17">
        <f t="shared" si="6"/>
        <v>185</v>
      </c>
      <c r="I158" t="s">
        <v>31</v>
      </c>
      <c r="J158" s="17" t="s">
        <v>192</v>
      </c>
      <c r="K158" s="230">
        <v>44153</v>
      </c>
      <c r="L158" s="234">
        <v>300</v>
      </c>
      <c r="M158" s="49" t="s">
        <v>45</v>
      </c>
      <c r="O158" t="s">
        <v>439</v>
      </c>
      <c r="P158" t="s">
        <v>447</v>
      </c>
    </row>
    <row r="159" spans="1:16" ht="15" hidden="1" customHeight="1" x14ac:dyDescent="0.25">
      <c r="A159" s="10">
        <v>6</v>
      </c>
      <c r="B159" s="48">
        <v>44054</v>
      </c>
      <c r="C159" s="17">
        <v>100</v>
      </c>
      <c r="D159" s="17">
        <v>287</v>
      </c>
      <c r="E159" s="16">
        <v>44083</v>
      </c>
      <c r="F159" t="s">
        <v>124</v>
      </c>
      <c r="H159" s="17">
        <f t="shared" si="6"/>
        <v>-2</v>
      </c>
      <c r="I159" t="s">
        <v>31</v>
      </c>
      <c r="J159" s="17" t="s">
        <v>192</v>
      </c>
      <c r="K159" s="230">
        <v>44168</v>
      </c>
      <c r="L159" s="234">
        <v>18</v>
      </c>
      <c r="M159" s="49" t="s">
        <v>32</v>
      </c>
      <c r="O159" t="s">
        <v>439</v>
      </c>
      <c r="P159" t="s">
        <v>14</v>
      </c>
    </row>
    <row r="160" spans="1:16" ht="15" hidden="1" customHeight="1" x14ac:dyDescent="0.25">
      <c r="A160" s="10">
        <v>7</v>
      </c>
      <c r="B160" s="48">
        <v>44066</v>
      </c>
      <c r="C160" s="17">
        <v>170</v>
      </c>
      <c r="D160" s="17">
        <v>170</v>
      </c>
      <c r="E160" s="16">
        <v>44066</v>
      </c>
      <c r="F160" t="s">
        <v>124</v>
      </c>
      <c r="H160" s="17">
        <f t="shared" si="6"/>
        <v>0</v>
      </c>
      <c r="I160" t="s">
        <v>31</v>
      </c>
      <c r="J160" s="77" t="s">
        <v>217</v>
      </c>
      <c r="K160" s="230">
        <v>44175</v>
      </c>
      <c r="L160" s="234">
        <v>180</v>
      </c>
      <c r="M160" s="49" t="s">
        <v>20</v>
      </c>
      <c r="O160" t="s">
        <v>439</v>
      </c>
      <c r="P160" t="s">
        <v>14</v>
      </c>
    </row>
    <row r="161" spans="1:16" ht="15" hidden="1" customHeight="1" x14ac:dyDescent="0.25">
      <c r="A161" s="10">
        <v>1</v>
      </c>
      <c r="B161" s="48">
        <v>44100</v>
      </c>
      <c r="C161" s="17">
        <v>300</v>
      </c>
      <c r="D161" s="17">
        <v>300</v>
      </c>
      <c r="E161" s="16">
        <v>44100</v>
      </c>
      <c r="F161" t="s">
        <v>181</v>
      </c>
      <c r="H161" s="17">
        <f t="shared" si="6"/>
        <v>0</v>
      </c>
      <c r="I161" t="s">
        <v>31</v>
      </c>
      <c r="J161" s="17" t="s">
        <v>422</v>
      </c>
      <c r="K161" s="230">
        <v>44204</v>
      </c>
      <c r="L161" s="234">
        <v>12.29</v>
      </c>
      <c r="M161" s="49" t="s">
        <v>32</v>
      </c>
      <c r="O161" t="s">
        <v>439</v>
      </c>
      <c r="P161" t="s">
        <v>14</v>
      </c>
    </row>
    <row r="162" spans="1:16" ht="15" customHeight="1" x14ac:dyDescent="0.25">
      <c r="A162" s="10">
        <v>2</v>
      </c>
      <c r="B162" s="48">
        <v>44100</v>
      </c>
      <c r="C162" s="17">
        <f>(160/7)*3+0.43</f>
        <v>69.001428571428576</v>
      </c>
      <c r="D162" s="17"/>
      <c r="E162" s="16"/>
      <c r="H162" s="17">
        <f t="shared" si="6"/>
        <v>69.001428571428576</v>
      </c>
      <c r="I162" t="s">
        <v>31</v>
      </c>
      <c r="J162" s="17" t="s">
        <v>422</v>
      </c>
      <c r="K162" s="230">
        <v>44236</v>
      </c>
      <c r="L162" s="234">
        <v>34.619999999999997</v>
      </c>
      <c r="M162" s="49" t="s">
        <v>133</v>
      </c>
      <c r="O162" t="s">
        <v>439</v>
      </c>
      <c r="P162" t="s">
        <v>14</v>
      </c>
    </row>
    <row r="163" spans="1:16" ht="15" hidden="1" customHeight="1" x14ac:dyDescent="0.25">
      <c r="A163" s="10">
        <v>3</v>
      </c>
      <c r="B163" s="48">
        <v>44104</v>
      </c>
      <c r="C163" s="17">
        <v>160</v>
      </c>
      <c r="D163" s="17">
        <v>250</v>
      </c>
      <c r="E163" s="16">
        <v>44104</v>
      </c>
      <c r="F163" t="s">
        <v>433</v>
      </c>
      <c r="H163" s="17">
        <f t="shared" si="6"/>
        <v>-20.998571428571424</v>
      </c>
      <c r="I163" t="s">
        <v>31</v>
      </c>
      <c r="J163" s="17" t="s">
        <v>422</v>
      </c>
      <c r="K163" s="230">
        <v>44275</v>
      </c>
      <c r="L163" s="234">
        <v>180</v>
      </c>
      <c r="M163" s="49" t="s">
        <v>20</v>
      </c>
      <c r="O163" t="s">
        <v>439</v>
      </c>
      <c r="P163" t="s">
        <v>14</v>
      </c>
    </row>
    <row r="164" spans="1:16" ht="15" hidden="1" customHeight="1" x14ac:dyDescent="0.25">
      <c r="A164" s="10">
        <v>4</v>
      </c>
      <c r="B164" s="48">
        <f t="shared" ref="B164:B169" si="7">B163+7</f>
        <v>44111</v>
      </c>
      <c r="C164" s="17">
        <v>160</v>
      </c>
      <c r="D164" s="17">
        <v>139</v>
      </c>
      <c r="E164" s="16">
        <v>44111</v>
      </c>
      <c r="F164" t="s">
        <v>117</v>
      </c>
      <c r="H164" s="17">
        <f t="shared" si="6"/>
        <v>1.4285714285762197E-3</v>
      </c>
      <c r="I164" t="s">
        <v>31</v>
      </c>
      <c r="J164" s="17" t="s">
        <v>422</v>
      </c>
      <c r="K164" s="230">
        <v>44347</v>
      </c>
      <c r="L164" s="234">
        <v>400</v>
      </c>
      <c r="M164" s="49" t="s">
        <v>45</v>
      </c>
      <c r="O164" t="s">
        <v>439</v>
      </c>
      <c r="P164" t="s">
        <v>614</v>
      </c>
    </row>
    <row r="165" spans="1:16" ht="15" hidden="1" customHeight="1" x14ac:dyDescent="0.25">
      <c r="A165" s="10">
        <v>5</v>
      </c>
      <c r="B165" s="48">
        <f t="shared" si="7"/>
        <v>44118</v>
      </c>
      <c r="C165" s="17">
        <v>160</v>
      </c>
      <c r="D165" s="17">
        <v>160</v>
      </c>
      <c r="E165" s="16">
        <v>44118</v>
      </c>
      <c r="F165" t="s">
        <v>117</v>
      </c>
      <c r="H165" s="17">
        <f t="shared" si="6"/>
        <v>1.4285714285762197E-3</v>
      </c>
      <c r="I165" t="s">
        <v>31</v>
      </c>
      <c r="J165" s="17" t="s">
        <v>422</v>
      </c>
      <c r="K165" s="230">
        <v>43825</v>
      </c>
      <c r="L165" s="234">
        <v>27.35</v>
      </c>
      <c r="M165" s="49" t="s">
        <v>32</v>
      </c>
      <c r="O165" t="s">
        <v>29</v>
      </c>
      <c r="P165" t="s">
        <v>173</v>
      </c>
    </row>
    <row r="166" spans="1:16" ht="15" hidden="1" customHeight="1" x14ac:dyDescent="0.25">
      <c r="A166" s="10">
        <v>6</v>
      </c>
      <c r="B166" s="48">
        <f t="shared" si="7"/>
        <v>44125</v>
      </c>
      <c r="C166" s="17">
        <v>160</v>
      </c>
      <c r="D166" s="17"/>
      <c r="E166" s="16"/>
      <c r="H166" s="17">
        <f t="shared" si="6"/>
        <v>160.00142857142856</v>
      </c>
      <c r="I166" t="s">
        <v>31</v>
      </c>
      <c r="J166" s="17" t="s">
        <v>422</v>
      </c>
      <c r="K166" s="230">
        <v>43835</v>
      </c>
      <c r="L166" s="234">
        <v>26.99</v>
      </c>
      <c r="M166" s="49" t="s">
        <v>17</v>
      </c>
      <c r="N166" t="s">
        <v>172</v>
      </c>
      <c r="O166" t="s">
        <v>29</v>
      </c>
      <c r="P166" t="s">
        <v>14</v>
      </c>
    </row>
    <row r="167" spans="1:16" ht="15" hidden="1" customHeight="1" x14ac:dyDescent="0.25">
      <c r="A167" s="10">
        <v>7</v>
      </c>
      <c r="B167" s="48">
        <f t="shared" si="7"/>
        <v>44132</v>
      </c>
      <c r="C167" s="17">
        <v>160</v>
      </c>
      <c r="D167" s="17">
        <v>160</v>
      </c>
      <c r="E167" s="16">
        <v>44132</v>
      </c>
      <c r="F167" t="s">
        <v>117</v>
      </c>
      <c r="H167" s="17">
        <f t="shared" si="6"/>
        <v>160.00142857142856</v>
      </c>
      <c r="I167" t="s">
        <v>31</v>
      </c>
      <c r="J167" s="17" t="s">
        <v>422</v>
      </c>
      <c r="K167" s="230">
        <v>43836</v>
      </c>
      <c r="L167" s="234">
        <v>5.5</v>
      </c>
      <c r="M167" s="49" t="s">
        <v>22</v>
      </c>
      <c r="O167" t="s">
        <v>29</v>
      </c>
      <c r="P167" t="s">
        <v>173</v>
      </c>
    </row>
    <row r="168" spans="1:16" ht="15" hidden="1" customHeight="1" x14ac:dyDescent="0.25">
      <c r="A168" s="10">
        <v>8</v>
      </c>
      <c r="B168" s="48">
        <f t="shared" si="7"/>
        <v>44139</v>
      </c>
      <c r="C168" s="17">
        <v>160</v>
      </c>
      <c r="D168" s="17">
        <v>160</v>
      </c>
      <c r="E168" s="16">
        <v>44140</v>
      </c>
      <c r="F168" t="s">
        <v>117</v>
      </c>
      <c r="H168" s="17">
        <f t="shared" si="6"/>
        <v>160.00142857142856</v>
      </c>
      <c r="I168" t="s">
        <v>31</v>
      </c>
      <c r="J168" s="17" t="s">
        <v>422</v>
      </c>
      <c r="K168" s="230">
        <v>43819</v>
      </c>
      <c r="L168" s="234">
        <v>126.01</v>
      </c>
      <c r="M168" s="49" t="s">
        <v>16</v>
      </c>
      <c r="O168" t="s">
        <v>29</v>
      </c>
      <c r="P168" t="s">
        <v>173</v>
      </c>
    </row>
    <row r="169" spans="1:16" ht="15" hidden="1" customHeight="1" x14ac:dyDescent="0.25">
      <c r="A169" s="10">
        <v>9</v>
      </c>
      <c r="B169" s="48">
        <f t="shared" si="7"/>
        <v>44146</v>
      </c>
      <c r="C169" s="17">
        <v>160</v>
      </c>
      <c r="D169" s="17">
        <v>160</v>
      </c>
      <c r="E169" s="16">
        <v>44147</v>
      </c>
      <c r="F169" t="s">
        <v>117</v>
      </c>
      <c r="H169" s="17">
        <f t="shared" si="6"/>
        <v>160.00142857142856</v>
      </c>
      <c r="I169" t="s">
        <v>31</v>
      </c>
      <c r="J169" s="17" t="s">
        <v>422</v>
      </c>
      <c r="K169" s="230">
        <v>43858</v>
      </c>
      <c r="L169" s="234">
        <v>126.01</v>
      </c>
      <c r="M169" s="49" t="s">
        <v>16</v>
      </c>
      <c r="O169" t="s">
        <v>29</v>
      </c>
      <c r="P169" t="s">
        <v>173</v>
      </c>
    </row>
    <row r="170" spans="1:16" ht="15" hidden="1" customHeight="1" x14ac:dyDescent="0.25">
      <c r="A170" s="10">
        <v>10</v>
      </c>
      <c r="B170" s="48">
        <f>B169+7</f>
        <v>44153</v>
      </c>
      <c r="C170" s="17">
        <v>160</v>
      </c>
      <c r="D170" s="17">
        <v>160</v>
      </c>
      <c r="E170" s="16">
        <v>44153</v>
      </c>
      <c r="F170" t="s">
        <v>117</v>
      </c>
      <c r="H170" s="17">
        <f t="shared" si="6"/>
        <v>160.00142857142856</v>
      </c>
      <c r="I170" t="s">
        <v>31</v>
      </c>
      <c r="J170" s="17" t="s">
        <v>422</v>
      </c>
      <c r="K170" s="230">
        <v>43878</v>
      </c>
      <c r="L170" s="234">
        <v>480</v>
      </c>
      <c r="M170" s="49" t="s">
        <v>45</v>
      </c>
      <c r="O170" t="s">
        <v>29</v>
      </c>
      <c r="P170" t="s">
        <v>173</v>
      </c>
    </row>
    <row r="171" spans="1:16" ht="15" hidden="1" customHeight="1" x14ac:dyDescent="0.25">
      <c r="A171" s="10">
        <v>11</v>
      </c>
      <c r="B171" s="48">
        <f>B170+7</f>
        <v>44160</v>
      </c>
      <c r="C171" s="17">
        <v>160</v>
      </c>
      <c r="D171" s="17">
        <v>160</v>
      </c>
      <c r="E171" s="16">
        <v>44160</v>
      </c>
      <c r="F171" t="s">
        <v>117</v>
      </c>
      <c r="H171" s="17">
        <f t="shared" si="6"/>
        <v>160.00142857142856</v>
      </c>
      <c r="I171" t="s">
        <v>31</v>
      </c>
      <c r="J171" s="17" t="s">
        <v>422</v>
      </c>
      <c r="K171" s="230">
        <v>43899</v>
      </c>
      <c r="L171" s="234">
        <v>5.5</v>
      </c>
      <c r="M171" s="49" t="s">
        <v>22</v>
      </c>
      <c r="O171" t="s">
        <v>29</v>
      </c>
      <c r="P171" t="s">
        <v>151</v>
      </c>
    </row>
    <row r="172" spans="1:16" ht="15" hidden="1" customHeight="1" x14ac:dyDescent="0.25">
      <c r="A172" s="10">
        <v>12</v>
      </c>
      <c r="B172" s="48">
        <f>B171+7</f>
        <v>44167</v>
      </c>
      <c r="C172" s="17">
        <v>160</v>
      </c>
      <c r="D172" s="17">
        <v>160</v>
      </c>
      <c r="E172" s="16">
        <v>44167</v>
      </c>
      <c r="F172" t="s">
        <v>117</v>
      </c>
      <c r="H172" s="17">
        <f t="shared" si="6"/>
        <v>160.00142857142856</v>
      </c>
      <c r="I172" t="s">
        <v>31</v>
      </c>
      <c r="J172" s="17" t="s">
        <v>422</v>
      </c>
      <c r="K172" s="230">
        <v>43889</v>
      </c>
      <c r="L172" s="234">
        <v>163.79</v>
      </c>
      <c r="M172" s="49" t="s">
        <v>16</v>
      </c>
      <c r="O172" t="s">
        <v>29</v>
      </c>
      <c r="P172" t="s">
        <v>151</v>
      </c>
    </row>
    <row r="173" spans="1:16" ht="15" hidden="1" customHeight="1" x14ac:dyDescent="0.25">
      <c r="A173" s="10">
        <v>13</v>
      </c>
      <c r="B173" s="48">
        <f>B172+7</f>
        <v>44174</v>
      </c>
      <c r="C173" s="17">
        <v>200</v>
      </c>
      <c r="D173" s="17">
        <v>200</v>
      </c>
      <c r="E173" s="16">
        <v>44175</v>
      </c>
      <c r="F173" t="s">
        <v>117</v>
      </c>
      <c r="H173" s="17">
        <f t="shared" si="6"/>
        <v>160.00142857142856</v>
      </c>
      <c r="I173" t="s">
        <v>31</v>
      </c>
      <c r="J173" s="17" t="s">
        <v>422</v>
      </c>
      <c r="K173" s="230">
        <v>43920</v>
      </c>
      <c r="L173" s="234">
        <v>163.79</v>
      </c>
      <c r="M173" s="49" t="s">
        <v>16</v>
      </c>
      <c r="O173" t="s">
        <v>29</v>
      </c>
      <c r="P173" t="s">
        <v>151</v>
      </c>
    </row>
    <row r="174" spans="1:16" ht="15" hidden="1" customHeight="1" x14ac:dyDescent="0.25">
      <c r="A174" s="10">
        <v>14</v>
      </c>
      <c r="B174" s="48">
        <f>B173+7</f>
        <v>44181</v>
      </c>
      <c r="C174" s="17">
        <v>200</v>
      </c>
      <c r="D174" s="17">
        <v>200</v>
      </c>
      <c r="E174" s="16">
        <v>44181</v>
      </c>
      <c r="F174" t="s">
        <v>124</v>
      </c>
      <c r="H174" s="17">
        <f t="shared" si="6"/>
        <v>160.00142857142856</v>
      </c>
      <c r="I174" t="s">
        <v>31</v>
      </c>
      <c r="J174" s="17" t="s">
        <v>422</v>
      </c>
      <c r="K174" s="230">
        <v>43949</v>
      </c>
      <c r="L174" s="234">
        <v>163.79</v>
      </c>
      <c r="M174" s="49" t="s">
        <v>16</v>
      </c>
      <c r="O174" t="s">
        <v>29</v>
      </c>
      <c r="P174" t="s">
        <v>151</v>
      </c>
    </row>
    <row r="175" spans="1:16" ht="15" hidden="1" customHeight="1" x14ac:dyDescent="0.25">
      <c r="A175" s="10">
        <v>1</v>
      </c>
      <c r="B175" s="48">
        <v>44130</v>
      </c>
      <c r="C175" s="17">
        <v>500</v>
      </c>
      <c r="D175" s="17">
        <v>500</v>
      </c>
      <c r="E175" s="16">
        <v>44130</v>
      </c>
      <c r="F175" t="s">
        <v>181</v>
      </c>
      <c r="H175" s="17">
        <f t="shared" si="6"/>
        <v>0</v>
      </c>
      <c r="I175" t="s">
        <v>439</v>
      </c>
      <c r="J175" s="77" t="s">
        <v>440</v>
      </c>
      <c r="K175" s="230">
        <v>44000</v>
      </c>
      <c r="L175" s="234">
        <v>60</v>
      </c>
      <c r="M175" s="49" t="s">
        <v>98</v>
      </c>
      <c r="O175" t="s">
        <v>29</v>
      </c>
      <c r="P175" t="s">
        <v>151</v>
      </c>
    </row>
    <row r="176" spans="1:16" ht="15" hidden="1" customHeight="1" x14ac:dyDescent="0.25">
      <c r="A176" s="10">
        <v>1</v>
      </c>
      <c r="B176" s="48">
        <v>44131</v>
      </c>
      <c r="C176" s="17">
        <v>100</v>
      </c>
      <c r="D176" s="17">
        <v>100</v>
      </c>
      <c r="E176" s="16">
        <v>44131</v>
      </c>
      <c r="F176" t="s">
        <v>181</v>
      </c>
      <c r="H176" s="17">
        <f t="shared" si="6"/>
        <v>0</v>
      </c>
      <c r="I176" t="s">
        <v>439</v>
      </c>
      <c r="J176" s="77" t="s">
        <v>440</v>
      </c>
      <c r="K176" s="230">
        <v>44043</v>
      </c>
      <c r="L176" s="234">
        <v>235</v>
      </c>
      <c r="M176" s="49" t="s">
        <v>45</v>
      </c>
      <c r="O176" t="s">
        <v>29</v>
      </c>
      <c r="P176" t="s">
        <v>151</v>
      </c>
    </row>
    <row r="177" spans="1:16" ht="15" hidden="1" customHeight="1" x14ac:dyDescent="0.25">
      <c r="A177" s="10">
        <v>1</v>
      </c>
      <c r="B177" s="48">
        <v>44132</v>
      </c>
      <c r="C177" s="17">
        <v>300</v>
      </c>
      <c r="D177" s="17">
        <v>300</v>
      </c>
      <c r="E177" s="16">
        <v>44131</v>
      </c>
      <c r="F177" t="s">
        <v>181</v>
      </c>
      <c r="H177" s="17">
        <f t="shared" si="6"/>
        <v>0</v>
      </c>
      <c r="I177" t="s">
        <v>439</v>
      </c>
      <c r="J177" s="17" t="s">
        <v>446</v>
      </c>
      <c r="K177" s="230">
        <v>44071</v>
      </c>
      <c r="L177" s="234">
        <v>154.35</v>
      </c>
      <c r="M177" s="49" t="s">
        <v>16</v>
      </c>
      <c r="O177" t="s">
        <v>29</v>
      </c>
      <c r="P177" t="s">
        <v>14</v>
      </c>
    </row>
    <row r="178" spans="1:16" ht="15" hidden="1" customHeight="1" x14ac:dyDescent="0.25">
      <c r="A178" s="10">
        <v>1</v>
      </c>
      <c r="B178" s="48">
        <v>44132</v>
      </c>
      <c r="C178" s="17">
        <v>350</v>
      </c>
      <c r="D178" s="17">
        <v>350</v>
      </c>
      <c r="E178" s="16">
        <v>44131</v>
      </c>
      <c r="F178" t="s">
        <v>117</v>
      </c>
      <c r="H178" s="17">
        <f t="shared" si="6"/>
        <v>0</v>
      </c>
      <c r="I178" t="s">
        <v>439</v>
      </c>
      <c r="J178" s="17" t="s">
        <v>446</v>
      </c>
      <c r="K178" s="230">
        <v>44104</v>
      </c>
      <c r="L178" s="234">
        <v>150</v>
      </c>
      <c r="M178" s="49" t="s">
        <v>26</v>
      </c>
      <c r="O178" t="s">
        <v>29</v>
      </c>
      <c r="P178" t="s">
        <v>151</v>
      </c>
    </row>
    <row r="179" spans="1:16" ht="15" hidden="1" customHeight="1" x14ac:dyDescent="0.25">
      <c r="A179" s="10">
        <v>2</v>
      </c>
      <c r="B179" s="48">
        <f>B178+7</f>
        <v>44139</v>
      </c>
      <c r="C179" s="17">
        <v>360</v>
      </c>
      <c r="D179" s="17">
        <v>300</v>
      </c>
      <c r="E179" s="16">
        <v>44153</v>
      </c>
      <c r="F179" t="s">
        <v>157</v>
      </c>
      <c r="H179" s="17">
        <f t="shared" si="6"/>
        <v>60</v>
      </c>
      <c r="I179" t="s">
        <v>439</v>
      </c>
      <c r="J179" s="17" t="s">
        <v>446</v>
      </c>
      <c r="K179" s="230">
        <v>44106</v>
      </c>
      <c r="L179" s="234">
        <v>107.87</v>
      </c>
      <c r="M179" s="49" t="s">
        <v>16</v>
      </c>
      <c r="O179" t="s">
        <v>29</v>
      </c>
      <c r="P179" t="s">
        <v>151</v>
      </c>
    </row>
    <row r="180" spans="1:16" ht="15" hidden="1" customHeight="1" x14ac:dyDescent="0.25">
      <c r="A180" s="10">
        <v>3</v>
      </c>
      <c r="B180" s="48">
        <f>B179+7</f>
        <v>44146</v>
      </c>
      <c r="C180" s="17">
        <v>360</v>
      </c>
      <c r="D180" s="17"/>
      <c r="E180" s="16"/>
      <c r="F180" t="s">
        <v>124</v>
      </c>
      <c r="H180" s="17">
        <f t="shared" si="6"/>
        <v>420</v>
      </c>
      <c r="I180" t="s">
        <v>439</v>
      </c>
      <c r="J180" s="17" t="s">
        <v>446</v>
      </c>
      <c r="K180" s="230">
        <v>44107</v>
      </c>
      <c r="L180" s="234">
        <v>106.98</v>
      </c>
      <c r="M180" s="49" t="s">
        <v>26</v>
      </c>
      <c r="O180" t="s">
        <v>29</v>
      </c>
      <c r="P180" t="s">
        <v>151</v>
      </c>
    </row>
    <row r="181" spans="1:16" ht="15" hidden="1" customHeight="1" x14ac:dyDescent="0.25">
      <c r="A181" s="10">
        <v>4</v>
      </c>
      <c r="B181" s="48">
        <v>44281</v>
      </c>
      <c r="C181" s="17">
        <v>385</v>
      </c>
      <c r="D181" s="17">
        <v>385</v>
      </c>
      <c r="E181" s="16">
        <v>44300</v>
      </c>
      <c r="F181" t="s">
        <v>117</v>
      </c>
      <c r="H181" s="17">
        <f t="shared" si="6"/>
        <v>0</v>
      </c>
      <c r="I181" t="s">
        <v>439</v>
      </c>
      <c r="J181" s="17" t="s">
        <v>509</v>
      </c>
      <c r="K181" s="230">
        <v>44107</v>
      </c>
      <c r="L181" s="234">
        <v>300</v>
      </c>
      <c r="M181" s="49" t="s">
        <v>17</v>
      </c>
      <c r="N181" t="s">
        <v>426</v>
      </c>
      <c r="O181" t="s">
        <v>29</v>
      </c>
      <c r="P181" t="s">
        <v>151</v>
      </c>
    </row>
    <row r="182" spans="1:16" ht="15" hidden="1" customHeight="1" x14ac:dyDescent="0.25">
      <c r="A182" s="10">
        <v>5</v>
      </c>
      <c r="B182" s="48">
        <v>44301</v>
      </c>
      <c r="C182" s="17">
        <v>70</v>
      </c>
      <c r="D182" s="17">
        <v>70</v>
      </c>
      <c r="E182" s="16">
        <v>44301</v>
      </c>
      <c r="F182" t="s">
        <v>117</v>
      </c>
      <c r="H182" s="17">
        <f t="shared" si="6"/>
        <v>0</v>
      </c>
      <c r="I182" t="s">
        <v>439</v>
      </c>
      <c r="J182" s="77" t="s">
        <v>509</v>
      </c>
      <c r="K182" s="230">
        <v>44110</v>
      </c>
      <c r="L182" s="234">
        <v>61.85</v>
      </c>
      <c r="M182" s="49" t="s">
        <v>32</v>
      </c>
      <c r="O182" t="s">
        <v>29</v>
      </c>
      <c r="P182" t="s">
        <v>151</v>
      </c>
    </row>
    <row r="183" spans="1:16" ht="15" hidden="1" customHeight="1" x14ac:dyDescent="0.25">
      <c r="A183" s="10">
        <v>1</v>
      </c>
      <c r="B183" s="48">
        <v>44291</v>
      </c>
      <c r="C183" s="17">
        <v>400</v>
      </c>
      <c r="D183" s="17">
        <v>400</v>
      </c>
      <c r="E183" s="16">
        <v>44296</v>
      </c>
      <c r="F183" t="s">
        <v>181</v>
      </c>
      <c r="H183" s="17">
        <f t="shared" si="6"/>
        <v>0</v>
      </c>
      <c r="I183" t="s">
        <v>439</v>
      </c>
      <c r="J183" s="17" t="s">
        <v>614</v>
      </c>
      <c r="K183" s="230">
        <v>44134</v>
      </c>
      <c r="L183" s="234">
        <v>1500</v>
      </c>
      <c r="M183" s="49" t="s">
        <v>17</v>
      </c>
      <c r="N183" t="s">
        <v>198</v>
      </c>
      <c r="O183" t="s">
        <v>29</v>
      </c>
      <c r="P183" t="s">
        <v>14</v>
      </c>
    </row>
    <row r="184" spans="1:16" ht="15" hidden="1" customHeight="1" x14ac:dyDescent="0.25">
      <c r="A184" s="10">
        <v>1</v>
      </c>
      <c r="B184" s="48">
        <v>44291</v>
      </c>
      <c r="C184" s="17">
        <v>320</v>
      </c>
      <c r="D184" s="17">
        <v>320</v>
      </c>
      <c r="E184" s="16">
        <v>44296</v>
      </c>
      <c r="F184" t="s">
        <v>117</v>
      </c>
      <c r="H184" s="17">
        <f t="shared" si="6"/>
        <v>0</v>
      </c>
      <c r="I184" t="s">
        <v>439</v>
      </c>
      <c r="J184" s="17" t="s">
        <v>614</v>
      </c>
      <c r="K184" s="230">
        <v>44134</v>
      </c>
      <c r="L184" s="234">
        <v>300</v>
      </c>
      <c r="M184" s="49" t="s">
        <v>17</v>
      </c>
      <c r="N184" t="s">
        <v>198</v>
      </c>
      <c r="O184" t="s">
        <v>29</v>
      </c>
      <c r="P184" t="s">
        <v>14</v>
      </c>
    </row>
    <row r="185" spans="1:16" ht="15" hidden="1" customHeight="1" x14ac:dyDescent="0.25">
      <c r="A185" s="10">
        <v>2</v>
      </c>
      <c r="B185" s="48">
        <f t="shared" ref="B185:B190" si="8">B184+7</f>
        <v>44298</v>
      </c>
      <c r="C185" s="17">
        <v>250</v>
      </c>
      <c r="D185" s="17">
        <v>250</v>
      </c>
      <c r="E185" s="16">
        <v>44302</v>
      </c>
      <c r="F185" t="s">
        <v>117</v>
      </c>
      <c r="H185" s="17">
        <f t="shared" si="6"/>
        <v>0</v>
      </c>
      <c r="I185" t="s">
        <v>439</v>
      </c>
      <c r="J185" s="17" t="s">
        <v>614</v>
      </c>
      <c r="K185" s="230">
        <v>44135</v>
      </c>
      <c r="L185" s="234">
        <v>107.87</v>
      </c>
      <c r="M185" s="49" t="s">
        <v>16</v>
      </c>
      <c r="O185" t="s">
        <v>29</v>
      </c>
      <c r="P185" t="s">
        <v>14</v>
      </c>
    </row>
    <row r="186" spans="1:16" ht="15" hidden="1" customHeight="1" x14ac:dyDescent="0.25">
      <c r="A186" s="10">
        <v>3</v>
      </c>
      <c r="B186" s="48">
        <f t="shared" si="8"/>
        <v>44305</v>
      </c>
      <c r="C186" s="17">
        <v>250</v>
      </c>
      <c r="D186" s="17">
        <v>250</v>
      </c>
      <c r="E186" s="16">
        <v>44310</v>
      </c>
      <c r="F186" t="s">
        <v>117</v>
      </c>
      <c r="H186" s="17">
        <f t="shared" si="6"/>
        <v>0</v>
      </c>
      <c r="I186" t="s">
        <v>439</v>
      </c>
      <c r="J186" s="77" t="s">
        <v>614</v>
      </c>
      <c r="K186" s="230">
        <v>44137</v>
      </c>
      <c r="L186" s="234">
        <v>100</v>
      </c>
      <c r="M186" s="49" t="s">
        <v>17</v>
      </c>
      <c r="N186" t="s">
        <v>198</v>
      </c>
      <c r="O186" t="s">
        <v>29</v>
      </c>
      <c r="P186" t="s">
        <v>14</v>
      </c>
    </row>
    <row r="187" spans="1:16" ht="15" hidden="1" customHeight="1" x14ac:dyDescent="0.25">
      <c r="A187" s="10">
        <v>4</v>
      </c>
      <c r="B187" s="48">
        <f t="shared" si="8"/>
        <v>44312</v>
      </c>
      <c r="C187" s="17">
        <v>250</v>
      </c>
      <c r="D187" s="17"/>
      <c r="E187" s="16"/>
      <c r="H187" s="17">
        <f t="shared" si="6"/>
        <v>250</v>
      </c>
      <c r="I187" t="s">
        <v>439</v>
      </c>
      <c r="J187" s="17" t="s">
        <v>614</v>
      </c>
      <c r="K187" s="230">
        <v>44138</v>
      </c>
      <c r="L187" s="234">
        <v>66</v>
      </c>
      <c r="M187" s="49" t="s">
        <v>98</v>
      </c>
      <c r="O187" t="s">
        <v>29</v>
      </c>
      <c r="P187" t="s">
        <v>14</v>
      </c>
    </row>
    <row r="188" spans="1:16" ht="15" hidden="1" customHeight="1" x14ac:dyDescent="0.25">
      <c r="A188" s="10">
        <v>5</v>
      </c>
      <c r="B188" s="48">
        <f t="shared" si="8"/>
        <v>44319</v>
      </c>
      <c r="C188" s="17">
        <v>250</v>
      </c>
      <c r="D188" s="17"/>
      <c r="E188" s="16"/>
      <c r="H188" s="17">
        <f t="shared" si="6"/>
        <v>500</v>
      </c>
      <c r="I188" t="s">
        <v>439</v>
      </c>
      <c r="J188" s="17" t="s">
        <v>614</v>
      </c>
      <c r="K188" s="230">
        <v>44138</v>
      </c>
      <c r="L188" s="234">
        <v>150</v>
      </c>
      <c r="M188" s="49" t="s">
        <v>17</v>
      </c>
      <c r="N188" t="s">
        <v>436</v>
      </c>
      <c r="O188" t="s">
        <v>29</v>
      </c>
      <c r="P188" t="s">
        <v>14</v>
      </c>
    </row>
    <row r="189" spans="1:16" ht="15" hidden="1" customHeight="1" x14ac:dyDescent="0.25">
      <c r="A189" s="10">
        <v>6</v>
      </c>
      <c r="B189" s="48">
        <f t="shared" si="8"/>
        <v>44326</v>
      </c>
      <c r="C189" s="17">
        <v>250</v>
      </c>
      <c r="D189" s="17"/>
      <c r="E189" s="16"/>
      <c r="H189" s="17">
        <f t="shared" si="6"/>
        <v>750</v>
      </c>
      <c r="I189" t="s">
        <v>439</v>
      </c>
      <c r="J189" s="17" t="s">
        <v>614</v>
      </c>
      <c r="K189" s="230">
        <v>44140</v>
      </c>
      <c r="L189" s="234">
        <v>100</v>
      </c>
      <c r="M189" s="49" t="s">
        <v>17</v>
      </c>
      <c r="N189" t="s">
        <v>438</v>
      </c>
      <c r="O189" t="s">
        <v>29</v>
      </c>
      <c r="P189" t="s">
        <v>14</v>
      </c>
    </row>
    <row r="190" spans="1:16" ht="15" hidden="1" customHeight="1" x14ac:dyDescent="0.25">
      <c r="A190" s="10">
        <v>7</v>
      </c>
      <c r="B190" s="48">
        <f t="shared" si="8"/>
        <v>44333</v>
      </c>
      <c r="C190" s="17">
        <v>250</v>
      </c>
      <c r="D190" s="17">
        <v>100</v>
      </c>
      <c r="E190" s="16">
        <v>44337</v>
      </c>
      <c r="F190" t="s">
        <v>117</v>
      </c>
      <c r="H190" s="17">
        <f t="shared" si="6"/>
        <v>900</v>
      </c>
      <c r="I190" t="s">
        <v>439</v>
      </c>
      <c r="J190" s="17" t="s">
        <v>614</v>
      </c>
      <c r="K190" s="230">
        <v>44145</v>
      </c>
      <c r="L190" s="234">
        <v>212.34</v>
      </c>
      <c r="M190" s="49" t="s">
        <v>20</v>
      </c>
      <c r="O190" t="s">
        <v>29</v>
      </c>
      <c r="P190" t="s">
        <v>14</v>
      </c>
    </row>
    <row r="191" spans="1:16" ht="15" hidden="1" customHeight="1" x14ac:dyDescent="0.25">
      <c r="A191" s="10">
        <v>8</v>
      </c>
      <c r="B191" s="48">
        <f>B190+7</f>
        <v>44340</v>
      </c>
      <c r="C191" s="17">
        <v>250</v>
      </c>
      <c r="D191" s="17"/>
      <c r="E191" s="16"/>
      <c r="H191" s="17">
        <f t="shared" si="6"/>
        <v>1150</v>
      </c>
      <c r="I191" t="s">
        <v>439</v>
      </c>
      <c r="J191" s="17" t="s">
        <v>614</v>
      </c>
      <c r="K191" s="230">
        <v>44148</v>
      </c>
      <c r="L191" s="234">
        <v>61.85</v>
      </c>
      <c r="M191" s="49" t="s">
        <v>32</v>
      </c>
      <c r="O191" t="s">
        <v>29</v>
      </c>
      <c r="P191" t="s">
        <v>14</v>
      </c>
    </row>
    <row r="192" spans="1:16" ht="15" hidden="1" customHeight="1" x14ac:dyDescent="0.25">
      <c r="A192" s="10">
        <v>9</v>
      </c>
      <c r="B192" s="48">
        <f>B191+7</f>
        <v>44347</v>
      </c>
      <c r="C192" s="17">
        <v>71</v>
      </c>
      <c r="D192" s="17"/>
      <c r="E192" s="16"/>
      <c r="I192" t="s">
        <v>439</v>
      </c>
      <c r="J192" s="17" t="s">
        <v>614</v>
      </c>
      <c r="K192" s="230">
        <v>44149</v>
      </c>
      <c r="L192" s="234">
        <v>63.02</v>
      </c>
      <c r="M192" s="49" t="s">
        <v>32</v>
      </c>
      <c r="O192" t="s">
        <v>29</v>
      </c>
      <c r="P192" t="s">
        <v>14</v>
      </c>
    </row>
    <row r="193" spans="1:16" ht="15" hidden="1" customHeight="1" x14ac:dyDescent="0.25">
      <c r="A193" s="10">
        <v>1</v>
      </c>
      <c r="B193" s="48">
        <v>43826</v>
      </c>
      <c r="C193" s="17">
        <v>480</v>
      </c>
      <c r="D193" s="17">
        <v>480</v>
      </c>
      <c r="E193" s="16">
        <v>43826</v>
      </c>
      <c r="F193" s="16" t="s">
        <v>181</v>
      </c>
      <c r="G193" s="228">
        <v>152139</v>
      </c>
      <c r="I193" t="s">
        <v>29</v>
      </c>
      <c r="J193" s="17" t="s">
        <v>173</v>
      </c>
      <c r="K193" s="230">
        <v>44168</v>
      </c>
      <c r="L193" s="234">
        <v>107.88</v>
      </c>
      <c r="M193" s="49" t="s">
        <v>16</v>
      </c>
      <c r="O193" t="s">
        <v>29</v>
      </c>
      <c r="P193" t="s">
        <v>455</v>
      </c>
    </row>
    <row r="194" spans="1:16" ht="15" hidden="1" customHeight="1" x14ac:dyDescent="0.25">
      <c r="A194" s="10">
        <v>1</v>
      </c>
      <c r="B194" s="48">
        <v>43826</v>
      </c>
      <c r="C194" s="17">
        <v>240</v>
      </c>
      <c r="D194" s="17">
        <v>240</v>
      </c>
      <c r="E194" s="16">
        <v>43826</v>
      </c>
      <c r="F194" s="16" t="s">
        <v>114</v>
      </c>
      <c r="I194" t="s">
        <v>29</v>
      </c>
      <c r="J194" s="17" t="s">
        <v>173</v>
      </c>
      <c r="K194" s="230">
        <v>44181</v>
      </c>
      <c r="L194" s="234">
        <v>30</v>
      </c>
      <c r="M194" s="49" t="s">
        <v>17</v>
      </c>
      <c r="N194" t="s">
        <v>172</v>
      </c>
      <c r="O194" t="s">
        <v>29</v>
      </c>
      <c r="P194" t="s">
        <v>455</v>
      </c>
    </row>
    <row r="195" spans="1:16" ht="15" hidden="1" customHeight="1" x14ac:dyDescent="0.25">
      <c r="A195" s="10">
        <v>2</v>
      </c>
      <c r="B195" s="48">
        <v>43833</v>
      </c>
      <c r="C195" s="17">
        <v>240</v>
      </c>
      <c r="D195" s="17">
        <v>240</v>
      </c>
      <c r="E195" s="16">
        <v>43833</v>
      </c>
      <c r="F195" s="16" t="s">
        <v>59</v>
      </c>
      <c r="I195" t="s">
        <v>29</v>
      </c>
      <c r="J195" s="17" t="s">
        <v>173</v>
      </c>
      <c r="K195" s="230">
        <v>44229</v>
      </c>
      <c r="L195" s="234">
        <v>39.32</v>
      </c>
      <c r="M195" s="49" t="s">
        <v>32</v>
      </c>
      <c r="O195" t="s">
        <v>29</v>
      </c>
      <c r="P195" t="s">
        <v>455</v>
      </c>
    </row>
    <row r="196" spans="1:16" ht="15" hidden="1" customHeight="1" x14ac:dyDescent="0.25">
      <c r="A196" s="10">
        <v>3</v>
      </c>
      <c r="B196" s="48">
        <v>43840</v>
      </c>
      <c r="C196" s="17">
        <v>240</v>
      </c>
      <c r="D196" s="17">
        <v>240</v>
      </c>
      <c r="E196" s="16">
        <v>43840</v>
      </c>
      <c r="F196" s="16" t="s">
        <v>59</v>
      </c>
      <c r="I196" t="s">
        <v>29</v>
      </c>
      <c r="J196" s="17" t="s">
        <v>173</v>
      </c>
      <c r="K196" s="230">
        <v>44236</v>
      </c>
      <c r="L196" s="234">
        <v>212.34</v>
      </c>
      <c r="M196" s="49" t="s">
        <v>20</v>
      </c>
      <c r="O196" t="s">
        <v>29</v>
      </c>
      <c r="P196" t="s">
        <v>14</v>
      </c>
    </row>
    <row r="197" spans="1:16" ht="15" hidden="1" customHeight="1" x14ac:dyDescent="0.25">
      <c r="A197" s="10">
        <v>4</v>
      </c>
      <c r="B197" s="48">
        <v>43847</v>
      </c>
      <c r="C197" s="17">
        <v>240</v>
      </c>
      <c r="D197" s="17">
        <v>240</v>
      </c>
      <c r="E197" s="16">
        <v>43847</v>
      </c>
      <c r="F197" s="16" t="s">
        <v>59</v>
      </c>
      <c r="G197" s="228">
        <v>152139</v>
      </c>
      <c r="I197" t="s">
        <v>29</v>
      </c>
      <c r="J197" s="17" t="s">
        <v>173</v>
      </c>
      <c r="K197" s="230">
        <v>44237</v>
      </c>
      <c r="L197" s="234">
        <v>400</v>
      </c>
      <c r="M197" s="49" t="s">
        <v>45</v>
      </c>
      <c r="O197" t="s">
        <v>29</v>
      </c>
      <c r="P197" t="s">
        <v>455</v>
      </c>
    </row>
    <row r="198" spans="1:16" ht="15" hidden="1" customHeight="1" x14ac:dyDescent="0.25">
      <c r="A198" s="10">
        <v>5</v>
      </c>
      <c r="B198" s="48">
        <v>43854</v>
      </c>
      <c r="C198" s="17">
        <v>240</v>
      </c>
      <c r="D198" s="17">
        <v>240</v>
      </c>
      <c r="E198" s="16">
        <v>43854</v>
      </c>
      <c r="F198" s="16" t="s">
        <v>59</v>
      </c>
      <c r="I198" t="s">
        <v>29</v>
      </c>
      <c r="J198" s="17" t="s">
        <v>173</v>
      </c>
      <c r="K198" s="230">
        <v>44246</v>
      </c>
      <c r="L198" s="234">
        <v>2760</v>
      </c>
      <c r="M198" s="49" t="s">
        <v>17</v>
      </c>
      <c r="O198" t="s">
        <v>29</v>
      </c>
      <c r="P198" t="s">
        <v>14</v>
      </c>
    </row>
    <row r="199" spans="1:16" ht="15" hidden="1" customHeight="1" x14ac:dyDescent="0.25">
      <c r="A199" s="10">
        <v>6</v>
      </c>
      <c r="B199" s="48">
        <v>43861</v>
      </c>
      <c r="C199" s="17">
        <v>240</v>
      </c>
      <c r="D199" s="17">
        <v>240</v>
      </c>
      <c r="E199" s="16">
        <v>43861</v>
      </c>
      <c r="F199" s="16" t="s">
        <v>59</v>
      </c>
      <c r="H199" s="17">
        <f>IFERROR(IF(F191="Closed account",(IF(F192="Unpaid Rent",(C192),(C192-D192))),(IF(F192="Unpaid Rent",(C192+H191),(C192-D192+H191)))),"")</f>
        <v>1221</v>
      </c>
      <c r="I199" t="s">
        <v>29</v>
      </c>
      <c r="J199" s="17" t="s">
        <v>173</v>
      </c>
      <c r="K199" s="230">
        <v>44268</v>
      </c>
      <c r="L199" s="234">
        <v>19.190000000000001</v>
      </c>
      <c r="M199" s="49" t="s">
        <v>32</v>
      </c>
      <c r="O199" t="s">
        <v>29</v>
      </c>
      <c r="P199" t="s">
        <v>14</v>
      </c>
    </row>
    <row r="200" spans="1:16" ht="15" hidden="1" customHeight="1" x14ac:dyDescent="0.25">
      <c r="A200" s="10">
        <v>7</v>
      </c>
      <c r="B200" s="48">
        <v>43868</v>
      </c>
      <c r="C200" s="17">
        <v>240</v>
      </c>
      <c r="D200" s="17">
        <v>240</v>
      </c>
      <c r="E200" s="16">
        <v>43868</v>
      </c>
      <c r="F200" s="16" t="s">
        <v>59</v>
      </c>
      <c r="H200" s="17">
        <f t="shared" ref="H200:H242" si="9">IFERROR(IF(F192="Closed account",(IF(F193="Unpaid Rent",(C193),(C193-D193))),(IF(F193="Unpaid Rent",(C193+H199),(C193-D193+H199)))),"")</f>
        <v>1221</v>
      </c>
      <c r="I200" t="s">
        <v>29</v>
      </c>
      <c r="J200" s="17" t="s">
        <v>173</v>
      </c>
      <c r="K200" s="230">
        <v>44280</v>
      </c>
      <c r="L200" s="234">
        <f>346.6-250</f>
        <v>96.600000000000023</v>
      </c>
      <c r="M200" s="49" t="s">
        <v>17</v>
      </c>
      <c r="N200" t="s">
        <v>542</v>
      </c>
      <c r="O200" t="s">
        <v>29</v>
      </c>
      <c r="P200" t="s">
        <v>14</v>
      </c>
    </row>
    <row r="201" spans="1:16" ht="15" hidden="1" customHeight="1" x14ac:dyDescent="0.25">
      <c r="A201" s="10">
        <v>8</v>
      </c>
      <c r="B201" s="48">
        <v>43875</v>
      </c>
      <c r="C201" s="17">
        <v>220</v>
      </c>
      <c r="D201" s="17">
        <v>220</v>
      </c>
      <c r="E201" s="16">
        <v>43875</v>
      </c>
      <c r="F201" s="16" t="s">
        <v>124</v>
      </c>
      <c r="G201" s="228">
        <v>157588</v>
      </c>
      <c r="H201" s="17">
        <f t="shared" si="9"/>
        <v>1221</v>
      </c>
      <c r="I201" t="s">
        <v>29</v>
      </c>
      <c r="J201" s="17" t="s">
        <v>173</v>
      </c>
      <c r="K201" s="230">
        <v>44287</v>
      </c>
      <c r="L201" s="234">
        <v>14.97</v>
      </c>
      <c r="M201" s="49" t="s">
        <v>32</v>
      </c>
      <c r="O201" t="s">
        <v>29</v>
      </c>
      <c r="P201" t="s">
        <v>14</v>
      </c>
    </row>
    <row r="202" spans="1:16" ht="15" hidden="1" customHeight="1" x14ac:dyDescent="0.25">
      <c r="A202" s="10">
        <v>1</v>
      </c>
      <c r="B202" s="48">
        <v>43882</v>
      </c>
      <c r="C202" s="17">
        <v>235</v>
      </c>
      <c r="D202" s="17">
        <v>235</v>
      </c>
      <c r="E202" s="16">
        <v>43882</v>
      </c>
      <c r="F202" s="16" t="s">
        <v>181</v>
      </c>
      <c r="H202" s="17">
        <f t="shared" si="9"/>
        <v>1221</v>
      </c>
      <c r="I202" t="s">
        <v>29</v>
      </c>
      <c r="J202" s="17" t="s">
        <v>151</v>
      </c>
      <c r="K202" s="230">
        <v>44290</v>
      </c>
      <c r="L202" s="234">
        <v>615</v>
      </c>
      <c r="M202" s="49" t="s">
        <v>17</v>
      </c>
      <c r="O202" t="s">
        <v>29</v>
      </c>
      <c r="P202" t="s">
        <v>14</v>
      </c>
    </row>
    <row r="203" spans="1:16" ht="15" hidden="1" customHeight="1" x14ac:dyDescent="0.25">
      <c r="A203" s="10">
        <v>1</v>
      </c>
      <c r="B203" s="48">
        <v>43882</v>
      </c>
      <c r="C203" s="17">
        <v>245</v>
      </c>
      <c r="D203" s="17">
        <v>245</v>
      </c>
      <c r="E203" s="16">
        <v>43882</v>
      </c>
      <c r="F203" s="16" t="s">
        <v>117</v>
      </c>
      <c r="H203" s="17">
        <f t="shared" si="9"/>
        <v>1221</v>
      </c>
      <c r="I203" t="s">
        <v>29</v>
      </c>
      <c r="J203" s="17" t="s">
        <v>151</v>
      </c>
      <c r="K203" s="230">
        <v>44336</v>
      </c>
      <c r="L203" s="234">
        <v>12.67</v>
      </c>
      <c r="M203" s="49" t="s">
        <v>32</v>
      </c>
      <c r="O203" t="s">
        <v>29</v>
      </c>
      <c r="P203" t="s">
        <v>14</v>
      </c>
    </row>
    <row r="204" spans="1:16" ht="15" hidden="1" customHeight="1" x14ac:dyDescent="0.25">
      <c r="A204" s="10">
        <v>2</v>
      </c>
      <c r="B204" s="48">
        <v>43889</v>
      </c>
      <c r="C204" s="17">
        <v>245</v>
      </c>
      <c r="D204" s="17">
        <v>245</v>
      </c>
      <c r="E204" s="16">
        <v>43889</v>
      </c>
      <c r="F204" s="16" t="s">
        <v>117</v>
      </c>
      <c r="H204" s="17">
        <f t="shared" si="9"/>
        <v>1221</v>
      </c>
      <c r="I204" t="s">
        <v>29</v>
      </c>
      <c r="J204" s="77" t="s">
        <v>151</v>
      </c>
      <c r="K204" s="230">
        <v>44336</v>
      </c>
      <c r="L204" s="234">
        <v>212.34</v>
      </c>
      <c r="M204" s="49" t="s">
        <v>20</v>
      </c>
      <c r="O204" t="s">
        <v>29</v>
      </c>
      <c r="P204" t="s">
        <v>14</v>
      </c>
    </row>
    <row r="205" spans="1:16" ht="15" hidden="1" customHeight="1" x14ac:dyDescent="0.25">
      <c r="A205" s="10">
        <v>3</v>
      </c>
      <c r="B205" s="48">
        <v>43896</v>
      </c>
      <c r="C205" s="17">
        <v>245</v>
      </c>
      <c r="D205" s="17">
        <v>245</v>
      </c>
      <c r="E205" s="16">
        <v>43896</v>
      </c>
      <c r="F205" s="16" t="s">
        <v>117</v>
      </c>
      <c r="H205" s="17">
        <f t="shared" si="9"/>
        <v>1221</v>
      </c>
      <c r="I205" t="s">
        <v>29</v>
      </c>
      <c r="J205" s="17" t="s">
        <v>151</v>
      </c>
      <c r="K205" s="230">
        <v>43887</v>
      </c>
      <c r="L205" s="234">
        <v>-15.37</v>
      </c>
      <c r="M205" s="49" t="s">
        <v>43</v>
      </c>
      <c r="N205" t="s">
        <v>649</v>
      </c>
      <c r="O205" t="s">
        <v>29</v>
      </c>
      <c r="P205" t="s">
        <v>650</v>
      </c>
    </row>
    <row r="206" spans="1:16" ht="15" hidden="1" customHeight="1" x14ac:dyDescent="0.25">
      <c r="A206" s="10">
        <v>4</v>
      </c>
      <c r="B206" s="48">
        <v>43903</v>
      </c>
      <c r="C206" s="17">
        <v>245</v>
      </c>
      <c r="D206" s="17">
        <v>245</v>
      </c>
      <c r="E206" s="16">
        <v>43903</v>
      </c>
      <c r="F206" s="16" t="s">
        <v>117</v>
      </c>
      <c r="H206" s="17">
        <f t="shared" si="9"/>
        <v>1221</v>
      </c>
      <c r="I206" t="s">
        <v>29</v>
      </c>
      <c r="J206" s="17" t="s">
        <v>151</v>
      </c>
      <c r="K206" s="230">
        <v>44266</v>
      </c>
      <c r="L206" s="234">
        <v>-519.80999999999995</v>
      </c>
      <c r="M206" s="49" t="s">
        <v>43</v>
      </c>
      <c r="N206" t="s">
        <v>651</v>
      </c>
      <c r="O206" t="s">
        <v>29</v>
      </c>
      <c r="P206" t="s">
        <v>650</v>
      </c>
    </row>
    <row r="207" spans="1:16" ht="15" hidden="1" customHeight="1" x14ac:dyDescent="0.25">
      <c r="A207" s="10">
        <v>5</v>
      </c>
      <c r="B207" s="48">
        <v>43910</v>
      </c>
      <c r="C207" s="17">
        <v>245</v>
      </c>
      <c r="D207" s="17">
        <v>245</v>
      </c>
      <c r="E207" s="16">
        <v>43910</v>
      </c>
      <c r="F207" s="16" t="s">
        <v>117</v>
      </c>
      <c r="H207" s="17">
        <f t="shared" si="9"/>
        <v>1221</v>
      </c>
      <c r="I207" t="s">
        <v>29</v>
      </c>
      <c r="J207" s="17" t="s">
        <v>151</v>
      </c>
      <c r="K207" s="230">
        <v>44064</v>
      </c>
      <c r="L207" s="234">
        <v>26.83</v>
      </c>
      <c r="M207" s="49" t="s">
        <v>32</v>
      </c>
      <c r="O207" t="s">
        <v>201</v>
      </c>
      <c r="P207" t="s">
        <v>143</v>
      </c>
    </row>
    <row r="208" spans="1:16" ht="15" hidden="1" customHeight="1" x14ac:dyDescent="0.25">
      <c r="A208" s="10">
        <v>6</v>
      </c>
      <c r="B208" s="48">
        <v>43917</v>
      </c>
      <c r="C208" s="17">
        <v>180</v>
      </c>
      <c r="D208" s="17">
        <v>180</v>
      </c>
      <c r="E208" s="16">
        <v>43917</v>
      </c>
      <c r="F208" s="16" t="s">
        <v>117</v>
      </c>
      <c r="H208" s="17">
        <f t="shared" si="9"/>
        <v>1221</v>
      </c>
      <c r="I208" t="s">
        <v>29</v>
      </c>
      <c r="J208" s="17" t="s">
        <v>151</v>
      </c>
      <c r="K208" s="230">
        <v>44040</v>
      </c>
      <c r="L208" s="234">
        <v>86.53</v>
      </c>
      <c r="M208" s="49" t="s">
        <v>16</v>
      </c>
      <c r="O208" t="s">
        <v>201</v>
      </c>
      <c r="P208" t="s">
        <v>143</v>
      </c>
    </row>
    <row r="209" spans="1:16" ht="15" hidden="1" customHeight="1" x14ac:dyDescent="0.25">
      <c r="A209" s="10">
        <v>7</v>
      </c>
      <c r="B209" s="48">
        <v>43924</v>
      </c>
      <c r="C209" s="17">
        <v>130</v>
      </c>
      <c r="D209" s="17">
        <v>130</v>
      </c>
      <c r="E209" s="16">
        <v>43924</v>
      </c>
      <c r="F209" s="16" t="s">
        <v>117</v>
      </c>
      <c r="H209" s="17">
        <f t="shared" si="9"/>
        <v>0</v>
      </c>
      <c r="I209" t="s">
        <v>29</v>
      </c>
      <c r="J209" s="17" t="s">
        <v>151</v>
      </c>
      <c r="K209" s="232">
        <v>44097</v>
      </c>
      <c r="L209" s="234">
        <v>300</v>
      </c>
      <c r="M209" s="49" t="s">
        <v>45</v>
      </c>
      <c r="O209" t="s">
        <v>201</v>
      </c>
      <c r="P209" t="s">
        <v>216</v>
      </c>
    </row>
    <row r="210" spans="1:16" ht="15" hidden="1" customHeight="1" x14ac:dyDescent="0.25">
      <c r="A210" s="10">
        <v>8</v>
      </c>
      <c r="B210" s="48">
        <v>43931</v>
      </c>
      <c r="C210" s="17">
        <v>130</v>
      </c>
      <c r="D210" s="17">
        <v>130</v>
      </c>
      <c r="E210" s="16">
        <v>43935</v>
      </c>
      <c r="F210" s="16" t="s">
        <v>117</v>
      </c>
      <c r="H210" s="17">
        <f t="shared" si="9"/>
        <v>0</v>
      </c>
      <c r="I210" t="s">
        <v>29</v>
      </c>
      <c r="J210" s="17" t="s">
        <v>151</v>
      </c>
      <c r="K210" s="232">
        <v>44099</v>
      </c>
      <c r="L210" s="234">
        <v>86.53</v>
      </c>
      <c r="M210" s="49" t="s">
        <v>16</v>
      </c>
      <c r="N210" t="s">
        <v>144</v>
      </c>
      <c r="O210" t="s">
        <v>201</v>
      </c>
      <c r="P210" t="s">
        <v>216</v>
      </c>
    </row>
    <row r="211" spans="1:16" ht="15" hidden="1" customHeight="1" x14ac:dyDescent="0.25">
      <c r="A211" s="10">
        <v>9</v>
      </c>
      <c r="B211" s="48">
        <v>43938</v>
      </c>
      <c r="C211" s="17">
        <v>130</v>
      </c>
      <c r="D211" s="17">
        <v>130</v>
      </c>
      <c r="E211" s="16">
        <v>43938</v>
      </c>
      <c r="F211" s="16" t="s">
        <v>117</v>
      </c>
      <c r="H211" s="17">
        <f t="shared" si="9"/>
        <v>0</v>
      </c>
      <c r="I211" t="s">
        <v>29</v>
      </c>
      <c r="J211" s="17" t="s">
        <v>151</v>
      </c>
      <c r="K211" s="232">
        <v>44103</v>
      </c>
      <c r="L211" s="234">
        <v>72.38</v>
      </c>
      <c r="M211" s="49" t="s">
        <v>43</v>
      </c>
      <c r="N211" t="s">
        <v>206</v>
      </c>
      <c r="O211" t="s">
        <v>201</v>
      </c>
      <c r="P211" t="s">
        <v>216</v>
      </c>
    </row>
    <row r="212" spans="1:16" ht="15" hidden="1" customHeight="1" x14ac:dyDescent="0.25">
      <c r="A212" s="10">
        <v>10</v>
      </c>
      <c r="B212" s="48">
        <v>43945</v>
      </c>
      <c r="C212" s="17">
        <v>130</v>
      </c>
      <c r="D212" s="17">
        <v>130</v>
      </c>
      <c r="E212" s="16">
        <v>43948</v>
      </c>
      <c r="F212" s="16" t="s">
        <v>117</v>
      </c>
      <c r="H212" s="17">
        <f t="shared" si="9"/>
        <v>0</v>
      </c>
      <c r="I212" t="s">
        <v>29</v>
      </c>
      <c r="J212" s="17" t="s">
        <v>151</v>
      </c>
      <c r="K212" s="232">
        <v>44103</v>
      </c>
      <c r="L212" s="234">
        <v>15.08</v>
      </c>
      <c r="M212" s="49" t="s">
        <v>43</v>
      </c>
      <c r="N212" t="s">
        <v>206</v>
      </c>
      <c r="O212" t="s">
        <v>201</v>
      </c>
      <c r="P212" t="s">
        <v>216</v>
      </c>
    </row>
    <row r="213" spans="1:16" ht="15" hidden="1" customHeight="1" x14ac:dyDescent="0.25">
      <c r="A213" s="10">
        <v>11</v>
      </c>
      <c r="B213" s="48">
        <v>43952</v>
      </c>
      <c r="C213" s="17">
        <v>130</v>
      </c>
      <c r="D213" s="17">
        <v>130</v>
      </c>
      <c r="E213" s="16">
        <v>43952</v>
      </c>
      <c r="F213" s="16" t="s">
        <v>117</v>
      </c>
      <c r="H213" s="17">
        <f t="shared" si="9"/>
        <v>0</v>
      </c>
      <c r="I213" t="s">
        <v>29</v>
      </c>
      <c r="J213" s="17" t="s">
        <v>151</v>
      </c>
      <c r="K213" s="232">
        <v>44131</v>
      </c>
      <c r="L213" s="234">
        <v>86.53</v>
      </c>
      <c r="M213" s="49" t="s">
        <v>16</v>
      </c>
      <c r="O213" t="s">
        <v>201</v>
      </c>
      <c r="P213" t="s">
        <v>329</v>
      </c>
    </row>
    <row r="214" spans="1:16" ht="15" hidden="1" customHeight="1" x14ac:dyDescent="0.25">
      <c r="A214" s="10">
        <v>12</v>
      </c>
      <c r="B214" s="48">
        <v>43959</v>
      </c>
      <c r="C214" s="17">
        <v>130</v>
      </c>
      <c r="D214" s="17">
        <v>130</v>
      </c>
      <c r="E214" s="16">
        <v>43959</v>
      </c>
      <c r="F214" s="16" t="s">
        <v>117</v>
      </c>
      <c r="H214" s="17">
        <f t="shared" si="9"/>
        <v>0</v>
      </c>
      <c r="I214" t="s">
        <v>29</v>
      </c>
      <c r="J214" s="17" t="s">
        <v>151</v>
      </c>
      <c r="K214" s="232">
        <v>44138</v>
      </c>
      <c r="L214" s="234">
        <v>198.52</v>
      </c>
      <c r="M214" s="49" t="s">
        <v>20</v>
      </c>
      <c r="O214" t="s">
        <v>201</v>
      </c>
      <c r="P214" t="s">
        <v>329</v>
      </c>
    </row>
    <row r="215" spans="1:16" ht="15" hidden="1" customHeight="1" x14ac:dyDescent="0.25">
      <c r="A215" s="10">
        <v>13</v>
      </c>
      <c r="B215" s="48">
        <v>43966</v>
      </c>
      <c r="C215" s="17">
        <v>130</v>
      </c>
      <c r="D215" s="17">
        <v>130</v>
      </c>
      <c r="E215" s="16">
        <v>43966</v>
      </c>
      <c r="F215" s="16" t="s">
        <v>117</v>
      </c>
      <c r="H215" s="17">
        <f t="shared" si="9"/>
        <v>0</v>
      </c>
      <c r="I215" t="s">
        <v>29</v>
      </c>
      <c r="J215" s="17" t="s">
        <v>151</v>
      </c>
      <c r="K215" s="232">
        <v>44162</v>
      </c>
      <c r="L215" s="234">
        <v>86.53</v>
      </c>
      <c r="M215" s="49" t="s">
        <v>16</v>
      </c>
      <c r="O215" t="s">
        <v>201</v>
      </c>
      <c r="P215" t="s">
        <v>329</v>
      </c>
    </row>
    <row r="216" spans="1:16" ht="15" hidden="1" customHeight="1" x14ac:dyDescent="0.25">
      <c r="A216" s="10">
        <v>14</v>
      </c>
      <c r="B216" s="48">
        <v>43973</v>
      </c>
      <c r="C216" s="17">
        <v>130</v>
      </c>
      <c r="D216" s="17">
        <v>130</v>
      </c>
      <c r="E216" s="16">
        <v>43973</v>
      </c>
      <c r="F216" s="16" t="s">
        <v>117</v>
      </c>
      <c r="H216" s="17">
        <f t="shared" si="9"/>
        <v>0</v>
      </c>
      <c r="I216" t="s">
        <v>29</v>
      </c>
      <c r="J216" s="17" t="s">
        <v>151</v>
      </c>
      <c r="K216" s="230">
        <v>44168</v>
      </c>
      <c r="L216" s="234">
        <v>31.99</v>
      </c>
      <c r="M216" s="49" t="s">
        <v>17</v>
      </c>
      <c r="N216" t="s">
        <v>190</v>
      </c>
      <c r="O216" t="s">
        <v>201</v>
      </c>
      <c r="P216" t="s">
        <v>329</v>
      </c>
    </row>
    <row r="217" spans="1:16" ht="15" hidden="1" customHeight="1" x14ac:dyDescent="0.25">
      <c r="A217" s="10">
        <v>15</v>
      </c>
      <c r="B217" s="48">
        <v>43980</v>
      </c>
      <c r="C217" s="17">
        <v>130</v>
      </c>
      <c r="D217" s="17">
        <v>130</v>
      </c>
      <c r="E217" s="16">
        <v>43980</v>
      </c>
      <c r="F217" s="16" t="s">
        <v>117</v>
      </c>
      <c r="H217" s="17">
        <f t="shared" si="9"/>
        <v>0</v>
      </c>
      <c r="I217" t="s">
        <v>29</v>
      </c>
      <c r="J217" s="17" t="s">
        <v>151</v>
      </c>
      <c r="K217" s="230">
        <v>44169</v>
      </c>
      <c r="L217" s="234">
        <v>400</v>
      </c>
      <c r="M217" s="49" t="s">
        <v>45</v>
      </c>
      <c r="O217" t="s">
        <v>201</v>
      </c>
      <c r="P217" t="s">
        <v>461</v>
      </c>
    </row>
    <row r="218" spans="1:16" ht="15" hidden="1" customHeight="1" x14ac:dyDescent="0.25">
      <c r="A218" s="10">
        <v>16</v>
      </c>
      <c r="B218" s="48">
        <v>43987</v>
      </c>
      <c r="C218" s="17">
        <v>130</v>
      </c>
      <c r="D218" s="17">
        <v>130</v>
      </c>
      <c r="E218" s="16">
        <v>43987</v>
      </c>
      <c r="F218" s="16" t="s">
        <v>117</v>
      </c>
      <c r="H218" s="17">
        <f t="shared" si="9"/>
        <v>0</v>
      </c>
      <c r="I218" t="s">
        <v>29</v>
      </c>
      <c r="J218" s="17" t="s">
        <v>151</v>
      </c>
      <c r="K218" s="230">
        <v>44229</v>
      </c>
      <c r="L218" s="234">
        <v>198.52</v>
      </c>
      <c r="M218" s="49" t="s">
        <v>20</v>
      </c>
      <c r="O218" t="s">
        <v>201</v>
      </c>
      <c r="P218" t="s">
        <v>14</v>
      </c>
    </row>
    <row r="219" spans="1:16" ht="15" hidden="1" customHeight="1" x14ac:dyDescent="0.25">
      <c r="A219" s="10">
        <v>17</v>
      </c>
      <c r="B219" s="48">
        <v>43994</v>
      </c>
      <c r="C219" s="17">
        <v>130</v>
      </c>
      <c r="D219" s="17">
        <v>130</v>
      </c>
      <c r="E219" s="16">
        <v>43994</v>
      </c>
      <c r="F219" s="16" t="s">
        <v>117</v>
      </c>
      <c r="H219" s="17">
        <f t="shared" si="9"/>
        <v>0</v>
      </c>
      <c r="I219" t="s">
        <v>29</v>
      </c>
      <c r="J219" s="17" t="s">
        <v>151</v>
      </c>
      <c r="K219" s="230">
        <v>44240</v>
      </c>
      <c r="L219" s="234">
        <v>252.4</v>
      </c>
      <c r="M219" s="49" t="s">
        <v>45</v>
      </c>
      <c r="O219" t="s">
        <v>201</v>
      </c>
      <c r="P219" t="s">
        <v>418</v>
      </c>
    </row>
    <row r="220" spans="1:16" ht="15" hidden="1" customHeight="1" x14ac:dyDescent="0.25">
      <c r="A220" s="10">
        <v>18</v>
      </c>
      <c r="B220" s="48">
        <v>44001</v>
      </c>
      <c r="C220" s="17">
        <v>130</v>
      </c>
      <c r="D220" s="17">
        <v>130</v>
      </c>
      <c r="E220" s="16">
        <v>44001</v>
      </c>
      <c r="F220" s="16" t="s">
        <v>117</v>
      </c>
      <c r="H220" s="17">
        <f t="shared" si="9"/>
        <v>0</v>
      </c>
      <c r="I220" t="s">
        <v>29</v>
      </c>
      <c r="J220" s="17" t="s">
        <v>151</v>
      </c>
      <c r="K220" s="230">
        <v>44258</v>
      </c>
      <c r="L220" s="234">
        <v>320</v>
      </c>
      <c r="M220" s="49" t="s">
        <v>17</v>
      </c>
      <c r="N220" t="s">
        <v>470</v>
      </c>
      <c r="O220" t="s">
        <v>201</v>
      </c>
      <c r="P220" t="s">
        <v>520</v>
      </c>
    </row>
    <row r="221" spans="1:16" ht="15" hidden="1" customHeight="1" x14ac:dyDescent="0.25">
      <c r="A221" s="10">
        <v>19</v>
      </c>
      <c r="B221" s="48">
        <v>44008</v>
      </c>
      <c r="C221" s="17">
        <v>130</v>
      </c>
      <c r="D221" s="17"/>
      <c r="E221" s="16"/>
      <c r="F221" s="16" t="s">
        <v>117</v>
      </c>
      <c r="H221" s="17">
        <f t="shared" si="9"/>
        <v>0</v>
      </c>
      <c r="I221" t="s">
        <v>29</v>
      </c>
      <c r="J221" s="17" t="s">
        <v>151</v>
      </c>
      <c r="K221" s="230">
        <v>44272</v>
      </c>
      <c r="L221" s="234">
        <v>300</v>
      </c>
      <c r="M221" s="49" t="s">
        <v>45</v>
      </c>
      <c r="O221" t="s">
        <v>201</v>
      </c>
      <c r="P221" t="s">
        <v>520</v>
      </c>
    </row>
    <row r="222" spans="1:16" ht="15" hidden="1" customHeight="1" x14ac:dyDescent="0.25">
      <c r="A222" s="10">
        <v>20</v>
      </c>
      <c r="B222" s="48">
        <v>44015</v>
      </c>
      <c r="C222" s="17">
        <v>130</v>
      </c>
      <c r="D222" s="17"/>
      <c r="E222" s="16"/>
      <c r="F222" s="16" t="s">
        <v>117</v>
      </c>
      <c r="H222" s="17">
        <f t="shared" si="9"/>
        <v>0</v>
      </c>
      <c r="I222" t="s">
        <v>29</v>
      </c>
      <c r="J222" s="17" t="s">
        <v>151</v>
      </c>
      <c r="K222" s="230">
        <v>44293</v>
      </c>
      <c r="L222" s="234">
        <v>59.05</v>
      </c>
      <c r="M222" s="49" t="s">
        <v>32</v>
      </c>
      <c r="O222" t="s">
        <v>201</v>
      </c>
      <c r="P222" t="s">
        <v>14</v>
      </c>
    </row>
    <row r="223" spans="1:16" ht="15" hidden="1" customHeight="1" x14ac:dyDescent="0.25">
      <c r="A223" s="10">
        <v>21</v>
      </c>
      <c r="B223" s="48">
        <v>44022</v>
      </c>
      <c r="C223" s="17">
        <v>130</v>
      </c>
      <c r="D223" s="17">
        <v>130</v>
      </c>
      <c r="E223" s="16">
        <v>44022</v>
      </c>
      <c r="F223" s="16" t="s">
        <v>117</v>
      </c>
      <c r="H223" s="17">
        <f t="shared" si="9"/>
        <v>0</v>
      </c>
      <c r="I223" t="s">
        <v>29</v>
      </c>
      <c r="J223" s="17" t="s">
        <v>151</v>
      </c>
      <c r="K223" s="230">
        <v>44322</v>
      </c>
      <c r="L223" s="234">
        <v>198.52</v>
      </c>
      <c r="M223" s="49" t="s">
        <v>20</v>
      </c>
      <c r="O223" t="s">
        <v>201</v>
      </c>
      <c r="P223" t="s">
        <v>558</v>
      </c>
    </row>
    <row r="224" spans="1:16" ht="15" hidden="1" customHeight="1" x14ac:dyDescent="0.25">
      <c r="A224" s="10">
        <v>22</v>
      </c>
      <c r="B224" s="48">
        <v>44029</v>
      </c>
      <c r="C224" s="17">
        <v>130</v>
      </c>
      <c r="D224" s="17">
        <v>130</v>
      </c>
      <c r="E224" s="16">
        <v>44029</v>
      </c>
      <c r="F224" s="16" t="s">
        <v>117</v>
      </c>
      <c r="H224" s="17">
        <f t="shared" si="9"/>
        <v>0</v>
      </c>
      <c r="I224" t="s">
        <v>29</v>
      </c>
      <c r="J224" s="17" t="s">
        <v>151</v>
      </c>
      <c r="K224" s="230">
        <v>44344</v>
      </c>
      <c r="L224" s="234">
        <v>300</v>
      </c>
      <c r="M224" s="49" t="s">
        <v>45</v>
      </c>
      <c r="O224" t="s">
        <v>201</v>
      </c>
      <c r="P224" t="s">
        <v>558</v>
      </c>
    </row>
    <row r="225" spans="1:16" ht="15" hidden="1" customHeight="1" x14ac:dyDescent="0.25">
      <c r="A225" s="10">
        <v>23</v>
      </c>
      <c r="B225" s="48">
        <v>44036</v>
      </c>
      <c r="C225" s="17">
        <v>130</v>
      </c>
      <c r="D225" s="17">
        <v>130</v>
      </c>
      <c r="E225" s="16">
        <v>44036</v>
      </c>
      <c r="F225" s="16" t="s">
        <v>117</v>
      </c>
      <c r="H225" s="17">
        <f t="shared" si="9"/>
        <v>0</v>
      </c>
      <c r="I225" t="s">
        <v>29</v>
      </c>
      <c r="J225" s="17" t="s">
        <v>151</v>
      </c>
      <c r="K225" s="230">
        <v>44345</v>
      </c>
      <c r="L225" s="234">
        <v>37.9</v>
      </c>
      <c r="M225" s="49" t="s">
        <v>32</v>
      </c>
      <c r="O225" t="s">
        <v>201</v>
      </c>
      <c r="P225" t="s">
        <v>558</v>
      </c>
    </row>
    <row r="226" spans="1:16" ht="15" hidden="1" customHeight="1" x14ac:dyDescent="0.25">
      <c r="A226" s="10">
        <v>24</v>
      </c>
      <c r="B226" s="48">
        <v>44036</v>
      </c>
      <c r="C226" s="17">
        <f>130-25</f>
        <v>105</v>
      </c>
      <c r="D226" s="17">
        <v>235</v>
      </c>
      <c r="E226" s="16">
        <v>44043</v>
      </c>
      <c r="F226" t="s">
        <v>157</v>
      </c>
      <c r="H226" s="17">
        <f t="shared" si="9"/>
        <v>0</v>
      </c>
      <c r="I226" t="s">
        <v>29</v>
      </c>
      <c r="J226" s="17" t="s">
        <v>151</v>
      </c>
      <c r="K226" s="230">
        <v>44350</v>
      </c>
      <c r="L226" s="234">
        <v>42.99</v>
      </c>
      <c r="M226" s="49" t="s">
        <v>53</v>
      </c>
      <c r="N226" t="s">
        <v>588</v>
      </c>
      <c r="O226" t="s">
        <v>201</v>
      </c>
      <c r="P226" t="s">
        <v>600</v>
      </c>
    </row>
    <row r="227" spans="1:16" ht="15" hidden="1" customHeight="1" x14ac:dyDescent="0.25">
      <c r="A227" s="10">
        <v>25</v>
      </c>
      <c r="B227" s="48">
        <v>44036</v>
      </c>
      <c r="C227" s="17"/>
      <c r="D227" s="17">
        <v>130</v>
      </c>
      <c r="E227" s="16">
        <v>44043</v>
      </c>
      <c r="F227" t="s">
        <v>124</v>
      </c>
      <c r="H227" s="17">
        <f t="shared" si="9"/>
        <v>0</v>
      </c>
      <c r="I227" t="s">
        <v>29</v>
      </c>
      <c r="J227" s="17" t="s">
        <v>151</v>
      </c>
      <c r="K227" s="230">
        <v>44357</v>
      </c>
      <c r="L227" s="234">
        <v>5.5</v>
      </c>
      <c r="M227" s="49" t="s">
        <v>22</v>
      </c>
      <c r="O227" t="s">
        <v>201</v>
      </c>
      <c r="P227" t="s">
        <v>600</v>
      </c>
    </row>
    <row r="228" spans="1:16" ht="15" hidden="1" customHeight="1" x14ac:dyDescent="0.25">
      <c r="A228" s="10">
        <v>1</v>
      </c>
      <c r="B228" s="48">
        <v>44083</v>
      </c>
      <c r="C228" s="17">
        <v>120</v>
      </c>
      <c r="D228" s="17">
        <v>120</v>
      </c>
      <c r="E228" s="16">
        <v>44086</v>
      </c>
      <c r="F228" s="16" t="s">
        <v>117</v>
      </c>
      <c r="H228" s="17">
        <f t="shared" si="9"/>
        <v>130</v>
      </c>
      <c r="I228" t="s">
        <v>29</v>
      </c>
      <c r="J228" s="17" t="s">
        <v>329</v>
      </c>
      <c r="K228" s="230">
        <v>44351</v>
      </c>
      <c r="L228" s="234">
        <v>0.99</v>
      </c>
      <c r="M228" s="49" t="s">
        <v>22</v>
      </c>
      <c r="O228" t="s">
        <v>201</v>
      </c>
      <c r="P228" t="s">
        <v>600</v>
      </c>
    </row>
    <row r="229" spans="1:16" ht="15" hidden="1" customHeight="1" x14ac:dyDescent="0.25">
      <c r="A229" s="10">
        <v>2</v>
      </c>
      <c r="B229" s="48">
        <f>B228+7</f>
        <v>44090</v>
      </c>
      <c r="C229" s="17">
        <v>120</v>
      </c>
      <c r="D229" s="17">
        <v>120</v>
      </c>
      <c r="E229" s="16">
        <v>44096</v>
      </c>
      <c r="F229" t="s">
        <v>117</v>
      </c>
      <c r="H229" s="17">
        <f t="shared" si="9"/>
        <v>260</v>
      </c>
      <c r="I229" t="s">
        <v>29</v>
      </c>
      <c r="J229" s="17" t="s">
        <v>329</v>
      </c>
      <c r="K229" s="230">
        <v>44358</v>
      </c>
      <c r="L229" s="234">
        <v>0.99</v>
      </c>
      <c r="M229" s="49" t="s">
        <v>22</v>
      </c>
      <c r="O229" t="s">
        <v>201</v>
      </c>
      <c r="P229" t="s">
        <v>600</v>
      </c>
    </row>
    <row r="230" spans="1:16" ht="15" hidden="1" customHeight="1" x14ac:dyDescent="0.25">
      <c r="A230" s="10">
        <v>3</v>
      </c>
      <c r="B230" s="48">
        <f>B229+7</f>
        <v>44097</v>
      </c>
      <c r="C230" s="17">
        <v>120</v>
      </c>
      <c r="D230" s="17">
        <v>120</v>
      </c>
      <c r="E230" s="16">
        <v>44111</v>
      </c>
      <c r="F230" t="s">
        <v>124</v>
      </c>
      <c r="H230" s="17">
        <f t="shared" si="9"/>
        <v>260</v>
      </c>
      <c r="I230" t="s">
        <v>29</v>
      </c>
      <c r="J230" s="17" t="s">
        <v>329</v>
      </c>
      <c r="K230" s="230">
        <v>44377</v>
      </c>
      <c r="L230" s="234">
        <v>696</v>
      </c>
      <c r="M230" s="49" t="s">
        <v>17</v>
      </c>
      <c r="N230" t="s">
        <v>675</v>
      </c>
      <c r="O230" t="s">
        <v>201</v>
      </c>
      <c r="P230" t="s">
        <v>600</v>
      </c>
    </row>
    <row r="231" spans="1:16" ht="15" hidden="1" customHeight="1" x14ac:dyDescent="0.25">
      <c r="A231" s="10">
        <v>1</v>
      </c>
      <c r="B231" s="48">
        <v>44146</v>
      </c>
      <c r="C231" s="17">
        <v>400</v>
      </c>
      <c r="D231" s="17">
        <v>50</v>
      </c>
      <c r="E231" s="16">
        <v>44144</v>
      </c>
      <c r="F231" t="s">
        <v>181</v>
      </c>
      <c r="H231" s="17">
        <f t="shared" si="9"/>
        <v>260</v>
      </c>
      <c r="I231" t="s">
        <v>29</v>
      </c>
      <c r="J231" s="17" t="s">
        <v>455</v>
      </c>
      <c r="K231" s="230">
        <v>44372</v>
      </c>
      <c r="L231" s="234">
        <v>0.99</v>
      </c>
      <c r="M231" s="49" t="s">
        <v>22</v>
      </c>
      <c r="O231" t="s">
        <v>201</v>
      </c>
      <c r="P231" t="s">
        <v>600</v>
      </c>
    </row>
    <row r="232" spans="1:16" ht="15" hidden="1" customHeight="1" x14ac:dyDescent="0.25">
      <c r="A232" s="10">
        <v>1</v>
      </c>
      <c r="B232" s="48">
        <v>44146</v>
      </c>
      <c r="C232" s="17"/>
      <c r="D232" s="17">
        <v>350</v>
      </c>
      <c r="E232" s="16">
        <v>44146</v>
      </c>
      <c r="F232" t="s">
        <v>181</v>
      </c>
      <c r="H232" s="17">
        <f t="shared" si="9"/>
        <v>260</v>
      </c>
      <c r="I232" t="s">
        <v>29</v>
      </c>
      <c r="J232" s="17" t="s">
        <v>455</v>
      </c>
      <c r="K232" s="230">
        <v>44385</v>
      </c>
      <c r="L232" s="234">
        <v>2.75</v>
      </c>
      <c r="M232" s="49" t="s">
        <v>22</v>
      </c>
      <c r="O232" t="s">
        <v>201</v>
      </c>
      <c r="P232" t="s">
        <v>600</v>
      </c>
    </row>
    <row r="233" spans="1:16" ht="15" hidden="1" customHeight="1" x14ac:dyDescent="0.25">
      <c r="A233" s="10">
        <v>1</v>
      </c>
      <c r="B233" s="48">
        <v>44146</v>
      </c>
      <c r="C233" s="17">
        <v>200</v>
      </c>
      <c r="D233" s="17">
        <v>200</v>
      </c>
      <c r="E233" s="16">
        <v>44146</v>
      </c>
      <c r="F233" t="s">
        <v>117</v>
      </c>
      <c r="H233" s="17">
        <f t="shared" si="9"/>
        <v>130</v>
      </c>
      <c r="I233" t="s">
        <v>29</v>
      </c>
      <c r="J233" s="17" t="s">
        <v>455</v>
      </c>
      <c r="K233" s="230">
        <v>44379</v>
      </c>
      <c r="L233" s="234">
        <v>0.99</v>
      </c>
      <c r="M233" s="49" t="s">
        <v>22</v>
      </c>
      <c r="O233" t="s">
        <v>201</v>
      </c>
      <c r="P233" t="s">
        <v>600</v>
      </c>
    </row>
    <row r="234" spans="1:16" ht="15" hidden="1" customHeight="1" x14ac:dyDescent="0.25">
      <c r="A234" s="10">
        <v>2</v>
      </c>
      <c r="B234" s="48">
        <f t="shared" ref="B234:B239" si="10">B233+7</f>
        <v>44153</v>
      </c>
      <c r="C234" s="17">
        <v>200</v>
      </c>
      <c r="D234" s="17">
        <v>200</v>
      </c>
      <c r="E234" s="16">
        <v>44154</v>
      </c>
      <c r="F234" t="s">
        <v>117</v>
      </c>
      <c r="H234" s="17">
        <f t="shared" si="9"/>
        <v>0</v>
      </c>
      <c r="I234" t="s">
        <v>29</v>
      </c>
      <c r="J234" s="17" t="s">
        <v>455</v>
      </c>
      <c r="K234" s="230">
        <v>44386</v>
      </c>
      <c r="L234" s="234">
        <v>0.99</v>
      </c>
      <c r="M234" s="49" t="s">
        <v>22</v>
      </c>
      <c r="O234" t="s">
        <v>201</v>
      </c>
      <c r="P234" t="s">
        <v>600</v>
      </c>
    </row>
    <row r="235" spans="1:16" ht="15" hidden="1" customHeight="1" x14ac:dyDescent="0.25">
      <c r="A235" s="10">
        <v>3</v>
      </c>
      <c r="B235" s="48">
        <f t="shared" si="10"/>
        <v>44160</v>
      </c>
      <c r="C235" s="17">
        <v>200</v>
      </c>
      <c r="D235" s="17">
        <v>200</v>
      </c>
      <c r="E235" s="16">
        <v>44161</v>
      </c>
      <c r="F235" t="s">
        <v>117</v>
      </c>
      <c r="H235" s="17">
        <f t="shared" si="9"/>
        <v>0</v>
      </c>
      <c r="I235" t="s">
        <v>29</v>
      </c>
      <c r="J235" s="17" t="s">
        <v>455</v>
      </c>
      <c r="K235" s="230">
        <v>44404</v>
      </c>
      <c r="L235" s="234">
        <v>201.31</v>
      </c>
      <c r="M235" s="49" t="s">
        <v>20</v>
      </c>
      <c r="O235" t="s">
        <v>201</v>
      </c>
      <c r="P235" t="s">
        <v>600</v>
      </c>
    </row>
    <row r="236" spans="1:16" ht="15" hidden="1" customHeight="1" x14ac:dyDescent="0.25">
      <c r="A236" s="10">
        <v>4</v>
      </c>
      <c r="B236" s="48">
        <f t="shared" si="10"/>
        <v>44167</v>
      </c>
      <c r="C236" s="17">
        <v>200</v>
      </c>
      <c r="D236" s="17">
        <v>200</v>
      </c>
      <c r="E236" s="16">
        <v>44168</v>
      </c>
      <c r="F236" t="s">
        <v>117</v>
      </c>
      <c r="H236" s="17">
        <f t="shared" si="9"/>
        <v>0</v>
      </c>
      <c r="I236" t="s">
        <v>29</v>
      </c>
      <c r="J236" s="17" t="s">
        <v>455</v>
      </c>
      <c r="K236" s="230">
        <v>44424</v>
      </c>
      <c r="L236" s="234">
        <v>25</v>
      </c>
      <c r="M236" s="49" t="s">
        <v>17</v>
      </c>
      <c r="N236" t="s">
        <v>270</v>
      </c>
      <c r="O236" t="s">
        <v>201</v>
      </c>
      <c r="P236" t="s">
        <v>600</v>
      </c>
    </row>
    <row r="237" spans="1:16" ht="15" hidden="1" customHeight="1" x14ac:dyDescent="0.25">
      <c r="A237" s="10">
        <v>5</v>
      </c>
      <c r="B237" s="48">
        <f t="shared" si="10"/>
        <v>44174</v>
      </c>
      <c r="C237" s="17">
        <v>200</v>
      </c>
      <c r="D237" s="17">
        <v>200</v>
      </c>
      <c r="E237" s="16">
        <v>44177</v>
      </c>
      <c r="F237" t="s">
        <v>117</v>
      </c>
      <c r="H237" s="17">
        <f t="shared" si="9"/>
        <v>0</v>
      </c>
      <c r="I237" t="s">
        <v>29</v>
      </c>
      <c r="J237" s="17" t="s">
        <v>455</v>
      </c>
      <c r="K237" s="230">
        <v>44420</v>
      </c>
      <c r="L237" s="234">
        <v>2.75</v>
      </c>
      <c r="M237" s="49" t="s">
        <v>22</v>
      </c>
      <c r="O237" t="s">
        <v>201</v>
      </c>
      <c r="P237" t="s">
        <v>600</v>
      </c>
    </row>
    <row r="238" spans="1:16" ht="15" hidden="1" customHeight="1" x14ac:dyDescent="0.25">
      <c r="A238" s="10">
        <v>6</v>
      </c>
      <c r="B238" s="48">
        <f t="shared" si="10"/>
        <v>44181</v>
      </c>
      <c r="C238" s="17">
        <v>200</v>
      </c>
      <c r="D238" s="17">
        <v>200</v>
      </c>
      <c r="E238" s="16">
        <v>44182</v>
      </c>
      <c r="F238" t="s">
        <v>117</v>
      </c>
      <c r="H238" s="17">
        <f t="shared" si="9"/>
        <v>350</v>
      </c>
      <c r="I238" t="s">
        <v>29</v>
      </c>
      <c r="J238" s="17" t="s">
        <v>455</v>
      </c>
      <c r="K238" s="230">
        <v>44414</v>
      </c>
      <c r="L238" s="234">
        <v>0.99</v>
      </c>
      <c r="M238" s="49" t="s">
        <v>22</v>
      </c>
      <c r="O238" t="s">
        <v>201</v>
      </c>
      <c r="P238" t="s">
        <v>600</v>
      </c>
    </row>
    <row r="239" spans="1:16" ht="15" hidden="1" customHeight="1" x14ac:dyDescent="0.25">
      <c r="A239" s="10">
        <v>7</v>
      </c>
      <c r="B239" s="48">
        <f t="shared" si="10"/>
        <v>44188</v>
      </c>
      <c r="C239" s="17">
        <v>170</v>
      </c>
      <c r="D239" s="17">
        <v>170</v>
      </c>
      <c r="E239" s="16">
        <v>44189</v>
      </c>
      <c r="F239" t="s">
        <v>117</v>
      </c>
      <c r="H239" s="17">
        <f t="shared" si="9"/>
        <v>0</v>
      </c>
      <c r="I239" t="s">
        <v>29</v>
      </c>
      <c r="J239" s="17" t="s">
        <v>455</v>
      </c>
      <c r="K239" s="230">
        <v>44421</v>
      </c>
      <c r="L239" s="234">
        <v>0.99</v>
      </c>
      <c r="M239" s="49" t="s">
        <v>22</v>
      </c>
      <c r="O239" t="s">
        <v>201</v>
      </c>
      <c r="P239" t="s">
        <v>600</v>
      </c>
    </row>
    <row r="240" spans="1:16" ht="15" hidden="1" customHeight="1" x14ac:dyDescent="0.25">
      <c r="A240" s="10">
        <v>8</v>
      </c>
      <c r="B240" s="48">
        <f>B239+7</f>
        <v>44195</v>
      </c>
      <c r="C240" s="17">
        <v>170</v>
      </c>
      <c r="D240" s="17">
        <v>170</v>
      </c>
      <c r="E240" s="16">
        <v>44196</v>
      </c>
      <c r="F240" t="s">
        <v>117</v>
      </c>
      <c r="H240" s="17">
        <f t="shared" si="9"/>
        <v>0</v>
      </c>
      <c r="I240" t="s">
        <v>29</v>
      </c>
      <c r="J240" s="17" t="s">
        <v>455</v>
      </c>
      <c r="K240" s="230">
        <v>44475</v>
      </c>
      <c r="L240" s="234">
        <v>300</v>
      </c>
      <c r="M240" s="49" t="s">
        <v>45</v>
      </c>
      <c r="O240" t="s">
        <v>201</v>
      </c>
      <c r="P240" t="s">
        <v>176</v>
      </c>
    </row>
    <row r="241" spans="1:16" ht="15" hidden="1" customHeight="1" x14ac:dyDescent="0.25">
      <c r="A241" s="10">
        <v>9</v>
      </c>
      <c r="B241" s="48">
        <f>B240+7</f>
        <v>44202</v>
      </c>
      <c r="C241" s="17">
        <v>130</v>
      </c>
      <c r="D241" s="17">
        <f>130</f>
        <v>130</v>
      </c>
      <c r="E241" s="16">
        <v>44202</v>
      </c>
      <c r="F241" t="s">
        <v>124</v>
      </c>
      <c r="H241" s="17">
        <f t="shared" si="9"/>
        <v>0</v>
      </c>
      <c r="I241" t="s">
        <v>29</v>
      </c>
      <c r="J241" s="17" t="s">
        <v>455</v>
      </c>
      <c r="K241" s="230">
        <v>44510</v>
      </c>
      <c r="L241" s="234">
        <v>55</v>
      </c>
      <c r="M241" s="49" t="s">
        <v>17</v>
      </c>
      <c r="N241" t="s">
        <v>726</v>
      </c>
      <c r="O241" t="s">
        <v>201</v>
      </c>
      <c r="P241" t="s">
        <v>14</v>
      </c>
    </row>
    <row r="242" spans="1:16" ht="15" hidden="1" customHeight="1" x14ac:dyDescent="0.25">
      <c r="A242" s="10">
        <v>1</v>
      </c>
      <c r="B242" s="48">
        <v>44286</v>
      </c>
      <c r="C242" s="17">
        <v>500</v>
      </c>
      <c r="D242" s="17">
        <v>500</v>
      </c>
      <c r="E242" s="16">
        <v>44286</v>
      </c>
      <c r="F242" t="s">
        <v>117</v>
      </c>
      <c r="H242" s="17">
        <f t="shared" si="9"/>
        <v>0</v>
      </c>
      <c r="I242" t="s">
        <v>29</v>
      </c>
      <c r="J242" s="17" t="s">
        <v>544</v>
      </c>
      <c r="K242" s="230">
        <v>44560</v>
      </c>
      <c r="L242" s="234">
        <v>0.99</v>
      </c>
      <c r="M242" s="49" t="s">
        <v>22</v>
      </c>
      <c r="O242" t="s">
        <v>201</v>
      </c>
      <c r="P242" t="s">
        <v>770</v>
      </c>
    </row>
    <row r="243" spans="1:16" ht="15" hidden="1" customHeight="1" x14ac:dyDescent="0.25">
      <c r="A243" s="10">
        <v>1</v>
      </c>
      <c r="B243" s="48">
        <v>44042</v>
      </c>
      <c r="C243" s="17">
        <v>135</v>
      </c>
      <c r="D243" s="17">
        <v>135</v>
      </c>
      <c r="E243" s="16">
        <v>44042</v>
      </c>
      <c r="F243" t="s">
        <v>117</v>
      </c>
      <c r="G243" s="228">
        <v>104647</v>
      </c>
      <c r="H243" s="17">
        <f>IFERROR(IF(F242="Closed account",(IF(F243="Unpaid Rent",(C243),(C243-D243))),(IF(F243="Unpaid Rent",(C243+H242),(C243-D243+H242)))),"")</f>
        <v>0</v>
      </c>
      <c r="I243" t="s">
        <v>201</v>
      </c>
      <c r="J243" s="17" t="s">
        <v>143</v>
      </c>
      <c r="K243" s="230">
        <v>44201</v>
      </c>
      <c r="L243" s="234">
        <v>400</v>
      </c>
      <c r="M243" s="49" t="s">
        <v>45</v>
      </c>
      <c r="O243" t="s">
        <v>201</v>
      </c>
      <c r="P243" t="s">
        <v>770</v>
      </c>
    </row>
    <row r="244" spans="1:16" ht="15" hidden="1" customHeight="1" x14ac:dyDescent="0.25">
      <c r="A244" s="10">
        <v>2</v>
      </c>
      <c r="B244" s="48">
        <v>44049</v>
      </c>
      <c r="C244" s="17">
        <v>135</v>
      </c>
      <c r="D244" s="17">
        <v>100</v>
      </c>
      <c r="E244" s="16">
        <v>44049</v>
      </c>
      <c r="F244" t="s">
        <v>117</v>
      </c>
      <c r="H244" s="17">
        <f t="shared" ref="H244:H307" si="11">IFERROR(IF(F243="Closed account",(IF(F244="Unpaid Rent",(C244),(C244-D244))),(IF(F244="Unpaid Rent",(C244+H243),(C244-D244+H243)))),"")</f>
        <v>35</v>
      </c>
      <c r="I244" t="s">
        <v>201</v>
      </c>
      <c r="J244" s="17" t="s">
        <v>143</v>
      </c>
      <c r="K244" s="230">
        <v>44539</v>
      </c>
      <c r="L244" s="234">
        <v>5.5</v>
      </c>
      <c r="M244" s="49" t="s">
        <v>22</v>
      </c>
      <c r="O244" t="s">
        <v>201</v>
      </c>
      <c r="P244" t="s">
        <v>770</v>
      </c>
    </row>
    <row r="245" spans="1:16" ht="15" hidden="1" customHeight="1" x14ac:dyDescent="0.25">
      <c r="A245" s="10">
        <v>3</v>
      </c>
      <c r="B245" s="48">
        <v>44056</v>
      </c>
      <c r="C245" s="17">
        <v>135</v>
      </c>
      <c r="D245" s="17">
        <v>170</v>
      </c>
      <c r="E245" s="16">
        <v>44055</v>
      </c>
      <c r="F245" t="s">
        <v>124</v>
      </c>
      <c r="H245" s="17">
        <f t="shared" si="11"/>
        <v>0</v>
      </c>
      <c r="I245" t="s">
        <v>201</v>
      </c>
      <c r="J245" s="17" t="s">
        <v>143</v>
      </c>
      <c r="K245" s="230">
        <v>44539</v>
      </c>
      <c r="L245" s="234">
        <v>400</v>
      </c>
      <c r="M245" s="49" t="s">
        <v>22</v>
      </c>
    </row>
    <row r="246" spans="1:16" ht="15" hidden="1" customHeight="1" x14ac:dyDescent="0.25">
      <c r="A246" s="10">
        <v>1</v>
      </c>
      <c r="B246" s="48">
        <v>44063</v>
      </c>
      <c r="C246" s="17">
        <v>300</v>
      </c>
      <c r="D246" s="17">
        <v>300</v>
      </c>
      <c r="E246" s="16">
        <v>44064</v>
      </c>
      <c r="F246" t="s">
        <v>181</v>
      </c>
      <c r="H246" s="17">
        <f t="shared" si="11"/>
        <v>0</v>
      </c>
      <c r="I246" t="s">
        <v>201</v>
      </c>
      <c r="J246" s="17" t="s">
        <v>216</v>
      </c>
      <c r="K246" s="230">
        <v>44009</v>
      </c>
      <c r="L246" s="234">
        <v>45.27</v>
      </c>
      <c r="M246" s="49" t="s">
        <v>32</v>
      </c>
      <c r="P246" t="s">
        <v>109</v>
      </c>
    </row>
    <row r="247" spans="1:16" ht="15" hidden="1" customHeight="1" x14ac:dyDescent="0.25">
      <c r="A247" s="10">
        <v>1</v>
      </c>
      <c r="B247" s="48">
        <v>44063</v>
      </c>
      <c r="C247" s="17">
        <v>150</v>
      </c>
      <c r="D247" s="17">
        <v>150</v>
      </c>
      <c r="E247" s="16">
        <v>44064</v>
      </c>
      <c r="F247" t="s">
        <v>117</v>
      </c>
      <c r="H247" s="17">
        <f t="shared" si="11"/>
        <v>0</v>
      </c>
      <c r="I247" t="s">
        <v>201</v>
      </c>
      <c r="J247" s="17" t="s">
        <v>216</v>
      </c>
      <c r="K247" s="230">
        <v>44009</v>
      </c>
      <c r="L247" s="234">
        <v>55.1</v>
      </c>
      <c r="M247" s="49" t="s">
        <v>54</v>
      </c>
      <c r="P247" t="s">
        <v>109</v>
      </c>
    </row>
    <row r="248" spans="1:16" ht="15" hidden="1" customHeight="1" x14ac:dyDescent="0.25">
      <c r="A248" s="10">
        <v>2</v>
      </c>
      <c r="B248" s="48">
        <f>B247+7</f>
        <v>44070</v>
      </c>
      <c r="C248" s="17">
        <v>150</v>
      </c>
      <c r="D248" s="17">
        <v>150</v>
      </c>
      <c r="E248" s="16">
        <v>44071</v>
      </c>
      <c r="F248" t="s">
        <v>117</v>
      </c>
      <c r="H248" s="17">
        <f t="shared" si="11"/>
        <v>0</v>
      </c>
      <c r="I248" t="s">
        <v>201</v>
      </c>
      <c r="J248" s="17" t="s">
        <v>216</v>
      </c>
      <c r="K248" s="230">
        <v>44000</v>
      </c>
      <c r="L248" s="234">
        <v>60</v>
      </c>
      <c r="M248" s="49" t="s">
        <v>98</v>
      </c>
      <c r="P248" t="s">
        <v>109</v>
      </c>
    </row>
    <row r="249" spans="1:16" ht="15" hidden="1" customHeight="1" x14ac:dyDescent="0.25">
      <c r="A249" s="10">
        <v>3</v>
      </c>
      <c r="B249" s="48">
        <f>B248+7</f>
        <v>44077</v>
      </c>
      <c r="C249" s="17">
        <v>150</v>
      </c>
      <c r="D249" s="17">
        <v>150</v>
      </c>
      <c r="E249" s="16">
        <v>44080</v>
      </c>
      <c r="F249" t="s">
        <v>117</v>
      </c>
      <c r="H249" s="17">
        <f t="shared" si="11"/>
        <v>0</v>
      </c>
      <c r="I249" t="s">
        <v>201</v>
      </c>
      <c r="J249" s="17" t="s">
        <v>216</v>
      </c>
      <c r="K249" s="230">
        <v>44012</v>
      </c>
      <c r="L249" s="234">
        <v>150.01</v>
      </c>
      <c r="M249" s="49" t="s">
        <v>16</v>
      </c>
      <c r="P249" t="s">
        <v>109</v>
      </c>
    </row>
    <row r="250" spans="1:16" ht="15" hidden="1" customHeight="1" x14ac:dyDescent="0.25">
      <c r="A250" s="10">
        <v>4</v>
      </c>
      <c r="B250" s="48">
        <f>B249+7</f>
        <v>44084</v>
      </c>
      <c r="C250" s="17">
        <v>150</v>
      </c>
      <c r="D250" s="17">
        <v>150</v>
      </c>
      <c r="E250" s="16">
        <v>44091</v>
      </c>
      <c r="F250" t="s">
        <v>157</v>
      </c>
      <c r="H250" s="17">
        <f t="shared" si="11"/>
        <v>0</v>
      </c>
      <c r="I250" t="s">
        <v>201</v>
      </c>
      <c r="J250" s="17" t="s">
        <v>216</v>
      </c>
      <c r="K250" s="230">
        <v>44015</v>
      </c>
      <c r="L250" s="234">
        <v>2.6</v>
      </c>
      <c r="M250" s="49" t="s">
        <v>22</v>
      </c>
      <c r="P250" t="s">
        <v>109</v>
      </c>
    </row>
    <row r="251" spans="1:16" ht="15" hidden="1" customHeight="1" x14ac:dyDescent="0.25">
      <c r="A251" s="10">
        <v>5</v>
      </c>
      <c r="B251" s="48">
        <f>B250+7</f>
        <v>44091</v>
      </c>
      <c r="C251" s="17">
        <v>100</v>
      </c>
      <c r="D251" s="17">
        <v>100</v>
      </c>
      <c r="E251" s="16">
        <v>44091</v>
      </c>
      <c r="F251" t="s">
        <v>124</v>
      </c>
      <c r="H251" s="17">
        <f t="shared" si="11"/>
        <v>0</v>
      </c>
      <c r="I251" t="s">
        <v>201</v>
      </c>
      <c r="J251" s="17" t="s">
        <v>216</v>
      </c>
      <c r="K251" s="230">
        <v>44015</v>
      </c>
      <c r="L251" s="234">
        <v>2.6</v>
      </c>
      <c r="M251" s="49" t="s">
        <v>22</v>
      </c>
      <c r="P251" t="s">
        <v>109</v>
      </c>
    </row>
    <row r="252" spans="1:16" ht="15" hidden="1" customHeight="1" x14ac:dyDescent="0.25">
      <c r="A252" s="10">
        <v>1</v>
      </c>
      <c r="B252" s="48">
        <v>44104</v>
      </c>
      <c r="C252" s="17">
        <v>120</v>
      </c>
      <c r="D252" s="17"/>
      <c r="E252" s="16"/>
      <c r="G252" s="228">
        <v>107167</v>
      </c>
      <c r="H252" s="17">
        <f t="shared" si="11"/>
        <v>120</v>
      </c>
      <c r="I252" t="s">
        <v>201</v>
      </c>
      <c r="J252" s="17" t="s">
        <v>329</v>
      </c>
      <c r="K252" s="230">
        <v>44028</v>
      </c>
      <c r="L252" s="234">
        <v>2.6</v>
      </c>
      <c r="M252" s="49" t="s">
        <v>22</v>
      </c>
      <c r="P252" t="s">
        <v>109</v>
      </c>
    </row>
    <row r="253" spans="1:16" ht="15" hidden="1" customHeight="1" x14ac:dyDescent="0.25">
      <c r="A253" s="10">
        <v>2</v>
      </c>
      <c r="B253" s="48">
        <f t="shared" ref="B253:B258" si="12">B252+7</f>
        <v>44111</v>
      </c>
      <c r="C253" s="17">
        <v>120</v>
      </c>
      <c r="D253" s="17"/>
      <c r="E253" s="16"/>
      <c r="H253" s="17">
        <f t="shared" si="11"/>
        <v>240</v>
      </c>
      <c r="I253" t="s">
        <v>201</v>
      </c>
      <c r="J253" s="17" t="s">
        <v>329</v>
      </c>
      <c r="K253" s="230">
        <v>44040</v>
      </c>
      <c r="L253" s="234">
        <v>150.01</v>
      </c>
      <c r="M253" s="49" t="s">
        <v>16</v>
      </c>
      <c r="P253" t="s">
        <v>109</v>
      </c>
    </row>
    <row r="254" spans="1:16" ht="15" hidden="1" customHeight="1" x14ac:dyDescent="0.25">
      <c r="A254" s="10">
        <v>3</v>
      </c>
      <c r="B254" s="48">
        <f t="shared" si="12"/>
        <v>44118</v>
      </c>
      <c r="C254" s="17">
        <v>120</v>
      </c>
      <c r="D254" s="17">
        <v>120</v>
      </c>
      <c r="E254" s="16">
        <v>44123</v>
      </c>
      <c r="F254" t="s">
        <v>117</v>
      </c>
      <c r="H254" s="17">
        <f t="shared" si="11"/>
        <v>240</v>
      </c>
      <c r="I254" t="s">
        <v>201</v>
      </c>
      <c r="J254" s="77" t="s">
        <v>329</v>
      </c>
      <c r="K254" s="230">
        <v>44041</v>
      </c>
      <c r="L254" s="234">
        <v>2.6</v>
      </c>
      <c r="M254" s="49" t="s">
        <v>22</v>
      </c>
      <c r="P254" t="s">
        <v>109</v>
      </c>
    </row>
    <row r="255" spans="1:16" ht="15" hidden="1" customHeight="1" x14ac:dyDescent="0.25">
      <c r="A255" s="10">
        <v>4</v>
      </c>
      <c r="B255" s="48">
        <f t="shared" si="12"/>
        <v>44125</v>
      </c>
      <c r="C255" s="17">
        <v>120</v>
      </c>
      <c r="D255" s="17">
        <v>240</v>
      </c>
      <c r="E255" s="16">
        <v>44126</v>
      </c>
      <c r="F255" t="s">
        <v>117</v>
      </c>
      <c r="H255" s="17">
        <f t="shared" si="11"/>
        <v>120</v>
      </c>
      <c r="I255" t="s">
        <v>201</v>
      </c>
      <c r="J255" s="17" t="s">
        <v>329</v>
      </c>
      <c r="K255" s="230">
        <v>44049</v>
      </c>
      <c r="L255" s="234">
        <v>2.6</v>
      </c>
      <c r="M255" s="49" t="s">
        <v>22</v>
      </c>
      <c r="P255" t="s">
        <v>109</v>
      </c>
    </row>
    <row r="256" spans="1:16" ht="15" hidden="1" customHeight="1" x14ac:dyDescent="0.25">
      <c r="A256" s="10">
        <v>5</v>
      </c>
      <c r="B256" s="48">
        <f t="shared" si="12"/>
        <v>44132</v>
      </c>
      <c r="C256" s="17">
        <v>120</v>
      </c>
      <c r="D256" s="17">
        <v>100</v>
      </c>
      <c r="E256" s="16">
        <v>44143</v>
      </c>
      <c r="F256" t="s">
        <v>117</v>
      </c>
      <c r="H256" s="17">
        <f t="shared" si="11"/>
        <v>140</v>
      </c>
      <c r="I256" t="s">
        <v>201</v>
      </c>
      <c r="J256" s="17" t="s">
        <v>329</v>
      </c>
      <c r="K256" s="230">
        <v>44056</v>
      </c>
      <c r="L256" s="234">
        <v>2.6</v>
      </c>
      <c r="M256" s="49" t="s">
        <v>22</v>
      </c>
      <c r="P256" t="s">
        <v>109</v>
      </c>
    </row>
    <row r="257" spans="1:16" ht="15" hidden="1" customHeight="1" x14ac:dyDescent="0.25">
      <c r="A257" s="10">
        <v>6</v>
      </c>
      <c r="B257" s="48">
        <f t="shared" si="12"/>
        <v>44139</v>
      </c>
      <c r="C257" s="17">
        <v>120</v>
      </c>
      <c r="D257" s="17">
        <v>60</v>
      </c>
      <c r="E257" s="16">
        <v>44144</v>
      </c>
      <c r="F257" t="s">
        <v>117</v>
      </c>
      <c r="H257" s="17">
        <f t="shared" si="11"/>
        <v>200</v>
      </c>
      <c r="I257" t="s">
        <v>201</v>
      </c>
      <c r="J257" s="17" t="s">
        <v>329</v>
      </c>
      <c r="K257" s="230">
        <v>44057</v>
      </c>
      <c r="L257" s="234">
        <v>440</v>
      </c>
      <c r="M257" s="49" t="s">
        <v>45</v>
      </c>
      <c r="P257" t="s">
        <v>109</v>
      </c>
    </row>
    <row r="258" spans="1:16" ht="15" hidden="1" customHeight="1" x14ac:dyDescent="0.25">
      <c r="A258" s="10">
        <v>7</v>
      </c>
      <c r="B258" s="48">
        <f t="shared" si="12"/>
        <v>44146</v>
      </c>
      <c r="C258" s="17">
        <v>120</v>
      </c>
      <c r="D258" s="17">
        <v>65</v>
      </c>
      <c r="E258" s="16">
        <v>44147</v>
      </c>
      <c r="F258" t="s">
        <v>117</v>
      </c>
      <c r="H258" s="17">
        <f t="shared" si="11"/>
        <v>255</v>
      </c>
      <c r="I258" t="s">
        <v>201</v>
      </c>
      <c r="J258" s="17" t="s">
        <v>329</v>
      </c>
      <c r="K258" s="230">
        <v>44071</v>
      </c>
      <c r="L258" s="234">
        <v>150.01</v>
      </c>
      <c r="M258" s="49" t="s">
        <v>16</v>
      </c>
      <c r="P258" t="s">
        <v>218</v>
      </c>
    </row>
    <row r="259" spans="1:16" ht="15" hidden="1" customHeight="1" x14ac:dyDescent="0.25">
      <c r="A259" s="10">
        <v>8</v>
      </c>
      <c r="B259" s="48">
        <f>B258+7</f>
        <v>44153</v>
      </c>
      <c r="C259" s="17">
        <v>120</v>
      </c>
      <c r="D259" s="17">
        <v>40</v>
      </c>
      <c r="E259" s="16">
        <v>44148</v>
      </c>
      <c r="F259" t="s">
        <v>117</v>
      </c>
      <c r="H259" s="17">
        <f t="shared" si="11"/>
        <v>335</v>
      </c>
      <c r="I259" t="s">
        <v>201</v>
      </c>
      <c r="J259" s="17" t="s">
        <v>329</v>
      </c>
      <c r="K259" s="230">
        <v>44074</v>
      </c>
      <c r="L259" s="234">
        <v>173.38</v>
      </c>
      <c r="M259" s="49" t="s">
        <v>20</v>
      </c>
      <c r="P259" t="s">
        <v>218</v>
      </c>
    </row>
    <row r="260" spans="1:16" ht="15" hidden="1" customHeight="1" x14ac:dyDescent="0.25">
      <c r="A260" s="10">
        <v>9</v>
      </c>
      <c r="B260" s="48">
        <f>B259+7</f>
        <v>44160</v>
      </c>
      <c r="C260" s="17">
        <v>120</v>
      </c>
      <c r="D260" s="17">
        <v>74</v>
      </c>
      <c r="E260" s="16">
        <v>44152</v>
      </c>
      <c r="F260" t="s">
        <v>117</v>
      </c>
      <c r="H260" s="17">
        <f t="shared" si="11"/>
        <v>381</v>
      </c>
      <c r="I260" t="s">
        <v>201</v>
      </c>
      <c r="J260" s="17" t="s">
        <v>329</v>
      </c>
      <c r="K260" s="230">
        <v>44099</v>
      </c>
      <c r="L260" s="234">
        <v>130</v>
      </c>
      <c r="M260" s="49" t="s">
        <v>17</v>
      </c>
      <c r="P260" t="s">
        <v>218</v>
      </c>
    </row>
    <row r="261" spans="1:16" ht="15" hidden="1" customHeight="1" x14ac:dyDescent="0.25">
      <c r="A261" s="10">
        <v>10</v>
      </c>
      <c r="B261" s="48">
        <f>B260+7</f>
        <v>44167</v>
      </c>
      <c r="C261" s="17">
        <v>85</v>
      </c>
      <c r="D261" s="17">
        <v>466</v>
      </c>
      <c r="E261" s="16">
        <v>44189</v>
      </c>
      <c r="F261" t="s">
        <v>124</v>
      </c>
      <c r="H261" s="17">
        <f t="shared" si="11"/>
        <v>0</v>
      </c>
      <c r="I261" t="s">
        <v>201</v>
      </c>
      <c r="J261" s="17" t="s">
        <v>329</v>
      </c>
      <c r="K261" s="230">
        <v>44104</v>
      </c>
      <c r="L261" s="234">
        <v>150</v>
      </c>
      <c r="M261" s="49" t="s">
        <v>26</v>
      </c>
      <c r="P261" t="s">
        <v>218</v>
      </c>
    </row>
    <row r="262" spans="1:16" ht="15" hidden="1" customHeight="1" x14ac:dyDescent="0.25">
      <c r="A262" s="10">
        <v>1</v>
      </c>
      <c r="B262" s="48">
        <v>44165</v>
      </c>
      <c r="C262" s="17">
        <v>400</v>
      </c>
      <c r="D262" s="17">
        <v>400</v>
      </c>
      <c r="E262" s="16">
        <v>44165</v>
      </c>
      <c r="F262" t="s">
        <v>181</v>
      </c>
      <c r="H262" s="17">
        <f t="shared" si="11"/>
        <v>0</v>
      </c>
      <c r="I262" t="s">
        <v>201</v>
      </c>
      <c r="J262" s="17" t="s">
        <v>461</v>
      </c>
      <c r="K262" s="230">
        <v>44106</v>
      </c>
      <c r="L262" s="234">
        <v>150.01</v>
      </c>
      <c r="M262" s="49" t="s">
        <v>16</v>
      </c>
      <c r="P262" t="s">
        <v>218</v>
      </c>
    </row>
    <row r="263" spans="1:16" ht="15" hidden="1" customHeight="1" x14ac:dyDescent="0.25">
      <c r="A263" s="10">
        <v>1</v>
      </c>
      <c r="B263" s="48">
        <v>44165</v>
      </c>
      <c r="C263" s="17">
        <v>200</v>
      </c>
      <c r="D263" s="17">
        <v>200</v>
      </c>
      <c r="E263" s="16">
        <v>44165</v>
      </c>
      <c r="F263" t="s">
        <v>117</v>
      </c>
      <c r="H263" s="17">
        <f t="shared" si="11"/>
        <v>0</v>
      </c>
      <c r="I263" t="s">
        <v>201</v>
      </c>
      <c r="J263" s="17" t="s">
        <v>461</v>
      </c>
      <c r="K263" s="230">
        <v>44135</v>
      </c>
      <c r="L263" s="234">
        <v>150.01</v>
      </c>
      <c r="M263" s="49" t="s">
        <v>16</v>
      </c>
      <c r="P263" t="s">
        <v>218</v>
      </c>
    </row>
    <row r="264" spans="1:16" ht="15" hidden="1" customHeight="1" x14ac:dyDescent="0.25">
      <c r="A264" s="10">
        <v>1</v>
      </c>
      <c r="B264" s="48">
        <v>44177</v>
      </c>
      <c r="C264" s="17">
        <f>252.4</f>
        <v>252.4</v>
      </c>
      <c r="D264" s="17">
        <v>252.4</v>
      </c>
      <c r="E264" s="16">
        <v>44177</v>
      </c>
      <c r="F264" t="s">
        <v>181</v>
      </c>
      <c r="H264" s="17">
        <f t="shared" si="11"/>
        <v>0</v>
      </c>
      <c r="I264" t="s">
        <v>201</v>
      </c>
      <c r="J264" s="17" t="s">
        <v>418</v>
      </c>
      <c r="K264" s="230">
        <v>44168</v>
      </c>
      <c r="L264" s="234">
        <v>150.01</v>
      </c>
      <c r="M264" s="49" t="s">
        <v>16</v>
      </c>
      <c r="P264" t="s">
        <v>218</v>
      </c>
    </row>
    <row r="265" spans="1:16" ht="15" hidden="1" customHeight="1" x14ac:dyDescent="0.25">
      <c r="A265" s="10">
        <v>1</v>
      </c>
      <c r="B265" s="48">
        <v>44177</v>
      </c>
      <c r="C265" s="17">
        <v>150</v>
      </c>
      <c r="D265" s="17"/>
      <c r="E265" s="16"/>
      <c r="H265" s="17">
        <f t="shared" si="11"/>
        <v>150</v>
      </c>
      <c r="I265" t="s">
        <v>201</v>
      </c>
      <c r="J265" s="17" t="s">
        <v>418</v>
      </c>
      <c r="K265" s="230">
        <v>44201</v>
      </c>
      <c r="L265" s="234">
        <v>150.01</v>
      </c>
      <c r="M265" s="49" t="s">
        <v>16</v>
      </c>
      <c r="P265" t="s">
        <v>218</v>
      </c>
    </row>
    <row r="266" spans="1:16" ht="15" hidden="1" customHeight="1" x14ac:dyDescent="0.25">
      <c r="A266" s="10">
        <v>2</v>
      </c>
      <c r="B266" s="48">
        <f t="shared" ref="B266:B271" si="13">B265+7</f>
        <v>44184</v>
      </c>
      <c r="C266" s="17">
        <v>150</v>
      </c>
      <c r="D266" s="17">
        <v>260</v>
      </c>
      <c r="E266" s="16">
        <v>44188</v>
      </c>
      <c r="F266" t="s">
        <v>117</v>
      </c>
      <c r="H266" s="17">
        <f t="shared" si="11"/>
        <v>40</v>
      </c>
      <c r="I266" t="s">
        <v>201</v>
      </c>
      <c r="J266" s="17" t="s">
        <v>418</v>
      </c>
      <c r="K266" s="230">
        <v>44191</v>
      </c>
      <c r="L266" s="234">
        <v>150</v>
      </c>
      <c r="M266" s="49" t="s">
        <v>26</v>
      </c>
      <c r="P266" t="s">
        <v>218</v>
      </c>
    </row>
    <row r="267" spans="1:16" ht="15" hidden="1" customHeight="1" x14ac:dyDescent="0.25">
      <c r="A267" s="10">
        <v>3</v>
      </c>
      <c r="B267" s="48">
        <f t="shared" si="13"/>
        <v>44191</v>
      </c>
      <c r="C267" s="17">
        <v>150</v>
      </c>
      <c r="D267" s="17"/>
      <c r="H267" s="17">
        <f t="shared" si="11"/>
        <v>190</v>
      </c>
      <c r="I267" t="s">
        <v>201</v>
      </c>
      <c r="J267" s="17" t="s">
        <v>418</v>
      </c>
      <c r="K267" s="230">
        <v>44191</v>
      </c>
      <c r="L267" s="234">
        <v>50</v>
      </c>
      <c r="M267" s="49" t="s">
        <v>17</v>
      </c>
      <c r="N267" t="s">
        <v>479</v>
      </c>
      <c r="P267" t="s">
        <v>218</v>
      </c>
    </row>
    <row r="268" spans="1:16" ht="15" hidden="1" customHeight="1" x14ac:dyDescent="0.25">
      <c r="A268" s="10">
        <v>4</v>
      </c>
      <c r="B268" s="48">
        <f t="shared" si="13"/>
        <v>44198</v>
      </c>
      <c r="C268" s="17">
        <v>150</v>
      </c>
      <c r="D268" s="17"/>
      <c r="H268" s="17">
        <f t="shared" si="11"/>
        <v>340</v>
      </c>
      <c r="I268" t="s">
        <v>201</v>
      </c>
      <c r="J268" s="17" t="s">
        <v>418</v>
      </c>
      <c r="K268" s="230">
        <v>44229</v>
      </c>
      <c r="L268" s="234">
        <v>150.01</v>
      </c>
      <c r="M268" s="49" t="s">
        <v>16</v>
      </c>
      <c r="P268" t="s">
        <v>218</v>
      </c>
    </row>
    <row r="269" spans="1:16" ht="15" hidden="1" customHeight="1" x14ac:dyDescent="0.25">
      <c r="A269" s="10">
        <v>5</v>
      </c>
      <c r="B269" s="48">
        <f t="shared" si="13"/>
        <v>44205</v>
      </c>
      <c r="C269" s="17">
        <v>150</v>
      </c>
      <c r="D269" s="17"/>
      <c r="H269" s="17">
        <f t="shared" si="11"/>
        <v>490</v>
      </c>
      <c r="I269" t="s">
        <v>201</v>
      </c>
      <c r="J269" s="17" t="s">
        <v>418</v>
      </c>
      <c r="K269" s="230">
        <v>44246</v>
      </c>
      <c r="L269" s="234">
        <v>225.5</v>
      </c>
      <c r="M269" s="49" t="s">
        <v>17</v>
      </c>
      <c r="P269" t="s">
        <v>218</v>
      </c>
    </row>
    <row r="270" spans="1:16" ht="15" hidden="1" customHeight="1" x14ac:dyDescent="0.25">
      <c r="A270" s="10">
        <v>6</v>
      </c>
      <c r="B270" s="48">
        <f t="shared" si="13"/>
        <v>44212</v>
      </c>
      <c r="C270" s="17">
        <v>150</v>
      </c>
      <c r="D270" s="17">
        <v>450</v>
      </c>
      <c r="E270" s="16">
        <v>44213</v>
      </c>
      <c r="F270" t="s">
        <v>117</v>
      </c>
      <c r="H270" s="17">
        <f t="shared" si="11"/>
        <v>190</v>
      </c>
      <c r="I270" t="s">
        <v>201</v>
      </c>
      <c r="J270" s="77" t="s">
        <v>418</v>
      </c>
      <c r="K270" s="230">
        <v>44259</v>
      </c>
      <c r="L270" s="234">
        <v>45.69</v>
      </c>
      <c r="M270" s="49" t="s">
        <v>45</v>
      </c>
      <c r="N270" t="s">
        <v>206</v>
      </c>
      <c r="P270" t="s">
        <v>218</v>
      </c>
    </row>
    <row r="271" spans="1:16" ht="15" hidden="1" customHeight="1" x14ac:dyDescent="0.25">
      <c r="A271" s="10">
        <v>7</v>
      </c>
      <c r="B271" s="48">
        <f t="shared" si="13"/>
        <v>44219</v>
      </c>
      <c r="C271" s="17">
        <v>150</v>
      </c>
      <c r="D271" s="17"/>
      <c r="H271" s="17">
        <f t="shared" si="11"/>
        <v>340</v>
      </c>
      <c r="I271" t="s">
        <v>201</v>
      </c>
      <c r="J271" s="17" t="s">
        <v>418</v>
      </c>
      <c r="K271" s="230">
        <v>44260</v>
      </c>
      <c r="L271" s="234">
        <v>150.01</v>
      </c>
      <c r="M271" s="49" t="s">
        <v>16</v>
      </c>
      <c r="P271" t="s">
        <v>218</v>
      </c>
    </row>
    <row r="272" spans="1:16" ht="15" hidden="1" customHeight="1" x14ac:dyDescent="0.25">
      <c r="A272" s="10">
        <v>8</v>
      </c>
      <c r="B272" s="48">
        <f>B271+7</f>
        <v>44226</v>
      </c>
      <c r="C272" s="17">
        <v>150</v>
      </c>
      <c r="D272" s="17">
        <v>252.4</v>
      </c>
      <c r="E272" s="16">
        <v>44240</v>
      </c>
      <c r="F272" t="s">
        <v>157</v>
      </c>
      <c r="H272" s="17">
        <f t="shared" si="11"/>
        <v>237.6</v>
      </c>
      <c r="I272" t="s">
        <v>201</v>
      </c>
      <c r="J272" s="17" t="s">
        <v>418</v>
      </c>
      <c r="K272" s="230">
        <v>44264</v>
      </c>
      <c r="L272" s="234">
        <v>173.38</v>
      </c>
      <c r="M272" s="49" t="s">
        <v>20</v>
      </c>
      <c r="P272" t="s">
        <v>218</v>
      </c>
    </row>
    <row r="273" spans="1:16" ht="15" hidden="1" customHeight="1" x14ac:dyDescent="0.25">
      <c r="A273" s="10">
        <v>9</v>
      </c>
      <c r="B273" s="48">
        <f>B272+7</f>
        <v>44233</v>
      </c>
      <c r="C273" s="17">
        <v>150</v>
      </c>
      <c r="D273" s="17">
        <v>387.6</v>
      </c>
      <c r="E273" s="16">
        <v>44245</v>
      </c>
      <c r="F273" t="s">
        <v>124</v>
      </c>
      <c r="H273" s="17">
        <f t="shared" si="11"/>
        <v>-2.8421709430404007E-14</v>
      </c>
      <c r="I273" t="s">
        <v>201</v>
      </c>
      <c r="J273" s="17" t="s">
        <v>418</v>
      </c>
      <c r="K273" s="230">
        <v>44288</v>
      </c>
      <c r="L273" s="234">
        <v>150.01</v>
      </c>
      <c r="M273" s="49" t="s">
        <v>16</v>
      </c>
      <c r="P273" t="s">
        <v>218</v>
      </c>
    </row>
    <row r="274" spans="1:16" ht="15" hidden="1" customHeight="1" x14ac:dyDescent="0.25">
      <c r="A274" s="10">
        <v>1</v>
      </c>
      <c r="B274" s="48">
        <v>44244</v>
      </c>
      <c r="C274" s="17">
        <v>300</v>
      </c>
      <c r="D274" s="17">
        <v>300</v>
      </c>
      <c r="E274" s="16">
        <v>44244</v>
      </c>
      <c r="F274" t="s">
        <v>181</v>
      </c>
      <c r="H274" s="17">
        <f t="shared" si="11"/>
        <v>0</v>
      </c>
      <c r="I274" t="s">
        <v>201</v>
      </c>
      <c r="J274" s="17" t="s">
        <v>520</v>
      </c>
      <c r="K274" s="230">
        <v>44321</v>
      </c>
      <c r="L274" s="234">
        <v>132</v>
      </c>
      <c r="M274" s="49" t="s">
        <v>17</v>
      </c>
      <c r="P274" t="s">
        <v>218</v>
      </c>
    </row>
    <row r="275" spans="1:16" ht="15" hidden="1" customHeight="1" x14ac:dyDescent="0.25">
      <c r="A275" s="10">
        <v>1</v>
      </c>
      <c r="B275" s="48">
        <v>44244</v>
      </c>
      <c r="C275" s="17">
        <v>150</v>
      </c>
      <c r="D275" s="17">
        <v>150</v>
      </c>
      <c r="E275" s="16">
        <v>44244</v>
      </c>
      <c r="F275" t="s">
        <v>117</v>
      </c>
      <c r="H275" s="17">
        <f t="shared" si="11"/>
        <v>0</v>
      </c>
      <c r="I275" t="s">
        <v>201</v>
      </c>
      <c r="J275" s="17" t="s">
        <v>520</v>
      </c>
      <c r="K275" s="230">
        <v>44336</v>
      </c>
      <c r="L275" s="234">
        <v>900</v>
      </c>
      <c r="M275" s="49" t="s">
        <v>17</v>
      </c>
      <c r="N275" t="s">
        <v>198</v>
      </c>
      <c r="P275" t="s">
        <v>218</v>
      </c>
    </row>
    <row r="276" spans="1:16" ht="15" hidden="1" customHeight="1" x14ac:dyDescent="0.25">
      <c r="A276" s="10">
        <v>2</v>
      </c>
      <c r="B276" s="48">
        <f>B275+7</f>
        <v>44251</v>
      </c>
      <c r="C276" s="17">
        <v>150</v>
      </c>
      <c r="D276" s="17">
        <v>150</v>
      </c>
      <c r="E276" s="16">
        <v>44251</v>
      </c>
      <c r="F276" t="s">
        <v>117</v>
      </c>
      <c r="H276" s="17">
        <f t="shared" si="11"/>
        <v>0</v>
      </c>
      <c r="I276" t="s">
        <v>201</v>
      </c>
      <c r="J276" s="77" t="s">
        <v>520</v>
      </c>
      <c r="K276" s="230">
        <v>44336</v>
      </c>
      <c r="L276" s="234">
        <v>2.5</v>
      </c>
      <c r="M276" s="49" t="s">
        <v>22</v>
      </c>
      <c r="P276" t="s">
        <v>218</v>
      </c>
    </row>
    <row r="277" spans="1:16" ht="15" hidden="1" customHeight="1" x14ac:dyDescent="0.25">
      <c r="A277" s="10">
        <v>3</v>
      </c>
      <c r="B277" s="48">
        <f>B276+7</f>
        <v>44258</v>
      </c>
      <c r="C277" s="17">
        <v>150</v>
      </c>
      <c r="D277" s="17">
        <v>150</v>
      </c>
      <c r="E277" s="16">
        <v>44258</v>
      </c>
      <c r="F277" t="s">
        <v>117</v>
      </c>
      <c r="H277" s="17">
        <f t="shared" si="11"/>
        <v>0</v>
      </c>
      <c r="I277" t="s">
        <v>201</v>
      </c>
      <c r="J277" s="17" t="s">
        <v>520</v>
      </c>
      <c r="K277" s="230">
        <v>44341</v>
      </c>
      <c r="L277" s="234">
        <v>77.45</v>
      </c>
      <c r="M277" s="49" t="s">
        <v>32</v>
      </c>
      <c r="P277" t="s">
        <v>14</v>
      </c>
    </row>
    <row r="278" spans="1:16" ht="15" hidden="1" customHeight="1" x14ac:dyDescent="0.25">
      <c r="A278" s="10">
        <v>4</v>
      </c>
      <c r="B278" s="48">
        <f>B277+7</f>
        <v>44265</v>
      </c>
      <c r="C278" s="17">
        <v>150</v>
      </c>
      <c r="D278" s="17">
        <v>150</v>
      </c>
      <c r="E278" s="16">
        <v>44266</v>
      </c>
      <c r="F278" t="s">
        <v>124</v>
      </c>
      <c r="H278" s="17">
        <f t="shared" si="11"/>
        <v>0</v>
      </c>
      <c r="I278" t="s">
        <v>201</v>
      </c>
      <c r="J278" s="17" t="s">
        <v>520</v>
      </c>
      <c r="K278" s="230">
        <v>44341</v>
      </c>
      <c r="L278" s="234">
        <v>285</v>
      </c>
      <c r="M278" s="49" t="s">
        <v>17</v>
      </c>
      <c r="N278" t="s">
        <v>597</v>
      </c>
      <c r="P278" t="s">
        <v>14</v>
      </c>
    </row>
    <row r="279" spans="1:16" ht="15" hidden="1" customHeight="1" x14ac:dyDescent="0.25">
      <c r="A279" s="10">
        <v>1</v>
      </c>
      <c r="B279" s="48">
        <v>44278</v>
      </c>
      <c r="C279" s="17">
        <v>220</v>
      </c>
      <c r="D279" s="17">
        <v>220</v>
      </c>
      <c r="E279" s="16">
        <v>44277</v>
      </c>
      <c r="F279" t="s">
        <v>124</v>
      </c>
      <c r="H279" s="17">
        <f t="shared" si="11"/>
        <v>0</v>
      </c>
      <c r="I279" t="s">
        <v>201</v>
      </c>
      <c r="J279" s="17" t="s">
        <v>510</v>
      </c>
      <c r="K279" s="230">
        <v>44344</v>
      </c>
      <c r="L279" s="234">
        <v>55</v>
      </c>
      <c r="M279" s="49" t="s">
        <v>53</v>
      </c>
      <c r="N279" t="s">
        <v>163</v>
      </c>
      <c r="P279" t="s">
        <v>14</v>
      </c>
    </row>
    <row r="280" spans="1:16" ht="15" hidden="1" customHeight="1" x14ac:dyDescent="0.25">
      <c r="A280" s="10">
        <v>1</v>
      </c>
      <c r="B280" s="48">
        <v>44289</v>
      </c>
      <c r="C280" s="17">
        <v>220</v>
      </c>
      <c r="D280" s="17">
        <v>220</v>
      </c>
      <c r="E280" s="16">
        <v>44289</v>
      </c>
      <c r="F280" t="s">
        <v>124</v>
      </c>
      <c r="H280" s="17">
        <f t="shared" si="11"/>
        <v>0</v>
      </c>
      <c r="I280" t="s">
        <v>201</v>
      </c>
      <c r="J280" s="77" t="s">
        <v>546</v>
      </c>
      <c r="K280" s="230">
        <v>44350</v>
      </c>
      <c r="L280" s="234">
        <v>12.43</v>
      </c>
      <c r="M280" s="49" t="s">
        <v>32</v>
      </c>
      <c r="P280" t="s">
        <v>606</v>
      </c>
    </row>
    <row r="281" spans="1:16" ht="15" hidden="1" customHeight="1" x14ac:dyDescent="0.25">
      <c r="A281" s="10">
        <v>1</v>
      </c>
      <c r="B281" s="48">
        <v>44306</v>
      </c>
      <c r="C281" s="17">
        <v>300</v>
      </c>
      <c r="D281" s="17">
        <v>300</v>
      </c>
      <c r="E281" s="16">
        <v>44306</v>
      </c>
      <c r="F281" t="s">
        <v>181</v>
      </c>
      <c r="H281" s="17">
        <f t="shared" si="11"/>
        <v>0</v>
      </c>
      <c r="I281" t="s">
        <v>201</v>
      </c>
      <c r="J281" s="17" t="s">
        <v>558</v>
      </c>
      <c r="K281" s="230">
        <v>44358</v>
      </c>
      <c r="L281" s="234">
        <v>173.38</v>
      </c>
      <c r="M281" s="49" t="s">
        <v>20</v>
      </c>
      <c r="P281" t="s">
        <v>606</v>
      </c>
    </row>
    <row r="282" spans="1:16" ht="15" hidden="1" customHeight="1" x14ac:dyDescent="0.25">
      <c r="A282" s="10">
        <v>1</v>
      </c>
      <c r="B282" s="48">
        <v>44306</v>
      </c>
      <c r="C282" s="17">
        <v>150</v>
      </c>
      <c r="D282" s="17"/>
      <c r="H282" s="17">
        <f t="shared" si="11"/>
        <v>150</v>
      </c>
      <c r="I282" t="s">
        <v>201</v>
      </c>
      <c r="J282" s="17" t="s">
        <v>558</v>
      </c>
      <c r="K282" s="230">
        <v>44355</v>
      </c>
      <c r="L282" s="234">
        <v>5.5</v>
      </c>
      <c r="M282" s="49" t="s">
        <v>22</v>
      </c>
      <c r="P282" t="s">
        <v>606</v>
      </c>
    </row>
    <row r="283" spans="1:16" ht="15" hidden="1" customHeight="1" x14ac:dyDescent="0.25">
      <c r="A283" s="10">
        <v>2</v>
      </c>
      <c r="B283" s="48">
        <f>B282+7</f>
        <v>44313</v>
      </c>
      <c r="C283" s="17">
        <v>150</v>
      </c>
      <c r="D283" s="17"/>
      <c r="H283" s="17">
        <f t="shared" si="11"/>
        <v>300</v>
      </c>
      <c r="I283" t="s">
        <v>201</v>
      </c>
      <c r="J283" s="17" t="s">
        <v>558</v>
      </c>
      <c r="K283" s="230">
        <v>44362</v>
      </c>
      <c r="L283" s="234">
        <v>150.01</v>
      </c>
      <c r="M283" s="49" t="s">
        <v>16</v>
      </c>
      <c r="P283" t="s">
        <v>606</v>
      </c>
    </row>
    <row r="284" spans="1:16" ht="15" hidden="1" customHeight="1" x14ac:dyDescent="0.25">
      <c r="A284" s="10">
        <v>3</v>
      </c>
      <c r="B284" s="48">
        <f>B283+7</f>
        <v>44320</v>
      </c>
      <c r="C284" s="17">
        <v>150</v>
      </c>
      <c r="D284" s="17"/>
      <c r="H284" s="17">
        <f t="shared" si="11"/>
        <v>450</v>
      </c>
      <c r="I284" t="s">
        <v>201</v>
      </c>
      <c r="J284" s="17" t="s">
        <v>558</v>
      </c>
      <c r="K284" s="230">
        <v>44377</v>
      </c>
      <c r="L284" s="234">
        <v>424.38</v>
      </c>
      <c r="M284" s="49" t="s">
        <v>17</v>
      </c>
      <c r="P284" t="s">
        <v>606</v>
      </c>
    </row>
    <row r="285" spans="1:16" ht="15" hidden="1" customHeight="1" x14ac:dyDescent="0.25">
      <c r="A285" s="10">
        <v>4</v>
      </c>
      <c r="B285" s="48">
        <f>B284+7</f>
        <v>44327</v>
      </c>
      <c r="C285" s="17">
        <v>150</v>
      </c>
      <c r="D285" s="17"/>
      <c r="E285" s="16"/>
      <c r="H285" s="17">
        <f t="shared" si="11"/>
        <v>600</v>
      </c>
      <c r="I285" t="s">
        <v>201</v>
      </c>
      <c r="J285" s="17" t="s">
        <v>558</v>
      </c>
      <c r="K285" s="230">
        <v>44426</v>
      </c>
      <c r="L285" s="234">
        <v>400</v>
      </c>
      <c r="M285" s="49" t="s">
        <v>45</v>
      </c>
      <c r="P285" t="s">
        <v>606</v>
      </c>
    </row>
    <row r="286" spans="1:16" ht="15" hidden="1" customHeight="1" x14ac:dyDescent="0.25">
      <c r="A286" s="10">
        <v>5</v>
      </c>
      <c r="B286" s="48">
        <f>B285+7</f>
        <v>44334</v>
      </c>
      <c r="C286" s="17">
        <v>150</v>
      </c>
      <c r="D286" s="17">
        <v>300</v>
      </c>
      <c r="E286" s="16">
        <v>44344</v>
      </c>
      <c r="F286" t="s">
        <v>157</v>
      </c>
      <c r="H286" s="17">
        <f t="shared" si="11"/>
        <v>450</v>
      </c>
      <c r="I286" t="s">
        <v>201</v>
      </c>
      <c r="J286" s="17" t="s">
        <v>558</v>
      </c>
      <c r="K286" s="230">
        <v>44426</v>
      </c>
      <c r="L286" s="234"/>
      <c r="M286" s="49" t="s">
        <v>17</v>
      </c>
      <c r="P286" t="s">
        <v>606</v>
      </c>
    </row>
    <row r="287" spans="1:16" ht="15" hidden="1" customHeight="1" x14ac:dyDescent="0.25">
      <c r="A287" s="10">
        <v>6</v>
      </c>
      <c r="B287" s="48">
        <f>B286+7</f>
        <v>44341</v>
      </c>
      <c r="C287" s="17">
        <v>64</v>
      </c>
      <c r="D287" s="17">
        <v>214</v>
      </c>
      <c r="E287" s="16">
        <v>44344</v>
      </c>
      <c r="F287" t="s">
        <v>124</v>
      </c>
      <c r="H287" s="17">
        <f t="shared" si="11"/>
        <v>300</v>
      </c>
      <c r="I287" t="s">
        <v>201</v>
      </c>
      <c r="J287" s="17" t="s">
        <v>558</v>
      </c>
      <c r="K287" s="230">
        <v>44451</v>
      </c>
      <c r="L287" s="234">
        <v>70</v>
      </c>
      <c r="M287" s="49" t="s">
        <v>53</v>
      </c>
      <c r="P287" t="s">
        <v>14</v>
      </c>
    </row>
    <row r="288" spans="1:16" ht="15" hidden="1" customHeight="1" x14ac:dyDescent="0.25">
      <c r="A288" s="10">
        <v>1</v>
      </c>
      <c r="B288" s="48">
        <v>44344</v>
      </c>
      <c r="C288" s="17">
        <v>300</v>
      </c>
      <c r="D288" s="17">
        <v>300</v>
      </c>
      <c r="E288" s="16">
        <v>44344</v>
      </c>
      <c r="F288" t="s">
        <v>181</v>
      </c>
      <c r="H288" s="17">
        <f t="shared" si="11"/>
        <v>0</v>
      </c>
      <c r="I288" t="s">
        <v>201</v>
      </c>
      <c r="J288" s="77" t="s">
        <v>600</v>
      </c>
      <c r="K288" s="230">
        <v>44453</v>
      </c>
      <c r="L288" s="234">
        <v>475</v>
      </c>
      <c r="M288" s="49" t="s">
        <v>17</v>
      </c>
      <c r="N288" t="s">
        <v>659</v>
      </c>
      <c r="P288" t="s">
        <v>14</v>
      </c>
    </row>
    <row r="289" spans="1:16" ht="15" hidden="1" customHeight="1" x14ac:dyDescent="0.25">
      <c r="A289" s="10">
        <v>1</v>
      </c>
      <c r="B289" s="48">
        <v>44344</v>
      </c>
      <c r="C289" s="17">
        <v>180</v>
      </c>
      <c r="D289" s="17">
        <v>180</v>
      </c>
      <c r="E289" s="16">
        <v>44344</v>
      </c>
      <c r="F289" t="s">
        <v>117</v>
      </c>
      <c r="H289" s="17">
        <f t="shared" si="11"/>
        <v>0</v>
      </c>
      <c r="I289" t="s">
        <v>201</v>
      </c>
      <c r="J289" s="17" t="s">
        <v>600</v>
      </c>
      <c r="K289" s="230">
        <v>44456</v>
      </c>
      <c r="L289" s="234">
        <v>1600</v>
      </c>
      <c r="M289" s="49" t="s">
        <v>17</v>
      </c>
      <c r="N289" t="s">
        <v>703</v>
      </c>
      <c r="P289" t="s">
        <v>14</v>
      </c>
    </row>
    <row r="290" spans="1:16" ht="15" hidden="1" customHeight="1" x14ac:dyDescent="0.25">
      <c r="A290" s="10">
        <v>2</v>
      </c>
      <c r="B290" s="48">
        <f t="shared" ref="B290:B298" si="14">B289+7</f>
        <v>44351</v>
      </c>
      <c r="C290" s="17">
        <v>180</v>
      </c>
      <c r="D290" s="17">
        <v>180</v>
      </c>
      <c r="E290" s="16">
        <v>44357</v>
      </c>
      <c r="F290" t="s">
        <v>117</v>
      </c>
      <c r="H290" s="17">
        <f t="shared" si="11"/>
        <v>0</v>
      </c>
      <c r="I290" t="s">
        <v>201</v>
      </c>
      <c r="J290" s="17" t="s">
        <v>600</v>
      </c>
      <c r="K290" s="230">
        <v>44459</v>
      </c>
      <c r="L290" s="234">
        <v>200</v>
      </c>
      <c r="M290" s="49" t="s">
        <v>17</v>
      </c>
      <c r="N290" t="s">
        <v>703</v>
      </c>
      <c r="P290" t="s">
        <v>14</v>
      </c>
    </row>
    <row r="291" spans="1:16" ht="15" hidden="1" customHeight="1" x14ac:dyDescent="0.25">
      <c r="A291" s="10">
        <v>3</v>
      </c>
      <c r="B291" s="48">
        <f t="shared" si="14"/>
        <v>44358</v>
      </c>
      <c r="C291" s="17">
        <v>180</v>
      </c>
      <c r="D291" s="17">
        <v>180</v>
      </c>
      <c r="E291" s="16">
        <v>44364</v>
      </c>
      <c r="F291" t="s">
        <v>117</v>
      </c>
      <c r="H291" s="17">
        <f t="shared" si="11"/>
        <v>0</v>
      </c>
      <c r="I291" t="s">
        <v>201</v>
      </c>
      <c r="J291" s="17" t="s">
        <v>600</v>
      </c>
      <c r="K291" s="230">
        <v>44476</v>
      </c>
      <c r="L291" s="234">
        <v>170</v>
      </c>
      <c r="M291" s="49" t="s">
        <v>17</v>
      </c>
      <c r="N291" t="s">
        <v>707</v>
      </c>
      <c r="P291" t="s">
        <v>14</v>
      </c>
    </row>
    <row r="292" spans="1:16" ht="15" hidden="1" customHeight="1" x14ac:dyDescent="0.25">
      <c r="A292" s="10">
        <v>4</v>
      </c>
      <c r="B292" s="48">
        <f t="shared" si="14"/>
        <v>44365</v>
      </c>
      <c r="C292" s="17">
        <v>180</v>
      </c>
      <c r="D292" s="17">
        <v>180</v>
      </c>
      <c r="E292" s="16">
        <v>44365</v>
      </c>
      <c r="F292" t="s">
        <v>58</v>
      </c>
      <c r="H292" s="17">
        <f t="shared" si="11"/>
        <v>0</v>
      </c>
      <c r="I292" t="s">
        <v>201</v>
      </c>
      <c r="J292" s="17" t="s">
        <v>600</v>
      </c>
      <c r="K292" s="230">
        <v>44496</v>
      </c>
      <c r="L292" s="234">
        <v>462</v>
      </c>
      <c r="M292" s="49" t="s">
        <v>17</v>
      </c>
      <c r="N292" t="s">
        <v>714</v>
      </c>
      <c r="P292" t="s">
        <v>14</v>
      </c>
    </row>
    <row r="293" spans="1:16" ht="15" hidden="1" customHeight="1" x14ac:dyDescent="0.25">
      <c r="A293" s="10">
        <v>5</v>
      </c>
      <c r="B293" s="48">
        <f t="shared" si="14"/>
        <v>44372</v>
      </c>
      <c r="C293" s="17">
        <v>180</v>
      </c>
      <c r="D293" s="17">
        <v>180</v>
      </c>
      <c r="E293" s="16">
        <v>44792</v>
      </c>
      <c r="F293" t="s">
        <v>58</v>
      </c>
      <c r="H293" s="17">
        <f t="shared" si="11"/>
        <v>0</v>
      </c>
      <c r="I293" t="s">
        <v>201</v>
      </c>
      <c r="J293" s="17" t="s">
        <v>600</v>
      </c>
      <c r="K293" s="230">
        <v>44551</v>
      </c>
      <c r="L293" s="234">
        <v>60</v>
      </c>
      <c r="M293" s="49" t="s">
        <v>16</v>
      </c>
      <c r="P293" t="s">
        <v>465</v>
      </c>
    </row>
    <row r="294" spans="1:16" ht="15" hidden="1" customHeight="1" x14ac:dyDescent="0.25">
      <c r="A294" s="10">
        <v>6</v>
      </c>
      <c r="B294" s="48">
        <f t="shared" si="14"/>
        <v>44379</v>
      </c>
      <c r="C294" s="17">
        <v>180</v>
      </c>
      <c r="D294" s="17">
        <v>180</v>
      </c>
      <c r="E294" s="16">
        <v>44378</v>
      </c>
      <c r="F294" t="s">
        <v>58</v>
      </c>
      <c r="H294" s="17">
        <f t="shared" si="11"/>
        <v>0</v>
      </c>
      <c r="I294" t="s">
        <v>201</v>
      </c>
      <c r="J294" s="17" t="s">
        <v>600</v>
      </c>
      <c r="K294" s="230">
        <v>44573</v>
      </c>
      <c r="L294" s="234">
        <v>177.46</v>
      </c>
      <c r="M294" s="49" t="s">
        <v>20</v>
      </c>
      <c r="P294" t="s">
        <v>772</v>
      </c>
    </row>
    <row r="295" spans="1:16" ht="15" hidden="1" customHeight="1" x14ac:dyDescent="0.25">
      <c r="A295" s="10">
        <v>7</v>
      </c>
      <c r="B295" s="48">
        <f t="shared" si="14"/>
        <v>44386</v>
      </c>
      <c r="C295" s="17">
        <v>180</v>
      </c>
      <c r="D295" s="17">
        <v>180</v>
      </c>
      <c r="E295" s="16">
        <v>44392</v>
      </c>
      <c r="F295" t="s">
        <v>58</v>
      </c>
      <c r="H295" s="17">
        <f t="shared" si="11"/>
        <v>0</v>
      </c>
      <c r="I295" t="s">
        <v>201</v>
      </c>
      <c r="J295" s="17" t="s">
        <v>600</v>
      </c>
      <c r="K295" s="230">
        <v>44568</v>
      </c>
      <c r="L295" s="234">
        <v>0.99</v>
      </c>
      <c r="M295" s="49" t="s">
        <v>22</v>
      </c>
      <c r="P295" t="s">
        <v>785</v>
      </c>
    </row>
    <row r="296" spans="1:16" ht="15" hidden="1" customHeight="1" x14ac:dyDescent="0.25">
      <c r="A296" s="10">
        <v>8</v>
      </c>
      <c r="B296" s="48">
        <f t="shared" si="14"/>
        <v>44393</v>
      </c>
      <c r="C296" s="17">
        <v>180</v>
      </c>
      <c r="D296" s="17">
        <v>180</v>
      </c>
      <c r="E296" s="16">
        <v>44393</v>
      </c>
      <c r="F296" t="s">
        <v>58</v>
      </c>
      <c r="H296" s="17">
        <f t="shared" si="11"/>
        <v>0</v>
      </c>
      <c r="I296" t="s">
        <v>201</v>
      </c>
      <c r="J296" s="17" t="s">
        <v>600</v>
      </c>
      <c r="K296" s="230">
        <v>44568</v>
      </c>
      <c r="L296" s="234">
        <v>0.99</v>
      </c>
      <c r="M296" s="49" t="s">
        <v>22</v>
      </c>
      <c r="P296" t="s">
        <v>785</v>
      </c>
    </row>
    <row r="297" spans="1:16" ht="15" hidden="1" customHeight="1" x14ac:dyDescent="0.25">
      <c r="A297" s="10">
        <v>9</v>
      </c>
      <c r="B297" s="48">
        <f t="shared" si="14"/>
        <v>44400</v>
      </c>
      <c r="C297" s="17">
        <v>180</v>
      </c>
      <c r="D297" s="17">
        <v>180</v>
      </c>
      <c r="E297" s="16">
        <v>44400</v>
      </c>
      <c r="F297" t="s">
        <v>58</v>
      </c>
      <c r="H297" s="17">
        <f t="shared" si="11"/>
        <v>0</v>
      </c>
      <c r="I297" t="s">
        <v>201</v>
      </c>
      <c r="J297" s="17" t="s">
        <v>600</v>
      </c>
      <c r="K297" s="230">
        <v>44581</v>
      </c>
      <c r="L297" s="234">
        <v>2.75</v>
      </c>
      <c r="M297" s="49" t="s">
        <v>22</v>
      </c>
      <c r="P297" t="s">
        <v>785</v>
      </c>
    </row>
    <row r="298" spans="1:16" ht="15" hidden="1" customHeight="1" x14ac:dyDescent="0.25">
      <c r="A298" s="10">
        <v>10</v>
      </c>
      <c r="B298" s="48">
        <f t="shared" si="14"/>
        <v>44407</v>
      </c>
      <c r="C298" s="17">
        <v>180</v>
      </c>
      <c r="D298" s="17">
        <v>180</v>
      </c>
      <c r="E298" s="16">
        <v>44407</v>
      </c>
      <c r="F298" t="s">
        <v>124</v>
      </c>
      <c r="H298" s="17">
        <f t="shared" si="11"/>
        <v>0</v>
      </c>
      <c r="I298" t="s">
        <v>201</v>
      </c>
      <c r="J298" s="17" t="s">
        <v>600</v>
      </c>
      <c r="K298" s="230">
        <v>44575</v>
      </c>
      <c r="L298" s="234">
        <v>0.99</v>
      </c>
      <c r="M298" s="49" t="s">
        <v>22</v>
      </c>
      <c r="P298" t="s">
        <v>785</v>
      </c>
    </row>
    <row r="299" spans="1:16" ht="15" hidden="1" customHeight="1" x14ac:dyDescent="0.25">
      <c r="A299" s="10">
        <v>1</v>
      </c>
      <c r="B299" s="48">
        <v>44468</v>
      </c>
      <c r="C299" s="17">
        <v>300</v>
      </c>
      <c r="D299" s="17">
        <v>300</v>
      </c>
      <c r="E299" s="16">
        <v>44468</v>
      </c>
      <c r="F299" t="s">
        <v>181</v>
      </c>
      <c r="H299" s="17">
        <f t="shared" si="11"/>
        <v>0</v>
      </c>
      <c r="I299" t="s">
        <v>201</v>
      </c>
      <c r="J299" s="17" t="s">
        <v>176</v>
      </c>
      <c r="K299" s="230">
        <v>44582</v>
      </c>
      <c r="L299" s="234">
        <v>0.99</v>
      </c>
      <c r="M299" s="49" t="s">
        <v>22</v>
      </c>
      <c r="P299" t="s">
        <v>785</v>
      </c>
    </row>
    <row r="300" spans="1:16" ht="15" hidden="1" customHeight="1" x14ac:dyDescent="0.25">
      <c r="A300" s="10">
        <v>1</v>
      </c>
      <c r="B300" s="48">
        <v>44468</v>
      </c>
      <c r="C300" s="17">
        <v>160</v>
      </c>
      <c r="D300" s="17">
        <v>160</v>
      </c>
      <c r="E300" s="16">
        <v>44468</v>
      </c>
      <c r="F300" t="s">
        <v>117</v>
      </c>
      <c r="H300" s="17">
        <f t="shared" si="11"/>
        <v>0</v>
      </c>
      <c r="I300" t="s">
        <v>201</v>
      </c>
      <c r="J300" s="77" t="s">
        <v>176</v>
      </c>
      <c r="K300" s="230">
        <v>44595</v>
      </c>
      <c r="L300" s="234">
        <v>2.75</v>
      </c>
      <c r="M300" s="49" t="s">
        <v>22</v>
      </c>
      <c r="P300" t="s">
        <v>785</v>
      </c>
    </row>
    <row r="301" spans="1:16" ht="15" hidden="1" customHeight="1" x14ac:dyDescent="0.25">
      <c r="A301" s="10">
        <v>2</v>
      </c>
      <c r="B301" s="48">
        <v>44475</v>
      </c>
      <c r="C301" s="17">
        <v>-160</v>
      </c>
      <c r="D301" s="17">
        <v>-160</v>
      </c>
      <c r="E301" s="16">
        <v>44475</v>
      </c>
      <c r="F301" t="s">
        <v>117</v>
      </c>
      <c r="H301" s="17">
        <f t="shared" si="11"/>
        <v>0</v>
      </c>
      <c r="I301" t="s">
        <v>201</v>
      </c>
      <c r="J301" s="17" t="s">
        <v>176</v>
      </c>
      <c r="K301" s="230">
        <v>44589</v>
      </c>
      <c r="L301" s="234">
        <v>0.99</v>
      </c>
      <c r="M301" s="49" t="s">
        <v>22</v>
      </c>
      <c r="P301" t="s">
        <v>785</v>
      </c>
    </row>
    <row r="302" spans="1:16" ht="15" hidden="1" customHeight="1" x14ac:dyDescent="0.25">
      <c r="A302" s="10">
        <v>1</v>
      </c>
      <c r="B302" s="48">
        <v>44532</v>
      </c>
      <c r="C302" s="17">
        <v>300</v>
      </c>
      <c r="D302" s="17">
        <v>300</v>
      </c>
      <c r="E302" s="16">
        <v>44532</v>
      </c>
      <c r="F302" t="s">
        <v>181</v>
      </c>
      <c r="H302" s="17">
        <f t="shared" si="11"/>
        <v>0</v>
      </c>
      <c r="I302" t="s">
        <v>201</v>
      </c>
      <c r="J302" s="17" t="s">
        <v>770</v>
      </c>
      <c r="K302" s="230">
        <v>44602</v>
      </c>
      <c r="L302" s="234">
        <v>2.75</v>
      </c>
      <c r="M302" s="49" t="s">
        <v>22</v>
      </c>
      <c r="P302" t="s">
        <v>785</v>
      </c>
    </row>
    <row r="303" spans="1:16" ht="15" hidden="1" customHeight="1" x14ac:dyDescent="0.25">
      <c r="A303" s="10">
        <v>1</v>
      </c>
      <c r="B303" s="48">
        <v>44532</v>
      </c>
      <c r="C303" s="17">
        <v>230</v>
      </c>
      <c r="D303" s="17">
        <v>230</v>
      </c>
      <c r="E303" s="16">
        <v>44532</v>
      </c>
      <c r="F303" t="s">
        <v>114</v>
      </c>
      <c r="H303" s="17">
        <f t="shared" si="11"/>
        <v>0</v>
      </c>
      <c r="I303" t="s">
        <v>201</v>
      </c>
      <c r="J303" s="17" t="s">
        <v>770</v>
      </c>
      <c r="K303" s="230">
        <v>44596</v>
      </c>
      <c r="L303" s="234">
        <v>0.99</v>
      </c>
      <c r="M303" s="49" t="s">
        <v>22</v>
      </c>
      <c r="P303" t="s">
        <v>785</v>
      </c>
    </row>
    <row r="304" spans="1:16" ht="15" hidden="1" customHeight="1" x14ac:dyDescent="0.25">
      <c r="A304" s="10">
        <v>2</v>
      </c>
      <c r="B304" s="48">
        <f>B303+7</f>
        <v>44539</v>
      </c>
      <c r="C304" s="17">
        <v>180</v>
      </c>
      <c r="D304" s="17">
        <v>180</v>
      </c>
      <c r="E304" s="16">
        <v>44539</v>
      </c>
      <c r="H304" s="17">
        <f t="shared" si="11"/>
        <v>0</v>
      </c>
      <c r="I304" t="s">
        <v>201</v>
      </c>
      <c r="J304" s="17" t="s">
        <v>770</v>
      </c>
      <c r="K304" s="230">
        <v>44197</v>
      </c>
      <c r="L304" s="234">
        <v>50</v>
      </c>
      <c r="M304" s="49" t="s">
        <v>43</v>
      </c>
      <c r="N304" t="s">
        <v>796</v>
      </c>
      <c r="P304" t="s">
        <v>785</v>
      </c>
    </row>
    <row r="305" spans="1:16" ht="15" hidden="1" customHeight="1" x14ac:dyDescent="0.25">
      <c r="A305" s="10">
        <v>3</v>
      </c>
      <c r="B305" s="48">
        <f>B304+7</f>
        <v>44546</v>
      </c>
      <c r="C305" s="17">
        <v>180</v>
      </c>
      <c r="D305" s="17">
        <v>180</v>
      </c>
      <c r="E305" s="16">
        <v>44546</v>
      </c>
      <c r="F305" t="s">
        <v>58</v>
      </c>
      <c r="H305" s="17">
        <f t="shared" si="11"/>
        <v>0</v>
      </c>
      <c r="I305" t="s">
        <v>201</v>
      </c>
      <c r="J305" s="77" t="s">
        <v>770</v>
      </c>
      <c r="K305" s="230">
        <v>44197</v>
      </c>
      <c r="L305" s="234">
        <v>680</v>
      </c>
      <c r="M305" s="49" t="s">
        <v>20</v>
      </c>
      <c r="P305" t="s">
        <v>785</v>
      </c>
    </row>
    <row r="306" spans="1:16" ht="15" hidden="1" customHeight="1" x14ac:dyDescent="0.25">
      <c r="A306" s="10">
        <v>4</v>
      </c>
      <c r="B306" s="48">
        <f>B305+7</f>
        <v>44553</v>
      </c>
      <c r="C306" s="17">
        <v>180</v>
      </c>
      <c r="D306" s="17">
        <v>180</v>
      </c>
      <c r="E306" s="16">
        <v>44553</v>
      </c>
      <c r="F306" t="s">
        <v>58</v>
      </c>
      <c r="H306" s="17">
        <f t="shared" si="11"/>
        <v>0</v>
      </c>
      <c r="I306" t="s">
        <v>201</v>
      </c>
      <c r="J306" s="77" t="s">
        <v>770</v>
      </c>
      <c r="K306" s="230">
        <v>44197</v>
      </c>
      <c r="L306" s="234">
        <v>110</v>
      </c>
      <c r="M306" s="49" t="s">
        <v>43</v>
      </c>
      <c r="N306" t="s">
        <v>797</v>
      </c>
      <c r="P306" t="s">
        <v>785</v>
      </c>
    </row>
    <row r="307" spans="1:16" ht="15" hidden="1" customHeight="1" x14ac:dyDescent="0.25">
      <c r="A307" s="10">
        <v>5</v>
      </c>
      <c r="B307" s="48">
        <f>B306+7</f>
        <v>44560</v>
      </c>
      <c r="C307" s="17">
        <v>180</v>
      </c>
      <c r="D307" s="17">
        <v>180</v>
      </c>
      <c r="E307" s="16">
        <v>44566</v>
      </c>
      <c r="F307" t="s">
        <v>124</v>
      </c>
      <c r="H307" s="17">
        <f t="shared" si="11"/>
        <v>0</v>
      </c>
      <c r="I307" t="s">
        <v>201</v>
      </c>
      <c r="J307" s="77" t="s">
        <v>770</v>
      </c>
      <c r="K307" s="230">
        <v>44197</v>
      </c>
      <c r="L307" s="234">
        <v>100</v>
      </c>
      <c r="M307" s="49" t="s">
        <v>17</v>
      </c>
      <c r="N307" t="s">
        <v>160</v>
      </c>
      <c r="P307" t="s">
        <v>785</v>
      </c>
    </row>
    <row r="308" spans="1:16" ht="15" hidden="1" customHeight="1" x14ac:dyDescent="0.25">
      <c r="A308" s="10">
        <v>1</v>
      </c>
      <c r="B308" s="48">
        <v>44009</v>
      </c>
      <c r="C308" s="17">
        <v>440</v>
      </c>
      <c r="D308" s="17">
        <v>440</v>
      </c>
      <c r="E308" s="16">
        <v>44009</v>
      </c>
      <c r="F308" t="s">
        <v>181</v>
      </c>
      <c r="G308" s="228">
        <v>51698</v>
      </c>
      <c r="H308" s="17">
        <f>IFERROR(IF(F307="Closed account",(IF(F308="Unpaid Rent",(C308),(C308-D308))),(IF(F308="Unpaid Rent",(C308+H307),(C308-D308+H307)))),"")</f>
        <v>0</v>
      </c>
      <c r="I308" s="17" t="s">
        <v>100</v>
      </c>
      <c r="J308" s="77" t="s">
        <v>109</v>
      </c>
      <c r="K308" s="230">
        <v>44609</v>
      </c>
      <c r="L308" s="234">
        <v>2.75</v>
      </c>
      <c r="M308" s="49" t="s">
        <v>22</v>
      </c>
      <c r="P308" t="s">
        <v>785</v>
      </c>
    </row>
    <row r="309" spans="1:16" ht="15" hidden="1" customHeight="1" x14ac:dyDescent="0.25">
      <c r="A309" s="10">
        <v>1</v>
      </c>
      <c r="B309" s="48">
        <v>44009</v>
      </c>
      <c r="C309" s="17">
        <v>220</v>
      </c>
      <c r="D309" s="17"/>
      <c r="E309" s="16"/>
      <c r="F309" t="s">
        <v>59</v>
      </c>
      <c r="H309" s="17">
        <f>IFERROR(IF(F308="Closed account",(IF(F309="Unpaid Rent",(C309),(C309-D309))),(IF(F309="Unpaid Rent",(C309+H308),(C309-D309+H308)))),"")</f>
        <v>220</v>
      </c>
      <c r="I309" s="17" t="s">
        <v>100</v>
      </c>
      <c r="J309" s="17" t="s">
        <v>109</v>
      </c>
      <c r="K309" s="230">
        <v>44603</v>
      </c>
      <c r="L309" s="234">
        <v>0.99</v>
      </c>
      <c r="M309" s="49" t="s">
        <v>22</v>
      </c>
      <c r="P309" t="s">
        <v>785</v>
      </c>
    </row>
    <row r="310" spans="1:16" ht="15" hidden="1" customHeight="1" x14ac:dyDescent="0.25">
      <c r="A310" s="10">
        <v>2</v>
      </c>
      <c r="B310" s="48">
        <v>44016</v>
      </c>
      <c r="C310" s="17">
        <v>220</v>
      </c>
      <c r="D310" s="17">
        <v>220</v>
      </c>
      <c r="E310" s="16">
        <v>44015</v>
      </c>
      <c r="F310" t="s">
        <v>59</v>
      </c>
      <c r="H310" s="17">
        <f t="shared" ref="H310:H371" si="15">IFERROR(IF(F309="Closed account",(IF(F310="Unpaid Rent",(C310),(C310-D310))),(IF(F310="Unpaid Rent",(C310+H309),(C310-D310+H309)))),"")</f>
        <v>220</v>
      </c>
      <c r="I310" s="17" t="s">
        <v>100</v>
      </c>
      <c r="J310" s="17" t="s">
        <v>109</v>
      </c>
      <c r="K310" s="230">
        <v>44616</v>
      </c>
      <c r="L310" s="234">
        <v>2.75</v>
      </c>
      <c r="M310" s="49" t="s">
        <v>22</v>
      </c>
      <c r="P310" t="s">
        <v>785</v>
      </c>
    </row>
    <row r="311" spans="1:16" ht="15" hidden="1" customHeight="1" x14ac:dyDescent="0.25">
      <c r="A311" s="10">
        <v>3</v>
      </c>
      <c r="B311" s="48">
        <v>44023</v>
      </c>
      <c r="C311" s="17">
        <v>220</v>
      </c>
      <c r="D311" s="17">
        <v>220</v>
      </c>
      <c r="E311" s="16">
        <v>44021</v>
      </c>
      <c r="F311" t="s">
        <v>59</v>
      </c>
      <c r="H311" s="17">
        <f t="shared" si="15"/>
        <v>220</v>
      </c>
      <c r="I311" s="17" t="s">
        <v>100</v>
      </c>
      <c r="J311" s="17" t="s">
        <v>109</v>
      </c>
      <c r="K311" s="230">
        <v>44610</v>
      </c>
      <c r="L311" s="234">
        <v>0.99</v>
      </c>
      <c r="M311" s="49" t="s">
        <v>22</v>
      </c>
      <c r="P311" t="s">
        <v>785</v>
      </c>
    </row>
    <row r="312" spans="1:16" ht="15" hidden="1" customHeight="1" x14ac:dyDescent="0.25">
      <c r="A312" s="10">
        <v>4</v>
      </c>
      <c r="B312" s="48">
        <v>44030</v>
      </c>
      <c r="C312" s="17">
        <v>220</v>
      </c>
      <c r="D312" s="17">
        <v>220</v>
      </c>
      <c r="E312" s="16">
        <v>44028</v>
      </c>
      <c r="F312" t="s">
        <v>59</v>
      </c>
      <c r="H312" s="17">
        <f t="shared" si="15"/>
        <v>220</v>
      </c>
      <c r="I312" s="17" t="s">
        <v>100</v>
      </c>
      <c r="J312" s="17" t="s">
        <v>109</v>
      </c>
      <c r="K312" s="230">
        <v>44617</v>
      </c>
      <c r="L312" s="234">
        <v>0.99</v>
      </c>
      <c r="M312" s="49" t="s">
        <v>22</v>
      </c>
      <c r="P312" t="s">
        <v>785</v>
      </c>
    </row>
    <row r="313" spans="1:16" ht="15" hidden="1" customHeight="1" x14ac:dyDescent="0.25">
      <c r="A313" s="10">
        <v>5</v>
      </c>
      <c r="B313" s="48">
        <v>44037</v>
      </c>
      <c r="C313" s="17">
        <v>220</v>
      </c>
      <c r="D313" s="17">
        <v>220</v>
      </c>
      <c r="E313" s="16">
        <v>44041</v>
      </c>
      <c r="F313" t="s">
        <v>59</v>
      </c>
      <c r="H313" s="17">
        <f t="shared" si="15"/>
        <v>220</v>
      </c>
      <c r="I313" s="17" t="s">
        <v>100</v>
      </c>
      <c r="J313" s="17" t="s">
        <v>109</v>
      </c>
      <c r="K313" s="230">
        <v>44643</v>
      </c>
      <c r="L313" s="234">
        <v>500</v>
      </c>
      <c r="M313" s="49" t="s">
        <v>17</v>
      </c>
      <c r="N313" t="s">
        <v>659</v>
      </c>
      <c r="P313" t="s">
        <v>14</v>
      </c>
    </row>
    <row r="314" spans="1:16" ht="15" hidden="1" customHeight="1" x14ac:dyDescent="0.25">
      <c r="A314" s="10">
        <v>6</v>
      </c>
      <c r="B314" s="48">
        <v>44044</v>
      </c>
      <c r="C314" s="17">
        <v>220</v>
      </c>
      <c r="D314" s="17">
        <v>220</v>
      </c>
      <c r="E314" s="16">
        <v>44018</v>
      </c>
      <c r="F314" t="s">
        <v>59</v>
      </c>
      <c r="H314" s="17">
        <f t="shared" si="15"/>
        <v>220</v>
      </c>
      <c r="I314" s="17" t="s">
        <v>100</v>
      </c>
      <c r="J314" s="17" t="s">
        <v>109</v>
      </c>
      <c r="K314" s="230">
        <v>44645</v>
      </c>
      <c r="L314" s="234">
        <v>89.84</v>
      </c>
      <c r="M314" s="49" t="s">
        <v>32</v>
      </c>
      <c r="P314" t="s">
        <v>14</v>
      </c>
    </row>
    <row r="315" spans="1:16" ht="15" hidden="1" customHeight="1" x14ac:dyDescent="0.25">
      <c r="A315" s="10">
        <v>7</v>
      </c>
      <c r="B315" s="48">
        <v>44051</v>
      </c>
      <c r="C315" s="17">
        <v>220</v>
      </c>
      <c r="D315" s="17">
        <v>220</v>
      </c>
      <c r="E315" s="16">
        <v>44056</v>
      </c>
      <c r="F315" t="s">
        <v>59</v>
      </c>
      <c r="H315" s="17">
        <f t="shared" si="15"/>
        <v>220</v>
      </c>
      <c r="I315" s="17" t="s">
        <v>100</v>
      </c>
      <c r="J315" s="17" t="s">
        <v>109</v>
      </c>
      <c r="K315" s="230">
        <v>44664</v>
      </c>
      <c r="L315" s="234">
        <v>75.599999999999994</v>
      </c>
      <c r="M315" s="49" t="s">
        <v>32</v>
      </c>
      <c r="P315" t="s">
        <v>14</v>
      </c>
    </row>
    <row r="316" spans="1:16" ht="15" hidden="1" customHeight="1" x14ac:dyDescent="0.25">
      <c r="A316" s="10">
        <v>7</v>
      </c>
      <c r="B316" s="48">
        <v>44051</v>
      </c>
      <c r="C316" s="17">
        <v>220</v>
      </c>
      <c r="D316" s="17">
        <v>220</v>
      </c>
      <c r="E316" s="16">
        <v>44057</v>
      </c>
      <c r="F316" t="s">
        <v>124</v>
      </c>
      <c r="H316" s="17">
        <f t="shared" si="15"/>
        <v>220</v>
      </c>
      <c r="I316" s="17" t="s">
        <v>100</v>
      </c>
      <c r="J316" s="17" t="s">
        <v>109</v>
      </c>
      <c r="K316" s="230">
        <v>44664</v>
      </c>
      <c r="L316" s="234">
        <v>80</v>
      </c>
      <c r="M316" s="49" t="s">
        <v>98</v>
      </c>
      <c r="P316" t="s">
        <v>14</v>
      </c>
    </row>
    <row r="317" spans="1:16" ht="15" hidden="1" customHeight="1" x14ac:dyDescent="0.25">
      <c r="A317" s="10">
        <v>1</v>
      </c>
      <c r="B317" s="48">
        <v>44067</v>
      </c>
      <c r="C317" s="17">
        <v>160</v>
      </c>
      <c r="D317" s="17">
        <v>160</v>
      </c>
      <c r="E317" s="16">
        <v>44069</v>
      </c>
      <c r="F317" t="s">
        <v>117</v>
      </c>
      <c r="H317" s="17">
        <f t="shared" si="15"/>
        <v>0</v>
      </c>
      <c r="I317" s="17" t="s">
        <v>100</v>
      </c>
      <c r="J317" s="17" t="s">
        <v>218</v>
      </c>
      <c r="K317" s="230">
        <v>44665</v>
      </c>
      <c r="L317" s="234">
        <v>288.52999999999997</v>
      </c>
      <c r="M317" s="49" t="s">
        <v>20</v>
      </c>
      <c r="P317" t="s">
        <v>14</v>
      </c>
    </row>
    <row r="318" spans="1:16" ht="15" hidden="1" customHeight="1" x14ac:dyDescent="0.25">
      <c r="A318" s="10">
        <v>2</v>
      </c>
      <c r="B318" s="48">
        <v>44074</v>
      </c>
      <c r="C318" s="17">
        <v>160</v>
      </c>
      <c r="D318" s="17">
        <v>160</v>
      </c>
      <c r="E318" s="16">
        <v>44077</v>
      </c>
      <c r="F318" t="s">
        <v>117</v>
      </c>
      <c r="H318" s="17">
        <f t="shared" si="15"/>
        <v>0</v>
      </c>
      <c r="I318" s="17" t="s">
        <v>100</v>
      </c>
      <c r="J318" s="17" t="s">
        <v>218</v>
      </c>
      <c r="K318" s="230">
        <v>44665</v>
      </c>
      <c r="L318" s="234">
        <v>885.69</v>
      </c>
      <c r="M318" s="49" t="s">
        <v>43</v>
      </c>
      <c r="N318" t="s">
        <v>433</v>
      </c>
      <c r="P318" t="s">
        <v>14</v>
      </c>
    </row>
    <row r="319" spans="1:16" ht="15" hidden="1" customHeight="1" x14ac:dyDescent="0.25">
      <c r="A319" s="10">
        <v>3</v>
      </c>
      <c r="B319" s="48">
        <f t="shared" ref="B319:B342" si="16">B318+7</f>
        <v>44081</v>
      </c>
      <c r="C319" s="17">
        <v>160</v>
      </c>
      <c r="D319" s="17">
        <v>160</v>
      </c>
      <c r="E319" s="16">
        <v>44084</v>
      </c>
      <c r="F319" t="s">
        <v>117</v>
      </c>
      <c r="H319" s="17">
        <f t="shared" si="15"/>
        <v>0</v>
      </c>
      <c r="I319" s="17" t="s">
        <v>100</v>
      </c>
      <c r="J319" s="17" t="s">
        <v>218</v>
      </c>
      <c r="K319" s="230">
        <v>44683</v>
      </c>
      <c r="L319" s="234">
        <v>500</v>
      </c>
      <c r="M319" s="49" t="s">
        <v>17</v>
      </c>
      <c r="P319" t="s">
        <v>14</v>
      </c>
    </row>
    <row r="320" spans="1:16" ht="15" hidden="1" customHeight="1" x14ac:dyDescent="0.25">
      <c r="A320" s="10">
        <v>4</v>
      </c>
      <c r="B320" s="48">
        <f t="shared" si="16"/>
        <v>44088</v>
      </c>
      <c r="C320" s="17">
        <v>160</v>
      </c>
      <c r="D320" s="17"/>
      <c r="E320" s="16"/>
      <c r="H320" s="17">
        <f t="shared" si="15"/>
        <v>160</v>
      </c>
      <c r="I320" s="17" t="s">
        <v>100</v>
      </c>
      <c r="J320" s="17" t="s">
        <v>218</v>
      </c>
      <c r="K320" s="230">
        <v>44374</v>
      </c>
      <c r="L320" s="234">
        <v>46.97</v>
      </c>
      <c r="M320" s="49" t="s">
        <v>17</v>
      </c>
      <c r="N320" t="s">
        <v>160</v>
      </c>
      <c r="O320" t="s">
        <v>595</v>
      </c>
      <c r="P320" t="s">
        <v>14</v>
      </c>
    </row>
    <row r="321" spans="1:16" ht="15" hidden="1" customHeight="1" x14ac:dyDescent="0.25">
      <c r="A321" s="10">
        <v>5</v>
      </c>
      <c r="B321" s="48">
        <f t="shared" si="16"/>
        <v>44095</v>
      </c>
      <c r="C321" s="17">
        <v>160</v>
      </c>
      <c r="D321" s="17">
        <f>160*2</f>
        <v>320</v>
      </c>
      <c r="E321" s="16">
        <v>44123</v>
      </c>
      <c r="F321" t="s">
        <v>117</v>
      </c>
      <c r="H321" s="17">
        <f t="shared" si="15"/>
        <v>0</v>
      </c>
      <c r="I321" s="17" t="s">
        <v>100</v>
      </c>
      <c r="J321" s="17" t="s">
        <v>218</v>
      </c>
      <c r="K321" s="230">
        <v>44376</v>
      </c>
      <c r="L321" s="234">
        <v>88</v>
      </c>
      <c r="M321" s="49" t="s">
        <v>17</v>
      </c>
      <c r="N321" t="s">
        <v>438</v>
      </c>
      <c r="O321" t="s">
        <v>595</v>
      </c>
      <c r="P321" t="s">
        <v>14</v>
      </c>
    </row>
    <row r="322" spans="1:16" ht="15" hidden="1" customHeight="1" x14ac:dyDescent="0.25">
      <c r="A322" s="10">
        <v>6</v>
      </c>
      <c r="B322" s="48">
        <f t="shared" si="16"/>
        <v>44102</v>
      </c>
      <c r="C322" s="17">
        <v>160</v>
      </c>
      <c r="D322" s="17"/>
      <c r="E322" s="16"/>
      <c r="H322" s="17">
        <f t="shared" si="15"/>
        <v>160</v>
      </c>
      <c r="I322" s="17" t="s">
        <v>100</v>
      </c>
      <c r="J322" s="17" t="s">
        <v>218</v>
      </c>
      <c r="K322" s="230">
        <v>44361</v>
      </c>
      <c r="L322" s="234">
        <v>5.5</v>
      </c>
      <c r="M322" s="49" t="s">
        <v>22</v>
      </c>
      <c r="N322" t="s">
        <v>58</v>
      </c>
      <c r="O322" t="s">
        <v>595</v>
      </c>
      <c r="P322" t="s">
        <v>655</v>
      </c>
    </row>
    <row r="323" spans="1:16" ht="15" hidden="1" customHeight="1" x14ac:dyDescent="0.25">
      <c r="A323" s="10">
        <v>7</v>
      </c>
      <c r="B323" s="48">
        <f t="shared" si="16"/>
        <v>44109</v>
      </c>
      <c r="C323" s="17">
        <v>160</v>
      </c>
      <c r="D323" s="17"/>
      <c r="E323" s="16">
        <v>44104</v>
      </c>
      <c r="H323" s="17">
        <f t="shared" si="15"/>
        <v>320</v>
      </c>
      <c r="I323" s="17" t="s">
        <v>100</v>
      </c>
      <c r="J323" s="17" t="s">
        <v>218</v>
      </c>
      <c r="K323" s="230">
        <v>44392</v>
      </c>
      <c r="L323" s="234">
        <v>50.41</v>
      </c>
      <c r="M323" s="49" t="s">
        <v>32</v>
      </c>
      <c r="O323" t="s">
        <v>595</v>
      </c>
      <c r="P323" t="s">
        <v>14</v>
      </c>
    </row>
    <row r="324" spans="1:16" ht="15" hidden="1" customHeight="1" x14ac:dyDescent="0.25">
      <c r="A324" s="10">
        <v>6</v>
      </c>
      <c r="B324" s="48">
        <f t="shared" si="16"/>
        <v>44116</v>
      </c>
      <c r="C324" s="17">
        <v>160</v>
      </c>
      <c r="D324" s="17"/>
      <c r="E324" s="16"/>
      <c r="H324" s="17">
        <f t="shared" si="15"/>
        <v>480</v>
      </c>
      <c r="I324" s="17" t="s">
        <v>100</v>
      </c>
      <c r="J324" s="17" t="s">
        <v>218</v>
      </c>
      <c r="K324" s="230">
        <v>44397</v>
      </c>
      <c r="L324" s="234">
        <v>62.02</v>
      </c>
      <c r="M324" s="49" t="s">
        <v>32</v>
      </c>
      <c r="O324" t="s">
        <v>595</v>
      </c>
      <c r="P324" t="s">
        <v>14</v>
      </c>
    </row>
    <row r="325" spans="1:16" ht="15" hidden="1" customHeight="1" x14ac:dyDescent="0.25">
      <c r="A325" s="10">
        <v>7</v>
      </c>
      <c r="B325" s="48">
        <f t="shared" si="16"/>
        <v>44123</v>
      </c>
      <c r="C325" s="17">
        <v>160</v>
      </c>
      <c r="D325" s="17">
        <v>320</v>
      </c>
      <c r="E325" s="16">
        <v>44130</v>
      </c>
      <c r="F325" t="s">
        <v>117</v>
      </c>
      <c r="H325" s="17">
        <f t="shared" si="15"/>
        <v>320</v>
      </c>
      <c r="I325" s="17" t="s">
        <v>100</v>
      </c>
      <c r="J325" s="17" t="s">
        <v>218</v>
      </c>
      <c r="K325" s="230">
        <v>44411</v>
      </c>
      <c r="L325" s="234">
        <v>72.599999999999994</v>
      </c>
      <c r="M325" s="49" t="s">
        <v>98</v>
      </c>
      <c r="O325" t="s">
        <v>595</v>
      </c>
      <c r="P325" t="s">
        <v>14</v>
      </c>
    </row>
    <row r="326" spans="1:16" ht="15" hidden="1" customHeight="1" x14ac:dyDescent="0.25">
      <c r="A326" s="10">
        <v>8</v>
      </c>
      <c r="B326" s="48">
        <f t="shared" si="16"/>
        <v>44130</v>
      </c>
      <c r="C326" s="17">
        <v>160</v>
      </c>
      <c r="D326" s="17">
        <f>230+90</f>
        <v>320</v>
      </c>
      <c r="E326" s="16">
        <v>44104</v>
      </c>
      <c r="F326" t="s">
        <v>117</v>
      </c>
      <c r="G326" s="228">
        <f>320-230</f>
        <v>90</v>
      </c>
      <c r="H326" s="17">
        <f t="shared" si="15"/>
        <v>160</v>
      </c>
      <c r="I326" s="17" t="s">
        <v>100</v>
      </c>
      <c r="J326" s="17" t="s">
        <v>218</v>
      </c>
      <c r="K326" s="230">
        <v>44449</v>
      </c>
      <c r="L326" s="234">
        <v>55.1</v>
      </c>
      <c r="M326" s="49" t="s">
        <v>54</v>
      </c>
      <c r="O326" t="s">
        <v>595</v>
      </c>
      <c r="P326" t="s">
        <v>696</v>
      </c>
    </row>
    <row r="327" spans="1:16" ht="15" hidden="1" customHeight="1" x14ac:dyDescent="0.25">
      <c r="A327" s="10">
        <v>9</v>
      </c>
      <c r="B327" s="48">
        <f t="shared" si="16"/>
        <v>44137</v>
      </c>
      <c r="C327" s="17">
        <v>200</v>
      </c>
      <c r="D327" s="17">
        <v>360</v>
      </c>
      <c r="E327" s="16">
        <v>44144</v>
      </c>
      <c r="F327" t="s">
        <v>117</v>
      </c>
      <c r="H327" s="17">
        <f t="shared" si="15"/>
        <v>0</v>
      </c>
      <c r="I327" s="17" t="s">
        <v>100</v>
      </c>
      <c r="J327" s="17" t="s">
        <v>218</v>
      </c>
      <c r="K327" s="230">
        <v>44454</v>
      </c>
      <c r="L327" s="234">
        <v>77</v>
      </c>
      <c r="M327" s="49" t="s">
        <v>17</v>
      </c>
      <c r="O327" t="s">
        <v>595</v>
      </c>
      <c r="P327" t="s">
        <v>696</v>
      </c>
    </row>
    <row r="328" spans="1:16" ht="15" hidden="1" customHeight="1" x14ac:dyDescent="0.25">
      <c r="A328" s="10">
        <v>10</v>
      </c>
      <c r="B328" s="48">
        <f t="shared" si="16"/>
        <v>44144</v>
      </c>
      <c r="C328" s="17">
        <v>200</v>
      </c>
      <c r="D328" s="17"/>
      <c r="E328" s="16"/>
      <c r="H328" s="17">
        <f t="shared" si="15"/>
        <v>200</v>
      </c>
      <c r="I328" s="17" t="s">
        <v>100</v>
      </c>
      <c r="J328" s="17" t="s">
        <v>218</v>
      </c>
      <c r="K328" s="231">
        <v>44473</v>
      </c>
      <c r="L328" s="234">
        <v>400</v>
      </c>
      <c r="M328" s="49" t="s">
        <v>45</v>
      </c>
      <c r="O328" t="s">
        <v>595</v>
      </c>
      <c r="P328" t="s">
        <v>696</v>
      </c>
    </row>
    <row r="329" spans="1:16" ht="15" hidden="1" customHeight="1" x14ac:dyDescent="0.25">
      <c r="A329" s="10">
        <v>11</v>
      </c>
      <c r="B329" s="48">
        <f t="shared" si="16"/>
        <v>44151</v>
      </c>
      <c r="C329" s="17">
        <v>200</v>
      </c>
      <c r="D329" s="17">
        <v>200</v>
      </c>
      <c r="E329" s="16">
        <v>44152</v>
      </c>
      <c r="F329" t="s">
        <v>117</v>
      </c>
      <c r="H329" s="17">
        <f t="shared" si="15"/>
        <v>200</v>
      </c>
      <c r="I329" s="17" t="s">
        <v>100</v>
      </c>
      <c r="J329" s="17" t="s">
        <v>218</v>
      </c>
      <c r="K329" s="230">
        <v>44496</v>
      </c>
      <c r="L329" s="234">
        <v>-500</v>
      </c>
      <c r="M329" s="49" t="s">
        <v>17</v>
      </c>
      <c r="O329" t="s">
        <v>595</v>
      </c>
      <c r="P329" t="s">
        <v>676</v>
      </c>
    </row>
    <row r="330" spans="1:16" ht="15" hidden="1" customHeight="1" x14ac:dyDescent="0.25">
      <c r="A330" s="10">
        <v>12</v>
      </c>
      <c r="B330" s="48">
        <f t="shared" si="16"/>
        <v>44158</v>
      </c>
      <c r="C330" s="17">
        <v>200</v>
      </c>
      <c r="D330" s="17">
        <v>200</v>
      </c>
      <c r="E330" s="16">
        <v>44161</v>
      </c>
      <c r="F330" t="s">
        <v>117</v>
      </c>
      <c r="H330" s="17">
        <f t="shared" si="15"/>
        <v>200</v>
      </c>
      <c r="I330" s="17" t="s">
        <v>100</v>
      </c>
      <c r="J330" s="17" t="s">
        <v>218</v>
      </c>
      <c r="K330" s="230">
        <v>44504</v>
      </c>
      <c r="L330" s="234">
        <v>40</v>
      </c>
      <c r="M330" s="49" t="s">
        <v>17</v>
      </c>
      <c r="N330" t="s">
        <v>533</v>
      </c>
      <c r="O330" t="s">
        <v>595</v>
      </c>
      <c r="P330" t="s">
        <v>676</v>
      </c>
    </row>
    <row r="331" spans="1:16" ht="15" hidden="1" customHeight="1" x14ac:dyDescent="0.25">
      <c r="A331" s="10">
        <v>13</v>
      </c>
      <c r="B331" s="48">
        <f t="shared" si="16"/>
        <v>44165</v>
      </c>
      <c r="C331" s="17">
        <v>200</v>
      </c>
      <c r="D331" s="17">
        <v>200</v>
      </c>
      <c r="E331" s="16">
        <v>44172</v>
      </c>
      <c r="F331" t="s">
        <v>117</v>
      </c>
      <c r="H331" s="17">
        <f t="shared" si="15"/>
        <v>200</v>
      </c>
      <c r="I331" s="17" t="s">
        <v>100</v>
      </c>
      <c r="J331" s="17" t="s">
        <v>218</v>
      </c>
      <c r="K331" s="230">
        <v>44563</v>
      </c>
      <c r="L331" s="234">
        <v>63.99</v>
      </c>
      <c r="M331" s="49" t="s">
        <v>17</v>
      </c>
      <c r="N331" t="s">
        <v>172</v>
      </c>
      <c r="O331" t="s">
        <v>595</v>
      </c>
      <c r="P331" t="s">
        <v>676</v>
      </c>
    </row>
    <row r="332" spans="1:16" ht="15" hidden="1" customHeight="1" x14ac:dyDescent="0.25">
      <c r="A332" s="10">
        <v>14</v>
      </c>
      <c r="B332" s="48">
        <f t="shared" si="16"/>
        <v>44172</v>
      </c>
      <c r="C332" s="17">
        <v>200</v>
      </c>
      <c r="D332" s="17"/>
      <c r="E332" s="16"/>
      <c r="H332" s="17">
        <f t="shared" si="15"/>
        <v>400</v>
      </c>
      <c r="I332" s="17" t="s">
        <v>100</v>
      </c>
      <c r="J332" s="17" t="s">
        <v>218</v>
      </c>
      <c r="K332" s="230">
        <v>44567</v>
      </c>
      <c r="L332" s="234">
        <v>0.99</v>
      </c>
      <c r="M332" s="49" t="s">
        <v>22</v>
      </c>
      <c r="O332" t="s">
        <v>595</v>
      </c>
      <c r="P332" t="s">
        <v>676</v>
      </c>
    </row>
    <row r="333" spans="1:16" ht="15" hidden="1" customHeight="1" x14ac:dyDescent="0.25">
      <c r="A333" s="10">
        <v>15</v>
      </c>
      <c r="B333" s="48">
        <f t="shared" si="16"/>
        <v>44179</v>
      </c>
      <c r="C333" s="17">
        <v>200</v>
      </c>
      <c r="D333" s="17">
        <v>200</v>
      </c>
      <c r="E333" s="16">
        <v>44179</v>
      </c>
      <c r="F333" t="s">
        <v>117</v>
      </c>
      <c r="H333" s="17">
        <f t="shared" si="15"/>
        <v>400</v>
      </c>
      <c r="I333" s="17" t="s">
        <v>100</v>
      </c>
      <c r="J333" s="17" t="s">
        <v>218</v>
      </c>
      <c r="K333" s="230">
        <v>44588</v>
      </c>
      <c r="L333" s="234">
        <v>201.31</v>
      </c>
      <c r="M333" s="49" t="s">
        <v>20</v>
      </c>
      <c r="O333" t="s">
        <v>595</v>
      </c>
      <c r="P333" t="s">
        <v>676</v>
      </c>
    </row>
    <row r="334" spans="1:16" ht="15" hidden="1" customHeight="1" x14ac:dyDescent="0.25">
      <c r="A334" s="10">
        <v>16</v>
      </c>
      <c r="B334" s="48">
        <f t="shared" si="16"/>
        <v>44186</v>
      </c>
      <c r="C334" s="17">
        <v>200</v>
      </c>
      <c r="D334" s="17">
        <f>260+90+50</f>
        <v>400</v>
      </c>
      <c r="E334" s="16">
        <v>44191</v>
      </c>
      <c r="F334" t="s">
        <v>117</v>
      </c>
      <c r="G334" s="228">
        <f>400-260</f>
        <v>140</v>
      </c>
      <c r="H334" s="17">
        <f t="shared" si="15"/>
        <v>200</v>
      </c>
      <c r="I334" s="17" t="s">
        <v>100</v>
      </c>
      <c r="J334" s="17" t="s">
        <v>218</v>
      </c>
      <c r="K334" s="230">
        <v>44595</v>
      </c>
      <c r="L334" s="234">
        <v>0.99</v>
      </c>
      <c r="M334" s="49" t="s">
        <v>22</v>
      </c>
      <c r="O334" t="s">
        <v>595</v>
      </c>
      <c r="P334" t="s">
        <v>676</v>
      </c>
    </row>
    <row r="335" spans="1:16" ht="15" hidden="1" customHeight="1" x14ac:dyDescent="0.25">
      <c r="A335" s="10">
        <v>17</v>
      </c>
      <c r="B335" s="48">
        <f t="shared" si="16"/>
        <v>44193</v>
      </c>
      <c r="C335" s="17">
        <v>200</v>
      </c>
      <c r="D335" s="17"/>
      <c r="E335" s="16"/>
      <c r="H335" s="17">
        <f t="shared" si="15"/>
        <v>400</v>
      </c>
      <c r="I335" s="17" t="s">
        <v>100</v>
      </c>
      <c r="J335" s="17" t="s">
        <v>218</v>
      </c>
      <c r="K335" s="230">
        <v>44609</v>
      </c>
      <c r="L335" s="234">
        <v>0.99</v>
      </c>
      <c r="M335" s="49" t="s">
        <v>22</v>
      </c>
      <c r="O335" t="s">
        <v>595</v>
      </c>
      <c r="P335" t="s">
        <v>676</v>
      </c>
    </row>
    <row r="336" spans="1:16" ht="15" hidden="1" customHeight="1" x14ac:dyDescent="0.25">
      <c r="A336" s="10">
        <v>18</v>
      </c>
      <c r="B336" s="48">
        <f t="shared" si="16"/>
        <v>44200</v>
      </c>
      <c r="C336" s="17">
        <v>200</v>
      </c>
      <c r="D336" s="17"/>
      <c r="E336" s="16"/>
      <c r="H336" s="17">
        <f t="shared" si="15"/>
        <v>600</v>
      </c>
      <c r="I336" s="17" t="s">
        <v>100</v>
      </c>
      <c r="J336" s="77" t="s">
        <v>218</v>
      </c>
      <c r="K336" s="230">
        <v>44623</v>
      </c>
      <c r="L336" s="234">
        <v>0.99</v>
      </c>
      <c r="M336" s="49" t="s">
        <v>22</v>
      </c>
      <c r="O336" t="s">
        <v>595</v>
      </c>
      <c r="P336" t="s">
        <v>676</v>
      </c>
    </row>
    <row r="337" spans="1:16" ht="15" hidden="1" customHeight="1" x14ac:dyDescent="0.25">
      <c r="A337" s="10">
        <v>19</v>
      </c>
      <c r="B337" s="48">
        <f t="shared" si="16"/>
        <v>44207</v>
      </c>
      <c r="C337" s="17">
        <v>200</v>
      </c>
      <c r="D337" s="17">
        <v>200</v>
      </c>
      <c r="E337" s="16">
        <v>44450</v>
      </c>
      <c r="F337" t="s">
        <v>117</v>
      </c>
      <c r="H337" s="17">
        <f t="shared" si="15"/>
        <v>600</v>
      </c>
      <c r="I337" s="17" t="s">
        <v>100</v>
      </c>
      <c r="J337" s="17" t="s">
        <v>218</v>
      </c>
      <c r="K337" s="230">
        <v>44637</v>
      </c>
      <c r="L337" s="234">
        <v>0.99</v>
      </c>
      <c r="M337" s="49" t="s">
        <v>22</v>
      </c>
      <c r="O337" t="s">
        <v>595</v>
      </c>
      <c r="P337" t="s">
        <v>676</v>
      </c>
    </row>
    <row r="338" spans="1:16" ht="15" hidden="1" customHeight="1" x14ac:dyDescent="0.25">
      <c r="A338" s="10">
        <v>20</v>
      </c>
      <c r="B338" s="48">
        <f t="shared" si="16"/>
        <v>44214</v>
      </c>
      <c r="C338" s="17">
        <v>250</v>
      </c>
      <c r="D338" s="17">
        <v>250</v>
      </c>
      <c r="E338" s="16">
        <v>44208</v>
      </c>
      <c r="F338" t="s">
        <v>117</v>
      </c>
      <c r="H338" s="17">
        <f t="shared" si="15"/>
        <v>600</v>
      </c>
      <c r="I338" s="17" t="s">
        <v>100</v>
      </c>
      <c r="J338" s="17" t="s">
        <v>218</v>
      </c>
      <c r="K338" s="230">
        <v>44652</v>
      </c>
      <c r="L338" s="234">
        <v>25</v>
      </c>
      <c r="M338" s="49" t="s">
        <v>17</v>
      </c>
      <c r="N338" t="s">
        <v>172</v>
      </c>
      <c r="O338" t="s">
        <v>595</v>
      </c>
      <c r="P338" t="s">
        <v>676</v>
      </c>
    </row>
    <row r="339" spans="1:16" ht="15" hidden="1" customHeight="1" x14ac:dyDescent="0.25">
      <c r="A339" s="10">
        <v>21</v>
      </c>
      <c r="B339" s="48">
        <f t="shared" si="16"/>
        <v>44221</v>
      </c>
      <c r="C339" s="17">
        <v>250</v>
      </c>
      <c r="D339" s="17">
        <v>250</v>
      </c>
      <c r="E339" s="16">
        <v>44216</v>
      </c>
      <c r="F339" t="s">
        <v>511</v>
      </c>
      <c r="G339" s="228" t="s">
        <v>534</v>
      </c>
      <c r="H339" s="17">
        <f t="shared" si="15"/>
        <v>600</v>
      </c>
      <c r="I339" s="17" t="s">
        <v>100</v>
      </c>
      <c r="J339" s="17" t="s">
        <v>218</v>
      </c>
      <c r="K339" s="230">
        <v>44667</v>
      </c>
      <c r="L339" s="234">
        <v>25</v>
      </c>
      <c r="M339" s="49" t="s">
        <v>17</v>
      </c>
      <c r="N339" t="s">
        <v>172</v>
      </c>
      <c r="O339" t="s">
        <v>595</v>
      </c>
      <c r="P339" t="s">
        <v>676</v>
      </c>
    </row>
    <row r="340" spans="1:16" ht="15" hidden="1" customHeight="1" x14ac:dyDescent="0.25">
      <c r="A340" s="10">
        <v>22</v>
      </c>
      <c r="B340" s="48">
        <f t="shared" si="16"/>
        <v>44228</v>
      </c>
      <c r="C340" s="17">
        <v>250</v>
      </c>
      <c r="D340" s="17"/>
      <c r="H340" s="17">
        <f t="shared" si="15"/>
        <v>850</v>
      </c>
      <c r="I340" s="17" t="s">
        <v>100</v>
      </c>
      <c r="J340" s="17" t="s">
        <v>218</v>
      </c>
      <c r="K340" s="230">
        <v>44679</v>
      </c>
      <c r="L340" s="234">
        <v>201.31</v>
      </c>
      <c r="M340" s="49" t="s">
        <v>20</v>
      </c>
      <c r="O340" t="s">
        <v>595</v>
      </c>
      <c r="P340" t="s">
        <v>676</v>
      </c>
    </row>
    <row r="341" spans="1:16" ht="15" hidden="1" customHeight="1" x14ac:dyDescent="0.25">
      <c r="A341" s="10">
        <v>23</v>
      </c>
      <c r="B341" s="48">
        <f t="shared" si="16"/>
        <v>44235</v>
      </c>
      <c r="C341" s="17">
        <v>250</v>
      </c>
      <c r="D341" s="17">
        <v>500</v>
      </c>
      <c r="E341" s="16">
        <v>44235</v>
      </c>
      <c r="F341" t="s">
        <v>117</v>
      </c>
      <c r="H341" s="17">
        <f t="shared" si="15"/>
        <v>600</v>
      </c>
      <c r="I341" s="17" t="s">
        <v>100</v>
      </c>
      <c r="J341" s="17" t="s">
        <v>218</v>
      </c>
      <c r="K341" s="230">
        <v>44665</v>
      </c>
      <c r="L341" s="234">
        <v>0.99</v>
      </c>
      <c r="M341" s="49" t="s">
        <v>22</v>
      </c>
      <c r="O341" t="s">
        <v>595</v>
      </c>
      <c r="P341" t="s">
        <v>676</v>
      </c>
    </row>
    <row r="342" spans="1:16" ht="15" hidden="1" customHeight="1" x14ac:dyDescent="0.25">
      <c r="A342" s="10">
        <v>24</v>
      </c>
      <c r="B342" s="48">
        <f t="shared" si="16"/>
        <v>44242</v>
      </c>
      <c r="C342" s="17">
        <v>150</v>
      </c>
      <c r="D342" s="17"/>
      <c r="E342" s="16"/>
      <c r="H342" s="17">
        <f t="shared" si="15"/>
        <v>750</v>
      </c>
      <c r="I342" s="17" t="s">
        <v>100</v>
      </c>
      <c r="J342" s="17" t="s">
        <v>218</v>
      </c>
      <c r="K342" s="230">
        <v>44679</v>
      </c>
      <c r="L342" s="234">
        <v>0.99</v>
      </c>
      <c r="M342" s="49" t="s">
        <v>22</v>
      </c>
      <c r="O342" t="s">
        <v>595</v>
      </c>
      <c r="P342" t="s">
        <v>676</v>
      </c>
    </row>
    <row r="343" spans="1:16" ht="15" hidden="1" customHeight="1" x14ac:dyDescent="0.25">
      <c r="A343" s="10">
        <v>25</v>
      </c>
      <c r="B343" s="48">
        <f>B342+7</f>
        <v>44249</v>
      </c>
      <c r="C343" s="17">
        <v>250</v>
      </c>
      <c r="D343" s="17">
        <v>250</v>
      </c>
      <c r="E343" s="16">
        <v>44250</v>
      </c>
      <c r="F343" t="s">
        <v>117</v>
      </c>
      <c r="H343" s="17">
        <f t="shared" si="15"/>
        <v>750</v>
      </c>
      <c r="I343" s="17" t="s">
        <v>100</v>
      </c>
      <c r="J343" s="17" t="s">
        <v>218</v>
      </c>
      <c r="K343" s="230">
        <v>44673</v>
      </c>
      <c r="L343" s="234">
        <v>2.75</v>
      </c>
      <c r="M343" s="49" t="s">
        <v>22</v>
      </c>
      <c r="O343" t="s">
        <v>595</v>
      </c>
      <c r="P343" t="s">
        <v>676</v>
      </c>
    </row>
    <row r="344" spans="1:16" ht="15" hidden="1" customHeight="1" x14ac:dyDescent="0.25">
      <c r="A344" s="10">
        <v>26</v>
      </c>
      <c r="B344" s="48">
        <f>B343+7</f>
        <v>44256</v>
      </c>
      <c r="C344" s="17">
        <v>250</v>
      </c>
      <c r="D344" s="17">
        <v>150</v>
      </c>
      <c r="E344" s="16">
        <v>44253</v>
      </c>
      <c r="F344" t="s">
        <v>511</v>
      </c>
      <c r="G344" s="228" t="s">
        <v>534</v>
      </c>
      <c r="H344" s="17">
        <f t="shared" si="15"/>
        <v>850</v>
      </c>
      <c r="I344" s="17" t="s">
        <v>100</v>
      </c>
      <c r="J344" s="17" t="s">
        <v>218</v>
      </c>
      <c r="K344" s="230">
        <v>44686</v>
      </c>
      <c r="L344" s="234">
        <v>0.99</v>
      </c>
      <c r="M344" s="49" t="s">
        <v>22</v>
      </c>
      <c r="O344" t="s">
        <v>595</v>
      </c>
      <c r="P344" t="s">
        <v>676</v>
      </c>
    </row>
    <row r="345" spans="1:16" ht="15" hidden="1" customHeight="1" x14ac:dyDescent="0.25">
      <c r="A345" s="10">
        <v>27</v>
      </c>
      <c r="B345" s="48">
        <f>B344+7</f>
        <v>44263</v>
      </c>
      <c r="C345" s="17">
        <v>250</v>
      </c>
      <c r="D345" s="17">
        <v>250</v>
      </c>
      <c r="E345" s="16">
        <v>44267</v>
      </c>
      <c r="F345" t="s">
        <v>117</v>
      </c>
      <c r="H345" s="17">
        <f t="shared" si="15"/>
        <v>850</v>
      </c>
      <c r="I345" s="17" t="s">
        <v>100</v>
      </c>
      <c r="J345" s="17" t="s">
        <v>218</v>
      </c>
      <c r="K345" s="230">
        <v>44698</v>
      </c>
      <c r="L345" s="234">
        <v>105.48</v>
      </c>
      <c r="M345" s="49" t="s">
        <v>26</v>
      </c>
      <c r="N345" t="s">
        <v>831</v>
      </c>
      <c r="O345" t="s">
        <v>595</v>
      </c>
      <c r="P345" t="s">
        <v>676</v>
      </c>
    </row>
    <row r="346" spans="1:16" ht="15" hidden="1" customHeight="1" x14ac:dyDescent="0.25">
      <c r="A346" s="10">
        <v>28</v>
      </c>
      <c r="B346" s="48">
        <f>B345+7</f>
        <v>44270</v>
      </c>
      <c r="C346" s="17">
        <v>250</v>
      </c>
      <c r="D346" s="17">
        <v>250</v>
      </c>
      <c r="E346" s="16">
        <v>44257</v>
      </c>
      <c r="F346" t="s">
        <v>117</v>
      </c>
      <c r="H346" s="17">
        <f t="shared" si="15"/>
        <v>850</v>
      </c>
      <c r="I346" s="17" t="s">
        <v>100</v>
      </c>
      <c r="J346" s="17" t="s">
        <v>218</v>
      </c>
      <c r="K346" s="230">
        <v>44699</v>
      </c>
      <c r="L346" s="234">
        <v>230</v>
      </c>
      <c r="M346" s="49" t="s">
        <v>26</v>
      </c>
      <c r="N346" t="s">
        <v>834</v>
      </c>
      <c r="O346" t="s">
        <v>595</v>
      </c>
      <c r="P346" t="s">
        <v>676</v>
      </c>
    </row>
    <row r="347" spans="1:16" ht="15" hidden="1" customHeight="1" x14ac:dyDescent="0.25">
      <c r="A347" s="10">
        <v>29</v>
      </c>
      <c r="B347" s="48">
        <f>B346+7</f>
        <v>44277</v>
      </c>
      <c r="C347" s="17">
        <v>250</v>
      </c>
      <c r="D347" s="17"/>
      <c r="H347" s="17">
        <f t="shared" si="15"/>
        <v>1100</v>
      </c>
      <c r="I347" s="17" t="s">
        <v>100</v>
      </c>
      <c r="J347" s="17" t="s">
        <v>218</v>
      </c>
      <c r="K347" s="230">
        <v>44700</v>
      </c>
      <c r="L347" s="234">
        <v>0.99</v>
      </c>
      <c r="M347" s="49" t="s">
        <v>22</v>
      </c>
      <c r="O347" t="s">
        <v>595</v>
      </c>
      <c r="P347" t="s">
        <v>676</v>
      </c>
    </row>
    <row r="348" spans="1:16" ht="15" customHeight="1" x14ac:dyDescent="0.25">
      <c r="A348" s="10">
        <v>30</v>
      </c>
      <c r="B348" s="48">
        <f t="shared" ref="B348:B355" si="17">B347+7</f>
        <v>44284</v>
      </c>
      <c r="C348" s="17">
        <v>250</v>
      </c>
      <c r="D348" s="17">
        <v>250</v>
      </c>
      <c r="E348" s="16">
        <v>44277</v>
      </c>
      <c r="F348" t="s">
        <v>117</v>
      </c>
      <c r="H348" s="17">
        <f t="shared" si="15"/>
        <v>1100</v>
      </c>
      <c r="I348" s="17" t="s">
        <v>100</v>
      </c>
      <c r="J348" s="17" t="s">
        <v>218</v>
      </c>
      <c r="K348" s="230">
        <v>44725</v>
      </c>
      <c r="L348" s="234">
        <v>-1000</v>
      </c>
      <c r="M348" s="49" t="s">
        <v>133</v>
      </c>
      <c r="N348" t="s">
        <v>839</v>
      </c>
      <c r="O348" t="s">
        <v>595</v>
      </c>
      <c r="P348" t="s">
        <v>676</v>
      </c>
    </row>
    <row r="349" spans="1:16" ht="15" customHeight="1" x14ac:dyDescent="0.25">
      <c r="A349" s="10">
        <v>31</v>
      </c>
      <c r="B349" s="48">
        <f t="shared" si="17"/>
        <v>44291</v>
      </c>
      <c r="C349" s="17">
        <v>250</v>
      </c>
      <c r="D349" s="17"/>
      <c r="H349" s="17">
        <f t="shared" si="15"/>
        <v>1350</v>
      </c>
      <c r="I349" s="17" t="s">
        <v>100</v>
      </c>
      <c r="J349" s="17" t="s">
        <v>218</v>
      </c>
      <c r="K349" s="230">
        <v>44726</v>
      </c>
      <c r="L349" s="234">
        <v>850</v>
      </c>
      <c r="M349" s="49" t="s">
        <v>133</v>
      </c>
      <c r="N349" t="s">
        <v>839</v>
      </c>
      <c r="O349" t="s">
        <v>595</v>
      </c>
      <c r="P349" t="s">
        <v>676</v>
      </c>
    </row>
    <row r="350" spans="1:16" ht="15" hidden="1" customHeight="1" x14ac:dyDescent="0.25">
      <c r="A350" s="10">
        <v>32</v>
      </c>
      <c r="B350" s="48">
        <f t="shared" si="17"/>
        <v>44298</v>
      </c>
      <c r="C350" s="17">
        <v>250</v>
      </c>
      <c r="D350" s="17">
        <v>250</v>
      </c>
      <c r="E350" s="16">
        <v>44286</v>
      </c>
      <c r="F350" t="s">
        <v>117</v>
      </c>
      <c r="H350" s="17">
        <f t="shared" si="15"/>
        <v>1350</v>
      </c>
      <c r="I350" s="17" t="s">
        <v>100</v>
      </c>
      <c r="J350" s="17" t="s">
        <v>218</v>
      </c>
      <c r="K350" s="230">
        <v>44728</v>
      </c>
      <c r="L350" s="234">
        <v>240</v>
      </c>
      <c r="M350" s="49" t="s">
        <v>17</v>
      </c>
      <c r="N350" t="s">
        <v>842</v>
      </c>
      <c r="O350" t="s">
        <v>595</v>
      </c>
      <c r="P350" t="s">
        <v>676</v>
      </c>
    </row>
    <row r="351" spans="1:16" ht="15" hidden="1" customHeight="1" x14ac:dyDescent="0.25">
      <c r="A351" s="10">
        <v>33</v>
      </c>
      <c r="B351" s="48">
        <f t="shared" si="17"/>
        <v>44305</v>
      </c>
      <c r="C351" s="17">
        <v>250</v>
      </c>
      <c r="D351" s="17"/>
      <c r="H351" s="17">
        <f t="shared" si="15"/>
        <v>1600</v>
      </c>
      <c r="I351" s="17" t="s">
        <v>100</v>
      </c>
      <c r="J351" s="17" t="s">
        <v>218</v>
      </c>
      <c r="K351" s="230">
        <v>44706</v>
      </c>
      <c r="L351" s="234">
        <v>2.75</v>
      </c>
      <c r="M351" s="49" t="s">
        <v>22</v>
      </c>
      <c r="O351" t="s">
        <v>595</v>
      </c>
      <c r="P351" t="s">
        <v>676</v>
      </c>
    </row>
    <row r="352" spans="1:16" ht="15" hidden="1" customHeight="1" x14ac:dyDescent="0.25">
      <c r="A352" s="10">
        <v>34</v>
      </c>
      <c r="B352" s="48">
        <f t="shared" si="17"/>
        <v>44312</v>
      </c>
      <c r="C352" s="17">
        <v>250</v>
      </c>
      <c r="D352" s="17"/>
      <c r="E352" s="16"/>
      <c r="H352" s="17">
        <f t="shared" si="15"/>
        <v>1850</v>
      </c>
      <c r="I352" s="17" t="s">
        <v>100</v>
      </c>
      <c r="J352" s="17" t="s">
        <v>218</v>
      </c>
      <c r="K352" s="230">
        <v>44693</v>
      </c>
      <c r="L352" s="234">
        <v>0.99</v>
      </c>
      <c r="M352" s="49" t="s">
        <v>22</v>
      </c>
      <c r="O352" t="s">
        <v>595</v>
      </c>
      <c r="P352" t="s">
        <v>676</v>
      </c>
    </row>
    <row r="353" spans="1:16" ht="15" hidden="1" customHeight="1" x14ac:dyDescent="0.25">
      <c r="A353" s="10">
        <v>35</v>
      </c>
      <c r="B353" s="48">
        <f t="shared" si="17"/>
        <v>44319</v>
      </c>
      <c r="C353" s="17">
        <v>250</v>
      </c>
      <c r="D353" s="17">
        <v>500</v>
      </c>
      <c r="E353" s="16">
        <v>44325</v>
      </c>
      <c r="F353" t="s">
        <v>117</v>
      </c>
      <c r="H353" s="17">
        <f t="shared" si="15"/>
        <v>1600</v>
      </c>
      <c r="I353" s="17" t="s">
        <v>100</v>
      </c>
      <c r="J353" s="17" t="s">
        <v>218</v>
      </c>
      <c r="K353" s="230">
        <v>44692</v>
      </c>
      <c r="L353" s="234">
        <v>2.75</v>
      </c>
      <c r="M353" s="49" t="s">
        <v>22</v>
      </c>
      <c r="O353" t="s">
        <v>595</v>
      </c>
      <c r="P353" t="s">
        <v>676</v>
      </c>
    </row>
    <row r="354" spans="1:16" ht="15" hidden="1" customHeight="1" x14ac:dyDescent="0.25">
      <c r="A354" s="10">
        <v>36</v>
      </c>
      <c r="B354" s="48">
        <f t="shared" si="17"/>
        <v>44326</v>
      </c>
      <c r="C354" s="17">
        <v>250</v>
      </c>
      <c r="E354" s="16"/>
      <c r="H354" s="17">
        <f t="shared" si="15"/>
        <v>1850</v>
      </c>
      <c r="I354" s="17" t="s">
        <v>100</v>
      </c>
      <c r="J354" s="17" t="s">
        <v>218</v>
      </c>
      <c r="K354" s="230">
        <v>44721</v>
      </c>
      <c r="L354" s="234">
        <v>0.99</v>
      </c>
      <c r="M354" s="49" t="s">
        <v>22</v>
      </c>
      <c r="O354" t="s">
        <v>595</v>
      </c>
      <c r="P354" t="s">
        <v>676</v>
      </c>
    </row>
    <row r="355" spans="1:16" ht="15" hidden="1" customHeight="1" x14ac:dyDescent="0.25">
      <c r="A355" s="10">
        <v>37</v>
      </c>
      <c r="B355" s="48">
        <f t="shared" si="17"/>
        <v>44333</v>
      </c>
      <c r="C355" s="17">
        <v>250</v>
      </c>
      <c r="D355" s="17">
        <v>450</v>
      </c>
      <c r="E355" s="16">
        <v>44339</v>
      </c>
      <c r="F355" t="s">
        <v>124</v>
      </c>
      <c r="H355" s="17">
        <f t="shared" si="15"/>
        <v>1650</v>
      </c>
      <c r="I355" s="17" t="s">
        <v>100</v>
      </c>
      <c r="J355" s="17" t="s">
        <v>218</v>
      </c>
      <c r="K355" s="230">
        <v>44728</v>
      </c>
      <c r="L355" s="234">
        <v>0.99</v>
      </c>
      <c r="M355" s="49" t="s">
        <v>22</v>
      </c>
      <c r="O355" t="s">
        <v>595</v>
      </c>
      <c r="P355" t="s">
        <v>676</v>
      </c>
    </row>
    <row r="356" spans="1:16" ht="15" hidden="1" customHeight="1" x14ac:dyDescent="0.25">
      <c r="A356" s="10">
        <v>1</v>
      </c>
      <c r="B356" s="48">
        <v>44348</v>
      </c>
      <c r="C356" s="17">
        <v>400</v>
      </c>
      <c r="D356" s="17">
        <v>400</v>
      </c>
      <c r="E356" s="16">
        <v>44348</v>
      </c>
      <c r="F356" t="s">
        <v>181</v>
      </c>
      <c r="H356" s="17">
        <f t="shared" si="15"/>
        <v>0</v>
      </c>
      <c r="I356" s="17" t="s">
        <v>100</v>
      </c>
      <c r="J356" s="17" t="s">
        <v>606</v>
      </c>
      <c r="K356" s="230">
        <v>44735</v>
      </c>
      <c r="L356" s="234">
        <v>0.99</v>
      </c>
      <c r="M356" s="49" t="s">
        <v>22</v>
      </c>
      <c r="O356" t="s">
        <v>595</v>
      </c>
      <c r="P356" t="s">
        <v>676</v>
      </c>
    </row>
    <row r="357" spans="1:16" ht="15" hidden="1" customHeight="1" x14ac:dyDescent="0.25">
      <c r="A357" s="10">
        <v>2</v>
      </c>
      <c r="B357" s="48">
        <v>44348</v>
      </c>
      <c r="C357" s="17">
        <v>200</v>
      </c>
      <c r="D357" s="17">
        <v>200</v>
      </c>
      <c r="E357" s="16">
        <v>44348</v>
      </c>
      <c r="F357" t="s">
        <v>117</v>
      </c>
      <c r="H357" s="17">
        <f t="shared" si="15"/>
        <v>0</v>
      </c>
      <c r="I357" s="17" t="s">
        <v>100</v>
      </c>
      <c r="J357" s="17" t="s">
        <v>606</v>
      </c>
      <c r="K357" s="230">
        <v>44741</v>
      </c>
      <c r="L357" s="234">
        <v>753.5</v>
      </c>
      <c r="M357" s="49" t="s">
        <v>17</v>
      </c>
      <c r="N357" t="s">
        <v>675</v>
      </c>
      <c r="O357" t="s">
        <v>595</v>
      </c>
      <c r="P357" t="s">
        <v>676</v>
      </c>
    </row>
    <row r="358" spans="1:16" ht="15" hidden="1" customHeight="1" x14ac:dyDescent="0.25">
      <c r="A358" s="10">
        <v>3</v>
      </c>
      <c r="B358" s="48">
        <f t="shared" ref="B358:B364" si="18">B357+7</f>
        <v>44355</v>
      </c>
      <c r="C358" s="17">
        <v>200</v>
      </c>
      <c r="D358" s="17">
        <v>200</v>
      </c>
      <c r="E358" s="16">
        <v>44355</v>
      </c>
      <c r="F358" t="s">
        <v>59</v>
      </c>
      <c r="H358" s="17">
        <f t="shared" si="15"/>
        <v>0</v>
      </c>
      <c r="I358" s="17" t="s">
        <v>100</v>
      </c>
      <c r="J358" s="17" t="s">
        <v>606</v>
      </c>
      <c r="K358" s="230">
        <v>44746</v>
      </c>
      <c r="L358" s="234">
        <v>81</v>
      </c>
      <c r="M358" s="49" t="s">
        <v>32</v>
      </c>
      <c r="O358" t="s">
        <v>595</v>
      </c>
      <c r="P358" t="s">
        <v>676</v>
      </c>
    </row>
    <row r="359" spans="1:16" ht="15" hidden="1" customHeight="1" x14ac:dyDescent="0.25">
      <c r="A359" s="10">
        <v>4</v>
      </c>
      <c r="B359" s="48">
        <f t="shared" si="18"/>
        <v>44362</v>
      </c>
      <c r="C359" s="17">
        <v>200</v>
      </c>
      <c r="D359" s="17">
        <v>200</v>
      </c>
      <c r="E359" s="16">
        <v>44362</v>
      </c>
      <c r="F359" t="s">
        <v>59</v>
      </c>
      <c r="H359" s="17">
        <f t="shared" si="15"/>
        <v>0</v>
      </c>
      <c r="I359" s="17" t="s">
        <v>100</v>
      </c>
      <c r="J359" s="17" t="s">
        <v>606</v>
      </c>
      <c r="K359" s="230">
        <v>44742</v>
      </c>
      <c r="L359" s="234">
        <v>0.99</v>
      </c>
      <c r="M359" s="49" t="s">
        <v>22</v>
      </c>
      <c r="O359" t="s">
        <v>595</v>
      </c>
      <c r="P359" t="s">
        <v>676</v>
      </c>
    </row>
    <row r="360" spans="1:16" ht="15" hidden="1" customHeight="1" x14ac:dyDescent="0.25">
      <c r="A360" s="10">
        <v>5</v>
      </c>
      <c r="B360" s="48">
        <f t="shared" si="18"/>
        <v>44369</v>
      </c>
      <c r="C360" s="17">
        <v>200</v>
      </c>
      <c r="D360" s="17">
        <v>200</v>
      </c>
      <c r="E360" s="16">
        <v>44369</v>
      </c>
      <c r="F360" t="s">
        <v>59</v>
      </c>
      <c r="H360" s="17">
        <f t="shared" si="15"/>
        <v>0</v>
      </c>
      <c r="I360" s="17" t="s">
        <v>100</v>
      </c>
      <c r="J360" s="17" t="s">
        <v>606</v>
      </c>
      <c r="K360" s="230">
        <v>44749</v>
      </c>
      <c r="L360" s="234">
        <v>0.99</v>
      </c>
      <c r="M360" s="49" t="s">
        <v>22</v>
      </c>
      <c r="O360" t="s">
        <v>595</v>
      </c>
      <c r="P360" t="s">
        <v>676</v>
      </c>
    </row>
    <row r="361" spans="1:16" ht="15" hidden="1" customHeight="1" x14ac:dyDescent="0.25">
      <c r="A361" s="10">
        <v>6</v>
      </c>
      <c r="B361" s="48">
        <f t="shared" si="18"/>
        <v>44376</v>
      </c>
      <c r="C361" s="17">
        <v>200</v>
      </c>
      <c r="D361" s="17">
        <v>200</v>
      </c>
      <c r="E361" s="16">
        <v>44376</v>
      </c>
      <c r="F361" t="s">
        <v>59</v>
      </c>
      <c r="H361" s="17">
        <f t="shared" si="15"/>
        <v>0</v>
      </c>
      <c r="I361" s="17" t="s">
        <v>100</v>
      </c>
      <c r="J361" s="17" t="s">
        <v>606</v>
      </c>
      <c r="K361" s="230">
        <v>44748</v>
      </c>
      <c r="L361" s="234">
        <v>2.75</v>
      </c>
      <c r="M361" s="49" t="s">
        <v>22</v>
      </c>
      <c r="O361" t="s">
        <v>595</v>
      </c>
      <c r="P361" t="s">
        <v>676</v>
      </c>
    </row>
    <row r="362" spans="1:16" ht="15" hidden="1" customHeight="1" x14ac:dyDescent="0.25">
      <c r="A362" s="10">
        <v>7</v>
      </c>
      <c r="B362" s="48">
        <f t="shared" si="18"/>
        <v>44383</v>
      </c>
      <c r="C362" s="17">
        <v>200</v>
      </c>
      <c r="D362" s="17">
        <v>200</v>
      </c>
      <c r="E362" s="16">
        <v>44383</v>
      </c>
      <c r="F362" t="s">
        <v>59</v>
      </c>
      <c r="H362" s="17">
        <f t="shared" si="15"/>
        <v>0</v>
      </c>
      <c r="I362" s="17" t="s">
        <v>100</v>
      </c>
      <c r="J362" s="17" t="s">
        <v>606</v>
      </c>
      <c r="K362" s="230">
        <v>44762</v>
      </c>
      <c r="L362" s="234">
        <v>205.68</v>
      </c>
      <c r="M362" s="49" t="s">
        <v>20</v>
      </c>
      <c r="O362" t="s">
        <v>595</v>
      </c>
      <c r="P362" t="s">
        <v>676</v>
      </c>
    </row>
    <row r="363" spans="1:16" ht="15" hidden="1" customHeight="1" x14ac:dyDescent="0.25">
      <c r="A363" s="10">
        <v>8</v>
      </c>
      <c r="B363" s="48">
        <f t="shared" si="18"/>
        <v>44390</v>
      </c>
      <c r="C363" s="17">
        <v>200</v>
      </c>
      <c r="D363" s="17">
        <v>200</v>
      </c>
      <c r="E363" s="16">
        <v>44390</v>
      </c>
      <c r="F363" t="s">
        <v>59</v>
      </c>
      <c r="H363" s="17">
        <f t="shared" si="15"/>
        <v>0</v>
      </c>
      <c r="I363" s="17" t="s">
        <v>100</v>
      </c>
      <c r="J363" s="17" t="s">
        <v>606</v>
      </c>
      <c r="K363" s="230">
        <v>44762</v>
      </c>
      <c r="L363" s="234">
        <v>80</v>
      </c>
      <c r="M363" s="49" t="s">
        <v>98</v>
      </c>
      <c r="O363" t="s">
        <v>595</v>
      </c>
      <c r="P363" t="s">
        <v>676</v>
      </c>
    </row>
    <row r="364" spans="1:16" ht="15" hidden="1" customHeight="1" x14ac:dyDescent="0.25">
      <c r="A364" s="10">
        <v>9</v>
      </c>
      <c r="B364" s="48">
        <f t="shared" si="18"/>
        <v>44397</v>
      </c>
      <c r="C364" s="17">
        <v>200</v>
      </c>
      <c r="D364" s="17">
        <v>200</v>
      </c>
      <c r="E364" s="16">
        <v>44397</v>
      </c>
      <c r="F364" t="s">
        <v>59</v>
      </c>
      <c r="H364" s="17">
        <f t="shared" si="15"/>
        <v>0</v>
      </c>
      <c r="I364" s="17" t="s">
        <v>100</v>
      </c>
      <c r="J364" s="17" t="s">
        <v>606</v>
      </c>
      <c r="K364" s="230">
        <v>44765</v>
      </c>
      <c r="L364" s="234">
        <v>2500</v>
      </c>
      <c r="M364" s="49" t="s">
        <v>17</v>
      </c>
      <c r="N364" t="s">
        <v>867</v>
      </c>
      <c r="O364" t="s">
        <v>595</v>
      </c>
      <c r="P364" t="s">
        <v>676</v>
      </c>
    </row>
    <row r="365" spans="1:16" ht="15" hidden="1" customHeight="1" x14ac:dyDescent="0.25">
      <c r="A365" s="10">
        <v>10</v>
      </c>
      <c r="B365" s="48">
        <f>B364+7</f>
        <v>44404</v>
      </c>
      <c r="C365" s="17">
        <v>200</v>
      </c>
      <c r="D365" s="17">
        <v>200</v>
      </c>
      <c r="E365" s="16">
        <v>44404</v>
      </c>
      <c r="F365" t="s">
        <v>59</v>
      </c>
      <c r="H365" s="17">
        <f t="shared" si="15"/>
        <v>0</v>
      </c>
      <c r="I365" s="17" t="s">
        <v>100</v>
      </c>
      <c r="J365" s="17" t="s">
        <v>606</v>
      </c>
      <c r="K365" s="230">
        <v>44756</v>
      </c>
      <c r="L365" s="234">
        <v>0.99</v>
      </c>
      <c r="M365" s="49" t="s">
        <v>22</v>
      </c>
      <c r="O365" t="s">
        <v>595</v>
      </c>
      <c r="P365" t="s">
        <v>676</v>
      </c>
    </row>
    <row r="366" spans="1:16" ht="15" hidden="1" customHeight="1" x14ac:dyDescent="0.25">
      <c r="A366" s="10">
        <v>11</v>
      </c>
      <c r="B366" s="48">
        <f>B365+7</f>
        <v>44411</v>
      </c>
      <c r="C366" s="17">
        <v>200</v>
      </c>
      <c r="D366" s="17">
        <v>200</v>
      </c>
      <c r="E366" s="16">
        <v>44411</v>
      </c>
      <c r="F366" t="s">
        <v>59</v>
      </c>
      <c r="H366" s="17">
        <f t="shared" si="15"/>
        <v>0</v>
      </c>
      <c r="I366" s="17" t="s">
        <v>100</v>
      </c>
      <c r="J366" s="17" t="s">
        <v>606</v>
      </c>
      <c r="K366" s="230">
        <v>44763</v>
      </c>
      <c r="L366" s="234">
        <v>0.99</v>
      </c>
      <c r="M366" s="49" t="s">
        <v>22</v>
      </c>
      <c r="O366" t="s">
        <v>595</v>
      </c>
      <c r="P366" t="s">
        <v>676</v>
      </c>
    </row>
    <row r="367" spans="1:16" ht="15" hidden="1" customHeight="1" x14ac:dyDescent="0.25">
      <c r="A367" s="10">
        <v>12</v>
      </c>
      <c r="B367" s="48">
        <f>B366+7</f>
        <v>44418</v>
      </c>
      <c r="C367" s="17">
        <v>200</v>
      </c>
      <c r="D367" s="17">
        <v>200</v>
      </c>
      <c r="E367" s="16">
        <v>44418</v>
      </c>
      <c r="F367" t="s">
        <v>124</v>
      </c>
      <c r="H367" s="17">
        <f t="shared" si="15"/>
        <v>0</v>
      </c>
      <c r="I367" s="17" t="s">
        <v>100</v>
      </c>
      <c r="J367" s="17" t="s">
        <v>606</v>
      </c>
      <c r="K367" s="230">
        <v>44762</v>
      </c>
      <c r="L367" s="234">
        <v>2.75</v>
      </c>
      <c r="M367" s="49" t="s">
        <v>22</v>
      </c>
      <c r="O367" t="s">
        <v>595</v>
      </c>
      <c r="P367" t="s">
        <v>676</v>
      </c>
    </row>
    <row r="368" spans="1:16" ht="15" hidden="1" customHeight="1" x14ac:dyDescent="0.25">
      <c r="A368" s="10">
        <v>13</v>
      </c>
      <c r="B368" s="48">
        <f>B367+7</f>
        <v>44425</v>
      </c>
      <c r="C368" s="17">
        <v>200</v>
      </c>
      <c r="D368" s="17">
        <v>200</v>
      </c>
      <c r="E368" s="16">
        <v>44425</v>
      </c>
      <c r="F368" t="s">
        <v>59</v>
      </c>
      <c r="H368" s="17">
        <f t="shared" si="15"/>
        <v>0</v>
      </c>
      <c r="I368" s="17" t="s">
        <v>100</v>
      </c>
      <c r="J368" s="17" t="s">
        <v>606</v>
      </c>
      <c r="K368" s="230">
        <v>44770</v>
      </c>
      <c r="L368" s="234">
        <v>0.99</v>
      </c>
      <c r="M368" s="49" t="s">
        <v>22</v>
      </c>
      <c r="O368" t="s">
        <v>595</v>
      </c>
      <c r="P368" t="s">
        <v>676</v>
      </c>
    </row>
    <row r="369" spans="1:16" ht="15" hidden="1" customHeight="1" x14ac:dyDescent="0.25">
      <c r="A369" s="10">
        <v>1</v>
      </c>
      <c r="B369" s="48">
        <v>44546</v>
      </c>
      <c r="C369" s="17">
        <v>400</v>
      </c>
      <c r="D369" s="17">
        <v>400</v>
      </c>
      <c r="E369" s="16">
        <v>44546</v>
      </c>
      <c r="F369" t="s">
        <v>181</v>
      </c>
      <c r="H369" s="17">
        <f t="shared" si="15"/>
        <v>0</v>
      </c>
      <c r="I369" s="17" t="s">
        <v>100</v>
      </c>
      <c r="J369" s="17"/>
      <c r="K369" s="230">
        <v>44777</v>
      </c>
      <c r="L369" s="234">
        <v>0.99</v>
      </c>
      <c r="M369" s="49" t="s">
        <v>22</v>
      </c>
      <c r="O369" t="s">
        <v>595</v>
      </c>
      <c r="P369" t="s">
        <v>676</v>
      </c>
    </row>
    <row r="370" spans="1:16" ht="15" hidden="1" customHeight="1" x14ac:dyDescent="0.25">
      <c r="A370" s="10">
        <v>2</v>
      </c>
      <c r="B370" s="48">
        <v>44546</v>
      </c>
      <c r="C370" s="17">
        <v>230</v>
      </c>
      <c r="D370" s="17">
        <v>230</v>
      </c>
      <c r="E370" s="16">
        <v>44546</v>
      </c>
      <c r="F370" t="s">
        <v>114</v>
      </c>
      <c r="H370" s="17">
        <f t="shared" si="15"/>
        <v>0</v>
      </c>
      <c r="I370" s="17" t="s">
        <v>100</v>
      </c>
      <c r="J370" s="17"/>
      <c r="K370" s="230">
        <v>44776</v>
      </c>
      <c r="L370" s="234">
        <v>2.75</v>
      </c>
      <c r="M370" s="49" t="s">
        <v>22</v>
      </c>
      <c r="O370" t="s">
        <v>595</v>
      </c>
      <c r="P370" t="s">
        <v>676</v>
      </c>
    </row>
    <row r="371" spans="1:16" ht="15" hidden="1" customHeight="1" x14ac:dyDescent="0.25">
      <c r="A371" s="10">
        <v>1</v>
      </c>
      <c r="B371" s="48">
        <v>44620</v>
      </c>
      <c r="C371" s="17">
        <v>230</v>
      </c>
      <c r="D371" s="17">
        <v>230</v>
      </c>
      <c r="E371" s="16">
        <v>44620</v>
      </c>
      <c r="F371" t="s">
        <v>59</v>
      </c>
      <c r="H371" s="17">
        <f t="shared" si="15"/>
        <v>0</v>
      </c>
      <c r="I371" s="17" t="s">
        <v>100</v>
      </c>
      <c r="J371" t="s">
        <v>785</v>
      </c>
      <c r="K371" s="230">
        <v>44791</v>
      </c>
      <c r="L371" s="234">
        <v>150</v>
      </c>
      <c r="M371" s="49" t="s">
        <v>43</v>
      </c>
      <c r="N371" t="s">
        <v>884</v>
      </c>
      <c r="O371" t="s">
        <v>595</v>
      </c>
      <c r="P371" t="s">
        <v>676</v>
      </c>
    </row>
    <row r="372" spans="1:16" ht="15" hidden="1" customHeight="1" x14ac:dyDescent="0.25">
      <c r="A372" s="10">
        <v>1</v>
      </c>
      <c r="B372" s="48">
        <v>44361</v>
      </c>
      <c r="C372" s="17">
        <v>150</v>
      </c>
      <c r="D372" s="17">
        <v>150</v>
      </c>
      <c r="E372" s="16">
        <v>44361</v>
      </c>
      <c r="F372" s="16" t="s">
        <v>58</v>
      </c>
      <c r="H372" s="17">
        <f>IFERROR(IF(F371="Closed account",(IF(F372="Unpaid Rent",(C372),(C372-D372))),(IF(F372="Unpaid Rent",(C372+H371),(C372-D372+H371)))),"")</f>
        <v>0</v>
      </c>
      <c r="I372" s="17" t="s">
        <v>595</v>
      </c>
      <c r="J372" s="17" t="s">
        <v>655</v>
      </c>
      <c r="K372" s="230">
        <v>44860</v>
      </c>
      <c r="L372" s="234">
        <v>137.5</v>
      </c>
      <c r="M372" s="49" t="s">
        <v>26</v>
      </c>
      <c r="N372" t="s">
        <v>675</v>
      </c>
      <c r="O372" t="s">
        <v>595</v>
      </c>
      <c r="P372" t="s">
        <v>676</v>
      </c>
    </row>
    <row r="373" spans="1:16" ht="15" hidden="1" customHeight="1" x14ac:dyDescent="0.25">
      <c r="A373" s="10">
        <v>2</v>
      </c>
      <c r="B373" s="48">
        <v>44368</v>
      </c>
      <c r="C373" s="17">
        <v>150</v>
      </c>
      <c r="D373" s="17">
        <v>150</v>
      </c>
      <c r="E373" s="16">
        <v>44368</v>
      </c>
      <c r="F373" s="16" t="s">
        <v>124</v>
      </c>
      <c r="H373" s="17">
        <f t="shared" ref="H373:H436" si="19">IFERROR(IF(F372="Closed account",(IF(F373="Unpaid Rent",(C373),(C373-D373))),(IF(F373="Unpaid Rent",(C373+H372),(C373-D373+H372)))),"")</f>
        <v>0</v>
      </c>
      <c r="I373" s="17" t="s">
        <v>595</v>
      </c>
      <c r="J373" s="17" t="s">
        <v>655</v>
      </c>
      <c r="K373" s="16">
        <v>44931</v>
      </c>
      <c r="L373" s="234">
        <v>400</v>
      </c>
      <c r="M373" s="49" t="s">
        <v>17</v>
      </c>
      <c r="N373" t="s">
        <v>953</v>
      </c>
      <c r="O373" t="s">
        <v>595</v>
      </c>
      <c r="P373" t="s">
        <v>676</v>
      </c>
    </row>
    <row r="374" spans="1:16" ht="15" hidden="1" customHeight="1" x14ac:dyDescent="0.25">
      <c r="A374" s="10">
        <v>1</v>
      </c>
      <c r="B374" s="48">
        <v>44354</v>
      </c>
      <c r="C374" s="17">
        <v>580</v>
      </c>
      <c r="D374" s="17">
        <v>580</v>
      </c>
      <c r="E374" s="16">
        <v>44354</v>
      </c>
      <c r="F374" s="16" t="s">
        <v>117</v>
      </c>
      <c r="H374" s="17">
        <f t="shared" si="19"/>
        <v>0</v>
      </c>
      <c r="I374" s="17" t="s">
        <v>595</v>
      </c>
      <c r="J374" s="17" t="s">
        <v>465</v>
      </c>
      <c r="K374" s="230">
        <v>43781</v>
      </c>
      <c r="L374" s="234">
        <v>93.35</v>
      </c>
      <c r="M374" s="49" t="s">
        <v>16</v>
      </c>
      <c r="O374" t="s">
        <v>25</v>
      </c>
      <c r="P374" t="s">
        <v>159</v>
      </c>
    </row>
    <row r="375" spans="1:16" ht="15" hidden="1" customHeight="1" x14ac:dyDescent="0.25">
      <c r="A375" s="10">
        <v>1</v>
      </c>
      <c r="B375" s="48">
        <v>44447</v>
      </c>
      <c r="C375" s="17">
        <v>400</v>
      </c>
      <c r="D375" s="17">
        <v>400</v>
      </c>
      <c r="E375" s="16">
        <v>44447</v>
      </c>
      <c r="F375" s="16" t="s">
        <v>181</v>
      </c>
      <c r="H375" s="17">
        <f t="shared" si="19"/>
        <v>0</v>
      </c>
      <c r="I375" s="17" t="s">
        <v>595</v>
      </c>
      <c r="J375" s="17" t="s">
        <v>696</v>
      </c>
      <c r="K375" s="230">
        <v>43809</v>
      </c>
      <c r="L375" s="234">
        <v>93.35</v>
      </c>
      <c r="M375" s="49" t="s">
        <v>16</v>
      </c>
      <c r="O375" t="s">
        <v>25</v>
      </c>
      <c r="P375" t="s">
        <v>159</v>
      </c>
    </row>
    <row r="376" spans="1:16" ht="15" hidden="1" customHeight="1" x14ac:dyDescent="0.25">
      <c r="A376" s="10">
        <v>1</v>
      </c>
      <c r="B376" s="48">
        <v>44447</v>
      </c>
      <c r="C376" s="17">
        <v>150</v>
      </c>
      <c r="D376" s="17">
        <v>150</v>
      </c>
      <c r="E376" s="16">
        <v>44447</v>
      </c>
      <c r="F376" s="16" t="s">
        <v>117</v>
      </c>
      <c r="H376" s="17">
        <f t="shared" si="19"/>
        <v>0</v>
      </c>
      <c r="I376" s="17" t="s">
        <v>595</v>
      </c>
      <c r="J376" s="17" t="s">
        <v>696</v>
      </c>
      <c r="K376" s="230">
        <v>43809</v>
      </c>
      <c r="L376" s="234">
        <v>460</v>
      </c>
      <c r="M376" s="49" t="s">
        <v>45</v>
      </c>
      <c r="O376" t="s">
        <v>25</v>
      </c>
      <c r="P376" t="s">
        <v>159</v>
      </c>
    </row>
    <row r="377" spans="1:16" ht="15" hidden="1" customHeight="1" x14ac:dyDescent="0.25">
      <c r="A377" s="10">
        <v>2</v>
      </c>
      <c r="B377" s="48">
        <f>B376+7</f>
        <v>44454</v>
      </c>
      <c r="C377" s="17">
        <v>150</v>
      </c>
      <c r="D377" s="17"/>
      <c r="E377" s="16"/>
      <c r="F377" s="16"/>
      <c r="H377" s="17">
        <f t="shared" si="19"/>
        <v>150</v>
      </c>
      <c r="I377" s="17" t="s">
        <v>595</v>
      </c>
      <c r="J377" s="17" t="s">
        <v>696</v>
      </c>
      <c r="K377" s="230">
        <v>43822</v>
      </c>
      <c r="L377" s="234">
        <v>5.5</v>
      </c>
      <c r="M377" s="49" t="s">
        <v>22</v>
      </c>
      <c r="O377" t="s">
        <v>25</v>
      </c>
      <c r="P377" t="s">
        <v>149</v>
      </c>
    </row>
    <row r="378" spans="1:16" ht="15" hidden="1" customHeight="1" x14ac:dyDescent="0.25">
      <c r="A378" s="10">
        <v>3</v>
      </c>
      <c r="B378" s="48">
        <f>B377+7</f>
        <v>44461</v>
      </c>
      <c r="C378" s="17">
        <v>150</v>
      </c>
      <c r="D378" s="17">
        <v>400</v>
      </c>
      <c r="E378" s="16">
        <v>44473</v>
      </c>
      <c r="F378" s="16" t="s">
        <v>157</v>
      </c>
      <c r="H378" s="17">
        <f t="shared" si="19"/>
        <v>-100</v>
      </c>
      <c r="I378" s="17" t="s">
        <v>595</v>
      </c>
      <c r="J378" s="17" t="s">
        <v>696</v>
      </c>
      <c r="K378" s="230">
        <v>43841</v>
      </c>
      <c r="L378" s="234">
        <v>84.97</v>
      </c>
      <c r="M378" s="49" t="s">
        <v>17</v>
      </c>
      <c r="N378" t="s">
        <v>160</v>
      </c>
      <c r="O378" t="s">
        <v>25</v>
      </c>
      <c r="P378" t="s">
        <v>14</v>
      </c>
    </row>
    <row r="379" spans="1:16" ht="15" hidden="1" customHeight="1" x14ac:dyDescent="0.25">
      <c r="A379" s="10">
        <v>4</v>
      </c>
      <c r="B379" s="48">
        <f>B378+7</f>
        <v>44468</v>
      </c>
      <c r="C379" s="17">
        <v>150</v>
      </c>
      <c r="D379" s="17">
        <v>50</v>
      </c>
      <c r="E379" s="16">
        <v>44473</v>
      </c>
      <c r="F379" s="16" t="s">
        <v>124</v>
      </c>
      <c r="H379" s="17">
        <f t="shared" si="19"/>
        <v>0</v>
      </c>
      <c r="I379" s="17" t="s">
        <v>595</v>
      </c>
      <c r="J379" s="17" t="s">
        <v>696</v>
      </c>
      <c r="K379" s="230">
        <v>43843</v>
      </c>
      <c r="L379" s="234">
        <v>9.65</v>
      </c>
      <c r="M379" s="49" t="s">
        <v>32</v>
      </c>
      <c r="O379" t="s">
        <v>25</v>
      </c>
      <c r="P379" t="s">
        <v>149</v>
      </c>
    </row>
    <row r="380" spans="1:16" ht="15" hidden="1" customHeight="1" x14ac:dyDescent="0.25">
      <c r="A380" s="10">
        <v>1</v>
      </c>
      <c r="B380" s="48">
        <v>44496</v>
      </c>
      <c r="C380" s="17">
        <v>220</v>
      </c>
      <c r="D380" s="77">
        <v>220</v>
      </c>
      <c r="E380" s="16">
        <v>44497</v>
      </c>
      <c r="F380" s="16" t="s">
        <v>58</v>
      </c>
      <c r="H380" s="17">
        <f t="shared" si="19"/>
        <v>0</v>
      </c>
      <c r="I380" s="17" t="s">
        <v>595</v>
      </c>
      <c r="J380" s="17" t="s">
        <v>676</v>
      </c>
      <c r="K380" s="230">
        <v>43843</v>
      </c>
      <c r="L380" s="234">
        <v>400</v>
      </c>
      <c r="M380" s="49" t="s">
        <v>45</v>
      </c>
      <c r="O380" t="s">
        <v>25</v>
      </c>
      <c r="P380" t="s">
        <v>149</v>
      </c>
    </row>
    <row r="381" spans="1:16" ht="15" hidden="1" customHeight="1" x14ac:dyDescent="0.25">
      <c r="A381" s="10">
        <v>2</v>
      </c>
      <c r="B381" s="48">
        <f t="shared" ref="B381:B421" si="20">B380+7</f>
        <v>44503</v>
      </c>
      <c r="C381" s="17">
        <v>250</v>
      </c>
      <c r="D381" s="77">
        <v>250</v>
      </c>
      <c r="E381" s="16">
        <v>44504</v>
      </c>
      <c r="F381" s="16" t="s">
        <v>58</v>
      </c>
      <c r="H381" s="17">
        <f t="shared" si="19"/>
        <v>0</v>
      </c>
      <c r="I381" s="17" t="s">
        <v>595</v>
      </c>
      <c r="J381" s="17" t="s">
        <v>676</v>
      </c>
      <c r="K381" s="230">
        <v>43845</v>
      </c>
      <c r="L381" s="234">
        <v>212.34</v>
      </c>
      <c r="M381" s="49" t="s">
        <v>20</v>
      </c>
      <c r="O381" t="s">
        <v>25</v>
      </c>
      <c r="P381" t="s">
        <v>149</v>
      </c>
    </row>
    <row r="382" spans="1:16" ht="15" hidden="1" customHeight="1" x14ac:dyDescent="0.25">
      <c r="A382" s="10">
        <v>3</v>
      </c>
      <c r="B382" s="48">
        <f t="shared" si="20"/>
        <v>44510</v>
      </c>
      <c r="C382" s="17">
        <v>250</v>
      </c>
      <c r="D382" s="77">
        <v>250</v>
      </c>
      <c r="E382" s="16">
        <v>44511</v>
      </c>
      <c r="F382" s="16" t="s">
        <v>58</v>
      </c>
      <c r="H382" s="17">
        <f t="shared" si="19"/>
        <v>0</v>
      </c>
      <c r="I382" s="17" t="s">
        <v>595</v>
      </c>
      <c r="J382" s="17" t="s">
        <v>676</v>
      </c>
      <c r="K382" s="230">
        <v>43846</v>
      </c>
      <c r="L382" s="234">
        <v>60</v>
      </c>
      <c r="M382" s="49" t="s">
        <v>34</v>
      </c>
      <c r="O382" t="s">
        <v>25</v>
      </c>
      <c r="P382" t="s">
        <v>149</v>
      </c>
    </row>
    <row r="383" spans="1:16" ht="15" hidden="1" customHeight="1" x14ac:dyDescent="0.25">
      <c r="A383" s="10">
        <v>4</v>
      </c>
      <c r="B383" s="48">
        <f t="shared" si="20"/>
        <v>44517</v>
      </c>
      <c r="C383" s="17">
        <v>250</v>
      </c>
      <c r="D383" s="77">
        <v>250</v>
      </c>
      <c r="E383" s="16">
        <v>44518</v>
      </c>
      <c r="F383" s="16" t="s">
        <v>58</v>
      </c>
      <c r="H383" s="17">
        <f t="shared" si="19"/>
        <v>0</v>
      </c>
      <c r="I383" s="17" t="s">
        <v>595</v>
      </c>
      <c r="J383" s="17" t="s">
        <v>676</v>
      </c>
      <c r="K383" s="230">
        <v>43846</v>
      </c>
      <c r="L383" s="234">
        <v>48.41</v>
      </c>
      <c r="M383" s="49" t="s">
        <v>32</v>
      </c>
      <c r="O383" t="s">
        <v>25</v>
      </c>
      <c r="P383" t="s">
        <v>149</v>
      </c>
    </row>
    <row r="384" spans="1:16" ht="15" hidden="1" customHeight="1" x14ac:dyDescent="0.25">
      <c r="A384" s="10">
        <v>5</v>
      </c>
      <c r="B384" s="48">
        <f t="shared" si="20"/>
        <v>44524</v>
      </c>
      <c r="C384" s="17">
        <v>250</v>
      </c>
      <c r="D384" s="77">
        <v>250</v>
      </c>
      <c r="E384" s="16">
        <v>44525</v>
      </c>
      <c r="F384" s="16" t="s">
        <v>58</v>
      </c>
      <c r="H384" s="17">
        <f t="shared" si="19"/>
        <v>0</v>
      </c>
      <c r="I384" s="17" t="s">
        <v>595</v>
      </c>
      <c r="J384" s="17" t="s">
        <v>676</v>
      </c>
      <c r="K384" s="230">
        <v>43840</v>
      </c>
      <c r="L384" s="234">
        <v>93.35</v>
      </c>
      <c r="M384" s="49" t="s">
        <v>16</v>
      </c>
      <c r="O384" t="s">
        <v>25</v>
      </c>
      <c r="P384" t="s">
        <v>149</v>
      </c>
    </row>
    <row r="385" spans="1:16" ht="15" hidden="1" customHeight="1" x14ac:dyDescent="0.25">
      <c r="A385" s="10">
        <v>6</v>
      </c>
      <c r="B385" s="48">
        <f t="shared" si="20"/>
        <v>44531</v>
      </c>
      <c r="C385" s="17">
        <v>250</v>
      </c>
      <c r="D385" s="77">
        <v>250</v>
      </c>
      <c r="E385" s="16">
        <v>44532</v>
      </c>
      <c r="F385" s="16" t="s">
        <v>58</v>
      </c>
      <c r="H385" s="17">
        <f t="shared" si="19"/>
        <v>0</v>
      </c>
      <c r="I385" s="17" t="s">
        <v>595</v>
      </c>
      <c r="J385" s="17" t="s">
        <v>676</v>
      </c>
      <c r="K385" s="230">
        <v>43848</v>
      </c>
      <c r="L385" s="234">
        <v>95</v>
      </c>
      <c r="M385" s="49" t="s">
        <v>26</v>
      </c>
      <c r="O385" t="s">
        <v>25</v>
      </c>
      <c r="P385" t="s">
        <v>149</v>
      </c>
    </row>
    <row r="386" spans="1:16" ht="15" hidden="1" customHeight="1" x14ac:dyDescent="0.25">
      <c r="A386" s="10">
        <v>7</v>
      </c>
      <c r="B386" s="48">
        <f t="shared" si="20"/>
        <v>44538</v>
      </c>
      <c r="C386" s="17">
        <v>250</v>
      </c>
      <c r="D386" s="77">
        <v>250</v>
      </c>
      <c r="E386" s="16">
        <v>44539</v>
      </c>
      <c r="F386" s="16" t="s">
        <v>58</v>
      </c>
      <c r="H386" s="17">
        <f t="shared" si="19"/>
        <v>0</v>
      </c>
      <c r="I386" s="17" t="s">
        <v>595</v>
      </c>
      <c r="J386" s="17" t="s">
        <v>676</v>
      </c>
      <c r="K386" s="230">
        <v>43850</v>
      </c>
      <c r="L386" s="234">
        <v>10</v>
      </c>
      <c r="M386" s="49" t="s">
        <v>32</v>
      </c>
      <c r="O386" t="s">
        <v>25</v>
      </c>
      <c r="P386" t="s">
        <v>149</v>
      </c>
    </row>
    <row r="387" spans="1:16" ht="15" hidden="1" customHeight="1" x14ac:dyDescent="0.25">
      <c r="A387" s="10">
        <v>8</v>
      </c>
      <c r="B387" s="48">
        <f t="shared" si="20"/>
        <v>44545</v>
      </c>
      <c r="C387" s="17">
        <v>250</v>
      </c>
      <c r="D387" s="77">
        <v>250</v>
      </c>
      <c r="E387" s="16">
        <v>44546</v>
      </c>
      <c r="F387" s="16" t="s">
        <v>58</v>
      </c>
      <c r="H387" s="17">
        <f>IFERROR(IF(F385="Closed account",(IF(F387="Unpaid Rent",(C387),(C387-D387))),(IF(F387="Unpaid Rent",(C387+H385),(C387-D387+H385)))),"")</f>
        <v>0</v>
      </c>
      <c r="I387" s="17" t="s">
        <v>595</v>
      </c>
      <c r="J387" s="17" t="s">
        <v>676</v>
      </c>
      <c r="K387" s="230">
        <v>43852</v>
      </c>
      <c r="L387" s="234">
        <v>55.1</v>
      </c>
      <c r="M387" s="49" t="s">
        <v>54</v>
      </c>
      <c r="O387" t="s">
        <v>25</v>
      </c>
      <c r="P387" t="s">
        <v>149</v>
      </c>
    </row>
    <row r="388" spans="1:16" ht="15" hidden="1" customHeight="1" x14ac:dyDescent="0.25">
      <c r="A388" s="10">
        <v>9</v>
      </c>
      <c r="B388" s="48">
        <f t="shared" si="20"/>
        <v>44552</v>
      </c>
      <c r="C388" s="17">
        <v>250</v>
      </c>
      <c r="D388" s="77">
        <v>250</v>
      </c>
      <c r="E388" s="16">
        <v>44553</v>
      </c>
      <c r="F388" s="16" t="s">
        <v>58</v>
      </c>
      <c r="H388" s="17">
        <f>IFERROR(IF(F386="Closed account",(IF(F388="Unpaid Rent",(C388),(C388-D388))),(IF(F388="Unpaid Rent",(C388+H386),(C388-D388+H386)))),"")</f>
        <v>0</v>
      </c>
      <c r="I388" s="17" t="s">
        <v>595</v>
      </c>
      <c r="J388" s="17" t="s">
        <v>676</v>
      </c>
      <c r="K388" s="230">
        <v>43864</v>
      </c>
      <c r="L388" s="234">
        <v>5.5</v>
      </c>
      <c r="M388" s="49" t="s">
        <v>22</v>
      </c>
      <c r="O388" t="s">
        <v>25</v>
      </c>
      <c r="P388" t="s">
        <v>162</v>
      </c>
    </row>
    <row r="389" spans="1:16" ht="15" hidden="1" customHeight="1" x14ac:dyDescent="0.25">
      <c r="A389" s="10">
        <v>10</v>
      </c>
      <c r="B389" s="48">
        <f t="shared" si="20"/>
        <v>44559</v>
      </c>
      <c r="C389" s="17">
        <v>250</v>
      </c>
      <c r="D389" s="77">
        <v>250</v>
      </c>
      <c r="E389" s="16">
        <v>44560</v>
      </c>
      <c r="F389" s="16" t="s">
        <v>58</v>
      </c>
      <c r="H389" s="17">
        <f t="shared" si="19"/>
        <v>0</v>
      </c>
      <c r="I389" s="17" t="s">
        <v>595</v>
      </c>
      <c r="J389" s="17" t="s">
        <v>676</v>
      </c>
      <c r="K389" s="230">
        <v>43865</v>
      </c>
      <c r="L389" s="234">
        <v>230</v>
      </c>
      <c r="M389" s="49" t="s">
        <v>45</v>
      </c>
      <c r="O389" t="s">
        <v>25</v>
      </c>
      <c r="P389" t="s">
        <v>162</v>
      </c>
    </row>
    <row r="390" spans="1:16" ht="15" hidden="1" customHeight="1" x14ac:dyDescent="0.25">
      <c r="A390" s="10">
        <v>11</v>
      </c>
      <c r="B390" s="48">
        <f t="shared" si="20"/>
        <v>44566</v>
      </c>
      <c r="C390" s="17">
        <v>250</v>
      </c>
      <c r="D390" s="17">
        <v>250</v>
      </c>
      <c r="E390" s="16">
        <v>44631</v>
      </c>
      <c r="F390" s="16" t="s">
        <v>58</v>
      </c>
      <c r="G390" s="228" t="s">
        <v>812</v>
      </c>
      <c r="H390" s="17">
        <f t="shared" si="19"/>
        <v>0</v>
      </c>
      <c r="I390" s="17" t="s">
        <v>595</v>
      </c>
      <c r="J390" s="17" t="s">
        <v>676</v>
      </c>
      <c r="K390" s="230">
        <v>43872</v>
      </c>
      <c r="L390" s="234">
        <v>190.21</v>
      </c>
      <c r="M390" s="49" t="s">
        <v>16</v>
      </c>
      <c r="O390" t="s">
        <v>25</v>
      </c>
      <c r="P390" t="s">
        <v>139</v>
      </c>
    </row>
    <row r="391" spans="1:16" ht="15" hidden="1" customHeight="1" x14ac:dyDescent="0.25">
      <c r="A391" s="10">
        <v>12</v>
      </c>
      <c r="B391" s="48">
        <f t="shared" si="20"/>
        <v>44573</v>
      </c>
      <c r="C391" s="17">
        <v>250</v>
      </c>
      <c r="D391" s="17">
        <v>250</v>
      </c>
      <c r="E391" s="16">
        <v>44638</v>
      </c>
      <c r="F391" s="16" t="s">
        <v>58</v>
      </c>
      <c r="G391" s="228" t="s">
        <v>812</v>
      </c>
      <c r="H391" s="17">
        <f t="shared" si="19"/>
        <v>0</v>
      </c>
      <c r="I391" s="17" t="s">
        <v>595</v>
      </c>
      <c r="J391" s="17" t="s">
        <v>676</v>
      </c>
      <c r="K391" s="230">
        <v>43895</v>
      </c>
      <c r="L391" s="234">
        <v>190</v>
      </c>
      <c r="M391" s="49" t="s">
        <v>17</v>
      </c>
      <c r="N391" t="s">
        <v>189</v>
      </c>
      <c r="O391" t="s">
        <v>25</v>
      </c>
      <c r="P391" t="s">
        <v>139</v>
      </c>
    </row>
    <row r="392" spans="1:16" ht="15" hidden="1" customHeight="1" x14ac:dyDescent="0.25">
      <c r="A392" s="10">
        <v>13</v>
      </c>
      <c r="B392" s="48">
        <f t="shared" si="20"/>
        <v>44580</v>
      </c>
      <c r="C392" s="17">
        <v>250</v>
      </c>
      <c r="D392" s="17">
        <v>250</v>
      </c>
      <c r="E392" s="16">
        <v>44645</v>
      </c>
      <c r="F392" s="16" t="s">
        <v>58</v>
      </c>
      <c r="G392" s="228" t="s">
        <v>812</v>
      </c>
      <c r="H392" s="17">
        <f t="shared" si="19"/>
        <v>0</v>
      </c>
      <c r="I392" s="17" t="s">
        <v>595</v>
      </c>
      <c r="J392" s="17" t="s">
        <v>676</v>
      </c>
      <c r="K392" s="230">
        <v>43900</v>
      </c>
      <c r="L392" s="234">
        <v>190.21</v>
      </c>
      <c r="M392" s="49" t="s">
        <v>16</v>
      </c>
      <c r="O392" t="s">
        <v>25</v>
      </c>
      <c r="P392" t="s">
        <v>139</v>
      </c>
    </row>
    <row r="393" spans="1:16" ht="15" hidden="1" customHeight="1" x14ac:dyDescent="0.25">
      <c r="A393" s="10">
        <v>14</v>
      </c>
      <c r="B393" s="48">
        <f t="shared" si="20"/>
        <v>44587</v>
      </c>
      <c r="C393" s="17">
        <v>250</v>
      </c>
      <c r="D393" s="17">
        <v>250</v>
      </c>
      <c r="E393" s="16">
        <v>44594</v>
      </c>
      <c r="F393" s="16" t="s">
        <v>58</v>
      </c>
      <c r="H393" s="17">
        <f t="shared" si="19"/>
        <v>0</v>
      </c>
      <c r="I393" s="17" t="s">
        <v>595</v>
      </c>
      <c r="J393" s="17" t="s">
        <v>676</v>
      </c>
      <c r="K393" s="230">
        <v>43928</v>
      </c>
      <c r="L393" s="234">
        <v>212.34</v>
      </c>
      <c r="M393" s="49" t="s">
        <v>20</v>
      </c>
      <c r="O393" t="s">
        <v>25</v>
      </c>
      <c r="P393" t="s">
        <v>139</v>
      </c>
    </row>
    <row r="394" spans="1:16" ht="15" hidden="1" customHeight="1" x14ac:dyDescent="0.25">
      <c r="A394" s="10">
        <v>15</v>
      </c>
      <c r="B394" s="48">
        <f t="shared" si="20"/>
        <v>44594</v>
      </c>
      <c r="C394" s="17">
        <v>250</v>
      </c>
      <c r="D394" s="17">
        <v>250</v>
      </c>
      <c r="E394" s="16">
        <v>44601</v>
      </c>
      <c r="F394" s="16" t="s">
        <v>58</v>
      </c>
      <c r="H394" s="17">
        <f t="shared" si="19"/>
        <v>0</v>
      </c>
      <c r="I394" s="17" t="s">
        <v>595</v>
      </c>
      <c r="J394" s="17" t="s">
        <v>676</v>
      </c>
      <c r="K394" s="230">
        <v>43958</v>
      </c>
      <c r="L394" s="234">
        <v>80</v>
      </c>
      <c r="M394" s="49" t="s">
        <v>26</v>
      </c>
      <c r="O394" t="s">
        <v>25</v>
      </c>
      <c r="P394" t="s">
        <v>139</v>
      </c>
    </row>
    <row r="395" spans="1:16" ht="15" hidden="1" customHeight="1" x14ac:dyDescent="0.25">
      <c r="A395" s="10">
        <v>16</v>
      </c>
      <c r="B395" s="48">
        <f t="shared" si="20"/>
        <v>44601</v>
      </c>
      <c r="C395" s="17">
        <v>250</v>
      </c>
      <c r="D395" s="17">
        <v>250</v>
      </c>
      <c r="E395" s="16">
        <v>44602</v>
      </c>
      <c r="F395" t="s">
        <v>58</v>
      </c>
      <c r="H395" s="17">
        <f t="shared" si="19"/>
        <v>0</v>
      </c>
      <c r="I395" s="17" t="s">
        <v>595</v>
      </c>
      <c r="J395" s="17" t="s">
        <v>676</v>
      </c>
      <c r="K395" s="230">
        <v>43942</v>
      </c>
      <c r="L395" s="234">
        <v>169.85</v>
      </c>
      <c r="M395" s="49" t="s">
        <v>16</v>
      </c>
      <c r="O395" t="s">
        <v>25</v>
      </c>
      <c r="P395" t="s">
        <v>139</v>
      </c>
    </row>
    <row r="396" spans="1:16" ht="15" hidden="1" customHeight="1" x14ac:dyDescent="0.25">
      <c r="A396" s="10">
        <v>17</v>
      </c>
      <c r="B396" s="48">
        <f t="shared" si="20"/>
        <v>44608</v>
      </c>
      <c r="C396" s="17">
        <v>250</v>
      </c>
      <c r="D396" s="17">
        <v>250</v>
      </c>
      <c r="E396" s="16">
        <v>44615</v>
      </c>
      <c r="F396" s="16" t="s">
        <v>58</v>
      </c>
      <c r="H396" s="17">
        <f t="shared" si="19"/>
        <v>0</v>
      </c>
      <c r="I396" s="17" t="s">
        <v>595</v>
      </c>
      <c r="J396" s="17" t="s">
        <v>676</v>
      </c>
      <c r="K396" s="230">
        <v>43963</v>
      </c>
      <c r="L396" s="234">
        <v>169.85</v>
      </c>
      <c r="M396" s="49" t="s">
        <v>16</v>
      </c>
      <c r="O396" t="s">
        <v>25</v>
      </c>
      <c r="P396" t="s">
        <v>139</v>
      </c>
    </row>
    <row r="397" spans="1:16" ht="15" hidden="1" customHeight="1" x14ac:dyDescent="0.25">
      <c r="A397" s="10">
        <v>18</v>
      </c>
      <c r="B397" s="48">
        <f t="shared" si="20"/>
        <v>44615</v>
      </c>
      <c r="C397" s="17">
        <v>250</v>
      </c>
      <c r="D397" s="17">
        <v>250</v>
      </c>
      <c r="E397" s="16">
        <v>44616</v>
      </c>
      <c r="F397" t="s">
        <v>58</v>
      </c>
      <c r="H397" s="17">
        <f t="shared" si="19"/>
        <v>0</v>
      </c>
      <c r="I397" s="17" t="s">
        <v>595</v>
      </c>
      <c r="J397" s="17" t="s">
        <v>676</v>
      </c>
      <c r="K397" s="230">
        <v>44022</v>
      </c>
      <c r="L397" s="234">
        <v>212.34</v>
      </c>
      <c r="M397" s="49" t="s">
        <v>20</v>
      </c>
      <c r="O397" t="s">
        <v>25</v>
      </c>
      <c r="P397" t="s">
        <v>139</v>
      </c>
    </row>
    <row r="398" spans="1:16" ht="15" hidden="1" customHeight="1" x14ac:dyDescent="0.25">
      <c r="A398" s="10">
        <v>19</v>
      </c>
      <c r="B398" s="48">
        <f t="shared" si="20"/>
        <v>44622</v>
      </c>
      <c r="C398" s="17">
        <v>250</v>
      </c>
      <c r="D398" s="17">
        <v>250</v>
      </c>
      <c r="E398" s="16">
        <v>44630</v>
      </c>
      <c r="F398" s="16" t="s">
        <v>58</v>
      </c>
      <c r="H398" s="17">
        <f t="shared" si="19"/>
        <v>0</v>
      </c>
      <c r="I398" s="17" t="s">
        <v>595</v>
      </c>
      <c r="J398" s="17" t="s">
        <v>676</v>
      </c>
      <c r="K398" s="230">
        <v>44054</v>
      </c>
      <c r="L398" s="234">
        <v>460</v>
      </c>
      <c r="M398" s="49" t="s">
        <v>45</v>
      </c>
      <c r="O398" t="s">
        <v>25</v>
      </c>
      <c r="P398" t="s">
        <v>139</v>
      </c>
    </row>
    <row r="399" spans="1:16" ht="15" hidden="1" customHeight="1" x14ac:dyDescent="0.25">
      <c r="A399" s="10">
        <v>20</v>
      </c>
      <c r="B399" s="48">
        <f t="shared" si="20"/>
        <v>44629</v>
      </c>
      <c r="C399" s="17">
        <v>250</v>
      </c>
      <c r="D399" s="17">
        <v>250</v>
      </c>
      <c r="E399" s="16">
        <v>44629</v>
      </c>
      <c r="F399" t="s">
        <v>58</v>
      </c>
      <c r="H399" s="17">
        <f t="shared" si="19"/>
        <v>0</v>
      </c>
      <c r="I399" s="17" t="s">
        <v>595</v>
      </c>
      <c r="J399" s="17" t="s">
        <v>676</v>
      </c>
      <c r="K399" s="230">
        <v>44077</v>
      </c>
      <c r="L399" s="234">
        <v>100</v>
      </c>
      <c r="M399" s="49" t="s">
        <v>45</v>
      </c>
      <c r="O399" t="s">
        <v>25</v>
      </c>
      <c r="P399" t="s">
        <v>215</v>
      </c>
    </row>
    <row r="400" spans="1:16" ht="15" hidden="1" customHeight="1" x14ac:dyDescent="0.25">
      <c r="A400" s="10">
        <v>21</v>
      </c>
      <c r="B400" s="48">
        <f t="shared" si="20"/>
        <v>44636</v>
      </c>
      <c r="C400" s="17">
        <v>250</v>
      </c>
      <c r="D400" s="17">
        <v>250</v>
      </c>
      <c r="E400" s="16">
        <v>44643</v>
      </c>
      <c r="F400" t="s">
        <v>58</v>
      </c>
      <c r="H400" s="17">
        <f t="shared" si="19"/>
        <v>0</v>
      </c>
      <c r="I400" s="17" t="s">
        <v>595</v>
      </c>
      <c r="J400" s="17" t="s">
        <v>676</v>
      </c>
      <c r="K400" s="230">
        <v>44085</v>
      </c>
      <c r="L400" s="234">
        <v>90</v>
      </c>
      <c r="M400" s="49" t="s">
        <v>26</v>
      </c>
      <c r="O400" t="s">
        <v>25</v>
      </c>
      <c r="P400" t="s">
        <v>14</v>
      </c>
    </row>
    <row r="401" spans="1:16" ht="15" hidden="1" customHeight="1" x14ac:dyDescent="0.25">
      <c r="A401" s="10">
        <v>22</v>
      </c>
      <c r="B401" s="48">
        <f t="shared" si="20"/>
        <v>44643</v>
      </c>
      <c r="C401" s="17">
        <v>250</v>
      </c>
      <c r="D401" s="17">
        <v>250</v>
      </c>
      <c r="E401" s="16">
        <v>44644</v>
      </c>
      <c r="F401" t="s">
        <v>58</v>
      </c>
      <c r="H401" s="17">
        <f t="shared" si="19"/>
        <v>0</v>
      </c>
      <c r="I401" s="17" t="s">
        <v>595</v>
      </c>
      <c r="J401" s="17" t="s">
        <v>676</v>
      </c>
      <c r="K401" s="230">
        <v>44085</v>
      </c>
      <c r="L401" s="234">
        <v>122.26</v>
      </c>
      <c r="M401" s="49" t="s">
        <v>16</v>
      </c>
      <c r="O401" t="s">
        <v>25</v>
      </c>
      <c r="P401" t="s">
        <v>14</v>
      </c>
    </row>
    <row r="402" spans="1:16" ht="15" hidden="1" customHeight="1" x14ac:dyDescent="0.25">
      <c r="A402" s="10">
        <v>23</v>
      </c>
      <c r="B402" s="48">
        <f t="shared" si="20"/>
        <v>44650</v>
      </c>
      <c r="C402" s="17">
        <v>250</v>
      </c>
      <c r="D402" s="17"/>
      <c r="E402" s="16"/>
      <c r="H402" s="17">
        <f t="shared" si="19"/>
        <v>250</v>
      </c>
      <c r="I402" s="17" t="s">
        <v>595</v>
      </c>
      <c r="J402" s="17" t="s">
        <v>676</v>
      </c>
      <c r="K402" s="230">
        <v>44088</v>
      </c>
      <c r="L402" s="234">
        <v>340</v>
      </c>
      <c r="M402" s="49" t="s">
        <v>26</v>
      </c>
      <c r="O402" t="s">
        <v>25</v>
      </c>
      <c r="P402" t="s">
        <v>14</v>
      </c>
    </row>
    <row r="403" spans="1:16" ht="15" hidden="1" customHeight="1" x14ac:dyDescent="0.25">
      <c r="A403" s="10">
        <v>24</v>
      </c>
      <c r="B403" s="48">
        <f t="shared" si="20"/>
        <v>44657</v>
      </c>
      <c r="C403" s="17">
        <v>250</v>
      </c>
      <c r="D403" s="17">
        <v>250</v>
      </c>
      <c r="E403" s="16">
        <v>44658</v>
      </c>
      <c r="F403" t="s">
        <v>58</v>
      </c>
      <c r="H403" s="17">
        <f t="shared" si="19"/>
        <v>250</v>
      </c>
      <c r="I403" s="17" t="s">
        <v>595</v>
      </c>
      <c r="J403" s="17" t="s">
        <v>676</v>
      </c>
      <c r="K403" s="230">
        <v>44120</v>
      </c>
      <c r="L403" s="234">
        <v>122.26</v>
      </c>
      <c r="M403" s="49" t="s">
        <v>16</v>
      </c>
      <c r="O403" t="s">
        <v>25</v>
      </c>
      <c r="P403" t="s">
        <v>418</v>
      </c>
    </row>
    <row r="404" spans="1:16" ht="15" hidden="1" customHeight="1" x14ac:dyDescent="0.25">
      <c r="A404" s="10">
        <v>25</v>
      </c>
      <c r="B404" s="48">
        <f t="shared" si="20"/>
        <v>44664</v>
      </c>
      <c r="C404" s="17">
        <v>250</v>
      </c>
      <c r="D404" s="17"/>
      <c r="E404" s="16"/>
      <c r="H404" s="17">
        <f t="shared" si="19"/>
        <v>500</v>
      </c>
      <c r="I404" s="17" t="s">
        <v>595</v>
      </c>
      <c r="J404" s="17" t="s">
        <v>676</v>
      </c>
      <c r="K404" s="230">
        <v>44120</v>
      </c>
      <c r="L404" s="234">
        <v>212.34</v>
      </c>
      <c r="M404" s="49" t="s">
        <v>20</v>
      </c>
      <c r="O404" t="s">
        <v>25</v>
      </c>
      <c r="P404" t="s">
        <v>418</v>
      </c>
    </row>
    <row r="405" spans="1:16" ht="15" hidden="1" customHeight="1" x14ac:dyDescent="0.25">
      <c r="A405" s="10">
        <v>26</v>
      </c>
      <c r="B405" s="48">
        <f t="shared" si="20"/>
        <v>44671</v>
      </c>
      <c r="C405" s="17">
        <v>250</v>
      </c>
      <c r="D405" s="17">
        <v>250</v>
      </c>
      <c r="E405" s="16">
        <v>44672</v>
      </c>
      <c r="F405" t="s">
        <v>58</v>
      </c>
      <c r="H405" s="17">
        <f t="shared" si="19"/>
        <v>500</v>
      </c>
      <c r="I405" s="17" t="s">
        <v>595</v>
      </c>
      <c r="J405" s="17" t="s">
        <v>676</v>
      </c>
      <c r="K405" s="230">
        <v>44149</v>
      </c>
      <c r="L405" s="234">
        <v>122.26</v>
      </c>
      <c r="M405" s="49" t="s">
        <v>16</v>
      </c>
      <c r="O405" t="s">
        <v>25</v>
      </c>
      <c r="P405" t="s">
        <v>418</v>
      </c>
    </row>
    <row r="406" spans="1:16" ht="15" hidden="1" customHeight="1" x14ac:dyDescent="0.25">
      <c r="A406" s="10">
        <v>27</v>
      </c>
      <c r="B406" s="48">
        <f t="shared" si="20"/>
        <v>44678</v>
      </c>
      <c r="C406" s="17">
        <v>250</v>
      </c>
      <c r="D406" s="17"/>
      <c r="E406" s="16"/>
      <c r="H406" s="17">
        <f t="shared" si="19"/>
        <v>750</v>
      </c>
      <c r="I406" s="17" t="s">
        <v>595</v>
      </c>
      <c r="J406" s="17" t="s">
        <v>676</v>
      </c>
      <c r="K406" s="230">
        <v>44177</v>
      </c>
      <c r="L406" s="234">
        <f>280-27.6</f>
        <v>252.4</v>
      </c>
      <c r="M406" s="49" t="s">
        <v>45</v>
      </c>
      <c r="O406" t="s">
        <v>25</v>
      </c>
      <c r="P406" t="s">
        <v>418</v>
      </c>
    </row>
    <row r="407" spans="1:16" ht="15" hidden="1" customHeight="1" x14ac:dyDescent="0.25">
      <c r="A407" s="10">
        <v>28</v>
      </c>
      <c r="B407" s="48">
        <f t="shared" si="20"/>
        <v>44685</v>
      </c>
      <c r="C407" s="17">
        <v>250</v>
      </c>
      <c r="D407" s="17">
        <v>250</v>
      </c>
      <c r="E407" s="16">
        <v>44685</v>
      </c>
      <c r="F407" t="s">
        <v>58</v>
      </c>
      <c r="H407" s="17">
        <f t="shared" si="19"/>
        <v>750</v>
      </c>
      <c r="I407" s="17" t="s">
        <v>595</v>
      </c>
      <c r="J407" s="17" t="s">
        <v>676</v>
      </c>
      <c r="K407" s="230">
        <v>44188</v>
      </c>
      <c r="L407" s="234">
        <v>27.6</v>
      </c>
      <c r="M407" s="49" t="s">
        <v>45</v>
      </c>
      <c r="N407" t="s">
        <v>32</v>
      </c>
      <c r="O407" t="s">
        <v>25</v>
      </c>
      <c r="P407" t="s">
        <v>418</v>
      </c>
    </row>
    <row r="408" spans="1:16" ht="15" hidden="1" customHeight="1" x14ac:dyDescent="0.25">
      <c r="A408" s="10">
        <v>29</v>
      </c>
      <c r="B408" s="48">
        <f t="shared" si="20"/>
        <v>44692</v>
      </c>
      <c r="C408" s="17">
        <v>250</v>
      </c>
      <c r="D408" s="17"/>
      <c r="E408" s="16"/>
      <c r="G408" s="228" t="s">
        <v>534</v>
      </c>
      <c r="H408" s="17">
        <f t="shared" si="19"/>
        <v>1000</v>
      </c>
      <c r="I408" s="17" t="s">
        <v>595</v>
      </c>
      <c r="J408" s="17" t="s">
        <v>676</v>
      </c>
      <c r="K408" s="230">
        <v>44212</v>
      </c>
      <c r="L408" s="234">
        <v>212.34</v>
      </c>
      <c r="M408" s="49" t="s">
        <v>20</v>
      </c>
      <c r="O408" t="s">
        <v>25</v>
      </c>
      <c r="P408" t="s">
        <v>14</v>
      </c>
    </row>
    <row r="409" spans="1:16" ht="15" hidden="1" customHeight="1" x14ac:dyDescent="0.25">
      <c r="A409" s="10">
        <v>30</v>
      </c>
      <c r="B409" s="48">
        <f t="shared" si="20"/>
        <v>44699</v>
      </c>
      <c r="C409" s="17">
        <v>250</v>
      </c>
      <c r="D409" s="17">
        <v>250</v>
      </c>
      <c r="E409" s="16">
        <v>44699</v>
      </c>
      <c r="F409" t="s">
        <v>58</v>
      </c>
      <c r="H409" s="17">
        <f t="shared" si="19"/>
        <v>1000</v>
      </c>
      <c r="I409" s="17" t="s">
        <v>595</v>
      </c>
      <c r="J409" s="17" t="s">
        <v>676</v>
      </c>
      <c r="K409" s="230">
        <v>44219</v>
      </c>
      <c r="L409" s="234">
        <v>66</v>
      </c>
      <c r="M409" s="49" t="s">
        <v>34</v>
      </c>
      <c r="O409" t="s">
        <v>25</v>
      </c>
      <c r="P409" t="s">
        <v>14</v>
      </c>
    </row>
    <row r="410" spans="1:16" ht="15" hidden="1" customHeight="1" x14ac:dyDescent="0.25">
      <c r="A410" s="10">
        <v>31</v>
      </c>
      <c r="B410" s="48">
        <f t="shared" si="20"/>
        <v>44706</v>
      </c>
      <c r="C410" s="17">
        <v>250</v>
      </c>
      <c r="D410" s="17">
        <v>250</v>
      </c>
      <c r="E410" s="16">
        <v>44714</v>
      </c>
      <c r="F410" t="s">
        <v>58</v>
      </c>
      <c r="H410" s="17">
        <f t="shared" si="19"/>
        <v>1000</v>
      </c>
      <c r="I410" s="17" t="s">
        <v>595</v>
      </c>
      <c r="J410" s="17" t="s">
        <v>676</v>
      </c>
      <c r="K410" s="230">
        <v>44222</v>
      </c>
      <c r="L410" s="234">
        <v>66</v>
      </c>
      <c r="M410" s="49" t="s">
        <v>34</v>
      </c>
      <c r="O410" t="s">
        <v>25</v>
      </c>
      <c r="P410" t="s">
        <v>14</v>
      </c>
    </row>
    <row r="411" spans="1:16" ht="15" hidden="1" customHeight="1" x14ac:dyDescent="0.25">
      <c r="A411" s="10">
        <v>32</v>
      </c>
      <c r="B411" s="48">
        <f t="shared" si="20"/>
        <v>44713</v>
      </c>
      <c r="C411" s="17">
        <v>250</v>
      </c>
      <c r="D411" s="17">
        <v>250</v>
      </c>
      <c r="E411" s="16">
        <v>44727</v>
      </c>
      <c r="F411" t="s">
        <v>58</v>
      </c>
      <c r="H411" s="17">
        <f t="shared" si="19"/>
        <v>1000</v>
      </c>
      <c r="I411" s="17" t="s">
        <v>595</v>
      </c>
      <c r="J411" s="17" t="s">
        <v>676</v>
      </c>
      <c r="K411" s="230">
        <v>44236</v>
      </c>
      <c r="L411" s="234">
        <v>260</v>
      </c>
      <c r="M411" s="49" t="s">
        <v>17</v>
      </c>
      <c r="O411" t="s">
        <v>25</v>
      </c>
      <c r="P411" t="s">
        <v>14</v>
      </c>
    </row>
    <row r="412" spans="1:16" ht="15" hidden="1" customHeight="1" x14ac:dyDescent="0.25">
      <c r="A412" s="10">
        <v>33</v>
      </c>
      <c r="B412" s="48">
        <f t="shared" si="20"/>
        <v>44720</v>
      </c>
      <c r="C412" s="17">
        <v>250</v>
      </c>
      <c r="D412" s="17">
        <v>500</v>
      </c>
      <c r="E412" s="16">
        <v>44733</v>
      </c>
      <c r="F412" t="s">
        <v>117</v>
      </c>
      <c r="H412" s="17">
        <f t="shared" si="19"/>
        <v>750</v>
      </c>
      <c r="I412" s="17" t="s">
        <v>595</v>
      </c>
      <c r="J412" s="17" t="s">
        <v>676</v>
      </c>
      <c r="K412" s="230">
        <v>44254</v>
      </c>
      <c r="L412" s="234">
        <v>400</v>
      </c>
      <c r="M412" s="49" t="s">
        <v>45</v>
      </c>
      <c r="O412" t="s">
        <v>25</v>
      </c>
      <c r="P412" t="s">
        <v>464</v>
      </c>
    </row>
    <row r="413" spans="1:16" ht="15" hidden="1" customHeight="1" x14ac:dyDescent="0.25">
      <c r="A413" s="10">
        <v>34</v>
      </c>
      <c r="B413" s="48">
        <f t="shared" si="20"/>
        <v>44727</v>
      </c>
      <c r="C413" s="17">
        <v>250</v>
      </c>
      <c r="D413" s="17">
        <v>250</v>
      </c>
      <c r="E413" s="16">
        <v>44734</v>
      </c>
      <c r="F413" t="s">
        <v>117</v>
      </c>
      <c r="H413" s="17">
        <f t="shared" si="19"/>
        <v>750</v>
      </c>
      <c r="I413" s="17" t="s">
        <v>595</v>
      </c>
      <c r="J413" s="17" t="s">
        <v>676</v>
      </c>
      <c r="K413" s="230">
        <v>44279</v>
      </c>
      <c r="L413" s="234">
        <v>150</v>
      </c>
      <c r="M413" s="49" t="s">
        <v>17</v>
      </c>
      <c r="N413" t="s">
        <v>436</v>
      </c>
      <c r="O413" t="s">
        <v>25</v>
      </c>
      <c r="P413" t="s">
        <v>14</v>
      </c>
    </row>
    <row r="414" spans="1:16" ht="15" hidden="1" customHeight="1" x14ac:dyDescent="0.25">
      <c r="A414" s="10">
        <v>35</v>
      </c>
      <c r="B414" s="48">
        <f t="shared" si="20"/>
        <v>44734</v>
      </c>
      <c r="C414" s="17">
        <v>250</v>
      </c>
      <c r="D414" s="17">
        <v>750</v>
      </c>
      <c r="E414" s="16">
        <v>44739</v>
      </c>
      <c r="F414" t="s">
        <v>117</v>
      </c>
      <c r="H414" s="17">
        <f t="shared" si="19"/>
        <v>250</v>
      </c>
      <c r="I414" s="17" t="s">
        <v>595</v>
      </c>
      <c r="J414" s="17" t="s">
        <v>676</v>
      </c>
      <c r="K414" s="230">
        <v>44282</v>
      </c>
      <c r="L414" s="234">
        <v>19.309999999999999</v>
      </c>
      <c r="M414" s="49" t="s">
        <v>32</v>
      </c>
      <c r="O414" t="s">
        <v>25</v>
      </c>
      <c r="P414" t="s">
        <v>510</v>
      </c>
    </row>
    <row r="415" spans="1:16" ht="15" hidden="1" customHeight="1" x14ac:dyDescent="0.25">
      <c r="A415" s="10">
        <v>36</v>
      </c>
      <c r="B415" s="48">
        <f t="shared" si="20"/>
        <v>44741</v>
      </c>
      <c r="C415" s="17">
        <v>250</v>
      </c>
      <c r="D415" s="17">
        <v>250</v>
      </c>
      <c r="E415" s="16">
        <v>44741</v>
      </c>
      <c r="F415" t="s">
        <v>117</v>
      </c>
      <c r="H415" s="17">
        <f t="shared" si="19"/>
        <v>250</v>
      </c>
      <c r="I415" s="17" t="s">
        <v>595</v>
      </c>
      <c r="J415" s="17" t="s">
        <v>676</v>
      </c>
      <c r="K415" s="230">
        <v>44301</v>
      </c>
      <c r="L415" s="234">
        <v>212.34</v>
      </c>
      <c r="M415" s="49" t="s">
        <v>20</v>
      </c>
      <c r="O415" t="s">
        <v>25</v>
      </c>
      <c r="P415" t="s">
        <v>14</v>
      </c>
    </row>
    <row r="416" spans="1:16" ht="15" hidden="1" customHeight="1" x14ac:dyDescent="0.25">
      <c r="A416" s="10">
        <v>37</v>
      </c>
      <c r="B416" s="48">
        <f t="shared" si="20"/>
        <v>44748</v>
      </c>
      <c r="C416" s="17">
        <v>250</v>
      </c>
      <c r="D416" s="17">
        <v>250</v>
      </c>
      <c r="E416" s="16">
        <v>44755</v>
      </c>
      <c r="F416" t="s">
        <v>117</v>
      </c>
      <c r="H416" s="17">
        <f t="shared" si="19"/>
        <v>250</v>
      </c>
      <c r="I416" s="17" t="s">
        <v>595</v>
      </c>
      <c r="J416" s="17" t="s">
        <v>676</v>
      </c>
      <c r="K416" s="230">
        <v>44310</v>
      </c>
      <c r="L416" s="234">
        <v>200</v>
      </c>
      <c r="M416" s="49" t="s">
        <v>53</v>
      </c>
      <c r="O416" t="s">
        <v>25</v>
      </c>
      <c r="P416" t="s">
        <v>14</v>
      </c>
    </row>
    <row r="417" spans="1:16" ht="15" hidden="1" customHeight="1" x14ac:dyDescent="0.25">
      <c r="A417" s="10">
        <v>38</v>
      </c>
      <c r="B417" s="48">
        <f t="shared" si="20"/>
        <v>44755</v>
      </c>
      <c r="C417" s="17">
        <v>250</v>
      </c>
      <c r="D417" s="17">
        <v>250</v>
      </c>
      <c r="E417" s="16">
        <v>44769</v>
      </c>
      <c r="F417" t="s">
        <v>58</v>
      </c>
      <c r="H417" s="17">
        <f t="shared" si="19"/>
        <v>250</v>
      </c>
      <c r="I417" s="17" t="s">
        <v>595</v>
      </c>
      <c r="J417" s="17" t="s">
        <v>676</v>
      </c>
      <c r="K417" s="230">
        <v>44314</v>
      </c>
      <c r="L417" s="234">
        <v>28.79</v>
      </c>
      <c r="M417" s="49" t="s">
        <v>32</v>
      </c>
      <c r="O417" t="s">
        <v>25</v>
      </c>
      <c r="P417" t="s">
        <v>14</v>
      </c>
    </row>
    <row r="418" spans="1:16" ht="15" hidden="1" customHeight="1" x14ac:dyDescent="0.25">
      <c r="A418" s="10">
        <v>39</v>
      </c>
      <c r="B418" s="48">
        <f t="shared" si="20"/>
        <v>44762</v>
      </c>
      <c r="C418" s="17">
        <v>250</v>
      </c>
      <c r="D418" s="17">
        <v>500</v>
      </c>
      <c r="E418" s="16">
        <v>44775</v>
      </c>
      <c r="F418" t="s">
        <v>117</v>
      </c>
      <c r="H418" s="17">
        <f t="shared" si="19"/>
        <v>0</v>
      </c>
      <c r="I418" s="17" t="s">
        <v>595</v>
      </c>
      <c r="J418" s="17" t="s">
        <v>676</v>
      </c>
      <c r="K418" s="230">
        <v>44315</v>
      </c>
      <c r="L418" s="234">
        <v>115</v>
      </c>
      <c r="M418" s="49" t="s">
        <v>17</v>
      </c>
      <c r="N418" t="s">
        <v>156</v>
      </c>
      <c r="O418" t="s">
        <v>25</v>
      </c>
      <c r="P418" t="s">
        <v>14</v>
      </c>
    </row>
    <row r="419" spans="1:16" ht="15" hidden="1" customHeight="1" x14ac:dyDescent="0.25">
      <c r="A419" s="10">
        <v>40</v>
      </c>
      <c r="B419" s="48">
        <f t="shared" si="20"/>
        <v>44769</v>
      </c>
      <c r="C419" s="17">
        <v>250</v>
      </c>
      <c r="D419" s="17">
        <v>250</v>
      </c>
      <c r="E419" s="16">
        <v>44783</v>
      </c>
      <c r="F419" t="s">
        <v>117</v>
      </c>
      <c r="H419" s="17">
        <f t="shared" si="19"/>
        <v>0</v>
      </c>
      <c r="I419" s="17" t="s">
        <v>595</v>
      </c>
      <c r="J419" s="17" t="s">
        <v>676</v>
      </c>
      <c r="K419" s="230">
        <v>44315</v>
      </c>
      <c r="L419" s="234">
        <v>99</v>
      </c>
      <c r="M419" s="49" t="s">
        <v>17</v>
      </c>
      <c r="N419" t="s">
        <v>438</v>
      </c>
      <c r="O419" t="s">
        <v>25</v>
      </c>
      <c r="P419" t="s">
        <v>14</v>
      </c>
    </row>
    <row r="420" spans="1:16" ht="15" hidden="1" customHeight="1" x14ac:dyDescent="0.25">
      <c r="A420" s="10">
        <v>41</v>
      </c>
      <c r="B420" s="48">
        <f t="shared" si="20"/>
        <v>44776</v>
      </c>
      <c r="C420" s="17">
        <v>270</v>
      </c>
      <c r="D420" s="17">
        <v>270</v>
      </c>
      <c r="E420" s="16">
        <v>44788</v>
      </c>
      <c r="F420" t="s">
        <v>117</v>
      </c>
      <c r="H420" s="17">
        <f t="shared" si="19"/>
        <v>0</v>
      </c>
      <c r="I420" s="17" t="s">
        <v>595</v>
      </c>
      <c r="J420" s="17" t="s">
        <v>676</v>
      </c>
      <c r="K420" s="230">
        <v>44320</v>
      </c>
      <c r="L420" s="234">
        <v>19.8</v>
      </c>
      <c r="M420" s="49" t="s">
        <v>32</v>
      </c>
      <c r="O420" t="s">
        <v>25</v>
      </c>
      <c r="P420" t="s">
        <v>14</v>
      </c>
    </row>
    <row r="421" spans="1:16" ht="15" hidden="1" customHeight="1" x14ac:dyDescent="0.25">
      <c r="A421" s="10">
        <v>42</v>
      </c>
      <c r="B421" s="48">
        <f t="shared" si="20"/>
        <v>44783</v>
      </c>
      <c r="C421" s="17">
        <v>1270</v>
      </c>
      <c r="D421" s="17">
        <v>1270</v>
      </c>
      <c r="E421" s="16">
        <v>44797</v>
      </c>
      <c r="F421" t="s">
        <v>117</v>
      </c>
      <c r="H421" s="17">
        <f t="shared" si="19"/>
        <v>0</v>
      </c>
      <c r="I421" s="17" t="s">
        <v>595</v>
      </c>
      <c r="J421" s="17" t="s">
        <v>676</v>
      </c>
      <c r="K421" s="230">
        <v>44329</v>
      </c>
      <c r="L421" s="234">
        <v>10.35</v>
      </c>
      <c r="M421" s="49" t="s">
        <v>32</v>
      </c>
      <c r="O421" t="s">
        <v>25</v>
      </c>
      <c r="P421" t="s">
        <v>14</v>
      </c>
    </row>
    <row r="422" spans="1:16" ht="15" hidden="1" customHeight="1" x14ac:dyDescent="0.25">
      <c r="A422" s="10">
        <v>1</v>
      </c>
      <c r="B422" s="48">
        <v>43777</v>
      </c>
      <c r="C422" s="17">
        <v>460</v>
      </c>
      <c r="D422" s="17">
        <v>460</v>
      </c>
      <c r="E422" s="16">
        <v>43781</v>
      </c>
      <c r="F422" s="16" t="s">
        <v>181</v>
      </c>
      <c r="G422" s="228">
        <v>130000</v>
      </c>
      <c r="H422" s="17">
        <f t="shared" si="19"/>
        <v>0</v>
      </c>
      <c r="I422" s="17" t="s">
        <v>25</v>
      </c>
      <c r="J422" s="17" t="s">
        <v>159</v>
      </c>
      <c r="K422" s="230">
        <v>44333</v>
      </c>
      <c r="L422" s="234">
        <v>40</v>
      </c>
      <c r="M422" s="49" t="s">
        <v>17</v>
      </c>
      <c r="N422" t="s">
        <v>586</v>
      </c>
      <c r="O422" t="s">
        <v>25</v>
      </c>
      <c r="P422" t="s">
        <v>14</v>
      </c>
    </row>
    <row r="423" spans="1:16" ht="15" customHeight="1" x14ac:dyDescent="0.25">
      <c r="A423" s="10">
        <v>1</v>
      </c>
      <c r="B423" s="48">
        <v>43777</v>
      </c>
      <c r="C423" s="17">
        <v>230</v>
      </c>
      <c r="D423" s="17">
        <v>230</v>
      </c>
      <c r="E423" s="16">
        <v>43781</v>
      </c>
      <c r="F423" s="16" t="s">
        <v>114</v>
      </c>
      <c r="H423" s="17">
        <f t="shared" si="19"/>
        <v>0</v>
      </c>
      <c r="I423" s="17" t="s">
        <v>25</v>
      </c>
      <c r="J423" s="17" t="s">
        <v>159</v>
      </c>
      <c r="K423" s="230">
        <v>44370</v>
      </c>
      <c r="L423" s="234">
        <v>350</v>
      </c>
      <c r="M423" s="49" t="s">
        <v>133</v>
      </c>
      <c r="N423" t="s">
        <v>623</v>
      </c>
      <c r="O423" t="s">
        <v>25</v>
      </c>
      <c r="P423" t="s">
        <v>14</v>
      </c>
    </row>
    <row r="424" spans="1:16" ht="15" hidden="1" customHeight="1" x14ac:dyDescent="0.25">
      <c r="A424" s="10">
        <v>2</v>
      </c>
      <c r="B424" s="48">
        <v>43784</v>
      </c>
      <c r="C424" s="17">
        <v>230</v>
      </c>
      <c r="D424" s="17">
        <v>230</v>
      </c>
      <c r="E424" s="16">
        <v>43789</v>
      </c>
      <c r="F424" s="16" t="s">
        <v>114</v>
      </c>
      <c r="H424" s="17">
        <f t="shared" si="19"/>
        <v>0</v>
      </c>
      <c r="I424" s="17" t="s">
        <v>25</v>
      </c>
      <c r="J424" s="17" t="s">
        <v>159</v>
      </c>
      <c r="K424" s="230">
        <v>44397</v>
      </c>
      <c r="L424" s="234">
        <v>215.14</v>
      </c>
      <c r="M424" s="49" t="s">
        <v>20</v>
      </c>
      <c r="O424" t="s">
        <v>25</v>
      </c>
      <c r="P424" t="s">
        <v>14</v>
      </c>
    </row>
    <row r="425" spans="1:16" ht="15" hidden="1" customHeight="1" x14ac:dyDescent="0.25">
      <c r="A425" s="10">
        <v>3</v>
      </c>
      <c r="B425" s="48">
        <v>43791</v>
      </c>
      <c r="C425" s="17">
        <v>230</v>
      </c>
      <c r="D425" s="17"/>
      <c r="E425" s="16"/>
      <c r="F425" s="16"/>
      <c r="H425" s="17">
        <f t="shared" si="19"/>
        <v>230</v>
      </c>
      <c r="I425" s="17" t="s">
        <v>25</v>
      </c>
      <c r="J425" s="17" t="s">
        <v>159</v>
      </c>
      <c r="K425" s="230">
        <v>44446</v>
      </c>
      <c r="L425" s="234">
        <v>180</v>
      </c>
      <c r="M425" s="49" t="s">
        <v>17</v>
      </c>
      <c r="N425" t="s">
        <v>470</v>
      </c>
      <c r="O425" t="s">
        <v>25</v>
      </c>
      <c r="P425" t="s">
        <v>14</v>
      </c>
    </row>
    <row r="426" spans="1:16" ht="15" hidden="1" customHeight="1" x14ac:dyDescent="0.25">
      <c r="A426" s="10">
        <v>4</v>
      </c>
      <c r="B426" s="48">
        <v>43798</v>
      </c>
      <c r="C426" s="17">
        <v>230</v>
      </c>
      <c r="D426" s="17">
        <v>460</v>
      </c>
      <c r="E426" s="16">
        <v>43806</v>
      </c>
      <c r="F426" s="16" t="s">
        <v>114</v>
      </c>
      <c r="H426" s="17">
        <f t="shared" si="19"/>
        <v>0</v>
      </c>
      <c r="I426" s="17" t="s">
        <v>25</v>
      </c>
      <c r="J426" s="17" t="s">
        <v>159</v>
      </c>
      <c r="K426" s="230">
        <v>44525</v>
      </c>
      <c r="L426" s="234">
        <v>400</v>
      </c>
      <c r="M426" s="49" t="s">
        <v>45</v>
      </c>
      <c r="O426" t="s">
        <v>25</v>
      </c>
      <c r="P426" t="s">
        <v>655</v>
      </c>
    </row>
    <row r="427" spans="1:16" ht="15" customHeight="1" x14ac:dyDescent="0.25">
      <c r="A427" s="10">
        <v>5</v>
      </c>
      <c r="B427" s="48">
        <v>43805</v>
      </c>
      <c r="C427" s="17">
        <v>250</v>
      </c>
      <c r="D427" s="17">
        <f>100+150</f>
        <v>250</v>
      </c>
      <c r="E427" s="16">
        <v>43809</v>
      </c>
      <c r="F427" s="16" t="s">
        <v>124</v>
      </c>
      <c r="H427" s="17">
        <f t="shared" si="19"/>
        <v>0</v>
      </c>
      <c r="I427" s="17" t="s">
        <v>25</v>
      </c>
      <c r="J427" s="17" t="s">
        <v>159</v>
      </c>
      <c r="K427" s="230">
        <v>44540</v>
      </c>
      <c r="L427" s="234">
        <v>165</v>
      </c>
      <c r="M427" s="49" t="s">
        <v>133</v>
      </c>
      <c r="O427" t="s">
        <v>25</v>
      </c>
      <c r="P427" t="s">
        <v>14</v>
      </c>
    </row>
    <row r="428" spans="1:16" ht="15" hidden="1" customHeight="1" x14ac:dyDescent="0.25">
      <c r="A428" s="10">
        <v>1</v>
      </c>
      <c r="B428" s="48">
        <v>43811</v>
      </c>
      <c r="C428" s="17">
        <v>400</v>
      </c>
      <c r="D428" s="17">
        <v>400</v>
      </c>
      <c r="E428" s="16">
        <v>43816</v>
      </c>
      <c r="F428" s="16" t="s">
        <v>181</v>
      </c>
      <c r="G428" s="228">
        <v>137466</v>
      </c>
      <c r="H428" s="17">
        <f t="shared" si="19"/>
        <v>0</v>
      </c>
      <c r="I428" s="17" t="s">
        <v>25</v>
      </c>
      <c r="J428" s="17" t="s">
        <v>149</v>
      </c>
      <c r="K428" s="230">
        <v>44541</v>
      </c>
      <c r="L428" s="234">
        <v>300</v>
      </c>
      <c r="M428" s="49" t="s">
        <v>45</v>
      </c>
      <c r="O428" t="s">
        <v>25</v>
      </c>
      <c r="P428" t="s">
        <v>736</v>
      </c>
    </row>
    <row r="429" spans="1:16" ht="15" hidden="1" customHeight="1" x14ac:dyDescent="0.25">
      <c r="A429" s="10">
        <v>1</v>
      </c>
      <c r="B429" s="48">
        <v>43811</v>
      </c>
      <c r="C429" s="17">
        <v>200</v>
      </c>
      <c r="D429" s="17">
        <v>200</v>
      </c>
      <c r="E429" s="16">
        <v>43816</v>
      </c>
      <c r="F429" s="16" t="s">
        <v>114</v>
      </c>
      <c r="G429" s="228">
        <v>137466</v>
      </c>
      <c r="H429" s="17">
        <f t="shared" si="19"/>
        <v>0</v>
      </c>
      <c r="I429" s="17" t="s">
        <v>25</v>
      </c>
      <c r="J429" s="17" t="s">
        <v>149</v>
      </c>
      <c r="K429" s="230">
        <v>44536</v>
      </c>
      <c r="L429" s="234">
        <v>5.5</v>
      </c>
      <c r="M429" s="49" t="s">
        <v>22</v>
      </c>
      <c r="O429" t="s">
        <v>25</v>
      </c>
      <c r="P429" t="s">
        <v>736</v>
      </c>
    </row>
    <row r="430" spans="1:16" ht="15" hidden="1" customHeight="1" x14ac:dyDescent="0.25">
      <c r="A430" s="10">
        <v>2</v>
      </c>
      <c r="B430" s="48">
        <v>43818</v>
      </c>
      <c r="C430" s="17">
        <v>200</v>
      </c>
      <c r="D430" s="17">
        <v>200</v>
      </c>
      <c r="E430" s="16">
        <v>43822</v>
      </c>
      <c r="F430" s="16" t="s">
        <v>114</v>
      </c>
      <c r="H430" s="17">
        <f t="shared" si="19"/>
        <v>0</v>
      </c>
      <c r="I430" s="17" t="s">
        <v>25</v>
      </c>
      <c r="J430" s="17" t="s">
        <v>149</v>
      </c>
      <c r="K430" s="230">
        <v>44559</v>
      </c>
      <c r="L430" s="234">
        <v>2.75</v>
      </c>
      <c r="M430" s="49" t="s">
        <v>22</v>
      </c>
      <c r="O430" t="s">
        <v>25</v>
      </c>
      <c r="P430" t="s">
        <v>771</v>
      </c>
    </row>
    <row r="431" spans="1:16" ht="15" hidden="1" customHeight="1" x14ac:dyDescent="0.25">
      <c r="A431" s="10">
        <v>3</v>
      </c>
      <c r="B431" s="48">
        <v>43825</v>
      </c>
      <c r="C431" s="17">
        <v>200</v>
      </c>
      <c r="D431" s="17">
        <v>200</v>
      </c>
      <c r="E431" s="16">
        <v>43825</v>
      </c>
      <c r="F431" s="16" t="s">
        <v>114</v>
      </c>
      <c r="H431" s="17">
        <f t="shared" si="19"/>
        <v>0</v>
      </c>
      <c r="I431" s="17" t="s">
        <v>25</v>
      </c>
      <c r="J431" s="17" t="s">
        <v>149</v>
      </c>
      <c r="K431" s="230">
        <v>44559</v>
      </c>
      <c r="L431" s="234">
        <v>0.99</v>
      </c>
      <c r="M431" s="49" t="s">
        <v>22</v>
      </c>
      <c r="O431" t="s">
        <v>25</v>
      </c>
      <c r="P431" t="s">
        <v>771</v>
      </c>
    </row>
    <row r="432" spans="1:16" ht="15" hidden="1" customHeight="1" x14ac:dyDescent="0.25">
      <c r="A432" s="10">
        <v>4</v>
      </c>
      <c r="B432" s="48">
        <v>43832</v>
      </c>
      <c r="C432" s="17">
        <v>200</v>
      </c>
      <c r="D432" s="17">
        <v>200</v>
      </c>
      <c r="E432" s="16">
        <v>43832</v>
      </c>
      <c r="F432" s="16" t="s">
        <v>114</v>
      </c>
      <c r="G432" s="228">
        <v>140698</v>
      </c>
      <c r="H432" s="17">
        <f t="shared" si="19"/>
        <v>0</v>
      </c>
      <c r="I432" s="17" t="s">
        <v>25</v>
      </c>
      <c r="J432" s="77" t="s">
        <v>149</v>
      </c>
      <c r="K432" s="230">
        <v>44545</v>
      </c>
      <c r="L432" s="234">
        <v>0.99</v>
      </c>
      <c r="M432" s="49" t="s">
        <v>22</v>
      </c>
      <c r="O432" t="s">
        <v>25</v>
      </c>
      <c r="P432" t="s">
        <v>771</v>
      </c>
    </row>
    <row r="433" spans="1:16" ht="15" hidden="1" customHeight="1" x14ac:dyDescent="0.25">
      <c r="A433" s="10">
        <v>5</v>
      </c>
      <c r="B433" s="48">
        <v>43834</v>
      </c>
      <c r="C433" s="17">
        <v>70</v>
      </c>
      <c r="D433" s="17">
        <v>70</v>
      </c>
      <c r="E433" s="16">
        <v>43834</v>
      </c>
      <c r="F433" s="16" t="s">
        <v>124</v>
      </c>
      <c r="G433" s="228" t="s">
        <v>161</v>
      </c>
      <c r="H433" s="17">
        <f t="shared" si="19"/>
        <v>0</v>
      </c>
      <c r="I433" s="17" t="s">
        <v>25</v>
      </c>
      <c r="J433" s="17" t="s">
        <v>149</v>
      </c>
      <c r="K433" s="230">
        <v>44552</v>
      </c>
      <c r="L433" s="234">
        <v>0.99</v>
      </c>
      <c r="M433" s="49" t="s">
        <v>22</v>
      </c>
      <c r="O433" t="s">
        <v>25</v>
      </c>
      <c r="P433" t="s">
        <v>771</v>
      </c>
    </row>
    <row r="434" spans="1:16" ht="15" hidden="1" customHeight="1" x14ac:dyDescent="0.25">
      <c r="A434" s="10">
        <v>1</v>
      </c>
      <c r="B434" s="48">
        <v>43837</v>
      </c>
      <c r="C434" s="17">
        <v>225</v>
      </c>
      <c r="D434" s="17">
        <v>225</v>
      </c>
      <c r="E434" s="16">
        <v>43837</v>
      </c>
      <c r="F434" s="16"/>
      <c r="H434" s="17">
        <f t="shared" si="19"/>
        <v>0</v>
      </c>
      <c r="I434" s="17" t="s">
        <v>25</v>
      </c>
      <c r="J434" s="17" t="s">
        <v>94</v>
      </c>
      <c r="K434" s="230">
        <v>44550</v>
      </c>
      <c r="L434" s="234">
        <v>0.44</v>
      </c>
      <c r="M434" s="49" t="s">
        <v>22</v>
      </c>
      <c r="O434" t="s">
        <v>25</v>
      </c>
      <c r="P434" t="s">
        <v>771</v>
      </c>
    </row>
    <row r="435" spans="1:16" ht="15" hidden="1" customHeight="1" x14ac:dyDescent="0.25">
      <c r="A435" s="10">
        <v>2</v>
      </c>
      <c r="B435" s="48">
        <v>43844</v>
      </c>
      <c r="C435" s="17">
        <v>225</v>
      </c>
      <c r="D435" s="17">
        <v>225</v>
      </c>
      <c r="E435" s="16">
        <v>43844</v>
      </c>
      <c r="F435" s="16" t="s">
        <v>124</v>
      </c>
      <c r="H435" s="17">
        <f t="shared" si="19"/>
        <v>0</v>
      </c>
      <c r="I435" s="17" t="s">
        <v>25</v>
      </c>
      <c r="J435" s="17" t="s">
        <v>94</v>
      </c>
      <c r="K435" s="230">
        <v>44569</v>
      </c>
      <c r="L435" s="234">
        <v>297</v>
      </c>
      <c r="M435" s="49" t="s">
        <v>17</v>
      </c>
      <c r="N435" t="s">
        <v>777</v>
      </c>
      <c r="O435" t="s">
        <v>25</v>
      </c>
      <c r="P435" t="s">
        <v>14</v>
      </c>
    </row>
    <row r="436" spans="1:16" ht="15" hidden="1" customHeight="1" x14ac:dyDescent="0.25">
      <c r="A436" s="10">
        <v>1</v>
      </c>
      <c r="B436" s="48">
        <v>43852</v>
      </c>
      <c r="C436" s="17">
        <v>230</v>
      </c>
      <c r="D436" s="17">
        <v>230</v>
      </c>
      <c r="E436" s="16">
        <v>43852</v>
      </c>
      <c r="F436" s="16" t="s">
        <v>181</v>
      </c>
      <c r="G436" s="228">
        <v>140698</v>
      </c>
      <c r="H436" s="17">
        <f t="shared" si="19"/>
        <v>0</v>
      </c>
      <c r="I436" s="17" t="s">
        <v>25</v>
      </c>
      <c r="J436" s="17" t="s">
        <v>162</v>
      </c>
      <c r="K436" s="230">
        <v>44566</v>
      </c>
      <c r="L436" s="234">
        <v>0.99</v>
      </c>
      <c r="M436" s="49" t="s">
        <v>22</v>
      </c>
      <c r="O436" t="s">
        <v>25</v>
      </c>
      <c r="P436" t="s">
        <v>771</v>
      </c>
    </row>
    <row r="437" spans="1:16" ht="15" hidden="1" customHeight="1" x14ac:dyDescent="0.25">
      <c r="A437" s="10">
        <v>1</v>
      </c>
      <c r="B437" s="48">
        <v>43852</v>
      </c>
      <c r="C437" s="17">
        <v>230</v>
      </c>
      <c r="D437" s="17">
        <v>230</v>
      </c>
      <c r="E437" s="16">
        <v>43852</v>
      </c>
      <c r="F437" s="16" t="s">
        <v>114</v>
      </c>
      <c r="G437" s="228">
        <v>140698</v>
      </c>
      <c r="H437" s="17">
        <f t="shared" ref="H437:H500" si="21">IFERROR(IF(F436="Closed account",(IF(F437="Unpaid Rent",(C437),(C437-D437))),(IF(F437="Unpaid Rent",(C437+H436),(C437-D437+H436)))),"")</f>
        <v>0</v>
      </c>
      <c r="I437" s="17" t="s">
        <v>25</v>
      </c>
      <c r="J437" s="17" t="s">
        <v>162</v>
      </c>
      <c r="K437" s="230">
        <v>44565</v>
      </c>
      <c r="L437" s="234">
        <v>2.75</v>
      </c>
      <c r="M437" s="49" t="s">
        <v>22</v>
      </c>
      <c r="O437" t="s">
        <v>25</v>
      </c>
      <c r="P437" t="s">
        <v>771</v>
      </c>
    </row>
    <row r="438" spans="1:16" ht="15" hidden="1" customHeight="1" x14ac:dyDescent="0.25">
      <c r="A438" s="10">
        <v>2</v>
      </c>
      <c r="B438" s="48">
        <v>43859</v>
      </c>
      <c r="C438" s="17">
        <v>230</v>
      </c>
      <c r="D438" s="17">
        <v>230</v>
      </c>
      <c r="E438" s="16">
        <v>43859</v>
      </c>
      <c r="F438" s="16" t="s">
        <v>124</v>
      </c>
      <c r="G438" s="228">
        <v>142616</v>
      </c>
      <c r="H438" s="17">
        <f t="shared" si="21"/>
        <v>0</v>
      </c>
      <c r="I438" s="17" t="s">
        <v>25</v>
      </c>
      <c r="J438" s="77" t="s">
        <v>162</v>
      </c>
      <c r="K438" s="230">
        <v>44573</v>
      </c>
      <c r="L438" s="234">
        <v>0.99</v>
      </c>
      <c r="M438" s="49" t="s">
        <v>22</v>
      </c>
      <c r="O438" t="s">
        <v>25</v>
      </c>
      <c r="P438" t="s">
        <v>771</v>
      </c>
    </row>
    <row r="439" spans="1:16" ht="15" hidden="1" customHeight="1" x14ac:dyDescent="0.25">
      <c r="A439" s="10">
        <v>1</v>
      </c>
      <c r="B439" s="48">
        <v>43865</v>
      </c>
      <c r="C439" s="17">
        <v>460</v>
      </c>
      <c r="D439" s="17">
        <v>460</v>
      </c>
      <c r="E439" s="16">
        <v>43865</v>
      </c>
      <c r="F439" s="16" t="s">
        <v>181</v>
      </c>
      <c r="H439" s="17">
        <f t="shared" si="21"/>
        <v>0</v>
      </c>
      <c r="I439" s="17" t="s">
        <v>25</v>
      </c>
      <c r="J439" s="17" t="s">
        <v>139</v>
      </c>
      <c r="K439" s="230">
        <v>44571</v>
      </c>
      <c r="L439" s="234">
        <v>2.75</v>
      </c>
      <c r="M439" s="49" t="s">
        <v>22</v>
      </c>
      <c r="O439" t="s">
        <v>25</v>
      </c>
      <c r="P439" t="s">
        <v>771</v>
      </c>
    </row>
    <row r="440" spans="1:16" ht="15" hidden="1" customHeight="1" x14ac:dyDescent="0.25">
      <c r="A440" s="10">
        <v>1</v>
      </c>
      <c r="B440" s="48">
        <v>43865</v>
      </c>
      <c r="C440" s="17">
        <v>230</v>
      </c>
      <c r="D440" s="17">
        <v>230</v>
      </c>
      <c r="E440" s="16">
        <v>43865</v>
      </c>
      <c r="F440" t="s">
        <v>114</v>
      </c>
      <c r="H440" s="17">
        <f t="shared" si="21"/>
        <v>0</v>
      </c>
      <c r="I440" s="17" t="s">
        <v>25</v>
      </c>
      <c r="J440" s="77" t="s">
        <v>139</v>
      </c>
      <c r="K440" s="230">
        <v>44580</v>
      </c>
      <c r="L440" s="234">
        <v>0.99</v>
      </c>
      <c r="M440" s="49" t="s">
        <v>22</v>
      </c>
      <c r="O440" t="s">
        <v>25</v>
      </c>
      <c r="P440" t="s">
        <v>771</v>
      </c>
    </row>
    <row r="441" spans="1:16" ht="15" hidden="1" customHeight="1" x14ac:dyDescent="0.25">
      <c r="A441" s="10">
        <v>2</v>
      </c>
      <c r="B441" s="48">
        <v>43872</v>
      </c>
      <c r="C441" s="17">
        <v>230</v>
      </c>
      <c r="D441" s="17">
        <v>230</v>
      </c>
      <c r="E441" s="16">
        <v>43872</v>
      </c>
      <c r="F441" t="s">
        <v>59</v>
      </c>
      <c r="H441" s="17">
        <f t="shared" si="21"/>
        <v>0</v>
      </c>
      <c r="I441" s="17" t="s">
        <v>25</v>
      </c>
      <c r="J441" s="17" t="s">
        <v>139</v>
      </c>
      <c r="K441" s="230">
        <v>44578</v>
      </c>
      <c r="L441" s="234">
        <v>2.75</v>
      </c>
      <c r="M441" s="49" t="s">
        <v>22</v>
      </c>
      <c r="O441" t="s">
        <v>25</v>
      </c>
      <c r="P441" t="s">
        <v>771</v>
      </c>
    </row>
    <row r="442" spans="1:16" ht="15" hidden="1" customHeight="1" x14ac:dyDescent="0.25">
      <c r="A442" s="10">
        <v>3</v>
      </c>
      <c r="B442" s="48">
        <v>43879</v>
      </c>
      <c r="C442" s="17">
        <v>230</v>
      </c>
      <c r="D442" s="17">
        <v>230</v>
      </c>
      <c r="E442" s="16">
        <v>43879</v>
      </c>
      <c r="F442" t="s">
        <v>59</v>
      </c>
      <c r="H442" s="17">
        <f t="shared" si="21"/>
        <v>0</v>
      </c>
      <c r="I442" s="17" t="s">
        <v>25</v>
      </c>
      <c r="J442" s="17" t="s">
        <v>139</v>
      </c>
      <c r="K442" s="230">
        <v>44588</v>
      </c>
      <c r="L442" s="234">
        <v>0.99</v>
      </c>
      <c r="M442" s="49" t="s">
        <v>22</v>
      </c>
      <c r="O442" t="s">
        <v>25</v>
      </c>
      <c r="P442" t="s">
        <v>771</v>
      </c>
    </row>
    <row r="443" spans="1:16" ht="15" hidden="1" customHeight="1" x14ac:dyDescent="0.25">
      <c r="A443" s="10">
        <v>4</v>
      </c>
      <c r="B443" s="48">
        <v>43886</v>
      </c>
      <c r="C443" s="17">
        <v>230</v>
      </c>
      <c r="D443" s="17">
        <v>230</v>
      </c>
      <c r="E443" s="16">
        <v>43886</v>
      </c>
      <c r="F443" t="s">
        <v>59</v>
      </c>
      <c r="H443" s="17">
        <f t="shared" si="21"/>
        <v>0</v>
      </c>
      <c r="I443" s="17" t="s">
        <v>25</v>
      </c>
      <c r="J443" s="17" t="s">
        <v>139</v>
      </c>
      <c r="K443" s="230">
        <v>44585</v>
      </c>
      <c r="L443" s="234">
        <v>2.75</v>
      </c>
      <c r="M443" s="49" t="s">
        <v>22</v>
      </c>
      <c r="O443" t="s">
        <v>25</v>
      </c>
      <c r="P443" t="s">
        <v>771</v>
      </c>
    </row>
    <row r="444" spans="1:16" ht="15" hidden="1" customHeight="1" x14ac:dyDescent="0.25">
      <c r="A444" s="10">
        <v>5</v>
      </c>
      <c r="B444" s="48">
        <v>43893</v>
      </c>
      <c r="C444" s="17">
        <v>230</v>
      </c>
      <c r="D444" s="17">
        <v>230</v>
      </c>
      <c r="E444" s="16">
        <v>43893</v>
      </c>
      <c r="F444" t="s">
        <v>59</v>
      </c>
      <c r="H444" s="17">
        <f t="shared" si="21"/>
        <v>0</v>
      </c>
      <c r="I444" s="17" t="s">
        <v>25</v>
      </c>
      <c r="J444" s="17" t="s">
        <v>139</v>
      </c>
      <c r="K444" s="230">
        <v>44597</v>
      </c>
      <c r="L444" s="234">
        <v>100</v>
      </c>
      <c r="M444" s="49" t="s">
        <v>17</v>
      </c>
      <c r="N444" t="s">
        <v>470</v>
      </c>
      <c r="O444" t="s">
        <v>25</v>
      </c>
      <c r="P444" t="s">
        <v>771</v>
      </c>
    </row>
    <row r="445" spans="1:16" ht="15" hidden="1" customHeight="1" x14ac:dyDescent="0.25">
      <c r="A445" s="10">
        <v>6</v>
      </c>
      <c r="B445" s="48">
        <v>43900</v>
      </c>
      <c r="C445" s="17">
        <v>230</v>
      </c>
      <c r="D445" s="17">
        <v>230</v>
      </c>
      <c r="E445" s="16">
        <v>43900</v>
      </c>
      <c r="F445" t="s">
        <v>59</v>
      </c>
      <c r="H445" s="17">
        <f t="shared" si="21"/>
        <v>0</v>
      </c>
      <c r="I445" s="17" t="s">
        <v>25</v>
      </c>
      <c r="J445" s="17" t="s">
        <v>139</v>
      </c>
      <c r="K445" s="230">
        <v>44593</v>
      </c>
      <c r="L445" s="234">
        <v>2.75</v>
      </c>
      <c r="M445" s="49" t="s">
        <v>22</v>
      </c>
      <c r="O445" t="s">
        <v>25</v>
      </c>
      <c r="P445" t="s">
        <v>771</v>
      </c>
    </row>
    <row r="446" spans="1:16" ht="15" hidden="1" customHeight="1" x14ac:dyDescent="0.25">
      <c r="A446" s="10">
        <v>7</v>
      </c>
      <c r="B446" s="48">
        <v>43907</v>
      </c>
      <c r="C446" s="17"/>
      <c r="D446" s="17"/>
      <c r="E446" s="16">
        <v>43907</v>
      </c>
      <c r="F446" t="s">
        <v>59</v>
      </c>
      <c r="H446" s="17">
        <f t="shared" si="21"/>
        <v>0</v>
      </c>
      <c r="I446" s="17" t="s">
        <v>25</v>
      </c>
      <c r="J446" s="17" t="s">
        <v>139</v>
      </c>
      <c r="K446" s="230">
        <v>44625</v>
      </c>
      <c r="L446" s="234">
        <v>500</v>
      </c>
      <c r="M446" s="49" t="s">
        <v>17</v>
      </c>
      <c r="N446" t="s">
        <v>803</v>
      </c>
      <c r="O446" t="s">
        <v>25</v>
      </c>
      <c r="P446" t="s">
        <v>14</v>
      </c>
    </row>
    <row r="447" spans="1:16" ht="15" hidden="1" customHeight="1" x14ac:dyDescent="0.25">
      <c r="A447" s="10">
        <v>8</v>
      </c>
      <c r="B447" s="48">
        <v>43914</v>
      </c>
      <c r="C447" s="17">
        <v>180</v>
      </c>
      <c r="D447" s="17">
        <v>180</v>
      </c>
      <c r="E447" s="16">
        <v>43914</v>
      </c>
      <c r="F447" t="s">
        <v>59</v>
      </c>
      <c r="H447" s="17">
        <f t="shared" si="21"/>
        <v>0</v>
      </c>
      <c r="I447" s="17" t="s">
        <v>25</v>
      </c>
      <c r="J447" s="17" t="s">
        <v>139</v>
      </c>
      <c r="K447" s="230">
        <v>44635</v>
      </c>
      <c r="L447" s="234">
        <v>80</v>
      </c>
      <c r="M447" s="49" t="s">
        <v>34</v>
      </c>
      <c r="O447" t="s">
        <v>25</v>
      </c>
      <c r="P447" t="s">
        <v>14</v>
      </c>
    </row>
    <row r="448" spans="1:16" ht="15" hidden="1" customHeight="1" x14ac:dyDescent="0.25">
      <c r="A448" s="10">
        <v>9</v>
      </c>
      <c r="B448" s="48">
        <v>43921</v>
      </c>
      <c r="C448" s="17">
        <v>180</v>
      </c>
      <c r="D448" s="17">
        <v>180</v>
      </c>
      <c r="E448" s="16">
        <v>43921</v>
      </c>
      <c r="F448" t="s">
        <v>59</v>
      </c>
      <c r="H448" s="17">
        <f t="shared" si="21"/>
        <v>0</v>
      </c>
      <c r="I448" s="17" t="s">
        <v>25</v>
      </c>
      <c r="J448" s="17" t="s">
        <v>139</v>
      </c>
      <c r="K448" s="230">
        <v>44640</v>
      </c>
      <c r="L448" s="234">
        <v>20</v>
      </c>
      <c r="M448" s="49" t="s">
        <v>17</v>
      </c>
      <c r="N448" t="s">
        <v>479</v>
      </c>
      <c r="O448" t="s">
        <v>25</v>
      </c>
      <c r="P448" t="s">
        <v>14</v>
      </c>
    </row>
    <row r="449" spans="1:16" ht="15" hidden="1" customHeight="1" x14ac:dyDescent="0.25">
      <c r="A449" s="10">
        <v>10</v>
      </c>
      <c r="B449" s="48">
        <v>43928</v>
      </c>
      <c r="C449" s="17">
        <v>180</v>
      </c>
      <c r="D449" s="17">
        <v>180</v>
      </c>
      <c r="E449" s="16">
        <v>43928</v>
      </c>
      <c r="F449" t="s">
        <v>59</v>
      </c>
      <c r="H449" s="17">
        <f t="shared" si="21"/>
        <v>0</v>
      </c>
      <c r="I449" s="17" t="s">
        <v>25</v>
      </c>
      <c r="J449" s="17" t="s">
        <v>139</v>
      </c>
      <c r="K449" s="230">
        <v>44673</v>
      </c>
      <c r="L449" s="234">
        <v>215.14</v>
      </c>
      <c r="M449" s="49" t="s">
        <v>20</v>
      </c>
      <c r="O449" t="s">
        <v>25</v>
      </c>
      <c r="P449" t="s">
        <v>14</v>
      </c>
    </row>
    <row r="450" spans="1:16" ht="15" customHeight="1" x14ac:dyDescent="0.25">
      <c r="A450" s="10">
        <v>11</v>
      </c>
      <c r="B450" s="48">
        <v>43935</v>
      </c>
      <c r="C450" s="17">
        <v>180</v>
      </c>
      <c r="D450" s="17">
        <v>180</v>
      </c>
      <c r="E450" s="16">
        <v>43935</v>
      </c>
      <c r="F450" t="s">
        <v>59</v>
      </c>
      <c r="H450" s="17">
        <f t="shared" si="21"/>
        <v>0</v>
      </c>
      <c r="I450" s="17" t="s">
        <v>25</v>
      </c>
      <c r="J450" s="17" t="s">
        <v>139</v>
      </c>
      <c r="K450" s="230">
        <v>44761</v>
      </c>
      <c r="L450" s="234">
        <v>73.08</v>
      </c>
      <c r="M450" s="49" t="s">
        <v>133</v>
      </c>
      <c r="O450" t="s">
        <v>25</v>
      </c>
      <c r="P450" t="s">
        <v>866</v>
      </c>
    </row>
    <row r="451" spans="1:16" ht="15" customHeight="1" x14ac:dyDescent="0.25">
      <c r="A451" s="10">
        <v>12</v>
      </c>
      <c r="B451" s="48">
        <v>43942</v>
      </c>
      <c r="C451" s="17">
        <v>180</v>
      </c>
      <c r="D451" s="17">
        <v>180</v>
      </c>
      <c r="E451" s="16">
        <v>43942</v>
      </c>
      <c r="F451" t="s">
        <v>59</v>
      </c>
      <c r="H451" s="17">
        <f t="shared" si="21"/>
        <v>0</v>
      </c>
      <c r="I451" s="17" t="s">
        <v>25</v>
      </c>
      <c r="J451" s="17" t="s">
        <v>139</v>
      </c>
      <c r="K451" s="230">
        <v>44761</v>
      </c>
      <c r="L451" s="234">
        <v>16.2</v>
      </c>
      <c r="M451" s="49" t="s">
        <v>133</v>
      </c>
      <c r="O451" t="s">
        <v>25</v>
      </c>
      <c r="P451" t="s">
        <v>866</v>
      </c>
    </row>
    <row r="452" spans="1:16" ht="15" hidden="1" customHeight="1" x14ac:dyDescent="0.25">
      <c r="A452" s="10">
        <v>13</v>
      </c>
      <c r="B452" s="48">
        <v>43949</v>
      </c>
      <c r="C452" s="17">
        <v>180</v>
      </c>
      <c r="D452" s="17">
        <v>180</v>
      </c>
      <c r="E452" s="16">
        <v>43949</v>
      </c>
      <c r="F452" t="s">
        <v>59</v>
      </c>
      <c r="H452" s="17">
        <f t="shared" si="21"/>
        <v>0</v>
      </c>
      <c r="I452" s="17" t="s">
        <v>25</v>
      </c>
      <c r="J452" s="17" t="s">
        <v>139</v>
      </c>
      <c r="K452" s="230">
        <v>44762</v>
      </c>
      <c r="L452" s="234">
        <v>219.78</v>
      </c>
      <c r="M452" s="49" t="s">
        <v>20</v>
      </c>
      <c r="O452" t="s">
        <v>25</v>
      </c>
      <c r="P452" t="s">
        <v>14</v>
      </c>
    </row>
    <row r="453" spans="1:16" ht="15" customHeight="1" x14ac:dyDescent="0.25">
      <c r="A453" s="10">
        <v>14</v>
      </c>
      <c r="B453" s="48">
        <v>43956</v>
      </c>
      <c r="C453" s="17">
        <v>180</v>
      </c>
      <c r="D453" s="17">
        <v>180</v>
      </c>
      <c r="E453" s="16">
        <v>43956</v>
      </c>
      <c r="F453" t="s">
        <v>59</v>
      </c>
      <c r="H453" s="17">
        <f t="shared" si="21"/>
        <v>0</v>
      </c>
      <c r="I453" s="17" t="s">
        <v>25</v>
      </c>
      <c r="J453" s="17" t="s">
        <v>139</v>
      </c>
      <c r="K453" s="230">
        <v>44770</v>
      </c>
      <c r="L453" s="234">
        <v>21.76</v>
      </c>
      <c r="M453" s="49" t="s">
        <v>133</v>
      </c>
      <c r="O453" t="s">
        <v>25</v>
      </c>
      <c r="P453" t="s">
        <v>866</v>
      </c>
    </row>
    <row r="454" spans="1:16" ht="15" hidden="1" customHeight="1" x14ac:dyDescent="0.25">
      <c r="A454" s="10">
        <v>15</v>
      </c>
      <c r="B454" s="48">
        <v>43963</v>
      </c>
      <c r="C454" s="17">
        <v>180</v>
      </c>
      <c r="D454" s="17">
        <v>180</v>
      </c>
      <c r="E454" s="16">
        <v>43963</v>
      </c>
      <c r="F454" t="s">
        <v>59</v>
      </c>
      <c r="H454" s="17">
        <f t="shared" si="21"/>
        <v>0</v>
      </c>
      <c r="I454" s="17" t="s">
        <v>25</v>
      </c>
      <c r="J454" s="17" t="s">
        <v>139</v>
      </c>
      <c r="K454" s="230">
        <v>44783</v>
      </c>
      <c r="L454" s="234">
        <v>78.989999999999995</v>
      </c>
      <c r="M454" s="49" t="s">
        <v>17</v>
      </c>
      <c r="O454" t="s">
        <v>25</v>
      </c>
      <c r="P454" t="s">
        <v>14</v>
      </c>
    </row>
    <row r="455" spans="1:16" ht="15" customHeight="1" x14ac:dyDescent="0.25">
      <c r="A455" s="10">
        <v>16</v>
      </c>
      <c r="B455" s="48">
        <v>43970</v>
      </c>
      <c r="C455" s="17">
        <v>180</v>
      </c>
      <c r="D455" s="17">
        <v>180</v>
      </c>
      <c r="E455" s="16">
        <v>43970</v>
      </c>
      <c r="F455" t="s">
        <v>59</v>
      </c>
      <c r="H455" s="17">
        <f t="shared" si="21"/>
        <v>0</v>
      </c>
      <c r="I455" s="17" t="s">
        <v>25</v>
      </c>
      <c r="J455" s="17" t="s">
        <v>139</v>
      </c>
      <c r="K455" s="230">
        <v>44813</v>
      </c>
      <c r="L455" s="234">
        <v>37.020000000000003</v>
      </c>
      <c r="M455" s="49" t="s">
        <v>133</v>
      </c>
      <c r="O455" t="s">
        <v>25</v>
      </c>
      <c r="P455" t="s">
        <v>14</v>
      </c>
    </row>
    <row r="456" spans="1:16" ht="15" hidden="1" customHeight="1" x14ac:dyDescent="0.25">
      <c r="A456" s="10">
        <v>17</v>
      </c>
      <c r="B456" s="48">
        <v>43977</v>
      </c>
      <c r="C456" s="17">
        <v>180</v>
      </c>
      <c r="D456" s="17">
        <v>180</v>
      </c>
      <c r="E456" s="16">
        <v>43977</v>
      </c>
      <c r="F456" t="s">
        <v>59</v>
      </c>
      <c r="H456" s="17">
        <f t="shared" si="21"/>
        <v>0</v>
      </c>
      <c r="I456" s="17" t="s">
        <v>25</v>
      </c>
      <c r="J456" s="17" t="s">
        <v>139</v>
      </c>
      <c r="K456" s="230">
        <v>44844</v>
      </c>
      <c r="L456" s="234">
        <v>40</v>
      </c>
      <c r="M456" s="49" t="s">
        <v>32</v>
      </c>
      <c r="O456" t="s">
        <v>25</v>
      </c>
      <c r="P456" t="s">
        <v>14</v>
      </c>
    </row>
    <row r="457" spans="1:16" ht="15" hidden="1" customHeight="1" x14ac:dyDescent="0.25">
      <c r="A457" s="10">
        <v>18</v>
      </c>
      <c r="B457" s="48">
        <v>43984</v>
      </c>
      <c r="C457" s="17">
        <v>180</v>
      </c>
      <c r="D457" s="17">
        <v>180</v>
      </c>
      <c r="E457" s="16">
        <v>43984</v>
      </c>
      <c r="F457" t="s">
        <v>59</v>
      </c>
      <c r="H457" s="17">
        <f t="shared" si="21"/>
        <v>0</v>
      </c>
      <c r="I457" s="17" t="s">
        <v>25</v>
      </c>
      <c r="J457" s="17" t="s">
        <v>139</v>
      </c>
      <c r="K457" s="230">
        <v>44845</v>
      </c>
      <c r="L457" s="234">
        <v>3030</v>
      </c>
      <c r="M457" s="49" t="s">
        <v>17</v>
      </c>
      <c r="O457" t="s">
        <v>25</v>
      </c>
      <c r="P457" t="s">
        <v>14</v>
      </c>
    </row>
    <row r="458" spans="1:16" ht="15" hidden="1" customHeight="1" x14ac:dyDescent="0.25">
      <c r="A458" s="10">
        <v>19</v>
      </c>
      <c r="B458" s="48">
        <v>43991</v>
      </c>
      <c r="C458" s="17">
        <v>180</v>
      </c>
      <c r="D458" s="17">
        <v>180</v>
      </c>
      <c r="E458" s="16">
        <v>43991</v>
      </c>
      <c r="F458" t="s">
        <v>59</v>
      </c>
      <c r="H458" s="17">
        <f t="shared" si="21"/>
        <v>0</v>
      </c>
      <c r="I458" s="17" t="s">
        <v>25</v>
      </c>
      <c r="J458" s="17" t="s">
        <v>139</v>
      </c>
      <c r="K458" s="16">
        <v>44944</v>
      </c>
      <c r="L458" s="234">
        <v>219.78</v>
      </c>
      <c r="M458" s="49" t="s">
        <v>20</v>
      </c>
      <c r="O458" t="s">
        <v>25</v>
      </c>
      <c r="P458" t="s">
        <v>14</v>
      </c>
    </row>
    <row r="459" spans="1:16" ht="15" hidden="1" customHeight="1" x14ac:dyDescent="0.25">
      <c r="A459" s="10">
        <v>10</v>
      </c>
      <c r="B459" s="48">
        <v>43998</v>
      </c>
      <c r="C459" s="17">
        <v>180</v>
      </c>
      <c r="D459" s="17">
        <v>180</v>
      </c>
      <c r="E459" s="16">
        <v>43998</v>
      </c>
      <c r="F459" t="s">
        <v>59</v>
      </c>
      <c r="H459" s="17">
        <f t="shared" si="21"/>
        <v>0</v>
      </c>
      <c r="I459" s="17" t="s">
        <v>25</v>
      </c>
      <c r="J459" s="17" t="s">
        <v>139</v>
      </c>
      <c r="K459" s="16">
        <v>45051</v>
      </c>
      <c r="L459" s="234">
        <v>-10.17</v>
      </c>
      <c r="M459" s="49" t="s">
        <v>16</v>
      </c>
      <c r="O459" t="s">
        <v>25</v>
      </c>
      <c r="P459" t="s">
        <v>14</v>
      </c>
    </row>
    <row r="460" spans="1:16" ht="15" customHeight="1" x14ac:dyDescent="0.25">
      <c r="A460" s="10">
        <v>11</v>
      </c>
      <c r="B460" s="48">
        <v>44005</v>
      </c>
      <c r="C460" s="17">
        <v>180</v>
      </c>
      <c r="D460" s="17">
        <v>180</v>
      </c>
      <c r="E460" s="16">
        <v>44005</v>
      </c>
      <c r="F460" t="s">
        <v>59</v>
      </c>
      <c r="H460" s="17">
        <f t="shared" si="21"/>
        <v>0</v>
      </c>
      <c r="I460" s="17" t="s">
        <v>25</v>
      </c>
      <c r="J460" s="17" t="s">
        <v>139</v>
      </c>
      <c r="K460" s="16">
        <v>45069</v>
      </c>
      <c r="L460" s="234">
        <v>23.78</v>
      </c>
      <c r="M460" s="49" t="s">
        <v>133</v>
      </c>
      <c r="O460" t="s">
        <v>25</v>
      </c>
      <c r="P460" t="s">
        <v>1035</v>
      </c>
    </row>
    <row r="461" spans="1:16" ht="15" hidden="1" customHeight="1" x14ac:dyDescent="0.25">
      <c r="A461" s="10">
        <v>12</v>
      </c>
      <c r="B461" s="48">
        <v>44012</v>
      </c>
      <c r="C461" s="17">
        <v>180</v>
      </c>
      <c r="D461" s="17">
        <v>180</v>
      </c>
      <c r="E461" s="16">
        <v>44012</v>
      </c>
      <c r="F461" t="s">
        <v>59</v>
      </c>
      <c r="H461" s="17">
        <f t="shared" si="21"/>
        <v>0</v>
      </c>
      <c r="I461" s="17" t="s">
        <v>25</v>
      </c>
      <c r="J461" s="17" t="s">
        <v>139</v>
      </c>
    </row>
    <row r="462" spans="1:16" ht="15" hidden="1" customHeight="1" x14ac:dyDescent="0.25">
      <c r="A462" s="10">
        <v>13</v>
      </c>
      <c r="B462" s="48">
        <v>44019</v>
      </c>
      <c r="C462" s="17">
        <v>180</v>
      </c>
      <c r="D462" s="17">
        <v>180</v>
      </c>
      <c r="E462" s="16">
        <v>44025</v>
      </c>
      <c r="F462" t="s">
        <v>59</v>
      </c>
      <c r="H462" s="17">
        <f t="shared" si="21"/>
        <v>0</v>
      </c>
      <c r="I462" s="17" t="s">
        <v>25</v>
      </c>
      <c r="J462" s="17" t="s">
        <v>139</v>
      </c>
    </row>
    <row r="463" spans="1:16" ht="15" hidden="1" customHeight="1" x14ac:dyDescent="0.25">
      <c r="A463" s="10">
        <v>14</v>
      </c>
      <c r="B463" s="48">
        <v>44026</v>
      </c>
      <c r="C463" s="17">
        <v>180</v>
      </c>
      <c r="D463" s="17">
        <v>180</v>
      </c>
      <c r="E463" s="16">
        <v>44026</v>
      </c>
      <c r="F463" t="s">
        <v>59</v>
      </c>
      <c r="H463" s="17">
        <f t="shared" si="21"/>
        <v>0</v>
      </c>
      <c r="I463" s="17" t="s">
        <v>25</v>
      </c>
      <c r="J463" s="17" t="s">
        <v>139</v>
      </c>
    </row>
    <row r="464" spans="1:16" ht="15" hidden="1" customHeight="1" x14ac:dyDescent="0.25">
      <c r="A464" s="10">
        <v>15</v>
      </c>
      <c r="B464" s="48">
        <v>44033</v>
      </c>
      <c r="C464" s="17">
        <v>180</v>
      </c>
      <c r="D464" s="17">
        <v>180</v>
      </c>
      <c r="E464" s="16">
        <v>44033</v>
      </c>
      <c r="F464" t="s">
        <v>59</v>
      </c>
      <c r="H464" s="17">
        <f t="shared" si="21"/>
        <v>0</v>
      </c>
      <c r="I464" s="17" t="s">
        <v>25</v>
      </c>
      <c r="J464" s="17" t="s">
        <v>139</v>
      </c>
    </row>
    <row r="465" spans="1:10" ht="15" hidden="1" customHeight="1" x14ac:dyDescent="0.25">
      <c r="A465" s="10">
        <v>16</v>
      </c>
      <c r="B465" s="48">
        <v>44040</v>
      </c>
      <c r="C465" s="17">
        <v>180</v>
      </c>
      <c r="D465" s="17">
        <v>180</v>
      </c>
      <c r="E465" s="16">
        <v>44040</v>
      </c>
      <c r="F465" t="s">
        <v>59</v>
      </c>
      <c r="H465" s="17">
        <f t="shared" si="21"/>
        <v>0</v>
      </c>
      <c r="I465" s="17" t="s">
        <v>25</v>
      </c>
      <c r="J465" s="17" t="s">
        <v>139</v>
      </c>
    </row>
    <row r="466" spans="1:10" ht="15" hidden="1" customHeight="1" x14ac:dyDescent="0.25">
      <c r="A466" s="10">
        <v>17</v>
      </c>
      <c r="B466" s="48">
        <v>44047</v>
      </c>
      <c r="C466" s="17">
        <v>180</v>
      </c>
      <c r="D466" s="17">
        <v>180</v>
      </c>
      <c r="E466" s="16">
        <v>44047</v>
      </c>
      <c r="F466" t="s">
        <v>124</v>
      </c>
      <c r="H466" s="17">
        <f t="shared" si="21"/>
        <v>0</v>
      </c>
      <c r="I466" s="17" t="s">
        <v>25</v>
      </c>
      <c r="J466" s="17" t="s">
        <v>139</v>
      </c>
    </row>
    <row r="467" spans="1:10" ht="15" hidden="1" customHeight="1" x14ac:dyDescent="0.25">
      <c r="A467" s="10">
        <v>1</v>
      </c>
      <c r="B467" s="48">
        <v>44063</v>
      </c>
      <c r="C467" s="17">
        <v>100</v>
      </c>
      <c r="D467" s="17">
        <v>100</v>
      </c>
      <c r="E467" s="16">
        <v>44063</v>
      </c>
      <c r="F467" t="s">
        <v>181</v>
      </c>
      <c r="H467" s="17">
        <f t="shared" si="21"/>
        <v>0</v>
      </c>
      <c r="I467" s="17" t="s">
        <v>25</v>
      </c>
      <c r="J467" s="17" t="s">
        <v>215</v>
      </c>
    </row>
    <row r="468" spans="1:10" ht="15" hidden="1" customHeight="1" x14ac:dyDescent="0.25">
      <c r="A468" s="10">
        <v>1</v>
      </c>
      <c r="B468" s="48">
        <v>44063</v>
      </c>
      <c r="C468" s="17">
        <v>160</v>
      </c>
      <c r="D468" s="17">
        <v>160</v>
      </c>
      <c r="E468" s="16">
        <v>44063</v>
      </c>
      <c r="F468" t="s">
        <v>114</v>
      </c>
      <c r="H468" s="17">
        <f t="shared" si="21"/>
        <v>0</v>
      </c>
      <c r="I468" s="17" t="s">
        <v>25</v>
      </c>
      <c r="J468" s="77" t="s">
        <v>215</v>
      </c>
    </row>
    <row r="469" spans="1:10" ht="15" hidden="1" customHeight="1" x14ac:dyDescent="0.25">
      <c r="A469" s="10">
        <v>2</v>
      </c>
      <c r="B469" s="48">
        <v>44069</v>
      </c>
      <c r="C469" s="17">
        <v>160</v>
      </c>
      <c r="D469" s="17">
        <v>160</v>
      </c>
      <c r="E469" s="16">
        <v>44069</v>
      </c>
      <c r="F469" t="s">
        <v>124</v>
      </c>
      <c r="H469" s="17">
        <f t="shared" si="21"/>
        <v>0</v>
      </c>
      <c r="I469" s="17" t="s">
        <v>25</v>
      </c>
      <c r="J469" s="17" t="s">
        <v>215</v>
      </c>
    </row>
    <row r="470" spans="1:10" ht="15" hidden="1" customHeight="1" x14ac:dyDescent="0.25">
      <c r="A470" s="10">
        <v>1</v>
      </c>
      <c r="B470" s="48">
        <v>44086</v>
      </c>
      <c r="C470" s="17">
        <v>280</v>
      </c>
      <c r="D470" s="17">
        <v>280</v>
      </c>
      <c r="E470" s="16">
        <v>44086</v>
      </c>
      <c r="F470" t="s">
        <v>181</v>
      </c>
      <c r="H470" s="17">
        <f t="shared" si="21"/>
        <v>0</v>
      </c>
      <c r="I470" s="17" t="s">
        <v>25</v>
      </c>
      <c r="J470" s="17" t="s">
        <v>418</v>
      </c>
    </row>
    <row r="471" spans="1:10" ht="15" hidden="1" customHeight="1" x14ac:dyDescent="0.25">
      <c r="A471" s="10">
        <v>1</v>
      </c>
      <c r="B471" s="48">
        <v>44086</v>
      </c>
      <c r="C471" s="17">
        <v>140</v>
      </c>
      <c r="D471" s="17">
        <v>140</v>
      </c>
      <c r="E471" s="16">
        <v>44086</v>
      </c>
      <c r="F471" t="s">
        <v>117</v>
      </c>
      <c r="H471" s="17">
        <f t="shared" si="21"/>
        <v>0</v>
      </c>
      <c r="I471" s="17" t="s">
        <v>25</v>
      </c>
      <c r="J471" s="17" t="s">
        <v>418</v>
      </c>
    </row>
    <row r="472" spans="1:10" ht="15" hidden="1" customHeight="1" x14ac:dyDescent="0.25">
      <c r="A472" s="10">
        <v>2</v>
      </c>
      <c r="B472" s="48">
        <f t="shared" ref="B472:B478" si="22">B471+7</f>
        <v>44093</v>
      </c>
      <c r="C472" s="17">
        <v>140</v>
      </c>
      <c r="H472" s="17">
        <f t="shared" si="21"/>
        <v>140</v>
      </c>
      <c r="I472" s="17" t="s">
        <v>25</v>
      </c>
      <c r="J472" s="17" t="s">
        <v>418</v>
      </c>
    </row>
    <row r="473" spans="1:10" ht="15" hidden="1" customHeight="1" x14ac:dyDescent="0.25">
      <c r="A473" s="10">
        <v>3</v>
      </c>
      <c r="B473" s="48">
        <f t="shared" si="22"/>
        <v>44100</v>
      </c>
      <c r="C473" s="17">
        <v>140</v>
      </c>
      <c r="H473" s="17">
        <f t="shared" si="21"/>
        <v>280</v>
      </c>
      <c r="I473" s="17" t="s">
        <v>25</v>
      </c>
      <c r="J473" s="17" t="s">
        <v>418</v>
      </c>
    </row>
    <row r="474" spans="1:10" ht="15" hidden="1" customHeight="1" x14ac:dyDescent="0.25">
      <c r="A474" s="10">
        <v>4</v>
      </c>
      <c r="B474" s="48">
        <f t="shared" si="22"/>
        <v>44107</v>
      </c>
      <c r="C474" s="17">
        <v>140</v>
      </c>
      <c r="D474" s="17">
        <f>140*3</f>
        <v>420</v>
      </c>
      <c r="E474" s="16">
        <v>44109</v>
      </c>
      <c r="F474" t="s">
        <v>117</v>
      </c>
      <c r="H474" s="17">
        <f t="shared" si="21"/>
        <v>0</v>
      </c>
      <c r="I474" s="17" t="s">
        <v>25</v>
      </c>
      <c r="J474" s="17" t="s">
        <v>418</v>
      </c>
    </row>
    <row r="475" spans="1:10" ht="15" hidden="1" customHeight="1" x14ac:dyDescent="0.25">
      <c r="A475" s="10">
        <v>5</v>
      </c>
      <c r="B475" s="48">
        <f t="shared" si="22"/>
        <v>44114</v>
      </c>
      <c r="C475" s="17">
        <v>140</v>
      </c>
      <c r="D475" s="17"/>
      <c r="H475" s="17">
        <f t="shared" si="21"/>
        <v>140</v>
      </c>
      <c r="I475" s="17" t="s">
        <v>25</v>
      </c>
      <c r="J475" s="17" t="s">
        <v>418</v>
      </c>
    </row>
    <row r="476" spans="1:10" ht="15" hidden="1" customHeight="1" x14ac:dyDescent="0.25">
      <c r="A476" s="10">
        <v>6</v>
      </c>
      <c r="B476" s="48">
        <f t="shared" si="22"/>
        <v>44121</v>
      </c>
      <c r="C476" s="17">
        <v>140</v>
      </c>
      <c r="D476" s="17"/>
      <c r="H476" s="17">
        <f t="shared" si="21"/>
        <v>280</v>
      </c>
      <c r="I476" s="17" t="s">
        <v>25</v>
      </c>
      <c r="J476" s="17" t="s">
        <v>418</v>
      </c>
    </row>
    <row r="477" spans="1:10" ht="15" hidden="1" customHeight="1" x14ac:dyDescent="0.25">
      <c r="A477" s="10">
        <v>7</v>
      </c>
      <c r="B477" s="48">
        <f t="shared" si="22"/>
        <v>44128</v>
      </c>
      <c r="C477" s="17">
        <v>140</v>
      </c>
      <c r="D477" s="17"/>
      <c r="H477" s="17">
        <f t="shared" si="21"/>
        <v>420</v>
      </c>
      <c r="I477" s="17" t="s">
        <v>25</v>
      </c>
      <c r="J477" s="17" t="s">
        <v>418</v>
      </c>
    </row>
    <row r="478" spans="1:10" ht="15" hidden="1" customHeight="1" x14ac:dyDescent="0.25">
      <c r="A478" s="10">
        <v>8</v>
      </c>
      <c r="B478" s="48">
        <f t="shared" si="22"/>
        <v>44135</v>
      </c>
      <c r="C478" s="17">
        <v>140</v>
      </c>
      <c r="D478" s="17">
        <v>420</v>
      </c>
      <c r="E478" s="16">
        <v>44138</v>
      </c>
      <c r="F478" t="s">
        <v>117</v>
      </c>
      <c r="H478" s="17">
        <f t="shared" si="21"/>
        <v>140</v>
      </c>
      <c r="I478" s="17" t="s">
        <v>25</v>
      </c>
      <c r="J478" s="17" t="s">
        <v>418</v>
      </c>
    </row>
    <row r="479" spans="1:10" ht="15" hidden="1" customHeight="1" x14ac:dyDescent="0.25">
      <c r="A479" s="10">
        <v>9</v>
      </c>
      <c r="B479" s="48">
        <f>B478+7</f>
        <v>44142</v>
      </c>
      <c r="C479" s="17">
        <v>140</v>
      </c>
      <c r="H479" s="17">
        <f t="shared" si="21"/>
        <v>280</v>
      </c>
      <c r="I479" s="17" t="s">
        <v>25</v>
      </c>
      <c r="J479" s="17" t="s">
        <v>418</v>
      </c>
    </row>
    <row r="480" spans="1:10" ht="15" hidden="1" customHeight="1" x14ac:dyDescent="0.25">
      <c r="A480" s="10">
        <v>10</v>
      </c>
      <c r="B480" s="48">
        <f>B479+7</f>
        <v>44149</v>
      </c>
      <c r="C480" s="17">
        <v>140</v>
      </c>
      <c r="H480" s="17">
        <f t="shared" si="21"/>
        <v>420</v>
      </c>
      <c r="I480" s="17" t="s">
        <v>25</v>
      </c>
      <c r="J480" s="17" t="s">
        <v>418</v>
      </c>
    </row>
    <row r="481" spans="1:10" ht="15" hidden="1" customHeight="1" x14ac:dyDescent="0.25">
      <c r="A481" s="10">
        <v>11</v>
      </c>
      <c r="B481" s="48">
        <f>B480+7</f>
        <v>44156</v>
      </c>
      <c r="C481" s="17">
        <v>140</v>
      </c>
      <c r="H481" s="17">
        <f t="shared" si="21"/>
        <v>560</v>
      </c>
      <c r="I481" s="17" t="s">
        <v>25</v>
      </c>
      <c r="J481" s="17" t="s">
        <v>418</v>
      </c>
    </row>
    <row r="482" spans="1:10" ht="15" hidden="1" customHeight="1" x14ac:dyDescent="0.25">
      <c r="A482" s="10">
        <v>12</v>
      </c>
      <c r="B482" s="48">
        <f>B481+7</f>
        <v>44163</v>
      </c>
      <c r="C482" s="17">
        <v>140</v>
      </c>
      <c r="D482" s="17">
        <v>280</v>
      </c>
      <c r="E482" s="16">
        <v>44164</v>
      </c>
      <c r="F482" t="s">
        <v>117</v>
      </c>
      <c r="H482" s="17">
        <f t="shared" si="21"/>
        <v>420</v>
      </c>
      <c r="I482" s="17" t="s">
        <v>25</v>
      </c>
      <c r="J482" s="17" t="s">
        <v>418</v>
      </c>
    </row>
    <row r="483" spans="1:10" ht="15" hidden="1" customHeight="1" x14ac:dyDescent="0.25">
      <c r="A483" s="10">
        <v>13</v>
      </c>
      <c r="B483" s="48">
        <f>B482+7</f>
        <v>44170</v>
      </c>
      <c r="C483" s="17">
        <v>140</v>
      </c>
      <c r="D483" s="17">
        <v>560</v>
      </c>
      <c r="E483" s="16">
        <v>44175</v>
      </c>
      <c r="F483" t="s">
        <v>124</v>
      </c>
      <c r="H483" s="17">
        <f t="shared" si="21"/>
        <v>0</v>
      </c>
      <c r="I483" s="17" t="s">
        <v>25</v>
      </c>
      <c r="J483" s="17" t="s">
        <v>418</v>
      </c>
    </row>
    <row r="484" spans="1:10" ht="15" hidden="1" customHeight="1" x14ac:dyDescent="0.25">
      <c r="A484" s="10">
        <v>1</v>
      </c>
      <c r="B484" s="48">
        <v>44184</v>
      </c>
      <c r="C484" s="17">
        <v>400</v>
      </c>
      <c r="D484" s="17">
        <v>400</v>
      </c>
      <c r="E484" s="16">
        <v>44184</v>
      </c>
      <c r="F484" t="s">
        <v>181</v>
      </c>
      <c r="H484" s="17">
        <f t="shared" si="21"/>
        <v>0</v>
      </c>
      <c r="I484" s="17" t="s">
        <v>25</v>
      </c>
      <c r="J484" s="17" t="s">
        <v>464</v>
      </c>
    </row>
    <row r="485" spans="1:10" ht="15" hidden="1" customHeight="1" x14ac:dyDescent="0.25">
      <c r="A485" s="10">
        <v>1</v>
      </c>
      <c r="B485" s="48">
        <v>44181</v>
      </c>
      <c r="C485" s="17">
        <v>200</v>
      </c>
      <c r="D485" s="17">
        <v>200</v>
      </c>
      <c r="E485" s="16">
        <v>44181</v>
      </c>
      <c r="F485" t="s">
        <v>117</v>
      </c>
      <c r="H485" s="17">
        <f t="shared" si="21"/>
        <v>0</v>
      </c>
      <c r="I485" s="17" t="s">
        <v>25</v>
      </c>
      <c r="J485" s="17" t="s">
        <v>464</v>
      </c>
    </row>
    <row r="486" spans="1:10" ht="15" hidden="1" customHeight="1" x14ac:dyDescent="0.25">
      <c r="A486" s="10">
        <v>2</v>
      </c>
      <c r="B486" s="48">
        <f t="shared" ref="B486:B491" si="23">B485+7</f>
        <v>44188</v>
      </c>
      <c r="C486" s="17">
        <v>200</v>
      </c>
      <c r="D486" s="17">
        <v>200</v>
      </c>
      <c r="E486" s="16">
        <v>44189</v>
      </c>
      <c r="F486" t="s">
        <v>117</v>
      </c>
      <c r="H486" s="17">
        <f t="shared" si="21"/>
        <v>0</v>
      </c>
      <c r="I486" s="17" t="s">
        <v>25</v>
      </c>
      <c r="J486" s="77" t="s">
        <v>464</v>
      </c>
    </row>
    <row r="487" spans="1:10" ht="15" hidden="1" customHeight="1" x14ac:dyDescent="0.25">
      <c r="A487" s="10">
        <v>3</v>
      </c>
      <c r="B487" s="48">
        <f t="shared" si="23"/>
        <v>44195</v>
      </c>
      <c r="C487" s="17">
        <v>200</v>
      </c>
      <c r="D487" s="17">
        <v>200</v>
      </c>
      <c r="E487" s="16">
        <v>44196</v>
      </c>
      <c r="F487" t="s">
        <v>117</v>
      </c>
      <c r="H487" s="17">
        <f t="shared" si="21"/>
        <v>0</v>
      </c>
      <c r="I487" s="17" t="s">
        <v>25</v>
      </c>
      <c r="J487" s="17" t="s">
        <v>464</v>
      </c>
    </row>
    <row r="488" spans="1:10" ht="15" hidden="1" customHeight="1" x14ac:dyDescent="0.25">
      <c r="A488" s="10">
        <v>4</v>
      </c>
      <c r="B488" s="48">
        <f t="shared" si="23"/>
        <v>44202</v>
      </c>
      <c r="C488" s="17">
        <v>200</v>
      </c>
      <c r="D488" s="17">
        <v>200</v>
      </c>
      <c r="E488" s="16">
        <v>44202</v>
      </c>
      <c r="F488" t="s">
        <v>117</v>
      </c>
      <c r="H488" s="17">
        <f t="shared" si="21"/>
        <v>0</v>
      </c>
      <c r="I488" s="17" t="s">
        <v>25</v>
      </c>
      <c r="J488" s="17" t="s">
        <v>464</v>
      </c>
    </row>
    <row r="489" spans="1:10" ht="15" hidden="1" customHeight="1" x14ac:dyDescent="0.25">
      <c r="A489" s="10">
        <v>5</v>
      </c>
      <c r="B489" s="48">
        <f t="shared" si="23"/>
        <v>44209</v>
      </c>
      <c r="C489" s="17">
        <v>200</v>
      </c>
      <c r="D489" s="17">
        <v>200</v>
      </c>
      <c r="E489" s="16">
        <v>44210</v>
      </c>
      <c r="F489" t="s">
        <v>117</v>
      </c>
      <c r="H489" s="17">
        <f t="shared" si="21"/>
        <v>0</v>
      </c>
      <c r="I489" s="17" t="s">
        <v>25</v>
      </c>
      <c r="J489" s="17" t="s">
        <v>464</v>
      </c>
    </row>
    <row r="490" spans="1:10" ht="15" hidden="1" customHeight="1" x14ac:dyDescent="0.25">
      <c r="A490" s="10">
        <v>6</v>
      </c>
      <c r="B490" s="48">
        <f t="shared" si="23"/>
        <v>44216</v>
      </c>
      <c r="C490" s="17">
        <v>200</v>
      </c>
      <c r="D490" s="17">
        <v>200</v>
      </c>
      <c r="E490" s="16">
        <v>44217</v>
      </c>
      <c r="F490" t="s">
        <v>117</v>
      </c>
      <c r="H490" s="17">
        <f t="shared" si="21"/>
        <v>0</v>
      </c>
      <c r="I490" s="17" t="s">
        <v>25</v>
      </c>
      <c r="J490" s="17" t="s">
        <v>464</v>
      </c>
    </row>
    <row r="491" spans="1:10" ht="15" hidden="1" customHeight="1" x14ac:dyDescent="0.25">
      <c r="A491" s="10">
        <v>7</v>
      </c>
      <c r="B491" s="48">
        <f t="shared" si="23"/>
        <v>44223</v>
      </c>
      <c r="C491" s="17">
        <v>200</v>
      </c>
      <c r="D491" s="17">
        <v>200</v>
      </c>
      <c r="E491" s="16">
        <v>44223</v>
      </c>
      <c r="F491" t="s">
        <v>124</v>
      </c>
      <c r="H491" s="17">
        <f t="shared" si="21"/>
        <v>0</v>
      </c>
      <c r="I491" s="17" t="s">
        <v>25</v>
      </c>
      <c r="J491" s="17" t="s">
        <v>464</v>
      </c>
    </row>
    <row r="492" spans="1:10" ht="15" hidden="1" customHeight="1" x14ac:dyDescent="0.25">
      <c r="A492" s="10">
        <v>1</v>
      </c>
      <c r="B492" s="48">
        <v>44236</v>
      </c>
      <c r="C492" s="17">
        <v>220</v>
      </c>
      <c r="D492" s="17">
        <v>220</v>
      </c>
      <c r="E492" s="16">
        <v>44236</v>
      </c>
      <c r="F492" t="s">
        <v>117</v>
      </c>
      <c r="H492" s="17">
        <f t="shared" si="21"/>
        <v>0</v>
      </c>
      <c r="I492" s="17" t="s">
        <v>25</v>
      </c>
      <c r="J492" s="17" t="s">
        <v>510</v>
      </c>
    </row>
    <row r="493" spans="1:10" ht="15" hidden="1" customHeight="1" x14ac:dyDescent="0.25">
      <c r="A493" s="10">
        <v>2</v>
      </c>
      <c r="B493" s="48">
        <f>B492+7</f>
        <v>44243</v>
      </c>
      <c r="C493" s="17">
        <v>220</v>
      </c>
      <c r="D493" s="17">
        <v>220</v>
      </c>
      <c r="E493" s="16">
        <v>44247</v>
      </c>
      <c r="F493" t="s">
        <v>117</v>
      </c>
      <c r="H493" s="17">
        <f t="shared" si="21"/>
        <v>0</v>
      </c>
      <c r="I493" s="17" t="s">
        <v>25</v>
      </c>
      <c r="J493" s="17" t="s">
        <v>510</v>
      </c>
    </row>
    <row r="494" spans="1:10" ht="15" hidden="1" customHeight="1" x14ac:dyDescent="0.25">
      <c r="A494" s="10">
        <v>3</v>
      </c>
      <c r="B494" s="48">
        <f>B493+7</f>
        <v>44250</v>
      </c>
      <c r="C494" s="17">
        <v>220</v>
      </c>
      <c r="D494" s="17">
        <v>220</v>
      </c>
      <c r="E494" s="16">
        <v>44257</v>
      </c>
      <c r="F494" t="s">
        <v>117</v>
      </c>
      <c r="H494" s="17">
        <f t="shared" si="21"/>
        <v>0</v>
      </c>
      <c r="I494" s="17" t="s">
        <v>25</v>
      </c>
      <c r="J494" s="77" t="s">
        <v>510</v>
      </c>
    </row>
    <row r="495" spans="1:10" ht="15" hidden="1" customHeight="1" x14ac:dyDescent="0.25">
      <c r="A495" s="10">
        <v>4</v>
      </c>
      <c r="B495" s="48">
        <f>B494+7</f>
        <v>44257</v>
      </c>
      <c r="C495" s="17">
        <v>220</v>
      </c>
      <c r="D495" s="17"/>
      <c r="H495" s="17">
        <f t="shared" si="21"/>
        <v>220</v>
      </c>
      <c r="I495" s="17" t="s">
        <v>25</v>
      </c>
      <c r="J495" s="17" t="s">
        <v>510</v>
      </c>
    </row>
    <row r="496" spans="1:10" ht="15" hidden="1" customHeight="1" x14ac:dyDescent="0.25">
      <c r="A496" s="10">
        <v>5</v>
      </c>
      <c r="B496" s="48">
        <f>B495+7</f>
        <v>44264</v>
      </c>
      <c r="C496" s="17">
        <v>220</v>
      </c>
      <c r="D496" s="17">
        <v>440</v>
      </c>
      <c r="E496" s="16">
        <v>44271</v>
      </c>
      <c r="F496" t="s">
        <v>117</v>
      </c>
      <c r="H496" s="17">
        <f t="shared" si="21"/>
        <v>0</v>
      </c>
      <c r="I496" s="17" t="s">
        <v>25</v>
      </c>
      <c r="J496" s="17" t="s">
        <v>510</v>
      </c>
    </row>
    <row r="497" spans="1:10" ht="15" hidden="1" customHeight="1" x14ac:dyDescent="0.25">
      <c r="A497" s="10">
        <v>6</v>
      </c>
      <c r="B497" s="48">
        <f>B496+7</f>
        <v>44271</v>
      </c>
      <c r="C497" s="17">
        <v>220</v>
      </c>
      <c r="D497" s="17">
        <v>220</v>
      </c>
      <c r="E497" s="16">
        <v>44277</v>
      </c>
      <c r="F497" t="s">
        <v>124</v>
      </c>
      <c r="H497" s="17">
        <f t="shared" si="21"/>
        <v>0</v>
      </c>
      <c r="I497" s="17" t="s">
        <v>25</v>
      </c>
      <c r="J497" s="17" t="s">
        <v>510</v>
      </c>
    </row>
    <row r="498" spans="1:10" ht="15" hidden="1" customHeight="1" x14ac:dyDescent="0.25">
      <c r="A498" s="10">
        <v>1</v>
      </c>
      <c r="B498" s="48">
        <v>44299</v>
      </c>
      <c r="C498" s="17">
        <v>250</v>
      </c>
      <c r="D498" s="17">
        <v>250</v>
      </c>
      <c r="E498" s="16">
        <v>44299</v>
      </c>
      <c r="F498" t="s">
        <v>114</v>
      </c>
      <c r="H498" s="17">
        <f t="shared" si="21"/>
        <v>0</v>
      </c>
      <c r="I498" s="17" t="s">
        <v>25</v>
      </c>
      <c r="J498" s="77" t="s">
        <v>553</v>
      </c>
    </row>
    <row r="499" spans="1:10" ht="15" hidden="1" customHeight="1" x14ac:dyDescent="0.25">
      <c r="A499" s="10">
        <v>2</v>
      </c>
      <c r="B499" s="48">
        <f>B498+7</f>
        <v>44306</v>
      </c>
      <c r="C499" s="17">
        <v>50</v>
      </c>
      <c r="D499" s="17">
        <v>50</v>
      </c>
      <c r="E499" s="16">
        <v>44308</v>
      </c>
      <c r="F499" t="s">
        <v>124</v>
      </c>
      <c r="H499" s="17">
        <f t="shared" si="21"/>
        <v>0</v>
      </c>
      <c r="I499" s="17" t="s">
        <v>25</v>
      </c>
      <c r="J499" s="17" t="s">
        <v>553</v>
      </c>
    </row>
    <row r="500" spans="1:10" ht="15" hidden="1" customHeight="1" x14ac:dyDescent="0.25">
      <c r="A500" s="10">
        <v>1</v>
      </c>
      <c r="B500" s="48">
        <v>44375</v>
      </c>
      <c r="C500" s="17">
        <v>180</v>
      </c>
      <c r="D500" s="17">
        <v>180</v>
      </c>
      <c r="E500" s="16">
        <v>44375</v>
      </c>
      <c r="F500" t="s">
        <v>59</v>
      </c>
      <c r="H500" s="17">
        <f t="shared" si="21"/>
        <v>0</v>
      </c>
      <c r="I500" s="17" t="s">
        <v>25</v>
      </c>
      <c r="J500" s="17" t="s">
        <v>655</v>
      </c>
    </row>
    <row r="501" spans="1:10" ht="15" hidden="1" customHeight="1" x14ac:dyDescent="0.25">
      <c r="A501" s="10">
        <v>2</v>
      </c>
      <c r="B501" s="48">
        <f t="shared" ref="B501:B520" si="24">B500+7</f>
        <v>44382</v>
      </c>
      <c r="C501" s="17">
        <v>180</v>
      </c>
      <c r="D501" s="17">
        <v>180</v>
      </c>
      <c r="E501" s="16">
        <v>44382</v>
      </c>
      <c r="F501" t="s">
        <v>59</v>
      </c>
      <c r="H501" s="17">
        <f t="shared" ref="H501:H534" si="25">IFERROR(IF(F500="Closed account",(IF(F501="Unpaid Rent",(C501),(C501-D501))),(IF(F501="Unpaid Rent",(C501+H500),(C501-D501+H500)))),"")</f>
        <v>0</v>
      </c>
      <c r="I501" s="17" t="s">
        <v>25</v>
      </c>
      <c r="J501" s="17" t="s">
        <v>655</v>
      </c>
    </row>
    <row r="502" spans="1:10" ht="15" hidden="1" customHeight="1" x14ac:dyDescent="0.25">
      <c r="A502" s="10">
        <v>3</v>
      </c>
      <c r="B502" s="48">
        <f t="shared" si="24"/>
        <v>44389</v>
      </c>
      <c r="C502" s="17">
        <v>180</v>
      </c>
      <c r="D502" s="17">
        <v>180</v>
      </c>
      <c r="E502" s="16">
        <v>44389</v>
      </c>
      <c r="F502" t="s">
        <v>59</v>
      </c>
      <c r="H502" s="17">
        <f t="shared" si="25"/>
        <v>0</v>
      </c>
      <c r="I502" s="17" t="s">
        <v>25</v>
      </c>
      <c r="J502" s="17" t="s">
        <v>655</v>
      </c>
    </row>
    <row r="503" spans="1:10" ht="15" hidden="1" customHeight="1" x14ac:dyDescent="0.25">
      <c r="A503" s="10">
        <v>4</v>
      </c>
      <c r="B503" s="48">
        <f t="shared" si="24"/>
        <v>44396</v>
      </c>
      <c r="C503" s="17">
        <v>180</v>
      </c>
      <c r="D503" s="17">
        <v>180</v>
      </c>
      <c r="E503" s="16">
        <v>44396</v>
      </c>
      <c r="F503" t="s">
        <v>59</v>
      </c>
      <c r="H503" s="17">
        <f t="shared" si="25"/>
        <v>0</v>
      </c>
      <c r="I503" s="17" t="s">
        <v>25</v>
      </c>
      <c r="J503" s="17" t="s">
        <v>655</v>
      </c>
    </row>
    <row r="504" spans="1:10" ht="15" hidden="1" customHeight="1" x14ac:dyDescent="0.25">
      <c r="A504" s="10">
        <v>5</v>
      </c>
      <c r="B504" s="48">
        <f t="shared" si="24"/>
        <v>44403</v>
      </c>
      <c r="C504" s="17">
        <v>180</v>
      </c>
      <c r="D504" s="17">
        <v>180</v>
      </c>
      <c r="E504" s="16">
        <v>44403</v>
      </c>
      <c r="F504" t="s">
        <v>59</v>
      </c>
      <c r="H504" s="17">
        <f t="shared" si="25"/>
        <v>0</v>
      </c>
      <c r="I504" s="17" t="s">
        <v>25</v>
      </c>
      <c r="J504" s="17" t="s">
        <v>655</v>
      </c>
    </row>
    <row r="505" spans="1:10" ht="15" hidden="1" customHeight="1" x14ac:dyDescent="0.25">
      <c r="A505" s="10">
        <v>6</v>
      </c>
      <c r="B505" s="48">
        <f t="shared" si="24"/>
        <v>44410</v>
      </c>
      <c r="C505" s="17">
        <v>180</v>
      </c>
      <c r="D505" s="17">
        <v>180</v>
      </c>
      <c r="E505" s="16">
        <v>44410</v>
      </c>
      <c r="F505" t="s">
        <v>59</v>
      </c>
      <c r="H505" s="17">
        <f t="shared" si="25"/>
        <v>0</v>
      </c>
      <c r="I505" s="17" t="s">
        <v>25</v>
      </c>
      <c r="J505" s="17" t="s">
        <v>655</v>
      </c>
    </row>
    <row r="506" spans="1:10" ht="15" hidden="1" customHeight="1" x14ac:dyDescent="0.25">
      <c r="A506" s="10">
        <v>7</v>
      </c>
      <c r="B506" s="48">
        <f t="shared" si="24"/>
        <v>44417</v>
      </c>
      <c r="C506" s="17">
        <v>180</v>
      </c>
      <c r="D506" s="17">
        <v>180</v>
      </c>
      <c r="E506" s="16">
        <v>44417</v>
      </c>
      <c r="F506" t="s">
        <v>59</v>
      </c>
      <c r="H506" s="17">
        <f t="shared" si="25"/>
        <v>0</v>
      </c>
      <c r="I506" s="17" t="s">
        <v>25</v>
      </c>
      <c r="J506" s="17" t="s">
        <v>655</v>
      </c>
    </row>
    <row r="507" spans="1:10" ht="15" hidden="1" customHeight="1" x14ac:dyDescent="0.25">
      <c r="A507" s="10">
        <v>8</v>
      </c>
      <c r="B507" s="48">
        <f t="shared" si="24"/>
        <v>44424</v>
      </c>
      <c r="C507" s="17">
        <v>180</v>
      </c>
      <c r="D507" s="17">
        <v>180</v>
      </c>
      <c r="E507" s="16">
        <v>44424</v>
      </c>
      <c r="F507" t="s">
        <v>59</v>
      </c>
      <c r="H507" s="17">
        <f t="shared" si="25"/>
        <v>0</v>
      </c>
      <c r="I507" s="17" t="s">
        <v>25</v>
      </c>
      <c r="J507" s="17" t="s">
        <v>655</v>
      </c>
    </row>
    <row r="508" spans="1:10" ht="15" hidden="1" customHeight="1" x14ac:dyDescent="0.25">
      <c r="A508" s="10">
        <v>9</v>
      </c>
      <c r="B508" s="48">
        <f t="shared" si="24"/>
        <v>44431</v>
      </c>
      <c r="C508" s="17">
        <v>160</v>
      </c>
      <c r="D508" s="17">
        <v>160</v>
      </c>
      <c r="E508" s="16">
        <v>44431</v>
      </c>
      <c r="F508" t="s">
        <v>59</v>
      </c>
      <c r="H508" s="17">
        <f t="shared" si="25"/>
        <v>0</v>
      </c>
      <c r="I508" s="17" t="s">
        <v>25</v>
      </c>
      <c r="J508" s="17" t="s">
        <v>655</v>
      </c>
    </row>
    <row r="509" spans="1:10" ht="15" hidden="1" customHeight="1" x14ac:dyDescent="0.25">
      <c r="A509" s="10">
        <v>10</v>
      </c>
      <c r="B509" s="48">
        <f t="shared" si="24"/>
        <v>44438</v>
      </c>
      <c r="C509" s="17">
        <v>160</v>
      </c>
      <c r="D509" s="17">
        <v>160</v>
      </c>
      <c r="E509" s="16">
        <v>44438</v>
      </c>
      <c r="F509" t="s">
        <v>59</v>
      </c>
      <c r="H509" s="17">
        <f t="shared" si="25"/>
        <v>0</v>
      </c>
      <c r="I509" s="17" t="s">
        <v>25</v>
      </c>
      <c r="J509" s="17" t="s">
        <v>655</v>
      </c>
    </row>
    <row r="510" spans="1:10" ht="15" hidden="1" customHeight="1" x14ac:dyDescent="0.25">
      <c r="A510" s="10">
        <v>11</v>
      </c>
      <c r="B510" s="48">
        <f t="shared" si="24"/>
        <v>44445</v>
      </c>
      <c r="C510" s="17">
        <v>160</v>
      </c>
      <c r="D510" s="17">
        <v>160</v>
      </c>
      <c r="E510" s="16">
        <v>44445</v>
      </c>
      <c r="F510" t="s">
        <v>59</v>
      </c>
      <c r="H510" s="17">
        <f t="shared" si="25"/>
        <v>0</v>
      </c>
      <c r="I510" s="17" t="s">
        <v>25</v>
      </c>
      <c r="J510" s="17" t="s">
        <v>655</v>
      </c>
    </row>
    <row r="511" spans="1:10" ht="15" hidden="1" customHeight="1" x14ac:dyDescent="0.25">
      <c r="A511" s="10">
        <v>12</v>
      </c>
      <c r="B511" s="48">
        <f t="shared" si="24"/>
        <v>44452</v>
      </c>
      <c r="C511" s="17">
        <v>160</v>
      </c>
      <c r="D511" s="17">
        <v>160</v>
      </c>
      <c r="E511" s="16">
        <v>44452</v>
      </c>
      <c r="F511" t="s">
        <v>59</v>
      </c>
      <c r="H511" s="17">
        <f t="shared" si="25"/>
        <v>0</v>
      </c>
      <c r="I511" s="17" t="s">
        <v>25</v>
      </c>
      <c r="J511" s="17" t="s">
        <v>655</v>
      </c>
    </row>
    <row r="512" spans="1:10" ht="15" hidden="1" customHeight="1" x14ac:dyDescent="0.25">
      <c r="A512" s="10">
        <v>13</v>
      </c>
      <c r="B512" s="48">
        <f t="shared" si="24"/>
        <v>44459</v>
      </c>
      <c r="C512" s="17">
        <v>160</v>
      </c>
      <c r="D512" s="17">
        <v>160</v>
      </c>
      <c r="E512" s="16">
        <v>44459</v>
      </c>
      <c r="F512" t="s">
        <v>59</v>
      </c>
      <c r="H512" s="17">
        <f t="shared" si="25"/>
        <v>0</v>
      </c>
      <c r="I512" s="17" t="s">
        <v>25</v>
      </c>
      <c r="J512" s="17" t="s">
        <v>655</v>
      </c>
    </row>
    <row r="513" spans="1:10" ht="15" hidden="1" customHeight="1" x14ac:dyDescent="0.25">
      <c r="A513" s="10">
        <v>14</v>
      </c>
      <c r="B513" s="48">
        <f t="shared" si="24"/>
        <v>44466</v>
      </c>
      <c r="C513" s="17">
        <v>160</v>
      </c>
      <c r="D513" s="17">
        <v>160</v>
      </c>
      <c r="E513" s="16">
        <v>44466</v>
      </c>
      <c r="F513" t="s">
        <v>59</v>
      </c>
      <c r="H513" s="17">
        <f t="shared" si="25"/>
        <v>0</v>
      </c>
      <c r="I513" s="17" t="s">
        <v>25</v>
      </c>
      <c r="J513" s="17" t="s">
        <v>655</v>
      </c>
    </row>
    <row r="514" spans="1:10" ht="15" hidden="1" customHeight="1" x14ac:dyDescent="0.25">
      <c r="A514" s="10">
        <v>15</v>
      </c>
      <c r="B514" s="48">
        <f t="shared" si="24"/>
        <v>44473</v>
      </c>
      <c r="C514" s="17">
        <v>160</v>
      </c>
      <c r="D514" s="17">
        <v>160</v>
      </c>
      <c r="E514" s="16">
        <v>44473</v>
      </c>
      <c r="F514" t="s">
        <v>59</v>
      </c>
      <c r="H514" s="17">
        <f t="shared" si="25"/>
        <v>0</v>
      </c>
      <c r="I514" s="17" t="s">
        <v>25</v>
      </c>
      <c r="J514" s="17" t="s">
        <v>655</v>
      </c>
    </row>
    <row r="515" spans="1:10" ht="15" hidden="1" customHeight="1" x14ac:dyDescent="0.25">
      <c r="A515" s="10">
        <v>16</v>
      </c>
      <c r="B515" s="48">
        <f t="shared" si="24"/>
        <v>44480</v>
      </c>
      <c r="C515" s="17">
        <v>160</v>
      </c>
      <c r="D515" s="17">
        <v>160</v>
      </c>
      <c r="E515" s="16">
        <v>44480</v>
      </c>
      <c r="F515" t="s">
        <v>59</v>
      </c>
      <c r="H515" s="17">
        <f t="shared" si="25"/>
        <v>0</v>
      </c>
      <c r="I515" s="17" t="s">
        <v>25</v>
      </c>
      <c r="J515" s="17" t="s">
        <v>655</v>
      </c>
    </row>
    <row r="516" spans="1:10" ht="15" hidden="1" customHeight="1" x14ac:dyDescent="0.25">
      <c r="A516" s="10">
        <v>17</v>
      </c>
      <c r="B516" s="48">
        <f t="shared" si="24"/>
        <v>44487</v>
      </c>
      <c r="C516" s="17">
        <v>160</v>
      </c>
      <c r="D516" s="17">
        <v>160</v>
      </c>
      <c r="E516" s="16">
        <v>44487</v>
      </c>
      <c r="F516" t="s">
        <v>59</v>
      </c>
      <c r="H516" s="17">
        <f t="shared" si="25"/>
        <v>0</v>
      </c>
      <c r="I516" s="17" t="s">
        <v>25</v>
      </c>
      <c r="J516" s="17" t="s">
        <v>655</v>
      </c>
    </row>
    <row r="517" spans="1:10" ht="15" hidden="1" customHeight="1" x14ac:dyDescent="0.25">
      <c r="A517" s="10">
        <v>19</v>
      </c>
      <c r="B517" s="48">
        <f t="shared" si="24"/>
        <v>44494</v>
      </c>
      <c r="C517" s="17">
        <v>160</v>
      </c>
      <c r="D517" s="17">
        <v>160</v>
      </c>
      <c r="E517" s="16">
        <v>44494</v>
      </c>
      <c r="F517" t="s">
        <v>59</v>
      </c>
      <c r="H517" s="17">
        <f t="shared" si="25"/>
        <v>0</v>
      </c>
      <c r="I517" s="17" t="s">
        <v>25</v>
      </c>
      <c r="J517" s="17" t="s">
        <v>655</v>
      </c>
    </row>
    <row r="518" spans="1:10" ht="15" hidden="1" customHeight="1" x14ac:dyDescent="0.25">
      <c r="A518" s="10">
        <v>20</v>
      </c>
      <c r="B518" s="48">
        <f t="shared" si="24"/>
        <v>44501</v>
      </c>
      <c r="C518" s="17">
        <v>160</v>
      </c>
      <c r="D518" s="17">
        <v>160</v>
      </c>
      <c r="E518" s="16">
        <v>44501</v>
      </c>
      <c r="F518" t="s">
        <v>59</v>
      </c>
      <c r="H518" s="17">
        <f t="shared" si="25"/>
        <v>0</v>
      </c>
      <c r="I518" s="17" t="s">
        <v>25</v>
      </c>
      <c r="J518" s="17" t="s">
        <v>655</v>
      </c>
    </row>
    <row r="519" spans="1:10" ht="15" hidden="1" customHeight="1" x14ac:dyDescent="0.25">
      <c r="A519" s="10">
        <v>21</v>
      </c>
      <c r="B519" s="48">
        <f t="shared" si="24"/>
        <v>44508</v>
      </c>
      <c r="C519" s="17">
        <v>180</v>
      </c>
      <c r="D519" s="17">
        <v>180</v>
      </c>
      <c r="E519" s="16">
        <v>44508</v>
      </c>
      <c r="F519" t="s">
        <v>59</v>
      </c>
      <c r="H519" s="17">
        <f t="shared" si="25"/>
        <v>0</v>
      </c>
      <c r="I519" s="17" t="s">
        <v>25</v>
      </c>
      <c r="J519" s="17" t="s">
        <v>655</v>
      </c>
    </row>
    <row r="520" spans="1:10" ht="15" hidden="1" customHeight="1" x14ac:dyDescent="0.25">
      <c r="A520" s="10">
        <v>22</v>
      </c>
      <c r="B520" s="48">
        <f t="shared" si="24"/>
        <v>44515</v>
      </c>
      <c r="C520" s="17">
        <v>180</v>
      </c>
      <c r="D520" s="17">
        <v>180</v>
      </c>
      <c r="E520" s="16">
        <v>44515</v>
      </c>
      <c r="F520" t="s">
        <v>124</v>
      </c>
      <c r="H520" s="17">
        <f t="shared" si="25"/>
        <v>0</v>
      </c>
      <c r="I520" s="17" t="s">
        <v>25</v>
      </c>
      <c r="J520" s="17" t="s">
        <v>655</v>
      </c>
    </row>
    <row r="521" spans="1:10" ht="15" hidden="1" customHeight="1" x14ac:dyDescent="0.25">
      <c r="A521" s="10">
        <v>1</v>
      </c>
      <c r="B521" s="48">
        <v>44529</v>
      </c>
      <c r="C521" s="17">
        <v>300</v>
      </c>
      <c r="D521" s="17">
        <v>300</v>
      </c>
      <c r="E521" s="16">
        <v>44529</v>
      </c>
      <c r="F521" t="s">
        <v>181</v>
      </c>
      <c r="H521" s="17">
        <f t="shared" si="25"/>
        <v>0</v>
      </c>
      <c r="I521" s="17" t="s">
        <v>25</v>
      </c>
      <c r="J521" s="77" t="s">
        <v>736</v>
      </c>
    </row>
    <row r="522" spans="1:10" ht="15" hidden="1" customHeight="1" x14ac:dyDescent="0.25">
      <c r="A522" s="10">
        <v>1</v>
      </c>
      <c r="B522" s="48">
        <v>44529</v>
      </c>
      <c r="C522" s="17">
        <v>150</v>
      </c>
      <c r="D522" s="17">
        <v>150</v>
      </c>
      <c r="E522" s="16">
        <v>44529</v>
      </c>
      <c r="F522" t="s">
        <v>117</v>
      </c>
      <c r="H522" s="17">
        <f t="shared" si="25"/>
        <v>0</v>
      </c>
      <c r="I522" s="17" t="s">
        <v>25</v>
      </c>
      <c r="J522" s="77" t="s">
        <v>736</v>
      </c>
    </row>
    <row r="523" spans="1:10" ht="15" hidden="1" customHeight="1" x14ac:dyDescent="0.25">
      <c r="A523" s="10">
        <v>2</v>
      </c>
      <c r="B523" s="48">
        <f>B522+7</f>
        <v>44536</v>
      </c>
      <c r="C523" s="17">
        <v>150</v>
      </c>
      <c r="D523" s="17">
        <v>150</v>
      </c>
      <c r="E523" s="16">
        <v>44536</v>
      </c>
      <c r="F523" t="s">
        <v>124</v>
      </c>
      <c r="H523" s="17">
        <f t="shared" si="25"/>
        <v>0</v>
      </c>
      <c r="I523" s="17" t="s">
        <v>25</v>
      </c>
      <c r="J523" s="17" t="s">
        <v>736</v>
      </c>
    </row>
    <row r="524" spans="1:10" ht="15" hidden="1" customHeight="1" x14ac:dyDescent="0.25">
      <c r="A524" s="10">
        <v>1</v>
      </c>
      <c r="B524" s="48">
        <v>44538</v>
      </c>
      <c r="C524" s="17">
        <v>400</v>
      </c>
      <c r="D524" s="17">
        <v>400</v>
      </c>
      <c r="E524" s="16">
        <v>44540</v>
      </c>
      <c r="F524" t="s">
        <v>181</v>
      </c>
      <c r="H524" s="17">
        <f t="shared" si="25"/>
        <v>0</v>
      </c>
      <c r="I524" s="17" t="s">
        <v>25</v>
      </c>
      <c r="J524" s="17" t="s">
        <v>771</v>
      </c>
    </row>
    <row r="525" spans="1:10" ht="15" hidden="1" customHeight="1" x14ac:dyDescent="0.25">
      <c r="A525" s="10">
        <v>1</v>
      </c>
      <c r="B525" s="48">
        <v>44538</v>
      </c>
      <c r="C525" s="17">
        <v>170</v>
      </c>
      <c r="D525" s="17">
        <v>170</v>
      </c>
      <c r="E525" s="16">
        <v>44540</v>
      </c>
      <c r="F525" t="s">
        <v>117</v>
      </c>
      <c r="H525" s="17">
        <f t="shared" si="25"/>
        <v>0</v>
      </c>
      <c r="I525" s="17" t="s">
        <v>25</v>
      </c>
      <c r="J525" s="17" t="s">
        <v>771</v>
      </c>
    </row>
    <row r="526" spans="1:10" ht="15" hidden="1" customHeight="1" x14ac:dyDescent="0.25">
      <c r="A526" s="10">
        <v>2</v>
      </c>
      <c r="B526" s="48">
        <f>B525+7</f>
        <v>44545</v>
      </c>
      <c r="C526" s="17">
        <v>85</v>
      </c>
      <c r="D526" s="17">
        <v>85</v>
      </c>
      <c r="E526" s="16">
        <v>44550</v>
      </c>
      <c r="F526" t="s">
        <v>117</v>
      </c>
      <c r="H526" s="17">
        <f t="shared" si="25"/>
        <v>0</v>
      </c>
      <c r="I526" s="17" t="s">
        <v>25</v>
      </c>
      <c r="J526" s="17" t="s">
        <v>771</v>
      </c>
    </row>
    <row r="527" spans="1:10" ht="15" hidden="1" customHeight="1" x14ac:dyDescent="0.25">
      <c r="A527" s="10">
        <v>3</v>
      </c>
      <c r="B527" s="48">
        <f>B526+7</f>
        <v>44552</v>
      </c>
      <c r="C527" s="17">
        <v>170</v>
      </c>
      <c r="D527" s="17"/>
      <c r="H527" s="17">
        <f t="shared" si="25"/>
        <v>170</v>
      </c>
      <c r="I527" s="17" t="s">
        <v>25</v>
      </c>
      <c r="J527" s="17" t="s">
        <v>771</v>
      </c>
    </row>
    <row r="528" spans="1:10" ht="15" hidden="1" customHeight="1" x14ac:dyDescent="0.25">
      <c r="A528" s="10">
        <v>4</v>
      </c>
      <c r="B528" s="48">
        <f>B527+7</f>
        <v>44559</v>
      </c>
      <c r="C528" s="17">
        <v>170</v>
      </c>
      <c r="D528" s="17"/>
      <c r="H528" s="17">
        <f t="shared" si="25"/>
        <v>340</v>
      </c>
      <c r="I528" s="17" t="s">
        <v>25</v>
      </c>
      <c r="J528" s="17" t="s">
        <v>771</v>
      </c>
    </row>
    <row r="529" spans="1:13" ht="15" hidden="1" customHeight="1" x14ac:dyDescent="0.25">
      <c r="A529" s="10">
        <v>5</v>
      </c>
      <c r="B529" s="48">
        <f>B528+7</f>
        <v>44566</v>
      </c>
      <c r="C529" s="17">
        <v>170</v>
      </c>
      <c r="D529" s="17"/>
      <c r="H529" s="17">
        <f t="shared" si="25"/>
        <v>510</v>
      </c>
      <c r="I529" s="17" t="s">
        <v>25</v>
      </c>
      <c r="J529" s="17" t="s">
        <v>771</v>
      </c>
    </row>
    <row r="530" spans="1:13" ht="15" hidden="1" customHeight="1" x14ac:dyDescent="0.25">
      <c r="A530" s="10">
        <v>6</v>
      </c>
      <c r="B530" s="48">
        <f>B529+7</f>
        <v>44573</v>
      </c>
      <c r="C530" s="17"/>
      <c r="D530" s="17">
        <v>220</v>
      </c>
      <c r="E530" s="16">
        <v>44576</v>
      </c>
      <c r="F530" t="s">
        <v>124</v>
      </c>
      <c r="H530" s="17">
        <f t="shared" si="25"/>
        <v>290</v>
      </c>
      <c r="I530" s="17" t="s">
        <v>25</v>
      </c>
      <c r="J530" s="17" t="s">
        <v>771</v>
      </c>
    </row>
    <row r="531" spans="1:13" ht="15" hidden="1" customHeight="1" x14ac:dyDescent="0.25">
      <c r="A531" s="10">
        <v>1</v>
      </c>
      <c r="B531" s="48">
        <v>45015</v>
      </c>
      <c r="C531" s="17">
        <v>160</v>
      </c>
      <c r="D531" s="17">
        <v>160</v>
      </c>
      <c r="E531" s="16">
        <v>45015</v>
      </c>
      <c r="F531" t="s">
        <v>117</v>
      </c>
      <c r="H531" s="17">
        <f t="shared" si="25"/>
        <v>0</v>
      </c>
      <c r="I531" s="17" t="s">
        <v>25</v>
      </c>
      <c r="J531" s="17" t="s">
        <v>1011</v>
      </c>
    </row>
    <row r="532" spans="1:13" ht="15" hidden="1" customHeight="1" x14ac:dyDescent="0.25">
      <c r="A532" s="10">
        <v>2</v>
      </c>
      <c r="B532" s="48">
        <f>B531+7</f>
        <v>45022</v>
      </c>
      <c r="C532" s="17">
        <v>160</v>
      </c>
      <c r="D532" s="17"/>
      <c r="H532" s="17">
        <f t="shared" si="25"/>
        <v>160</v>
      </c>
      <c r="I532" s="17" t="s">
        <v>25</v>
      </c>
      <c r="J532" s="77" t="s">
        <v>1011</v>
      </c>
    </row>
    <row r="533" spans="1:13" ht="15" hidden="1" customHeight="1" x14ac:dyDescent="0.25">
      <c r="A533" s="10">
        <v>3</v>
      </c>
      <c r="B533" s="48">
        <f>B532+7</f>
        <v>45029</v>
      </c>
      <c r="C533" s="17">
        <v>160</v>
      </c>
      <c r="D533" s="17"/>
      <c r="H533" s="17">
        <f t="shared" si="25"/>
        <v>320</v>
      </c>
      <c r="I533" s="17" t="s">
        <v>25</v>
      </c>
      <c r="J533" s="17" t="s">
        <v>1011</v>
      </c>
    </row>
    <row r="534" spans="1:13" ht="15" hidden="1" customHeight="1" x14ac:dyDescent="0.25">
      <c r="A534" s="10">
        <v>4</v>
      </c>
      <c r="B534" s="48">
        <f>B533+7</f>
        <v>45036</v>
      </c>
      <c r="C534" s="17">
        <v>160</v>
      </c>
      <c r="D534" s="17">
        <v>480</v>
      </c>
      <c r="E534" s="16">
        <v>45058</v>
      </c>
      <c r="F534" t="s">
        <v>117</v>
      </c>
      <c r="H534" s="17">
        <f t="shared" si="25"/>
        <v>0</v>
      </c>
      <c r="I534" s="17" t="s">
        <v>25</v>
      </c>
      <c r="J534" s="17" t="s">
        <v>1011</v>
      </c>
    </row>
    <row r="535" spans="1:13" ht="15" customHeight="1" x14ac:dyDescent="0.25">
      <c r="B535" s="48"/>
      <c r="C535" s="17"/>
      <c r="D535" s="17"/>
    </row>
    <row r="536" spans="1:13" ht="15" customHeight="1" x14ac:dyDescent="0.25">
      <c r="C536" s="14">
        <f>SUBTOTAL(9,C308:C316)</f>
        <v>0</v>
      </c>
      <c r="D536" s="14">
        <f>SUBTOTAL(9,D139:D142)</f>
        <v>0</v>
      </c>
      <c r="M536">
        <f>SUBTOTAL(9,L4:L883)</f>
        <v>1572.57</v>
      </c>
    </row>
  </sheetData>
  <autoFilter ref="A5:X534" xr:uid="{00000000-0009-0000-0000-000001000000}">
    <filterColumn colId="12" showButton="0">
      <filters>
        <filter val="Fine / Toll"/>
      </filters>
    </filterColumn>
  </autoFilter>
  <mergeCells count="29">
    <mergeCell ref="Q4:R5"/>
    <mergeCell ref="G4:G5"/>
    <mergeCell ref="H4:H5"/>
    <mergeCell ref="J4:J5"/>
    <mergeCell ref="K4:K5"/>
    <mergeCell ref="L4:L5"/>
    <mergeCell ref="M4:N5"/>
    <mergeCell ref="F4:F5"/>
    <mergeCell ref="A1:P1"/>
    <mergeCell ref="Q1:R1"/>
    <mergeCell ref="A2:F3"/>
    <mergeCell ref="G2:J3"/>
    <mergeCell ref="K2:M3"/>
    <mergeCell ref="N2:P3"/>
    <mergeCell ref="Q2:R3"/>
    <mergeCell ref="I4:I5"/>
    <mergeCell ref="O4:O5"/>
    <mergeCell ref="A4:A5"/>
    <mergeCell ref="B4:B5"/>
    <mergeCell ref="C4:C5"/>
    <mergeCell ref="D4:D5"/>
    <mergeCell ref="E4:E5"/>
    <mergeCell ref="P4:P5"/>
    <mergeCell ref="U2:X3"/>
    <mergeCell ref="Y4:Z5"/>
    <mergeCell ref="U4:U5"/>
    <mergeCell ref="V4:V5"/>
    <mergeCell ref="W4:W5"/>
    <mergeCell ref="X4:X5"/>
  </mergeCells>
  <conditionalFormatting sqref="D8:E30 C8:C29 A8:A46 C31:E46 G8:J46 G48 C48:E48 A48 J48 L16:O21 G52:G61 H78:H191 G243:H293 H294:H307 J243:J307">
    <cfRule type="expression" dxfId="28042" priority="5918">
      <formula>AND($A8&lt;&gt;"",MOD(ROW(),2))</formula>
    </cfRule>
  </conditionalFormatting>
  <conditionalFormatting sqref="D8:D46 D48 L16:L21">
    <cfRule type="cellIs" dxfId="28041" priority="5915" operator="equal">
      <formula>$C8</formula>
    </cfRule>
    <cfRule type="cellIs" dxfId="28040" priority="5916" operator="greaterThan">
      <formula>$C8</formula>
    </cfRule>
    <cfRule type="cellIs" dxfId="28039" priority="5917" operator="lessThan">
      <formula>$C8</formula>
    </cfRule>
  </conditionalFormatting>
  <conditionalFormatting sqref="L24:O29">
    <cfRule type="expression" dxfId="28038" priority="5908">
      <formula>AND($A26&lt;&gt;"",MOD(ROW(),2))</formula>
    </cfRule>
  </conditionalFormatting>
  <conditionalFormatting sqref="L31:O42">
    <cfRule type="expression" dxfId="28037" priority="5907">
      <formula>AND($A35&lt;&gt;"",MOD(ROW(),2))</formula>
    </cfRule>
  </conditionalFormatting>
  <conditionalFormatting sqref="L24:L29">
    <cfRule type="cellIs" dxfId="28036" priority="5904" operator="equal">
      <formula>$C26</formula>
    </cfRule>
    <cfRule type="cellIs" dxfId="28035" priority="5905" operator="greaterThan">
      <formula>$C26</formula>
    </cfRule>
    <cfRule type="cellIs" dxfId="28034" priority="5906" operator="lessThan">
      <formula>$C26</formula>
    </cfRule>
  </conditionalFormatting>
  <conditionalFormatting sqref="L29:L31">
    <cfRule type="cellIs" dxfId="28033" priority="5900" operator="equal">
      <formula>$C32</formula>
    </cfRule>
    <cfRule type="cellIs" dxfId="28032" priority="5901" operator="greaterThan">
      <formula>$C32</formula>
    </cfRule>
    <cfRule type="cellIs" dxfId="28031" priority="5902" operator="lessThan">
      <formula>$C32</formula>
    </cfRule>
  </conditionalFormatting>
  <conditionalFormatting sqref="L123:M123 L127:M127">
    <cfRule type="expression" dxfId="28030" priority="5899">
      <formula>AND($A127&lt;&gt;"",MOD(ROW(),2))</formula>
    </cfRule>
  </conditionalFormatting>
  <conditionalFormatting sqref="L31:L42 L123 L127">
    <cfRule type="cellIs" dxfId="28029" priority="5896" operator="equal">
      <formula>$C35</formula>
    </cfRule>
    <cfRule type="cellIs" dxfId="28028" priority="5897" operator="greaterThan">
      <formula>$C35</formula>
    </cfRule>
    <cfRule type="cellIs" dxfId="28027" priority="5898" operator="lessThan">
      <formula>$C35</formula>
    </cfRule>
  </conditionalFormatting>
  <conditionalFormatting sqref="L164:M164">
    <cfRule type="expression" dxfId="28026" priority="5891">
      <formula>AND($A168&lt;&gt;"",MOD(ROW(),2))</formula>
    </cfRule>
  </conditionalFormatting>
  <conditionalFormatting sqref="L164">
    <cfRule type="cellIs" dxfId="28025" priority="5888" operator="equal">
      <formula>$C168</formula>
    </cfRule>
    <cfRule type="cellIs" dxfId="28024" priority="5889" operator="greaterThan">
      <formula>$C168</formula>
    </cfRule>
    <cfRule type="cellIs" dxfId="28023" priority="5890" operator="lessThan">
      <formula>$C168</formula>
    </cfRule>
  </conditionalFormatting>
  <conditionalFormatting sqref="L205:M206">
    <cfRule type="expression" dxfId="28022" priority="5887">
      <formula>AND($A209&lt;&gt;"",MOD(ROW(),2))</formula>
    </cfRule>
  </conditionalFormatting>
  <conditionalFormatting sqref="L205:L206">
    <cfRule type="cellIs" dxfId="28021" priority="5884" operator="equal">
      <formula>$C209</formula>
    </cfRule>
    <cfRule type="cellIs" dxfId="28020" priority="5885" operator="greaterThan">
      <formula>$C209</formula>
    </cfRule>
    <cfRule type="cellIs" dxfId="28019" priority="5886" operator="lessThan">
      <formula>$C209</formula>
    </cfRule>
  </conditionalFormatting>
  <conditionalFormatting sqref="F8:F46 F48 F532:F2994">
    <cfRule type="containsText" dxfId="28018" priority="5867" operator="containsText" text="Unpaid Rent">
      <formula>NOT(ISERROR(SEARCH("Unpaid Rent",F8)))</formula>
    </cfRule>
    <cfRule type="containsText" dxfId="28017" priority="5909" stopIfTrue="1" operator="containsText" text="Closed Account">
      <formula>NOT(ISERROR(SEARCH("Closed Account",F8)))</formula>
    </cfRule>
  </conditionalFormatting>
  <conditionalFormatting sqref="M7:O42 M123 M127 M164 M205:M206">
    <cfRule type="expression" dxfId="28016" priority="5914">
      <formula>AND(#REF!&lt;&gt;"",MOD(ROW(),2))</formula>
    </cfRule>
  </conditionalFormatting>
  <conditionalFormatting sqref="M7:O42 M123 M127 M164 M205:M206">
    <cfRule type="expression" dxfId="28015" priority="5913">
      <formula>AND(#REF!&lt;&gt;"",MOD(ROW(),2))</formula>
    </cfRule>
  </conditionalFormatting>
  <conditionalFormatting sqref="N7:O42">
    <cfRule type="cellIs" dxfId="28014" priority="5910" operator="equal">
      <formula>#REF!</formula>
    </cfRule>
    <cfRule type="cellIs" dxfId="28013" priority="5911" operator="greaterThan">
      <formula>#REF!</formula>
    </cfRule>
    <cfRule type="cellIs" dxfId="28012" priority="5912" operator="lessThan">
      <formula>#REF!</formula>
    </cfRule>
  </conditionalFormatting>
  <conditionalFormatting sqref="D30">
    <cfRule type="cellIs" dxfId="28011" priority="5779" operator="equal">
      <formula>$C30</formula>
    </cfRule>
    <cfRule type="cellIs" dxfId="28010" priority="5780" operator="greaterThan">
      <formula>$C30</formula>
    </cfRule>
    <cfRule type="cellIs" dxfId="28009" priority="5781" operator="lessThan">
      <formula>$C30</formula>
    </cfRule>
  </conditionalFormatting>
  <conditionalFormatting sqref="C30:E30">
    <cfRule type="expression" dxfId="28008" priority="5800">
      <formula>AND($A30&lt;&gt;"",MOD(ROW(),2))</formula>
    </cfRule>
  </conditionalFormatting>
  <conditionalFormatting sqref="D30">
    <cfRule type="cellIs" dxfId="28007" priority="5797" operator="equal">
      <formula>$C30</formula>
    </cfRule>
    <cfRule type="cellIs" dxfId="28006" priority="5798" operator="greaterThan">
      <formula>$C30</formula>
    </cfRule>
    <cfRule type="cellIs" dxfId="28005" priority="5799" operator="lessThan">
      <formula>$C30</formula>
    </cfRule>
  </conditionalFormatting>
  <conditionalFormatting sqref="F30">
    <cfRule type="containsText" dxfId="28004" priority="5795" operator="containsText" text="Unpaid Rent">
      <formula>NOT(ISERROR(SEARCH("Unpaid Rent",F30)))</formula>
    </cfRule>
    <cfRule type="containsText" dxfId="28003" priority="5796" stopIfTrue="1" operator="containsText" text="Closed Account">
      <formula>NOT(ISERROR(SEARCH("Closed Account",F30)))</formula>
    </cfRule>
  </conditionalFormatting>
  <conditionalFormatting sqref="D29:E29">
    <cfRule type="expression" dxfId="28002" priority="5794">
      <formula>AND($A29&lt;&gt;"",MOD(ROW(),2))</formula>
    </cfRule>
  </conditionalFormatting>
  <conditionalFormatting sqref="D29">
    <cfRule type="cellIs" dxfId="28001" priority="5791" operator="equal">
      <formula>$C29</formula>
    </cfRule>
    <cfRule type="cellIs" dxfId="28000" priority="5792" operator="greaterThan">
      <formula>$C29</formula>
    </cfRule>
    <cfRule type="cellIs" dxfId="27999" priority="5793" operator="lessThan">
      <formula>$C29</formula>
    </cfRule>
  </conditionalFormatting>
  <conditionalFormatting sqref="F29">
    <cfRule type="containsText" dxfId="27998" priority="5789" operator="containsText" text="Unpaid Rent">
      <formula>NOT(ISERROR(SEARCH("Unpaid Rent",F29)))</formula>
    </cfRule>
    <cfRule type="containsText" dxfId="27997" priority="5790" stopIfTrue="1" operator="containsText" text="Closed Account">
      <formula>NOT(ISERROR(SEARCH("Closed Account",F29)))</formula>
    </cfRule>
  </conditionalFormatting>
  <conditionalFormatting sqref="D30:E30">
    <cfRule type="expression" dxfId="27996" priority="5788">
      <formula>AND($A30&lt;&gt;"",MOD(ROW(),2))</formula>
    </cfRule>
  </conditionalFormatting>
  <conditionalFormatting sqref="D30">
    <cfRule type="cellIs" dxfId="27995" priority="5785" operator="equal">
      <formula>$C30</formula>
    </cfRule>
    <cfRule type="cellIs" dxfId="27994" priority="5786" operator="greaterThan">
      <formula>$C30</formula>
    </cfRule>
    <cfRule type="cellIs" dxfId="27993" priority="5787" operator="lessThan">
      <formula>$C30</formula>
    </cfRule>
  </conditionalFormatting>
  <conditionalFormatting sqref="F30">
    <cfRule type="containsText" dxfId="27992" priority="5783" operator="containsText" text="Unpaid Rent">
      <formula>NOT(ISERROR(SEARCH("Unpaid Rent",F30)))</formula>
    </cfRule>
    <cfRule type="containsText" dxfId="27991" priority="5784" stopIfTrue="1" operator="containsText" text="Closed Account">
      <formula>NOT(ISERROR(SEARCH("Closed Account",F30)))</formula>
    </cfRule>
  </conditionalFormatting>
  <conditionalFormatting sqref="D30">
    <cfRule type="expression" dxfId="27990" priority="5782">
      <formula>AND($A30&lt;&gt;"",MOD(ROW(),2))</formula>
    </cfRule>
  </conditionalFormatting>
  <conditionalFormatting sqref="C103">
    <cfRule type="expression" dxfId="27989" priority="4414">
      <formula>AND($A103&lt;&gt;"",MOD(ROW(),2))</formula>
    </cfRule>
  </conditionalFormatting>
  <conditionalFormatting sqref="C103">
    <cfRule type="cellIs" dxfId="27988" priority="4411" operator="equal">
      <formula>$C103</formula>
    </cfRule>
    <cfRule type="cellIs" dxfId="27987" priority="4412" operator="greaterThan">
      <formula>$C103</formula>
    </cfRule>
    <cfRule type="cellIs" dxfId="27986" priority="4413" operator="lessThan">
      <formula>$C103</formula>
    </cfRule>
  </conditionalFormatting>
  <conditionalFormatting sqref="C104">
    <cfRule type="expression" dxfId="27985" priority="4410">
      <formula>AND($A104&lt;&gt;"",MOD(ROW(),2))</formula>
    </cfRule>
  </conditionalFormatting>
  <conditionalFormatting sqref="C104">
    <cfRule type="cellIs" dxfId="27984" priority="4407" operator="equal">
      <formula>$C104</formula>
    </cfRule>
    <cfRule type="cellIs" dxfId="27983" priority="4408" operator="greaterThan">
      <formula>$C104</formula>
    </cfRule>
    <cfRule type="cellIs" dxfId="27982" priority="4409" operator="lessThan">
      <formula>$C104</formula>
    </cfRule>
  </conditionalFormatting>
  <conditionalFormatting sqref="C105">
    <cfRule type="expression" dxfId="27981" priority="4406">
      <formula>AND($A105&lt;&gt;"",MOD(ROW(),2))</formula>
    </cfRule>
  </conditionalFormatting>
  <conditionalFormatting sqref="C105">
    <cfRule type="cellIs" dxfId="27980" priority="4403" operator="equal">
      <formula>$C105</formula>
    </cfRule>
    <cfRule type="cellIs" dxfId="27979" priority="4404" operator="greaterThan">
      <formula>$C105</formula>
    </cfRule>
    <cfRule type="cellIs" dxfId="27978" priority="4405" operator="lessThan">
      <formula>$C105</formula>
    </cfRule>
  </conditionalFormatting>
  <conditionalFormatting sqref="D94:E94">
    <cfRule type="expression" dxfId="27977" priority="4402">
      <formula>AND($A94&lt;&gt;"",MOD(ROW(),2))</formula>
    </cfRule>
  </conditionalFormatting>
  <conditionalFormatting sqref="D94">
    <cfRule type="cellIs" dxfId="27976" priority="4399" operator="equal">
      <formula>$C94</formula>
    </cfRule>
    <cfRule type="cellIs" dxfId="27975" priority="4400" operator="greaterThan">
      <formula>$C94</formula>
    </cfRule>
    <cfRule type="cellIs" dxfId="27974" priority="4401" operator="lessThan">
      <formula>$C94</formula>
    </cfRule>
  </conditionalFormatting>
  <conditionalFormatting sqref="D95:E95">
    <cfRule type="expression" dxfId="27973" priority="4398">
      <formula>AND($A95&lt;&gt;"",MOD(ROW(),2))</formula>
    </cfRule>
  </conditionalFormatting>
  <conditionalFormatting sqref="D95">
    <cfRule type="cellIs" dxfId="27972" priority="4395" operator="equal">
      <formula>$C95</formula>
    </cfRule>
    <cfRule type="cellIs" dxfId="27971" priority="4396" operator="greaterThan">
      <formula>$C95</formula>
    </cfRule>
    <cfRule type="cellIs" dxfId="27970" priority="4397" operator="lessThan">
      <formula>$C95</formula>
    </cfRule>
  </conditionalFormatting>
  <conditionalFormatting sqref="D96:E96">
    <cfRule type="expression" dxfId="27969" priority="4394">
      <formula>AND($A96&lt;&gt;"",MOD(ROW(),2))</formula>
    </cfRule>
  </conditionalFormatting>
  <conditionalFormatting sqref="D96">
    <cfRule type="cellIs" dxfId="27968" priority="4391" operator="equal">
      <formula>$C96</formula>
    </cfRule>
    <cfRule type="cellIs" dxfId="27967" priority="4392" operator="greaterThan">
      <formula>$C96</formula>
    </cfRule>
    <cfRule type="cellIs" dxfId="27966" priority="4393" operator="lessThan">
      <formula>$C96</formula>
    </cfRule>
  </conditionalFormatting>
  <conditionalFormatting sqref="D97:E97">
    <cfRule type="expression" dxfId="27965" priority="4390">
      <formula>AND($A97&lt;&gt;"",MOD(ROW(),2))</formula>
    </cfRule>
  </conditionalFormatting>
  <conditionalFormatting sqref="D97">
    <cfRule type="cellIs" dxfId="27964" priority="4387" operator="equal">
      <formula>$C97</formula>
    </cfRule>
    <cfRule type="cellIs" dxfId="27963" priority="4388" operator="greaterThan">
      <formula>$C97</formula>
    </cfRule>
    <cfRule type="cellIs" dxfId="27962" priority="4389" operator="lessThan">
      <formula>$C97</formula>
    </cfRule>
  </conditionalFormatting>
  <conditionalFormatting sqref="D98:E98">
    <cfRule type="expression" dxfId="27961" priority="4386">
      <formula>AND($A98&lt;&gt;"",MOD(ROW(),2))</formula>
    </cfRule>
  </conditionalFormatting>
  <conditionalFormatting sqref="D98">
    <cfRule type="cellIs" dxfId="27960" priority="4383" operator="equal">
      <formula>$C98</formula>
    </cfRule>
    <cfRule type="cellIs" dxfId="27959" priority="4384" operator="greaterThan">
      <formula>$C98</formula>
    </cfRule>
    <cfRule type="cellIs" dxfId="27958" priority="4385" operator="lessThan">
      <formula>$C98</formula>
    </cfRule>
  </conditionalFormatting>
  <conditionalFormatting sqref="D99:E99">
    <cfRule type="expression" dxfId="27957" priority="4382">
      <formula>AND($A99&lt;&gt;"",MOD(ROW(),2))</formula>
    </cfRule>
  </conditionalFormatting>
  <conditionalFormatting sqref="D99">
    <cfRule type="cellIs" dxfId="27956" priority="4379" operator="equal">
      <formula>$C99</formula>
    </cfRule>
    <cfRule type="cellIs" dxfId="27955" priority="4380" operator="greaterThan">
      <formula>$C99</formula>
    </cfRule>
    <cfRule type="cellIs" dxfId="27954" priority="4381" operator="lessThan">
      <formula>$C99</formula>
    </cfRule>
  </conditionalFormatting>
  <conditionalFormatting sqref="C98">
    <cfRule type="expression" dxfId="27953" priority="4434">
      <formula>AND($A98&lt;&gt;"",MOD(ROW(),2))</formula>
    </cfRule>
  </conditionalFormatting>
  <conditionalFormatting sqref="C98">
    <cfRule type="cellIs" dxfId="27952" priority="4431" operator="equal">
      <formula>$C98</formula>
    </cfRule>
    <cfRule type="cellIs" dxfId="27951" priority="4432" operator="greaterThan">
      <formula>$C98</formula>
    </cfRule>
    <cfRule type="cellIs" dxfId="27950" priority="4433" operator="lessThan">
      <formula>$C98</formula>
    </cfRule>
  </conditionalFormatting>
  <conditionalFormatting sqref="C99">
    <cfRule type="expression" dxfId="27949" priority="4430">
      <formula>AND($A99&lt;&gt;"",MOD(ROW(),2))</formula>
    </cfRule>
  </conditionalFormatting>
  <conditionalFormatting sqref="C99">
    <cfRule type="cellIs" dxfId="27948" priority="4427" operator="equal">
      <formula>$C99</formula>
    </cfRule>
    <cfRule type="cellIs" dxfId="27947" priority="4428" operator="greaterThan">
      <formula>$C99</formula>
    </cfRule>
    <cfRule type="cellIs" dxfId="27946" priority="4429" operator="lessThan">
      <formula>$C99</formula>
    </cfRule>
  </conditionalFormatting>
  <conditionalFormatting sqref="C100">
    <cfRule type="expression" dxfId="27945" priority="4426">
      <formula>AND($A100&lt;&gt;"",MOD(ROW(),2))</formula>
    </cfRule>
  </conditionalFormatting>
  <conditionalFormatting sqref="C100">
    <cfRule type="cellIs" dxfId="27944" priority="4423" operator="equal">
      <formula>$C100</formula>
    </cfRule>
    <cfRule type="cellIs" dxfId="27943" priority="4424" operator="greaterThan">
      <formula>$C100</formula>
    </cfRule>
    <cfRule type="cellIs" dxfId="27942" priority="4425" operator="lessThan">
      <formula>$C100</formula>
    </cfRule>
  </conditionalFormatting>
  <conditionalFormatting sqref="C101">
    <cfRule type="expression" dxfId="27941" priority="4422">
      <formula>AND($A101&lt;&gt;"",MOD(ROW(),2))</formula>
    </cfRule>
  </conditionalFormatting>
  <conditionalFormatting sqref="C101">
    <cfRule type="cellIs" dxfId="27940" priority="4419" operator="equal">
      <formula>$C101</formula>
    </cfRule>
    <cfRule type="cellIs" dxfId="27939" priority="4420" operator="greaterThan">
      <formula>$C101</formula>
    </cfRule>
    <cfRule type="cellIs" dxfId="27938" priority="4421" operator="lessThan">
      <formula>$C101</formula>
    </cfRule>
  </conditionalFormatting>
  <conditionalFormatting sqref="C102">
    <cfRule type="expression" dxfId="27937" priority="4418">
      <formula>AND($A102&lt;&gt;"",MOD(ROW(),2))</formula>
    </cfRule>
  </conditionalFormatting>
  <conditionalFormatting sqref="C102">
    <cfRule type="cellIs" dxfId="27936" priority="4415" operator="equal">
      <formula>$C102</formula>
    </cfRule>
    <cfRule type="cellIs" dxfId="27935" priority="4416" operator="greaterThan">
      <formula>$C102</formula>
    </cfRule>
    <cfRule type="cellIs" dxfId="27934" priority="4417" operator="lessThan">
      <formula>$C102</formula>
    </cfRule>
  </conditionalFormatting>
  <conditionalFormatting sqref="L7:O16">
    <cfRule type="expression" dxfId="27933" priority="5919">
      <formula>AND($A8&lt;&gt;"",MOD(ROW(),2))</formula>
    </cfRule>
  </conditionalFormatting>
  <conditionalFormatting sqref="L7:L16">
    <cfRule type="cellIs" dxfId="27932" priority="5920" operator="equal">
      <formula>$C8</formula>
    </cfRule>
    <cfRule type="cellIs" dxfId="27931" priority="5921" operator="greaterThan">
      <formula>$C8</formula>
    </cfRule>
    <cfRule type="cellIs" dxfId="27930" priority="5922" operator="lessThan">
      <formula>$C8</formula>
    </cfRule>
  </conditionalFormatting>
  <conditionalFormatting sqref="A7 C7:E7 G7 J7">
    <cfRule type="expression" dxfId="27929" priority="5692">
      <formula>AND($A7&lt;&gt;"",MOD(ROW(),2))</formula>
    </cfRule>
  </conditionalFormatting>
  <conditionalFormatting sqref="D7">
    <cfRule type="cellIs" dxfId="27928" priority="5689" operator="equal">
      <formula>$C7</formula>
    </cfRule>
    <cfRule type="cellIs" dxfId="27927" priority="5690" operator="greaterThan">
      <formula>$C7</formula>
    </cfRule>
    <cfRule type="cellIs" dxfId="27926" priority="5691" operator="lessThan">
      <formula>$C7</formula>
    </cfRule>
  </conditionalFormatting>
  <conditionalFormatting sqref="F7">
    <cfRule type="containsText" dxfId="27925" priority="5687" operator="containsText" text="Unpaid Rent">
      <formula>NOT(ISERROR(SEARCH("Unpaid Rent",F7)))</formula>
    </cfRule>
    <cfRule type="containsText" dxfId="27924" priority="5688" stopIfTrue="1" operator="containsText" text="Closed Account">
      <formula>NOT(ISERROR(SEARCH("Closed Account",F7)))</formula>
    </cfRule>
  </conditionalFormatting>
  <conditionalFormatting sqref="H7:I7">
    <cfRule type="expression" dxfId="27923" priority="5686">
      <formula>AND($A7&lt;&gt;"",MOD(ROW(),2))</formula>
    </cfRule>
  </conditionalFormatting>
  <conditionalFormatting sqref="L21:O24">
    <cfRule type="expression" dxfId="27922" priority="5923">
      <formula>AND($A22&lt;&gt;"",MOD(ROW(),2))</formula>
    </cfRule>
  </conditionalFormatting>
  <conditionalFormatting sqref="L21:L24">
    <cfRule type="cellIs" dxfId="27921" priority="5924" operator="equal">
      <formula>$C22</formula>
    </cfRule>
    <cfRule type="cellIs" dxfId="27920" priority="5925" operator="greaterThan">
      <formula>$C22</formula>
    </cfRule>
    <cfRule type="cellIs" dxfId="27919" priority="5926" operator="lessThan">
      <formula>$C22</formula>
    </cfRule>
  </conditionalFormatting>
  <conditionalFormatting sqref="L29:O31">
    <cfRule type="expression" dxfId="27918" priority="5927">
      <formula>AND($A32&lt;&gt;"",MOD(ROW(),2))</formula>
    </cfRule>
  </conditionalFormatting>
  <conditionalFormatting sqref="G47:J47 C47:E47 A47">
    <cfRule type="expression" dxfId="27917" priority="5685">
      <formula>AND($A47&lt;&gt;"",MOD(ROW(),2))</formula>
    </cfRule>
  </conditionalFormatting>
  <conditionalFormatting sqref="D47">
    <cfRule type="cellIs" dxfId="27916" priority="5682" operator="equal">
      <formula>$C47</formula>
    </cfRule>
    <cfRule type="cellIs" dxfId="27915" priority="5683" operator="greaterThan">
      <formula>$C47</formula>
    </cfRule>
    <cfRule type="cellIs" dxfId="27914" priority="5684" operator="lessThan">
      <formula>$C47</formula>
    </cfRule>
  </conditionalFormatting>
  <conditionalFormatting sqref="F47">
    <cfRule type="containsText" dxfId="27913" priority="5680" operator="containsText" text="Unpaid Rent">
      <formula>NOT(ISERROR(SEARCH("Unpaid Rent",F47)))</formula>
    </cfRule>
    <cfRule type="containsText" dxfId="27912" priority="5681" stopIfTrue="1" operator="containsText" text="Closed Account">
      <formula>NOT(ISERROR(SEARCH("Closed Account",F47)))</formula>
    </cfRule>
  </conditionalFormatting>
  <conditionalFormatting sqref="H48:I48">
    <cfRule type="expression" dxfId="27911" priority="5679">
      <formula>AND($A48&lt;&gt;"",MOD(ROW(),2))</formula>
    </cfRule>
  </conditionalFormatting>
  <conditionalFormatting sqref="G49:I52 H53:I74">
    <cfRule type="expression" dxfId="27910" priority="5678">
      <formula>AND($A49&lt;&gt;"",MOD(ROW(),2))</formula>
    </cfRule>
  </conditionalFormatting>
  <conditionalFormatting sqref="G122">
    <cfRule type="expression" dxfId="27909" priority="4277">
      <formula>AND($A122&lt;&gt;"",MOD(ROW(),2))</formula>
    </cfRule>
  </conditionalFormatting>
  <conditionalFormatting sqref="G126">
    <cfRule type="expression" dxfId="27908" priority="4273">
      <formula>AND($A126&lt;&gt;"",MOD(ROW(),2))</formula>
    </cfRule>
  </conditionalFormatting>
  <conditionalFormatting sqref="G130">
    <cfRule type="expression" dxfId="27907" priority="4269">
      <formula>AND($A130&lt;&gt;"",MOD(ROW(),2))</formula>
    </cfRule>
  </conditionalFormatting>
  <conditionalFormatting sqref="G134">
    <cfRule type="expression" dxfId="27906" priority="4265">
      <formula>AND($A134&lt;&gt;"",MOD(ROW(),2))</formula>
    </cfRule>
  </conditionalFormatting>
  <conditionalFormatting sqref="H75:I75">
    <cfRule type="expression" dxfId="27905" priority="5555">
      <formula>AND($A75&lt;&gt;"",MOD(ROW(),2))</formula>
    </cfRule>
  </conditionalFormatting>
  <conditionalFormatting sqref="H76:I76">
    <cfRule type="expression" dxfId="27904" priority="5554">
      <formula>AND($A76&lt;&gt;"",MOD(ROW(),2))</formula>
    </cfRule>
  </conditionalFormatting>
  <conditionalFormatting sqref="H77:I77">
    <cfRule type="expression" dxfId="27903" priority="5553">
      <formula>AND($A77&lt;&gt;"",MOD(ROW(),2))</formula>
    </cfRule>
  </conditionalFormatting>
  <conditionalFormatting sqref="A49:A61 C49:E61">
    <cfRule type="expression" dxfId="27902" priority="5552">
      <formula>AND($A49&lt;&gt;"",MOD(ROW(),2))</formula>
    </cfRule>
  </conditionalFormatting>
  <conditionalFormatting sqref="D49:D61">
    <cfRule type="cellIs" dxfId="27901" priority="5549" operator="equal">
      <formula>$C49</formula>
    </cfRule>
    <cfRule type="cellIs" dxfId="27900" priority="5550" operator="greaterThan">
      <formula>$C49</formula>
    </cfRule>
    <cfRule type="cellIs" dxfId="27899" priority="5551" operator="lessThan">
      <formula>$C49</formula>
    </cfRule>
  </conditionalFormatting>
  <conditionalFormatting sqref="C60">
    <cfRule type="expression" dxfId="27898" priority="5548">
      <formula>AND($A60&lt;&gt;"",MOD(ROW(),2))</formula>
    </cfRule>
  </conditionalFormatting>
  <conditionalFormatting sqref="C60">
    <cfRule type="cellIs" dxfId="27897" priority="5545" operator="equal">
      <formula>$C60</formula>
    </cfRule>
    <cfRule type="cellIs" dxfId="27896" priority="5546" operator="greaterThan">
      <formula>$C60</formula>
    </cfRule>
    <cfRule type="cellIs" dxfId="27895" priority="5547" operator="lessThan">
      <formula>$C60</formula>
    </cfRule>
  </conditionalFormatting>
  <conditionalFormatting sqref="C61">
    <cfRule type="expression" dxfId="27894" priority="5544">
      <formula>AND($A61&lt;&gt;"",MOD(ROW(),2))</formula>
    </cfRule>
  </conditionalFormatting>
  <conditionalFormatting sqref="C61">
    <cfRule type="cellIs" dxfId="27893" priority="5541" operator="equal">
      <formula>$C61</formula>
    </cfRule>
    <cfRule type="cellIs" dxfId="27892" priority="5542" operator="greaterThan">
      <formula>$C61</formula>
    </cfRule>
    <cfRule type="cellIs" dxfId="27891" priority="5543" operator="lessThan">
      <formula>$C61</formula>
    </cfRule>
  </conditionalFormatting>
  <conditionalFormatting sqref="D60:E60">
    <cfRule type="expression" dxfId="27890" priority="5540">
      <formula>AND($A60&lt;&gt;"",MOD(ROW(),2))</formula>
    </cfRule>
  </conditionalFormatting>
  <conditionalFormatting sqref="D60">
    <cfRule type="cellIs" dxfId="27889" priority="5537" operator="equal">
      <formula>$C60</formula>
    </cfRule>
    <cfRule type="cellIs" dxfId="27888" priority="5538" operator="greaterThan">
      <formula>$C60</formula>
    </cfRule>
    <cfRule type="cellIs" dxfId="27887" priority="5539" operator="lessThan">
      <formula>$C60</formula>
    </cfRule>
  </conditionalFormatting>
  <conditionalFormatting sqref="D61:E61">
    <cfRule type="expression" dxfId="27886" priority="5536">
      <formula>AND($A61&lt;&gt;"",MOD(ROW(),2))</formula>
    </cfRule>
  </conditionalFormatting>
  <conditionalFormatting sqref="D61">
    <cfRule type="cellIs" dxfId="27885" priority="5533" operator="equal">
      <formula>$C61</formula>
    </cfRule>
    <cfRule type="cellIs" dxfId="27884" priority="5534" operator="greaterThan">
      <formula>$C61</formula>
    </cfRule>
    <cfRule type="cellIs" dxfId="27883" priority="5535" operator="lessThan">
      <formula>$C61</formula>
    </cfRule>
  </conditionalFormatting>
  <conditionalFormatting sqref="C61">
    <cfRule type="expression" dxfId="27882" priority="5532">
      <formula>AND($A61&lt;&gt;"",MOD(ROW(),2))</formula>
    </cfRule>
  </conditionalFormatting>
  <conditionalFormatting sqref="C61">
    <cfRule type="cellIs" dxfId="27881" priority="5529" operator="equal">
      <formula>$C61</formula>
    </cfRule>
    <cfRule type="cellIs" dxfId="27880" priority="5530" operator="greaterThan">
      <formula>$C61</formula>
    </cfRule>
    <cfRule type="cellIs" dxfId="27879" priority="5531" operator="lessThan">
      <formula>$C61</formula>
    </cfRule>
  </conditionalFormatting>
  <conditionalFormatting sqref="D61:E61">
    <cfRule type="expression" dxfId="27878" priority="5528">
      <formula>AND($A61&lt;&gt;"",MOD(ROW(),2))</formula>
    </cfRule>
  </conditionalFormatting>
  <conditionalFormatting sqref="D61">
    <cfRule type="cellIs" dxfId="27877" priority="5525" operator="equal">
      <formula>$C61</formula>
    </cfRule>
    <cfRule type="cellIs" dxfId="27876" priority="5526" operator="greaterThan">
      <formula>$C61</formula>
    </cfRule>
    <cfRule type="cellIs" dxfId="27875" priority="5527" operator="lessThan">
      <formula>$C61</formula>
    </cfRule>
  </conditionalFormatting>
  <conditionalFormatting sqref="J49:J61">
    <cfRule type="expression" dxfId="27874" priority="5524">
      <formula>AND($A49&lt;&gt;"",MOD(ROW(),2))</formula>
    </cfRule>
  </conditionalFormatting>
  <conditionalFormatting sqref="F49:F61">
    <cfRule type="containsText" dxfId="27873" priority="5522" operator="containsText" text="Unpaid Rent">
      <formula>NOT(ISERROR(SEARCH("Unpaid Rent",F49)))</formula>
    </cfRule>
    <cfRule type="containsText" dxfId="27872" priority="5523" stopIfTrue="1" operator="containsText" text="Closed Account">
      <formula>NOT(ISERROR(SEARCH("Closed Account",F49)))</formula>
    </cfRule>
  </conditionalFormatting>
  <conditionalFormatting sqref="F60">
    <cfRule type="containsText" dxfId="27871" priority="5520" operator="containsText" text="Unpaid Rent">
      <formula>NOT(ISERROR(SEARCH("Unpaid Rent",F60)))</formula>
    </cfRule>
    <cfRule type="containsText" dxfId="27870" priority="5521" stopIfTrue="1" operator="containsText" text="Closed Account">
      <formula>NOT(ISERROR(SEARCH("Closed Account",F60)))</formula>
    </cfRule>
  </conditionalFormatting>
  <conditionalFormatting sqref="F61">
    <cfRule type="containsText" dxfId="27869" priority="5518" operator="containsText" text="Unpaid Rent">
      <formula>NOT(ISERROR(SEARCH("Unpaid Rent",F61)))</formula>
    </cfRule>
    <cfRule type="containsText" dxfId="27868" priority="5519" stopIfTrue="1" operator="containsText" text="Closed Account">
      <formula>NOT(ISERROR(SEARCH("Closed Account",F61)))</formula>
    </cfRule>
  </conditionalFormatting>
  <conditionalFormatting sqref="F61">
    <cfRule type="containsText" dxfId="27867" priority="5516" operator="containsText" text="Unpaid Rent">
      <formula>NOT(ISERROR(SEARCH("Unpaid Rent",F61)))</formula>
    </cfRule>
    <cfRule type="containsText" dxfId="27866" priority="5517" stopIfTrue="1" operator="containsText" text="Closed Account">
      <formula>NOT(ISERROR(SEARCH("Closed Account",F61)))</formula>
    </cfRule>
  </conditionalFormatting>
  <conditionalFormatting sqref="L43:N56">
    <cfRule type="expression" dxfId="27865" priority="5515">
      <formula>AND($A43&lt;&gt;"",MOD(ROW(),2))</formula>
    </cfRule>
  </conditionalFormatting>
  <conditionalFormatting sqref="L43:L56">
    <cfRule type="cellIs" dxfId="27864" priority="5512" operator="equal">
      <formula>$C43</formula>
    </cfRule>
    <cfRule type="cellIs" dxfId="27863" priority="5513" operator="greaterThan">
      <formula>$C43</formula>
    </cfRule>
    <cfRule type="cellIs" dxfId="27862" priority="5514" operator="lessThan">
      <formula>$C43</formula>
    </cfRule>
  </conditionalFormatting>
  <conditionalFormatting sqref="M43:N56">
    <cfRule type="expression" dxfId="27861" priority="5511">
      <formula>AND(#REF!&lt;&gt;"",MOD(ROW(),2))</formula>
    </cfRule>
  </conditionalFormatting>
  <conditionalFormatting sqref="M43:N56">
    <cfRule type="expression" dxfId="27860" priority="5510">
      <formula>AND(#REF!&lt;&gt;"",MOD(ROW(),2))</formula>
    </cfRule>
  </conditionalFormatting>
  <conditionalFormatting sqref="N43:N56">
    <cfRule type="cellIs" dxfId="27859" priority="5507" operator="equal">
      <formula>#REF!</formula>
    </cfRule>
    <cfRule type="cellIs" dxfId="27858" priority="5508" operator="greaterThan">
      <formula>#REF!</formula>
    </cfRule>
    <cfRule type="cellIs" dxfId="27857" priority="5509" operator="lessThan">
      <formula>#REF!</formula>
    </cfRule>
  </conditionalFormatting>
  <conditionalFormatting sqref="L55:N56">
    <cfRule type="expression" dxfId="27856" priority="5506">
      <formula>AND($A54&lt;&gt;"",MOD(ROW(),2))</formula>
    </cfRule>
  </conditionalFormatting>
  <conditionalFormatting sqref="L56">
    <cfRule type="cellIs" dxfId="27855" priority="5503" operator="equal">
      <formula>$C55</formula>
    </cfRule>
    <cfRule type="cellIs" dxfId="27854" priority="5504" operator="greaterThan">
      <formula>$C55</formula>
    </cfRule>
    <cfRule type="cellIs" dxfId="27853" priority="5505" operator="lessThan">
      <formula>$C55</formula>
    </cfRule>
  </conditionalFormatting>
  <conditionalFormatting sqref="L56">
    <cfRule type="cellIs" dxfId="27852" priority="5500" operator="equal">
      <formula>$C55</formula>
    </cfRule>
    <cfRule type="cellIs" dxfId="27851" priority="5501" operator="greaterThan">
      <formula>$C55</formula>
    </cfRule>
    <cfRule type="cellIs" dxfId="27850" priority="5502" operator="lessThan">
      <formula>$C55</formula>
    </cfRule>
  </conditionalFormatting>
  <conditionalFormatting sqref="L55">
    <cfRule type="cellIs" dxfId="27849" priority="5497" operator="equal">
      <formula>$C54</formula>
    </cfRule>
    <cfRule type="cellIs" dxfId="27848" priority="5498" operator="greaterThan">
      <formula>$C54</formula>
    </cfRule>
    <cfRule type="cellIs" dxfId="27847" priority="5499" operator="lessThan">
      <formula>$C54</formula>
    </cfRule>
  </conditionalFormatting>
  <conditionalFormatting sqref="L56:M56">
    <cfRule type="expression" dxfId="27846" priority="5496">
      <formula>AND($A55&lt;&gt;"",MOD(ROW(),2))</formula>
    </cfRule>
  </conditionalFormatting>
  <conditionalFormatting sqref="L56">
    <cfRule type="cellIs" dxfId="27845" priority="5491" operator="equal">
      <formula>$C55</formula>
    </cfRule>
    <cfRule type="cellIs" dxfId="27844" priority="5492" operator="greaterThan">
      <formula>$C55</formula>
    </cfRule>
    <cfRule type="cellIs" dxfId="27843" priority="5493" operator="lessThan">
      <formula>$C55</formula>
    </cfRule>
  </conditionalFormatting>
  <conditionalFormatting sqref="M56">
    <cfRule type="expression" dxfId="27842" priority="5495">
      <formula>AND(#REF!&lt;&gt;"",MOD(ROW(),2))</formula>
    </cfRule>
  </conditionalFormatting>
  <conditionalFormatting sqref="M56">
    <cfRule type="expression" dxfId="27841" priority="5494">
      <formula>AND(#REF!&lt;&gt;"",MOD(ROW(),2))</formula>
    </cfRule>
  </conditionalFormatting>
  <conditionalFormatting sqref="C62:E65 G62:G69 A62:A69">
    <cfRule type="expression" dxfId="27840" priority="5490">
      <formula>AND($A62&lt;&gt;"",MOD(ROW(),2))</formula>
    </cfRule>
  </conditionalFormatting>
  <conditionalFormatting sqref="D62:D65">
    <cfRule type="cellIs" dxfId="27839" priority="5487" operator="equal">
      <formula>$C62</formula>
    </cfRule>
    <cfRule type="cellIs" dxfId="27838" priority="5488" operator="greaterThan">
      <formula>$C62</formula>
    </cfRule>
    <cfRule type="cellIs" dxfId="27837" priority="5489" operator="lessThan">
      <formula>$C62</formula>
    </cfRule>
  </conditionalFormatting>
  <conditionalFormatting sqref="F62:F66">
    <cfRule type="containsText" dxfId="27836" priority="5485" operator="containsText" text="Unpaid Rent">
      <formula>NOT(ISERROR(SEARCH("Unpaid Rent",F62)))</formula>
    </cfRule>
    <cfRule type="containsText" dxfId="27835" priority="5486" stopIfTrue="1" operator="containsText" text="Closed Account">
      <formula>NOT(ISERROR(SEARCH("Closed Account",F62)))</formula>
    </cfRule>
  </conditionalFormatting>
  <conditionalFormatting sqref="A65 C65:E65">
    <cfRule type="expression" dxfId="27834" priority="5484">
      <formula>AND($A65&lt;&gt;"",MOD(ROW(),2))</formula>
    </cfRule>
  </conditionalFormatting>
  <conditionalFormatting sqref="D65">
    <cfRule type="cellIs" dxfId="27833" priority="5481" operator="equal">
      <formula>$C65</formula>
    </cfRule>
    <cfRule type="cellIs" dxfId="27832" priority="5482" operator="greaterThan">
      <formula>$C65</formula>
    </cfRule>
    <cfRule type="cellIs" dxfId="27831" priority="5483" operator="lessThan">
      <formula>$C65</formula>
    </cfRule>
  </conditionalFormatting>
  <conditionalFormatting sqref="C66">
    <cfRule type="expression" dxfId="27830" priority="5480">
      <formula>AND($A66&lt;&gt;"",MOD(ROW(),2))</formula>
    </cfRule>
  </conditionalFormatting>
  <conditionalFormatting sqref="C66">
    <cfRule type="cellIs" dxfId="27829" priority="5477" operator="equal">
      <formula>$C66</formula>
    </cfRule>
    <cfRule type="cellIs" dxfId="27828" priority="5478" operator="greaterThan">
      <formula>$C66</formula>
    </cfRule>
    <cfRule type="cellIs" dxfId="27827" priority="5479" operator="lessThan">
      <formula>$C66</formula>
    </cfRule>
  </conditionalFormatting>
  <conditionalFormatting sqref="C67">
    <cfRule type="expression" dxfId="27826" priority="5476">
      <formula>AND($A67&lt;&gt;"",MOD(ROW(),2))</formula>
    </cfRule>
  </conditionalFormatting>
  <conditionalFormatting sqref="C67">
    <cfRule type="cellIs" dxfId="27825" priority="5473" operator="equal">
      <formula>$C67</formula>
    </cfRule>
    <cfRule type="cellIs" dxfId="27824" priority="5474" operator="greaterThan">
      <formula>$C67</formula>
    </cfRule>
    <cfRule type="cellIs" dxfId="27823" priority="5475" operator="lessThan">
      <formula>$C67</formula>
    </cfRule>
  </conditionalFormatting>
  <conditionalFormatting sqref="C68">
    <cfRule type="expression" dxfId="27822" priority="5472">
      <formula>AND($A68&lt;&gt;"",MOD(ROW(),2))</formula>
    </cfRule>
  </conditionalFormatting>
  <conditionalFormatting sqref="C68">
    <cfRule type="cellIs" dxfId="27821" priority="5469" operator="equal">
      <formula>$C68</formula>
    </cfRule>
    <cfRule type="cellIs" dxfId="27820" priority="5470" operator="greaterThan">
      <formula>$C68</formula>
    </cfRule>
    <cfRule type="cellIs" dxfId="27819" priority="5471" operator="lessThan">
      <formula>$C68</formula>
    </cfRule>
  </conditionalFormatting>
  <conditionalFormatting sqref="C69">
    <cfRule type="expression" dxfId="27818" priority="5468">
      <formula>AND($A69&lt;&gt;"",MOD(ROW(),2))</formula>
    </cfRule>
  </conditionalFormatting>
  <conditionalFormatting sqref="C69">
    <cfRule type="cellIs" dxfId="27817" priority="5465" operator="equal">
      <formula>$C69</formula>
    </cfRule>
    <cfRule type="cellIs" dxfId="27816" priority="5466" operator="greaterThan">
      <formula>$C69</formula>
    </cfRule>
    <cfRule type="cellIs" dxfId="27815" priority="5467" operator="lessThan">
      <formula>$C69</formula>
    </cfRule>
  </conditionalFormatting>
  <conditionalFormatting sqref="D66:E66">
    <cfRule type="expression" dxfId="27814" priority="5464">
      <formula>AND($A66&lt;&gt;"",MOD(ROW(),2))</formula>
    </cfRule>
  </conditionalFormatting>
  <conditionalFormatting sqref="D66">
    <cfRule type="cellIs" dxfId="27813" priority="5461" operator="equal">
      <formula>$C66</formula>
    </cfRule>
    <cfRule type="cellIs" dxfId="27812" priority="5462" operator="greaterThan">
      <formula>$C66</formula>
    </cfRule>
    <cfRule type="cellIs" dxfId="27811" priority="5463" operator="lessThan">
      <formula>$C66</formula>
    </cfRule>
  </conditionalFormatting>
  <conditionalFormatting sqref="D67:E67">
    <cfRule type="expression" dxfId="27810" priority="5460">
      <formula>AND($A67&lt;&gt;"",MOD(ROW(),2))</formula>
    </cfRule>
  </conditionalFormatting>
  <conditionalFormatting sqref="D67">
    <cfRule type="cellIs" dxfId="27809" priority="5457" operator="equal">
      <formula>$C67</formula>
    </cfRule>
    <cfRule type="cellIs" dxfId="27808" priority="5458" operator="greaterThan">
      <formula>$C67</formula>
    </cfRule>
    <cfRule type="cellIs" dxfId="27807" priority="5459" operator="lessThan">
      <formula>$C67</formula>
    </cfRule>
  </conditionalFormatting>
  <conditionalFormatting sqref="D68:E68">
    <cfRule type="expression" dxfId="27806" priority="5456">
      <formula>AND($A68&lt;&gt;"",MOD(ROW(),2))</formula>
    </cfRule>
  </conditionalFormatting>
  <conditionalFormatting sqref="D68">
    <cfRule type="cellIs" dxfId="27805" priority="5453" operator="equal">
      <formula>$C68</formula>
    </cfRule>
    <cfRule type="cellIs" dxfId="27804" priority="5454" operator="greaterThan">
      <formula>$C68</formula>
    </cfRule>
    <cfRule type="cellIs" dxfId="27803" priority="5455" operator="lessThan">
      <formula>$C68</formula>
    </cfRule>
  </conditionalFormatting>
  <conditionalFormatting sqref="D69:E69">
    <cfRule type="expression" dxfId="27802" priority="5452">
      <formula>AND($A69&lt;&gt;"",MOD(ROW(),2))</formula>
    </cfRule>
  </conditionalFormatting>
  <conditionalFormatting sqref="D69">
    <cfRule type="cellIs" dxfId="27801" priority="5449" operator="equal">
      <formula>$C69</formula>
    </cfRule>
    <cfRule type="cellIs" dxfId="27800" priority="5450" operator="greaterThan">
      <formula>$C69</formula>
    </cfRule>
    <cfRule type="cellIs" dxfId="27799" priority="5451" operator="lessThan">
      <formula>$C69</formula>
    </cfRule>
  </conditionalFormatting>
  <conditionalFormatting sqref="F66:F69">
    <cfRule type="containsText" dxfId="27798" priority="5447" operator="containsText" text="Unpaid Rent">
      <formula>NOT(ISERROR(SEARCH("Unpaid Rent",F66)))</formula>
    </cfRule>
    <cfRule type="containsText" dxfId="27797" priority="5448" stopIfTrue="1" operator="containsText" text="Closed Account">
      <formula>NOT(ISERROR(SEARCH("Closed Account",F66)))</formula>
    </cfRule>
  </conditionalFormatting>
  <conditionalFormatting sqref="A66 C66:E66">
    <cfRule type="expression" dxfId="27796" priority="5446">
      <formula>AND($A66&lt;&gt;"",MOD(ROW(),2))</formula>
    </cfRule>
  </conditionalFormatting>
  <conditionalFormatting sqref="D66">
    <cfRule type="cellIs" dxfId="27795" priority="5443" operator="equal">
      <formula>$C66</formula>
    </cfRule>
    <cfRule type="cellIs" dxfId="27794" priority="5444" operator="greaterThan">
      <formula>$C66</formula>
    </cfRule>
    <cfRule type="cellIs" dxfId="27793" priority="5445" operator="lessThan">
      <formula>$C66</formula>
    </cfRule>
  </conditionalFormatting>
  <conditionalFormatting sqref="C66">
    <cfRule type="expression" dxfId="27792" priority="5442">
      <formula>AND($A66&lt;&gt;"",MOD(ROW(),2))</formula>
    </cfRule>
  </conditionalFormatting>
  <conditionalFormatting sqref="C66">
    <cfRule type="cellIs" dxfId="27791" priority="5439" operator="equal">
      <formula>$C66</formula>
    </cfRule>
    <cfRule type="cellIs" dxfId="27790" priority="5440" operator="greaterThan">
      <formula>$C66</formula>
    </cfRule>
    <cfRule type="cellIs" dxfId="27789" priority="5441" operator="lessThan">
      <formula>$C66</formula>
    </cfRule>
  </conditionalFormatting>
  <conditionalFormatting sqref="C67">
    <cfRule type="expression" dxfId="27788" priority="5438">
      <formula>AND($A67&lt;&gt;"",MOD(ROW(),2))</formula>
    </cfRule>
  </conditionalFormatting>
  <conditionalFormatting sqref="C67">
    <cfRule type="cellIs" dxfId="27787" priority="5435" operator="equal">
      <formula>$C67</formula>
    </cfRule>
    <cfRule type="cellIs" dxfId="27786" priority="5436" operator="greaterThan">
      <formula>$C67</formula>
    </cfRule>
    <cfRule type="cellIs" dxfId="27785" priority="5437" operator="lessThan">
      <formula>$C67</formula>
    </cfRule>
  </conditionalFormatting>
  <conditionalFormatting sqref="C68">
    <cfRule type="expression" dxfId="27784" priority="5434">
      <formula>AND($A68&lt;&gt;"",MOD(ROW(),2))</formula>
    </cfRule>
  </conditionalFormatting>
  <conditionalFormatting sqref="C68">
    <cfRule type="cellIs" dxfId="27783" priority="5431" operator="equal">
      <formula>$C68</formula>
    </cfRule>
    <cfRule type="cellIs" dxfId="27782" priority="5432" operator="greaterThan">
      <formula>$C68</formula>
    </cfRule>
    <cfRule type="cellIs" dxfId="27781" priority="5433" operator="lessThan">
      <formula>$C68</formula>
    </cfRule>
  </conditionalFormatting>
  <conditionalFormatting sqref="C69">
    <cfRule type="expression" dxfId="27780" priority="5430">
      <formula>AND($A69&lt;&gt;"",MOD(ROW(),2))</formula>
    </cfRule>
  </conditionalFormatting>
  <conditionalFormatting sqref="C69">
    <cfRule type="cellIs" dxfId="27779" priority="5427" operator="equal">
      <formula>$C69</formula>
    </cfRule>
    <cfRule type="cellIs" dxfId="27778" priority="5428" operator="greaterThan">
      <formula>$C69</formula>
    </cfRule>
    <cfRule type="cellIs" dxfId="27777" priority="5429" operator="lessThan">
      <formula>$C69</formula>
    </cfRule>
  </conditionalFormatting>
  <conditionalFormatting sqref="D66:E66">
    <cfRule type="expression" dxfId="27776" priority="5426">
      <formula>AND($A66&lt;&gt;"",MOD(ROW(),2))</formula>
    </cfRule>
  </conditionalFormatting>
  <conditionalFormatting sqref="D66">
    <cfRule type="cellIs" dxfId="27775" priority="5423" operator="equal">
      <formula>$C66</formula>
    </cfRule>
    <cfRule type="cellIs" dxfId="27774" priority="5424" operator="greaterThan">
      <formula>$C66</formula>
    </cfRule>
    <cfRule type="cellIs" dxfId="27773" priority="5425" operator="lessThan">
      <formula>$C66</formula>
    </cfRule>
  </conditionalFormatting>
  <conditionalFormatting sqref="D67:E67">
    <cfRule type="expression" dxfId="27772" priority="5422">
      <formula>AND($A67&lt;&gt;"",MOD(ROW(),2))</formula>
    </cfRule>
  </conditionalFormatting>
  <conditionalFormatting sqref="D67">
    <cfRule type="cellIs" dxfId="27771" priority="5419" operator="equal">
      <formula>$C67</formula>
    </cfRule>
    <cfRule type="cellIs" dxfId="27770" priority="5420" operator="greaterThan">
      <formula>$C67</formula>
    </cfRule>
    <cfRule type="cellIs" dxfId="27769" priority="5421" operator="lessThan">
      <formula>$C67</formula>
    </cfRule>
  </conditionalFormatting>
  <conditionalFormatting sqref="D68:E68">
    <cfRule type="expression" dxfId="27768" priority="5418">
      <formula>AND($A68&lt;&gt;"",MOD(ROW(),2))</formula>
    </cfRule>
  </conditionalFormatting>
  <conditionalFormatting sqref="D68">
    <cfRule type="cellIs" dxfId="27767" priority="5415" operator="equal">
      <formula>$C68</formula>
    </cfRule>
    <cfRule type="cellIs" dxfId="27766" priority="5416" operator="greaterThan">
      <formula>$C68</formula>
    </cfRule>
    <cfRule type="cellIs" dxfId="27765" priority="5417" operator="lessThan">
      <formula>$C68</formula>
    </cfRule>
  </conditionalFormatting>
  <conditionalFormatting sqref="D69:E69">
    <cfRule type="expression" dxfId="27764" priority="5414">
      <formula>AND($A69&lt;&gt;"",MOD(ROW(),2))</formula>
    </cfRule>
  </conditionalFormatting>
  <conditionalFormatting sqref="D69">
    <cfRule type="cellIs" dxfId="27763" priority="5411" operator="equal">
      <formula>$C69</formula>
    </cfRule>
    <cfRule type="cellIs" dxfId="27762" priority="5412" operator="greaterThan">
      <formula>$C69</formula>
    </cfRule>
    <cfRule type="cellIs" dxfId="27761" priority="5413" operator="lessThan">
      <formula>$C69</formula>
    </cfRule>
  </conditionalFormatting>
  <conditionalFormatting sqref="J62:J69">
    <cfRule type="expression" dxfId="27760" priority="5410">
      <formula>AND($A62&lt;&gt;"",MOD(ROW(),2))</formula>
    </cfRule>
  </conditionalFormatting>
  <conditionalFormatting sqref="L57:N74">
    <cfRule type="expression" dxfId="27759" priority="5409">
      <formula>AND($A57&lt;&gt;"",MOD(ROW(),2))</formula>
    </cfRule>
  </conditionalFormatting>
  <conditionalFormatting sqref="L57:L74">
    <cfRule type="cellIs" dxfId="27758" priority="5406" operator="equal">
      <formula>$C57</formula>
    </cfRule>
    <cfRule type="cellIs" dxfId="27757" priority="5407" operator="greaterThan">
      <formula>$C57</formula>
    </cfRule>
    <cfRule type="cellIs" dxfId="27756" priority="5408" operator="lessThan">
      <formula>$C57</formula>
    </cfRule>
  </conditionalFormatting>
  <conditionalFormatting sqref="M57:N74">
    <cfRule type="expression" dxfId="27755" priority="5405">
      <formula>AND(#REF!&lt;&gt;"",MOD(ROW(),2))</formula>
    </cfRule>
  </conditionalFormatting>
  <conditionalFormatting sqref="M57:N74">
    <cfRule type="expression" dxfId="27754" priority="5404">
      <formula>AND(#REF!&lt;&gt;"",MOD(ROW(),2))</formula>
    </cfRule>
  </conditionalFormatting>
  <conditionalFormatting sqref="N57:N74">
    <cfRule type="cellIs" dxfId="27753" priority="5401" operator="equal">
      <formula>#REF!</formula>
    </cfRule>
    <cfRule type="cellIs" dxfId="27752" priority="5402" operator="greaterThan">
      <formula>#REF!</formula>
    </cfRule>
    <cfRule type="cellIs" dxfId="27751" priority="5403" operator="lessThan">
      <formula>#REF!</formula>
    </cfRule>
  </conditionalFormatting>
  <conditionalFormatting sqref="C103:C114 C70:E92 A70:A120 C121:C134 C115:E120 G70:G120">
    <cfRule type="expression" dxfId="27750" priority="5400">
      <formula>AND($A70&lt;&gt;"",MOD(ROW(),2))</formula>
    </cfRule>
  </conditionalFormatting>
  <conditionalFormatting sqref="D70:D92 D115:D120">
    <cfRule type="cellIs" dxfId="27749" priority="5397" operator="equal">
      <formula>$C70</formula>
    </cfRule>
    <cfRule type="cellIs" dxfId="27748" priority="5398" operator="greaterThan">
      <formula>$C70</formula>
    </cfRule>
    <cfRule type="cellIs" dxfId="27747" priority="5399" operator="lessThan">
      <formula>$C70</formula>
    </cfRule>
  </conditionalFormatting>
  <conditionalFormatting sqref="F115:F131 F70:F92">
    <cfRule type="containsText" dxfId="27746" priority="5395" operator="containsText" text="Unpaid Rent">
      <formula>NOT(ISERROR(SEARCH("Unpaid Rent",F70)))</formula>
    </cfRule>
    <cfRule type="containsText" dxfId="27745" priority="5396" stopIfTrue="1" operator="containsText" text="Closed Account">
      <formula>NOT(ISERROR(SEARCH("Closed Account",F70)))</formula>
    </cfRule>
  </conditionalFormatting>
  <conditionalFormatting sqref="C91">
    <cfRule type="expression" dxfId="27744" priority="5394">
      <formula>AND($A91&lt;&gt;"",MOD(ROW(),2))</formula>
    </cfRule>
  </conditionalFormatting>
  <conditionalFormatting sqref="C91">
    <cfRule type="cellIs" dxfId="27743" priority="5391" operator="equal">
      <formula>$C91</formula>
    </cfRule>
    <cfRule type="cellIs" dxfId="27742" priority="5392" operator="greaterThan">
      <formula>$C91</formula>
    </cfRule>
    <cfRule type="cellIs" dxfId="27741" priority="5393" operator="lessThan">
      <formula>$C91</formula>
    </cfRule>
  </conditionalFormatting>
  <conditionalFormatting sqref="C92">
    <cfRule type="expression" dxfId="27740" priority="5390">
      <formula>AND($A92&lt;&gt;"",MOD(ROW(),2))</formula>
    </cfRule>
  </conditionalFormatting>
  <conditionalFormatting sqref="C92">
    <cfRule type="cellIs" dxfId="27739" priority="5387" operator="equal">
      <formula>$C92</formula>
    </cfRule>
    <cfRule type="cellIs" dxfId="27738" priority="5388" operator="greaterThan">
      <formula>$C92</formula>
    </cfRule>
    <cfRule type="cellIs" dxfId="27737" priority="5389" operator="lessThan">
      <formula>$C92</formula>
    </cfRule>
  </conditionalFormatting>
  <conditionalFormatting sqref="C93">
    <cfRule type="expression" dxfId="27736" priority="5386">
      <formula>AND($A93&lt;&gt;"",MOD(ROW(),2))</formula>
    </cfRule>
  </conditionalFormatting>
  <conditionalFormatting sqref="C93">
    <cfRule type="cellIs" dxfId="27735" priority="5383" operator="equal">
      <formula>$C93</formula>
    </cfRule>
    <cfRule type="cellIs" dxfId="27734" priority="5384" operator="greaterThan">
      <formula>$C93</formula>
    </cfRule>
    <cfRule type="cellIs" dxfId="27733" priority="5385" operator="lessThan">
      <formula>$C93</formula>
    </cfRule>
  </conditionalFormatting>
  <conditionalFormatting sqref="C94">
    <cfRule type="expression" dxfId="27732" priority="5382">
      <formula>AND($A94&lt;&gt;"",MOD(ROW(),2))</formula>
    </cfRule>
  </conditionalFormatting>
  <conditionalFormatting sqref="C94">
    <cfRule type="cellIs" dxfId="27731" priority="5379" operator="equal">
      <formula>$C94</formula>
    </cfRule>
    <cfRule type="cellIs" dxfId="27730" priority="5380" operator="greaterThan">
      <formula>$C94</formula>
    </cfRule>
    <cfRule type="cellIs" dxfId="27729" priority="5381" operator="lessThan">
      <formula>$C94</formula>
    </cfRule>
  </conditionalFormatting>
  <conditionalFormatting sqref="C95">
    <cfRule type="expression" dxfId="27728" priority="5378">
      <formula>AND($A95&lt;&gt;"",MOD(ROW(),2))</formula>
    </cfRule>
  </conditionalFormatting>
  <conditionalFormatting sqref="C95">
    <cfRule type="cellIs" dxfId="27727" priority="5375" operator="equal">
      <formula>$C95</formula>
    </cfRule>
    <cfRule type="cellIs" dxfId="27726" priority="5376" operator="greaterThan">
      <formula>$C95</formula>
    </cfRule>
    <cfRule type="cellIs" dxfId="27725" priority="5377" operator="lessThan">
      <formula>$C95</formula>
    </cfRule>
  </conditionalFormatting>
  <conditionalFormatting sqref="C96">
    <cfRule type="expression" dxfId="27724" priority="5374">
      <formula>AND($A96&lt;&gt;"",MOD(ROW(),2))</formula>
    </cfRule>
  </conditionalFormatting>
  <conditionalFormatting sqref="C96">
    <cfRule type="cellIs" dxfId="27723" priority="5371" operator="equal">
      <formula>$C96</formula>
    </cfRule>
    <cfRule type="cellIs" dxfId="27722" priority="5372" operator="greaterThan">
      <formula>$C96</formula>
    </cfRule>
    <cfRule type="cellIs" dxfId="27721" priority="5373" operator="lessThan">
      <formula>$C96</formula>
    </cfRule>
  </conditionalFormatting>
  <conditionalFormatting sqref="C97">
    <cfRule type="expression" dxfId="27720" priority="5370">
      <formula>AND($A97&lt;&gt;"",MOD(ROW(),2))</formula>
    </cfRule>
  </conditionalFormatting>
  <conditionalFormatting sqref="C97">
    <cfRule type="cellIs" dxfId="27719" priority="5367" operator="equal">
      <formula>$C97</formula>
    </cfRule>
    <cfRule type="cellIs" dxfId="27718" priority="5368" operator="greaterThan">
      <formula>$C97</formula>
    </cfRule>
    <cfRule type="cellIs" dxfId="27717" priority="5369" operator="lessThan">
      <formula>$C97</formula>
    </cfRule>
  </conditionalFormatting>
  <conditionalFormatting sqref="C98">
    <cfRule type="expression" dxfId="27716" priority="5366">
      <formula>AND($A98&lt;&gt;"",MOD(ROW(),2))</formula>
    </cfRule>
  </conditionalFormatting>
  <conditionalFormatting sqref="C98">
    <cfRule type="cellIs" dxfId="27715" priority="5363" operator="equal">
      <formula>$C98</formula>
    </cfRule>
    <cfRule type="cellIs" dxfId="27714" priority="5364" operator="greaterThan">
      <formula>$C98</formula>
    </cfRule>
    <cfRule type="cellIs" dxfId="27713" priority="5365" operator="lessThan">
      <formula>$C98</formula>
    </cfRule>
  </conditionalFormatting>
  <conditionalFormatting sqref="C99">
    <cfRule type="expression" dxfId="27712" priority="5362">
      <formula>AND($A99&lt;&gt;"",MOD(ROW(),2))</formula>
    </cfRule>
  </conditionalFormatting>
  <conditionalFormatting sqref="C99">
    <cfRule type="cellIs" dxfId="27711" priority="5359" operator="equal">
      <formula>$C99</formula>
    </cfRule>
    <cfRule type="cellIs" dxfId="27710" priority="5360" operator="greaterThan">
      <formula>$C99</formula>
    </cfRule>
    <cfRule type="cellIs" dxfId="27709" priority="5361" operator="lessThan">
      <formula>$C99</formula>
    </cfRule>
  </conditionalFormatting>
  <conditionalFormatting sqref="C100">
    <cfRule type="expression" dxfId="27708" priority="5358">
      <formula>AND($A100&lt;&gt;"",MOD(ROW(),2))</formula>
    </cfRule>
  </conditionalFormatting>
  <conditionalFormatting sqref="C100">
    <cfRule type="cellIs" dxfId="27707" priority="5355" operator="equal">
      <formula>$C100</formula>
    </cfRule>
    <cfRule type="cellIs" dxfId="27706" priority="5356" operator="greaterThan">
      <formula>$C100</formula>
    </cfRule>
    <cfRule type="cellIs" dxfId="27705" priority="5357" operator="lessThan">
      <formula>$C100</formula>
    </cfRule>
  </conditionalFormatting>
  <conditionalFormatting sqref="C101">
    <cfRule type="expression" dxfId="27704" priority="5354">
      <formula>AND($A101&lt;&gt;"",MOD(ROW(),2))</formula>
    </cfRule>
  </conditionalFormatting>
  <conditionalFormatting sqref="C101">
    <cfRule type="cellIs" dxfId="27703" priority="5351" operator="equal">
      <formula>$C101</formula>
    </cfRule>
    <cfRule type="cellIs" dxfId="27702" priority="5352" operator="greaterThan">
      <formula>$C101</formula>
    </cfRule>
    <cfRule type="cellIs" dxfId="27701" priority="5353" operator="lessThan">
      <formula>$C101</formula>
    </cfRule>
  </conditionalFormatting>
  <conditionalFormatting sqref="C102">
    <cfRule type="expression" dxfId="27700" priority="5350">
      <formula>AND($A102&lt;&gt;"",MOD(ROW(),2))</formula>
    </cfRule>
  </conditionalFormatting>
  <conditionalFormatting sqref="C102">
    <cfRule type="cellIs" dxfId="27699" priority="5347" operator="equal">
      <formula>$C102</formula>
    </cfRule>
    <cfRule type="cellIs" dxfId="27698" priority="5348" operator="greaterThan">
      <formula>$C102</formula>
    </cfRule>
    <cfRule type="cellIs" dxfId="27697" priority="5349" operator="lessThan">
      <formula>$C102</formula>
    </cfRule>
  </conditionalFormatting>
  <conditionalFormatting sqref="D91:E91">
    <cfRule type="expression" dxfId="27696" priority="5346">
      <formula>AND($A91&lt;&gt;"",MOD(ROW(),2))</formula>
    </cfRule>
  </conditionalFormatting>
  <conditionalFormatting sqref="D91">
    <cfRule type="cellIs" dxfId="27695" priority="5343" operator="equal">
      <formula>$C91</formula>
    </cfRule>
    <cfRule type="cellIs" dxfId="27694" priority="5344" operator="greaterThan">
      <formula>$C91</formula>
    </cfRule>
    <cfRule type="cellIs" dxfId="27693" priority="5345" operator="lessThan">
      <formula>$C91</formula>
    </cfRule>
  </conditionalFormatting>
  <conditionalFormatting sqref="D92:E92">
    <cfRule type="expression" dxfId="27692" priority="5342">
      <formula>AND($A92&lt;&gt;"",MOD(ROW(),2))</formula>
    </cfRule>
  </conditionalFormatting>
  <conditionalFormatting sqref="D92">
    <cfRule type="cellIs" dxfId="27691" priority="5339" operator="equal">
      <formula>$C92</formula>
    </cfRule>
    <cfRule type="cellIs" dxfId="27690" priority="5340" operator="greaterThan">
      <formula>$C92</formula>
    </cfRule>
    <cfRule type="cellIs" dxfId="27689" priority="5341" operator="lessThan">
      <formula>$C92</formula>
    </cfRule>
  </conditionalFormatting>
  <conditionalFormatting sqref="D93:E93">
    <cfRule type="expression" dxfId="27688" priority="5338">
      <formula>AND($A93&lt;&gt;"",MOD(ROW(),2))</formula>
    </cfRule>
  </conditionalFormatting>
  <conditionalFormatting sqref="D93">
    <cfRule type="cellIs" dxfId="27687" priority="5335" operator="equal">
      <formula>$C93</formula>
    </cfRule>
    <cfRule type="cellIs" dxfId="27686" priority="5336" operator="greaterThan">
      <formula>$C93</formula>
    </cfRule>
    <cfRule type="cellIs" dxfId="27685" priority="5337" operator="lessThan">
      <formula>$C93</formula>
    </cfRule>
  </conditionalFormatting>
  <conditionalFormatting sqref="D94:E94">
    <cfRule type="expression" dxfId="27684" priority="5334">
      <formula>AND($A94&lt;&gt;"",MOD(ROW(),2))</formula>
    </cfRule>
  </conditionalFormatting>
  <conditionalFormatting sqref="D94">
    <cfRule type="cellIs" dxfId="27683" priority="5331" operator="equal">
      <formula>$C94</formula>
    </cfRule>
    <cfRule type="cellIs" dxfId="27682" priority="5332" operator="greaterThan">
      <formula>$C94</formula>
    </cfRule>
    <cfRule type="cellIs" dxfId="27681" priority="5333" operator="lessThan">
      <formula>$C94</formula>
    </cfRule>
  </conditionalFormatting>
  <conditionalFormatting sqref="D95:E95">
    <cfRule type="expression" dxfId="27680" priority="5330">
      <formula>AND($A95&lt;&gt;"",MOD(ROW(),2))</formula>
    </cfRule>
  </conditionalFormatting>
  <conditionalFormatting sqref="D95">
    <cfRule type="cellIs" dxfId="27679" priority="5327" operator="equal">
      <formula>$C95</formula>
    </cfRule>
    <cfRule type="cellIs" dxfId="27678" priority="5328" operator="greaterThan">
      <formula>$C95</formula>
    </cfRule>
    <cfRule type="cellIs" dxfId="27677" priority="5329" operator="lessThan">
      <formula>$C95</formula>
    </cfRule>
  </conditionalFormatting>
  <conditionalFormatting sqref="D96:E96">
    <cfRule type="expression" dxfId="27676" priority="5326">
      <formula>AND($A96&lt;&gt;"",MOD(ROW(),2))</formula>
    </cfRule>
  </conditionalFormatting>
  <conditionalFormatting sqref="D96">
    <cfRule type="cellIs" dxfId="27675" priority="5323" operator="equal">
      <formula>$C96</formula>
    </cfRule>
    <cfRule type="cellIs" dxfId="27674" priority="5324" operator="greaterThan">
      <formula>$C96</formula>
    </cfRule>
    <cfRule type="cellIs" dxfId="27673" priority="5325" operator="lessThan">
      <formula>$C96</formula>
    </cfRule>
  </conditionalFormatting>
  <conditionalFormatting sqref="D97:E97">
    <cfRule type="expression" dxfId="27672" priority="5322">
      <formula>AND($A97&lt;&gt;"",MOD(ROW(),2))</formula>
    </cfRule>
  </conditionalFormatting>
  <conditionalFormatting sqref="D97">
    <cfRule type="cellIs" dxfId="27671" priority="5319" operator="equal">
      <formula>$C97</formula>
    </cfRule>
    <cfRule type="cellIs" dxfId="27670" priority="5320" operator="greaterThan">
      <formula>$C97</formula>
    </cfRule>
    <cfRule type="cellIs" dxfId="27669" priority="5321" operator="lessThan">
      <formula>$C97</formula>
    </cfRule>
  </conditionalFormatting>
  <conditionalFormatting sqref="D98:E98">
    <cfRule type="expression" dxfId="27668" priority="5318">
      <formula>AND($A98&lt;&gt;"",MOD(ROW(),2))</formula>
    </cfRule>
  </conditionalFormatting>
  <conditionalFormatting sqref="D98">
    <cfRule type="cellIs" dxfId="27667" priority="5315" operator="equal">
      <formula>$C98</formula>
    </cfRule>
    <cfRule type="cellIs" dxfId="27666" priority="5316" operator="greaterThan">
      <formula>$C98</formula>
    </cfRule>
    <cfRule type="cellIs" dxfId="27665" priority="5317" operator="lessThan">
      <formula>$C98</formula>
    </cfRule>
  </conditionalFormatting>
  <conditionalFormatting sqref="D99:E99">
    <cfRule type="expression" dxfId="27664" priority="5314">
      <formula>AND($A99&lt;&gt;"",MOD(ROW(),2))</formula>
    </cfRule>
  </conditionalFormatting>
  <conditionalFormatting sqref="D99">
    <cfRule type="cellIs" dxfId="27663" priority="5311" operator="equal">
      <formula>$C99</formula>
    </cfRule>
    <cfRule type="cellIs" dxfId="27662" priority="5312" operator="greaterThan">
      <formula>$C99</formula>
    </cfRule>
    <cfRule type="cellIs" dxfId="27661" priority="5313" operator="lessThan">
      <formula>$C99</formula>
    </cfRule>
  </conditionalFormatting>
  <conditionalFormatting sqref="D100:E100">
    <cfRule type="expression" dxfId="27660" priority="5310">
      <formula>AND($A100&lt;&gt;"",MOD(ROW(),2))</formula>
    </cfRule>
  </conditionalFormatting>
  <conditionalFormatting sqref="D100">
    <cfRule type="cellIs" dxfId="27659" priority="5307" operator="equal">
      <formula>$C100</formula>
    </cfRule>
    <cfRule type="cellIs" dxfId="27658" priority="5308" operator="greaterThan">
      <formula>$C100</formula>
    </cfRule>
    <cfRule type="cellIs" dxfId="27657" priority="5309" operator="lessThan">
      <formula>$C100</formula>
    </cfRule>
  </conditionalFormatting>
  <conditionalFormatting sqref="D101:E101">
    <cfRule type="expression" dxfId="27656" priority="5306">
      <formula>AND($A101&lt;&gt;"",MOD(ROW(),2))</formula>
    </cfRule>
  </conditionalFormatting>
  <conditionalFormatting sqref="D101">
    <cfRule type="cellIs" dxfId="27655" priority="5303" operator="equal">
      <formula>$C101</formula>
    </cfRule>
    <cfRule type="cellIs" dxfId="27654" priority="5304" operator="greaterThan">
      <formula>$C101</formula>
    </cfRule>
    <cfRule type="cellIs" dxfId="27653" priority="5305" operator="lessThan">
      <formula>$C101</formula>
    </cfRule>
  </conditionalFormatting>
  <conditionalFormatting sqref="D102:E102">
    <cfRule type="expression" dxfId="27652" priority="5302">
      <formula>AND($A102&lt;&gt;"",MOD(ROW(),2))</formula>
    </cfRule>
  </conditionalFormatting>
  <conditionalFormatting sqref="D102">
    <cfRule type="cellIs" dxfId="27651" priority="5299" operator="equal">
      <formula>$C102</formula>
    </cfRule>
    <cfRule type="cellIs" dxfId="27650" priority="5300" operator="greaterThan">
      <formula>$C102</formula>
    </cfRule>
    <cfRule type="cellIs" dxfId="27649" priority="5301" operator="lessThan">
      <formula>$C102</formula>
    </cfRule>
  </conditionalFormatting>
  <conditionalFormatting sqref="F91:F105">
    <cfRule type="containsText" dxfId="27648" priority="5297" operator="containsText" text="Unpaid Rent">
      <formula>NOT(ISERROR(SEARCH("Unpaid Rent",F91)))</formula>
    </cfRule>
    <cfRule type="containsText" dxfId="27647" priority="5298" stopIfTrue="1" operator="containsText" text="Closed Account">
      <formula>NOT(ISERROR(SEARCH("Closed Account",F91)))</formula>
    </cfRule>
  </conditionalFormatting>
  <conditionalFormatting sqref="F103:F114">
    <cfRule type="containsText" dxfId="27646" priority="5295" operator="containsText" text="Unpaid Rent">
      <formula>NOT(ISERROR(SEARCH("Unpaid Rent",F103)))</formula>
    </cfRule>
    <cfRule type="containsText" dxfId="27645" priority="5296" stopIfTrue="1" operator="containsText" text="Closed Account">
      <formula>NOT(ISERROR(SEARCH("Closed Account",F103)))</formula>
    </cfRule>
  </conditionalFormatting>
  <conditionalFormatting sqref="D103:E103">
    <cfRule type="expression" dxfId="27644" priority="5294">
      <formula>AND($A103&lt;&gt;"",MOD(ROW(),2))</formula>
    </cfRule>
  </conditionalFormatting>
  <conditionalFormatting sqref="D103">
    <cfRule type="cellIs" dxfId="27643" priority="5291" operator="equal">
      <formula>$C103</formula>
    </cfRule>
    <cfRule type="cellIs" dxfId="27642" priority="5292" operator="greaterThan">
      <formula>$C103</formula>
    </cfRule>
    <cfRule type="cellIs" dxfId="27641" priority="5293" operator="lessThan">
      <formula>$C103</formula>
    </cfRule>
  </conditionalFormatting>
  <conditionalFormatting sqref="D104:E104">
    <cfRule type="expression" dxfId="27640" priority="5290">
      <formula>AND($A104&lt;&gt;"",MOD(ROW(),2))</formula>
    </cfRule>
  </conditionalFormatting>
  <conditionalFormatting sqref="D104">
    <cfRule type="cellIs" dxfId="27639" priority="5287" operator="equal">
      <formula>$C104</formula>
    </cfRule>
    <cfRule type="cellIs" dxfId="27638" priority="5288" operator="greaterThan">
      <formula>$C104</formula>
    </cfRule>
    <cfRule type="cellIs" dxfId="27637" priority="5289" operator="lessThan">
      <formula>$C104</formula>
    </cfRule>
  </conditionalFormatting>
  <conditionalFormatting sqref="D105:E105">
    <cfRule type="expression" dxfId="27636" priority="5286">
      <formula>AND($A105&lt;&gt;"",MOD(ROW(),2))</formula>
    </cfRule>
  </conditionalFormatting>
  <conditionalFormatting sqref="D105">
    <cfRule type="cellIs" dxfId="27635" priority="5283" operator="equal">
      <formula>$C105</formula>
    </cfRule>
    <cfRule type="cellIs" dxfId="27634" priority="5284" operator="greaterThan">
      <formula>$C105</formula>
    </cfRule>
    <cfRule type="cellIs" dxfId="27633" priority="5285" operator="lessThan">
      <formula>$C105</formula>
    </cfRule>
  </conditionalFormatting>
  <conditionalFormatting sqref="D106:E106">
    <cfRule type="expression" dxfId="27632" priority="5282">
      <formula>AND($A106&lt;&gt;"",MOD(ROW(),2))</formula>
    </cfRule>
  </conditionalFormatting>
  <conditionalFormatting sqref="D106">
    <cfRule type="cellIs" dxfId="27631" priority="5279" operator="equal">
      <formula>$C106</formula>
    </cfRule>
    <cfRule type="cellIs" dxfId="27630" priority="5280" operator="greaterThan">
      <formula>$C106</formula>
    </cfRule>
    <cfRule type="cellIs" dxfId="27629" priority="5281" operator="lessThan">
      <formula>$C106</formula>
    </cfRule>
  </conditionalFormatting>
  <conditionalFormatting sqref="D107:E107">
    <cfRule type="expression" dxfId="27628" priority="5278">
      <formula>AND($A107&lt;&gt;"",MOD(ROW(),2))</formula>
    </cfRule>
  </conditionalFormatting>
  <conditionalFormatting sqref="D107">
    <cfRule type="cellIs" dxfId="27627" priority="5275" operator="equal">
      <formula>$C107</formula>
    </cfRule>
    <cfRule type="cellIs" dxfId="27626" priority="5276" operator="greaterThan">
      <formula>$C107</formula>
    </cfRule>
    <cfRule type="cellIs" dxfId="27625" priority="5277" operator="lessThan">
      <formula>$C107</formula>
    </cfRule>
  </conditionalFormatting>
  <conditionalFormatting sqref="D108:E108">
    <cfRule type="expression" dxfId="27624" priority="5274">
      <formula>AND($A108&lt;&gt;"",MOD(ROW(),2))</formula>
    </cfRule>
  </conditionalFormatting>
  <conditionalFormatting sqref="D108">
    <cfRule type="cellIs" dxfId="27623" priority="5271" operator="equal">
      <formula>$C108</formula>
    </cfRule>
    <cfRule type="cellIs" dxfId="27622" priority="5272" operator="greaterThan">
      <formula>$C108</formula>
    </cfRule>
    <cfRule type="cellIs" dxfId="27621" priority="5273" operator="lessThan">
      <formula>$C108</formula>
    </cfRule>
  </conditionalFormatting>
  <conditionalFormatting sqref="D109:E109">
    <cfRule type="expression" dxfId="27620" priority="5270">
      <formula>AND($A109&lt;&gt;"",MOD(ROW(),2))</formula>
    </cfRule>
  </conditionalFormatting>
  <conditionalFormatting sqref="D109">
    <cfRule type="cellIs" dxfId="27619" priority="5267" operator="equal">
      <formula>$C109</formula>
    </cfRule>
    <cfRule type="cellIs" dxfId="27618" priority="5268" operator="greaterThan">
      <formula>$C109</formula>
    </cfRule>
    <cfRule type="cellIs" dxfId="27617" priority="5269" operator="lessThan">
      <formula>$C109</formula>
    </cfRule>
  </conditionalFormatting>
  <conditionalFormatting sqref="D110:E110">
    <cfRule type="expression" dxfId="27616" priority="5266">
      <formula>AND($A110&lt;&gt;"",MOD(ROW(),2))</formula>
    </cfRule>
  </conditionalFormatting>
  <conditionalFormatting sqref="D110">
    <cfRule type="cellIs" dxfId="27615" priority="5263" operator="equal">
      <formula>$C110</formula>
    </cfRule>
    <cfRule type="cellIs" dxfId="27614" priority="5264" operator="greaterThan">
      <formula>$C110</formula>
    </cfRule>
    <cfRule type="cellIs" dxfId="27613" priority="5265" operator="lessThan">
      <formula>$C110</formula>
    </cfRule>
  </conditionalFormatting>
  <conditionalFormatting sqref="D111:E111">
    <cfRule type="expression" dxfId="27612" priority="5262">
      <formula>AND($A111&lt;&gt;"",MOD(ROW(),2))</formula>
    </cfRule>
  </conditionalFormatting>
  <conditionalFormatting sqref="D111">
    <cfRule type="cellIs" dxfId="27611" priority="5259" operator="equal">
      <formula>$C111</formula>
    </cfRule>
    <cfRule type="cellIs" dxfId="27610" priority="5260" operator="greaterThan">
      <formula>$C111</formula>
    </cfRule>
    <cfRule type="cellIs" dxfId="27609" priority="5261" operator="lessThan">
      <formula>$C111</formula>
    </cfRule>
  </conditionalFormatting>
  <conditionalFormatting sqref="D112:E112">
    <cfRule type="expression" dxfId="27608" priority="5258">
      <formula>AND($A112&lt;&gt;"",MOD(ROW(),2))</formula>
    </cfRule>
  </conditionalFormatting>
  <conditionalFormatting sqref="D112">
    <cfRule type="cellIs" dxfId="27607" priority="5255" operator="equal">
      <formula>$C112</formula>
    </cfRule>
    <cfRule type="cellIs" dxfId="27606" priority="5256" operator="greaterThan">
      <formula>$C112</formula>
    </cfRule>
    <cfRule type="cellIs" dxfId="27605" priority="5257" operator="lessThan">
      <formula>$C112</formula>
    </cfRule>
  </conditionalFormatting>
  <conditionalFormatting sqref="D113:E113">
    <cfRule type="expression" dxfId="27604" priority="5254">
      <formula>AND($A113&lt;&gt;"",MOD(ROW(),2))</formula>
    </cfRule>
  </conditionalFormatting>
  <conditionalFormatting sqref="D113">
    <cfRule type="cellIs" dxfId="27603" priority="5251" operator="equal">
      <formula>$C113</formula>
    </cfRule>
    <cfRule type="cellIs" dxfId="27602" priority="5252" operator="greaterThan">
      <formula>$C113</formula>
    </cfRule>
    <cfRule type="cellIs" dxfId="27601" priority="5253" operator="lessThan">
      <formula>$C113</formula>
    </cfRule>
  </conditionalFormatting>
  <conditionalFormatting sqref="D114:E114">
    <cfRule type="expression" dxfId="27600" priority="5250">
      <formula>AND($A114&lt;&gt;"",MOD(ROW(),2))</formula>
    </cfRule>
  </conditionalFormatting>
  <conditionalFormatting sqref="D114">
    <cfRule type="cellIs" dxfId="27599" priority="5247" operator="equal">
      <formula>$C114</formula>
    </cfRule>
    <cfRule type="cellIs" dxfId="27598" priority="5248" operator="greaterThan">
      <formula>$C114</formula>
    </cfRule>
    <cfRule type="cellIs" dxfId="27597" priority="5249" operator="lessThan">
      <formula>$C114</formula>
    </cfRule>
  </conditionalFormatting>
  <conditionalFormatting sqref="C92">
    <cfRule type="expression" dxfId="27596" priority="5246">
      <formula>AND($A92&lt;&gt;"",MOD(ROW(),2))</formula>
    </cfRule>
  </conditionalFormatting>
  <conditionalFormatting sqref="C92">
    <cfRule type="cellIs" dxfId="27595" priority="5243" operator="equal">
      <formula>$C92</formula>
    </cfRule>
    <cfRule type="cellIs" dxfId="27594" priority="5244" operator="greaterThan">
      <formula>$C92</formula>
    </cfRule>
    <cfRule type="cellIs" dxfId="27593" priority="5245" operator="lessThan">
      <formula>$C92</formula>
    </cfRule>
  </conditionalFormatting>
  <conditionalFormatting sqref="C93">
    <cfRule type="expression" dxfId="27592" priority="5242">
      <formula>AND($A93&lt;&gt;"",MOD(ROW(),2))</formula>
    </cfRule>
  </conditionalFormatting>
  <conditionalFormatting sqref="C93">
    <cfRule type="cellIs" dxfId="27591" priority="5239" operator="equal">
      <formula>$C93</formula>
    </cfRule>
    <cfRule type="cellIs" dxfId="27590" priority="5240" operator="greaterThan">
      <formula>$C93</formula>
    </cfRule>
    <cfRule type="cellIs" dxfId="27589" priority="5241" operator="lessThan">
      <formula>$C93</formula>
    </cfRule>
  </conditionalFormatting>
  <conditionalFormatting sqref="C94">
    <cfRule type="expression" dxfId="27588" priority="5238">
      <formula>AND($A94&lt;&gt;"",MOD(ROW(),2))</formula>
    </cfRule>
  </conditionalFormatting>
  <conditionalFormatting sqref="C94">
    <cfRule type="cellIs" dxfId="27587" priority="5235" operator="equal">
      <formula>$C94</formula>
    </cfRule>
    <cfRule type="cellIs" dxfId="27586" priority="5236" operator="greaterThan">
      <formula>$C94</formula>
    </cfRule>
    <cfRule type="cellIs" dxfId="27585" priority="5237" operator="lessThan">
      <formula>$C94</formula>
    </cfRule>
  </conditionalFormatting>
  <conditionalFormatting sqref="C95">
    <cfRule type="expression" dxfId="27584" priority="5234">
      <formula>AND($A95&lt;&gt;"",MOD(ROW(),2))</formula>
    </cfRule>
  </conditionalFormatting>
  <conditionalFormatting sqref="C95">
    <cfRule type="cellIs" dxfId="27583" priority="5231" operator="equal">
      <formula>$C95</formula>
    </cfRule>
    <cfRule type="cellIs" dxfId="27582" priority="5232" operator="greaterThan">
      <formula>$C95</formula>
    </cfRule>
    <cfRule type="cellIs" dxfId="27581" priority="5233" operator="lessThan">
      <formula>$C95</formula>
    </cfRule>
  </conditionalFormatting>
  <conditionalFormatting sqref="C96">
    <cfRule type="expression" dxfId="27580" priority="5230">
      <formula>AND($A96&lt;&gt;"",MOD(ROW(),2))</formula>
    </cfRule>
  </conditionalFormatting>
  <conditionalFormatting sqref="C96">
    <cfRule type="cellIs" dxfId="27579" priority="5227" operator="equal">
      <formula>$C96</formula>
    </cfRule>
    <cfRule type="cellIs" dxfId="27578" priority="5228" operator="greaterThan">
      <formula>$C96</formula>
    </cfRule>
    <cfRule type="cellIs" dxfId="27577" priority="5229" operator="lessThan">
      <formula>$C96</formula>
    </cfRule>
  </conditionalFormatting>
  <conditionalFormatting sqref="C97">
    <cfRule type="expression" dxfId="27576" priority="5226">
      <formula>AND($A97&lt;&gt;"",MOD(ROW(),2))</formula>
    </cfRule>
  </conditionalFormatting>
  <conditionalFormatting sqref="C97">
    <cfRule type="cellIs" dxfId="27575" priority="5223" operator="equal">
      <formula>$C97</formula>
    </cfRule>
    <cfRule type="cellIs" dxfId="27574" priority="5224" operator="greaterThan">
      <formula>$C97</formula>
    </cfRule>
    <cfRule type="cellIs" dxfId="27573" priority="5225" operator="lessThan">
      <formula>$C97</formula>
    </cfRule>
  </conditionalFormatting>
  <conditionalFormatting sqref="C98">
    <cfRule type="expression" dxfId="27572" priority="5222">
      <formula>AND($A98&lt;&gt;"",MOD(ROW(),2))</formula>
    </cfRule>
  </conditionalFormatting>
  <conditionalFormatting sqref="C98">
    <cfRule type="cellIs" dxfId="27571" priority="5219" operator="equal">
      <formula>$C98</formula>
    </cfRule>
    <cfRule type="cellIs" dxfId="27570" priority="5220" operator="greaterThan">
      <formula>$C98</formula>
    </cfRule>
    <cfRule type="cellIs" dxfId="27569" priority="5221" operator="lessThan">
      <formula>$C98</formula>
    </cfRule>
  </conditionalFormatting>
  <conditionalFormatting sqref="C99">
    <cfRule type="expression" dxfId="27568" priority="5218">
      <formula>AND($A99&lt;&gt;"",MOD(ROW(),2))</formula>
    </cfRule>
  </conditionalFormatting>
  <conditionalFormatting sqref="C99">
    <cfRule type="cellIs" dxfId="27567" priority="5215" operator="equal">
      <formula>$C99</formula>
    </cfRule>
    <cfRule type="cellIs" dxfId="27566" priority="5216" operator="greaterThan">
      <formula>$C99</formula>
    </cfRule>
    <cfRule type="cellIs" dxfId="27565" priority="5217" operator="lessThan">
      <formula>$C99</formula>
    </cfRule>
  </conditionalFormatting>
  <conditionalFormatting sqref="C100">
    <cfRule type="expression" dxfId="27564" priority="5214">
      <formula>AND($A100&lt;&gt;"",MOD(ROW(),2))</formula>
    </cfRule>
  </conditionalFormatting>
  <conditionalFormatting sqref="C100">
    <cfRule type="cellIs" dxfId="27563" priority="5211" operator="equal">
      <formula>$C100</formula>
    </cfRule>
    <cfRule type="cellIs" dxfId="27562" priority="5212" operator="greaterThan">
      <formula>$C100</formula>
    </cfRule>
    <cfRule type="cellIs" dxfId="27561" priority="5213" operator="lessThan">
      <formula>$C100</formula>
    </cfRule>
  </conditionalFormatting>
  <conditionalFormatting sqref="C101">
    <cfRule type="expression" dxfId="27560" priority="5210">
      <formula>AND($A101&lt;&gt;"",MOD(ROW(),2))</formula>
    </cfRule>
  </conditionalFormatting>
  <conditionalFormatting sqref="C101">
    <cfRule type="cellIs" dxfId="27559" priority="5207" operator="equal">
      <formula>$C101</formula>
    </cfRule>
    <cfRule type="cellIs" dxfId="27558" priority="5208" operator="greaterThan">
      <formula>$C101</formula>
    </cfRule>
    <cfRule type="cellIs" dxfId="27557" priority="5209" operator="lessThan">
      <formula>$C101</formula>
    </cfRule>
  </conditionalFormatting>
  <conditionalFormatting sqref="C102">
    <cfRule type="expression" dxfId="27556" priority="5206">
      <formula>AND($A102&lt;&gt;"",MOD(ROW(),2))</formula>
    </cfRule>
  </conditionalFormatting>
  <conditionalFormatting sqref="C102">
    <cfRule type="cellIs" dxfId="27555" priority="5203" operator="equal">
      <formula>$C102</formula>
    </cfRule>
    <cfRule type="cellIs" dxfId="27554" priority="5204" operator="greaterThan">
      <formula>$C102</formula>
    </cfRule>
    <cfRule type="cellIs" dxfId="27553" priority="5205" operator="lessThan">
      <formula>$C102</formula>
    </cfRule>
  </conditionalFormatting>
  <conditionalFormatting sqref="C103">
    <cfRule type="expression" dxfId="27552" priority="5202">
      <formula>AND($A103&lt;&gt;"",MOD(ROW(),2))</formula>
    </cfRule>
  </conditionalFormatting>
  <conditionalFormatting sqref="C103">
    <cfRule type="cellIs" dxfId="27551" priority="5199" operator="equal">
      <formula>$C103</formula>
    </cfRule>
    <cfRule type="cellIs" dxfId="27550" priority="5200" operator="greaterThan">
      <formula>$C103</formula>
    </cfRule>
    <cfRule type="cellIs" dxfId="27549" priority="5201" operator="lessThan">
      <formula>$C103</formula>
    </cfRule>
  </conditionalFormatting>
  <conditionalFormatting sqref="D92:E92">
    <cfRule type="expression" dxfId="27548" priority="5198">
      <formula>AND($A92&lt;&gt;"",MOD(ROW(),2))</formula>
    </cfRule>
  </conditionalFormatting>
  <conditionalFormatting sqref="D92">
    <cfRule type="cellIs" dxfId="27547" priority="5195" operator="equal">
      <formula>$C92</formula>
    </cfRule>
    <cfRule type="cellIs" dxfId="27546" priority="5196" operator="greaterThan">
      <formula>$C92</formula>
    </cfRule>
    <cfRule type="cellIs" dxfId="27545" priority="5197" operator="lessThan">
      <formula>$C92</formula>
    </cfRule>
  </conditionalFormatting>
  <conditionalFormatting sqref="D93:E93">
    <cfRule type="expression" dxfId="27544" priority="5194">
      <formula>AND($A93&lt;&gt;"",MOD(ROW(),2))</formula>
    </cfRule>
  </conditionalFormatting>
  <conditionalFormatting sqref="D93">
    <cfRule type="cellIs" dxfId="27543" priority="5191" operator="equal">
      <formula>$C93</formula>
    </cfRule>
    <cfRule type="cellIs" dxfId="27542" priority="5192" operator="greaterThan">
      <formula>$C93</formula>
    </cfRule>
    <cfRule type="cellIs" dxfId="27541" priority="5193" operator="lessThan">
      <formula>$C93</formula>
    </cfRule>
  </conditionalFormatting>
  <conditionalFormatting sqref="D94:E94">
    <cfRule type="expression" dxfId="27540" priority="5190">
      <formula>AND($A94&lt;&gt;"",MOD(ROW(),2))</formula>
    </cfRule>
  </conditionalFormatting>
  <conditionalFormatting sqref="D94">
    <cfRule type="cellIs" dxfId="27539" priority="5187" operator="equal">
      <formula>$C94</formula>
    </cfRule>
    <cfRule type="cellIs" dxfId="27538" priority="5188" operator="greaterThan">
      <formula>$C94</formula>
    </cfRule>
    <cfRule type="cellIs" dxfId="27537" priority="5189" operator="lessThan">
      <formula>$C94</formula>
    </cfRule>
  </conditionalFormatting>
  <conditionalFormatting sqref="D95:E95">
    <cfRule type="expression" dxfId="27536" priority="5186">
      <formula>AND($A95&lt;&gt;"",MOD(ROW(),2))</formula>
    </cfRule>
  </conditionalFormatting>
  <conditionalFormatting sqref="D95">
    <cfRule type="cellIs" dxfId="27535" priority="5183" operator="equal">
      <formula>$C95</formula>
    </cfRule>
    <cfRule type="cellIs" dxfId="27534" priority="5184" operator="greaterThan">
      <formula>$C95</formula>
    </cfRule>
    <cfRule type="cellIs" dxfId="27533" priority="5185" operator="lessThan">
      <formula>$C95</formula>
    </cfRule>
  </conditionalFormatting>
  <conditionalFormatting sqref="D96:E96">
    <cfRule type="expression" dxfId="27532" priority="5182">
      <formula>AND($A96&lt;&gt;"",MOD(ROW(),2))</formula>
    </cfRule>
  </conditionalFormatting>
  <conditionalFormatting sqref="D96">
    <cfRule type="cellIs" dxfId="27531" priority="5179" operator="equal">
      <formula>$C96</formula>
    </cfRule>
    <cfRule type="cellIs" dxfId="27530" priority="5180" operator="greaterThan">
      <formula>$C96</formula>
    </cfRule>
    <cfRule type="cellIs" dxfId="27529" priority="5181" operator="lessThan">
      <formula>$C96</formula>
    </cfRule>
  </conditionalFormatting>
  <conditionalFormatting sqref="D97:E97">
    <cfRule type="expression" dxfId="27528" priority="5178">
      <formula>AND($A97&lt;&gt;"",MOD(ROW(),2))</formula>
    </cfRule>
  </conditionalFormatting>
  <conditionalFormatting sqref="D97">
    <cfRule type="cellIs" dxfId="27527" priority="5175" operator="equal">
      <formula>$C97</formula>
    </cfRule>
    <cfRule type="cellIs" dxfId="27526" priority="5176" operator="greaterThan">
      <formula>$C97</formula>
    </cfRule>
    <cfRule type="cellIs" dxfId="27525" priority="5177" operator="lessThan">
      <formula>$C97</formula>
    </cfRule>
  </conditionalFormatting>
  <conditionalFormatting sqref="D98:E98">
    <cfRule type="expression" dxfId="27524" priority="5174">
      <formula>AND($A98&lt;&gt;"",MOD(ROW(),2))</formula>
    </cfRule>
  </conditionalFormatting>
  <conditionalFormatting sqref="D98">
    <cfRule type="cellIs" dxfId="27523" priority="5171" operator="equal">
      <formula>$C98</formula>
    </cfRule>
    <cfRule type="cellIs" dxfId="27522" priority="5172" operator="greaterThan">
      <formula>$C98</formula>
    </cfRule>
    <cfRule type="cellIs" dxfId="27521" priority="5173" operator="lessThan">
      <formula>$C98</formula>
    </cfRule>
  </conditionalFormatting>
  <conditionalFormatting sqref="D99:E99">
    <cfRule type="expression" dxfId="27520" priority="5170">
      <formula>AND($A99&lt;&gt;"",MOD(ROW(),2))</formula>
    </cfRule>
  </conditionalFormatting>
  <conditionalFormatting sqref="D99">
    <cfRule type="cellIs" dxfId="27519" priority="5167" operator="equal">
      <formula>$C99</formula>
    </cfRule>
    <cfRule type="cellIs" dxfId="27518" priority="5168" operator="greaterThan">
      <formula>$C99</formula>
    </cfRule>
    <cfRule type="cellIs" dxfId="27517" priority="5169" operator="lessThan">
      <formula>$C99</formula>
    </cfRule>
  </conditionalFormatting>
  <conditionalFormatting sqref="D100:E100">
    <cfRule type="expression" dxfId="27516" priority="5166">
      <formula>AND($A100&lt;&gt;"",MOD(ROW(),2))</formula>
    </cfRule>
  </conditionalFormatting>
  <conditionalFormatting sqref="D100">
    <cfRule type="cellIs" dxfId="27515" priority="5163" operator="equal">
      <formula>$C100</formula>
    </cfRule>
    <cfRule type="cellIs" dxfId="27514" priority="5164" operator="greaterThan">
      <formula>$C100</formula>
    </cfRule>
    <cfRule type="cellIs" dxfId="27513" priority="5165" operator="lessThan">
      <formula>$C100</formula>
    </cfRule>
  </conditionalFormatting>
  <conditionalFormatting sqref="D101:E101">
    <cfRule type="expression" dxfId="27512" priority="5162">
      <formula>AND($A101&lt;&gt;"",MOD(ROW(),2))</formula>
    </cfRule>
  </conditionalFormatting>
  <conditionalFormatting sqref="D101">
    <cfRule type="cellIs" dxfId="27511" priority="5159" operator="equal">
      <formula>$C101</formula>
    </cfRule>
    <cfRule type="cellIs" dxfId="27510" priority="5160" operator="greaterThan">
      <formula>$C101</formula>
    </cfRule>
    <cfRule type="cellIs" dxfId="27509" priority="5161" operator="lessThan">
      <formula>$C101</formula>
    </cfRule>
  </conditionalFormatting>
  <conditionalFormatting sqref="D102:E102">
    <cfRule type="expression" dxfId="27508" priority="5158">
      <formula>AND($A102&lt;&gt;"",MOD(ROW(),2))</formula>
    </cfRule>
  </conditionalFormatting>
  <conditionalFormatting sqref="D102">
    <cfRule type="cellIs" dxfId="27507" priority="5155" operator="equal">
      <formula>$C102</formula>
    </cfRule>
    <cfRule type="cellIs" dxfId="27506" priority="5156" operator="greaterThan">
      <formula>$C102</formula>
    </cfRule>
    <cfRule type="cellIs" dxfId="27505" priority="5157" operator="lessThan">
      <formula>$C102</formula>
    </cfRule>
  </conditionalFormatting>
  <conditionalFormatting sqref="D103:E103">
    <cfRule type="expression" dxfId="27504" priority="5154">
      <formula>AND($A103&lt;&gt;"",MOD(ROW(),2))</formula>
    </cfRule>
  </conditionalFormatting>
  <conditionalFormatting sqref="D103">
    <cfRule type="cellIs" dxfId="27503" priority="5151" operator="equal">
      <formula>$C103</formula>
    </cfRule>
    <cfRule type="cellIs" dxfId="27502" priority="5152" operator="greaterThan">
      <formula>$C103</formula>
    </cfRule>
    <cfRule type="cellIs" dxfId="27501" priority="5153" operator="lessThan">
      <formula>$C103</formula>
    </cfRule>
  </conditionalFormatting>
  <conditionalFormatting sqref="D104:E104">
    <cfRule type="expression" dxfId="27500" priority="5150">
      <formula>AND($A104&lt;&gt;"",MOD(ROW(),2))</formula>
    </cfRule>
  </conditionalFormatting>
  <conditionalFormatting sqref="D104">
    <cfRule type="cellIs" dxfId="27499" priority="5147" operator="equal">
      <formula>$C104</formula>
    </cfRule>
    <cfRule type="cellIs" dxfId="27498" priority="5148" operator="greaterThan">
      <formula>$C104</formula>
    </cfRule>
    <cfRule type="cellIs" dxfId="27497" priority="5149" operator="lessThan">
      <formula>$C104</formula>
    </cfRule>
  </conditionalFormatting>
  <conditionalFormatting sqref="D105:E105">
    <cfRule type="expression" dxfId="27496" priority="5146">
      <formula>AND($A105&lt;&gt;"",MOD(ROW(),2))</formula>
    </cfRule>
  </conditionalFormatting>
  <conditionalFormatting sqref="D105">
    <cfRule type="cellIs" dxfId="27495" priority="5143" operator="equal">
      <formula>$C105</formula>
    </cfRule>
    <cfRule type="cellIs" dxfId="27494" priority="5144" operator="greaterThan">
      <formula>$C105</formula>
    </cfRule>
    <cfRule type="cellIs" dxfId="27493" priority="5145" operator="lessThan">
      <formula>$C105</formula>
    </cfRule>
  </conditionalFormatting>
  <conditionalFormatting sqref="D106:E106">
    <cfRule type="expression" dxfId="27492" priority="5142">
      <formula>AND($A106&lt;&gt;"",MOD(ROW(),2))</formula>
    </cfRule>
  </conditionalFormatting>
  <conditionalFormatting sqref="D106">
    <cfRule type="cellIs" dxfId="27491" priority="5139" operator="equal">
      <formula>$C106</formula>
    </cfRule>
    <cfRule type="cellIs" dxfId="27490" priority="5140" operator="greaterThan">
      <formula>$C106</formula>
    </cfRule>
    <cfRule type="cellIs" dxfId="27489" priority="5141" operator="lessThan">
      <formula>$C106</formula>
    </cfRule>
  </conditionalFormatting>
  <conditionalFormatting sqref="D107:E107">
    <cfRule type="expression" dxfId="27488" priority="5138">
      <formula>AND($A107&lt;&gt;"",MOD(ROW(),2))</formula>
    </cfRule>
  </conditionalFormatting>
  <conditionalFormatting sqref="D107">
    <cfRule type="cellIs" dxfId="27487" priority="5135" operator="equal">
      <formula>$C107</formula>
    </cfRule>
    <cfRule type="cellIs" dxfId="27486" priority="5136" operator="greaterThan">
      <formula>$C107</formula>
    </cfRule>
    <cfRule type="cellIs" dxfId="27485" priority="5137" operator="lessThan">
      <formula>$C107</formula>
    </cfRule>
  </conditionalFormatting>
  <conditionalFormatting sqref="D108:E108">
    <cfRule type="expression" dxfId="27484" priority="5134">
      <formula>AND($A108&lt;&gt;"",MOD(ROW(),2))</formula>
    </cfRule>
  </conditionalFormatting>
  <conditionalFormatting sqref="D108">
    <cfRule type="cellIs" dxfId="27483" priority="5131" operator="equal">
      <formula>$C108</formula>
    </cfRule>
    <cfRule type="cellIs" dxfId="27482" priority="5132" operator="greaterThan">
      <formula>$C108</formula>
    </cfRule>
    <cfRule type="cellIs" dxfId="27481" priority="5133" operator="lessThan">
      <formula>$C108</formula>
    </cfRule>
  </conditionalFormatting>
  <conditionalFormatting sqref="D109:E109">
    <cfRule type="expression" dxfId="27480" priority="5130">
      <formula>AND($A109&lt;&gt;"",MOD(ROW(),2))</formula>
    </cfRule>
  </conditionalFormatting>
  <conditionalFormatting sqref="D109">
    <cfRule type="cellIs" dxfId="27479" priority="5127" operator="equal">
      <formula>$C109</formula>
    </cfRule>
    <cfRule type="cellIs" dxfId="27478" priority="5128" operator="greaterThan">
      <formula>$C109</formula>
    </cfRule>
    <cfRule type="cellIs" dxfId="27477" priority="5129" operator="lessThan">
      <formula>$C109</formula>
    </cfRule>
  </conditionalFormatting>
  <conditionalFormatting sqref="D110:E110">
    <cfRule type="expression" dxfId="27476" priority="5126">
      <formula>AND($A110&lt;&gt;"",MOD(ROW(),2))</formula>
    </cfRule>
  </conditionalFormatting>
  <conditionalFormatting sqref="D110">
    <cfRule type="cellIs" dxfId="27475" priority="5123" operator="equal">
      <formula>$C110</formula>
    </cfRule>
    <cfRule type="cellIs" dxfId="27474" priority="5124" operator="greaterThan">
      <formula>$C110</formula>
    </cfRule>
    <cfRule type="cellIs" dxfId="27473" priority="5125" operator="lessThan">
      <formula>$C110</formula>
    </cfRule>
  </conditionalFormatting>
  <conditionalFormatting sqref="D111:E111">
    <cfRule type="expression" dxfId="27472" priority="5122">
      <formula>AND($A111&lt;&gt;"",MOD(ROW(),2))</formula>
    </cfRule>
  </conditionalFormatting>
  <conditionalFormatting sqref="D111">
    <cfRule type="cellIs" dxfId="27471" priority="5119" operator="equal">
      <formula>$C111</formula>
    </cfRule>
    <cfRule type="cellIs" dxfId="27470" priority="5120" operator="greaterThan">
      <formula>$C111</formula>
    </cfRule>
    <cfRule type="cellIs" dxfId="27469" priority="5121" operator="lessThan">
      <formula>$C111</formula>
    </cfRule>
  </conditionalFormatting>
  <conditionalFormatting sqref="C92">
    <cfRule type="expression" dxfId="27468" priority="5118">
      <formula>AND($A92&lt;&gt;"",MOD(ROW(),2))</formula>
    </cfRule>
  </conditionalFormatting>
  <conditionalFormatting sqref="C92">
    <cfRule type="cellIs" dxfId="27467" priority="5115" operator="equal">
      <formula>$C92</formula>
    </cfRule>
    <cfRule type="cellIs" dxfId="27466" priority="5116" operator="greaterThan">
      <formula>$C92</formula>
    </cfRule>
    <cfRule type="cellIs" dxfId="27465" priority="5117" operator="lessThan">
      <formula>$C92</formula>
    </cfRule>
  </conditionalFormatting>
  <conditionalFormatting sqref="C93">
    <cfRule type="expression" dxfId="27464" priority="5114">
      <formula>AND($A93&lt;&gt;"",MOD(ROW(),2))</formula>
    </cfRule>
  </conditionalFormatting>
  <conditionalFormatting sqref="C93">
    <cfRule type="cellIs" dxfId="27463" priority="5111" operator="equal">
      <formula>$C93</formula>
    </cfRule>
    <cfRule type="cellIs" dxfId="27462" priority="5112" operator="greaterThan">
      <formula>$C93</formula>
    </cfRule>
    <cfRule type="cellIs" dxfId="27461" priority="5113" operator="lessThan">
      <formula>$C93</formula>
    </cfRule>
  </conditionalFormatting>
  <conditionalFormatting sqref="C94">
    <cfRule type="expression" dxfId="27460" priority="5110">
      <formula>AND($A94&lt;&gt;"",MOD(ROW(),2))</formula>
    </cfRule>
  </conditionalFormatting>
  <conditionalFormatting sqref="C94">
    <cfRule type="cellIs" dxfId="27459" priority="5107" operator="equal">
      <formula>$C94</formula>
    </cfRule>
    <cfRule type="cellIs" dxfId="27458" priority="5108" operator="greaterThan">
      <formula>$C94</formula>
    </cfRule>
    <cfRule type="cellIs" dxfId="27457" priority="5109" operator="lessThan">
      <formula>$C94</formula>
    </cfRule>
  </conditionalFormatting>
  <conditionalFormatting sqref="C95">
    <cfRule type="expression" dxfId="27456" priority="5106">
      <formula>AND($A95&lt;&gt;"",MOD(ROW(),2))</formula>
    </cfRule>
  </conditionalFormatting>
  <conditionalFormatting sqref="C95">
    <cfRule type="cellIs" dxfId="27455" priority="5103" operator="equal">
      <formula>$C95</formula>
    </cfRule>
    <cfRule type="cellIs" dxfId="27454" priority="5104" operator="greaterThan">
      <formula>$C95</formula>
    </cfRule>
    <cfRule type="cellIs" dxfId="27453" priority="5105" operator="lessThan">
      <formula>$C95</formula>
    </cfRule>
  </conditionalFormatting>
  <conditionalFormatting sqref="C96">
    <cfRule type="expression" dxfId="27452" priority="5102">
      <formula>AND($A96&lt;&gt;"",MOD(ROW(),2))</formula>
    </cfRule>
  </conditionalFormatting>
  <conditionalFormatting sqref="C96">
    <cfRule type="cellIs" dxfId="27451" priority="5099" operator="equal">
      <formula>$C96</formula>
    </cfRule>
    <cfRule type="cellIs" dxfId="27450" priority="5100" operator="greaterThan">
      <formula>$C96</formula>
    </cfRule>
    <cfRule type="cellIs" dxfId="27449" priority="5101" operator="lessThan">
      <formula>$C96</formula>
    </cfRule>
  </conditionalFormatting>
  <conditionalFormatting sqref="C97">
    <cfRule type="expression" dxfId="27448" priority="5098">
      <formula>AND($A97&lt;&gt;"",MOD(ROW(),2))</formula>
    </cfRule>
  </conditionalFormatting>
  <conditionalFormatting sqref="C97">
    <cfRule type="cellIs" dxfId="27447" priority="5095" operator="equal">
      <formula>$C97</formula>
    </cfRule>
    <cfRule type="cellIs" dxfId="27446" priority="5096" operator="greaterThan">
      <formula>$C97</formula>
    </cfRule>
    <cfRule type="cellIs" dxfId="27445" priority="5097" operator="lessThan">
      <formula>$C97</formula>
    </cfRule>
  </conditionalFormatting>
  <conditionalFormatting sqref="C98">
    <cfRule type="expression" dxfId="27444" priority="5094">
      <formula>AND($A98&lt;&gt;"",MOD(ROW(),2))</formula>
    </cfRule>
  </conditionalFormatting>
  <conditionalFormatting sqref="C98">
    <cfRule type="cellIs" dxfId="27443" priority="5091" operator="equal">
      <formula>$C98</formula>
    </cfRule>
    <cfRule type="cellIs" dxfId="27442" priority="5092" operator="greaterThan">
      <formula>$C98</formula>
    </cfRule>
    <cfRule type="cellIs" dxfId="27441" priority="5093" operator="lessThan">
      <formula>$C98</formula>
    </cfRule>
  </conditionalFormatting>
  <conditionalFormatting sqref="C99">
    <cfRule type="expression" dxfId="27440" priority="5090">
      <formula>AND($A99&lt;&gt;"",MOD(ROW(),2))</formula>
    </cfRule>
  </conditionalFormatting>
  <conditionalFormatting sqref="C99">
    <cfRule type="cellIs" dxfId="27439" priority="5087" operator="equal">
      <formula>$C99</formula>
    </cfRule>
    <cfRule type="cellIs" dxfId="27438" priority="5088" operator="greaterThan">
      <formula>$C99</formula>
    </cfRule>
    <cfRule type="cellIs" dxfId="27437" priority="5089" operator="lessThan">
      <formula>$C99</formula>
    </cfRule>
  </conditionalFormatting>
  <conditionalFormatting sqref="C100">
    <cfRule type="expression" dxfId="27436" priority="5086">
      <formula>AND($A100&lt;&gt;"",MOD(ROW(),2))</formula>
    </cfRule>
  </conditionalFormatting>
  <conditionalFormatting sqref="C100">
    <cfRule type="cellIs" dxfId="27435" priority="5083" operator="equal">
      <formula>$C100</formula>
    </cfRule>
    <cfRule type="cellIs" dxfId="27434" priority="5084" operator="greaterThan">
      <formula>$C100</formula>
    </cfRule>
    <cfRule type="cellIs" dxfId="27433" priority="5085" operator="lessThan">
      <formula>$C100</formula>
    </cfRule>
  </conditionalFormatting>
  <conditionalFormatting sqref="C101">
    <cfRule type="expression" dxfId="27432" priority="5082">
      <formula>AND($A101&lt;&gt;"",MOD(ROW(),2))</formula>
    </cfRule>
  </conditionalFormatting>
  <conditionalFormatting sqref="C101">
    <cfRule type="cellIs" dxfId="27431" priority="5079" operator="equal">
      <formula>$C101</formula>
    </cfRule>
    <cfRule type="cellIs" dxfId="27430" priority="5080" operator="greaterThan">
      <formula>$C101</formula>
    </cfRule>
    <cfRule type="cellIs" dxfId="27429" priority="5081" operator="lessThan">
      <formula>$C101</formula>
    </cfRule>
  </conditionalFormatting>
  <conditionalFormatting sqref="C102">
    <cfRule type="expression" dxfId="27428" priority="5078">
      <formula>AND($A102&lt;&gt;"",MOD(ROW(),2))</formula>
    </cfRule>
  </conditionalFormatting>
  <conditionalFormatting sqref="C102">
    <cfRule type="cellIs" dxfId="27427" priority="5075" operator="equal">
      <formula>$C102</formula>
    </cfRule>
    <cfRule type="cellIs" dxfId="27426" priority="5076" operator="greaterThan">
      <formula>$C102</formula>
    </cfRule>
    <cfRule type="cellIs" dxfId="27425" priority="5077" operator="lessThan">
      <formula>$C102</formula>
    </cfRule>
  </conditionalFormatting>
  <conditionalFormatting sqref="C103">
    <cfRule type="expression" dxfId="27424" priority="5074">
      <formula>AND($A103&lt;&gt;"",MOD(ROW(),2))</formula>
    </cfRule>
  </conditionalFormatting>
  <conditionalFormatting sqref="C103">
    <cfRule type="cellIs" dxfId="27423" priority="5071" operator="equal">
      <formula>$C103</formula>
    </cfRule>
    <cfRule type="cellIs" dxfId="27422" priority="5072" operator="greaterThan">
      <formula>$C103</formula>
    </cfRule>
    <cfRule type="cellIs" dxfId="27421" priority="5073" operator="lessThan">
      <formula>$C103</formula>
    </cfRule>
  </conditionalFormatting>
  <conditionalFormatting sqref="D92:E92">
    <cfRule type="expression" dxfId="27420" priority="5070">
      <formula>AND($A92&lt;&gt;"",MOD(ROW(),2))</formula>
    </cfRule>
  </conditionalFormatting>
  <conditionalFormatting sqref="D92">
    <cfRule type="cellIs" dxfId="27419" priority="5067" operator="equal">
      <formula>$C92</formula>
    </cfRule>
    <cfRule type="cellIs" dxfId="27418" priority="5068" operator="greaterThan">
      <formula>$C92</formula>
    </cfRule>
    <cfRule type="cellIs" dxfId="27417" priority="5069" operator="lessThan">
      <formula>$C92</formula>
    </cfRule>
  </conditionalFormatting>
  <conditionalFormatting sqref="D93:E93">
    <cfRule type="expression" dxfId="27416" priority="5066">
      <formula>AND($A93&lt;&gt;"",MOD(ROW(),2))</formula>
    </cfRule>
  </conditionalFormatting>
  <conditionalFormatting sqref="D93">
    <cfRule type="cellIs" dxfId="27415" priority="5063" operator="equal">
      <formula>$C93</formula>
    </cfRule>
    <cfRule type="cellIs" dxfId="27414" priority="5064" operator="greaterThan">
      <formula>$C93</formula>
    </cfRule>
    <cfRule type="cellIs" dxfId="27413" priority="5065" operator="lessThan">
      <formula>$C93</formula>
    </cfRule>
  </conditionalFormatting>
  <conditionalFormatting sqref="D94:E94">
    <cfRule type="expression" dxfId="27412" priority="5062">
      <formula>AND($A94&lt;&gt;"",MOD(ROW(),2))</formula>
    </cfRule>
  </conditionalFormatting>
  <conditionalFormatting sqref="D94">
    <cfRule type="cellIs" dxfId="27411" priority="5059" operator="equal">
      <formula>$C94</formula>
    </cfRule>
    <cfRule type="cellIs" dxfId="27410" priority="5060" operator="greaterThan">
      <formula>$C94</formula>
    </cfRule>
    <cfRule type="cellIs" dxfId="27409" priority="5061" operator="lessThan">
      <formula>$C94</formula>
    </cfRule>
  </conditionalFormatting>
  <conditionalFormatting sqref="D95:E95">
    <cfRule type="expression" dxfId="27408" priority="5058">
      <formula>AND($A95&lt;&gt;"",MOD(ROW(),2))</formula>
    </cfRule>
  </conditionalFormatting>
  <conditionalFormatting sqref="D95">
    <cfRule type="cellIs" dxfId="27407" priority="5055" operator="equal">
      <formula>$C95</formula>
    </cfRule>
    <cfRule type="cellIs" dxfId="27406" priority="5056" operator="greaterThan">
      <formula>$C95</formula>
    </cfRule>
    <cfRule type="cellIs" dxfId="27405" priority="5057" operator="lessThan">
      <formula>$C95</formula>
    </cfRule>
  </conditionalFormatting>
  <conditionalFormatting sqref="D96:E96">
    <cfRule type="expression" dxfId="27404" priority="5054">
      <formula>AND($A96&lt;&gt;"",MOD(ROW(),2))</formula>
    </cfRule>
  </conditionalFormatting>
  <conditionalFormatting sqref="D96">
    <cfRule type="cellIs" dxfId="27403" priority="5051" operator="equal">
      <formula>$C96</formula>
    </cfRule>
    <cfRule type="cellIs" dxfId="27402" priority="5052" operator="greaterThan">
      <formula>$C96</formula>
    </cfRule>
    <cfRule type="cellIs" dxfId="27401" priority="5053" operator="lessThan">
      <formula>$C96</formula>
    </cfRule>
  </conditionalFormatting>
  <conditionalFormatting sqref="D97:E97">
    <cfRule type="expression" dxfId="27400" priority="5050">
      <formula>AND($A97&lt;&gt;"",MOD(ROW(),2))</formula>
    </cfRule>
  </conditionalFormatting>
  <conditionalFormatting sqref="D97">
    <cfRule type="cellIs" dxfId="27399" priority="5047" operator="equal">
      <formula>$C97</formula>
    </cfRule>
    <cfRule type="cellIs" dxfId="27398" priority="5048" operator="greaterThan">
      <formula>$C97</formula>
    </cfRule>
    <cfRule type="cellIs" dxfId="27397" priority="5049" operator="lessThan">
      <formula>$C97</formula>
    </cfRule>
  </conditionalFormatting>
  <conditionalFormatting sqref="D98:E98">
    <cfRule type="expression" dxfId="27396" priority="5046">
      <formula>AND($A98&lt;&gt;"",MOD(ROW(),2))</formula>
    </cfRule>
  </conditionalFormatting>
  <conditionalFormatting sqref="D98">
    <cfRule type="cellIs" dxfId="27395" priority="5043" operator="equal">
      <formula>$C98</formula>
    </cfRule>
    <cfRule type="cellIs" dxfId="27394" priority="5044" operator="greaterThan">
      <formula>$C98</formula>
    </cfRule>
    <cfRule type="cellIs" dxfId="27393" priority="5045" operator="lessThan">
      <formula>$C98</formula>
    </cfRule>
  </conditionalFormatting>
  <conditionalFormatting sqref="D99:E99">
    <cfRule type="expression" dxfId="27392" priority="5042">
      <formula>AND($A99&lt;&gt;"",MOD(ROW(),2))</formula>
    </cfRule>
  </conditionalFormatting>
  <conditionalFormatting sqref="D99">
    <cfRule type="cellIs" dxfId="27391" priority="5039" operator="equal">
      <formula>$C99</formula>
    </cfRule>
    <cfRule type="cellIs" dxfId="27390" priority="5040" operator="greaterThan">
      <formula>$C99</formula>
    </cfRule>
    <cfRule type="cellIs" dxfId="27389" priority="5041" operator="lessThan">
      <formula>$C99</formula>
    </cfRule>
  </conditionalFormatting>
  <conditionalFormatting sqref="D100:E100">
    <cfRule type="expression" dxfId="27388" priority="5038">
      <formula>AND($A100&lt;&gt;"",MOD(ROW(),2))</formula>
    </cfRule>
  </conditionalFormatting>
  <conditionalFormatting sqref="D100">
    <cfRule type="cellIs" dxfId="27387" priority="5035" operator="equal">
      <formula>$C100</formula>
    </cfRule>
    <cfRule type="cellIs" dxfId="27386" priority="5036" operator="greaterThan">
      <formula>$C100</formula>
    </cfRule>
    <cfRule type="cellIs" dxfId="27385" priority="5037" operator="lessThan">
      <formula>$C100</formula>
    </cfRule>
  </conditionalFormatting>
  <conditionalFormatting sqref="D101:E101">
    <cfRule type="expression" dxfId="27384" priority="5034">
      <formula>AND($A101&lt;&gt;"",MOD(ROW(),2))</formula>
    </cfRule>
  </conditionalFormatting>
  <conditionalFormatting sqref="D101">
    <cfRule type="cellIs" dxfId="27383" priority="5031" operator="equal">
      <formula>$C101</formula>
    </cfRule>
    <cfRule type="cellIs" dxfId="27382" priority="5032" operator="greaterThan">
      <formula>$C101</formula>
    </cfRule>
    <cfRule type="cellIs" dxfId="27381" priority="5033" operator="lessThan">
      <formula>$C101</formula>
    </cfRule>
  </conditionalFormatting>
  <conditionalFormatting sqref="D102:E102">
    <cfRule type="expression" dxfId="27380" priority="5030">
      <formula>AND($A102&lt;&gt;"",MOD(ROW(),2))</formula>
    </cfRule>
  </conditionalFormatting>
  <conditionalFormatting sqref="D102">
    <cfRule type="cellIs" dxfId="27379" priority="5027" operator="equal">
      <formula>$C102</formula>
    </cfRule>
    <cfRule type="cellIs" dxfId="27378" priority="5028" operator="greaterThan">
      <formula>$C102</formula>
    </cfRule>
    <cfRule type="cellIs" dxfId="27377" priority="5029" operator="lessThan">
      <formula>$C102</formula>
    </cfRule>
  </conditionalFormatting>
  <conditionalFormatting sqref="D103:E103">
    <cfRule type="expression" dxfId="27376" priority="5026">
      <formula>AND($A103&lt;&gt;"",MOD(ROW(),2))</formula>
    </cfRule>
  </conditionalFormatting>
  <conditionalFormatting sqref="D103">
    <cfRule type="cellIs" dxfId="27375" priority="5023" operator="equal">
      <formula>$C103</formula>
    </cfRule>
    <cfRule type="cellIs" dxfId="27374" priority="5024" operator="greaterThan">
      <formula>$C103</formula>
    </cfRule>
    <cfRule type="cellIs" dxfId="27373" priority="5025" operator="lessThan">
      <formula>$C103</formula>
    </cfRule>
  </conditionalFormatting>
  <conditionalFormatting sqref="D104:E104">
    <cfRule type="expression" dxfId="27372" priority="5022">
      <formula>AND($A104&lt;&gt;"",MOD(ROW(),2))</formula>
    </cfRule>
  </conditionalFormatting>
  <conditionalFormatting sqref="D104">
    <cfRule type="cellIs" dxfId="27371" priority="5019" operator="equal">
      <formula>$C104</formula>
    </cfRule>
    <cfRule type="cellIs" dxfId="27370" priority="5020" operator="greaterThan">
      <formula>$C104</formula>
    </cfRule>
    <cfRule type="cellIs" dxfId="27369" priority="5021" operator="lessThan">
      <formula>$C104</formula>
    </cfRule>
  </conditionalFormatting>
  <conditionalFormatting sqref="D105:E105">
    <cfRule type="expression" dxfId="27368" priority="5018">
      <formula>AND($A105&lt;&gt;"",MOD(ROW(),2))</formula>
    </cfRule>
  </conditionalFormatting>
  <conditionalFormatting sqref="D105">
    <cfRule type="cellIs" dxfId="27367" priority="5015" operator="equal">
      <formula>$C105</formula>
    </cfRule>
    <cfRule type="cellIs" dxfId="27366" priority="5016" operator="greaterThan">
      <formula>$C105</formula>
    </cfRule>
    <cfRule type="cellIs" dxfId="27365" priority="5017" operator="lessThan">
      <formula>$C105</formula>
    </cfRule>
  </conditionalFormatting>
  <conditionalFormatting sqref="D106:E106">
    <cfRule type="expression" dxfId="27364" priority="5014">
      <formula>AND($A106&lt;&gt;"",MOD(ROW(),2))</formula>
    </cfRule>
  </conditionalFormatting>
  <conditionalFormatting sqref="D106">
    <cfRule type="cellIs" dxfId="27363" priority="5011" operator="equal">
      <formula>$C106</formula>
    </cfRule>
    <cfRule type="cellIs" dxfId="27362" priority="5012" operator="greaterThan">
      <formula>$C106</formula>
    </cfRule>
    <cfRule type="cellIs" dxfId="27361" priority="5013" operator="lessThan">
      <formula>$C106</formula>
    </cfRule>
  </conditionalFormatting>
  <conditionalFormatting sqref="D107:E107">
    <cfRule type="expression" dxfId="27360" priority="5010">
      <formula>AND($A107&lt;&gt;"",MOD(ROW(),2))</formula>
    </cfRule>
  </conditionalFormatting>
  <conditionalFormatting sqref="D107">
    <cfRule type="cellIs" dxfId="27359" priority="5007" operator="equal">
      <formula>$C107</formula>
    </cfRule>
    <cfRule type="cellIs" dxfId="27358" priority="5008" operator="greaterThan">
      <formula>$C107</formula>
    </cfRule>
    <cfRule type="cellIs" dxfId="27357" priority="5009" operator="lessThan">
      <formula>$C107</formula>
    </cfRule>
  </conditionalFormatting>
  <conditionalFormatting sqref="D108:E108">
    <cfRule type="expression" dxfId="27356" priority="5006">
      <formula>AND($A108&lt;&gt;"",MOD(ROW(),2))</formula>
    </cfRule>
  </conditionalFormatting>
  <conditionalFormatting sqref="D108">
    <cfRule type="cellIs" dxfId="27355" priority="5003" operator="equal">
      <formula>$C108</formula>
    </cfRule>
    <cfRule type="cellIs" dxfId="27354" priority="5004" operator="greaterThan">
      <formula>$C108</formula>
    </cfRule>
    <cfRule type="cellIs" dxfId="27353" priority="5005" operator="lessThan">
      <formula>$C108</formula>
    </cfRule>
  </conditionalFormatting>
  <conditionalFormatting sqref="D109:E109">
    <cfRule type="expression" dxfId="27352" priority="5002">
      <formula>AND($A109&lt;&gt;"",MOD(ROW(),2))</formula>
    </cfRule>
  </conditionalFormatting>
  <conditionalFormatting sqref="D109">
    <cfRule type="cellIs" dxfId="27351" priority="4999" operator="equal">
      <formula>$C109</formula>
    </cfRule>
    <cfRule type="cellIs" dxfId="27350" priority="5000" operator="greaterThan">
      <formula>$C109</formula>
    </cfRule>
    <cfRule type="cellIs" dxfId="27349" priority="5001" operator="lessThan">
      <formula>$C109</formula>
    </cfRule>
  </conditionalFormatting>
  <conditionalFormatting sqref="D110:E110">
    <cfRule type="expression" dxfId="27348" priority="4998">
      <formula>AND($A110&lt;&gt;"",MOD(ROW(),2))</formula>
    </cfRule>
  </conditionalFormatting>
  <conditionalFormatting sqref="D110">
    <cfRule type="cellIs" dxfId="27347" priority="4995" operator="equal">
      <formula>$C110</formula>
    </cfRule>
    <cfRule type="cellIs" dxfId="27346" priority="4996" operator="greaterThan">
      <formula>$C110</formula>
    </cfRule>
    <cfRule type="cellIs" dxfId="27345" priority="4997" operator="lessThan">
      <formula>$C110</formula>
    </cfRule>
  </conditionalFormatting>
  <conditionalFormatting sqref="D111:E111">
    <cfRule type="expression" dxfId="27344" priority="4994">
      <formula>AND($A111&lt;&gt;"",MOD(ROW(),2))</formula>
    </cfRule>
  </conditionalFormatting>
  <conditionalFormatting sqref="D111">
    <cfRule type="cellIs" dxfId="27343" priority="4991" operator="equal">
      <formula>$C111</formula>
    </cfRule>
    <cfRule type="cellIs" dxfId="27342" priority="4992" operator="greaterThan">
      <formula>$C111</formula>
    </cfRule>
    <cfRule type="cellIs" dxfId="27341" priority="4993" operator="lessThan">
      <formula>$C111</formula>
    </cfRule>
  </conditionalFormatting>
  <conditionalFormatting sqref="D112:E112">
    <cfRule type="expression" dxfId="27340" priority="4990">
      <formula>AND($A112&lt;&gt;"",MOD(ROW(),2))</formula>
    </cfRule>
  </conditionalFormatting>
  <conditionalFormatting sqref="D112">
    <cfRule type="cellIs" dxfId="27339" priority="4987" operator="equal">
      <formula>$C112</formula>
    </cfRule>
    <cfRule type="cellIs" dxfId="27338" priority="4988" operator="greaterThan">
      <formula>$C112</formula>
    </cfRule>
    <cfRule type="cellIs" dxfId="27337" priority="4989" operator="lessThan">
      <formula>$C112</formula>
    </cfRule>
  </conditionalFormatting>
  <conditionalFormatting sqref="D113:E113">
    <cfRule type="expression" dxfId="27336" priority="4986">
      <formula>AND($A113&lt;&gt;"",MOD(ROW(),2))</formula>
    </cfRule>
  </conditionalFormatting>
  <conditionalFormatting sqref="D113">
    <cfRule type="cellIs" dxfId="27335" priority="4983" operator="equal">
      <formula>$C113</formula>
    </cfRule>
    <cfRule type="cellIs" dxfId="27334" priority="4984" operator="greaterThan">
      <formula>$C113</formula>
    </cfRule>
    <cfRule type="cellIs" dxfId="27333" priority="4985" operator="lessThan">
      <formula>$C113</formula>
    </cfRule>
  </conditionalFormatting>
  <conditionalFormatting sqref="C93">
    <cfRule type="expression" dxfId="27332" priority="4982">
      <formula>AND($A93&lt;&gt;"",MOD(ROW(),2))</formula>
    </cfRule>
  </conditionalFormatting>
  <conditionalFormatting sqref="C93">
    <cfRule type="cellIs" dxfId="27331" priority="4979" operator="equal">
      <formula>$C93</formula>
    </cfRule>
    <cfRule type="cellIs" dxfId="27330" priority="4980" operator="greaterThan">
      <formula>$C93</formula>
    </cfRule>
    <cfRule type="cellIs" dxfId="27329" priority="4981" operator="lessThan">
      <formula>$C93</formula>
    </cfRule>
  </conditionalFormatting>
  <conditionalFormatting sqref="C94">
    <cfRule type="expression" dxfId="27328" priority="4978">
      <formula>AND($A94&lt;&gt;"",MOD(ROW(),2))</formula>
    </cfRule>
  </conditionalFormatting>
  <conditionalFormatting sqref="C94">
    <cfRule type="cellIs" dxfId="27327" priority="4975" operator="equal">
      <formula>$C94</formula>
    </cfRule>
    <cfRule type="cellIs" dxfId="27326" priority="4976" operator="greaterThan">
      <formula>$C94</formula>
    </cfRule>
    <cfRule type="cellIs" dxfId="27325" priority="4977" operator="lessThan">
      <formula>$C94</formula>
    </cfRule>
  </conditionalFormatting>
  <conditionalFormatting sqref="C95">
    <cfRule type="expression" dxfId="27324" priority="4974">
      <formula>AND($A95&lt;&gt;"",MOD(ROW(),2))</formula>
    </cfRule>
  </conditionalFormatting>
  <conditionalFormatting sqref="C95">
    <cfRule type="cellIs" dxfId="27323" priority="4971" operator="equal">
      <formula>$C95</formula>
    </cfRule>
    <cfRule type="cellIs" dxfId="27322" priority="4972" operator="greaterThan">
      <formula>$C95</formula>
    </cfRule>
    <cfRule type="cellIs" dxfId="27321" priority="4973" operator="lessThan">
      <formula>$C95</formula>
    </cfRule>
  </conditionalFormatting>
  <conditionalFormatting sqref="C96">
    <cfRule type="expression" dxfId="27320" priority="4970">
      <formula>AND($A96&lt;&gt;"",MOD(ROW(),2))</formula>
    </cfRule>
  </conditionalFormatting>
  <conditionalFormatting sqref="C96">
    <cfRule type="cellIs" dxfId="27319" priority="4967" operator="equal">
      <formula>$C96</formula>
    </cfRule>
    <cfRule type="cellIs" dxfId="27318" priority="4968" operator="greaterThan">
      <formula>$C96</formula>
    </cfRule>
    <cfRule type="cellIs" dxfId="27317" priority="4969" operator="lessThan">
      <formula>$C96</formula>
    </cfRule>
  </conditionalFormatting>
  <conditionalFormatting sqref="C97">
    <cfRule type="expression" dxfId="27316" priority="4966">
      <formula>AND($A97&lt;&gt;"",MOD(ROW(),2))</formula>
    </cfRule>
  </conditionalFormatting>
  <conditionalFormatting sqref="C97">
    <cfRule type="cellIs" dxfId="27315" priority="4963" operator="equal">
      <formula>$C97</formula>
    </cfRule>
    <cfRule type="cellIs" dxfId="27314" priority="4964" operator="greaterThan">
      <formula>$C97</formula>
    </cfRule>
    <cfRule type="cellIs" dxfId="27313" priority="4965" operator="lessThan">
      <formula>$C97</formula>
    </cfRule>
  </conditionalFormatting>
  <conditionalFormatting sqref="C98">
    <cfRule type="expression" dxfId="27312" priority="4962">
      <formula>AND($A98&lt;&gt;"",MOD(ROW(),2))</formula>
    </cfRule>
  </conditionalFormatting>
  <conditionalFormatting sqref="C98">
    <cfRule type="cellIs" dxfId="27311" priority="4959" operator="equal">
      <formula>$C98</formula>
    </cfRule>
    <cfRule type="cellIs" dxfId="27310" priority="4960" operator="greaterThan">
      <formula>$C98</formula>
    </cfRule>
    <cfRule type="cellIs" dxfId="27309" priority="4961" operator="lessThan">
      <formula>$C98</formula>
    </cfRule>
  </conditionalFormatting>
  <conditionalFormatting sqref="C99">
    <cfRule type="expression" dxfId="27308" priority="4958">
      <formula>AND($A99&lt;&gt;"",MOD(ROW(),2))</formula>
    </cfRule>
  </conditionalFormatting>
  <conditionalFormatting sqref="C99">
    <cfRule type="cellIs" dxfId="27307" priority="4955" operator="equal">
      <formula>$C99</formula>
    </cfRule>
    <cfRule type="cellIs" dxfId="27306" priority="4956" operator="greaterThan">
      <formula>$C99</formula>
    </cfRule>
    <cfRule type="cellIs" dxfId="27305" priority="4957" operator="lessThan">
      <formula>$C99</formula>
    </cfRule>
  </conditionalFormatting>
  <conditionalFormatting sqref="C100">
    <cfRule type="expression" dxfId="27304" priority="4954">
      <formula>AND($A100&lt;&gt;"",MOD(ROW(),2))</formula>
    </cfRule>
  </conditionalFormatting>
  <conditionalFormatting sqref="C100">
    <cfRule type="cellIs" dxfId="27303" priority="4951" operator="equal">
      <formula>$C100</formula>
    </cfRule>
    <cfRule type="cellIs" dxfId="27302" priority="4952" operator="greaterThan">
      <formula>$C100</formula>
    </cfRule>
    <cfRule type="cellIs" dxfId="27301" priority="4953" operator="lessThan">
      <formula>$C100</formula>
    </cfRule>
  </conditionalFormatting>
  <conditionalFormatting sqref="C101">
    <cfRule type="expression" dxfId="27300" priority="4950">
      <formula>AND($A101&lt;&gt;"",MOD(ROW(),2))</formula>
    </cfRule>
  </conditionalFormatting>
  <conditionalFormatting sqref="C101">
    <cfRule type="cellIs" dxfId="27299" priority="4947" operator="equal">
      <formula>$C101</formula>
    </cfRule>
    <cfRule type="cellIs" dxfId="27298" priority="4948" operator="greaterThan">
      <formula>$C101</formula>
    </cfRule>
    <cfRule type="cellIs" dxfId="27297" priority="4949" operator="lessThan">
      <formula>$C101</formula>
    </cfRule>
  </conditionalFormatting>
  <conditionalFormatting sqref="C102">
    <cfRule type="expression" dxfId="27296" priority="4946">
      <formula>AND($A102&lt;&gt;"",MOD(ROW(),2))</formula>
    </cfRule>
  </conditionalFormatting>
  <conditionalFormatting sqref="C102">
    <cfRule type="cellIs" dxfId="27295" priority="4943" operator="equal">
      <formula>$C102</formula>
    </cfRule>
    <cfRule type="cellIs" dxfId="27294" priority="4944" operator="greaterThan">
      <formula>$C102</formula>
    </cfRule>
    <cfRule type="cellIs" dxfId="27293" priority="4945" operator="lessThan">
      <formula>$C102</formula>
    </cfRule>
  </conditionalFormatting>
  <conditionalFormatting sqref="C103">
    <cfRule type="expression" dxfId="27292" priority="4942">
      <formula>AND($A103&lt;&gt;"",MOD(ROW(),2))</formula>
    </cfRule>
  </conditionalFormatting>
  <conditionalFormatting sqref="C103">
    <cfRule type="cellIs" dxfId="27291" priority="4939" operator="equal">
      <formula>$C103</formula>
    </cfRule>
    <cfRule type="cellIs" dxfId="27290" priority="4940" operator="greaterThan">
      <formula>$C103</formula>
    </cfRule>
    <cfRule type="cellIs" dxfId="27289" priority="4941" operator="lessThan">
      <formula>$C103</formula>
    </cfRule>
  </conditionalFormatting>
  <conditionalFormatting sqref="C104">
    <cfRule type="expression" dxfId="27288" priority="4938">
      <formula>AND($A104&lt;&gt;"",MOD(ROW(),2))</formula>
    </cfRule>
  </conditionalFormatting>
  <conditionalFormatting sqref="C104">
    <cfRule type="cellIs" dxfId="27287" priority="4935" operator="equal">
      <formula>$C104</formula>
    </cfRule>
    <cfRule type="cellIs" dxfId="27286" priority="4936" operator="greaterThan">
      <formula>$C104</formula>
    </cfRule>
    <cfRule type="cellIs" dxfId="27285" priority="4937" operator="lessThan">
      <formula>$C104</formula>
    </cfRule>
  </conditionalFormatting>
  <conditionalFormatting sqref="D93:E93">
    <cfRule type="expression" dxfId="27284" priority="4934">
      <formula>AND($A93&lt;&gt;"",MOD(ROW(),2))</formula>
    </cfRule>
  </conditionalFormatting>
  <conditionalFormatting sqref="D93">
    <cfRule type="cellIs" dxfId="27283" priority="4931" operator="equal">
      <formula>$C93</formula>
    </cfRule>
    <cfRule type="cellIs" dxfId="27282" priority="4932" operator="greaterThan">
      <formula>$C93</formula>
    </cfRule>
    <cfRule type="cellIs" dxfId="27281" priority="4933" operator="lessThan">
      <formula>$C93</formula>
    </cfRule>
  </conditionalFormatting>
  <conditionalFormatting sqref="D94:E94">
    <cfRule type="expression" dxfId="27280" priority="4930">
      <formula>AND($A94&lt;&gt;"",MOD(ROW(),2))</formula>
    </cfRule>
  </conditionalFormatting>
  <conditionalFormatting sqref="D94">
    <cfRule type="cellIs" dxfId="27279" priority="4927" operator="equal">
      <formula>$C94</formula>
    </cfRule>
    <cfRule type="cellIs" dxfId="27278" priority="4928" operator="greaterThan">
      <formula>$C94</formula>
    </cfRule>
    <cfRule type="cellIs" dxfId="27277" priority="4929" operator="lessThan">
      <formula>$C94</formula>
    </cfRule>
  </conditionalFormatting>
  <conditionalFormatting sqref="D95:E95">
    <cfRule type="expression" dxfId="27276" priority="4926">
      <formula>AND($A95&lt;&gt;"",MOD(ROW(),2))</formula>
    </cfRule>
  </conditionalFormatting>
  <conditionalFormatting sqref="D95">
    <cfRule type="cellIs" dxfId="27275" priority="4923" operator="equal">
      <formula>$C95</formula>
    </cfRule>
    <cfRule type="cellIs" dxfId="27274" priority="4924" operator="greaterThan">
      <formula>$C95</formula>
    </cfRule>
    <cfRule type="cellIs" dxfId="27273" priority="4925" operator="lessThan">
      <formula>$C95</formula>
    </cfRule>
  </conditionalFormatting>
  <conditionalFormatting sqref="D96:E96">
    <cfRule type="expression" dxfId="27272" priority="4922">
      <formula>AND($A96&lt;&gt;"",MOD(ROW(),2))</formula>
    </cfRule>
  </conditionalFormatting>
  <conditionalFormatting sqref="D96">
    <cfRule type="cellIs" dxfId="27271" priority="4919" operator="equal">
      <formula>$C96</formula>
    </cfRule>
    <cfRule type="cellIs" dxfId="27270" priority="4920" operator="greaterThan">
      <formula>$C96</formula>
    </cfRule>
    <cfRule type="cellIs" dxfId="27269" priority="4921" operator="lessThan">
      <formula>$C96</formula>
    </cfRule>
  </conditionalFormatting>
  <conditionalFormatting sqref="D97:E97">
    <cfRule type="expression" dxfId="27268" priority="4918">
      <formula>AND($A97&lt;&gt;"",MOD(ROW(),2))</formula>
    </cfRule>
  </conditionalFormatting>
  <conditionalFormatting sqref="D97">
    <cfRule type="cellIs" dxfId="27267" priority="4915" operator="equal">
      <formula>$C97</formula>
    </cfRule>
    <cfRule type="cellIs" dxfId="27266" priority="4916" operator="greaterThan">
      <formula>$C97</formula>
    </cfRule>
    <cfRule type="cellIs" dxfId="27265" priority="4917" operator="lessThan">
      <formula>$C97</formula>
    </cfRule>
  </conditionalFormatting>
  <conditionalFormatting sqref="D98:E98">
    <cfRule type="expression" dxfId="27264" priority="4914">
      <formula>AND($A98&lt;&gt;"",MOD(ROW(),2))</formula>
    </cfRule>
  </conditionalFormatting>
  <conditionalFormatting sqref="D98">
    <cfRule type="cellIs" dxfId="27263" priority="4911" operator="equal">
      <formula>$C98</formula>
    </cfRule>
    <cfRule type="cellIs" dxfId="27262" priority="4912" operator="greaterThan">
      <formula>$C98</formula>
    </cfRule>
    <cfRule type="cellIs" dxfId="27261" priority="4913" operator="lessThan">
      <formula>$C98</formula>
    </cfRule>
  </conditionalFormatting>
  <conditionalFormatting sqref="D99:E99">
    <cfRule type="expression" dxfId="27260" priority="4910">
      <formula>AND($A99&lt;&gt;"",MOD(ROW(),2))</formula>
    </cfRule>
  </conditionalFormatting>
  <conditionalFormatting sqref="D99">
    <cfRule type="cellIs" dxfId="27259" priority="4907" operator="equal">
      <formula>$C99</formula>
    </cfRule>
    <cfRule type="cellIs" dxfId="27258" priority="4908" operator="greaterThan">
      <formula>$C99</formula>
    </cfRule>
    <cfRule type="cellIs" dxfId="27257" priority="4909" operator="lessThan">
      <formula>$C99</formula>
    </cfRule>
  </conditionalFormatting>
  <conditionalFormatting sqref="D100:E100">
    <cfRule type="expression" dxfId="27256" priority="4906">
      <formula>AND($A100&lt;&gt;"",MOD(ROW(),2))</formula>
    </cfRule>
  </conditionalFormatting>
  <conditionalFormatting sqref="D100">
    <cfRule type="cellIs" dxfId="27255" priority="4903" operator="equal">
      <formula>$C100</formula>
    </cfRule>
    <cfRule type="cellIs" dxfId="27254" priority="4904" operator="greaterThan">
      <formula>$C100</formula>
    </cfRule>
    <cfRule type="cellIs" dxfId="27253" priority="4905" operator="lessThan">
      <formula>$C100</formula>
    </cfRule>
  </conditionalFormatting>
  <conditionalFormatting sqref="D101:E101">
    <cfRule type="expression" dxfId="27252" priority="4902">
      <formula>AND($A101&lt;&gt;"",MOD(ROW(),2))</formula>
    </cfRule>
  </conditionalFormatting>
  <conditionalFormatting sqref="D101">
    <cfRule type="cellIs" dxfId="27251" priority="4899" operator="equal">
      <formula>$C101</formula>
    </cfRule>
    <cfRule type="cellIs" dxfId="27250" priority="4900" operator="greaterThan">
      <formula>$C101</formula>
    </cfRule>
    <cfRule type="cellIs" dxfId="27249" priority="4901" operator="lessThan">
      <formula>$C101</formula>
    </cfRule>
  </conditionalFormatting>
  <conditionalFormatting sqref="D102:E102">
    <cfRule type="expression" dxfId="27248" priority="4898">
      <formula>AND($A102&lt;&gt;"",MOD(ROW(),2))</formula>
    </cfRule>
  </conditionalFormatting>
  <conditionalFormatting sqref="D102">
    <cfRule type="cellIs" dxfId="27247" priority="4895" operator="equal">
      <formula>$C102</formula>
    </cfRule>
    <cfRule type="cellIs" dxfId="27246" priority="4896" operator="greaterThan">
      <formula>$C102</formula>
    </cfRule>
    <cfRule type="cellIs" dxfId="27245" priority="4897" operator="lessThan">
      <formula>$C102</formula>
    </cfRule>
  </conditionalFormatting>
  <conditionalFormatting sqref="D103:E103">
    <cfRule type="expression" dxfId="27244" priority="4894">
      <formula>AND($A103&lt;&gt;"",MOD(ROW(),2))</formula>
    </cfRule>
  </conditionalFormatting>
  <conditionalFormatting sqref="D103">
    <cfRule type="cellIs" dxfId="27243" priority="4891" operator="equal">
      <formula>$C103</formula>
    </cfRule>
    <cfRule type="cellIs" dxfId="27242" priority="4892" operator="greaterThan">
      <formula>$C103</formula>
    </cfRule>
    <cfRule type="cellIs" dxfId="27241" priority="4893" operator="lessThan">
      <formula>$C103</formula>
    </cfRule>
  </conditionalFormatting>
  <conditionalFormatting sqref="D104:E104">
    <cfRule type="expression" dxfId="27240" priority="4890">
      <formula>AND($A104&lt;&gt;"",MOD(ROW(),2))</formula>
    </cfRule>
  </conditionalFormatting>
  <conditionalFormatting sqref="D104">
    <cfRule type="cellIs" dxfId="27239" priority="4887" operator="equal">
      <formula>$C104</formula>
    </cfRule>
    <cfRule type="cellIs" dxfId="27238" priority="4888" operator="greaterThan">
      <formula>$C104</formula>
    </cfRule>
    <cfRule type="cellIs" dxfId="27237" priority="4889" operator="lessThan">
      <formula>$C104</formula>
    </cfRule>
  </conditionalFormatting>
  <conditionalFormatting sqref="D105:E105">
    <cfRule type="expression" dxfId="27236" priority="4886">
      <formula>AND($A105&lt;&gt;"",MOD(ROW(),2))</formula>
    </cfRule>
  </conditionalFormatting>
  <conditionalFormatting sqref="D105">
    <cfRule type="cellIs" dxfId="27235" priority="4883" operator="equal">
      <formula>$C105</formula>
    </cfRule>
    <cfRule type="cellIs" dxfId="27234" priority="4884" operator="greaterThan">
      <formula>$C105</formula>
    </cfRule>
    <cfRule type="cellIs" dxfId="27233" priority="4885" operator="lessThan">
      <formula>$C105</formula>
    </cfRule>
  </conditionalFormatting>
  <conditionalFormatting sqref="D106:E106">
    <cfRule type="expression" dxfId="27232" priority="4882">
      <formula>AND($A106&lt;&gt;"",MOD(ROW(),2))</formula>
    </cfRule>
  </conditionalFormatting>
  <conditionalFormatting sqref="D106">
    <cfRule type="cellIs" dxfId="27231" priority="4879" operator="equal">
      <formula>$C106</formula>
    </cfRule>
    <cfRule type="cellIs" dxfId="27230" priority="4880" operator="greaterThan">
      <formula>$C106</formula>
    </cfRule>
    <cfRule type="cellIs" dxfId="27229" priority="4881" operator="lessThan">
      <formula>$C106</formula>
    </cfRule>
  </conditionalFormatting>
  <conditionalFormatting sqref="D107:E107">
    <cfRule type="expression" dxfId="27228" priority="4878">
      <formula>AND($A107&lt;&gt;"",MOD(ROW(),2))</formula>
    </cfRule>
  </conditionalFormatting>
  <conditionalFormatting sqref="D107">
    <cfRule type="cellIs" dxfId="27227" priority="4875" operator="equal">
      <formula>$C107</formula>
    </cfRule>
    <cfRule type="cellIs" dxfId="27226" priority="4876" operator="greaterThan">
      <formula>$C107</formula>
    </cfRule>
    <cfRule type="cellIs" dxfId="27225" priority="4877" operator="lessThan">
      <formula>$C107</formula>
    </cfRule>
  </conditionalFormatting>
  <conditionalFormatting sqref="D108:E108">
    <cfRule type="expression" dxfId="27224" priority="4874">
      <formula>AND($A108&lt;&gt;"",MOD(ROW(),2))</formula>
    </cfRule>
  </conditionalFormatting>
  <conditionalFormatting sqref="D108">
    <cfRule type="cellIs" dxfId="27223" priority="4871" operator="equal">
      <formula>$C108</formula>
    </cfRule>
    <cfRule type="cellIs" dxfId="27222" priority="4872" operator="greaterThan">
      <formula>$C108</formula>
    </cfRule>
    <cfRule type="cellIs" dxfId="27221" priority="4873" operator="lessThan">
      <formula>$C108</formula>
    </cfRule>
  </conditionalFormatting>
  <conditionalFormatting sqref="D109:E109">
    <cfRule type="expression" dxfId="27220" priority="4870">
      <formula>AND($A109&lt;&gt;"",MOD(ROW(),2))</formula>
    </cfRule>
  </conditionalFormatting>
  <conditionalFormatting sqref="D109">
    <cfRule type="cellIs" dxfId="27219" priority="4867" operator="equal">
      <formula>$C109</formula>
    </cfRule>
    <cfRule type="cellIs" dxfId="27218" priority="4868" operator="greaterThan">
      <formula>$C109</formula>
    </cfRule>
    <cfRule type="cellIs" dxfId="27217" priority="4869" operator="lessThan">
      <formula>$C109</formula>
    </cfRule>
  </conditionalFormatting>
  <conditionalFormatting sqref="D110:E110">
    <cfRule type="expression" dxfId="27216" priority="4866">
      <formula>AND($A110&lt;&gt;"",MOD(ROW(),2))</formula>
    </cfRule>
  </conditionalFormatting>
  <conditionalFormatting sqref="D110">
    <cfRule type="cellIs" dxfId="27215" priority="4863" operator="equal">
      <formula>$C110</formula>
    </cfRule>
    <cfRule type="cellIs" dxfId="27214" priority="4864" operator="greaterThan">
      <formula>$C110</formula>
    </cfRule>
    <cfRule type="cellIs" dxfId="27213" priority="4865" operator="lessThan">
      <formula>$C110</formula>
    </cfRule>
  </conditionalFormatting>
  <conditionalFormatting sqref="D111:E111">
    <cfRule type="expression" dxfId="27212" priority="4862">
      <formula>AND($A111&lt;&gt;"",MOD(ROW(),2))</formula>
    </cfRule>
  </conditionalFormatting>
  <conditionalFormatting sqref="D111">
    <cfRule type="cellIs" dxfId="27211" priority="4859" operator="equal">
      <formula>$C111</formula>
    </cfRule>
    <cfRule type="cellIs" dxfId="27210" priority="4860" operator="greaterThan">
      <formula>$C111</formula>
    </cfRule>
    <cfRule type="cellIs" dxfId="27209" priority="4861" operator="lessThan">
      <formula>$C111</formula>
    </cfRule>
  </conditionalFormatting>
  <conditionalFormatting sqref="D112:E112">
    <cfRule type="expression" dxfId="27208" priority="4858">
      <formula>AND($A112&lt;&gt;"",MOD(ROW(),2))</formula>
    </cfRule>
  </conditionalFormatting>
  <conditionalFormatting sqref="D112">
    <cfRule type="cellIs" dxfId="27207" priority="4855" operator="equal">
      <formula>$C112</formula>
    </cfRule>
    <cfRule type="cellIs" dxfId="27206" priority="4856" operator="greaterThan">
      <formula>$C112</formula>
    </cfRule>
    <cfRule type="cellIs" dxfId="27205" priority="4857" operator="lessThan">
      <formula>$C112</formula>
    </cfRule>
  </conditionalFormatting>
  <conditionalFormatting sqref="C92">
    <cfRule type="expression" dxfId="27204" priority="4854">
      <formula>AND($A92&lt;&gt;"",MOD(ROW(),2))</formula>
    </cfRule>
  </conditionalFormatting>
  <conditionalFormatting sqref="C92">
    <cfRule type="cellIs" dxfId="27203" priority="4851" operator="equal">
      <formula>$C92</formula>
    </cfRule>
    <cfRule type="cellIs" dxfId="27202" priority="4852" operator="greaterThan">
      <formula>$C92</formula>
    </cfRule>
    <cfRule type="cellIs" dxfId="27201" priority="4853" operator="lessThan">
      <formula>$C92</formula>
    </cfRule>
  </conditionalFormatting>
  <conditionalFormatting sqref="C93">
    <cfRule type="expression" dxfId="27200" priority="4850">
      <formula>AND($A93&lt;&gt;"",MOD(ROW(),2))</formula>
    </cfRule>
  </conditionalFormatting>
  <conditionalFormatting sqref="C93">
    <cfRule type="cellIs" dxfId="27199" priority="4847" operator="equal">
      <formula>$C93</formula>
    </cfRule>
    <cfRule type="cellIs" dxfId="27198" priority="4848" operator="greaterThan">
      <formula>$C93</formula>
    </cfRule>
    <cfRule type="cellIs" dxfId="27197" priority="4849" operator="lessThan">
      <formula>$C93</formula>
    </cfRule>
  </conditionalFormatting>
  <conditionalFormatting sqref="C94">
    <cfRule type="expression" dxfId="27196" priority="4846">
      <formula>AND($A94&lt;&gt;"",MOD(ROW(),2))</formula>
    </cfRule>
  </conditionalFormatting>
  <conditionalFormatting sqref="C94">
    <cfRule type="cellIs" dxfId="27195" priority="4843" operator="equal">
      <formula>$C94</formula>
    </cfRule>
    <cfRule type="cellIs" dxfId="27194" priority="4844" operator="greaterThan">
      <formula>$C94</formula>
    </cfRule>
    <cfRule type="cellIs" dxfId="27193" priority="4845" operator="lessThan">
      <formula>$C94</formula>
    </cfRule>
  </conditionalFormatting>
  <conditionalFormatting sqref="C95">
    <cfRule type="expression" dxfId="27192" priority="4842">
      <formula>AND($A95&lt;&gt;"",MOD(ROW(),2))</formula>
    </cfRule>
  </conditionalFormatting>
  <conditionalFormatting sqref="C95">
    <cfRule type="cellIs" dxfId="27191" priority="4839" operator="equal">
      <formula>$C95</formula>
    </cfRule>
    <cfRule type="cellIs" dxfId="27190" priority="4840" operator="greaterThan">
      <formula>$C95</formula>
    </cfRule>
    <cfRule type="cellIs" dxfId="27189" priority="4841" operator="lessThan">
      <formula>$C95</formula>
    </cfRule>
  </conditionalFormatting>
  <conditionalFormatting sqref="C96">
    <cfRule type="expression" dxfId="27188" priority="4838">
      <formula>AND($A96&lt;&gt;"",MOD(ROW(),2))</formula>
    </cfRule>
  </conditionalFormatting>
  <conditionalFormatting sqref="C96">
    <cfRule type="cellIs" dxfId="27187" priority="4835" operator="equal">
      <formula>$C96</formula>
    </cfRule>
    <cfRule type="cellIs" dxfId="27186" priority="4836" operator="greaterThan">
      <formula>$C96</formula>
    </cfRule>
    <cfRule type="cellIs" dxfId="27185" priority="4837" operator="lessThan">
      <formula>$C96</formula>
    </cfRule>
  </conditionalFormatting>
  <conditionalFormatting sqref="C97">
    <cfRule type="expression" dxfId="27184" priority="4834">
      <formula>AND($A97&lt;&gt;"",MOD(ROW(),2))</formula>
    </cfRule>
  </conditionalFormatting>
  <conditionalFormatting sqref="C97">
    <cfRule type="cellIs" dxfId="27183" priority="4831" operator="equal">
      <formula>$C97</formula>
    </cfRule>
    <cfRule type="cellIs" dxfId="27182" priority="4832" operator="greaterThan">
      <formula>$C97</formula>
    </cfRule>
    <cfRule type="cellIs" dxfId="27181" priority="4833" operator="lessThan">
      <formula>$C97</formula>
    </cfRule>
  </conditionalFormatting>
  <conditionalFormatting sqref="C98">
    <cfRule type="expression" dxfId="27180" priority="4830">
      <formula>AND($A98&lt;&gt;"",MOD(ROW(),2))</formula>
    </cfRule>
  </conditionalFormatting>
  <conditionalFormatting sqref="C98">
    <cfRule type="cellIs" dxfId="27179" priority="4827" operator="equal">
      <formula>$C98</formula>
    </cfRule>
    <cfRule type="cellIs" dxfId="27178" priority="4828" operator="greaterThan">
      <formula>$C98</formula>
    </cfRule>
    <cfRule type="cellIs" dxfId="27177" priority="4829" operator="lessThan">
      <formula>$C98</formula>
    </cfRule>
  </conditionalFormatting>
  <conditionalFormatting sqref="C99">
    <cfRule type="expression" dxfId="27176" priority="4826">
      <formula>AND($A99&lt;&gt;"",MOD(ROW(),2))</formula>
    </cfRule>
  </conditionalFormatting>
  <conditionalFormatting sqref="C99">
    <cfRule type="cellIs" dxfId="27175" priority="4823" operator="equal">
      <formula>$C99</formula>
    </cfRule>
    <cfRule type="cellIs" dxfId="27174" priority="4824" operator="greaterThan">
      <formula>$C99</formula>
    </cfRule>
    <cfRule type="cellIs" dxfId="27173" priority="4825" operator="lessThan">
      <formula>$C99</formula>
    </cfRule>
  </conditionalFormatting>
  <conditionalFormatting sqref="C100">
    <cfRule type="expression" dxfId="27172" priority="4822">
      <formula>AND($A100&lt;&gt;"",MOD(ROW(),2))</formula>
    </cfRule>
  </conditionalFormatting>
  <conditionalFormatting sqref="C100">
    <cfRule type="cellIs" dxfId="27171" priority="4819" operator="equal">
      <formula>$C100</formula>
    </cfRule>
    <cfRule type="cellIs" dxfId="27170" priority="4820" operator="greaterThan">
      <formula>$C100</formula>
    </cfRule>
    <cfRule type="cellIs" dxfId="27169" priority="4821" operator="lessThan">
      <formula>$C100</formula>
    </cfRule>
  </conditionalFormatting>
  <conditionalFormatting sqref="C101">
    <cfRule type="expression" dxfId="27168" priority="4818">
      <formula>AND($A101&lt;&gt;"",MOD(ROW(),2))</formula>
    </cfRule>
  </conditionalFormatting>
  <conditionalFormatting sqref="C101">
    <cfRule type="cellIs" dxfId="27167" priority="4815" operator="equal">
      <formula>$C101</formula>
    </cfRule>
    <cfRule type="cellIs" dxfId="27166" priority="4816" operator="greaterThan">
      <formula>$C101</formula>
    </cfRule>
    <cfRule type="cellIs" dxfId="27165" priority="4817" operator="lessThan">
      <formula>$C101</formula>
    </cfRule>
  </conditionalFormatting>
  <conditionalFormatting sqref="C102">
    <cfRule type="expression" dxfId="27164" priority="4814">
      <formula>AND($A102&lt;&gt;"",MOD(ROW(),2))</formula>
    </cfRule>
  </conditionalFormatting>
  <conditionalFormatting sqref="C102">
    <cfRule type="cellIs" dxfId="27163" priority="4811" operator="equal">
      <formula>$C102</formula>
    </cfRule>
    <cfRule type="cellIs" dxfId="27162" priority="4812" operator="greaterThan">
      <formula>$C102</formula>
    </cfRule>
    <cfRule type="cellIs" dxfId="27161" priority="4813" operator="lessThan">
      <formula>$C102</formula>
    </cfRule>
  </conditionalFormatting>
  <conditionalFormatting sqref="C103">
    <cfRule type="expression" dxfId="27160" priority="4810">
      <formula>AND($A103&lt;&gt;"",MOD(ROW(),2))</formula>
    </cfRule>
  </conditionalFormatting>
  <conditionalFormatting sqref="C103">
    <cfRule type="cellIs" dxfId="27159" priority="4807" operator="equal">
      <formula>$C103</formula>
    </cfRule>
    <cfRule type="cellIs" dxfId="27158" priority="4808" operator="greaterThan">
      <formula>$C103</formula>
    </cfRule>
    <cfRule type="cellIs" dxfId="27157" priority="4809" operator="lessThan">
      <formula>$C103</formula>
    </cfRule>
  </conditionalFormatting>
  <conditionalFormatting sqref="D92:E92">
    <cfRule type="expression" dxfId="27156" priority="4806">
      <formula>AND($A92&lt;&gt;"",MOD(ROW(),2))</formula>
    </cfRule>
  </conditionalFormatting>
  <conditionalFormatting sqref="D92">
    <cfRule type="cellIs" dxfId="27155" priority="4803" operator="equal">
      <formula>$C92</formula>
    </cfRule>
    <cfRule type="cellIs" dxfId="27154" priority="4804" operator="greaterThan">
      <formula>$C92</formula>
    </cfRule>
    <cfRule type="cellIs" dxfId="27153" priority="4805" operator="lessThan">
      <formula>$C92</formula>
    </cfRule>
  </conditionalFormatting>
  <conditionalFormatting sqref="D93:E93">
    <cfRule type="expression" dxfId="27152" priority="4802">
      <formula>AND($A93&lt;&gt;"",MOD(ROW(),2))</formula>
    </cfRule>
  </conditionalFormatting>
  <conditionalFormatting sqref="D93">
    <cfRule type="cellIs" dxfId="27151" priority="4799" operator="equal">
      <formula>$C93</formula>
    </cfRule>
    <cfRule type="cellIs" dxfId="27150" priority="4800" operator="greaterThan">
      <formula>$C93</formula>
    </cfRule>
    <cfRule type="cellIs" dxfId="27149" priority="4801" operator="lessThan">
      <formula>$C93</formula>
    </cfRule>
  </conditionalFormatting>
  <conditionalFormatting sqref="D94:E94">
    <cfRule type="expression" dxfId="27148" priority="4798">
      <formula>AND($A94&lt;&gt;"",MOD(ROW(),2))</formula>
    </cfRule>
  </conditionalFormatting>
  <conditionalFormatting sqref="D94">
    <cfRule type="cellIs" dxfId="27147" priority="4795" operator="equal">
      <formula>$C94</formula>
    </cfRule>
    <cfRule type="cellIs" dxfId="27146" priority="4796" operator="greaterThan">
      <formula>$C94</formula>
    </cfRule>
    <cfRule type="cellIs" dxfId="27145" priority="4797" operator="lessThan">
      <formula>$C94</formula>
    </cfRule>
  </conditionalFormatting>
  <conditionalFormatting sqref="D95:E95">
    <cfRule type="expression" dxfId="27144" priority="4794">
      <formula>AND($A95&lt;&gt;"",MOD(ROW(),2))</formula>
    </cfRule>
  </conditionalFormatting>
  <conditionalFormatting sqref="D95">
    <cfRule type="cellIs" dxfId="27143" priority="4791" operator="equal">
      <formula>$C95</formula>
    </cfRule>
    <cfRule type="cellIs" dxfId="27142" priority="4792" operator="greaterThan">
      <formula>$C95</formula>
    </cfRule>
    <cfRule type="cellIs" dxfId="27141" priority="4793" operator="lessThan">
      <formula>$C95</formula>
    </cfRule>
  </conditionalFormatting>
  <conditionalFormatting sqref="D96:E96">
    <cfRule type="expression" dxfId="27140" priority="4790">
      <formula>AND($A96&lt;&gt;"",MOD(ROW(),2))</formula>
    </cfRule>
  </conditionalFormatting>
  <conditionalFormatting sqref="D96">
    <cfRule type="cellIs" dxfId="27139" priority="4787" operator="equal">
      <formula>$C96</formula>
    </cfRule>
    <cfRule type="cellIs" dxfId="27138" priority="4788" operator="greaterThan">
      <formula>$C96</formula>
    </cfRule>
    <cfRule type="cellIs" dxfId="27137" priority="4789" operator="lessThan">
      <formula>$C96</formula>
    </cfRule>
  </conditionalFormatting>
  <conditionalFormatting sqref="D97:E97">
    <cfRule type="expression" dxfId="27136" priority="4786">
      <formula>AND($A97&lt;&gt;"",MOD(ROW(),2))</formula>
    </cfRule>
  </conditionalFormatting>
  <conditionalFormatting sqref="D97">
    <cfRule type="cellIs" dxfId="27135" priority="4783" operator="equal">
      <formula>$C97</formula>
    </cfRule>
    <cfRule type="cellIs" dxfId="27134" priority="4784" operator="greaterThan">
      <formula>$C97</formula>
    </cfRule>
    <cfRule type="cellIs" dxfId="27133" priority="4785" operator="lessThan">
      <formula>$C97</formula>
    </cfRule>
  </conditionalFormatting>
  <conditionalFormatting sqref="D98:E98">
    <cfRule type="expression" dxfId="27132" priority="4782">
      <formula>AND($A98&lt;&gt;"",MOD(ROW(),2))</formula>
    </cfRule>
  </conditionalFormatting>
  <conditionalFormatting sqref="D98">
    <cfRule type="cellIs" dxfId="27131" priority="4779" operator="equal">
      <formula>$C98</formula>
    </cfRule>
    <cfRule type="cellIs" dxfId="27130" priority="4780" operator="greaterThan">
      <formula>$C98</formula>
    </cfRule>
    <cfRule type="cellIs" dxfId="27129" priority="4781" operator="lessThan">
      <formula>$C98</formula>
    </cfRule>
  </conditionalFormatting>
  <conditionalFormatting sqref="D99:E99">
    <cfRule type="expression" dxfId="27128" priority="4778">
      <formula>AND($A99&lt;&gt;"",MOD(ROW(),2))</formula>
    </cfRule>
  </conditionalFormatting>
  <conditionalFormatting sqref="D99">
    <cfRule type="cellIs" dxfId="27127" priority="4775" operator="equal">
      <formula>$C99</formula>
    </cfRule>
    <cfRule type="cellIs" dxfId="27126" priority="4776" operator="greaterThan">
      <formula>$C99</formula>
    </cfRule>
    <cfRule type="cellIs" dxfId="27125" priority="4777" operator="lessThan">
      <formula>$C99</formula>
    </cfRule>
  </conditionalFormatting>
  <conditionalFormatting sqref="D100:E100">
    <cfRule type="expression" dxfId="27124" priority="4774">
      <formula>AND($A100&lt;&gt;"",MOD(ROW(),2))</formula>
    </cfRule>
  </conditionalFormatting>
  <conditionalFormatting sqref="D100">
    <cfRule type="cellIs" dxfId="27123" priority="4771" operator="equal">
      <formula>$C100</formula>
    </cfRule>
    <cfRule type="cellIs" dxfId="27122" priority="4772" operator="greaterThan">
      <formula>$C100</formula>
    </cfRule>
    <cfRule type="cellIs" dxfId="27121" priority="4773" operator="lessThan">
      <formula>$C100</formula>
    </cfRule>
  </conditionalFormatting>
  <conditionalFormatting sqref="D101:E101">
    <cfRule type="expression" dxfId="27120" priority="4770">
      <formula>AND($A101&lt;&gt;"",MOD(ROW(),2))</formula>
    </cfRule>
  </conditionalFormatting>
  <conditionalFormatting sqref="D101">
    <cfRule type="cellIs" dxfId="27119" priority="4767" operator="equal">
      <formula>$C101</formula>
    </cfRule>
    <cfRule type="cellIs" dxfId="27118" priority="4768" operator="greaterThan">
      <formula>$C101</formula>
    </cfRule>
    <cfRule type="cellIs" dxfId="27117" priority="4769" operator="lessThan">
      <formula>$C101</formula>
    </cfRule>
  </conditionalFormatting>
  <conditionalFormatting sqref="D102:E102">
    <cfRule type="expression" dxfId="27116" priority="4766">
      <formula>AND($A102&lt;&gt;"",MOD(ROW(),2))</formula>
    </cfRule>
  </conditionalFormatting>
  <conditionalFormatting sqref="D102">
    <cfRule type="cellIs" dxfId="27115" priority="4763" operator="equal">
      <formula>$C102</formula>
    </cfRule>
    <cfRule type="cellIs" dxfId="27114" priority="4764" operator="greaterThan">
      <formula>$C102</formula>
    </cfRule>
    <cfRule type="cellIs" dxfId="27113" priority="4765" operator="lessThan">
      <formula>$C102</formula>
    </cfRule>
  </conditionalFormatting>
  <conditionalFormatting sqref="D103:E103">
    <cfRule type="expression" dxfId="27112" priority="4762">
      <formula>AND($A103&lt;&gt;"",MOD(ROW(),2))</formula>
    </cfRule>
  </conditionalFormatting>
  <conditionalFormatting sqref="D103">
    <cfRule type="cellIs" dxfId="27111" priority="4759" operator="equal">
      <formula>$C103</formula>
    </cfRule>
    <cfRule type="cellIs" dxfId="27110" priority="4760" operator="greaterThan">
      <formula>$C103</formula>
    </cfRule>
    <cfRule type="cellIs" dxfId="27109" priority="4761" operator="lessThan">
      <formula>$C103</formula>
    </cfRule>
  </conditionalFormatting>
  <conditionalFormatting sqref="D104:E104">
    <cfRule type="expression" dxfId="27108" priority="4758">
      <formula>AND($A104&lt;&gt;"",MOD(ROW(),2))</formula>
    </cfRule>
  </conditionalFormatting>
  <conditionalFormatting sqref="D104">
    <cfRule type="cellIs" dxfId="27107" priority="4755" operator="equal">
      <formula>$C104</formula>
    </cfRule>
    <cfRule type="cellIs" dxfId="27106" priority="4756" operator="greaterThan">
      <formula>$C104</formula>
    </cfRule>
    <cfRule type="cellIs" dxfId="27105" priority="4757" operator="lessThan">
      <formula>$C104</formula>
    </cfRule>
  </conditionalFormatting>
  <conditionalFormatting sqref="D105:E105">
    <cfRule type="expression" dxfId="27104" priority="4754">
      <formula>AND($A105&lt;&gt;"",MOD(ROW(),2))</formula>
    </cfRule>
  </conditionalFormatting>
  <conditionalFormatting sqref="D105">
    <cfRule type="cellIs" dxfId="27103" priority="4751" operator="equal">
      <formula>$C105</formula>
    </cfRule>
    <cfRule type="cellIs" dxfId="27102" priority="4752" operator="greaterThan">
      <formula>$C105</formula>
    </cfRule>
    <cfRule type="cellIs" dxfId="27101" priority="4753" operator="lessThan">
      <formula>$C105</formula>
    </cfRule>
  </conditionalFormatting>
  <conditionalFormatting sqref="D106:E106">
    <cfRule type="expression" dxfId="27100" priority="4750">
      <formula>AND($A106&lt;&gt;"",MOD(ROW(),2))</formula>
    </cfRule>
  </conditionalFormatting>
  <conditionalFormatting sqref="D106">
    <cfRule type="cellIs" dxfId="27099" priority="4747" operator="equal">
      <formula>$C106</formula>
    </cfRule>
    <cfRule type="cellIs" dxfId="27098" priority="4748" operator="greaterThan">
      <formula>$C106</formula>
    </cfRule>
    <cfRule type="cellIs" dxfId="27097" priority="4749" operator="lessThan">
      <formula>$C106</formula>
    </cfRule>
  </conditionalFormatting>
  <conditionalFormatting sqref="D107:E107">
    <cfRule type="expression" dxfId="27096" priority="4746">
      <formula>AND($A107&lt;&gt;"",MOD(ROW(),2))</formula>
    </cfRule>
  </conditionalFormatting>
  <conditionalFormatting sqref="D107">
    <cfRule type="cellIs" dxfId="27095" priority="4743" operator="equal">
      <formula>$C107</formula>
    </cfRule>
    <cfRule type="cellIs" dxfId="27094" priority="4744" operator="greaterThan">
      <formula>$C107</formula>
    </cfRule>
    <cfRule type="cellIs" dxfId="27093" priority="4745" operator="lessThan">
      <formula>$C107</formula>
    </cfRule>
  </conditionalFormatting>
  <conditionalFormatting sqref="D108:E108">
    <cfRule type="expression" dxfId="27092" priority="4742">
      <formula>AND($A108&lt;&gt;"",MOD(ROW(),2))</formula>
    </cfRule>
  </conditionalFormatting>
  <conditionalFormatting sqref="D108">
    <cfRule type="cellIs" dxfId="27091" priority="4739" operator="equal">
      <formula>$C108</formula>
    </cfRule>
    <cfRule type="cellIs" dxfId="27090" priority="4740" operator="greaterThan">
      <formula>$C108</formula>
    </cfRule>
    <cfRule type="cellIs" dxfId="27089" priority="4741" operator="lessThan">
      <formula>$C108</formula>
    </cfRule>
  </conditionalFormatting>
  <conditionalFormatting sqref="D109:E109">
    <cfRule type="expression" dxfId="27088" priority="4738">
      <formula>AND($A109&lt;&gt;"",MOD(ROW(),2))</formula>
    </cfRule>
  </conditionalFormatting>
  <conditionalFormatting sqref="D109">
    <cfRule type="cellIs" dxfId="27087" priority="4735" operator="equal">
      <formula>$C109</formula>
    </cfRule>
    <cfRule type="cellIs" dxfId="27086" priority="4736" operator="greaterThan">
      <formula>$C109</formula>
    </cfRule>
    <cfRule type="cellIs" dxfId="27085" priority="4737" operator="lessThan">
      <formula>$C109</formula>
    </cfRule>
  </conditionalFormatting>
  <conditionalFormatting sqref="D110:E110">
    <cfRule type="expression" dxfId="27084" priority="4734">
      <formula>AND($A110&lt;&gt;"",MOD(ROW(),2))</formula>
    </cfRule>
  </conditionalFormatting>
  <conditionalFormatting sqref="D110">
    <cfRule type="cellIs" dxfId="27083" priority="4731" operator="equal">
      <formula>$C110</formula>
    </cfRule>
    <cfRule type="cellIs" dxfId="27082" priority="4732" operator="greaterThan">
      <formula>$C110</formula>
    </cfRule>
    <cfRule type="cellIs" dxfId="27081" priority="4733" operator="lessThan">
      <formula>$C110</formula>
    </cfRule>
  </conditionalFormatting>
  <conditionalFormatting sqref="D111:E111">
    <cfRule type="expression" dxfId="27080" priority="4730">
      <formula>AND($A111&lt;&gt;"",MOD(ROW(),2))</formula>
    </cfRule>
  </conditionalFormatting>
  <conditionalFormatting sqref="D111">
    <cfRule type="cellIs" dxfId="27079" priority="4727" operator="equal">
      <formula>$C111</formula>
    </cfRule>
    <cfRule type="cellIs" dxfId="27078" priority="4728" operator="greaterThan">
      <formula>$C111</formula>
    </cfRule>
    <cfRule type="cellIs" dxfId="27077" priority="4729" operator="lessThan">
      <formula>$C111</formula>
    </cfRule>
  </conditionalFormatting>
  <conditionalFormatting sqref="D112:E112">
    <cfRule type="expression" dxfId="27076" priority="4726">
      <formula>AND($A112&lt;&gt;"",MOD(ROW(),2))</formula>
    </cfRule>
  </conditionalFormatting>
  <conditionalFormatting sqref="D112">
    <cfRule type="cellIs" dxfId="27075" priority="4723" operator="equal">
      <formula>$C112</formula>
    </cfRule>
    <cfRule type="cellIs" dxfId="27074" priority="4724" operator="greaterThan">
      <formula>$C112</formula>
    </cfRule>
    <cfRule type="cellIs" dxfId="27073" priority="4725" operator="lessThan">
      <formula>$C112</formula>
    </cfRule>
  </conditionalFormatting>
  <conditionalFormatting sqref="D113:E113">
    <cfRule type="expression" dxfId="27072" priority="4722">
      <formula>AND($A113&lt;&gt;"",MOD(ROW(),2))</formula>
    </cfRule>
  </conditionalFormatting>
  <conditionalFormatting sqref="D113">
    <cfRule type="cellIs" dxfId="27071" priority="4719" operator="equal">
      <formula>$C113</formula>
    </cfRule>
    <cfRule type="cellIs" dxfId="27070" priority="4720" operator="greaterThan">
      <formula>$C113</formula>
    </cfRule>
    <cfRule type="cellIs" dxfId="27069" priority="4721" operator="lessThan">
      <formula>$C113</formula>
    </cfRule>
  </conditionalFormatting>
  <conditionalFormatting sqref="D114:E114">
    <cfRule type="expression" dxfId="27068" priority="4718">
      <formula>AND($A114&lt;&gt;"",MOD(ROW(),2))</formula>
    </cfRule>
  </conditionalFormatting>
  <conditionalFormatting sqref="D114">
    <cfRule type="cellIs" dxfId="27067" priority="4715" operator="equal">
      <formula>$C114</formula>
    </cfRule>
    <cfRule type="cellIs" dxfId="27066" priority="4716" operator="greaterThan">
      <formula>$C114</formula>
    </cfRule>
    <cfRule type="cellIs" dxfId="27065" priority="4717" operator="lessThan">
      <formula>$C114</formula>
    </cfRule>
  </conditionalFormatting>
  <conditionalFormatting sqref="C93">
    <cfRule type="expression" dxfId="27064" priority="4714">
      <formula>AND($A93&lt;&gt;"",MOD(ROW(),2))</formula>
    </cfRule>
  </conditionalFormatting>
  <conditionalFormatting sqref="C93">
    <cfRule type="cellIs" dxfId="27063" priority="4711" operator="equal">
      <formula>$C93</formula>
    </cfRule>
    <cfRule type="cellIs" dxfId="27062" priority="4712" operator="greaterThan">
      <formula>$C93</formula>
    </cfRule>
    <cfRule type="cellIs" dxfId="27061" priority="4713" operator="lessThan">
      <formula>$C93</formula>
    </cfRule>
  </conditionalFormatting>
  <conditionalFormatting sqref="C94">
    <cfRule type="expression" dxfId="27060" priority="4710">
      <formula>AND($A94&lt;&gt;"",MOD(ROW(),2))</formula>
    </cfRule>
  </conditionalFormatting>
  <conditionalFormatting sqref="C94">
    <cfRule type="cellIs" dxfId="27059" priority="4707" operator="equal">
      <formula>$C94</formula>
    </cfRule>
    <cfRule type="cellIs" dxfId="27058" priority="4708" operator="greaterThan">
      <formula>$C94</formula>
    </cfRule>
    <cfRule type="cellIs" dxfId="27057" priority="4709" operator="lessThan">
      <formula>$C94</formula>
    </cfRule>
  </conditionalFormatting>
  <conditionalFormatting sqref="C95">
    <cfRule type="expression" dxfId="27056" priority="4706">
      <formula>AND($A95&lt;&gt;"",MOD(ROW(),2))</formula>
    </cfRule>
  </conditionalFormatting>
  <conditionalFormatting sqref="C95">
    <cfRule type="cellIs" dxfId="27055" priority="4703" operator="equal">
      <formula>$C95</formula>
    </cfRule>
    <cfRule type="cellIs" dxfId="27054" priority="4704" operator="greaterThan">
      <formula>$C95</formula>
    </cfRule>
    <cfRule type="cellIs" dxfId="27053" priority="4705" operator="lessThan">
      <formula>$C95</formula>
    </cfRule>
  </conditionalFormatting>
  <conditionalFormatting sqref="C96">
    <cfRule type="expression" dxfId="27052" priority="4702">
      <formula>AND($A96&lt;&gt;"",MOD(ROW(),2))</formula>
    </cfRule>
  </conditionalFormatting>
  <conditionalFormatting sqref="C96">
    <cfRule type="cellIs" dxfId="27051" priority="4699" operator="equal">
      <formula>$C96</formula>
    </cfRule>
    <cfRule type="cellIs" dxfId="27050" priority="4700" operator="greaterThan">
      <formula>$C96</formula>
    </cfRule>
    <cfRule type="cellIs" dxfId="27049" priority="4701" operator="lessThan">
      <formula>$C96</formula>
    </cfRule>
  </conditionalFormatting>
  <conditionalFormatting sqref="C97">
    <cfRule type="expression" dxfId="27048" priority="4698">
      <formula>AND($A97&lt;&gt;"",MOD(ROW(),2))</formula>
    </cfRule>
  </conditionalFormatting>
  <conditionalFormatting sqref="C97">
    <cfRule type="cellIs" dxfId="27047" priority="4695" operator="equal">
      <formula>$C97</formula>
    </cfRule>
    <cfRule type="cellIs" dxfId="27046" priority="4696" operator="greaterThan">
      <formula>$C97</formula>
    </cfRule>
    <cfRule type="cellIs" dxfId="27045" priority="4697" operator="lessThan">
      <formula>$C97</formula>
    </cfRule>
  </conditionalFormatting>
  <conditionalFormatting sqref="C98">
    <cfRule type="expression" dxfId="27044" priority="4694">
      <formula>AND($A98&lt;&gt;"",MOD(ROW(),2))</formula>
    </cfRule>
  </conditionalFormatting>
  <conditionalFormatting sqref="C98">
    <cfRule type="cellIs" dxfId="27043" priority="4691" operator="equal">
      <formula>$C98</formula>
    </cfRule>
    <cfRule type="cellIs" dxfId="27042" priority="4692" operator="greaterThan">
      <formula>$C98</formula>
    </cfRule>
    <cfRule type="cellIs" dxfId="27041" priority="4693" operator="lessThan">
      <formula>$C98</formula>
    </cfRule>
  </conditionalFormatting>
  <conditionalFormatting sqref="C99">
    <cfRule type="expression" dxfId="27040" priority="4690">
      <formula>AND($A99&lt;&gt;"",MOD(ROW(),2))</formula>
    </cfRule>
  </conditionalFormatting>
  <conditionalFormatting sqref="C99">
    <cfRule type="cellIs" dxfId="27039" priority="4687" operator="equal">
      <formula>$C99</formula>
    </cfRule>
    <cfRule type="cellIs" dxfId="27038" priority="4688" operator="greaterThan">
      <formula>$C99</formula>
    </cfRule>
    <cfRule type="cellIs" dxfId="27037" priority="4689" operator="lessThan">
      <formula>$C99</formula>
    </cfRule>
  </conditionalFormatting>
  <conditionalFormatting sqref="C100">
    <cfRule type="expression" dxfId="27036" priority="4686">
      <formula>AND($A100&lt;&gt;"",MOD(ROW(),2))</formula>
    </cfRule>
  </conditionalFormatting>
  <conditionalFormatting sqref="C100">
    <cfRule type="cellIs" dxfId="27035" priority="4683" operator="equal">
      <formula>$C100</formula>
    </cfRule>
    <cfRule type="cellIs" dxfId="27034" priority="4684" operator="greaterThan">
      <formula>$C100</formula>
    </cfRule>
    <cfRule type="cellIs" dxfId="27033" priority="4685" operator="lessThan">
      <formula>$C100</formula>
    </cfRule>
  </conditionalFormatting>
  <conditionalFormatting sqref="C101">
    <cfRule type="expression" dxfId="27032" priority="4682">
      <formula>AND($A101&lt;&gt;"",MOD(ROW(),2))</formula>
    </cfRule>
  </conditionalFormatting>
  <conditionalFormatting sqref="C101">
    <cfRule type="cellIs" dxfId="27031" priority="4679" operator="equal">
      <formula>$C101</formula>
    </cfRule>
    <cfRule type="cellIs" dxfId="27030" priority="4680" operator="greaterThan">
      <formula>$C101</formula>
    </cfRule>
    <cfRule type="cellIs" dxfId="27029" priority="4681" operator="lessThan">
      <formula>$C101</formula>
    </cfRule>
  </conditionalFormatting>
  <conditionalFormatting sqref="C102">
    <cfRule type="expression" dxfId="27028" priority="4678">
      <formula>AND($A102&lt;&gt;"",MOD(ROW(),2))</formula>
    </cfRule>
  </conditionalFormatting>
  <conditionalFormatting sqref="C102">
    <cfRule type="cellIs" dxfId="27027" priority="4675" operator="equal">
      <formula>$C102</formula>
    </cfRule>
    <cfRule type="cellIs" dxfId="27026" priority="4676" operator="greaterThan">
      <formula>$C102</formula>
    </cfRule>
    <cfRule type="cellIs" dxfId="27025" priority="4677" operator="lessThan">
      <formula>$C102</formula>
    </cfRule>
  </conditionalFormatting>
  <conditionalFormatting sqref="C103">
    <cfRule type="expression" dxfId="27024" priority="4674">
      <formula>AND($A103&lt;&gt;"",MOD(ROW(),2))</formula>
    </cfRule>
  </conditionalFormatting>
  <conditionalFormatting sqref="C103">
    <cfRule type="cellIs" dxfId="27023" priority="4671" operator="equal">
      <formula>$C103</formula>
    </cfRule>
    <cfRule type="cellIs" dxfId="27022" priority="4672" operator="greaterThan">
      <formula>$C103</formula>
    </cfRule>
    <cfRule type="cellIs" dxfId="27021" priority="4673" operator="lessThan">
      <formula>$C103</formula>
    </cfRule>
  </conditionalFormatting>
  <conditionalFormatting sqref="C104">
    <cfRule type="expression" dxfId="27020" priority="4670">
      <formula>AND($A104&lt;&gt;"",MOD(ROW(),2))</formula>
    </cfRule>
  </conditionalFormatting>
  <conditionalFormatting sqref="C104">
    <cfRule type="cellIs" dxfId="27019" priority="4667" operator="equal">
      <formula>$C104</formula>
    </cfRule>
    <cfRule type="cellIs" dxfId="27018" priority="4668" operator="greaterThan">
      <formula>$C104</formula>
    </cfRule>
    <cfRule type="cellIs" dxfId="27017" priority="4669" operator="lessThan">
      <formula>$C104</formula>
    </cfRule>
  </conditionalFormatting>
  <conditionalFormatting sqref="D93:E93">
    <cfRule type="expression" dxfId="27016" priority="4666">
      <formula>AND($A93&lt;&gt;"",MOD(ROW(),2))</formula>
    </cfRule>
  </conditionalFormatting>
  <conditionalFormatting sqref="D93">
    <cfRule type="cellIs" dxfId="27015" priority="4663" operator="equal">
      <formula>$C93</formula>
    </cfRule>
    <cfRule type="cellIs" dxfId="27014" priority="4664" operator="greaterThan">
      <formula>$C93</formula>
    </cfRule>
    <cfRule type="cellIs" dxfId="27013" priority="4665" operator="lessThan">
      <formula>$C93</formula>
    </cfRule>
  </conditionalFormatting>
  <conditionalFormatting sqref="D94:E94">
    <cfRule type="expression" dxfId="27012" priority="4662">
      <formula>AND($A94&lt;&gt;"",MOD(ROW(),2))</formula>
    </cfRule>
  </conditionalFormatting>
  <conditionalFormatting sqref="D94">
    <cfRule type="cellIs" dxfId="27011" priority="4659" operator="equal">
      <formula>$C94</formula>
    </cfRule>
    <cfRule type="cellIs" dxfId="27010" priority="4660" operator="greaterThan">
      <formula>$C94</formula>
    </cfRule>
    <cfRule type="cellIs" dxfId="27009" priority="4661" operator="lessThan">
      <formula>$C94</formula>
    </cfRule>
  </conditionalFormatting>
  <conditionalFormatting sqref="D95:E95">
    <cfRule type="expression" dxfId="27008" priority="4658">
      <formula>AND($A95&lt;&gt;"",MOD(ROW(),2))</formula>
    </cfRule>
  </conditionalFormatting>
  <conditionalFormatting sqref="D95">
    <cfRule type="cellIs" dxfId="27007" priority="4655" operator="equal">
      <formula>$C95</formula>
    </cfRule>
    <cfRule type="cellIs" dxfId="27006" priority="4656" operator="greaterThan">
      <formula>$C95</formula>
    </cfRule>
    <cfRule type="cellIs" dxfId="27005" priority="4657" operator="lessThan">
      <formula>$C95</formula>
    </cfRule>
  </conditionalFormatting>
  <conditionalFormatting sqref="D96:E96">
    <cfRule type="expression" dxfId="27004" priority="4654">
      <formula>AND($A96&lt;&gt;"",MOD(ROW(),2))</formula>
    </cfRule>
  </conditionalFormatting>
  <conditionalFormatting sqref="D96">
    <cfRule type="cellIs" dxfId="27003" priority="4651" operator="equal">
      <formula>$C96</formula>
    </cfRule>
    <cfRule type="cellIs" dxfId="27002" priority="4652" operator="greaterThan">
      <formula>$C96</formula>
    </cfRule>
    <cfRule type="cellIs" dxfId="27001" priority="4653" operator="lessThan">
      <formula>$C96</formula>
    </cfRule>
  </conditionalFormatting>
  <conditionalFormatting sqref="D97:E97">
    <cfRule type="expression" dxfId="27000" priority="4650">
      <formula>AND($A97&lt;&gt;"",MOD(ROW(),2))</formula>
    </cfRule>
  </conditionalFormatting>
  <conditionalFormatting sqref="D97">
    <cfRule type="cellIs" dxfId="26999" priority="4647" operator="equal">
      <formula>$C97</formula>
    </cfRule>
    <cfRule type="cellIs" dxfId="26998" priority="4648" operator="greaterThan">
      <formula>$C97</formula>
    </cfRule>
    <cfRule type="cellIs" dxfId="26997" priority="4649" operator="lessThan">
      <formula>$C97</formula>
    </cfRule>
  </conditionalFormatting>
  <conditionalFormatting sqref="D98:E98">
    <cfRule type="expression" dxfId="26996" priority="4646">
      <formula>AND($A98&lt;&gt;"",MOD(ROW(),2))</formula>
    </cfRule>
  </conditionalFormatting>
  <conditionalFormatting sqref="D98">
    <cfRule type="cellIs" dxfId="26995" priority="4643" operator="equal">
      <formula>$C98</formula>
    </cfRule>
    <cfRule type="cellIs" dxfId="26994" priority="4644" operator="greaterThan">
      <formula>$C98</formula>
    </cfRule>
    <cfRule type="cellIs" dxfId="26993" priority="4645" operator="lessThan">
      <formula>$C98</formula>
    </cfRule>
  </conditionalFormatting>
  <conditionalFormatting sqref="D99:E99">
    <cfRule type="expression" dxfId="26992" priority="4642">
      <formula>AND($A99&lt;&gt;"",MOD(ROW(),2))</formula>
    </cfRule>
  </conditionalFormatting>
  <conditionalFormatting sqref="D99">
    <cfRule type="cellIs" dxfId="26991" priority="4639" operator="equal">
      <formula>$C99</formula>
    </cfRule>
    <cfRule type="cellIs" dxfId="26990" priority="4640" operator="greaterThan">
      <formula>$C99</formula>
    </cfRule>
    <cfRule type="cellIs" dxfId="26989" priority="4641" operator="lessThan">
      <formula>$C99</formula>
    </cfRule>
  </conditionalFormatting>
  <conditionalFormatting sqref="D100:E100">
    <cfRule type="expression" dxfId="26988" priority="4638">
      <formula>AND($A100&lt;&gt;"",MOD(ROW(),2))</formula>
    </cfRule>
  </conditionalFormatting>
  <conditionalFormatting sqref="D100">
    <cfRule type="cellIs" dxfId="26987" priority="4635" operator="equal">
      <formula>$C100</formula>
    </cfRule>
    <cfRule type="cellIs" dxfId="26986" priority="4636" operator="greaterThan">
      <formula>$C100</formula>
    </cfRule>
    <cfRule type="cellIs" dxfId="26985" priority="4637" operator="lessThan">
      <formula>$C100</formula>
    </cfRule>
  </conditionalFormatting>
  <conditionalFormatting sqref="D101:E101">
    <cfRule type="expression" dxfId="26984" priority="4634">
      <formula>AND($A101&lt;&gt;"",MOD(ROW(),2))</formula>
    </cfRule>
  </conditionalFormatting>
  <conditionalFormatting sqref="D101">
    <cfRule type="cellIs" dxfId="26983" priority="4631" operator="equal">
      <formula>$C101</formula>
    </cfRule>
    <cfRule type="cellIs" dxfId="26982" priority="4632" operator="greaterThan">
      <formula>$C101</formula>
    </cfRule>
    <cfRule type="cellIs" dxfId="26981" priority="4633" operator="lessThan">
      <formula>$C101</formula>
    </cfRule>
  </conditionalFormatting>
  <conditionalFormatting sqref="D102:E102">
    <cfRule type="expression" dxfId="26980" priority="4630">
      <formula>AND($A102&lt;&gt;"",MOD(ROW(),2))</formula>
    </cfRule>
  </conditionalFormatting>
  <conditionalFormatting sqref="D102">
    <cfRule type="cellIs" dxfId="26979" priority="4627" operator="equal">
      <formula>$C102</formula>
    </cfRule>
    <cfRule type="cellIs" dxfId="26978" priority="4628" operator="greaterThan">
      <formula>$C102</formula>
    </cfRule>
    <cfRule type="cellIs" dxfId="26977" priority="4629" operator="lessThan">
      <formula>$C102</formula>
    </cfRule>
  </conditionalFormatting>
  <conditionalFormatting sqref="D103:E103">
    <cfRule type="expression" dxfId="26976" priority="4626">
      <formula>AND($A103&lt;&gt;"",MOD(ROW(),2))</formula>
    </cfRule>
  </conditionalFormatting>
  <conditionalFormatting sqref="D103">
    <cfRule type="cellIs" dxfId="26975" priority="4623" operator="equal">
      <formula>$C103</formula>
    </cfRule>
    <cfRule type="cellIs" dxfId="26974" priority="4624" operator="greaterThan">
      <formula>$C103</formula>
    </cfRule>
    <cfRule type="cellIs" dxfId="26973" priority="4625" operator="lessThan">
      <formula>$C103</formula>
    </cfRule>
  </conditionalFormatting>
  <conditionalFormatting sqref="D104:E104">
    <cfRule type="expression" dxfId="26972" priority="4622">
      <formula>AND($A104&lt;&gt;"",MOD(ROW(),2))</formula>
    </cfRule>
  </conditionalFormatting>
  <conditionalFormatting sqref="D104">
    <cfRule type="cellIs" dxfId="26971" priority="4619" operator="equal">
      <formula>$C104</formula>
    </cfRule>
    <cfRule type="cellIs" dxfId="26970" priority="4620" operator="greaterThan">
      <formula>$C104</formula>
    </cfRule>
    <cfRule type="cellIs" dxfId="26969" priority="4621" operator="lessThan">
      <formula>$C104</formula>
    </cfRule>
  </conditionalFormatting>
  <conditionalFormatting sqref="D105:E105">
    <cfRule type="expression" dxfId="26968" priority="4618">
      <formula>AND($A105&lt;&gt;"",MOD(ROW(),2))</formula>
    </cfRule>
  </conditionalFormatting>
  <conditionalFormatting sqref="D105">
    <cfRule type="cellIs" dxfId="26967" priority="4615" operator="equal">
      <formula>$C105</formula>
    </cfRule>
    <cfRule type="cellIs" dxfId="26966" priority="4616" operator="greaterThan">
      <formula>$C105</formula>
    </cfRule>
    <cfRule type="cellIs" dxfId="26965" priority="4617" operator="lessThan">
      <formula>$C105</formula>
    </cfRule>
  </conditionalFormatting>
  <conditionalFormatting sqref="D106:E106">
    <cfRule type="expression" dxfId="26964" priority="4614">
      <formula>AND($A106&lt;&gt;"",MOD(ROW(),2))</formula>
    </cfRule>
  </conditionalFormatting>
  <conditionalFormatting sqref="D106">
    <cfRule type="cellIs" dxfId="26963" priority="4611" operator="equal">
      <formula>$C106</formula>
    </cfRule>
    <cfRule type="cellIs" dxfId="26962" priority="4612" operator="greaterThan">
      <formula>$C106</formula>
    </cfRule>
    <cfRule type="cellIs" dxfId="26961" priority="4613" operator="lessThan">
      <formula>$C106</formula>
    </cfRule>
  </conditionalFormatting>
  <conditionalFormatting sqref="D107:E107">
    <cfRule type="expression" dxfId="26960" priority="4610">
      <formula>AND($A107&lt;&gt;"",MOD(ROW(),2))</formula>
    </cfRule>
  </conditionalFormatting>
  <conditionalFormatting sqref="D107">
    <cfRule type="cellIs" dxfId="26959" priority="4607" operator="equal">
      <formula>$C107</formula>
    </cfRule>
    <cfRule type="cellIs" dxfId="26958" priority="4608" operator="greaterThan">
      <formula>$C107</formula>
    </cfRule>
    <cfRule type="cellIs" dxfId="26957" priority="4609" operator="lessThan">
      <formula>$C107</formula>
    </cfRule>
  </conditionalFormatting>
  <conditionalFormatting sqref="D108:E108">
    <cfRule type="expression" dxfId="26956" priority="4606">
      <formula>AND($A108&lt;&gt;"",MOD(ROW(),2))</formula>
    </cfRule>
  </conditionalFormatting>
  <conditionalFormatting sqref="D108">
    <cfRule type="cellIs" dxfId="26955" priority="4603" operator="equal">
      <formula>$C108</formula>
    </cfRule>
    <cfRule type="cellIs" dxfId="26954" priority="4604" operator="greaterThan">
      <formula>$C108</formula>
    </cfRule>
    <cfRule type="cellIs" dxfId="26953" priority="4605" operator="lessThan">
      <formula>$C108</formula>
    </cfRule>
  </conditionalFormatting>
  <conditionalFormatting sqref="D109:E109">
    <cfRule type="expression" dxfId="26952" priority="4602">
      <formula>AND($A109&lt;&gt;"",MOD(ROW(),2))</formula>
    </cfRule>
  </conditionalFormatting>
  <conditionalFormatting sqref="D109">
    <cfRule type="cellIs" dxfId="26951" priority="4599" operator="equal">
      <formula>$C109</formula>
    </cfRule>
    <cfRule type="cellIs" dxfId="26950" priority="4600" operator="greaterThan">
      <formula>$C109</formula>
    </cfRule>
    <cfRule type="cellIs" dxfId="26949" priority="4601" operator="lessThan">
      <formula>$C109</formula>
    </cfRule>
  </conditionalFormatting>
  <conditionalFormatting sqref="D110:E110">
    <cfRule type="expression" dxfId="26948" priority="4598">
      <formula>AND($A110&lt;&gt;"",MOD(ROW(),2))</formula>
    </cfRule>
  </conditionalFormatting>
  <conditionalFormatting sqref="D110">
    <cfRule type="cellIs" dxfId="26947" priority="4595" operator="equal">
      <formula>$C110</formula>
    </cfRule>
    <cfRule type="cellIs" dxfId="26946" priority="4596" operator="greaterThan">
      <formula>$C110</formula>
    </cfRule>
    <cfRule type="cellIs" dxfId="26945" priority="4597" operator="lessThan">
      <formula>$C110</formula>
    </cfRule>
  </conditionalFormatting>
  <conditionalFormatting sqref="D111:E111">
    <cfRule type="expression" dxfId="26944" priority="4594">
      <formula>AND($A111&lt;&gt;"",MOD(ROW(),2))</formula>
    </cfRule>
  </conditionalFormatting>
  <conditionalFormatting sqref="D111">
    <cfRule type="cellIs" dxfId="26943" priority="4591" operator="equal">
      <formula>$C111</formula>
    </cfRule>
    <cfRule type="cellIs" dxfId="26942" priority="4592" operator="greaterThan">
      <formula>$C111</formula>
    </cfRule>
    <cfRule type="cellIs" dxfId="26941" priority="4593" operator="lessThan">
      <formula>$C111</formula>
    </cfRule>
  </conditionalFormatting>
  <conditionalFormatting sqref="D112:E112">
    <cfRule type="expression" dxfId="26940" priority="4590">
      <formula>AND($A112&lt;&gt;"",MOD(ROW(),2))</formula>
    </cfRule>
  </conditionalFormatting>
  <conditionalFormatting sqref="D112">
    <cfRule type="cellIs" dxfId="26939" priority="4587" operator="equal">
      <formula>$C112</formula>
    </cfRule>
    <cfRule type="cellIs" dxfId="26938" priority="4588" operator="greaterThan">
      <formula>$C112</formula>
    </cfRule>
    <cfRule type="cellIs" dxfId="26937" priority="4589" operator="lessThan">
      <formula>$C112</formula>
    </cfRule>
  </conditionalFormatting>
  <conditionalFormatting sqref="C93">
    <cfRule type="expression" dxfId="26936" priority="4586">
      <formula>AND($A93&lt;&gt;"",MOD(ROW(),2))</formula>
    </cfRule>
  </conditionalFormatting>
  <conditionalFormatting sqref="C93">
    <cfRule type="cellIs" dxfId="26935" priority="4583" operator="equal">
      <formula>$C93</formula>
    </cfRule>
    <cfRule type="cellIs" dxfId="26934" priority="4584" operator="greaterThan">
      <formula>$C93</formula>
    </cfRule>
    <cfRule type="cellIs" dxfId="26933" priority="4585" operator="lessThan">
      <formula>$C93</formula>
    </cfRule>
  </conditionalFormatting>
  <conditionalFormatting sqref="C94">
    <cfRule type="expression" dxfId="26932" priority="4582">
      <formula>AND($A94&lt;&gt;"",MOD(ROW(),2))</formula>
    </cfRule>
  </conditionalFormatting>
  <conditionalFormatting sqref="C94">
    <cfRule type="cellIs" dxfId="26931" priority="4579" operator="equal">
      <formula>$C94</formula>
    </cfRule>
    <cfRule type="cellIs" dxfId="26930" priority="4580" operator="greaterThan">
      <formula>$C94</formula>
    </cfRule>
    <cfRule type="cellIs" dxfId="26929" priority="4581" operator="lessThan">
      <formula>$C94</formula>
    </cfRule>
  </conditionalFormatting>
  <conditionalFormatting sqref="C95">
    <cfRule type="expression" dxfId="26928" priority="4578">
      <formula>AND($A95&lt;&gt;"",MOD(ROW(),2))</formula>
    </cfRule>
  </conditionalFormatting>
  <conditionalFormatting sqref="C95">
    <cfRule type="cellIs" dxfId="26927" priority="4575" operator="equal">
      <formula>$C95</formula>
    </cfRule>
    <cfRule type="cellIs" dxfId="26926" priority="4576" operator="greaterThan">
      <formula>$C95</formula>
    </cfRule>
    <cfRule type="cellIs" dxfId="26925" priority="4577" operator="lessThan">
      <formula>$C95</formula>
    </cfRule>
  </conditionalFormatting>
  <conditionalFormatting sqref="C96">
    <cfRule type="expression" dxfId="26924" priority="4574">
      <formula>AND($A96&lt;&gt;"",MOD(ROW(),2))</formula>
    </cfRule>
  </conditionalFormatting>
  <conditionalFormatting sqref="C96">
    <cfRule type="cellIs" dxfId="26923" priority="4571" operator="equal">
      <formula>$C96</formula>
    </cfRule>
    <cfRule type="cellIs" dxfId="26922" priority="4572" operator="greaterThan">
      <formula>$C96</formula>
    </cfRule>
    <cfRule type="cellIs" dxfId="26921" priority="4573" operator="lessThan">
      <formula>$C96</formula>
    </cfRule>
  </conditionalFormatting>
  <conditionalFormatting sqref="C97">
    <cfRule type="expression" dxfId="26920" priority="4570">
      <formula>AND($A97&lt;&gt;"",MOD(ROW(),2))</formula>
    </cfRule>
  </conditionalFormatting>
  <conditionalFormatting sqref="C97">
    <cfRule type="cellIs" dxfId="26919" priority="4567" operator="equal">
      <formula>$C97</formula>
    </cfRule>
    <cfRule type="cellIs" dxfId="26918" priority="4568" operator="greaterThan">
      <formula>$C97</formula>
    </cfRule>
    <cfRule type="cellIs" dxfId="26917" priority="4569" operator="lessThan">
      <formula>$C97</formula>
    </cfRule>
  </conditionalFormatting>
  <conditionalFormatting sqref="C98">
    <cfRule type="expression" dxfId="26916" priority="4566">
      <formula>AND($A98&lt;&gt;"",MOD(ROW(),2))</formula>
    </cfRule>
  </conditionalFormatting>
  <conditionalFormatting sqref="C98">
    <cfRule type="cellIs" dxfId="26915" priority="4563" operator="equal">
      <formula>$C98</formula>
    </cfRule>
    <cfRule type="cellIs" dxfId="26914" priority="4564" operator="greaterThan">
      <formula>$C98</formula>
    </cfRule>
    <cfRule type="cellIs" dxfId="26913" priority="4565" operator="lessThan">
      <formula>$C98</formula>
    </cfRule>
  </conditionalFormatting>
  <conditionalFormatting sqref="C99">
    <cfRule type="expression" dxfId="26912" priority="4562">
      <formula>AND($A99&lt;&gt;"",MOD(ROW(),2))</formula>
    </cfRule>
  </conditionalFormatting>
  <conditionalFormatting sqref="C99">
    <cfRule type="cellIs" dxfId="26911" priority="4559" operator="equal">
      <formula>$C99</formula>
    </cfRule>
    <cfRule type="cellIs" dxfId="26910" priority="4560" operator="greaterThan">
      <formula>$C99</formula>
    </cfRule>
    <cfRule type="cellIs" dxfId="26909" priority="4561" operator="lessThan">
      <formula>$C99</formula>
    </cfRule>
  </conditionalFormatting>
  <conditionalFormatting sqref="C100">
    <cfRule type="expression" dxfId="26908" priority="4558">
      <formula>AND($A100&lt;&gt;"",MOD(ROW(),2))</formula>
    </cfRule>
  </conditionalFormatting>
  <conditionalFormatting sqref="C100">
    <cfRule type="cellIs" dxfId="26907" priority="4555" operator="equal">
      <formula>$C100</formula>
    </cfRule>
    <cfRule type="cellIs" dxfId="26906" priority="4556" operator="greaterThan">
      <formula>$C100</formula>
    </cfRule>
    <cfRule type="cellIs" dxfId="26905" priority="4557" operator="lessThan">
      <formula>$C100</formula>
    </cfRule>
  </conditionalFormatting>
  <conditionalFormatting sqref="C101">
    <cfRule type="expression" dxfId="26904" priority="4554">
      <formula>AND($A101&lt;&gt;"",MOD(ROW(),2))</formula>
    </cfRule>
  </conditionalFormatting>
  <conditionalFormatting sqref="C101">
    <cfRule type="cellIs" dxfId="26903" priority="4551" operator="equal">
      <formula>$C101</formula>
    </cfRule>
    <cfRule type="cellIs" dxfId="26902" priority="4552" operator="greaterThan">
      <formula>$C101</formula>
    </cfRule>
    <cfRule type="cellIs" dxfId="26901" priority="4553" operator="lessThan">
      <formula>$C101</formula>
    </cfRule>
  </conditionalFormatting>
  <conditionalFormatting sqref="C102">
    <cfRule type="expression" dxfId="26900" priority="4550">
      <formula>AND($A102&lt;&gt;"",MOD(ROW(),2))</formula>
    </cfRule>
  </conditionalFormatting>
  <conditionalFormatting sqref="C102">
    <cfRule type="cellIs" dxfId="26899" priority="4547" operator="equal">
      <formula>$C102</formula>
    </cfRule>
    <cfRule type="cellIs" dxfId="26898" priority="4548" operator="greaterThan">
      <formula>$C102</formula>
    </cfRule>
    <cfRule type="cellIs" dxfId="26897" priority="4549" operator="lessThan">
      <formula>$C102</formula>
    </cfRule>
  </conditionalFormatting>
  <conditionalFormatting sqref="C103">
    <cfRule type="expression" dxfId="26896" priority="4546">
      <formula>AND($A103&lt;&gt;"",MOD(ROW(),2))</formula>
    </cfRule>
  </conditionalFormatting>
  <conditionalFormatting sqref="C103">
    <cfRule type="cellIs" dxfId="26895" priority="4543" operator="equal">
      <formula>$C103</formula>
    </cfRule>
    <cfRule type="cellIs" dxfId="26894" priority="4544" operator="greaterThan">
      <formula>$C103</formula>
    </cfRule>
    <cfRule type="cellIs" dxfId="26893" priority="4545" operator="lessThan">
      <formula>$C103</formula>
    </cfRule>
  </conditionalFormatting>
  <conditionalFormatting sqref="C104">
    <cfRule type="expression" dxfId="26892" priority="4542">
      <formula>AND($A104&lt;&gt;"",MOD(ROW(),2))</formula>
    </cfRule>
  </conditionalFormatting>
  <conditionalFormatting sqref="C104">
    <cfRule type="cellIs" dxfId="26891" priority="4539" operator="equal">
      <formula>$C104</formula>
    </cfRule>
    <cfRule type="cellIs" dxfId="26890" priority="4540" operator="greaterThan">
      <formula>$C104</formula>
    </cfRule>
    <cfRule type="cellIs" dxfId="26889" priority="4541" operator="lessThan">
      <formula>$C104</formula>
    </cfRule>
  </conditionalFormatting>
  <conditionalFormatting sqref="D93:E93">
    <cfRule type="expression" dxfId="26888" priority="4538">
      <formula>AND($A93&lt;&gt;"",MOD(ROW(),2))</formula>
    </cfRule>
  </conditionalFormatting>
  <conditionalFormatting sqref="D93">
    <cfRule type="cellIs" dxfId="26887" priority="4535" operator="equal">
      <formula>$C93</formula>
    </cfRule>
    <cfRule type="cellIs" dxfId="26886" priority="4536" operator="greaterThan">
      <formula>$C93</formula>
    </cfRule>
    <cfRule type="cellIs" dxfId="26885" priority="4537" operator="lessThan">
      <formula>$C93</formula>
    </cfRule>
  </conditionalFormatting>
  <conditionalFormatting sqref="D94:E94">
    <cfRule type="expression" dxfId="26884" priority="4534">
      <formula>AND($A94&lt;&gt;"",MOD(ROW(),2))</formula>
    </cfRule>
  </conditionalFormatting>
  <conditionalFormatting sqref="D94">
    <cfRule type="cellIs" dxfId="26883" priority="4531" operator="equal">
      <formula>$C94</formula>
    </cfRule>
    <cfRule type="cellIs" dxfId="26882" priority="4532" operator="greaterThan">
      <formula>$C94</formula>
    </cfRule>
    <cfRule type="cellIs" dxfId="26881" priority="4533" operator="lessThan">
      <formula>$C94</formula>
    </cfRule>
  </conditionalFormatting>
  <conditionalFormatting sqref="D95:E95">
    <cfRule type="expression" dxfId="26880" priority="4530">
      <formula>AND($A95&lt;&gt;"",MOD(ROW(),2))</formula>
    </cfRule>
  </conditionalFormatting>
  <conditionalFormatting sqref="D95">
    <cfRule type="cellIs" dxfId="26879" priority="4527" operator="equal">
      <formula>$C95</formula>
    </cfRule>
    <cfRule type="cellIs" dxfId="26878" priority="4528" operator="greaterThan">
      <formula>$C95</formula>
    </cfRule>
    <cfRule type="cellIs" dxfId="26877" priority="4529" operator="lessThan">
      <formula>$C95</formula>
    </cfRule>
  </conditionalFormatting>
  <conditionalFormatting sqref="D96:E96">
    <cfRule type="expression" dxfId="26876" priority="4526">
      <formula>AND($A96&lt;&gt;"",MOD(ROW(),2))</formula>
    </cfRule>
  </conditionalFormatting>
  <conditionalFormatting sqref="D96">
    <cfRule type="cellIs" dxfId="26875" priority="4523" operator="equal">
      <formula>$C96</formula>
    </cfRule>
    <cfRule type="cellIs" dxfId="26874" priority="4524" operator="greaterThan">
      <formula>$C96</formula>
    </cfRule>
    <cfRule type="cellIs" dxfId="26873" priority="4525" operator="lessThan">
      <formula>$C96</formula>
    </cfRule>
  </conditionalFormatting>
  <conditionalFormatting sqref="D97:E97">
    <cfRule type="expression" dxfId="26872" priority="4522">
      <formula>AND($A97&lt;&gt;"",MOD(ROW(),2))</formula>
    </cfRule>
  </conditionalFormatting>
  <conditionalFormatting sqref="D97">
    <cfRule type="cellIs" dxfId="26871" priority="4519" operator="equal">
      <formula>$C97</formula>
    </cfRule>
    <cfRule type="cellIs" dxfId="26870" priority="4520" operator="greaterThan">
      <formula>$C97</formula>
    </cfRule>
    <cfRule type="cellIs" dxfId="26869" priority="4521" operator="lessThan">
      <formula>$C97</formula>
    </cfRule>
  </conditionalFormatting>
  <conditionalFormatting sqref="D98:E98">
    <cfRule type="expression" dxfId="26868" priority="4518">
      <formula>AND($A98&lt;&gt;"",MOD(ROW(),2))</formula>
    </cfRule>
  </conditionalFormatting>
  <conditionalFormatting sqref="D98">
    <cfRule type="cellIs" dxfId="26867" priority="4515" operator="equal">
      <formula>$C98</formula>
    </cfRule>
    <cfRule type="cellIs" dxfId="26866" priority="4516" operator="greaterThan">
      <formula>$C98</formula>
    </cfRule>
    <cfRule type="cellIs" dxfId="26865" priority="4517" operator="lessThan">
      <formula>$C98</formula>
    </cfRule>
  </conditionalFormatting>
  <conditionalFormatting sqref="D99:E99">
    <cfRule type="expression" dxfId="26864" priority="4514">
      <formula>AND($A99&lt;&gt;"",MOD(ROW(),2))</formula>
    </cfRule>
  </conditionalFormatting>
  <conditionalFormatting sqref="D99">
    <cfRule type="cellIs" dxfId="26863" priority="4511" operator="equal">
      <formula>$C99</formula>
    </cfRule>
    <cfRule type="cellIs" dxfId="26862" priority="4512" operator="greaterThan">
      <formula>$C99</formula>
    </cfRule>
    <cfRule type="cellIs" dxfId="26861" priority="4513" operator="lessThan">
      <formula>$C99</formula>
    </cfRule>
  </conditionalFormatting>
  <conditionalFormatting sqref="D100:E100">
    <cfRule type="expression" dxfId="26860" priority="4510">
      <formula>AND($A100&lt;&gt;"",MOD(ROW(),2))</formula>
    </cfRule>
  </conditionalFormatting>
  <conditionalFormatting sqref="D100">
    <cfRule type="cellIs" dxfId="26859" priority="4507" operator="equal">
      <formula>$C100</formula>
    </cfRule>
    <cfRule type="cellIs" dxfId="26858" priority="4508" operator="greaterThan">
      <formula>$C100</formula>
    </cfRule>
    <cfRule type="cellIs" dxfId="26857" priority="4509" operator="lessThan">
      <formula>$C100</formula>
    </cfRule>
  </conditionalFormatting>
  <conditionalFormatting sqref="D101:E101">
    <cfRule type="expression" dxfId="26856" priority="4506">
      <formula>AND($A101&lt;&gt;"",MOD(ROW(),2))</formula>
    </cfRule>
  </conditionalFormatting>
  <conditionalFormatting sqref="D101">
    <cfRule type="cellIs" dxfId="26855" priority="4503" operator="equal">
      <formula>$C101</formula>
    </cfRule>
    <cfRule type="cellIs" dxfId="26854" priority="4504" operator="greaterThan">
      <formula>$C101</formula>
    </cfRule>
    <cfRule type="cellIs" dxfId="26853" priority="4505" operator="lessThan">
      <formula>$C101</formula>
    </cfRule>
  </conditionalFormatting>
  <conditionalFormatting sqref="D102:E102">
    <cfRule type="expression" dxfId="26852" priority="4502">
      <formula>AND($A102&lt;&gt;"",MOD(ROW(),2))</formula>
    </cfRule>
  </conditionalFormatting>
  <conditionalFormatting sqref="D102">
    <cfRule type="cellIs" dxfId="26851" priority="4499" operator="equal">
      <formula>$C102</formula>
    </cfRule>
    <cfRule type="cellIs" dxfId="26850" priority="4500" operator="greaterThan">
      <formula>$C102</formula>
    </cfRule>
    <cfRule type="cellIs" dxfId="26849" priority="4501" operator="lessThan">
      <formula>$C102</formula>
    </cfRule>
  </conditionalFormatting>
  <conditionalFormatting sqref="D103:E103">
    <cfRule type="expression" dxfId="26848" priority="4498">
      <formula>AND($A103&lt;&gt;"",MOD(ROW(),2))</formula>
    </cfRule>
  </conditionalFormatting>
  <conditionalFormatting sqref="D103">
    <cfRule type="cellIs" dxfId="26847" priority="4495" operator="equal">
      <formula>$C103</formula>
    </cfRule>
    <cfRule type="cellIs" dxfId="26846" priority="4496" operator="greaterThan">
      <formula>$C103</formula>
    </cfRule>
    <cfRule type="cellIs" dxfId="26845" priority="4497" operator="lessThan">
      <formula>$C103</formula>
    </cfRule>
  </conditionalFormatting>
  <conditionalFormatting sqref="D104:E104">
    <cfRule type="expression" dxfId="26844" priority="4494">
      <formula>AND($A104&lt;&gt;"",MOD(ROW(),2))</formula>
    </cfRule>
  </conditionalFormatting>
  <conditionalFormatting sqref="D104">
    <cfRule type="cellIs" dxfId="26843" priority="4491" operator="equal">
      <formula>$C104</formula>
    </cfRule>
    <cfRule type="cellIs" dxfId="26842" priority="4492" operator="greaterThan">
      <formula>$C104</formula>
    </cfRule>
    <cfRule type="cellIs" dxfId="26841" priority="4493" operator="lessThan">
      <formula>$C104</formula>
    </cfRule>
  </conditionalFormatting>
  <conditionalFormatting sqref="D105:E105">
    <cfRule type="expression" dxfId="26840" priority="4490">
      <formula>AND($A105&lt;&gt;"",MOD(ROW(),2))</formula>
    </cfRule>
  </conditionalFormatting>
  <conditionalFormatting sqref="D105">
    <cfRule type="cellIs" dxfId="26839" priority="4487" operator="equal">
      <formula>$C105</formula>
    </cfRule>
    <cfRule type="cellIs" dxfId="26838" priority="4488" operator="greaterThan">
      <formula>$C105</formula>
    </cfRule>
    <cfRule type="cellIs" dxfId="26837" priority="4489" operator="lessThan">
      <formula>$C105</formula>
    </cfRule>
  </conditionalFormatting>
  <conditionalFormatting sqref="D106:E106">
    <cfRule type="expression" dxfId="26836" priority="4486">
      <formula>AND($A106&lt;&gt;"",MOD(ROW(),2))</formula>
    </cfRule>
  </conditionalFormatting>
  <conditionalFormatting sqref="D106">
    <cfRule type="cellIs" dxfId="26835" priority="4483" operator="equal">
      <formula>$C106</formula>
    </cfRule>
    <cfRule type="cellIs" dxfId="26834" priority="4484" operator="greaterThan">
      <formula>$C106</formula>
    </cfRule>
    <cfRule type="cellIs" dxfId="26833" priority="4485" operator="lessThan">
      <formula>$C106</formula>
    </cfRule>
  </conditionalFormatting>
  <conditionalFormatting sqref="D107:E107">
    <cfRule type="expression" dxfId="26832" priority="4482">
      <formula>AND($A107&lt;&gt;"",MOD(ROW(),2))</formula>
    </cfRule>
  </conditionalFormatting>
  <conditionalFormatting sqref="D107">
    <cfRule type="cellIs" dxfId="26831" priority="4479" operator="equal">
      <formula>$C107</formula>
    </cfRule>
    <cfRule type="cellIs" dxfId="26830" priority="4480" operator="greaterThan">
      <formula>$C107</formula>
    </cfRule>
    <cfRule type="cellIs" dxfId="26829" priority="4481" operator="lessThan">
      <formula>$C107</formula>
    </cfRule>
  </conditionalFormatting>
  <conditionalFormatting sqref="D108:E108">
    <cfRule type="expression" dxfId="26828" priority="4478">
      <formula>AND($A108&lt;&gt;"",MOD(ROW(),2))</formula>
    </cfRule>
  </conditionalFormatting>
  <conditionalFormatting sqref="D108">
    <cfRule type="cellIs" dxfId="26827" priority="4475" operator="equal">
      <formula>$C108</formula>
    </cfRule>
    <cfRule type="cellIs" dxfId="26826" priority="4476" operator="greaterThan">
      <formula>$C108</formula>
    </cfRule>
    <cfRule type="cellIs" dxfId="26825" priority="4477" operator="lessThan">
      <formula>$C108</formula>
    </cfRule>
  </conditionalFormatting>
  <conditionalFormatting sqref="D109:E109">
    <cfRule type="expression" dxfId="26824" priority="4474">
      <formula>AND($A109&lt;&gt;"",MOD(ROW(),2))</formula>
    </cfRule>
  </conditionalFormatting>
  <conditionalFormatting sqref="D109">
    <cfRule type="cellIs" dxfId="26823" priority="4471" operator="equal">
      <formula>$C109</formula>
    </cfRule>
    <cfRule type="cellIs" dxfId="26822" priority="4472" operator="greaterThan">
      <formula>$C109</formula>
    </cfRule>
    <cfRule type="cellIs" dxfId="26821" priority="4473" operator="lessThan">
      <formula>$C109</formula>
    </cfRule>
  </conditionalFormatting>
  <conditionalFormatting sqref="D110:E110">
    <cfRule type="expression" dxfId="26820" priority="4470">
      <formula>AND($A110&lt;&gt;"",MOD(ROW(),2))</formula>
    </cfRule>
  </conditionalFormatting>
  <conditionalFormatting sqref="D110">
    <cfRule type="cellIs" dxfId="26819" priority="4467" operator="equal">
      <formula>$C110</formula>
    </cfRule>
    <cfRule type="cellIs" dxfId="26818" priority="4468" operator="greaterThan">
      <formula>$C110</formula>
    </cfRule>
    <cfRule type="cellIs" dxfId="26817" priority="4469" operator="lessThan">
      <formula>$C110</formula>
    </cfRule>
  </conditionalFormatting>
  <conditionalFormatting sqref="D111:E111">
    <cfRule type="expression" dxfId="26816" priority="4466">
      <formula>AND($A111&lt;&gt;"",MOD(ROW(),2))</formula>
    </cfRule>
  </conditionalFormatting>
  <conditionalFormatting sqref="D111">
    <cfRule type="cellIs" dxfId="26815" priority="4463" operator="equal">
      <formula>$C111</formula>
    </cfRule>
    <cfRule type="cellIs" dxfId="26814" priority="4464" operator="greaterThan">
      <formula>$C111</formula>
    </cfRule>
    <cfRule type="cellIs" dxfId="26813" priority="4465" operator="lessThan">
      <formula>$C111</formula>
    </cfRule>
  </conditionalFormatting>
  <conditionalFormatting sqref="D112:E112">
    <cfRule type="expression" dxfId="26812" priority="4462">
      <formula>AND($A112&lt;&gt;"",MOD(ROW(),2))</formula>
    </cfRule>
  </conditionalFormatting>
  <conditionalFormatting sqref="D112">
    <cfRule type="cellIs" dxfId="26811" priority="4459" operator="equal">
      <formula>$C112</formula>
    </cfRule>
    <cfRule type="cellIs" dxfId="26810" priority="4460" operator="greaterThan">
      <formula>$C112</formula>
    </cfRule>
    <cfRule type="cellIs" dxfId="26809" priority="4461" operator="lessThan">
      <formula>$C112</formula>
    </cfRule>
  </conditionalFormatting>
  <conditionalFormatting sqref="D113:E113">
    <cfRule type="expression" dxfId="26808" priority="4458">
      <formula>AND($A113&lt;&gt;"",MOD(ROW(),2))</formula>
    </cfRule>
  </conditionalFormatting>
  <conditionalFormatting sqref="D113">
    <cfRule type="cellIs" dxfId="26807" priority="4455" operator="equal">
      <formula>$C113</formula>
    </cfRule>
    <cfRule type="cellIs" dxfId="26806" priority="4456" operator="greaterThan">
      <formula>$C113</formula>
    </cfRule>
    <cfRule type="cellIs" dxfId="26805" priority="4457" operator="lessThan">
      <formula>$C113</formula>
    </cfRule>
  </conditionalFormatting>
  <conditionalFormatting sqref="D114:E114">
    <cfRule type="expression" dxfId="26804" priority="4454">
      <formula>AND($A114&lt;&gt;"",MOD(ROW(),2))</formula>
    </cfRule>
  </conditionalFormatting>
  <conditionalFormatting sqref="D114">
    <cfRule type="cellIs" dxfId="26803" priority="4451" operator="equal">
      <formula>$C114</formula>
    </cfRule>
    <cfRule type="cellIs" dxfId="26802" priority="4452" operator="greaterThan">
      <formula>$C114</formula>
    </cfRule>
    <cfRule type="cellIs" dxfId="26801" priority="4453" operator="lessThan">
      <formula>$C114</formula>
    </cfRule>
  </conditionalFormatting>
  <conditionalFormatting sqref="C94">
    <cfRule type="expression" dxfId="26800" priority="4450">
      <formula>AND($A94&lt;&gt;"",MOD(ROW(),2))</formula>
    </cfRule>
  </conditionalFormatting>
  <conditionalFormatting sqref="C94">
    <cfRule type="cellIs" dxfId="26799" priority="4447" operator="equal">
      <formula>$C94</formula>
    </cfRule>
    <cfRule type="cellIs" dxfId="26798" priority="4448" operator="greaterThan">
      <formula>$C94</formula>
    </cfRule>
    <cfRule type="cellIs" dxfId="26797" priority="4449" operator="lessThan">
      <formula>$C94</formula>
    </cfRule>
  </conditionalFormatting>
  <conditionalFormatting sqref="C95">
    <cfRule type="expression" dxfId="26796" priority="4446">
      <formula>AND($A95&lt;&gt;"",MOD(ROW(),2))</formula>
    </cfRule>
  </conditionalFormatting>
  <conditionalFormatting sqref="C95">
    <cfRule type="cellIs" dxfId="26795" priority="4443" operator="equal">
      <formula>$C95</formula>
    </cfRule>
    <cfRule type="cellIs" dxfId="26794" priority="4444" operator="greaterThan">
      <formula>$C95</formula>
    </cfRule>
    <cfRule type="cellIs" dxfId="26793" priority="4445" operator="lessThan">
      <formula>$C95</formula>
    </cfRule>
  </conditionalFormatting>
  <conditionalFormatting sqref="C96">
    <cfRule type="expression" dxfId="26792" priority="4442">
      <formula>AND($A96&lt;&gt;"",MOD(ROW(),2))</formula>
    </cfRule>
  </conditionalFormatting>
  <conditionalFormatting sqref="C96">
    <cfRule type="cellIs" dxfId="26791" priority="4439" operator="equal">
      <formula>$C96</formula>
    </cfRule>
    <cfRule type="cellIs" dxfId="26790" priority="4440" operator="greaterThan">
      <formula>$C96</formula>
    </cfRule>
    <cfRule type="cellIs" dxfId="26789" priority="4441" operator="lessThan">
      <formula>$C96</formula>
    </cfRule>
  </conditionalFormatting>
  <conditionalFormatting sqref="C97">
    <cfRule type="expression" dxfId="26788" priority="4438">
      <formula>AND($A97&lt;&gt;"",MOD(ROW(),2))</formula>
    </cfRule>
  </conditionalFormatting>
  <conditionalFormatting sqref="C97">
    <cfRule type="cellIs" dxfId="26787" priority="4435" operator="equal">
      <formula>$C97</formula>
    </cfRule>
    <cfRule type="cellIs" dxfId="26786" priority="4436" operator="greaterThan">
      <formula>$C97</formula>
    </cfRule>
    <cfRule type="cellIs" dxfId="26785" priority="4437" operator="lessThan">
      <formula>$C97</formula>
    </cfRule>
  </conditionalFormatting>
  <conditionalFormatting sqref="D100:E100">
    <cfRule type="expression" dxfId="26784" priority="4378">
      <formula>AND($A100&lt;&gt;"",MOD(ROW(),2))</formula>
    </cfRule>
  </conditionalFormatting>
  <conditionalFormatting sqref="D100">
    <cfRule type="cellIs" dxfId="26783" priority="4375" operator="equal">
      <formula>$C100</formula>
    </cfRule>
    <cfRule type="cellIs" dxfId="26782" priority="4376" operator="greaterThan">
      <formula>$C100</formula>
    </cfRule>
    <cfRule type="cellIs" dxfId="26781" priority="4377" operator="lessThan">
      <formula>$C100</formula>
    </cfRule>
  </conditionalFormatting>
  <conditionalFormatting sqref="D101:E101">
    <cfRule type="expression" dxfId="26780" priority="4374">
      <formula>AND($A101&lt;&gt;"",MOD(ROW(),2))</formula>
    </cfRule>
  </conditionalFormatting>
  <conditionalFormatting sqref="D101">
    <cfRule type="cellIs" dxfId="26779" priority="4371" operator="equal">
      <formula>$C101</formula>
    </cfRule>
    <cfRule type="cellIs" dxfId="26778" priority="4372" operator="greaterThan">
      <formula>$C101</formula>
    </cfRule>
    <cfRule type="cellIs" dxfId="26777" priority="4373" operator="lessThan">
      <formula>$C101</formula>
    </cfRule>
  </conditionalFormatting>
  <conditionalFormatting sqref="D102:E102">
    <cfRule type="expression" dxfId="26776" priority="4370">
      <formula>AND($A102&lt;&gt;"",MOD(ROW(),2))</formula>
    </cfRule>
  </conditionalFormatting>
  <conditionalFormatting sqref="D102">
    <cfRule type="cellIs" dxfId="26775" priority="4367" operator="equal">
      <formula>$C102</formula>
    </cfRule>
    <cfRule type="cellIs" dxfId="26774" priority="4368" operator="greaterThan">
      <formula>$C102</formula>
    </cfRule>
    <cfRule type="cellIs" dxfId="26773" priority="4369" operator="lessThan">
      <formula>$C102</formula>
    </cfRule>
  </conditionalFormatting>
  <conditionalFormatting sqref="D103:E103">
    <cfRule type="expression" dxfId="26772" priority="4366">
      <formula>AND($A103&lt;&gt;"",MOD(ROW(),2))</formula>
    </cfRule>
  </conditionalFormatting>
  <conditionalFormatting sqref="D103">
    <cfRule type="cellIs" dxfId="26771" priority="4363" operator="equal">
      <formula>$C103</formula>
    </cfRule>
    <cfRule type="cellIs" dxfId="26770" priority="4364" operator="greaterThan">
      <formula>$C103</formula>
    </cfRule>
    <cfRule type="cellIs" dxfId="26769" priority="4365" operator="lessThan">
      <formula>$C103</formula>
    </cfRule>
  </conditionalFormatting>
  <conditionalFormatting sqref="D104:E104">
    <cfRule type="expression" dxfId="26768" priority="4362">
      <formula>AND($A104&lt;&gt;"",MOD(ROW(),2))</formula>
    </cfRule>
  </conditionalFormatting>
  <conditionalFormatting sqref="D104">
    <cfRule type="cellIs" dxfId="26767" priority="4359" operator="equal">
      <formula>$C104</formula>
    </cfRule>
    <cfRule type="cellIs" dxfId="26766" priority="4360" operator="greaterThan">
      <formula>$C104</formula>
    </cfRule>
    <cfRule type="cellIs" dxfId="26765" priority="4361" operator="lessThan">
      <formula>$C104</formula>
    </cfRule>
  </conditionalFormatting>
  <conditionalFormatting sqref="D105:E105">
    <cfRule type="expression" dxfId="26764" priority="4358">
      <formula>AND($A105&lt;&gt;"",MOD(ROW(),2))</formula>
    </cfRule>
  </conditionalFormatting>
  <conditionalFormatting sqref="D105">
    <cfRule type="cellIs" dxfId="26763" priority="4355" operator="equal">
      <formula>$C105</formula>
    </cfRule>
    <cfRule type="cellIs" dxfId="26762" priority="4356" operator="greaterThan">
      <formula>$C105</formula>
    </cfRule>
    <cfRule type="cellIs" dxfId="26761" priority="4357" operator="lessThan">
      <formula>$C105</formula>
    </cfRule>
  </conditionalFormatting>
  <conditionalFormatting sqref="D106:E106">
    <cfRule type="expression" dxfId="26760" priority="4354">
      <formula>AND($A106&lt;&gt;"",MOD(ROW(),2))</formula>
    </cfRule>
  </conditionalFormatting>
  <conditionalFormatting sqref="D106">
    <cfRule type="cellIs" dxfId="26759" priority="4351" operator="equal">
      <formula>$C106</formula>
    </cfRule>
    <cfRule type="cellIs" dxfId="26758" priority="4352" operator="greaterThan">
      <formula>$C106</formula>
    </cfRule>
    <cfRule type="cellIs" dxfId="26757" priority="4353" operator="lessThan">
      <formula>$C106</formula>
    </cfRule>
  </conditionalFormatting>
  <conditionalFormatting sqref="D107:E107">
    <cfRule type="expression" dxfId="26756" priority="4350">
      <formula>AND($A107&lt;&gt;"",MOD(ROW(),2))</formula>
    </cfRule>
  </conditionalFormatting>
  <conditionalFormatting sqref="D107">
    <cfRule type="cellIs" dxfId="26755" priority="4347" operator="equal">
      <formula>$C107</formula>
    </cfRule>
    <cfRule type="cellIs" dxfId="26754" priority="4348" operator="greaterThan">
      <formula>$C107</formula>
    </cfRule>
    <cfRule type="cellIs" dxfId="26753" priority="4349" operator="lessThan">
      <formula>$C107</formula>
    </cfRule>
  </conditionalFormatting>
  <conditionalFormatting sqref="D108:E108">
    <cfRule type="expression" dxfId="26752" priority="4346">
      <formula>AND($A108&lt;&gt;"",MOD(ROW(),2))</formula>
    </cfRule>
  </conditionalFormatting>
  <conditionalFormatting sqref="D108">
    <cfRule type="cellIs" dxfId="26751" priority="4343" operator="equal">
      <formula>$C108</formula>
    </cfRule>
    <cfRule type="cellIs" dxfId="26750" priority="4344" operator="greaterThan">
      <formula>$C108</formula>
    </cfRule>
    <cfRule type="cellIs" dxfId="26749" priority="4345" operator="lessThan">
      <formula>$C108</formula>
    </cfRule>
  </conditionalFormatting>
  <conditionalFormatting sqref="D109:E109">
    <cfRule type="expression" dxfId="26748" priority="4342">
      <formula>AND($A109&lt;&gt;"",MOD(ROW(),2))</formula>
    </cfRule>
  </conditionalFormatting>
  <conditionalFormatting sqref="D109">
    <cfRule type="cellIs" dxfId="26747" priority="4339" operator="equal">
      <formula>$C109</formula>
    </cfRule>
    <cfRule type="cellIs" dxfId="26746" priority="4340" operator="greaterThan">
      <formula>$C109</formula>
    </cfRule>
    <cfRule type="cellIs" dxfId="26745" priority="4341" operator="lessThan">
      <formula>$C109</formula>
    </cfRule>
  </conditionalFormatting>
  <conditionalFormatting sqref="D110:E110">
    <cfRule type="expression" dxfId="26744" priority="4338">
      <formula>AND($A110&lt;&gt;"",MOD(ROW(),2))</formula>
    </cfRule>
  </conditionalFormatting>
  <conditionalFormatting sqref="D110">
    <cfRule type="cellIs" dxfId="26743" priority="4335" operator="equal">
      <formula>$C110</formula>
    </cfRule>
    <cfRule type="cellIs" dxfId="26742" priority="4336" operator="greaterThan">
      <formula>$C110</formula>
    </cfRule>
    <cfRule type="cellIs" dxfId="26741" priority="4337" operator="lessThan">
      <formula>$C110</formula>
    </cfRule>
  </conditionalFormatting>
  <conditionalFormatting sqref="D111:E111">
    <cfRule type="expression" dxfId="26740" priority="4334">
      <formula>AND($A111&lt;&gt;"",MOD(ROW(),2))</formula>
    </cfRule>
  </conditionalFormatting>
  <conditionalFormatting sqref="D111">
    <cfRule type="cellIs" dxfId="26739" priority="4331" operator="equal">
      <formula>$C111</formula>
    </cfRule>
    <cfRule type="cellIs" dxfId="26738" priority="4332" operator="greaterThan">
      <formula>$C111</formula>
    </cfRule>
    <cfRule type="cellIs" dxfId="26737" priority="4333" operator="lessThan">
      <formula>$C111</formula>
    </cfRule>
  </conditionalFormatting>
  <conditionalFormatting sqref="D112:E112">
    <cfRule type="expression" dxfId="26736" priority="4330">
      <formula>AND($A112&lt;&gt;"",MOD(ROW(),2))</formula>
    </cfRule>
  </conditionalFormatting>
  <conditionalFormatting sqref="D112">
    <cfRule type="cellIs" dxfId="26735" priority="4327" operator="equal">
      <formula>$C112</formula>
    </cfRule>
    <cfRule type="cellIs" dxfId="26734" priority="4328" operator="greaterThan">
      <formula>$C112</formula>
    </cfRule>
    <cfRule type="cellIs" dxfId="26733" priority="4329" operator="lessThan">
      <formula>$C112</formula>
    </cfRule>
  </conditionalFormatting>
  <conditionalFormatting sqref="D113:E113">
    <cfRule type="expression" dxfId="26732" priority="4326">
      <formula>AND($A113&lt;&gt;"",MOD(ROW(),2))</formula>
    </cfRule>
  </conditionalFormatting>
  <conditionalFormatting sqref="D113">
    <cfRule type="cellIs" dxfId="26731" priority="4323" operator="equal">
      <formula>$C113</formula>
    </cfRule>
    <cfRule type="cellIs" dxfId="26730" priority="4324" operator="greaterThan">
      <formula>$C113</formula>
    </cfRule>
    <cfRule type="cellIs" dxfId="26729" priority="4325" operator="lessThan">
      <formula>$C113</formula>
    </cfRule>
  </conditionalFormatting>
  <conditionalFormatting sqref="D121">
    <cfRule type="expression" dxfId="26728" priority="4322">
      <formula>AND($A121&lt;&gt;"",MOD(ROW(),2))</formula>
    </cfRule>
  </conditionalFormatting>
  <conditionalFormatting sqref="D121">
    <cfRule type="cellIs" dxfId="26727" priority="4319" operator="equal">
      <formula>$C121</formula>
    </cfRule>
    <cfRule type="cellIs" dxfId="26726" priority="4320" operator="greaterThan">
      <formula>$C121</formula>
    </cfRule>
    <cfRule type="cellIs" dxfId="26725" priority="4321" operator="lessThan">
      <formula>$C121</formula>
    </cfRule>
  </conditionalFormatting>
  <conditionalFormatting sqref="D122">
    <cfRule type="expression" dxfId="26724" priority="4318">
      <formula>AND($A122&lt;&gt;"",MOD(ROW(),2))</formula>
    </cfRule>
  </conditionalFormatting>
  <conditionalFormatting sqref="D122">
    <cfRule type="cellIs" dxfId="26723" priority="4315" operator="equal">
      <formula>$C122</formula>
    </cfRule>
    <cfRule type="cellIs" dxfId="26722" priority="4316" operator="greaterThan">
      <formula>$C122</formula>
    </cfRule>
    <cfRule type="cellIs" dxfId="26721" priority="4317" operator="lessThan">
      <formula>$C122</formula>
    </cfRule>
  </conditionalFormatting>
  <conditionalFormatting sqref="D123">
    <cfRule type="expression" dxfId="26720" priority="4314">
      <formula>AND($A123&lt;&gt;"",MOD(ROW(),2))</formula>
    </cfRule>
  </conditionalFormatting>
  <conditionalFormatting sqref="D123">
    <cfRule type="cellIs" dxfId="26719" priority="4311" operator="equal">
      <formula>$C123</formula>
    </cfRule>
    <cfRule type="cellIs" dxfId="26718" priority="4312" operator="greaterThan">
      <formula>$C123</formula>
    </cfRule>
    <cfRule type="cellIs" dxfId="26717" priority="4313" operator="lessThan">
      <formula>$C123</formula>
    </cfRule>
  </conditionalFormatting>
  <conditionalFormatting sqref="D124">
    <cfRule type="expression" dxfId="26716" priority="4310">
      <formula>AND($A124&lt;&gt;"",MOD(ROW(),2))</formula>
    </cfRule>
  </conditionalFormatting>
  <conditionalFormatting sqref="D124">
    <cfRule type="cellIs" dxfId="26715" priority="4307" operator="equal">
      <formula>$C124</formula>
    </cfRule>
    <cfRule type="cellIs" dxfId="26714" priority="4308" operator="greaterThan">
      <formula>$C124</formula>
    </cfRule>
    <cfRule type="cellIs" dxfId="26713" priority="4309" operator="lessThan">
      <formula>$C124</formula>
    </cfRule>
  </conditionalFormatting>
  <conditionalFormatting sqref="D125">
    <cfRule type="expression" dxfId="26712" priority="4306">
      <formula>AND($A125&lt;&gt;"",MOD(ROW(),2))</formula>
    </cfRule>
  </conditionalFormatting>
  <conditionalFormatting sqref="D125">
    <cfRule type="cellIs" dxfId="26711" priority="4303" operator="equal">
      <formula>$C125</formula>
    </cfRule>
    <cfRule type="cellIs" dxfId="26710" priority="4304" operator="greaterThan">
      <formula>$C125</formula>
    </cfRule>
    <cfRule type="cellIs" dxfId="26709" priority="4305" operator="lessThan">
      <formula>$C125</formula>
    </cfRule>
  </conditionalFormatting>
  <conditionalFormatting sqref="D126">
    <cfRule type="expression" dxfId="26708" priority="4302">
      <formula>AND($A126&lt;&gt;"",MOD(ROW(),2))</formula>
    </cfRule>
  </conditionalFormatting>
  <conditionalFormatting sqref="D126">
    <cfRule type="cellIs" dxfId="26707" priority="4299" operator="equal">
      <formula>$C126</formula>
    </cfRule>
    <cfRule type="cellIs" dxfId="26706" priority="4300" operator="greaterThan">
      <formula>$C126</formula>
    </cfRule>
    <cfRule type="cellIs" dxfId="26705" priority="4301" operator="lessThan">
      <formula>$C126</formula>
    </cfRule>
  </conditionalFormatting>
  <conditionalFormatting sqref="D127">
    <cfRule type="expression" dxfId="26704" priority="4298">
      <formula>AND($A127&lt;&gt;"",MOD(ROW(),2))</formula>
    </cfRule>
  </conditionalFormatting>
  <conditionalFormatting sqref="D127">
    <cfRule type="cellIs" dxfId="26703" priority="4295" operator="equal">
      <formula>$C127</formula>
    </cfRule>
    <cfRule type="cellIs" dxfId="26702" priority="4296" operator="greaterThan">
      <formula>$C127</formula>
    </cfRule>
    <cfRule type="cellIs" dxfId="26701" priority="4297" operator="lessThan">
      <formula>$C127</formula>
    </cfRule>
  </conditionalFormatting>
  <conditionalFormatting sqref="D128">
    <cfRule type="expression" dxfId="26700" priority="4294">
      <formula>AND($A128&lt;&gt;"",MOD(ROW(),2))</formula>
    </cfRule>
  </conditionalFormatting>
  <conditionalFormatting sqref="D128">
    <cfRule type="cellIs" dxfId="26699" priority="4291" operator="equal">
      <formula>$C128</formula>
    </cfRule>
    <cfRule type="cellIs" dxfId="26698" priority="4292" operator="greaterThan">
      <formula>$C128</formula>
    </cfRule>
    <cfRule type="cellIs" dxfId="26697" priority="4293" operator="lessThan">
      <formula>$C128</formula>
    </cfRule>
  </conditionalFormatting>
  <conditionalFormatting sqref="D129">
    <cfRule type="expression" dxfId="26696" priority="4290">
      <formula>AND($A129&lt;&gt;"",MOD(ROW(),2))</formula>
    </cfRule>
  </conditionalFormatting>
  <conditionalFormatting sqref="D129">
    <cfRule type="cellIs" dxfId="26695" priority="4287" operator="equal">
      <formula>$C129</formula>
    </cfRule>
    <cfRule type="cellIs" dxfId="26694" priority="4288" operator="greaterThan">
      <formula>$C129</formula>
    </cfRule>
    <cfRule type="cellIs" dxfId="26693" priority="4289" operator="lessThan">
      <formula>$C129</formula>
    </cfRule>
  </conditionalFormatting>
  <conditionalFormatting sqref="D130">
    <cfRule type="expression" dxfId="26692" priority="4286">
      <formula>AND($A130&lt;&gt;"",MOD(ROW(),2))</formula>
    </cfRule>
  </conditionalFormatting>
  <conditionalFormatting sqref="D130">
    <cfRule type="cellIs" dxfId="26691" priority="4283" operator="equal">
      <formula>$C130</formula>
    </cfRule>
    <cfRule type="cellIs" dxfId="26690" priority="4284" operator="greaterThan">
      <formula>$C130</formula>
    </cfRule>
    <cfRule type="cellIs" dxfId="26689" priority="4285" operator="lessThan">
      <formula>$C130</formula>
    </cfRule>
  </conditionalFormatting>
  <conditionalFormatting sqref="D131">
    <cfRule type="expression" dxfId="26688" priority="4282">
      <formula>AND($A131&lt;&gt;"",MOD(ROW(),2))</formula>
    </cfRule>
  </conditionalFormatting>
  <conditionalFormatting sqref="D131">
    <cfRule type="cellIs" dxfId="26687" priority="4279" operator="equal">
      <formula>$C131</formula>
    </cfRule>
    <cfRule type="cellIs" dxfId="26686" priority="4280" operator="greaterThan">
      <formula>$C131</formula>
    </cfRule>
    <cfRule type="cellIs" dxfId="26685" priority="4281" operator="lessThan">
      <formula>$C131</formula>
    </cfRule>
  </conditionalFormatting>
  <conditionalFormatting sqref="G121">
    <cfRule type="expression" dxfId="26684" priority="4278">
      <formula>AND($A121&lt;&gt;"",MOD(ROW(),2))</formula>
    </cfRule>
  </conditionalFormatting>
  <conditionalFormatting sqref="G123">
    <cfRule type="expression" dxfId="26683" priority="4276">
      <formula>AND($A123&lt;&gt;"",MOD(ROW(),2))</formula>
    </cfRule>
  </conditionalFormatting>
  <conditionalFormatting sqref="G124">
    <cfRule type="expression" dxfId="26682" priority="4275">
      <formula>AND($A124&lt;&gt;"",MOD(ROW(),2))</formula>
    </cfRule>
  </conditionalFormatting>
  <conditionalFormatting sqref="G125">
    <cfRule type="expression" dxfId="26681" priority="4274">
      <formula>AND($A125&lt;&gt;"",MOD(ROW(),2))</formula>
    </cfRule>
  </conditionalFormatting>
  <conditionalFormatting sqref="G127">
    <cfRule type="expression" dxfId="26680" priority="4272">
      <formula>AND($A127&lt;&gt;"",MOD(ROW(),2))</formula>
    </cfRule>
  </conditionalFormatting>
  <conditionalFormatting sqref="G128">
    <cfRule type="expression" dxfId="26679" priority="4271">
      <formula>AND($A128&lt;&gt;"",MOD(ROW(),2))</formula>
    </cfRule>
  </conditionalFormatting>
  <conditionalFormatting sqref="G129">
    <cfRule type="expression" dxfId="26678" priority="4270">
      <formula>AND($A129&lt;&gt;"",MOD(ROW(),2))</formula>
    </cfRule>
  </conditionalFormatting>
  <conditionalFormatting sqref="G131">
    <cfRule type="expression" dxfId="26677" priority="4268">
      <formula>AND($A131&lt;&gt;"",MOD(ROW(),2))</formula>
    </cfRule>
  </conditionalFormatting>
  <conditionalFormatting sqref="G132">
    <cfRule type="expression" dxfId="26676" priority="4267">
      <formula>AND($A132&lt;&gt;"",MOD(ROW(),2))</formula>
    </cfRule>
  </conditionalFormatting>
  <conditionalFormatting sqref="G133">
    <cfRule type="expression" dxfId="26675" priority="4266">
      <formula>AND($A133&lt;&gt;"",MOD(ROW(),2))</formula>
    </cfRule>
  </conditionalFormatting>
  <conditionalFormatting sqref="F132">
    <cfRule type="containsText" dxfId="26674" priority="4263" operator="containsText" text="Unpaid Rent">
      <formula>NOT(ISERROR(SEARCH("Unpaid Rent",F132)))</formula>
    </cfRule>
    <cfRule type="containsText" dxfId="26673" priority="4264" stopIfTrue="1" operator="containsText" text="Closed Account">
      <formula>NOT(ISERROR(SEARCH("Closed Account",F132)))</formula>
    </cfRule>
  </conditionalFormatting>
  <conditionalFormatting sqref="D132">
    <cfRule type="expression" dxfId="26672" priority="4262">
      <formula>AND($A132&lt;&gt;"",MOD(ROW(),2))</formula>
    </cfRule>
  </conditionalFormatting>
  <conditionalFormatting sqref="D132">
    <cfRule type="cellIs" dxfId="26671" priority="4259" operator="equal">
      <formula>$C132</formula>
    </cfRule>
    <cfRule type="cellIs" dxfId="26670" priority="4260" operator="greaterThan">
      <formula>$C132</formula>
    </cfRule>
    <cfRule type="cellIs" dxfId="26669" priority="4261" operator="lessThan">
      <formula>$C132</formula>
    </cfRule>
  </conditionalFormatting>
  <conditionalFormatting sqref="F133">
    <cfRule type="containsText" dxfId="26668" priority="4257" operator="containsText" text="Unpaid Rent">
      <formula>NOT(ISERROR(SEARCH("Unpaid Rent",F133)))</formula>
    </cfRule>
    <cfRule type="containsText" dxfId="26667" priority="4258" stopIfTrue="1" operator="containsText" text="Closed Account">
      <formula>NOT(ISERROR(SEARCH("Closed Account",F133)))</formula>
    </cfRule>
  </conditionalFormatting>
  <conditionalFormatting sqref="D133">
    <cfRule type="expression" dxfId="26666" priority="4256">
      <formula>AND($A133&lt;&gt;"",MOD(ROW(),2))</formula>
    </cfRule>
  </conditionalFormatting>
  <conditionalFormatting sqref="D133">
    <cfRule type="cellIs" dxfId="26665" priority="4253" operator="equal">
      <formula>$C133</formula>
    </cfRule>
    <cfRule type="cellIs" dxfId="26664" priority="4254" operator="greaterThan">
      <formula>$C133</formula>
    </cfRule>
    <cfRule type="cellIs" dxfId="26663" priority="4255" operator="lessThan">
      <formula>$C133</formula>
    </cfRule>
  </conditionalFormatting>
  <conditionalFormatting sqref="F134">
    <cfRule type="containsText" dxfId="26662" priority="4251" operator="containsText" text="Unpaid Rent">
      <formula>NOT(ISERROR(SEARCH("Unpaid Rent",F134)))</formula>
    </cfRule>
    <cfRule type="containsText" dxfId="26661" priority="4252" stopIfTrue="1" operator="containsText" text="Closed Account">
      <formula>NOT(ISERROR(SEARCH("Closed Account",F134)))</formula>
    </cfRule>
  </conditionalFormatting>
  <conditionalFormatting sqref="D134">
    <cfRule type="expression" dxfId="26660" priority="4250">
      <formula>AND($A134&lt;&gt;"",MOD(ROW(),2))</formula>
    </cfRule>
  </conditionalFormatting>
  <conditionalFormatting sqref="D134">
    <cfRule type="cellIs" dxfId="26659" priority="4247" operator="equal">
      <formula>$C134</formula>
    </cfRule>
    <cfRule type="cellIs" dxfId="26658" priority="4248" operator="greaterThan">
      <formula>$C134</formula>
    </cfRule>
    <cfRule type="cellIs" dxfId="26657" priority="4249" operator="lessThan">
      <formula>$C134</formula>
    </cfRule>
  </conditionalFormatting>
  <conditionalFormatting sqref="C134:C135">
    <cfRule type="expression" dxfId="26656" priority="4246">
      <formula>AND($A134&lt;&gt;"",MOD(ROW(),2))</formula>
    </cfRule>
  </conditionalFormatting>
  <conditionalFormatting sqref="F134:F135">
    <cfRule type="containsText" dxfId="26655" priority="4244" operator="containsText" text="Unpaid Rent">
      <formula>NOT(ISERROR(SEARCH("Unpaid Rent",F134)))</formula>
    </cfRule>
    <cfRule type="containsText" dxfId="26654" priority="4245" stopIfTrue="1" operator="containsText" text="Closed Account">
      <formula>NOT(ISERROR(SEARCH("Closed Account",F134)))</formula>
    </cfRule>
  </conditionalFormatting>
  <conditionalFormatting sqref="D135">
    <cfRule type="expression" dxfId="26653" priority="4243">
      <formula>AND($A135&lt;&gt;"",MOD(ROW(),2))</formula>
    </cfRule>
  </conditionalFormatting>
  <conditionalFormatting sqref="D135">
    <cfRule type="cellIs" dxfId="26652" priority="4240" operator="equal">
      <formula>$C135</formula>
    </cfRule>
    <cfRule type="cellIs" dxfId="26651" priority="4241" operator="greaterThan">
      <formula>$C135</formula>
    </cfRule>
    <cfRule type="cellIs" dxfId="26650" priority="4242" operator="lessThan">
      <formula>$C135</formula>
    </cfRule>
  </conditionalFormatting>
  <conditionalFormatting sqref="F135">
    <cfRule type="containsText" dxfId="26649" priority="4238" operator="containsText" text="Unpaid Rent">
      <formula>NOT(ISERROR(SEARCH("Unpaid Rent",F135)))</formula>
    </cfRule>
    <cfRule type="containsText" dxfId="26648" priority="4239" stopIfTrue="1" operator="containsText" text="Closed Account">
      <formula>NOT(ISERROR(SEARCH("Closed Account",F135)))</formula>
    </cfRule>
  </conditionalFormatting>
  <conditionalFormatting sqref="D135">
    <cfRule type="expression" dxfId="26647" priority="4237">
      <formula>AND($A135&lt;&gt;"",MOD(ROW(),2))</formula>
    </cfRule>
  </conditionalFormatting>
  <conditionalFormatting sqref="D135">
    <cfRule type="cellIs" dxfId="26646" priority="4234" operator="equal">
      <formula>$C135</formula>
    </cfRule>
    <cfRule type="cellIs" dxfId="26645" priority="4235" operator="greaterThan">
      <formula>$C135</formula>
    </cfRule>
    <cfRule type="cellIs" dxfId="26644" priority="4236" operator="lessThan">
      <formula>$C135</formula>
    </cfRule>
  </conditionalFormatting>
  <conditionalFormatting sqref="D134">
    <cfRule type="expression" dxfId="26643" priority="4233">
      <formula>AND($A134&lt;&gt;"",MOD(ROW(),2))</formula>
    </cfRule>
  </conditionalFormatting>
  <conditionalFormatting sqref="D134">
    <cfRule type="cellIs" dxfId="26642" priority="4230" operator="equal">
      <formula>$C134</formula>
    </cfRule>
    <cfRule type="cellIs" dxfId="26641" priority="4231" operator="greaterThan">
      <formula>$C134</formula>
    </cfRule>
    <cfRule type="cellIs" dxfId="26640" priority="4232" operator="lessThan">
      <formula>$C134</formula>
    </cfRule>
  </conditionalFormatting>
  <conditionalFormatting sqref="F134">
    <cfRule type="containsText" dxfId="26639" priority="4228" operator="containsText" text="Unpaid Rent">
      <formula>NOT(ISERROR(SEARCH("Unpaid Rent",F134)))</formula>
    </cfRule>
    <cfRule type="containsText" dxfId="26638" priority="4229" stopIfTrue="1" operator="containsText" text="Closed Account">
      <formula>NOT(ISERROR(SEARCH("Closed Account",F134)))</formula>
    </cfRule>
  </conditionalFormatting>
  <conditionalFormatting sqref="D134">
    <cfRule type="expression" dxfId="26637" priority="4227">
      <formula>AND($A134&lt;&gt;"",MOD(ROW(),2))</formula>
    </cfRule>
  </conditionalFormatting>
  <conditionalFormatting sqref="D134">
    <cfRule type="cellIs" dxfId="26636" priority="4224" operator="equal">
      <formula>$C134</formula>
    </cfRule>
    <cfRule type="cellIs" dxfId="26635" priority="4225" operator="greaterThan">
      <formula>$C134</formula>
    </cfRule>
    <cfRule type="cellIs" dxfId="26634" priority="4226" operator="lessThan">
      <formula>$C134</formula>
    </cfRule>
  </conditionalFormatting>
  <conditionalFormatting sqref="D135">
    <cfRule type="expression" dxfId="26633" priority="4223">
      <formula>AND($A135&lt;&gt;"",MOD(ROW(),2))</formula>
    </cfRule>
  </conditionalFormatting>
  <conditionalFormatting sqref="D135">
    <cfRule type="cellIs" dxfId="26632" priority="4220" operator="equal">
      <formula>$C135</formula>
    </cfRule>
    <cfRule type="cellIs" dxfId="26631" priority="4221" operator="greaterThan">
      <formula>$C135</formula>
    </cfRule>
    <cfRule type="cellIs" dxfId="26630" priority="4222" operator="lessThan">
      <formula>$C135</formula>
    </cfRule>
  </conditionalFormatting>
  <conditionalFormatting sqref="F136:F142">
    <cfRule type="containsText" dxfId="26629" priority="4218" operator="containsText" text="Unpaid Rent">
      <formula>NOT(ISERROR(SEARCH("Unpaid Rent",F136)))</formula>
    </cfRule>
    <cfRule type="containsText" dxfId="26628" priority="4219" stopIfTrue="1" operator="containsText" text="Closed Account">
      <formula>NOT(ISERROR(SEARCH("Closed Account",F136)))</formula>
    </cfRule>
  </conditionalFormatting>
  <conditionalFormatting sqref="J70:J134">
    <cfRule type="expression" dxfId="26627" priority="4217">
      <formula>AND($A70&lt;&gt;"",MOD(ROW(),2))</formula>
    </cfRule>
  </conditionalFormatting>
  <conditionalFormatting sqref="J134:J135">
    <cfRule type="expression" dxfId="26626" priority="4216">
      <formula>AND($A134&lt;&gt;"",MOD(ROW(),2))</formula>
    </cfRule>
  </conditionalFormatting>
  <conditionalFormatting sqref="L75:N93">
    <cfRule type="expression" dxfId="26625" priority="4211">
      <formula>AND($A75&lt;&gt;"",MOD(ROW(),2))</formula>
    </cfRule>
  </conditionalFormatting>
  <conditionalFormatting sqref="L75:L93">
    <cfRule type="cellIs" dxfId="26624" priority="4208" operator="equal">
      <formula>$C75</formula>
    </cfRule>
    <cfRule type="cellIs" dxfId="26623" priority="4209" operator="greaterThan">
      <formula>$C75</formula>
    </cfRule>
    <cfRule type="cellIs" dxfId="26622" priority="4210" operator="lessThan">
      <formula>$C75</formula>
    </cfRule>
  </conditionalFormatting>
  <conditionalFormatting sqref="L94:N118">
    <cfRule type="expression" dxfId="26621" priority="4202">
      <formula>AND($A93&lt;&gt;"",MOD(ROW(),2))</formula>
    </cfRule>
  </conditionalFormatting>
  <conditionalFormatting sqref="L94:L118">
    <cfRule type="cellIs" dxfId="26620" priority="4199" operator="equal">
      <formula>$C93</formula>
    </cfRule>
    <cfRule type="cellIs" dxfId="26619" priority="4200" operator="greaterThan">
      <formula>$C93</formula>
    </cfRule>
    <cfRule type="cellIs" dxfId="26618" priority="4201" operator="lessThan">
      <formula>$C93</formula>
    </cfRule>
  </conditionalFormatting>
  <conditionalFormatting sqref="M75:N118">
    <cfRule type="expression" dxfId="26617" priority="4207">
      <formula>AND(#REF!&lt;&gt;"",MOD(ROW(),2))</formula>
    </cfRule>
  </conditionalFormatting>
  <conditionalFormatting sqref="M75:N118">
    <cfRule type="expression" dxfId="26616" priority="4206">
      <formula>AND(#REF!&lt;&gt;"",MOD(ROW(),2))</formula>
    </cfRule>
  </conditionalFormatting>
  <conditionalFormatting sqref="N75:N118">
    <cfRule type="cellIs" dxfId="26615" priority="4203" operator="equal">
      <formula>#REF!</formula>
    </cfRule>
    <cfRule type="cellIs" dxfId="26614" priority="4204" operator="greaterThan">
      <formula>#REF!</formula>
    </cfRule>
    <cfRule type="cellIs" dxfId="26613" priority="4205" operator="lessThan">
      <formula>#REF!</formula>
    </cfRule>
  </conditionalFormatting>
  <conditionalFormatting sqref="L94:N94">
    <cfRule type="expression" dxfId="26612" priority="4212">
      <formula>AND(#REF!&lt;&gt;"",MOD(ROW(),2))</formula>
    </cfRule>
  </conditionalFormatting>
  <conditionalFormatting sqref="L94">
    <cfRule type="cellIs" dxfId="26611" priority="4213" operator="equal">
      <formula>#REF!</formula>
    </cfRule>
    <cfRule type="cellIs" dxfId="26610" priority="4214" operator="greaterThan">
      <formula>#REF!</formula>
    </cfRule>
    <cfRule type="cellIs" dxfId="26609" priority="4215" operator="lessThan">
      <formula>#REF!</formula>
    </cfRule>
  </conditionalFormatting>
  <conditionalFormatting sqref="L93:N93">
    <cfRule type="expression" dxfId="26608" priority="4195">
      <formula>AND(#REF!&lt;&gt;"",MOD(ROW(),2))</formula>
    </cfRule>
  </conditionalFormatting>
  <conditionalFormatting sqref="L93">
    <cfRule type="cellIs" dxfId="26607" priority="4196" operator="equal">
      <formula>#REF!</formula>
    </cfRule>
    <cfRule type="cellIs" dxfId="26606" priority="4197" operator="greaterThan">
      <formula>#REF!</formula>
    </cfRule>
    <cfRule type="cellIs" dxfId="26605" priority="4198" operator="lessThan">
      <formula>#REF!</formula>
    </cfRule>
  </conditionalFormatting>
  <conditionalFormatting sqref="L119:M122">
    <cfRule type="expression" dxfId="26604" priority="4192">
      <formula>AND($A118&lt;&gt;"",MOD(ROW(),2))</formula>
    </cfRule>
  </conditionalFormatting>
  <conditionalFormatting sqref="L119:L122">
    <cfRule type="cellIs" dxfId="26603" priority="4189" operator="equal">
      <formula>$C118</formula>
    </cfRule>
    <cfRule type="cellIs" dxfId="26602" priority="4190" operator="greaterThan">
      <formula>$C118</formula>
    </cfRule>
    <cfRule type="cellIs" dxfId="26601" priority="4191" operator="lessThan">
      <formula>$C118</formula>
    </cfRule>
  </conditionalFormatting>
  <conditionalFormatting sqref="M119:M122">
    <cfRule type="expression" dxfId="26600" priority="4194">
      <formula>AND(#REF!&lt;&gt;"",MOD(ROW(),2))</formula>
    </cfRule>
  </conditionalFormatting>
  <conditionalFormatting sqref="M119:M122">
    <cfRule type="expression" dxfId="26599" priority="4193">
      <formula>AND(#REF!&lt;&gt;"",MOD(ROW(),2))</formula>
    </cfRule>
  </conditionalFormatting>
  <conditionalFormatting sqref="A143:A174 C143:E153 C154:C174 G143:G174">
    <cfRule type="expression" dxfId="26598" priority="4188">
      <formula>AND($A143&lt;&gt;"",MOD(ROW(),2))</formula>
    </cfRule>
  </conditionalFormatting>
  <conditionalFormatting sqref="D143:D153">
    <cfRule type="cellIs" dxfId="26597" priority="4185" operator="equal">
      <formula>$C143</formula>
    </cfRule>
    <cfRule type="cellIs" dxfId="26596" priority="4186" operator="greaterThan">
      <formula>$C143</formula>
    </cfRule>
    <cfRule type="cellIs" dxfId="26595" priority="4187" operator="lessThan">
      <formula>$C143</formula>
    </cfRule>
  </conditionalFormatting>
  <conditionalFormatting sqref="F143:F153">
    <cfRule type="containsText" dxfId="26594" priority="4183" operator="containsText" text="Unpaid Rent">
      <formula>NOT(ISERROR(SEARCH("Unpaid Rent",F143)))</formula>
    </cfRule>
    <cfRule type="containsText" dxfId="26593" priority="4184" stopIfTrue="1" operator="containsText" text="Closed Account">
      <formula>NOT(ISERROR(SEARCH("Closed Account",F143)))</formula>
    </cfRule>
  </conditionalFormatting>
  <conditionalFormatting sqref="D153:E153">
    <cfRule type="expression" dxfId="26592" priority="4182">
      <formula>AND($A153&lt;&gt;"",MOD(ROW(),2))</formula>
    </cfRule>
  </conditionalFormatting>
  <conditionalFormatting sqref="D153">
    <cfRule type="cellIs" dxfId="26591" priority="4179" operator="equal">
      <formula>$C153</formula>
    </cfRule>
    <cfRule type="cellIs" dxfId="26590" priority="4180" operator="greaterThan">
      <formula>$C153</formula>
    </cfRule>
    <cfRule type="cellIs" dxfId="26589" priority="4181" operator="lessThan">
      <formula>$C153</formula>
    </cfRule>
  </conditionalFormatting>
  <conditionalFormatting sqref="D154:E154">
    <cfRule type="expression" dxfId="26588" priority="4178">
      <formula>AND($A154&lt;&gt;"",MOD(ROW(),2))</formula>
    </cfRule>
  </conditionalFormatting>
  <conditionalFormatting sqref="D154">
    <cfRule type="cellIs" dxfId="26587" priority="4175" operator="equal">
      <formula>$C154</formula>
    </cfRule>
    <cfRule type="cellIs" dxfId="26586" priority="4176" operator="greaterThan">
      <formula>$C154</formula>
    </cfRule>
    <cfRule type="cellIs" dxfId="26585" priority="4177" operator="lessThan">
      <formula>$C154</formula>
    </cfRule>
  </conditionalFormatting>
  <conditionalFormatting sqref="D155:E155">
    <cfRule type="expression" dxfId="26584" priority="4174">
      <formula>AND($A155&lt;&gt;"",MOD(ROW(),2))</formula>
    </cfRule>
  </conditionalFormatting>
  <conditionalFormatting sqref="D155">
    <cfRule type="cellIs" dxfId="26583" priority="4171" operator="equal">
      <formula>$C155</formula>
    </cfRule>
    <cfRule type="cellIs" dxfId="26582" priority="4172" operator="greaterThan">
      <formula>$C155</formula>
    </cfRule>
    <cfRule type="cellIs" dxfId="26581" priority="4173" operator="lessThan">
      <formula>$C155</formula>
    </cfRule>
  </conditionalFormatting>
  <conditionalFormatting sqref="D156:E156">
    <cfRule type="expression" dxfId="26580" priority="4170">
      <formula>AND($A156&lt;&gt;"",MOD(ROW(),2))</formula>
    </cfRule>
  </conditionalFormatting>
  <conditionalFormatting sqref="D156">
    <cfRule type="cellIs" dxfId="26579" priority="4167" operator="equal">
      <formula>$C156</formula>
    </cfRule>
    <cfRule type="cellIs" dxfId="26578" priority="4168" operator="greaterThan">
      <formula>$C156</formula>
    </cfRule>
    <cfRule type="cellIs" dxfId="26577" priority="4169" operator="lessThan">
      <formula>$C156</formula>
    </cfRule>
  </conditionalFormatting>
  <conditionalFormatting sqref="D157:E157">
    <cfRule type="expression" dxfId="26576" priority="4166">
      <formula>AND($A157&lt;&gt;"",MOD(ROW(),2))</formula>
    </cfRule>
  </conditionalFormatting>
  <conditionalFormatting sqref="D157">
    <cfRule type="cellIs" dxfId="26575" priority="4163" operator="equal">
      <formula>$C157</formula>
    </cfRule>
    <cfRule type="cellIs" dxfId="26574" priority="4164" operator="greaterThan">
      <formula>$C157</formula>
    </cfRule>
    <cfRule type="cellIs" dxfId="26573" priority="4165" operator="lessThan">
      <formula>$C157</formula>
    </cfRule>
  </conditionalFormatting>
  <conditionalFormatting sqref="D158:E158">
    <cfRule type="expression" dxfId="26572" priority="4162">
      <formula>AND($A158&lt;&gt;"",MOD(ROW(),2))</formula>
    </cfRule>
  </conditionalFormatting>
  <conditionalFormatting sqref="D158">
    <cfRule type="cellIs" dxfId="26571" priority="4159" operator="equal">
      <formula>$C158</formula>
    </cfRule>
    <cfRule type="cellIs" dxfId="26570" priority="4160" operator="greaterThan">
      <formula>$C158</formula>
    </cfRule>
    <cfRule type="cellIs" dxfId="26569" priority="4161" operator="lessThan">
      <formula>$C158</formula>
    </cfRule>
  </conditionalFormatting>
  <conditionalFormatting sqref="D159:E159">
    <cfRule type="expression" dxfId="26568" priority="4158">
      <formula>AND($A159&lt;&gt;"",MOD(ROW(),2))</formula>
    </cfRule>
  </conditionalFormatting>
  <conditionalFormatting sqref="D159">
    <cfRule type="cellIs" dxfId="26567" priority="4155" operator="equal">
      <formula>$C159</formula>
    </cfRule>
    <cfRule type="cellIs" dxfId="26566" priority="4156" operator="greaterThan">
      <formula>$C159</formula>
    </cfRule>
    <cfRule type="cellIs" dxfId="26565" priority="4157" operator="lessThan">
      <formula>$C159</formula>
    </cfRule>
  </conditionalFormatting>
  <conditionalFormatting sqref="D160:E160">
    <cfRule type="expression" dxfId="26564" priority="4154">
      <formula>AND($A160&lt;&gt;"",MOD(ROW(),2))</formula>
    </cfRule>
  </conditionalFormatting>
  <conditionalFormatting sqref="D160">
    <cfRule type="cellIs" dxfId="26563" priority="4151" operator="equal">
      <formula>$C160</formula>
    </cfRule>
    <cfRule type="cellIs" dxfId="26562" priority="4152" operator="greaterThan">
      <formula>$C160</formula>
    </cfRule>
    <cfRule type="cellIs" dxfId="26561" priority="4153" operator="lessThan">
      <formula>$C160</formula>
    </cfRule>
  </conditionalFormatting>
  <conditionalFormatting sqref="D161:E161">
    <cfRule type="expression" dxfId="26560" priority="4150">
      <formula>AND($A161&lt;&gt;"",MOD(ROW(),2))</formula>
    </cfRule>
  </conditionalFormatting>
  <conditionalFormatting sqref="D161">
    <cfRule type="cellIs" dxfId="26559" priority="4147" operator="equal">
      <formula>$C161</formula>
    </cfRule>
    <cfRule type="cellIs" dxfId="26558" priority="4148" operator="greaterThan">
      <formula>$C161</formula>
    </cfRule>
    <cfRule type="cellIs" dxfId="26557" priority="4149" operator="lessThan">
      <formula>$C161</formula>
    </cfRule>
  </conditionalFormatting>
  <conditionalFormatting sqref="D162:E162">
    <cfRule type="expression" dxfId="26556" priority="4146">
      <formula>AND($A162&lt;&gt;"",MOD(ROW(),2))</formula>
    </cfRule>
  </conditionalFormatting>
  <conditionalFormatting sqref="D162">
    <cfRule type="cellIs" dxfId="26555" priority="4143" operator="equal">
      <formula>$C162</formula>
    </cfRule>
    <cfRule type="cellIs" dxfId="26554" priority="4144" operator="greaterThan">
      <formula>$C162</formula>
    </cfRule>
    <cfRule type="cellIs" dxfId="26553" priority="4145" operator="lessThan">
      <formula>$C162</formula>
    </cfRule>
  </conditionalFormatting>
  <conditionalFormatting sqref="D163:E163">
    <cfRule type="expression" dxfId="26552" priority="4142">
      <formula>AND($A163&lt;&gt;"",MOD(ROW(),2))</formula>
    </cfRule>
  </conditionalFormatting>
  <conditionalFormatting sqref="D163">
    <cfRule type="cellIs" dxfId="26551" priority="4139" operator="equal">
      <formula>$C163</formula>
    </cfRule>
    <cfRule type="cellIs" dxfId="26550" priority="4140" operator="greaterThan">
      <formula>$C163</formula>
    </cfRule>
    <cfRule type="cellIs" dxfId="26549" priority="4141" operator="lessThan">
      <formula>$C163</formula>
    </cfRule>
  </conditionalFormatting>
  <conditionalFormatting sqref="D164:E164">
    <cfRule type="expression" dxfId="26548" priority="4138">
      <formula>AND($A164&lt;&gt;"",MOD(ROW(),2))</formula>
    </cfRule>
  </conditionalFormatting>
  <conditionalFormatting sqref="D164">
    <cfRule type="cellIs" dxfId="26547" priority="4135" operator="equal">
      <formula>$C164</formula>
    </cfRule>
    <cfRule type="cellIs" dxfId="26546" priority="4136" operator="greaterThan">
      <formula>$C164</formula>
    </cfRule>
    <cfRule type="cellIs" dxfId="26545" priority="4137" operator="lessThan">
      <formula>$C164</formula>
    </cfRule>
  </conditionalFormatting>
  <conditionalFormatting sqref="F153:F164">
    <cfRule type="containsText" dxfId="26544" priority="4133" operator="containsText" text="Unpaid Rent">
      <formula>NOT(ISERROR(SEARCH("Unpaid Rent",F153)))</formula>
    </cfRule>
    <cfRule type="containsText" dxfId="26543" priority="4134" stopIfTrue="1" operator="containsText" text="Closed Account">
      <formula>NOT(ISERROR(SEARCH("Closed Account",F153)))</formula>
    </cfRule>
  </conditionalFormatting>
  <conditionalFormatting sqref="F165:F174">
    <cfRule type="containsText" dxfId="26542" priority="4131" operator="containsText" text="Unpaid Rent">
      <formula>NOT(ISERROR(SEARCH("Unpaid Rent",F165)))</formula>
    </cfRule>
    <cfRule type="containsText" dxfId="26541" priority="4132" stopIfTrue="1" operator="containsText" text="Closed Account">
      <formula>NOT(ISERROR(SEARCH("Closed Account",F165)))</formula>
    </cfRule>
  </conditionalFormatting>
  <conditionalFormatting sqref="D165:E165">
    <cfRule type="expression" dxfId="26540" priority="4130">
      <formula>AND($A165&lt;&gt;"",MOD(ROW(),2))</formula>
    </cfRule>
  </conditionalFormatting>
  <conditionalFormatting sqref="D165">
    <cfRule type="cellIs" dxfId="26539" priority="4127" operator="equal">
      <formula>$C165</formula>
    </cfRule>
    <cfRule type="cellIs" dxfId="26538" priority="4128" operator="greaterThan">
      <formula>$C165</formula>
    </cfRule>
    <cfRule type="cellIs" dxfId="26537" priority="4129" operator="lessThan">
      <formula>$C165</formula>
    </cfRule>
  </conditionalFormatting>
  <conditionalFormatting sqref="D166:E166">
    <cfRule type="expression" dxfId="26536" priority="4126">
      <formula>AND($A166&lt;&gt;"",MOD(ROW(),2))</formula>
    </cfRule>
  </conditionalFormatting>
  <conditionalFormatting sqref="D166">
    <cfRule type="cellIs" dxfId="26535" priority="4123" operator="equal">
      <formula>$C166</formula>
    </cfRule>
    <cfRule type="cellIs" dxfId="26534" priority="4124" operator="greaterThan">
      <formula>$C166</formula>
    </cfRule>
    <cfRule type="cellIs" dxfId="26533" priority="4125" operator="lessThan">
      <formula>$C166</formula>
    </cfRule>
  </conditionalFormatting>
  <conditionalFormatting sqref="D167:E167">
    <cfRule type="expression" dxfId="26532" priority="4122">
      <formula>AND($A167&lt;&gt;"",MOD(ROW(),2))</formula>
    </cfRule>
  </conditionalFormatting>
  <conditionalFormatting sqref="D167">
    <cfRule type="cellIs" dxfId="26531" priority="4119" operator="equal">
      <formula>$C167</formula>
    </cfRule>
    <cfRule type="cellIs" dxfId="26530" priority="4120" operator="greaterThan">
      <formula>$C167</formula>
    </cfRule>
    <cfRule type="cellIs" dxfId="26529" priority="4121" operator="lessThan">
      <formula>$C167</formula>
    </cfRule>
  </conditionalFormatting>
  <conditionalFormatting sqref="D168:E168">
    <cfRule type="expression" dxfId="26528" priority="4118">
      <formula>AND($A168&lt;&gt;"",MOD(ROW(),2))</formula>
    </cfRule>
  </conditionalFormatting>
  <conditionalFormatting sqref="D168">
    <cfRule type="cellIs" dxfId="26527" priority="4115" operator="equal">
      <formula>$C168</formula>
    </cfRule>
    <cfRule type="cellIs" dxfId="26526" priority="4116" operator="greaterThan">
      <formula>$C168</formula>
    </cfRule>
    <cfRule type="cellIs" dxfId="26525" priority="4117" operator="lessThan">
      <formula>$C168</formula>
    </cfRule>
  </conditionalFormatting>
  <conditionalFormatting sqref="D169:E169">
    <cfRule type="expression" dxfId="26524" priority="4114">
      <formula>AND($A169&lt;&gt;"",MOD(ROW(),2))</formula>
    </cfRule>
  </conditionalFormatting>
  <conditionalFormatting sqref="D169">
    <cfRule type="cellIs" dxfId="26523" priority="4111" operator="equal">
      <formula>$C169</formula>
    </cfRule>
    <cfRule type="cellIs" dxfId="26522" priority="4112" operator="greaterThan">
      <formula>$C169</formula>
    </cfRule>
    <cfRule type="cellIs" dxfId="26521" priority="4113" operator="lessThan">
      <formula>$C169</formula>
    </cfRule>
  </conditionalFormatting>
  <conditionalFormatting sqref="D170:E170">
    <cfRule type="expression" dxfId="26520" priority="4110">
      <formula>AND($A170&lt;&gt;"",MOD(ROW(),2))</formula>
    </cfRule>
  </conditionalFormatting>
  <conditionalFormatting sqref="D170">
    <cfRule type="cellIs" dxfId="26519" priority="4107" operator="equal">
      <formula>$C170</formula>
    </cfRule>
    <cfRule type="cellIs" dxfId="26518" priority="4108" operator="greaterThan">
      <formula>$C170</formula>
    </cfRule>
    <cfRule type="cellIs" dxfId="26517" priority="4109" operator="lessThan">
      <formula>$C170</formula>
    </cfRule>
  </conditionalFormatting>
  <conditionalFormatting sqref="D171:E171">
    <cfRule type="expression" dxfId="26516" priority="4106">
      <formula>AND($A171&lt;&gt;"",MOD(ROW(),2))</formula>
    </cfRule>
  </conditionalFormatting>
  <conditionalFormatting sqref="D171">
    <cfRule type="cellIs" dxfId="26515" priority="4103" operator="equal">
      <formula>$C171</formula>
    </cfRule>
    <cfRule type="cellIs" dxfId="26514" priority="4104" operator="greaterThan">
      <formula>$C171</formula>
    </cfRule>
    <cfRule type="cellIs" dxfId="26513" priority="4105" operator="lessThan">
      <formula>$C171</formula>
    </cfRule>
  </conditionalFormatting>
  <conditionalFormatting sqref="D172:E172">
    <cfRule type="expression" dxfId="26512" priority="4102">
      <formula>AND($A172&lt;&gt;"",MOD(ROW(),2))</formula>
    </cfRule>
  </conditionalFormatting>
  <conditionalFormatting sqref="D172">
    <cfRule type="cellIs" dxfId="26511" priority="4099" operator="equal">
      <formula>$C172</formula>
    </cfRule>
    <cfRule type="cellIs" dxfId="26510" priority="4100" operator="greaterThan">
      <formula>$C172</formula>
    </cfRule>
    <cfRule type="cellIs" dxfId="26509" priority="4101" operator="lessThan">
      <formula>$C172</formula>
    </cfRule>
  </conditionalFormatting>
  <conditionalFormatting sqref="D173:E173">
    <cfRule type="expression" dxfId="26508" priority="4098">
      <formula>AND($A173&lt;&gt;"",MOD(ROW(),2))</formula>
    </cfRule>
  </conditionalFormatting>
  <conditionalFormatting sqref="D173">
    <cfRule type="cellIs" dxfId="26507" priority="4095" operator="equal">
      <formula>$C173</formula>
    </cfRule>
    <cfRule type="cellIs" dxfId="26506" priority="4096" operator="greaterThan">
      <formula>$C173</formula>
    </cfRule>
    <cfRule type="cellIs" dxfId="26505" priority="4097" operator="lessThan">
      <formula>$C173</formula>
    </cfRule>
  </conditionalFormatting>
  <conditionalFormatting sqref="D174:E174">
    <cfRule type="expression" dxfId="26504" priority="4094">
      <formula>AND($A174&lt;&gt;"",MOD(ROW(),2))</formula>
    </cfRule>
  </conditionalFormatting>
  <conditionalFormatting sqref="D174">
    <cfRule type="cellIs" dxfId="26503" priority="4091" operator="equal">
      <formula>$C174</formula>
    </cfRule>
    <cfRule type="cellIs" dxfId="26502" priority="4092" operator="greaterThan">
      <formula>$C174</formula>
    </cfRule>
    <cfRule type="cellIs" dxfId="26501" priority="4093" operator="lessThan">
      <formula>$C174</formula>
    </cfRule>
  </conditionalFormatting>
  <conditionalFormatting sqref="D154:E154">
    <cfRule type="expression" dxfId="26500" priority="4090">
      <formula>AND($A154&lt;&gt;"",MOD(ROW(),2))</formula>
    </cfRule>
  </conditionalFormatting>
  <conditionalFormatting sqref="D154">
    <cfRule type="cellIs" dxfId="26499" priority="4087" operator="equal">
      <formula>$C154</formula>
    </cfRule>
    <cfRule type="cellIs" dxfId="26498" priority="4088" operator="greaterThan">
      <formula>$C154</formula>
    </cfRule>
    <cfRule type="cellIs" dxfId="26497" priority="4089" operator="lessThan">
      <formula>$C154</formula>
    </cfRule>
  </conditionalFormatting>
  <conditionalFormatting sqref="D155:E155">
    <cfRule type="expression" dxfId="26496" priority="4086">
      <formula>AND($A155&lt;&gt;"",MOD(ROW(),2))</formula>
    </cfRule>
  </conditionalFormatting>
  <conditionalFormatting sqref="D155">
    <cfRule type="cellIs" dxfId="26495" priority="4083" operator="equal">
      <formula>$C155</formula>
    </cfRule>
    <cfRule type="cellIs" dxfId="26494" priority="4084" operator="greaterThan">
      <formula>$C155</formula>
    </cfRule>
    <cfRule type="cellIs" dxfId="26493" priority="4085" operator="lessThan">
      <formula>$C155</formula>
    </cfRule>
  </conditionalFormatting>
  <conditionalFormatting sqref="D156:E156">
    <cfRule type="expression" dxfId="26492" priority="4082">
      <formula>AND($A156&lt;&gt;"",MOD(ROW(),2))</formula>
    </cfRule>
  </conditionalFormatting>
  <conditionalFormatting sqref="D156">
    <cfRule type="cellIs" dxfId="26491" priority="4079" operator="equal">
      <formula>$C156</formula>
    </cfRule>
    <cfRule type="cellIs" dxfId="26490" priority="4080" operator="greaterThan">
      <formula>$C156</formula>
    </cfRule>
    <cfRule type="cellIs" dxfId="26489" priority="4081" operator="lessThan">
      <formula>$C156</formula>
    </cfRule>
  </conditionalFormatting>
  <conditionalFormatting sqref="D157:E157">
    <cfRule type="expression" dxfId="26488" priority="4078">
      <formula>AND($A157&lt;&gt;"",MOD(ROW(),2))</formula>
    </cfRule>
  </conditionalFormatting>
  <conditionalFormatting sqref="D157">
    <cfRule type="cellIs" dxfId="26487" priority="4075" operator="equal">
      <formula>$C157</formula>
    </cfRule>
    <cfRule type="cellIs" dxfId="26486" priority="4076" operator="greaterThan">
      <formula>$C157</formula>
    </cfRule>
    <cfRule type="cellIs" dxfId="26485" priority="4077" operator="lessThan">
      <formula>$C157</formula>
    </cfRule>
  </conditionalFormatting>
  <conditionalFormatting sqref="D158:E158">
    <cfRule type="expression" dxfId="26484" priority="4074">
      <formula>AND($A158&lt;&gt;"",MOD(ROW(),2))</formula>
    </cfRule>
  </conditionalFormatting>
  <conditionalFormatting sqref="D158">
    <cfRule type="cellIs" dxfId="26483" priority="4071" operator="equal">
      <formula>$C158</formula>
    </cfRule>
    <cfRule type="cellIs" dxfId="26482" priority="4072" operator="greaterThan">
      <formula>$C158</formula>
    </cfRule>
    <cfRule type="cellIs" dxfId="26481" priority="4073" operator="lessThan">
      <formula>$C158</formula>
    </cfRule>
  </conditionalFormatting>
  <conditionalFormatting sqref="D159:E159">
    <cfRule type="expression" dxfId="26480" priority="4070">
      <formula>AND($A159&lt;&gt;"",MOD(ROW(),2))</formula>
    </cfRule>
  </conditionalFormatting>
  <conditionalFormatting sqref="D159">
    <cfRule type="cellIs" dxfId="26479" priority="4067" operator="equal">
      <formula>$C159</formula>
    </cfRule>
    <cfRule type="cellIs" dxfId="26478" priority="4068" operator="greaterThan">
      <formula>$C159</formula>
    </cfRule>
    <cfRule type="cellIs" dxfId="26477" priority="4069" operator="lessThan">
      <formula>$C159</formula>
    </cfRule>
  </conditionalFormatting>
  <conditionalFormatting sqref="J143:J174">
    <cfRule type="expression" dxfId="26476" priority="4066">
      <formula>AND($A143&lt;&gt;"",MOD(ROW(),2))</formula>
    </cfRule>
  </conditionalFormatting>
  <conditionalFormatting sqref="L128:M153">
    <cfRule type="expression" dxfId="26475" priority="4065">
      <formula>AND($A128&lt;&gt;"",MOD(ROW(),2))</formula>
    </cfRule>
  </conditionalFormatting>
  <conditionalFormatting sqref="N128:N154">
    <cfRule type="expression" dxfId="26474" priority="4062">
      <formula>AND($A128&lt;&gt;"",MOD(ROW(),2))</formula>
    </cfRule>
  </conditionalFormatting>
  <conditionalFormatting sqref="L154:M154">
    <cfRule type="expression" dxfId="26473" priority="4058">
      <formula>AND($A154&lt;&gt;"",MOD(ROW(),2))</formula>
    </cfRule>
  </conditionalFormatting>
  <conditionalFormatting sqref="L128:L154">
    <cfRule type="cellIs" dxfId="26472" priority="4055" operator="equal">
      <formula>$C128</formula>
    </cfRule>
    <cfRule type="cellIs" dxfId="26471" priority="4056" operator="greaterThan">
      <formula>$C128</formula>
    </cfRule>
    <cfRule type="cellIs" dxfId="26470" priority="4057" operator="lessThan">
      <formula>$C128</formula>
    </cfRule>
  </conditionalFormatting>
  <conditionalFormatting sqref="M128:N154">
    <cfRule type="expression" dxfId="26469" priority="4064">
      <formula>AND(#REF!&lt;&gt;"",MOD(ROW(),2))</formula>
    </cfRule>
  </conditionalFormatting>
  <conditionalFormatting sqref="M128:N154">
    <cfRule type="expression" dxfId="26468" priority="4063">
      <formula>AND(#REF!&lt;&gt;"",MOD(ROW(),2))</formula>
    </cfRule>
  </conditionalFormatting>
  <conditionalFormatting sqref="N128:N154">
    <cfRule type="cellIs" dxfId="26467" priority="4059" operator="equal">
      <formula>#REF!</formula>
    </cfRule>
    <cfRule type="cellIs" dxfId="26466" priority="4060" operator="greaterThan">
      <formula>#REF!</formula>
    </cfRule>
    <cfRule type="cellIs" dxfId="26465" priority="4061" operator="lessThan">
      <formula>#REF!</formula>
    </cfRule>
  </conditionalFormatting>
  <conditionalFormatting sqref="A175:A192 C175:C192">
    <cfRule type="expression" dxfId="26464" priority="4054">
      <formula>AND($A175&lt;&gt;"",MOD(ROW(),2))</formula>
    </cfRule>
  </conditionalFormatting>
  <conditionalFormatting sqref="D175:E175">
    <cfRule type="expression" dxfId="26463" priority="4053">
      <formula>AND($A175&lt;&gt;"",MOD(ROW(),2))</formula>
    </cfRule>
  </conditionalFormatting>
  <conditionalFormatting sqref="D175">
    <cfRule type="cellIs" dxfId="26462" priority="4050" operator="equal">
      <formula>$C175</formula>
    </cfRule>
    <cfRule type="cellIs" dxfId="26461" priority="4051" operator="greaterThan">
      <formula>$C175</formula>
    </cfRule>
    <cfRule type="cellIs" dxfId="26460" priority="4052" operator="lessThan">
      <formula>$C175</formula>
    </cfRule>
  </conditionalFormatting>
  <conditionalFormatting sqref="D176:E176">
    <cfRule type="expression" dxfId="26459" priority="4049">
      <formula>AND($A176&lt;&gt;"",MOD(ROW(),2))</formula>
    </cfRule>
  </conditionalFormatting>
  <conditionalFormatting sqref="D176">
    <cfRule type="cellIs" dxfId="26458" priority="4046" operator="equal">
      <formula>$C176</formula>
    </cfRule>
    <cfRule type="cellIs" dxfId="26457" priority="4047" operator="greaterThan">
      <formula>$C176</formula>
    </cfRule>
    <cfRule type="cellIs" dxfId="26456" priority="4048" operator="lessThan">
      <formula>$C176</formula>
    </cfRule>
  </conditionalFormatting>
  <conditionalFormatting sqref="D177:E177">
    <cfRule type="expression" dxfId="26455" priority="4045">
      <formula>AND($A177&lt;&gt;"",MOD(ROW(),2))</formula>
    </cfRule>
  </conditionalFormatting>
  <conditionalFormatting sqref="D177">
    <cfRule type="cellIs" dxfId="26454" priority="4042" operator="equal">
      <formula>$C177</formula>
    </cfRule>
    <cfRule type="cellIs" dxfId="26453" priority="4043" operator="greaterThan">
      <formula>$C177</formula>
    </cfRule>
    <cfRule type="cellIs" dxfId="26452" priority="4044" operator="lessThan">
      <formula>$C177</formula>
    </cfRule>
  </conditionalFormatting>
  <conditionalFormatting sqref="D178:E178">
    <cfRule type="expression" dxfId="26451" priority="4041">
      <formula>AND($A178&lt;&gt;"",MOD(ROW(),2))</formula>
    </cfRule>
  </conditionalFormatting>
  <conditionalFormatting sqref="D178">
    <cfRule type="cellIs" dxfId="26450" priority="4038" operator="equal">
      <formula>$C178</formula>
    </cfRule>
    <cfRule type="cellIs" dxfId="26449" priority="4039" operator="greaterThan">
      <formula>$C178</formula>
    </cfRule>
    <cfRule type="cellIs" dxfId="26448" priority="4040" operator="lessThan">
      <formula>$C178</formula>
    </cfRule>
  </conditionalFormatting>
  <conditionalFormatting sqref="D179:E179">
    <cfRule type="expression" dxfId="26447" priority="4037">
      <formula>AND($A179&lt;&gt;"",MOD(ROW(),2))</formula>
    </cfRule>
  </conditionalFormatting>
  <conditionalFormatting sqref="D179">
    <cfRule type="cellIs" dxfId="26446" priority="4034" operator="equal">
      <formula>$C179</formula>
    </cfRule>
    <cfRule type="cellIs" dxfId="26445" priority="4035" operator="greaterThan">
      <formula>$C179</formula>
    </cfRule>
    <cfRule type="cellIs" dxfId="26444" priority="4036" operator="lessThan">
      <formula>$C179</formula>
    </cfRule>
  </conditionalFormatting>
  <conditionalFormatting sqref="D180:E180">
    <cfRule type="expression" dxfId="26443" priority="4033">
      <formula>AND($A180&lt;&gt;"",MOD(ROW(),2))</formula>
    </cfRule>
  </conditionalFormatting>
  <conditionalFormatting sqref="D180">
    <cfRule type="cellIs" dxfId="26442" priority="4030" operator="equal">
      <formula>$C180</formula>
    </cfRule>
    <cfRule type="cellIs" dxfId="26441" priority="4031" operator="greaterThan">
      <formula>$C180</formula>
    </cfRule>
    <cfRule type="cellIs" dxfId="26440" priority="4032" operator="lessThan">
      <formula>$C180</formula>
    </cfRule>
  </conditionalFormatting>
  <conditionalFormatting sqref="D181:E181">
    <cfRule type="expression" dxfId="26439" priority="4029">
      <formula>AND($A181&lt;&gt;"",MOD(ROW(),2))</formula>
    </cfRule>
  </conditionalFormatting>
  <conditionalFormatting sqref="D181">
    <cfRule type="cellIs" dxfId="26438" priority="4026" operator="equal">
      <formula>$C181</formula>
    </cfRule>
    <cfRule type="cellIs" dxfId="26437" priority="4027" operator="greaterThan">
      <formula>$C181</formula>
    </cfRule>
    <cfRule type="cellIs" dxfId="26436" priority="4028" operator="lessThan">
      <formula>$C181</formula>
    </cfRule>
  </conditionalFormatting>
  <conditionalFormatting sqref="D182:E182">
    <cfRule type="expression" dxfId="26435" priority="4025">
      <formula>AND($A182&lt;&gt;"",MOD(ROW(),2))</formula>
    </cfRule>
  </conditionalFormatting>
  <conditionalFormatting sqref="D182">
    <cfRule type="cellIs" dxfId="26434" priority="4022" operator="equal">
      <formula>$C182</formula>
    </cfRule>
    <cfRule type="cellIs" dxfId="26433" priority="4023" operator="greaterThan">
      <formula>$C182</formula>
    </cfRule>
    <cfRule type="cellIs" dxfId="26432" priority="4024" operator="lessThan">
      <formula>$C182</formula>
    </cfRule>
  </conditionalFormatting>
  <conditionalFormatting sqref="D183:E183">
    <cfRule type="expression" dxfId="26431" priority="4021">
      <formula>AND($A183&lt;&gt;"",MOD(ROW(),2))</formula>
    </cfRule>
  </conditionalFormatting>
  <conditionalFormatting sqref="D183">
    <cfRule type="cellIs" dxfId="26430" priority="4018" operator="equal">
      <formula>$C183</formula>
    </cfRule>
    <cfRule type="cellIs" dxfId="26429" priority="4019" operator="greaterThan">
      <formula>$C183</formula>
    </cfRule>
    <cfRule type="cellIs" dxfId="26428" priority="4020" operator="lessThan">
      <formula>$C183</formula>
    </cfRule>
  </conditionalFormatting>
  <conditionalFormatting sqref="D184:E184">
    <cfRule type="expression" dxfId="26427" priority="4017">
      <formula>AND($A184&lt;&gt;"",MOD(ROW(),2))</formula>
    </cfRule>
  </conditionalFormatting>
  <conditionalFormatting sqref="D184">
    <cfRule type="cellIs" dxfId="26426" priority="4014" operator="equal">
      <formula>$C184</formula>
    </cfRule>
    <cfRule type="cellIs" dxfId="26425" priority="4015" operator="greaterThan">
      <formula>$C184</formula>
    </cfRule>
    <cfRule type="cellIs" dxfId="26424" priority="4016" operator="lessThan">
      <formula>$C184</formula>
    </cfRule>
  </conditionalFormatting>
  <conditionalFormatting sqref="D185:E185">
    <cfRule type="expression" dxfId="26423" priority="4013">
      <formula>AND($A185&lt;&gt;"",MOD(ROW(),2))</formula>
    </cfRule>
  </conditionalFormatting>
  <conditionalFormatting sqref="D185">
    <cfRule type="cellIs" dxfId="26422" priority="4010" operator="equal">
      <formula>$C185</formula>
    </cfRule>
    <cfRule type="cellIs" dxfId="26421" priority="4011" operator="greaterThan">
      <formula>$C185</formula>
    </cfRule>
    <cfRule type="cellIs" dxfId="26420" priority="4012" operator="lessThan">
      <formula>$C185</formula>
    </cfRule>
  </conditionalFormatting>
  <conditionalFormatting sqref="D186:E186">
    <cfRule type="expression" dxfId="26419" priority="4009">
      <formula>AND($A186&lt;&gt;"",MOD(ROW(),2))</formula>
    </cfRule>
  </conditionalFormatting>
  <conditionalFormatting sqref="D186">
    <cfRule type="cellIs" dxfId="26418" priority="4006" operator="equal">
      <formula>$C186</formula>
    </cfRule>
    <cfRule type="cellIs" dxfId="26417" priority="4007" operator="greaterThan">
      <formula>$C186</formula>
    </cfRule>
    <cfRule type="cellIs" dxfId="26416" priority="4008" operator="lessThan">
      <formula>$C186</formula>
    </cfRule>
  </conditionalFormatting>
  <conditionalFormatting sqref="F175:F186">
    <cfRule type="containsText" dxfId="26415" priority="4004" operator="containsText" text="Unpaid Rent">
      <formula>NOT(ISERROR(SEARCH("Unpaid Rent",F175)))</formula>
    </cfRule>
    <cfRule type="containsText" dxfId="26414" priority="4005" stopIfTrue="1" operator="containsText" text="Closed Account">
      <formula>NOT(ISERROR(SEARCH("Closed Account",F175)))</formula>
    </cfRule>
  </conditionalFormatting>
  <conditionalFormatting sqref="F187:F192">
    <cfRule type="containsText" dxfId="26413" priority="4002" operator="containsText" text="Unpaid Rent">
      <formula>NOT(ISERROR(SEARCH("Unpaid Rent",F187)))</formula>
    </cfRule>
    <cfRule type="containsText" dxfId="26412" priority="4003" stopIfTrue="1" operator="containsText" text="Closed Account">
      <formula>NOT(ISERROR(SEARCH("Closed Account",F187)))</formula>
    </cfRule>
  </conditionalFormatting>
  <conditionalFormatting sqref="D187:E187">
    <cfRule type="expression" dxfId="26411" priority="4001">
      <formula>AND($A187&lt;&gt;"",MOD(ROW(),2))</formula>
    </cfRule>
  </conditionalFormatting>
  <conditionalFormatting sqref="D187">
    <cfRule type="cellIs" dxfId="26410" priority="3998" operator="equal">
      <formula>$C187</formula>
    </cfRule>
    <cfRule type="cellIs" dxfId="26409" priority="3999" operator="greaterThan">
      <formula>$C187</formula>
    </cfRule>
    <cfRule type="cellIs" dxfId="26408" priority="4000" operator="lessThan">
      <formula>$C187</formula>
    </cfRule>
  </conditionalFormatting>
  <conditionalFormatting sqref="D188:E188">
    <cfRule type="expression" dxfId="26407" priority="3997">
      <formula>AND($A188&lt;&gt;"",MOD(ROW(),2))</formula>
    </cfRule>
  </conditionalFormatting>
  <conditionalFormatting sqref="D188">
    <cfRule type="cellIs" dxfId="26406" priority="3994" operator="equal">
      <formula>$C188</formula>
    </cfRule>
    <cfRule type="cellIs" dxfId="26405" priority="3995" operator="greaterThan">
      <formula>$C188</formula>
    </cfRule>
    <cfRule type="cellIs" dxfId="26404" priority="3996" operator="lessThan">
      <formula>$C188</formula>
    </cfRule>
  </conditionalFormatting>
  <conditionalFormatting sqref="D189:E189">
    <cfRule type="expression" dxfId="26403" priority="3993">
      <formula>AND($A189&lt;&gt;"",MOD(ROW(),2))</formula>
    </cfRule>
  </conditionalFormatting>
  <conditionalFormatting sqref="D189">
    <cfRule type="cellIs" dxfId="26402" priority="3990" operator="equal">
      <formula>$C189</formula>
    </cfRule>
    <cfRule type="cellIs" dxfId="26401" priority="3991" operator="greaterThan">
      <formula>$C189</formula>
    </cfRule>
    <cfRule type="cellIs" dxfId="26400" priority="3992" operator="lessThan">
      <formula>$C189</formula>
    </cfRule>
  </conditionalFormatting>
  <conditionalFormatting sqref="D190:E190">
    <cfRule type="expression" dxfId="26399" priority="3989">
      <formula>AND($A190&lt;&gt;"",MOD(ROW(),2))</formula>
    </cfRule>
  </conditionalFormatting>
  <conditionalFormatting sqref="D190">
    <cfRule type="cellIs" dxfId="26398" priority="3986" operator="equal">
      <formula>$C190</formula>
    </cfRule>
    <cfRule type="cellIs" dxfId="26397" priority="3987" operator="greaterThan">
      <formula>$C190</formula>
    </cfRule>
    <cfRule type="cellIs" dxfId="26396" priority="3988" operator="lessThan">
      <formula>$C190</formula>
    </cfRule>
  </conditionalFormatting>
  <conditionalFormatting sqref="D191:E191">
    <cfRule type="expression" dxfId="26395" priority="3985">
      <formula>AND($A191&lt;&gt;"",MOD(ROW(),2))</formula>
    </cfRule>
  </conditionalFormatting>
  <conditionalFormatting sqref="D191">
    <cfRule type="cellIs" dxfId="26394" priority="3982" operator="equal">
      <formula>$C191</formula>
    </cfRule>
    <cfRule type="cellIs" dxfId="26393" priority="3983" operator="greaterThan">
      <formula>$C191</formula>
    </cfRule>
    <cfRule type="cellIs" dxfId="26392" priority="3984" operator="lessThan">
      <formula>$C191</formula>
    </cfRule>
  </conditionalFormatting>
  <conditionalFormatting sqref="D192:E192">
    <cfRule type="expression" dxfId="26391" priority="3981">
      <formula>AND($A192&lt;&gt;"",MOD(ROW(),2))</formula>
    </cfRule>
  </conditionalFormatting>
  <conditionalFormatting sqref="D192">
    <cfRule type="cellIs" dxfId="26390" priority="3978" operator="equal">
      <formula>$C192</formula>
    </cfRule>
    <cfRule type="cellIs" dxfId="26389" priority="3979" operator="greaterThan">
      <formula>$C192</formula>
    </cfRule>
    <cfRule type="cellIs" dxfId="26388" priority="3980" operator="lessThan">
      <formula>$C192</formula>
    </cfRule>
  </conditionalFormatting>
  <conditionalFormatting sqref="J175:J192">
    <cfRule type="expression" dxfId="26387" priority="3977">
      <formula>AND($A175&lt;&gt;"",MOD(ROW(),2))</formula>
    </cfRule>
  </conditionalFormatting>
  <conditionalFormatting sqref="L155:M163">
    <cfRule type="expression" dxfId="26386" priority="3976">
      <formula>AND($A155&lt;&gt;"",MOD(ROW(),2))</formula>
    </cfRule>
  </conditionalFormatting>
  <conditionalFormatting sqref="N155:N163">
    <cfRule type="expression" dxfId="26385" priority="3973">
      <formula>AND($A155&lt;&gt;"",MOD(ROW(),2))</formula>
    </cfRule>
  </conditionalFormatting>
  <conditionalFormatting sqref="L155:L163">
    <cfRule type="cellIs" dxfId="26384" priority="3967" operator="equal">
      <formula>$C155</formula>
    </cfRule>
    <cfRule type="cellIs" dxfId="26383" priority="3968" operator="greaterThan">
      <formula>$C155</formula>
    </cfRule>
    <cfRule type="cellIs" dxfId="26382" priority="3969" operator="lessThan">
      <formula>$C155</formula>
    </cfRule>
  </conditionalFormatting>
  <conditionalFormatting sqref="M155:N163">
    <cfRule type="expression" dxfId="26381" priority="3975">
      <formula>AND(#REF!&lt;&gt;"",MOD(ROW(),2))</formula>
    </cfRule>
  </conditionalFormatting>
  <conditionalFormatting sqref="M155:N163">
    <cfRule type="expression" dxfId="26380" priority="3974">
      <formula>AND(#REF!&lt;&gt;"",MOD(ROW(),2))</formula>
    </cfRule>
  </conditionalFormatting>
  <conditionalFormatting sqref="N155:N163">
    <cfRule type="cellIs" dxfId="26379" priority="3970" operator="equal">
      <formula>#REF!</formula>
    </cfRule>
    <cfRule type="cellIs" dxfId="26378" priority="3971" operator="greaterThan">
      <formula>#REF!</formula>
    </cfRule>
    <cfRule type="cellIs" dxfId="26377" priority="3972" operator="lessThan">
      <formula>#REF!</formula>
    </cfRule>
  </conditionalFormatting>
  <conditionalFormatting sqref="A193:A242 C193:E226 C227:C242 G193:G242">
    <cfRule type="expression" dxfId="26376" priority="3966">
      <formula>AND($A193&lt;&gt;"",MOD(ROW(),2))</formula>
    </cfRule>
  </conditionalFormatting>
  <conditionalFormatting sqref="D193:D226">
    <cfRule type="cellIs" dxfId="26375" priority="3963" operator="equal">
      <formula>$C193</formula>
    </cfRule>
    <cfRule type="cellIs" dxfId="26374" priority="3964" operator="greaterThan">
      <formula>$C193</formula>
    </cfRule>
    <cfRule type="cellIs" dxfId="26373" priority="3965" operator="lessThan">
      <formula>$C193</formula>
    </cfRule>
  </conditionalFormatting>
  <conditionalFormatting sqref="F193:F226">
    <cfRule type="containsText" dxfId="26372" priority="3961" operator="containsText" text="Unpaid Rent">
      <formula>NOT(ISERROR(SEARCH("Unpaid Rent",F193)))</formula>
    </cfRule>
    <cfRule type="containsText" dxfId="26371" priority="3962" stopIfTrue="1" operator="containsText" text="Closed Account">
      <formula>NOT(ISERROR(SEARCH("Closed Account",F193)))</formula>
    </cfRule>
  </conditionalFormatting>
  <conditionalFormatting sqref="D225:E225">
    <cfRule type="expression" dxfId="26370" priority="3960">
      <formula>AND($A225&lt;&gt;"",MOD(ROW(),2))</formula>
    </cfRule>
  </conditionalFormatting>
  <conditionalFormatting sqref="D225">
    <cfRule type="cellIs" dxfId="26369" priority="3957" operator="equal">
      <formula>$C225</formula>
    </cfRule>
    <cfRule type="cellIs" dxfId="26368" priority="3958" operator="greaterThan">
      <formula>$C225</formula>
    </cfRule>
    <cfRule type="cellIs" dxfId="26367" priority="3959" operator="lessThan">
      <formula>$C225</formula>
    </cfRule>
  </conditionalFormatting>
  <conditionalFormatting sqref="D226:E226">
    <cfRule type="expression" dxfId="26366" priority="3956">
      <formula>AND($A226&lt;&gt;"",MOD(ROW(),2))</formula>
    </cfRule>
  </conditionalFormatting>
  <conditionalFormatting sqref="D226">
    <cfRule type="cellIs" dxfId="26365" priority="3953" operator="equal">
      <formula>$C226</formula>
    </cfRule>
    <cfRule type="cellIs" dxfId="26364" priority="3954" operator="greaterThan">
      <formula>$C226</formula>
    </cfRule>
    <cfRule type="cellIs" dxfId="26363" priority="3955" operator="lessThan">
      <formula>$C226</formula>
    </cfRule>
  </conditionalFormatting>
  <conditionalFormatting sqref="D227:E227">
    <cfRule type="expression" dxfId="26362" priority="3952">
      <formula>AND($A227&lt;&gt;"",MOD(ROW(),2))</formula>
    </cfRule>
  </conditionalFormatting>
  <conditionalFormatting sqref="D227">
    <cfRule type="cellIs" dxfId="26361" priority="3949" operator="equal">
      <formula>$C227</formula>
    </cfRule>
    <cfRule type="cellIs" dxfId="26360" priority="3950" operator="greaterThan">
      <formula>$C227</formula>
    </cfRule>
    <cfRule type="cellIs" dxfId="26359" priority="3951" operator="lessThan">
      <formula>$C227</formula>
    </cfRule>
  </conditionalFormatting>
  <conditionalFormatting sqref="D228:E228">
    <cfRule type="expression" dxfId="26358" priority="3948">
      <formula>AND($A228&lt;&gt;"",MOD(ROW(),2))</formula>
    </cfRule>
  </conditionalFormatting>
  <conditionalFormatting sqref="D228">
    <cfRule type="cellIs" dxfId="26357" priority="3945" operator="equal">
      <formula>$C228</formula>
    </cfRule>
    <cfRule type="cellIs" dxfId="26356" priority="3946" operator="greaterThan">
      <formula>$C228</formula>
    </cfRule>
    <cfRule type="cellIs" dxfId="26355" priority="3947" operator="lessThan">
      <formula>$C228</formula>
    </cfRule>
  </conditionalFormatting>
  <conditionalFormatting sqref="D229:E229">
    <cfRule type="expression" dxfId="26354" priority="3944">
      <formula>AND($A229&lt;&gt;"",MOD(ROW(),2))</formula>
    </cfRule>
  </conditionalFormatting>
  <conditionalFormatting sqref="D229">
    <cfRule type="cellIs" dxfId="26353" priority="3941" operator="equal">
      <formula>$C229</formula>
    </cfRule>
    <cfRule type="cellIs" dxfId="26352" priority="3942" operator="greaterThan">
      <formula>$C229</formula>
    </cfRule>
    <cfRule type="cellIs" dxfId="26351" priority="3943" operator="lessThan">
      <formula>$C229</formula>
    </cfRule>
  </conditionalFormatting>
  <conditionalFormatting sqref="D230">
    <cfRule type="expression" dxfId="26350" priority="3940">
      <formula>AND($A230&lt;&gt;"",MOD(ROW(),2))</formula>
    </cfRule>
  </conditionalFormatting>
  <conditionalFormatting sqref="D230">
    <cfRule type="cellIs" dxfId="26349" priority="3937" operator="equal">
      <formula>$C230</formula>
    </cfRule>
    <cfRule type="cellIs" dxfId="26348" priority="3938" operator="greaterThan">
      <formula>$C230</formula>
    </cfRule>
    <cfRule type="cellIs" dxfId="26347" priority="3939" operator="lessThan">
      <formula>$C230</formula>
    </cfRule>
  </conditionalFormatting>
  <conditionalFormatting sqref="D231:E231">
    <cfRule type="expression" dxfId="26346" priority="3936">
      <formula>AND($A231&lt;&gt;"",MOD(ROW(),2))</formula>
    </cfRule>
  </conditionalFormatting>
  <conditionalFormatting sqref="D231">
    <cfRule type="cellIs" dxfId="26345" priority="3933" operator="equal">
      <formula>$C231</formula>
    </cfRule>
    <cfRule type="cellIs" dxfId="26344" priority="3934" operator="greaterThan">
      <formula>$C231</formula>
    </cfRule>
    <cfRule type="cellIs" dxfId="26343" priority="3935" operator="lessThan">
      <formula>$C231</formula>
    </cfRule>
  </conditionalFormatting>
  <conditionalFormatting sqref="D232:E232">
    <cfRule type="expression" dxfId="26342" priority="3932">
      <formula>AND($A232&lt;&gt;"",MOD(ROW(),2))</formula>
    </cfRule>
  </conditionalFormatting>
  <conditionalFormatting sqref="D232">
    <cfRule type="cellIs" dxfId="26341" priority="3929" operator="equal">
      <formula>$C232</formula>
    </cfRule>
    <cfRule type="cellIs" dxfId="26340" priority="3930" operator="greaterThan">
      <formula>$C232</formula>
    </cfRule>
    <cfRule type="cellIs" dxfId="26339" priority="3931" operator="lessThan">
      <formula>$C232</formula>
    </cfRule>
  </conditionalFormatting>
  <conditionalFormatting sqref="D233:E233">
    <cfRule type="expression" dxfId="26338" priority="3928">
      <formula>AND($A233&lt;&gt;"",MOD(ROW(),2))</formula>
    </cfRule>
  </conditionalFormatting>
  <conditionalFormatting sqref="D233">
    <cfRule type="cellIs" dxfId="26337" priority="3925" operator="equal">
      <formula>$C233</formula>
    </cfRule>
    <cfRule type="cellIs" dxfId="26336" priority="3926" operator="greaterThan">
      <formula>$C233</formula>
    </cfRule>
    <cfRule type="cellIs" dxfId="26335" priority="3927" operator="lessThan">
      <formula>$C233</formula>
    </cfRule>
  </conditionalFormatting>
  <conditionalFormatting sqref="D234:E234">
    <cfRule type="expression" dxfId="26334" priority="3924">
      <formula>AND($A234&lt;&gt;"",MOD(ROW(),2))</formula>
    </cfRule>
  </conditionalFormatting>
  <conditionalFormatting sqref="D234">
    <cfRule type="cellIs" dxfId="26333" priority="3921" operator="equal">
      <formula>$C234</formula>
    </cfRule>
    <cfRule type="cellIs" dxfId="26332" priority="3922" operator="greaterThan">
      <formula>$C234</formula>
    </cfRule>
    <cfRule type="cellIs" dxfId="26331" priority="3923" operator="lessThan">
      <formula>$C234</formula>
    </cfRule>
  </conditionalFormatting>
  <conditionalFormatting sqref="D235:E235">
    <cfRule type="expression" dxfId="26330" priority="3920">
      <formula>AND($A235&lt;&gt;"",MOD(ROW(),2))</formula>
    </cfRule>
  </conditionalFormatting>
  <conditionalFormatting sqref="D235">
    <cfRule type="cellIs" dxfId="26329" priority="3917" operator="equal">
      <formula>$C235</formula>
    </cfRule>
    <cfRule type="cellIs" dxfId="26328" priority="3918" operator="greaterThan">
      <formula>$C235</formula>
    </cfRule>
    <cfRule type="cellIs" dxfId="26327" priority="3919" operator="lessThan">
      <formula>$C235</formula>
    </cfRule>
  </conditionalFormatting>
  <conditionalFormatting sqref="D236:E236">
    <cfRule type="expression" dxfId="26326" priority="3916">
      <formula>AND($A236&lt;&gt;"",MOD(ROW(),2))</formula>
    </cfRule>
  </conditionalFormatting>
  <conditionalFormatting sqref="D236">
    <cfRule type="cellIs" dxfId="26325" priority="3913" operator="equal">
      <formula>$C236</formula>
    </cfRule>
    <cfRule type="cellIs" dxfId="26324" priority="3914" operator="greaterThan">
      <formula>$C236</formula>
    </cfRule>
    <cfRule type="cellIs" dxfId="26323" priority="3915" operator="lessThan">
      <formula>$C236</formula>
    </cfRule>
  </conditionalFormatting>
  <conditionalFormatting sqref="F225:F236">
    <cfRule type="containsText" dxfId="26322" priority="3911" operator="containsText" text="Unpaid Rent">
      <formula>NOT(ISERROR(SEARCH("Unpaid Rent",F225)))</formula>
    </cfRule>
    <cfRule type="containsText" dxfId="26321" priority="3912" stopIfTrue="1" operator="containsText" text="Closed Account">
      <formula>NOT(ISERROR(SEARCH("Closed Account",F225)))</formula>
    </cfRule>
  </conditionalFormatting>
  <conditionalFormatting sqref="F237:F242">
    <cfRule type="containsText" dxfId="26320" priority="3909" operator="containsText" text="Unpaid Rent">
      <formula>NOT(ISERROR(SEARCH("Unpaid Rent",F237)))</formula>
    </cfRule>
    <cfRule type="containsText" dxfId="26319" priority="3910" stopIfTrue="1" operator="containsText" text="Closed Account">
      <formula>NOT(ISERROR(SEARCH("Closed Account",F237)))</formula>
    </cfRule>
  </conditionalFormatting>
  <conditionalFormatting sqref="D237:E237">
    <cfRule type="expression" dxfId="26318" priority="3908">
      <formula>AND($A237&lt;&gt;"",MOD(ROW(),2))</formula>
    </cfRule>
  </conditionalFormatting>
  <conditionalFormatting sqref="D237">
    <cfRule type="cellIs" dxfId="26317" priority="3905" operator="equal">
      <formula>$C237</formula>
    </cfRule>
    <cfRule type="cellIs" dxfId="26316" priority="3906" operator="greaterThan">
      <formula>$C237</formula>
    </cfRule>
    <cfRule type="cellIs" dxfId="26315" priority="3907" operator="lessThan">
      <formula>$C237</formula>
    </cfRule>
  </conditionalFormatting>
  <conditionalFormatting sqref="E238">
    <cfRule type="expression" dxfId="26314" priority="3904">
      <formula>AND($A238&lt;&gt;"",MOD(ROW(),2))</formula>
    </cfRule>
  </conditionalFormatting>
  <conditionalFormatting sqref="E239">
    <cfRule type="expression" dxfId="26313" priority="3903">
      <formula>AND($A239&lt;&gt;"",MOD(ROW(),2))</formula>
    </cfRule>
  </conditionalFormatting>
  <conditionalFormatting sqref="E240">
    <cfRule type="expression" dxfId="26312" priority="3902">
      <formula>AND($A240&lt;&gt;"",MOD(ROW(),2))</formula>
    </cfRule>
  </conditionalFormatting>
  <conditionalFormatting sqref="D241:E241">
    <cfRule type="expression" dxfId="26311" priority="3901">
      <formula>AND($A241&lt;&gt;"",MOD(ROW(),2))</formula>
    </cfRule>
  </conditionalFormatting>
  <conditionalFormatting sqref="D241">
    <cfRule type="cellIs" dxfId="26310" priority="3898" operator="equal">
      <formula>$C241</formula>
    </cfRule>
    <cfRule type="cellIs" dxfId="26309" priority="3899" operator="greaterThan">
      <formula>$C241</formula>
    </cfRule>
    <cfRule type="cellIs" dxfId="26308" priority="3900" operator="lessThan">
      <formula>$C241</formula>
    </cfRule>
  </conditionalFormatting>
  <conditionalFormatting sqref="D242:E242">
    <cfRule type="expression" dxfId="26307" priority="3897">
      <formula>AND($A242&lt;&gt;"",MOD(ROW(),2))</formula>
    </cfRule>
  </conditionalFormatting>
  <conditionalFormatting sqref="D242">
    <cfRule type="cellIs" dxfId="26306" priority="3894" operator="equal">
      <formula>$C242</formula>
    </cfRule>
    <cfRule type="cellIs" dxfId="26305" priority="3895" operator="greaterThan">
      <formula>$C242</formula>
    </cfRule>
    <cfRule type="cellIs" dxfId="26304" priority="3896" operator="lessThan">
      <formula>$C242</formula>
    </cfRule>
  </conditionalFormatting>
  <conditionalFormatting sqref="D226:E226">
    <cfRule type="expression" dxfId="26303" priority="3893">
      <formula>AND($A226&lt;&gt;"",MOD(ROW(),2))</formula>
    </cfRule>
  </conditionalFormatting>
  <conditionalFormatting sqref="D226">
    <cfRule type="cellIs" dxfId="26302" priority="3890" operator="equal">
      <formula>$C226</formula>
    </cfRule>
    <cfRule type="cellIs" dxfId="26301" priority="3891" operator="greaterThan">
      <formula>$C226</formula>
    </cfRule>
    <cfRule type="cellIs" dxfId="26300" priority="3892" operator="lessThan">
      <formula>$C226</formula>
    </cfRule>
  </conditionalFormatting>
  <conditionalFormatting sqref="D226:E226">
    <cfRule type="expression" dxfId="26299" priority="3889">
      <formula>AND($A226&lt;&gt;"",MOD(ROW(),2))</formula>
    </cfRule>
  </conditionalFormatting>
  <conditionalFormatting sqref="D226">
    <cfRule type="cellIs" dxfId="26298" priority="3886" operator="equal">
      <formula>$C226</formula>
    </cfRule>
    <cfRule type="cellIs" dxfId="26297" priority="3887" operator="greaterThan">
      <formula>$C226</formula>
    </cfRule>
    <cfRule type="cellIs" dxfId="26296" priority="3888" operator="lessThan">
      <formula>$C226</formula>
    </cfRule>
  </conditionalFormatting>
  <conditionalFormatting sqref="D227:E227">
    <cfRule type="expression" dxfId="26295" priority="3885">
      <formula>AND($A227&lt;&gt;"",MOD(ROW(),2))</formula>
    </cfRule>
  </conditionalFormatting>
  <conditionalFormatting sqref="D227">
    <cfRule type="cellIs" dxfId="26294" priority="3882" operator="equal">
      <formula>$C227</formula>
    </cfRule>
    <cfRule type="cellIs" dxfId="26293" priority="3883" operator="greaterThan">
      <formula>$C227</formula>
    </cfRule>
    <cfRule type="cellIs" dxfId="26292" priority="3884" operator="lessThan">
      <formula>$C227</formula>
    </cfRule>
  </conditionalFormatting>
  <conditionalFormatting sqref="D227:E227">
    <cfRule type="expression" dxfId="26291" priority="3881">
      <formula>AND($A227&lt;&gt;"",MOD(ROW(),2))</formula>
    </cfRule>
  </conditionalFormatting>
  <conditionalFormatting sqref="D227">
    <cfRule type="cellIs" dxfId="26290" priority="3878" operator="equal">
      <formula>$C227</formula>
    </cfRule>
    <cfRule type="cellIs" dxfId="26289" priority="3879" operator="greaterThan">
      <formula>$C227</formula>
    </cfRule>
    <cfRule type="cellIs" dxfId="26288" priority="3880" operator="lessThan">
      <formula>$C227</formula>
    </cfRule>
  </conditionalFormatting>
  <conditionalFormatting sqref="E230">
    <cfRule type="expression" dxfId="26287" priority="3877">
      <formula>AND($A230&lt;&gt;"",MOD(ROW(),2))</formula>
    </cfRule>
  </conditionalFormatting>
  <conditionalFormatting sqref="D238">
    <cfRule type="expression" dxfId="26286" priority="3876">
      <formula>AND($A238&lt;&gt;"",MOD(ROW(),2))</formula>
    </cfRule>
  </conditionalFormatting>
  <conditionalFormatting sqref="D238">
    <cfRule type="cellIs" dxfId="26285" priority="3873" operator="equal">
      <formula>$C238</formula>
    </cfRule>
    <cfRule type="cellIs" dxfId="26284" priority="3874" operator="greaterThan">
      <formula>$C238</formula>
    </cfRule>
    <cfRule type="cellIs" dxfId="26283" priority="3875" operator="lessThan">
      <formula>$C238</formula>
    </cfRule>
  </conditionalFormatting>
  <conditionalFormatting sqref="D239">
    <cfRule type="expression" dxfId="26282" priority="3872">
      <formula>AND($A239&lt;&gt;"",MOD(ROW(),2))</formula>
    </cfRule>
  </conditionalFormatting>
  <conditionalFormatting sqref="D239">
    <cfRule type="cellIs" dxfId="26281" priority="3869" operator="equal">
      <formula>$C239</formula>
    </cfRule>
    <cfRule type="cellIs" dxfId="26280" priority="3870" operator="greaterThan">
      <formula>$C239</formula>
    </cfRule>
    <cfRule type="cellIs" dxfId="26279" priority="3871" operator="lessThan">
      <formula>$C239</formula>
    </cfRule>
  </conditionalFormatting>
  <conditionalFormatting sqref="D240">
    <cfRule type="expression" dxfId="26278" priority="3868">
      <formula>AND($A240&lt;&gt;"",MOD(ROW(),2))</formula>
    </cfRule>
  </conditionalFormatting>
  <conditionalFormatting sqref="D240">
    <cfRule type="cellIs" dxfId="26277" priority="3865" operator="equal">
      <formula>$C240</formula>
    </cfRule>
    <cfRule type="cellIs" dxfId="26276" priority="3866" operator="greaterThan">
      <formula>$C240</formula>
    </cfRule>
    <cfRule type="cellIs" dxfId="26275" priority="3867" operator="lessThan">
      <formula>$C240</formula>
    </cfRule>
  </conditionalFormatting>
  <conditionalFormatting sqref="D237">
    <cfRule type="expression" dxfId="26274" priority="3864">
      <formula>AND($A237&lt;&gt;"",MOD(ROW(),2))</formula>
    </cfRule>
  </conditionalFormatting>
  <conditionalFormatting sqref="D237">
    <cfRule type="cellIs" dxfId="26273" priority="3861" operator="equal">
      <formula>$C237</formula>
    </cfRule>
    <cfRule type="cellIs" dxfId="26272" priority="3862" operator="greaterThan">
      <formula>$C237</formula>
    </cfRule>
    <cfRule type="cellIs" dxfId="26271" priority="3863" operator="lessThan">
      <formula>$C237</formula>
    </cfRule>
  </conditionalFormatting>
  <conditionalFormatting sqref="D238">
    <cfRule type="expression" dxfId="26270" priority="3860">
      <formula>AND($A238&lt;&gt;"",MOD(ROW(),2))</formula>
    </cfRule>
  </conditionalFormatting>
  <conditionalFormatting sqref="D238">
    <cfRule type="cellIs" dxfId="26269" priority="3857" operator="equal">
      <formula>$C238</formula>
    </cfRule>
    <cfRule type="cellIs" dxfId="26268" priority="3858" operator="greaterThan">
      <formula>$C238</formula>
    </cfRule>
    <cfRule type="cellIs" dxfId="26267" priority="3859" operator="lessThan">
      <formula>$C238</formula>
    </cfRule>
  </conditionalFormatting>
  <conditionalFormatting sqref="D239">
    <cfRule type="expression" dxfId="26266" priority="3856">
      <formula>AND($A239&lt;&gt;"",MOD(ROW(),2))</formula>
    </cfRule>
  </conditionalFormatting>
  <conditionalFormatting sqref="D239">
    <cfRule type="cellIs" dxfId="26265" priority="3853" operator="equal">
      <formula>$C239</formula>
    </cfRule>
    <cfRule type="cellIs" dxfId="26264" priority="3854" operator="greaterThan">
      <formula>$C239</formula>
    </cfRule>
    <cfRule type="cellIs" dxfId="26263" priority="3855" operator="lessThan">
      <formula>$C239</formula>
    </cfRule>
  </conditionalFormatting>
  <conditionalFormatting sqref="D239">
    <cfRule type="expression" dxfId="26262" priority="3852">
      <formula>AND($A239&lt;&gt;"",MOD(ROW(),2))</formula>
    </cfRule>
  </conditionalFormatting>
  <conditionalFormatting sqref="D239">
    <cfRule type="cellIs" dxfId="26261" priority="3849" operator="equal">
      <formula>$C239</formula>
    </cfRule>
    <cfRule type="cellIs" dxfId="26260" priority="3850" operator="greaterThan">
      <formula>$C239</formula>
    </cfRule>
    <cfRule type="cellIs" dxfId="26259" priority="3851" operator="lessThan">
      <formula>$C239</formula>
    </cfRule>
  </conditionalFormatting>
  <conditionalFormatting sqref="D240">
    <cfRule type="expression" dxfId="26258" priority="3848">
      <formula>AND($A240&lt;&gt;"",MOD(ROW(),2))</formula>
    </cfRule>
  </conditionalFormatting>
  <conditionalFormatting sqref="D240">
    <cfRule type="cellIs" dxfId="26257" priority="3845" operator="equal">
      <formula>$C240</formula>
    </cfRule>
    <cfRule type="cellIs" dxfId="26256" priority="3846" operator="greaterThan">
      <formula>$C240</formula>
    </cfRule>
    <cfRule type="cellIs" dxfId="26255" priority="3847" operator="lessThan">
      <formula>$C240</formula>
    </cfRule>
  </conditionalFormatting>
  <conditionalFormatting sqref="D241">
    <cfRule type="expression" dxfId="26254" priority="3844">
      <formula>AND($A241&lt;&gt;"",MOD(ROW(),2))</formula>
    </cfRule>
  </conditionalFormatting>
  <conditionalFormatting sqref="D241">
    <cfRule type="cellIs" dxfId="26253" priority="3841" operator="equal">
      <formula>$C241</formula>
    </cfRule>
    <cfRule type="cellIs" dxfId="26252" priority="3842" operator="greaterThan">
      <formula>$C241</formula>
    </cfRule>
    <cfRule type="cellIs" dxfId="26251" priority="3843" operator="lessThan">
      <formula>$C241</formula>
    </cfRule>
  </conditionalFormatting>
  <conditionalFormatting sqref="D239">
    <cfRule type="expression" dxfId="26250" priority="3840">
      <formula>AND($A239&lt;&gt;"",MOD(ROW(),2))</formula>
    </cfRule>
  </conditionalFormatting>
  <conditionalFormatting sqref="D239">
    <cfRule type="cellIs" dxfId="26249" priority="3837" operator="equal">
      <formula>$C239</formula>
    </cfRule>
    <cfRule type="cellIs" dxfId="26248" priority="3838" operator="greaterThan">
      <formula>$C239</formula>
    </cfRule>
    <cfRule type="cellIs" dxfId="26247" priority="3839" operator="lessThan">
      <formula>$C239</formula>
    </cfRule>
  </conditionalFormatting>
  <conditionalFormatting sqref="D240">
    <cfRule type="expression" dxfId="26246" priority="3836">
      <formula>AND($A240&lt;&gt;"",MOD(ROW(),2))</formula>
    </cfRule>
  </conditionalFormatting>
  <conditionalFormatting sqref="D240">
    <cfRule type="cellIs" dxfId="26245" priority="3833" operator="equal">
      <formula>$C240</formula>
    </cfRule>
    <cfRule type="cellIs" dxfId="26244" priority="3834" operator="greaterThan">
      <formula>$C240</formula>
    </cfRule>
    <cfRule type="cellIs" dxfId="26243" priority="3835" operator="lessThan">
      <formula>$C240</formula>
    </cfRule>
  </conditionalFormatting>
  <conditionalFormatting sqref="J193:J242">
    <cfRule type="expression" dxfId="26242" priority="3832">
      <formula>AND($A193&lt;&gt;"",MOD(ROW(),2))</formula>
    </cfRule>
  </conditionalFormatting>
  <conditionalFormatting sqref="H199:H242">
    <cfRule type="expression" dxfId="26241" priority="12066">
      <formula>AND($A192&lt;&gt;"",MOD(ROW(),2))</formula>
    </cfRule>
  </conditionalFormatting>
  <conditionalFormatting sqref="L165:N176">
    <cfRule type="expression" dxfId="26240" priority="3831">
      <formula>AND($A165&lt;&gt;"",MOD(ROW(),2))</formula>
    </cfRule>
  </conditionalFormatting>
  <conditionalFormatting sqref="L165:L176">
    <cfRule type="cellIs" dxfId="26239" priority="3828" operator="equal">
      <formula>$C165</formula>
    </cfRule>
    <cfRule type="cellIs" dxfId="26238" priority="3829" operator="greaterThan">
      <formula>$C165</formula>
    </cfRule>
    <cfRule type="cellIs" dxfId="26237" priority="3830" operator="lessThan">
      <formula>$C165</formula>
    </cfRule>
  </conditionalFormatting>
  <conditionalFormatting sqref="L176:N204">
    <cfRule type="expression" dxfId="26236" priority="3822">
      <formula>AND($A175&lt;&gt;"",MOD(ROW(),2))</formula>
    </cfRule>
  </conditionalFormatting>
  <conditionalFormatting sqref="L176:L204">
    <cfRule type="cellIs" dxfId="26235" priority="3819" operator="equal">
      <formula>$C175</formula>
    </cfRule>
    <cfRule type="cellIs" dxfId="26234" priority="3820" operator="greaterThan">
      <formula>$C175</formula>
    </cfRule>
    <cfRule type="cellIs" dxfId="26233" priority="3821" operator="lessThan">
      <formula>$C175</formula>
    </cfRule>
  </conditionalFormatting>
  <conditionalFormatting sqref="M165:N204">
    <cfRule type="expression" dxfId="26232" priority="3827">
      <formula>AND(#REF!&lt;&gt;"",MOD(ROW(),2))</formula>
    </cfRule>
  </conditionalFormatting>
  <conditionalFormatting sqref="M165:N204">
    <cfRule type="expression" dxfId="26231" priority="3826">
      <formula>AND(#REF!&lt;&gt;"",MOD(ROW(),2))</formula>
    </cfRule>
  </conditionalFormatting>
  <conditionalFormatting sqref="N165:N204">
    <cfRule type="cellIs" dxfId="26230" priority="3823" operator="equal">
      <formula>#REF!</formula>
    </cfRule>
    <cfRule type="cellIs" dxfId="26229" priority="3824" operator="greaterThan">
      <formula>#REF!</formula>
    </cfRule>
    <cfRule type="cellIs" dxfId="26228" priority="3825" operator="lessThan">
      <formula>#REF!</formula>
    </cfRule>
  </conditionalFormatting>
  <conditionalFormatting sqref="L177:N177">
    <cfRule type="expression" dxfId="26227" priority="3813">
      <formula>AND($A176&lt;&gt;"",MOD(ROW(),2))</formula>
    </cfRule>
  </conditionalFormatting>
  <conditionalFormatting sqref="L177">
    <cfRule type="cellIs" dxfId="26226" priority="3810" operator="equal">
      <formula>$C176</formula>
    </cfRule>
    <cfRule type="cellIs" dxfId="26225" priority="3811" operator="greaterThan">
      <formula>$C176</formula>
    </cfRule>
    <cfRule type="cellIs" dxfId="26224" priority="3812" operator="lessThan">
      <formula>$C176</formula>
    </cfRule>
  </conditionalFormatting>
  <conditionalFormatting sqref="M177:N177">
    <cfRule type="expression" dxfId="26223" priority="3818">
      <formula>AND(#REF!&lt;&gt;"",MOD(ROW(),2))</formula>
    </cfRule>
  </conditionalFormatting>
  <conditionalFormatting sqref="M177:N177">
    <cfRule type="expression" dxfId="26222" priority="3817">
      <formula>AND(#REF!&lt;&gt;"",MOD(ROW(),2))</formula>
    </cfRule>
  </conditionalFormatting>
  <conditionalFormatting sqref="N177">
    <cfRule type="cellIs" dxfId="26221" priority="3814" operator="equal">
      <formula>#REF!</formula>
    </cfRule>
    <cfRule type="cellIs" dxfId="26220" priority="3815" operator="greaterThan">
      <formula>#REF!</formula>
    </cfRule>
    <cfRule type="cellIs" dxfId="26219" priority="3816" operator="lessThan">
      <formula>#REF!</formula>
    </cfRule>
  </conditionalFormatting>
  <conditionalFormatting sqref="L176:N176">
    <cfRule type="expression" dxfId="26218" priority="3804">
      <formula>AND($A175&lt;&gt;"",MOD(ROW(),2))</formula>
    </cfRule>
  </conditionalFormatting>
  <conditionalFormatting sqref="L176">
    <cfRule type="cellIs" dxfId="26217" priority="3801" operator="equal">
      <formula>$C175</formula>
    </cfRule>
    <cfRule type="cellIs" dxfId="26216" priority="3802" operator="greaterThan">
      <formula>$C175</formula>
    </cfRule>
    <cfRule type="cellIs" dxfId="26215" priority="3803" operator="lessThan">
      <formula>$C175</formula>
    </cfRule>
  </conditionalFormatting>
  <conditionalFormatting sqref="M176:N176">
    <cfRule type="expression" dxfId="26214" priority="3809">
      <formula>AND(#REF!&lt;&gt;"",MOD(ROW(),2))</formula>
    </cfRule>
  </conditionalFormatting>
  <conditionalFormatting sqref="M176:N176">
    <cfRule type="expression" dxfId="26213" priority="3808">
      <formula>AND(#REF!&lt;&gt;"",MOD(ROW(),2))</formula>
    </cfRule>
  </conditionalFormatting>
  <conditionalFormatting sqref="N176">
    <cfRule type="cellIs" dxfId="26212" priority="3805" operator="equal">
      <formula>#REF!</formula>
    </cfRule>
    <cfRule type="cellIs" dxfId="26211" priority="3806" operator="greaterThan">
      <formula>#REF!</formula>
    </cfRule>
    <cfRule type="cellIs" dxfId="26210" priority="3807" operator="lessThan">
      <formula>#REF!</formula>
    </cfRule>
  </conditionalFormatting>
  <conditionalFormatting sqref="L176:N176">
    <cfRule type="expression" dxfId="26209" priority="3795">
      <formula>AND($A175&lt;&gt;"",MOD(ROW(),2))</formula>
    </cfRule>
  </conditionalFormatting>
  <conditionalFormatting sqref="L176">
    <cfRule type="cellIs" dxfId="26208" priority="3792" operator="equal">
      <formula>$C175</formula>
    </cfRule>
    <cfRule type="cellIs" dxfId="26207" priority="3793" operator="greaterThan">
      <formula>$C175</formula>
    </cfRule>
    <cfRule type="cellIs" dxfId="26206" priority="3794" operator="lessThan">
      <formula>$C175</formula>
    </cfRule>
  </conditionalFormatting>
  <conditionalFormatting sqref="M176:N176">
    <cfRule type="expression" dxfId="26205" priority="3800">
      <formula>AND(#REF!&lt;&gt;"",MOD(ROW(),2))</formula>
    </cfRule>
  </conditionalFormatting>
  <conditionalFormatting sqref="M176:N176">
    <cfRule type="expression" dxfId="26204" priority="3799">
      <formula>AND(#REF!&lt;&gt;"",MOD(ROW(),2))</formula>
    </cfRule>
  </conditionalFormatting>
  <conditionalFormatting sqref="N176">
    <cfRule type="cellIs" dxfId="26203" priority="3796" operator="equal">
      <formula>#REF!</formula>
    </cfRule>
    <cfRule type="cellIs" dxfId="26202" priority="3797" operator="greaterThan">
      <formula>#REF!</formula>
    </cfRule>
    <cfRule type="cellIs" dxfId="26201" priority="3798" operator="lessThan">
      <formula>#REF!</formula>
    </cfRule>
  </conditionalFormatting>
  <conditionalFormatting sqref="L175:N175">
    <cfRule type="expression" dxfId="26200" priority="3786">
      <formula>AND($A174&lt;&gt;"",MOD(ROW(),2))</formula>
    </cfRule>
  </conditionalFormatting>
  <conditionalFormatting sqref="L175">
    <cfRule type="cellIs" dxfId="26199" priority="3783" operator="equal">
      <formula>$C174</formula>
    </cfRule>
    <cfRule type="cellIs" dxfId="26198" priority="3784" operator="greaterThan">
      <formula>$C174</formula>
    </cfRule>
    <cfRule type="cellIs" dxfId="26197" priority="3785" operator="lessThan">
      <formula>$C174</formula>
    </cfRule>
  </conditionalFormatting>
  <conditionalFormatting sqref="M175:N175">
    <cfRule type="expression" dxfId="26196" priority="3791">
      <formula>AND(#REF!&lt;&gt;"",MOD(ROW(),2))</formula>
    </cfRule>
  </conditionalFormatting>
  <conditionalFormatting sqref="M175:N175">
    <cfRule type="expression" dxfId="26195" priority="3790">
      <formula>AND(#REF!&lt;&gt;"",MOD(ROW(),2))</formula>
    </cfRule>
  </conditionalFormatting>
  <conditionalFormatting sqref="N175">
    <cfRule type="cellIs" dxfId="26194" priority="3787" operator="equal">
      <formula>#REF!</formula>
    </cfRule>
    <cfRule type="cellIs" dxfId="26193" priority="3788" operator="greaterThan">
      <formula>#REF!</formula>
    </cfRule>
    <cfRule type="cellIs" dxfId="26192" priority="3789" operator="lessThan">
      <formula>#REF!</formula>
    </cfRule>
  </conditionalFormatting>
  <conditionalFormatting sqref="A243:A294 C243:C266 C267:E294 C295:D298 C301:D302 G294">
    <cfRule type="expression" dxfId="26191" priority="3782">
      <formula>AND($A243&lt;&gt;"",MOD(ROW(),2))</formula>
    </cfRule>
  </conditionalFormatting>
  <conditionalFormatting sqref="D267:D298 D301:D302">
    <cfRule type="cellIs" dxfId="26190" priority="3779" operator="equal">
      <formula>$C267</formula>
    </cfRule>
    <cfRule type="cellIs" dxfId="26189" priority="3780" operator="greaterThan">
      <formula>$C267</formula>
    </cfRule>
    <cfRule type="cellIs" dxfId="26188" priority="3781" operator="lessThan">
      <formula>$C267</formula>
    </cfRule>
  </conditionalFormatting>
  <conditionalFormatting sqref="F267:F307">
    <cfRule type="containsText" dxfId="26187" priority="3777" operator="containsText" text="Unpaid Rent">
      <formula>NOT(ISERROR(SEARCH("Unpaid Rent",F267)))</formula>
    </cfRule>
    <cfRule type="containsText" dxfId="26186" priority="3778" stopIfTrue="1" operator="containsText" text="Closed Account">
      <formula>NOT(ISERROR(SEARCH("Closed Account",F267)))</formula>
    </cfRule>
  </conditionalFormatting>
  <conditionalFormatting sqref="D243:E243">
    <cfRule type="expression" dxfId="26185" priority="3776">
      <formula>AND($A243&lt;&gt;"",MOD(ROW(),2))</formula>
    </cfRule>
  </conditionalFormatting>
  <conditionalFormatting sqref="D243">
    <cfRule type="cellIs" dxfId="26184" priority="3773" operator="equal">
      <formula>$C243</formula>
    </cfRule>
    <cfRule type="cellIs" dxfId="26183" priority="3774" operator="greaterThan">
      <formula>$C243</formula>
    </cfRule>
    <cfRule type="cellIs" dxfId="26182" priority="3775" operator="lessThan">
      <formula>$C243</formula>
    </cfRule>
  </conditionalFormatting>
  <conditionalFormatting sqref="D244:E244">
    <cfRule type="expression" dxfId="26181" priority="3772">
      <formula>AND($A244&lt;&gt;"",MOD(ROW(),2))</formula>
    </cfRule>
  </conditionalFormatting>
  <conditionalFormatting sqref="D244">
    <cfRule type="cellIs" dxfId="26180" priority="3769" operator="equal">
      <formula>$C244</formula>
    </cfRule>
    <cfRule type="cellIs" dxfId="26179" priority="3770" operator="greaterThan">
      <formula>$C244</formula>
    </cfRule>
    <cfRule type="cellIs" dxfId="26178" priority="3771" operator="lessThan">
      <formula>$C244</formula>
    </cfRule>
  </conditionalFormatting>
  <conditionalFormatting sqref="D245:E245">
    <cfRule type="expression" dxfId="26177" priority="3768">
      <formula>AND($A245&lt;&gt;"",MOD(ROW(),2))</formula>
    </cfRule>
  </conditionalFormatting>
  <conditionalFormatting sqref="D245">
    <cfRule type="cellIs" dxfId="26176" priority="3765" operator="equal">
      <formula>$C245</formula>
    </cfRule>
    <cfRule type="cellIs" dxfId="26175" priority="3766" operator="greaterThan">
      <formula>$C245</formula>
    </cfRule>
    <cfRule type="cellIs" dxfId="26174" priority="3767" operator="lessThan">
      <formula>$C245</formula>
    </cfRule>
  </conditionalFormatting>
  <conditionalFormatting sqref="D246:E246">
    <cfRule type="expression" dxfId="26173" priority="3764">
      <formula>AND($A246&lt;&gt;"",MOD(ROW(),2))</formula>
    </cfRule>
  </conditionalFormatting>
  <conditionalFormatting sqref="D246">
    <cfRule type="cellIs" dxfId="26172" priority="3761" operator="equal">
      <formula>$C246</formula>
    </cfRule>
    <cfRule type="cellIs" dxfId="26171" priority="3762" operator="greaterThan">
      <formula>$C246</formula>
    </cfRule>
    <cfRule type="cellIs" dxfId="26170" priority="3763" operator="lessThan">
      <formula>$C246</formula>
    </cfRule>
  </conditionalFormatting>
  <conditionalFormatting sqref="D247:E247">
    <cfRule type="expression" dxfId="26169" priority="3760">
      <formula>AND($A247&lt;&gt;"",MOD(ROW(),2))</formula>
    </cfRule>
  </conditionalFormatting>
  <conditionalFormatting sqref="D247">
    <cfRule type="cellIs" dxfId="26168" priority="3757" operator="equal">
      <formula>$C247</formula>
    </cfRule>
    <cfRule type="cellIs" dxfId="26167" priority="3758" operator="greaterThan">
      <formula>$C247</formula>
    </cfRule>
    <cfRule type="cellIs" dxfId="26166" priority="3759" operator="lessThan">
      <formula>$C247</formula>
    </cfRule>
  </conditionalFormatting>
  <conditionalFormatting sqref="D248:E248">
    <cfRule type="expression" dxfId="26165" priority="3756">
      <formula>AND($A248&lt;&gt;"",MOD(ROW(),2))</formula>
    </cfRule>
  </conditionalFormatting>
  <conditionalFormatting sqref="D248">
    <cfRule type="cellIs" dxfId="26164" priority="3753" operator="equal">
      <formula>$C248</formula>
    </cfRule>
    <cfRule type="cellIs" dxfId="26163" priority="3754" operator="greaterThan">
      <formula>$C248</formula>
    </cfRule>
    <cfRule type="cellIs" dxfId="26162" priority="3755" operator="lessThan">
      <formula>$C248</formula>
    </cfRule>
  </conditionalFormatting>
  <conditionalFormatting sqref="D249:E249">
    <cfRule type="expression" dxfId="26161" priority="3752">
      <formula>AND($A249&lt;&gt;"",MOD(ROW(),2))</formula>
    </cfRule>
  </conditionalFormatting>
  <conditionalFormatting sqref="D249">
    <cfRule type="cellIs" dxfId="26160" priority="3749" operator="equal">
      <formula>$C249</formula>
    </cfRule>
    <cfRule type="cellIs" dxfId="26159" priority="3750" operator="greaterThan">
      <formula>$C249</formula>
    </cfRule>
    <cfRule type="cellIs" dxfId="26158" priority="3751" operator="lessThan">
      <formula>$C249</formula>
    </cfRule>
  </conditionalFormatting>
  <conditionalFormatting sqref="D250:E250">
    <cfRule type="expression" dxfId="26157" priority="3748">
      <formula>AND($A250&lt;&gt;"",MOD(ROW(),2))</formula>
    </cfRule>
  </conditionalFormatting>
  <conditionalFormatting sqref="D250">
    <cfRule type="cellIs" dxfId="26156" priority="3745" operator="equal">
      <formula>$C250</formula>
    </cfRule>
    <cfRule type="cellIs" dxfId="26155" priority="3746" operator="greaterThan">
      <formula>$C250</formula>
    </cfRule>
    <cfRule type="cellIs" dxfId="26154" priority="3747" operator="lessThan">
      <formula>$C250</formula>
    </cfRule>
  </conditionalFormatting>
  <conditionalFormatting sqref="D251:E251">
    <cfRule type="expression" dxfId="26153" priority="3744">
      <formula>AND($A251&lt;&gt;"",MOD(ROW(),2))</formula>
    </cfRule>
  </conditionalFormatting>
  <conditionalFormatting sqref="D251">
    <cfRule type="cellIs" dxfId="26152" priority="3741" operator="equal">
      <formula>$C251</formula>
    </cfRule>
    <cfRule type="cellIs" dxfId="26151" priority="3742" operator="greaterThan">
      <formula>$C251</formula>
    </cfRule>
    <cfRule type="cellIs" dxfId="26150" priority="3743" operator="lessThan">
      <formula>$C251</formula>
    </cfRule>
  </conditionalFormatting>
  <conditionalFormatting sqref="D252:E252">
    <cfRule type="expression" dxfId="26149" priority="3740">
      <formula>AND($A252&lt;&gt;"",MOD(ROW(),2))</formula>
    </cfRule>
  </conditionalFormatting>
  <conditionalFormatting sqref="D252">
    <cfRule type="cellIs" dxfId="26148" priority="3737" operator="equal">
      <formula>$C252</formula>
    </cfRule>
    <cfRule type="cellIs" dxfId="26147" priority="3738" operator="greaterThan">
      <formula>$C252</formula>
    </cfRule>
    <cfRule type="cellIs" dxfId="26146" priority="3739" operator="lessThan">
      <formula>$C252</formula>
    </cfRule>
  </conditionalFormatting>
  <conditionalFormatting sqref="D253:E253">
    <cfRule type="expression" dxfId="26145" priority="3736">
      <formula>AND($A253&lt;&gt;"",MOD(ROW(),2))</formula>
    </cfRule>
  </conditionalFormatting>
  <conditionalFormatting sqref="D253">
    <cfRule type="cellIs" dxfId="26144" priority="3733" operator="equal">
      <formula>$C253</formula>
    </cfRule>
    <cfRule type="cellIs" dxfId="26143" priority="3734" operator="greaterThan">
      <formula>$C253</formula>
    </cfRule>
    <cfRule type="cellIs" dxfId="26142" priority="3735" operator="lessThan">
      <formula>$C253</formula>
    </cfRule>
  </conditionalFormatting>
  <conditionalFormatting sqref="D254:E254">
    <cfRule type="expression" dxfId="26141" priority="3732">
      <formula>AND($A254&lt;&gt;"",MOD(ROW(),2))</formula>
    </cfRule>
  </conditionalFormatting>
  <conditionalFormatting sqref="D254">
    <cfRule type="cellIs" dxfId="26140" priority="3729" operator="equal">
      <formula>$C254</formula>
    </cfRule>
    <cfRule type="cellIs" dxfId="26139" priority="3730" operator="greaterThan">
      <formula>$C254</formula>
    </cfRule>
    <cfRule type="cellIs" dxfId="26138" priority="3731" operator="lessThan">
      <formula>$C254</formula>
    </cfRule>
  </conditionalFormatting>
  <conditionalFormatting sqref="F243:F254">
    <cfRule type="containsText" dxfId="26137" priority="3727" operator="containsText" text="Unpaid Rent">
      <formula>NOT(ISERROR(SEARCH("Unpaid Rent",F243)))</formula>
    </cfRule>
    <cfRule type="containsText" dxfId="26136" priority="3728" stopIfTrue="1" operator="containsText" text="Closed Account">
      <formula>NOT(ISERROR(SEARCH("Closed Account",F243)))</formula>
    </cfRule>
  </conditionalFormatting>
  <conditionalFormatting sqref="F255:F266">
    <cfRule type="containsText" dxfId="26135" priority="3725" operator="containsText" text="Unpaid Rent">
      <formula>NOT(ISERROR(SEARCH("Unpaid Rent",F255)))</formula>
    </cfRule>
    <cfRule type="containsText" dxfId="26134" priority="3726" stopIfTrue="1" operator="containsText" text="Closed Account">
      <formula>NOT(ISERROR(SEARCH("Closed Account",F255)))</formula>
    </cfRule>
  </conditionalFormatting>
  <conditionalFormatting sqref="D255:E255">
    <cfRule type="expression" dxfId="26133" priority="3724">
      <formula>AND($A255&lt;&gt;"",MOD(ROW(),2))</formula>
    </cfRule>
  </conditionalFormatting>
  <conditionalFormatting sqref="D255">
    <cfRule type="cellIs" dxfId="26132" priority="3721" operator="equal">
      <formula>$C255</formula>
    </cfRule>
    <cfRule type="cellIs" dxfId="26131" priority="3722" operator="greaterThan">
      <formula>$C255</formula>
    </cfRule>
    <cfRule type="cellIs" dxfId="26130" priority="3723" operator="lessThan">
      <formula>$C255</formula>
    </cfRule>
  </conditionalFormatting>
  <conditionalFormatting sqref="D256:E256">
    <cfRule type="expression" dxfId="26129" priority="3720">
      <formula>AND($A256&lt;&gt;"",MOD(ROW(),2))</formula>
    </cfRule>
  </conditionalFormatting>
  <conditionalFormatting sqref="D256">
    <cfRule type="cellIs" dxfId="26128" priority="3717" operator="equal">
      <formula>$C256</formula>
    </cfRule>
    <cfRule type="cellIs" dxfId="26127" priority="3718" operator="greaterThan">
      <formula>$C256</formula>
    </cfRule>
    <cfRule type="cellIs" dxfId="26126" priority="3719" operator="lessThan">
      <formula>$C256</formula>
    </cfRule>
  </conditionalFormatting>
  <conditionalFormatting sqref="D257:E257">
    <cfRule type="expression" dxfId="26125" priority="3716">
      <formula>AND($A257&lt;&gt;"",MOD(ROW(),2))</formula>
    </cfRule>
  </conditionalFormatting>
  <conditionalFormatting sqref="D257">
    <cfRule type="cellIs" dxfId="26124" priority="3713" operator="equal">
      <formula>$C257</formula>
    </cfRule>
    <cfRule type="cellIs" dxfId="26123" priority="3714" operator="greaterThan">
      <formula>$C257</formula>
    </cfRule>
    <cfRule type="cellIs" dxfId="26122" priority="3715" operator="lessThan">
      <formula>$C257</formula>
    </cfRule>
  </conditionalFormatting>
  <conditionalFormatting sqref="D258:E258">
    <cfRule type="expression" dxfId="26121" priority="3712">
      <formula>AND($A258&lt;&gt;"",MOD(ROW(),2))</formula>
    </cfRule>
  </conditionalFormatting>
  <conditionalFormatting sqref="D258">
    <cfRule type="cellIs" dxfId="26120" priority="3709" operator="equal">
      <formula>$C258</formula>
    </cfRule>
    <cfRule type="cellIs" dxfId="26119" priority="3710" operator="greaterThan">
      <formula>$C258</formula>
    </cfRule>
    <cfRule type="cellIs" dxfId="26118" priority="3711" operator="lessThan">
      <formula>$C258</formula>
    </cfRule>
  </conditionalFormatting>
  <conditionalFormatting sqref="D259:E259">
    <cfRule type="expression" dxfId="26117" priority="3708">
      <formula>AND($A259&lt;&gt;"",MOD(ROW(),2))</formula>
    </cfRule>
  </conditionalFormatting>
  <conditionalFormatting sqref="D259">
    <cfRule type="cellIs" dxfId="26116" priority="3705" operator="equal">
      <formula>$C259</formula>
    </cfRule>
    <cfRule type="cellIs" dxfId="26115" priority="3706" operator="greaterThan">
      <formula>$C259</formula>
    </cfRule>
    <cfRule type="cellIs" dxfId="26114" priority="3707" operator="lessThan">
      <formula>$C259</formula>
    </cfRule>
  </conditionalFormatting>
  <conditionalFormatting sqref="D260:E260">
    <cfRule type="expression" dxfId="26113" priority="3704">
      <formula>AND($A260&lt;&gt;"",MOD(ROW(),2))</formula>
    </cfRule>
  </conditionalFormatting>
  <conditionalFormatting sqref="D260">
    <cfRule type="cellIs" dxfId="26112" priority="3701" operator="equal">
      <formula>$C260</formula>
    </cfRule>
    <cfRule type="cellIs" dxfId="26111" priority="3702" operator="greaterThan">
      <formula>$C260</formula>
    </cfRule>
    <cfRule type="cellIs" dxfId="26110" priority="3703" operator="lessThan">
      <formula>$C260</formula>
    </cfRule>
  </conditionalFormatting>
  <conditionalFormatting sqref="D261:E261">
    <cfRule type="expression" dxfId="26109" priority="3700">
      <formula>AND($A261&lt;&gt;"",MOD(ROW(),2))</formula>
    </cfRule>
  </conditionalFormatting>
  <conditionalFormatting sqref="D261">
    <cfRule type="cellIs" dxfId="26108" priority="3697" operator="equal">
      <formula>$C261</formula>
    </cfRule>
    <cfRule type="cellIs" dxfId="26107" priority="3698" operator="greaterThan">
      <formula>$C261</formula>
    </cfRule>
    <cfRule type="cellIs" dxfId="26106" priority="3699" operator="lessThan">
      <formula>$C261</formula>
    </cfRule>
  </conditionalFormatting>
  <conditionalFormatting sqref="D262:E262">
    <cfRule type="expression" dxfId="26105" priority="3696">
      <formula>AND($A262&lt;&gt;"",MOD(ROW(),2))</formula>
    </cfRule>
  </conditionalFormatting>
  <conditionalFormatting sqref="D262">
    <cfRule type="cellIs" dxfId="26104" priority="3693" operator="equal">
      <formula>$C262</formula>
    </cfRule>
    <cfRule type="cellIs" dxfId="26103" priority="3694" operator="greaterThan">
      <formula>$C262</formula>
    </cfRule>
    <cfRule type="cellIs" dxfId="26102" priority="3695" operator="lessThan">
      <formula>$C262</formula>
    </cfRule>
  </conditionalFormatting>
  <conditionalFormatting sqref="D263:E263">
    <cfRule type="expression" dxfId="26101" priority="3692">
      <formula>AND($A263&lt;&gt;"",MOD(ROW(),2))</formula>
    </cfRule>
  </conditionalFormatting>
  <conditionalFormatting sqref="D263">
    <cfRule type="cellIs" dxfId="26100" priority="3689" operator="equal">
      <formula>$C263</formula>
    </cfRule>
    <cfRule type="cellIs" dxfId="26099" priority="3690" operator="greaterThan">
      <formula>$C263</formula>
    </cfRule>
    <cfRule type="cellIs" dxfId="26098" priority="3691" operator="lessThan">
      <formula>$C263</formula>
    </cfRule>
  </conditionalFormatting>
  <conditionalFormatting sqref="D264:E264">
    <cfRule type="expression" dxfId="26097" priority="3688">
      <formula>AND($A264&lt;&gt;"",MOD(ROW(),2))</formula>
    </cfRule>
  </conditionalFormatting>
  <conditionalFormatting sqref="D264">
    <cfRule type="cellIs" dxfId="26096" priority="3685" operator="equal">
      <formula>$C264</formula>
    </cfRule>
    <cfRule type="cellIs" dxfId="26095" priority="3686" operator="greaterThan">
      <formula>$C264</formula>
    </cfRule>
    <cfRule type="cellIs" dxfId="26094" priority="3687" operator="lessThan">
      <formula>$C264</formula>
    </cfRule>
  </conditionalFormatting>
  <conditionalFormatting sqref="D265:E265">
    <cfRule type="expression" dxfId="26093" priority="3684">
      <formula>AND($A265&lt;&gt;"",MOD(ROW(),2))</formula>
    </cfRule>
  </conditionalFormatting>
  <conditionalFormatting sqref="D265">
    <cfRule type="cellIs" dxfId="26092" priority="3681" operator="equal">
      <formula>$C265</formula>
    </cfRule>
    <cfRule type="cellIs" dxfId="26091" priority="3682" operator="greaterThan">
      <formula>$C265</formula>
    </cfRule>
    <cfRule type="cellIs" dxfId="26090" priority="3683" operator="lessThan">
      <formula>$C265</formula>
    </cfRule>
  </conditionalFormatting>
  <conditionalFormatting sqref="D266:E266">
    <cfRule type="expression" dxfId="26089" priority="3680">
      <formula>AND($A266&lt;&gt;"",MOD(ROW(),2))</formula>
    </cfRule>
  </conditionalFormatting>
  <conditionalFormatting sqref="D266">
    <cfRule type="cellIs" dxfId="26088" priority="3677" operator="equal">
      <formula>$C266</formula>
    </cfRule>
    <cfRule type="cellIs" dxfId="26087" priority="3678" operator="greaterThan">
      <formula>$C266</formula>
    </cfRule>
    <cfRule type="cellIs" dxfId="26086" priority="3679" operator="lessThan">
      <formula>$C266</formula>
    </cfRule>
  </conditionalFormatting>
  <conditionalFormatting sqref="D258:E258">
    <cfRule type="expression" dxfId="26085" priority="3676">
      <formula>AND($A258&lt;&gt;"",MOD(ROW(),2))</formula>
    </cfRule>
  </conditionalFormatting>
  <conditionalFormatting sqref="D258">
    <cfRule type="cellIs" dxfId="26084" priority="3673" operator="equal">
      <formula>$C258</formula>
    </cfRule>
    <cfRule type="cellIs" dxfId="26083" priority="3674" operator="greaterThan">
      <formula>$C258</formula>
    </cfRule>
    <cfRule type="cellIs" dxfId="26082" priority="3675" operator="lessThan">
      <formula>$C258</formula>
    </cfRule>
  </conditionalFormatting>
  <conditionalFormatting sqref="D259:E259">
    <cfRule type="expression" dxfId="26081" priority="3672">
      <formula>AND($A259&lt;&gt;"",MOD(ROW(),2))</formula>
    </cfRule>
  </conditionalFormatting>
  <conditionalFormatting sqref="D259">
    <cfRule type="cellIs" dxfId="26080" priority="3669" operator="equal">
      <formula>$C259</formula>
    </cfRule>
    <cfRule type="cellIs" dxfId="26079" priority="3670" operator="greaterThan">
      <formula>$C259</formula>
    </cfRule>
    <cfRule type="cellIs" dxfId="26078" priority="3671" operator="lessThan">
      <formula>$C259</formula>
    </cfRule>
  </conditionalFormatting>
  <conditionalFormatting sqref="D260:E260">
    <cfRule type="expression" dxfId="26077" priority="3668">
      <formula>AND($A260&lt;&gt;"",MOD(ROW(),2))</formula>
    </cfRule>
  </conditionalFormatting>
  <conditionalFormatting sqref="D260">
    <cfRule type="cellIs" dxfId="26076" priority="3665" operator="equal">
      <formula>$C260</formula>
    </cfRule>
    <cfRule type="cellIs" dxfId="26075" priority="3666" operator="greaterThan">
      <formula>$C260</formula>
    </cfRule>
    <cfRule type="cellIs" dxfId="26074" priority="3667" operator="lessThan">
      <formula>$C260</formula>
    </cfRule>
  </conditionalFormatting>
  <conditionalFormatting sqref="C303:D303">
    <cfRule type="expression" dxfId="26073" priority="3664">
      <formula>AND($A303&lt;&gt;"",MOD(ROW(),2))</formula>
    </cfRule>
  </conditionalFormatting>
  <conditionalFormatting sqref="D303">
    <cfRule type="cellIs" dxfId="26072" priority="3661" operator="equal">
      <formula>$C303</formula>
    </cfRule>
    <cfRule type="cellIs" dxfId="26071" priority="3662" operator="greaterThan">
      <formula>$C303</formula>
    </cfRule>
    <cfRule type="cellIs" dxfId="26070" priority="3663" operator="lessThan">
      <formula>$C303</formula>
    </cfRule>
  </conditionalFormatting>
  <conditionalFormatting sqref="C304:D304">
    <cfRule type="expression" dxfId="26069" priority="3660">
      <formula>AND($A304&lt;&gt;"",MOD(ROW(),2))</formula>
    </cfRule>
  </conditionalFormatting>
  <conditionalFormatting sqref="D304">
    <cfRule type="cellIs" dxfId="26068" priority="3657" operator="equal">
      <formula>$C304</formula>
    </cfRule>
    <cfRule type="cellIs" dxfId="26067" priority="3658" operator="greaterThan">
      <formula>$C304</formula>
    </cfRule>
    <cfRule type="cellIs" dxfId="26066" priority="3659" operator="lessThan">
      <formula>$C304</formula>
    </cfRule>
  </conditionalFormatting>
  <conditionalFormatting sqref="C305:D305">
    <cfRule type="expression" dxfId="26065" priority="3656">
      <formula>AND($A305&lt;&gt;"",MOD(ROW(),2))</formula>
    </cfRule>
  </conditionalFormatting>
  <conditionalFormatting sqref="D305">
    <cfRule type="cellIs" dxfId="26064" priority="3653" operator="equal">
      <formula>$C305</formula>
    </cfRule>
    <cfRule type="cellIs" dxfId="26063" priority="3654" operator="greaterThan">
      <formula>$C305</formula>
    </cfRule>
    <cfRule type="cellIs" dxfId="26062" priority="3655" operator="lessThan">
      <formula>$C305</formula>
    </cfRule>
  </conditionalFormatting>
  <conditionalFormatting sqref="C306:D306">
    <cfRule type="expression" dxfId="26061" priority="3652">
      <formula>AND($A306&lt;&gt;"",MOD(ROW(),2))</formula>
    </cfRule>
  </conditionalFormatting>
  <conditionalFormatting sqref="D306">
    <cfRule type="cellIs" dxfId="26060" priority="3649" operator="equal">
      <formula>$C306</formula>
    </cfRule>
    <cfRule type="cellIs" dxfId="26059" priority="3650" operator="greaterThan">
      <formula>$C306</formula>
    </cfRule>
    <cfRule type="cellIs" dxfId="26058" priority="3651" operator="lessThan">
      <formula>$C306</formula>
    </cfRule>
  </conditionalFormatting>
  <conditionalFormatting sqref="C307:D307">
    <cfRule type="expression" dxfId="26057" priority="3648">
      <formula>AND($A307&lt;&gt;"",MOD(ROW(),2))</formula>
    </cfRule>
  </conditionalFormatting>
  <conditionalFormatting sqref="D307">
    <cfRule type="cellIs" dxfId="26056" priority="3645" operator="equal">
      <formula>$C307</formula>
    </cfRule>
    <cfRule type="cellIs" dxfId="26055" priority="3646" operator="greaterThan">
      <formula>$C307</formula>
    </cfRule>
    <cfRule type="cellIs" dxfId="26054" priority="3647" operator="lessThan">
      <formula>$C307</formula>
    </cfRule>
  </conditionalFormatting>
  <conditionalFormatting sqref="C299:D299">
    <cfRule type="expression" dxfId="26053" priority="3644">
      <formula>AND($A299&lt;&gt;"",MOD(ROW(),2))</formula>
    </cfRule>
  </conditionalFormatting>
  <conditionalFormatting sqref="D299">
    <cfRule type="cellIs" dxfId="26052" priority="3641" operator="equal">
      <formula>$C299</formula>
    </cfRule>
    <cfRule type="cellIs" dxfId="26051" priority="3642" operator="greaterThan">
      <formula>$C299</formula>
    </cfRule>
    <cfRule type="cellIs" dxfId="26050" priority="3643" operator="lessThan">
      <formula>$C299</formula>
    </cfRule>
  </conditionalFormatting>
  <conditionalFormatting sqref="C300:D300">
    <cfRule type="expression" dxfId="26049" priority="3640">
      <formula>AND($A300&lt;&gt;"",MOD(ROW(),2))</formula>
    </cfRule>
  </conditionalFormatting>
  <conditionalFormatting sqref="D300">
    <cfRule type="cellIs" dxfId="26048" priority="3637" operator="equal">
      <formula>$C300</formula>
    </cfRule>
    <cfRule type="cellIs" dxfId="26047" priority="3638" operator="greaterThan">
      <formula>$C300</formula>
    </cfRule>
    <cfRule type="cellIs" dxfId="26046" priority="3639" operator="lessThan">
      <formula>$C300</formula>
    </cfRule>
  </conditionalFormatting>
  <conditionalFormatting sqref="L209:M232">
    <cfRule type="expression" dxfId="26045" priority="3636">
      <formula>AND($A209&lt;&gt;"",MOD(ROW(),2))</formula>
    </cfRule>
  </conditionalFormatting>
  <conditionalFormatting sqref="N209:N245">
    <cfRule type="expression" dxfId="26044" priority="3633">
      <formula>AND($A209&lt;&gt;"",MOD(ROW(),2))</formula>
    </cfRule>
  </conditionalFormatting>
  <conditionalFormatting sqref="L233:M245">
    <cfRule type="expression" dxfId="26043" priority="3629">
      <formula>AND($A233&lt;&gt;"",MOD(ROW(),2))</formula>
    </cfRule>
  </conditionalFormatting>
  <conditionalFormatting sqref="L209:L245">
    <cfRule type="cellIs" dxfId="26042" priority="3626" operator="equal">
      <formula>$C209</formula>
    </cfRule>
    <cfRule type="cellIs" dxfId="26041" priority="3627" operator="greaterThan">
      <formula>$C209</formula>
    </cfRule>
    <cfRule type="cellIs" dxfId="26040" priority="3628" operator="lessThan">
      <formula>$C209</formula>
    </cfRule>
  </conditionalFormatting>
  <conditionalFormatting sqref="M209:N245">
    <cfRule type="expression" dxfId="26039" priority="3635">
      <formula>AND(#REF!&lt;&gt;"",MOD(ROW(),2))</formula>
    </cfRule>
  </conditionalFormatting>
  <conditionalFormatting sqref="M209:N245">
    <cfRule type="expression" dxfId="26038" priority="3634">
      <formula>AND(#REF!&lt;&gt;"",MOD(ROW(),2))</formula>
    </cfRule>
  </conditionalFormatting>
  <conditionalFormatting sqref="N209:N245">
    <cfRule type="cellIs" dxfId="26037" priority="3630" operator="equal">
      <formula>#REF!</formula>
    </cfRule>
    <cfRule type="cellIs" dxfId="26036" priority="3631" operator="greaterThan">
      <formula>#REF!</formula>
    </cfRule>
    <cfRule type="cellIs" dxfId="26035" priority="3632" operator="lessThan">
      <formula>#REF!</formula>
    </cfRule>
  </conditionalFormatting>
  <conditionalFormatting sqref="L207:M208">
    <cfRule type="expression" dxfId="26034" priority="3625">
      <formula>AND($A207&lt;&gt;"",MOD(ROW(),2))</formula>
    </cfRule>
  </conditionalFormatting>
  <conditionalFormatting sqref="N207:N208">
    <cfRule type="expression" dxfId="26033" priority="3622">
      <formula>AND($A207&lt;&gt;"",MOD(ROW(),2))</formula>
    </cfRule>
  </conditionalFormatting>
  <conditionalFormatting sqref="L207:L208">
    <cfRule type="cellIs" dxfId="26032" priority="3616" operator="equal">
      <formula>$C207</formula>
    </cfRule>
    <cfRule type="cellIs" dxfId="26031" priority="3617" operator="greaterThan">
      <formula>$C207</formula>
    </cfRule>
    <cfRule type="cellIs" dxfId="26030" priority="3618" operator="lessThan">
      <formula>$C207</formula>
    </cfRule>
  </conditionalFormatting>
  <conditionalFormatting sqref="M207:N208">
    <cfRule type="expression" dxfId="26029" priority="3624">
      <formula>AND(#REF!&lt;&gt;"",MOD(ROW(),2))</formula>
    </cfRule>
  </conditionalFormatting>
  <conditionalFormatting sqref="M207:N208">
    <cfRule type="expression" dxfId="26028" priority="3623">
      <formula>AND(#REF!&lt;&gt;"",MOD(ROW(),2))</formula>
    </cfRule>
  </conditionalFormatting>
  <conditionalFormatting sqref="N207:N208">
    <cfRule type="cellIs" dxfId="26027" priority="3619" operator="equal">
      <formula>#REF!</formula>
    </cfRule>
    <cfRule type="cellIs" dxfId="26026" priority="3620" operator="greaterThan">
      <formula>#REF!</formula>
    </cfRule>
    <cfRule type="cellIs" dxfId="26025" priority="3621" operator="lessThan">
      <formula>#REF!</formula>
    </cfRule>
  </conditionalFormatting>
  <conditionalFormatting sqref="A308:A346 C308:C331 D362 C360:C368 A356:A359 C332:E336 C356:E359 C347:C355 D360 C338:E346 C337:D337 G358:G359 H358:H370 G308:I357 I358:I371">
    <cfRule type="expression" dxfId="26024" priority="3615">
      <formula>AND($A308&lt;&gt;"",MOD(ROW(),2))</formula>
    </cfRule>
  </conditionalFormatting>
  <conditionalFormatting sqref="D332:D346 D362 D356:D360">
    <cfRule type="cellIs" dxfId="26023" priority="3612" operator="equal">
      <formula>$C332</formula>
    </cfRule>
    <cfRule type="cellIs" dxfId="26022" priority="3613" operator="greaterThan">
      <formula>$C332</formula>
    </cfRule>
    <cfRule type="cellIs" dxfId="26021" priority="3614" operator="lessThan">
      <formula>$C332</formula>
    </cfRule>
  </conditionalFormatting>
  <conditionalFormatting sqref="F332:F346 F356:F371">
    <cfRule type="containsText" dxfId="26020" priority="3610" operator="containsText" text="Unpaid Rent">
      <formula>NOT(ISERROR(SEARCH("Unpaid Rent",F332)))</formula>
    </cfRule>
    <cfRule type="containsText" dxfId="26019" priority="3611" stopIfTrue="1" operator="containsText" text="Closed Account">
      <formula>NOT(ISERROR(SEARCH("Closed Account",F332)))</formula>
    </cfRule>
  </conditionalFormatting>
  <conditionalFormatting sqref="D308:E308">
    <cfRule type="expression" dxfId="26018" priority="3609">
      <formula>AND($A308&lt;&gt;"",MOD(ROW(),2))</formula>
    </cfRule>
  </conditionalFormatting>
  <conditionalFormatting sqref="D308">
    <cfRule type="cellIs" dxfId="26017" priority="3606" operator="equal">
      <formula>$C308</formula>
    </cfRule>
    <cfRule type="cellIs" dxfId="26016" priority="3607" operator="greaterThan">
      <formula>$C308</formula>
    </cfRule>
    <cfRule type="cellIs" dxfId="26015" priority="3608" operator="lessThan">
      <formula>$C308</formula>
    </cfRule>
  </conditionalFormatting>
  <conditionalFormatting sqref="D309:E309">
    <cfRule type="expression" dxfId="26014" priority="3605">
      <formula>AND($A309&lt;&gt;"",MOD(ROW(),2))</formula>
    </cfRule>
  </conditionalFormatting>
  <conditionalFormatting sqref="D309">
    <cfRule type="cellIs" dxfId="26013" priority="3602" operator="equal">
      <formula>$C309</formula>
    </cfRule>
    <cfRule type="cellIs" dxfId="26012" priority="3603" operator="greaterThan">
      <formula>$C309</formula>
    </cfRule>
    <cfRule type="cellIs" dxfId="26011" priority="3604" operator="lessThan">
      <formula>$C309</formula>
    </cfRule>
  </conditionalFormatting>
  <conditionalFormatting sqref="D310:E310">
    <cfRule type="expression" dxfId="26010" priority="3601">
      <formula>AND($A310&lt;&gt;"",MOD(ROW(),2))</formula>
    </cfRule>
  </conditionalFormatting>
  <conditionalFormatting sqref="D310">
    <cfRule type="cellIs" dxfId="26009" priority="3598" operator="equal">
      <formula>$C310</formula>
    </cfRule>
    <cfRule type="cellIs" dxfId="26008" priority="3599" operator="greaterThan">
      <formula>$C310</formula>
    </cfRule>
    <cfRule type="cellIs" dxfId="26007" priority="3600" operator="lessThan">
      <formula>$C310</formula>
    </cfRule>
  </conditionalFormatting>
  <conditionalFormatting sqref="D311:E311">
    <cfRule type="expression" dxfId="26006" priority="3597">
      <formula>AND($A311&lt;&gt;"",MOD(ROW(),2))</formula>
    </cfRule>
  </conditionalFormatting>
  <conditionalFormatting sqref="D311">
    <cfRule type="cellIs" dxfId="26005" priority="3594" operator="equal">
      <formula>$C311</formula>
    </cfRule>
    <cfRule type="cellIs" dxfId="26004" priority="3595" operator="greaterThan">
      <formula>$C311</formula>
    </cfRule>
    <cfRule type="cellIs" dxfId="26003" priority="3596" operator="lessThan">
      <formula>$C311</formula>
    </cfRule>
  </conditionalFormatting>
  <conditionalFormatting sqref="D312:E312">
    <cfRule type="expression" dxfId="26002" priority="3593">
      <formula>AND($A312&lt;&gt;"",MOD(ROW(),2))</formula>
    </cfRule>
  </conditionalFormatting>
  <conditionalFormatting sqref="D312">
    <cfRule type="cellIs" dxfId="26001" priority="3590" operator="equal">
      <formula>$C312</formula>
    </cfRule>
    <cfRule type="cellIs" dxfId="26000" priority="3591" operator="greaterThan">
      <formula>$C312</formula>
    </cfRule>
    <cfRule type="cellIs" dxfId="25999" priority="3592" operator="lessThan">
      <formula>$C312</formula>
    </cfRule>
  </conditionalFormatting>
  <conditionalFormatting sqref="D313:E313">
    <cfRule type="expression" dxfId="25998" priority="3589">
      <formula>AND($A313&lt;&gt;"",MOD(ROW(),2))</formula>
    </cfRule>
  </conditionalFormatting>
  <conditionalFormatting sqref="D313">
    <cfRule type="cellIs" dxfId="25997" priority="3586" operator="equal">
      <formula>$C313</formula>
    </cfRule>
    <cfRule type="cellIs" dxfId="25996" priority="3587" operator="greaterThan">
      <formula>$C313</formula>
    </cfRule>
    <cfRule type="cellIs" dxfId="25995" priority="3588" operator="lessThan">
      <formula>$C313</formula>
    </cfRule>
  </conditionalFormatting>
  <conditionalFormatting sqref="D314:E314">
    <cfRule type="expression" dxfId="25994" priority="3585">
      <formula>AND($A314&lt;&gt;"",MOD(ROW(),2))</formula>
    </cfRule>
  </conditionalFormatting>
  <conditionalFormatting sqref="D314">
    <cfRule type="cellIs" dxfId="25993" priority="3582" operator="equal">
      <formula>$C314</formula>
    </cfRule>
    <cfRule type="cellIs" dxfId="25992" priority="3583" operator="greaterThan">
      <formula>$C314</formula>
    </cfRule>
    <cfRule type="cellIs" dxfId="25991" priority="3584" operator="lessThan">
      <formula>$C314</formula>
    </cfRule>
  </conditionalFormatting>
  <conditionalFormatting sqref="D315:E315">
    <cfRule type="expression" dxfId="25990" priority="3581">
      <formula>AND($A315&lt;&gt;"",MOD(ROW(),2))</formula>
    </cfRule>
  </conditionalFormatting>
  <conditionalFormatting sqref="D315">
    <cfRule type="cellIs" dxfId="25989" priority="3578" operator="equal">
      <formula>$C315</formula>
    </cfRule>
    <cfRule type="cellIs" dxfId="25988" priority="3579" operator="greaterThan">
      <formula>$C315</formula>
    </cfRule>
    <cfRule type="cellIs" dxfId="25987" priority="3580" operator="lessThan">
      <formula>$C315</formula>
    </cfRule>
  </conditionalFormatting>
  <conditionalFormatting sqref="D316:E316">
    <cfRule type="expression" dxfId="25986" priority="3577">
      <formula>AND($A316&lt;&gt;"",MOD(ROW(),2))</formula>
    </cfRule>
  </conditionalFormatting>
  <conditionalFormatting sqref="D316">
    <cfRule type="cellIs" dxfId="25985" priority="3574" operator="equal">
      <formula>$C316</formula>
    </cfRule>
    <cfRule type="cellIs" dxfId="25984" priority="3575" operator="greaterThan">
      <formula>$C316</formula>
    </cfRule>
    <cfRule type="cellIs" dxfId="25983" priority="3576" operator="lessThan">
      <formula>$C316</formula>
    </cfRule>
  </conditionalFormatting>
  <conditionalFormatting sqref="D317:E317">
    <cfRule type="expression" dxfId="25982" priority="3573">
      <formula>AND($A317&lt;&gt;"",MOD(ROW(),2))</formula>
    </cfRule>
  </conditionalFormatting>
  <conditionalFormatting sqref="D317">
    <cfRule type="cellIs" dxfId="25981" priority="3570" operator="equal">
      <formula>$C317</formula>
    </cfRule>
    <cfRule type="cellIs" dxfId="25980" priority="3571" operator="greaterThan">
      <formula>$C317</formula>
    </cfRule>
    <cfRule type="cellIs" dxfId="25979" priority="3572" operator="lessThan">
      <formula>$C317</formula>
    </cfRule>
  </conditionalFormatting>
  <conditionalFormatting sqref="D318:E318">
    <cfRule type="expression" dxfId="25978" priority="3569">
      <formula>AND($A318&lt;&gt;"",MOD(ROW(),2))</formula>
    </cfRule>
  </conditionalFormatting>
  <conditionalFormatting sqref="D318">
    <cfRule type="cellIs" dxfId="25977" priority="3566" operator="equal">
      <formula>$C318</formula>
    </cfRule>
    <cfRule type="cellIs" dxfId="25976" priority="3567" operator="greaterThan">
      <formula>$C318</formula>
    </cfRule>
    <cfRule type="cellIs" dxfId="25975" priority="3568" operator="lessThan">
      <formula>$C318</formula>
    </cfRule>
  </conditionalFormatting>
  <conditionalFormatting sqref="D319:E319">
    <cfRule type="expression" dxfId="25974" priority="3565">
      <formula>AND($A319&lt;&gt;"",MOD(ROW(),2))</formula>
    </cfRule>
  </conditionalFormatting>
  <conditionalFormatting sqref="D319">
    <cfRule type="cellIs" dxfId="25973" priority="3562" operator="equal">
      <formula>$C319</formula>
    </cfRule>
    <cfRule type="cellIs" dxfId="25972" priority="3563" operator="greaterThan">
      <formula>$C319</formula>
    </cfRule>
    <cfRule type="cellIs" dxfId="25971" priority="3564" operator="lessThan">
      <formula>$C319</formula>
    </cfRule>
  </conditionalFormatting>
  <conditionalFormatting sqref="F308:F319">
    <cfRule type="containsText" dxfId="25970" priority="3560" operator="containsText" text="Unpaid Rent">
      <formula>NOT(ISERROR(SEARCH("Unpaid Rent",F308)))</formula>
    </cfRule>
    <cfRule type="containsText" dxfId="25969" priority="3561" stopIfTrue="1" operator="containsText" text="Closed Account">
      <formula>NOT(ISERROR(SEARCH("Closed Account",F308)))</formula>
    </cfRule>
  </conditionalFormatting>
  <conditionalFormatting sqref="F320:F331">
    <cfRule type="containsText" dxfId="25968" priority="3558" operator="containsText" text="Unpaid Rent">
      <formula>NOT(ISERROR(SEARCH("Unpaid Rent",F320)))</formula>
    </cfRule>
    <cfRule type="containsText" dxfId="25967" priority="3559" stopIfTrue="1" operator="containsText" text="Closed Account">
      <formula>NOT(ISERROR(SEARCH("Closed Account",F320)))</formula>
    </cfRule>
  </conditionalFormatting>
  <conditionalFormatting sqref="D320:E320">
    <cfRule type="expression" dxfId="25966" priority="3557">
      <formula>AND($A320&lt;&gt;"",MOD(ROW(),2))</formula>
    </cfRule>
  </conditionalFormatting>
  <conditionalFormatting sqref="D320">
    <cfRule type="cellIs" dxfId="25965" priority="3554" operator="equal">
      <formula>$C320</formula>
    </cfRule>
    <cfRule type="cellIs" dxfId="25964" priority="3555" operator="greaterThan">
      <formula>$C320</formula>
    </cfRule>
    <cfRule type="cellIs" dxfId="25963" priority="3556" operator="lessThan">
      <formula>$C320</formula>
    </cfRule>
  </conditionalFormatting>
  <conditionalFormatting sqref="D321:E321">
    <cfRule type="expression" dxfId="25962" priority="3553">
      <formula>AND($A321&lt;&gt;"",MOD(ROW(),2))</formula>
    </cfRule>
  </conditionalFormatting>
  <conditionalFormatting sqref="D321">
    <cfRule type="cellIs" dxfId="25961" priority="3550" operator="equal">
      <formula>$C321</formula>
    </cfRule>
    <cfRule type="cellIs" dxfId="25960" priority="3551" operator="greaterThan">
      <formula>$C321</formula>
    </cfRule>
    <cfRule type="cellIs" dxfId="25959" priority="3552" operator="lessThan">
      <formula>$C321</formula>
    </cfRule>
  </conditionalFormatting>
  <conditionalFormatting sqref="D322:E322">
    <cfRule type="expression" dxfId="25958" priority="3549">
      <formula>AND($A322&lt;&gt;"",MOD(ROW(),2))</formula>
    </cfRule>
  </conditionalFormatting>
  <conditionalFormatting sqref="D322">
    <cfRule type="cellIs" dxfId="25957" priority="3546" operator="equal">
      <formula>$C322</formula>
    </cfRule>
    <cfRule type="cellIs" dxfId="25956" priority="3547" operator="greaterThan">
      <formula>$C322</formula>
    </cfRule>
    <cfRule type="cellIs" dxfId="25955" priority="3548" operator="lessThan">
      <formula>$C322</formula>
    </cfRule>
  </conditionalFormatting>
  <conditionalFormatting sqref="D323:E323">
    <cfRule type="expression" dxfId="25954" priority="3545">
      <formula>AND($A323&lt;&gt;"",MOD(ROW(),2))</formula>
    </cfRule>
  </conditionalFormatting>
  <conditionalFormatting sqref="D323">
    <cfRule type="cellIs" dxfId="25953" priority="3542" operator="equal">
      <formula>$C323</formula>
    </cfRule>
    <cfRule type="cellIs" dxfId="25952" priority="3543" operator="greaterThan">
      <formula>$C323</formula>
    </cfRule>
    <cfRule type="cellIs" dxfId="25951" priority="3544" operator="lessThan">
      <formula>$C323</formula>
    </cfRule>
  </conditionalFormatting>
  <conditionalFormatting sqref="D324:E324">
    <cfRule type="expression" dxfId="25950" priority="3541">
      <formula>AND($A324&lt;&gt;"",MOD(ROW(),2))</formula>
    </cfRule>
  </conditionalFormatting>
  <conditionalFormatting sqref="D324">
    <cfRule type="cellIs" dxfId="25949" priority="3538" operator="equal">
      <formula>$C324</formula>
    </cfRule>
    <cfRule type="cellIs" dxfId="25948" priority="3539" operator="greaterThan">
      <formula>$C324</formula>
    </cfRule>
    <cfRule type="cellIs" dxfId="25947" priority="3540" operator="lessThan">
      <formula>$C324</formula>
    </cfRule>
  </conditionalFormatting>
  <conditionalFormatting sqref="D325:E325">
    <cfRule type="expression" dxfId="25946" priority="3537">
      <formula>AND($A325&lt;&gt;"",MOD(ROW(),2))</formula>
    </cfRule>
  </conditionalFormatting>
  <conditionalFormatting sqref="D325">
    <cfRule type="cellIs" dxfId="25945" priority="3534" operator="equal">
      <formula>$C325</formula>
    </cfRule>
    <cfRule type="cellIs" dxfId="25944" priority="3535" operator="greaterThan">
      <formula>$C325</formula>
    </cfRule>
    <cfRule type="cellIs" dxfId="25943" priority="3536" operator="lessThan">
      <formula>$C325</formula>
    </cfRule>
  </conditionalFormatting>
  <conditionalFormatting sqref="D326:E326">
    <cfRule type="expression" dxfId="25942" priority="3533">
      <formula>AND($A326&lt;&gt;"",MOD(ROW(),2))</formula>
    </cfRule>
  </conditionalFormatting>
  <conditionalFormatting sqref="D326">
    <cfRule type="cellIs" dxfId="25941" priority="3530" operator="equal">
      <formula>$C326</formula>
    </cfRule>
    <cfRule type="cellIs" dxfId="25940" priority="3531" operator="greaterThan">
      <formula>$C326</formula>
    </cfRule>
    <cfRule type="cellIs" dxfId="25939" priority="3532" operator="lessThan">
      <formula>$C326</formula>
    </cfRule>
  </conditionalFormatting>
  <conditionalFormatting sqref="D327:E327">
    <cfRule type="expression" dxfId="25938" priority="3529">
      <formula>AND($A327&lt;&gt;"",MOD(ROW(),2))</formula>
    </cfRule>
  </conditionalFormatting>
  <conditionalFormatting sqref="D327">
    <cfRule type="cellIs" dxfId="25937" priority="3526" operator="equal">
      <formula>$C327</formula>
    </cfRule>
    <cfRule type="cellIs" dxfId="25936" priority="3527" operator="greaterThan">
      <formula>$C327</formula>
    </cfRule>
    <cfRule type="cellIs" dxfId="25935" priority="3528" operator="lessThan">
      <formula>$C327</formula>
    </cfRule>
  </conditionalFormatting>
  <conditionalFormatting sqref="D328:E328">
    <cfRule type="expression" dxfId="25934" priority="3525">
      <formula>AND($A328&lt;&gt;"",MOD(ROW(),2))</formula>
    </cfRule>
  </conditionalFormatting>
  <conditionalFormatting sqref="D328">
    <cfRule type="cellIs" dxfId="25933" priority="3522" operator="equal">
      <formula>$C328</formula>
    </cfRule>
    <cfRule type="cellIs" dxfId="25932" priority="3523" operator="greaterThan">
      <formula>$C328</formula>
    </cfRule>
    <cfRule type="cellIs" dxfId="25931" priority="3524" operator="lessThan">
      <formula>$C328</formula>
    </cfRule>
  </conditionalFormatting>
  <conditionalFormatting sqref="D329:E329">
    <cfRule type="expression" dxfId="25930" priority="3521">
      <formula>AND($A329&lt;&gt;"",MOD(ROW(),2))</formula>
    </cfRule>
  </conditionalFormatting>
  <conditionalFormatting sqref="D329">
    <cfRule type="cellIs" dxfId="25929" priority="3518" operator="equal">
      <formula>$C329</formula>
    </cfRule>
    <cfRule type="cellIs" dxfId="25928" priority="3519" operator="greaterThan">
      <formula>$C329</formula>
    </cfRule>
    <cfRule type="cellIs" dxfId="25927" priority="3520" operator="lessThan">
      <formula>$C329</formula>
    </cfRule>
  </conditionalFormatting>
  <conditionalFormatting sqref="D330:E330">
    <cfRule type="expression" dxfId="25926" priority="3517">
      <formula>AND($A330&lt;&gt;"",MOD(ROW(),2))</formula>
    </cfRule>
  </conditionalFormatting>
  <conditionalFormatting sqref="D330">
    <cfRule type="cellIs" dxfId="25925" priority="3514" operator="equal">
      <formula>$C330</formula>
    </cfRule>
    <cfRule type="cellIs" dxfId="25924" priority="3515" operator="greaterThan">
      <formula>$C330</formula>
    </cfRule>
    <cfRule type="cellIs" dxfId="25923" priority="3516" operator="lessThan">
      <formula>$C330</formula>
    </cfRule>
  </conditionalFormatting>
  <conditionalFormatting sqref="D331:E331">
    <cfRule type="expression" dxfId="25922" priority="3513">
      <formula>AND($A331&lt;&gt;"",MOD(ROW(),2))</formula>
    </cfRule>
  </conditionalFormatting>
  <conditionalFormatting sqref="D331">
    <cfRule type="cellIs" dxfId="25921" priority="3510" operator="equal">
      <formula>$C331</formula>
    </cfRule>
    <cfRule type="cellIs" dxfId="25920" priority="3511" operator="greaterThan">
      <formula>$C331</formula>
    </cfRule>
    <cfRule type="cellIs" dxfId="25919" priority="3512" operator="lessThan">
      <formula>$C331</formula>
    </cfRule>
  </conditionalFormatting>
  <conditionalFormatting sqref="D309:E309">
    <cfRule type="expression" dxfId="25918" priority="3509">
      <formula>AND($A309&lt;&gt;"",MOD(ROW(),2))</formula>
    </cfRule>
  </conditionalFormatting>
  <conditionalFormatting sqref="D309">
    <cfRule type="cellIs" dxfId="25917" priority="3506" operator="equal">
      <formula>$C309</formula>
    </cfRule>
    <cfRule type="cellIs" dxfId="25916" priority="3507" operator="greaterThan">
      <formula>$C309</formula>
    </cfRule>
    <cfRule type="cellIs" dxfId="25915" priority="3508" operator="lessThan">
      <formula>$C309</formula>
    </cfRule>
  </conditionalFormatting>
  <conditionalFormatting sqref="D310:E310">
    <cfRule type="expression" dxfId="25914" priority="3505">
      <formula>AND($A310&lt;&gt;"",MOD(ROW(),2))</formula>
    </cfRule>
  </conditionalFormatting>
  <conditionalFormatting sqref="D310">
    <cfRule type="cellIs" dxfId="25913" priority="3502" operator="equal">
      <formula>$C310</formula>
    </cfRule>
    <cfRule type="cellIs" dxfId="25912" priority="3503" operator="greaterThan">
      <formula>$C310</formula>
    </cfRule>
    <cfRule type="cellIs" dxfId="25911" priority="3504" operator="lessThan">
      <formula>$C310</formula>
    </cfRule>
  </conditionalFormatting>
  <conditionalFormatting sqref="D311:E311">
    <cfRule type="expression" dxfId="25910" priority="3501">
      <formula>AND($A311&lt;&gt;"",MOD(ROW(),2))</formula>
    </cfRule>
  </conditionalFormatting>
  <conditionalFormatting sqref="D311">
    <cfRule type="cellIs" dxfId="25909" priority="3498" operator="equal">
      <formula>$C311</formula>
    </cfRule>
    <cfRule type="cellIs" dxfId="25908" priority="3499" operator="greaterThan">
      <formula>$C311</formula>
    </cfRule>
    <cfRule type="cellIs" dxfId="25907" priority="3500" operator="lessThan">
      <formula>$C311</formula>
    </cfRule>
  </conditionalFormatting>
  <conditionalFormatting sqref="D312:E312">
    <cfRule type="expression" dxfId="25906" priority="3497">
      <formula>AND($A312&lt;&gt;"",MOD(ROW(),2))</formula>
    </cfRule>
  </conditionalFormatting>
  <conditionalFormatting sqref="D312">
    <cfRule type="cellIs" dxfId="25905" priority="3494" operator="equal">
      <formula>$C312</formula>
    </cfRule>
    <cfRule type="cellIs" dxfId="25904" priority="3495" operator="greaterThan">
      <formula>$C312</formula>
    </cfRule>
    <cfRule type="cellIs" dxfId="25903" priority="3496" operator="lessThan">
      <formula>$C312</formula>
    </cfRule>
  </conditionalFormatting>
  <conditionalFormatting sqref="D313:E313">
    <cfRule type="expression" dxfId="25902" priority="3493">
      <formula>AND($A313&lt;&gt;"",MOD(ROW(),2))</formula>
    </cfRule>
  </conditionalFormatting>
  <conditionalFormatting sqref="D313">
    <cfRule type="cellIs" dxfId="25901" priority="3490" operator="equal">
      <formula>$C313</formula>
    </cfRule>
    <cfRule type="cellIs" dxfId="25900" priority="3491" operator="greaterThan">
      <formula>$C313</formula>
    </cfRule>
    <cfRule type="cellIs" dxfId="25899" priority="3492" operator="lessThan">
      <formula>$C313</formula>
    </cfRule>
  </conditionalFormatting>
  <conditionalFormatting sqref="D314:E314">
    <cfRule type="expression" dxfId="25898" priority="3489">
      <formula>AND($A314&lt;&gt;"",MOD(ROW(),2))</formula>
    </cfRule>
  </conditionalFormatting>
  <conditionalFormatting sqref="D314">
    <cfRule type="cellIs" dxfId="25897" priority="3486" operator="equal">
      <formula>$C314</formula>
    </cfRule>
    <cfRule type="cellIs" dxfId="25896" priority="3487" operator="greaterThan">
      <formula>$C314</formula>
    </cfRule>
    <cfRule type="cellIs" dxfId="25895" priority="3488" operator="lessThan">
      <formula>$C314</formula>
    </cfRule>
  </conditionalFormatting>
  <conditionalFormatting sqref="D315:E315">
    <cfRule type="expression" dxfId="25894" priority="3485">
      <formula>AND($A315&lt;&gt;"",MOD(ROW(),2))</formula>
    </cfRule>
  </conditionalFormatting>
  <conditionalFormatting sqref="D315">
    <cfRule type="cellIs" dxfId="25893" priority="3482" operator="equal">
      <formula>$C315</formula>
    </cfRule>
    <cfRule type="cellIs" dxfId="25892" priority="3483" operator="greaterThan">
      <formula>$C315</formula>
    </cfRule>
    <cfRule type="cellIs" dxfId="25891" priority="3484" operator="lessThan">
      <formula>$C315</formula>
    </cfRule>
  </conditionalFormatting>
  <conditionalFormatting sqref="D316:E316">
    <cfRule type="expression" dxfId="25890" priority="3481">
      <formula>AND($A316&lt;&gt;"",MOD(ROW(),2))</formula>
    </cfRule>
  </conditionalFormatting>
  <conditionalFormatting sqref="D316">
    <cfRule type="cellIs" dxfId="25889" priority="3478" operator="equal">
      <formula>$C316</formula>
    </cfRule>
    <cfRule type="cellIs" dxfId="25888" priority="3479" operator="greaterThan">
      <formula>$C316</formula>
    </cfRule>
    <cfRule type="cellIs" dxfId="25887" priority="3480" operator="lessThan">
      <formula>$C316</formula>
    </cfRule>
  </conditionalFormatting>
  <conditionalFormatting sqref="D363">
    <cfRule type="expression" dxfId="25886" priority="3477">
      <formula>AND($A363&lt;&gt;"",MOD(ROW(),2))</formula>
    </cfRule>
  </conditionalFormatting>
  <conditionalFormatting sqref="D363">
    <cfRule type="cellIs" dxfId="25885" priority="3474" operator="equal">
      <formula>$C363</formula>
    </cfRule>
    <cfRule type="cellIs" dxfId="25884" priority="3475" operator="greaterThan">
      <formula>$C363</formula>
    </cfRule>
    <cfRule type="cellIs" dxfId="25883" priority="3476" operator="lessThan">
      <formula>$C363</formula>
    </cfRule>
  </conditionalFormatting>
  <conditionalFormatting sqref="D364">
    <cfRule type="expression" dxfId="25882" priority="3473">
      <formula>AND($A364&lt;&gt;"",MOD(ROW(),2))</formula>
    </cfRule>
  </conditionalFormatting>
  <conditionalFormatting sqref="D364">
    <cfRule type="cellIs" dxfId="25881" priority="3470" operator="equal">
      <formula>$C364</formula>
    </cfRule>
    <cfRule type="cellIs" dxfId="25880" priority="3471" operator="greaterThan">
      <formula>$C364</formula>
    </cfRule>
    <cfRule type="cellIs" dxfId="25879" priority="3472" operator="lessThan">
      <formula>$C364</formula>
    </cfRule>
  </conditionalFormatting>
  <conditionalFormatting sqref="D365">
    <cfRule type="expression" dxfId="25878" priority="3469">
      <formula>AND($A365&lt;&gt;"",MOD(ROW(),2))</formula>
    </cfRule>
  </conditionalFormatting>
  <conditionalFormatting sqref="D365">
    <cfRule type="cellIs" dxfId="25877" priority="3466" operator="equal">
      <formula>$C365</formula>
    </cfRule>
    <cfRule type="cellIs" dxfId="25876" priority="3467" operator="greaterThan">
      <formula>$C365</formula>
    </cfRule>
    <cfRule type="cellIs" dxfId="25875" priority="3468" operator="lessThan">
      <formula>$C365</formula>
    </cfRule>
  </conditionalFormatting>
  <conditionalFormatting sqref="D366">
    <cfRule type="expression" dxfId="25874" priority="3465">
      <formula>AND($A366&lt;&gt;"",MOD(ROW(),2))</formula>
    </cfRule>
  </conditionalFormatting>
  <conditionalFormatting sqref="D366">
    <cfRule type="cellIs" dxfId="25873" priority="3462" operator="equal">
      <formula>$C366</formula>
    </cfRule>
    <cfRule type="cellIs" dxfId="25872" priority="3463" operator="greaterThan">
      <formula>$C366</formula>
    </cfRule>
    <cfRule type="cellIs" dxfId="25871" priority="3464" operator="lessThan">
      <formula>$C366</formula>
    </cfRule>
  </conditionalFormatting>
  <conditionalFormatting sqref="D367">
    <cfRule type="expression" dxfId="25870" priority="3461">
      <formula>AND($A367&lt;&gt;"",MOD(ROW(),2))</formula>
    </cfRule>
  </conditionalFormatting>
  <conditionalFormatting sqref="D367">
    <cfRule type="cellIs" dxfId="25869" priority="3458" operator="equal">
      <formula>$C367</formula>
    </cfRule>
    <cfRule type="cellIs" dxfId="25868" priority="3459" operator="greaterThan">
      <formula>$C367</formula>
    </cfRule>
    <cfRule type="cellIs" dxfId="25867" priority="3460" operator="lessThan">
      <formula>$C367</formula>
    </cfRule>
  </conditionalFormatting>
  <conditionalFormatting sqref="D348">
    <cfRule type="expression" dxfId="25866" priority="3457">
      <formula>AND($A348&lt;&gt;"",MOD(ROW(),2))</formula>
    </cfRule>
  </conditionalFormatting>
  <conditionalFormatting sqref="D348">
    <cfRule type="cellIs" dxfId="25865" priority="3454" operator="equal">
      <formula>$C348</formula>
    </cfRule>
    <cfRule type="cellIs" dxfId="25864" priority="3455" operator="greaterThan">
      <formula>$C348</formula>
    </cfRule>
    <cfRule type="cellIs" dxfId="25863" priority="3456" operator="lessThan">
      <formula>$C348</formula>
    </cfRule>
  </conditionalFormatting>
  <conditionalFormatting sqref="F347:F355">
    <cfRule type="containsText" dxfId="25862" priority="3452" operator="containsText" text="Unpaid Rent">
      <formula>NOT(ISERROR(SEARCH("Unpaid Rent",F347)))</formula>
    </cfRule>
    <cfRule type="containsText" dxfId="25861" priority="3453" stopIfTrue="1" operator="containsText" text="Closed Account">
      <formula>NOT(ISERROR(SEARCH("Closed Account",F347)))</formula>
    </cfRule>
  </conditionalFormatting>
  <conditionalFormatting sqref="D349">
    <cfRule type="expression" dxfId="25860" priority="3451">
      <formula>AND($A349&lt;&gt;"",MOD(ROW(),2))</formula>
    </cfRule>
  </conditionalFormatting>
  <conditionalFormatting sqref="D349">
    <cfRule type="cellIs" dxfId="25859" priority="3448" operator="equal">
      <formula>$C349</formula>
    </cfRule>
    <cfRule type="cellIs" dxfId="25858" priority="3449" operator="greaterThan">
      <formula>$C349</formula>
    </cfRule>
    <cfRule type="cellIs" dxfId="25857" priority="3450" operator="lessThan">
      <formula>$C349</formula>
    </cfRule>
  </conditionalFormatting>
  <conditionalFormatting sqref="D350">
    <cfRule type="expression" dxfId="25856" priority="3447">
      <formula>AND($A350&lt;&gt;"",MOD(ROW(),2))</formula>
    </cfRule>
  </conditionalFormatting>
  <conditionalFormatting sqref="D350">
    <cfRule type="cellIs" dxfId="25855" priority="3444" operator="equal">
      <formula>$C350</formula>
    </cfRule>
    <cfRule type="cellIs" dxfId="25854" priority="3445" operator="greaterThan">
      <formula>$C350</formula>
    </cfRule>
    <cfRule type="cellIs" dxfId="25853" priority="3446" operator="lessThan">
      <formula>$C350</formula>
    </cfRule>
  </conditionalFormatting>
  <conditionalFormatting sqref="D351">
    <cfRule type="expression" dxfId="25852" priority="3443">
      <formula>AND($A351&lt;&gt;"",MOD(ROW(),2))</formula>
    </cfRule>
  </conditionalFormatting>
  <conditionalFormatting sqref="D351">
    <cfRule type="cellIs" dxfId="25851" priority="3440" operator="equal">
      <formula>$C351</formula>
    </cfRule>
    <cfRule type="cellIs" dxfId="25850" priority="3441" operator="greaterThan">
      <formula>$C351</formula>
    </cfRule>
    <cfRule type="cellIs" dxfId="25849" priority="3442" operator="lessThan">
      <formula>$C351</formula>
    </cfRule>
  </conditionalFormatting>
  <conditionalFormatting sqref="D352">
    <cfRule type="expression" dxfId="25848" priority="3439">
      <formula>AND($A352&lt;&gt;"",MOD(ROW(),2))</formula>
    </cfRule>
  </conditionalFormatting>
  <conditionalFormatting sqref="D352">
    <cfRule type="cellIs" dxfId="25847" priority="3436" operator="equal">
      <formula>$C352</formula>
    </cfRule>
    <cfRule type="cellIs" dxfId="25846" priority="3437" operator="greaterThan">
      <formula>$C352</formula>
    </cfRule>
    <cfRule type="cellIs" dxfId="25845" priority="3438" operator="lessThan">
      <formula>$C352</formula>
    </cfRule>
  </conditionalFormatting>
  <conditionalFormatting sqref="D353">
    <cfRule type="expression" dxfId="25844" priority="3435">
      <formula>AND($A353&lt;&gt;"",MOD(ROW(),2))</formula>
    </cfRule>
  </conditionalFormatting>
  <conditionalFormatting sqref="D353">
    <cfRule type="cellIs" dxfId="25843" priority="3432" operator="equal">
      <formula>$C353</formula>
    </cfRule>
    <cfRule type="cellIs" dxfId="25842" priority="3433" operator="greaterThan">
      <formula>$C353</formula>
    </cfRule>
    <cfRule type="cellIs" dxfId="25841" priority="3434" operator="lessThan">
      <formula>$C353</formula>
    </cfRule>
  </conditionalFormatting>
  <conditionalFormatting sqref="D355">
    <cfRule type="expression" dxfId="25840" priority="3431">
      <formula>AND($A355&lt;&gt;"",MOD(ROW(),2))</formula>
    </cfRule>
  </conditionalFormatting>
  <conditionalFormatting sqref="D355">
    <cfRule type="cellIs" dxfId="25839" priority="3428" operator="equal">
      <formula>$C355</formula>
    </cfRule>
    <cfRule type="cellIs" dxfId="25838" priority="3429" operator="greaterThan">
      <formula>$C355</formula>
    </cfRule>
    <cfRule type="cellIs" dxfId="25837" priority="3430" operator="lessThan">
      <formula>$C355</formula>
    </cfRule>
  </conditionalFormatting>
  <conditionalFormatting sqref="D368">
    <cfRule type="expression" dxfId="25836" priority="3427">
      <formula>AND($A368&lt;&gt;"",MOD(ROW(),2))</formula>
    </cfRule>
  </conditionalFormatting>
  <conditionalFormatting sqref="D368">
    <cfRule type="cellIs" dxfId="25835" priority="3424" operator="equal">
      <formula>$C368</formula>
    </cfRule>
    <cfRule type="cellIs" dxfId="25834" priority="3425" operator="greaterThan">
      <formula>$C368</formula>
    </cfRule>
    <cfRule type="cellIs" dxfId="25833" priority="3426" operator="lessThan">
      <formula>$C368</formula>
    </cfRule>
  </conditionalFormatting>
  <conditionalFormatting sqref="C369">
    <cfRule type="expression" dxfId="25832" priority="3421">
      <formula>AND($A369&lt;&gt;"",MOD(ROW(),2))</formula>
    </cfRule>
  </conditionalFormatting>
  <conditionalFormatting sqref="D369">
    <cfRule type="expression" dxfId="25831" priority="3420">
      <formula>AND($A369&lt;&gt;"",MOD(ROW(),2))</formula>
    </cfRule>
  </conditionalFormatting>
  <conditionalFormatting sqref="D369">
    <cfRule type="cellIs" dxfId="25830" priority="3417" operator="equal">
      <formula>$C369</formula>
    </cfRule>
    <cfRule type="cellIs" dxfId="25829" priority="3418" operator="greaterThan">
      <formula>$C369</formula>
    </cfRule>
    <cfRule type="cellIs" dxfId="25828" priority="3419" operator="lessThan">
      <formula>$C369</formula>
    </cfRule>
  </conditionalFormatting>
  <conditionalFormatting sqref="C370">
    <cfRule type="expression" dxfId="25827" priority="3416">
      <formula>AND($A370&lt;&gt;"",MOD(ROW(),2))</formula>
    </cfRule>
  </conditionalFormatting>
  <conditionalFormatting sqref="D370">
    <cfRule type="expression" dxfId="25826" priority="3415">
      <formula>AND($A370&lt;&gt;"",MOD(ROW(),2))</formula>
    </cfRule>
  </conditionalFormatting>
  <conditionalFormatting sqref="D370">
    <cfRule type="cellIs" dxfId="25825" priority="3412" operator="equal">
      <formula>$C370</formula>
    </cfRule>
    <cfRule type="cellIs" dxfId="25824" priority="3413" operator="greaterThan">
      <formula>$C370</formula>
    </cfRule>
    <cfRule type="cellIs" dxfId="25823" priority="3414" operator="lessThan">
      <formula>$C370</formula>
    </cfRule>
  </conditionalFormatting>
  <conditionalFormatting sqref="J308:J370">
    <cfRule type="expression" dxfId="25822" priority="3364">
      <formula>AND($A308&lt;&gt;"",MOD(ROW(),2))</formula>
    </cfRule>
  </conditionalFormatting>
  <conditionalFormatting sqref="H371">
    <cfRule type="expression" dxfId="25821" priority="3363">
      <formula>AND($A371&lt;&gt;"",MOD(ROW(),2))</formula>
    </cfRule>
  </conditionalFormatting>
  <conditionalFormatting sqref="C371">
    <cfRule type="expression" dxfId="25820" priority="3362">
      <formula>AND($A371&lt;&gt;"",MOD(ROW(),2))</formula>
    </cfRule>
  </conditionalFormatting>
  <conditionalFormatting sqref="D371">
    <cfRule type="expression" dxfId="25819" priority="3361">
      <formula>AND($A371&lt;&gt;"",MOD(ROW(),2))</formula>
    </cfRule>
  </conditionalFormatting>
  <conditionalFormatting sqref="D371">
    <cfRule type="cellIs" dxfId="25818" priority="3358" operator="equal">
      <formula>$C371</formula>
    </cfRule>
    <cfRule type="cellIs" dxfId="25817" priority="3359" operator="greaterThan">
      <formula>$C371</formula>
    </cfRule>
    <cfRule type="cellIs" dxfId="25816" priority="3360" operator="lessThan">
      <formula>$C371</formula>
    </cfRule>
  </conditionalFormatting>
  <conditionalFormatting sqref="L246:N252 L259:N259">
    <cfRule type="expression" dxfId="25815" priority="3357">
      <formula>AND($A246&lt;&gt;"",MOD(ROW(),2))</formula>
    </cfRule>
  </conditionalFormatting>
  <conditionalFormatting sqref="L246:L252 L259">
    <cfRule type="cellIs" dxfId="25814" priority="3354" operator="equal">
      <formula>$C246</formula>
    </cfRule>
    <cfRule type="cellIs" dxfId="25813" priority="3355" operator="greaterThan">
      <formula>$C246</formula>
    </cfRule>
    <cfRule type="cellIs" dxfId="25812" priority="3356" operator="lessThan">
      <formula>$C246</formula>
    </cfRule>
  </conditionalFormatting>
  <conditionalFormatting sqref="L259:N263 L265:N292 L294:N294">
    <cfRule type="expression" dxfId="25811" priority="3348">
      <formula>AND($A258&lt;&gt;"",MOD(ROW(),2))</formula>
    </cfRule>
  </conditionalFormatting>
  <conditionalFormatting sqref="L304:M319">
    <cfRule type="expression" dxfId="25810" priority="3347">
      <formula>AND($A303&lt;&gt;"",MOD(ROW(),2))</formula>
    </cfRule>
  </conditionalFormatting>
  <conditionalFormatting sqref="L259:L263 L265:L292 L294 L304:L319">
    <cfRule type="cellIs" dxfId="25809" priority="3344" operator="equal">
      <formula>$C258</formula>
    </cfRule>
    <cfRule type="cellIs" dxfId="25808" priority="3345" operator="greaterThan">
      <formula>$C258</formula>
    </cfRule>
    <cfRule type="cellIs" dxfId="25807" priority="3346" operator="lessThan">
      <formula>$C258</formula>
    </cfRule>
  </conditionalFormatting>
  <conditionalFormatting sqref="M265:N292 M246:N252 M259:N263 M294:N294 M304:M319">
    <cfRule type="expression" dxfId="25806" priority="3353">
      <formula>AND(#REF!&lt;&gt;"",MOD(ROW(),2))</formula>
    </cfRule>
  </conditionalFormatting>
  <conditionalFormatting sqref="M265:N292 M246:N252 M259:N263 M294:N294 M304:M319">
    <cfRule type="expression" dxfId="25805" priority="3352">
      <formula>AND(#REF!&lt;&gt;"",MOD(ROW(),2))</formula>
    </cfRule>
  </conditionalFormatting>
  <conditionalFormatting sqref="N246:N252 N265:N292 N259:N263 N294">
    <cfRule type="cellIs" dxfId="25804" priority="3349" operator="equal">
      <formula>#REF!</formula>
    </cfRule>
    <cfRule type="cellIs" dxfId="25803" priority="3350" operator="greaterThan">
      <formula>#REF!</formula>
    </cfRule>
    <cfRule type="cellIs" dxfId="25802" priority="3351" operator="lessThan">
      <formula>#REF!</formula>
    </cfRule>
  </conditionalFormatting>
  <conditionalFormatting sqref="L264:N264">
    <cfRule type="expression" dxfId="25801" priority="3338">
      <formula>AND($A263&lt;&gt;"",MOD(ROW(),2))</formula>
    </cfRule>
  </conditionalFormatting>
  <conditionalFormatting sqref="L264">
    <cfRule type="cellIs" dxfId="25800" priority="3335" operator="equal">
      <formula>$C263</formula>
    </cfRule>
    <cfRule type="cellIs" dxfId="25799" priority="3336" operator="greaterThan">
      <formula>$C263</formula>
    </cfRule>
    <cfRule type="cellIs" dxfId="25798" priority="3337" operator="lessThan">
      <formula>$C263</formula>
    </cfRule>
  </conditionalFormatting>
  <conditionalFormatting sqref="M264:N264">
    <cfRule type="expression" dxfId="25797" priority="3343">
      <formula>AND(#REF!&lt;&gt;"",MOD(ROW(),2))</formula>
    </cfRule>
  </conditionalFormatting>
  <conditionalFormatting sqref="M264:N264">
    <cfRule type="expression" dxfId="25796" priority="3342">
      <formula>AND(#REF!&lt;&gt;"",MOD(ROW(),2))</formula>
    </cfRule>
  </conditionalFormatting>
  <conditionalFormatting sqref="N264">
    <cfRule type="cellIs" dxfId="25795" priority="3339" operator="equal">
      <formula>#REF!</formula>
    </cfRule>
    <cfRule type="cellIs" dxfId="25794" priority="3340" operator="greaterThan">
      <formula>#REF!</formula>
    </cfRule>
    <cfRule type="cellIs" dxfId="25793" priority="3341" operator="lessThan">
      <formula>#REF!</formula>
    </cfRule>
  </conditionalFormatting>
  <conditionalFormatting sqref="L253:N253">
    <cfRule type="expression" dxfId="25792" priority="3334">
      <formula>AND($A253&lt;&gt;"",MOD(ROW(),2))</formula>
    </cfRule>
  </conditionalFormatting>
  <conditionalFormatting sqref="L253">
    <cfRule type="cellIs" dxfId="25791" priority="3331" operator="equal">
      <formula>$C253</formula>
    </cfRule>
    <cfRule type="cellIs" dxfId="25790" priority="3332" operator="greaterThan">
      <formula>$C253</formula>
    </cfRule>
    <cfRule type="cellIs" dxfId="25789" priority="3333" operator="lessThan">
      <formula>$C253</formula>
    </cfRule>
  </conditionalFormatting>
  <conditionalFormatting sqref="L253:N257">
    <cfRule type="expression" dxfId="25788" priority="3325">
      <formula>AND($A252&lt;&gt;"",MOD(ROW(),2))</formula>
    </cfRule>
  </conditionalFormatting>
  <conditionalFormatting sqref="L253:L257">
    <cfRule type="cellIs" dxfId="25787" priority="3322" operator="equal">
      <formula>$C252</formula>
    </cfRule>
    <cfRule type="cellIs" dxfId="25786" priority="3323" operator="greaterThan">
      <formula>$C252</formula>
    </cfRule>
    <cfRule type="cellIs" dxfId="25785" priority="3324" operator="lessThan">
      <formula>$C252</formula>
    </cfRule>
  </conditionalFormatting>
  <conditionalFormatting sqref="M253:N257">
    <cfRule type="expression" dxfId="25784" priority="3330">
      <formula>AND(#REF!&lt;&gt;"",MOD(ROW(),2))</formula>
    </cfRule>
  </conditionalFormatting>
  <conditionalFormatting sqref="M253:N257">
    <cfRule type="expression" dxfId="25783" priority="3329">
      <formula>AND(#REF!&lt;&gt;"",MOD(ROW(),2))</formula>
    </cfRule>
  </conditionalFormatting>
  <conditionalFormatting sqref="N253:N257">
    <cfRule type="cellIs" dxfId="25782" priority="3326" operator="equal">
      <formula>#REF!</formula>
    </cfRule>
    <cfRule type="cellIs" dxfId="25781" priority="3327" operator="greaterThan">
      <formula>#REF!</formula>
    </cfRule>
    <cfRule type="cellIs" dxfId="25780" priority="3328" operator="lessThan">
      <formula>#REF!</formula>
    </cfRule>
  </conditionalFormatting>
  <conditionalFormatting sqref="L258:N258">
    <cfRule type="expression" dxfId="25779" priority="3316">
      <formula>AND($A257&lt;&gt;"",MOD(ROW(),2))</formula>
    </cfRule>
  </conditionalFormatting>
  <conditionalFormatting sqref="L258">
    <cfRule type="cellIs" dxfId="25778" priority="3313" operator="equal">
      <formula>$C257</formula>
    </cfRule>
    <cfRule type="cellIs" dxfId="25777" priority="3314" operator="greaterThan">
      <formula>$C257</formula>
    </cfRule>
    <cfRule type="cellIs" dxfId="25776" priority="3315" operator="lessThan">
      <formula>$C257</formula>
    </cfRule>
  </conditionalFormatting>
  <conditionalFormatting sqref="M258:N258">
    <cfRule type="expression" dxfId="25775" priority="3321">
      <formula>AND(#REF!&lt;&gt;"",MOD(ROW(),2))</formula>
    </cfRule>
  </conditionalFormatting>
  <conditionalFormatting sqref="M258:N258">
    <cfRule type="expression" dxfId="25774" priority="3320">
      <formula>AND(#REF!&lt;&gt;"",MOD(ROW(),2))</formula>
    </cfRule>
  </conditionalFormatting>
  <conditionalFormatting sqref="N258">
    <cfRule type="cellIs" dxfId="25773" priority="3317" operator="equal">
      <formula>#REF!</formula>
    </cfRule>
    <cfRule type="cellIs" dxfId="25772" priority="3318" operator="greaterThan">
      <formula>#REF!</formula>
    </cfRule>
    <cfRule type="cellIs" dxfId="25771" priority="3319" operator="lessThan">
      <formula>#REF!</formula>
    </cfRule>
  </conditionalFormatting>
  <conditionalFormatting sqref="L293:M293">
    <cfRule type="expression" dxfId="25770" priority="3310">
      <formula>AND($A292&lt;&gt;"",MOD(ROW(),2))</formula>
    </cfRule>
  </conditionalFormatting>
  <conditionalFormatting sqref="L293">
    <cfRule type="cellIs" dxfId="25769" priority="3307" operator="equal">
      <formula>$C292</formula>
    </cfRule>
    <cfRule type="cellIs" dxfId="25768" priority="3308" operator="greaterThan">
      <formula>$C292</formula>
    </cfRule>
    <cfRule type="cellIs" dxfId="25767" priority="3309" operator="lessThan">
      <formula>$C292</formula>
    </cfRule>
  </conditionalFormatting>
  <conditionalFormatting sqref="M293">
    <cfRule type="expression" dxfId="25766" priority="3312">
      <formula>AND(#REF!&lt;&gt;"",MOD(ROW(),2))</formula>
    </cfRule>
  </conditionalFormatting>
  <conditionalFormatting sqref="M293">
    <cfRule type="expression" dxfId="25765" priority="3311">
      <formula>AND(#REF!&lt;&gt;"",MOD(ROW(),2))</formula>
    </cfRule>
  </conditionalFormatting>
  <conditionalFormatting sqref="L295:M303">
    <cfRule type="expression" dxfId="25764" priority="3306">
      <formula>AND($A295&lt;&gt;"",MOD(ROW(),2))</formula>
    </cfRule>
  </conditionalFormatting>
  <conditionalFormatting sqref="N295:N303">
    <cfRule type="expression" dxfId="25763" priority="3303">
      <formula>AND($A295&lt;&gt;"",MOD(ROW(),2))</formula>
    </cfRule>
  </conditionalFormatting>
  <conditionalFormatting sqref="L295:L303">
    <cfRule type="cellIs" dxfId="25762" priority="3297" operator="equal">
      <formula>$C295</formula>
    </cfRule>
    <cfRule type="cellIs" dxfId="25761" priority="3298" operator="greaterThan">
      <formula>$C295</formula>
    </cfRule>
    <cfRule type="cellIs" dxfId="25760" priority="3299" operator="lessThan">
      <formula>$C295</formula>
    </cfRule>
  </conditionalFormatting>
  <conditionalFormatting sqref="M295:N303">
    <cfRule type="expression" dxfId="25759" priority="3305">
      <formula>AND(#REF!&lt;&gt;"",MOD(ROW(),2))</formula>
    </cfRule>
  </conditionalFormatting>
  <conditionalFormatting sqref="M295:N303">
    <cfRule type="expression" dxfId="25758" priority="3304">
      <formula>AND(#REF!&lt;&gt;"",MOD(ROW(),2))</formula>
    </cfRule>
  </conditionalFormatting>
  <conditionalFormatting sqref="N295:N303">
    <cfRule type="cellIs" dxfId="25757" priority="3300" operator="equal">
      <formula>#REF!</formula>
    </cfRule>
    <cfRule type="cellIs" dxfId="25756" priority="3301" operator="greaterThan">
      <formula>#REF!</formula>
    </cfRule>
    <cfRule type="cellIs" dxfId="25755" priority="3302" operator="lessThan">
      <formula>#REF!</formula>
    </cfRule>
  </conditionalFormatting>
  <conditionalFormatting sqref="W91">
    <cfRule type="cellIs" dxfId="25754" priority="3294" operator="equal">
      <formula>#REF!</formula>
    </cfRule>
    <cfRule type="cellIs" dxfId="25753" priority="3295" operator="greaterThan">
      <formula>#REF!</formula>
    </cfRule>
    <cfRule type="cellIs" dxfId="25752" priority="3296" operator="lessThan">
      <formula>#REF!</formula>
    </cfRule>
  </conditionalFormatting>
  <conditionalFormatting sqref="W91">
    <cfRule type="expression" dxfId="25751" priority="3293">
      <formula>AND($A75&lt;&gt;"",MOD(ROW(),2))</formula>
    </cfRule>
  </conditionalFormatting>
  <conditionalFormatting sqref="D373:E395 C373:C394 A373:A411 G413 C413:E413 A413 G417:G421 A417:A421 C417:C421 C396:E411 D412:E412 H412:H421 G373:H411">
    <cfRule type="expression" dxfId="25750" priority="3292">
      <formula>AND($A373&lt;&gt;"",MOD(ROW(),2))</formula>
    </cfRule>
  </conditionalFormatting>
  <conditionalFormatting sqref="D373:D413">
    <cfRule type="cellIs" dxfId="25749" priority="3289" operator="equal">
      <formula>$C373</formula>
    </cfRule>
    <cfRule type="cellIs" dxfId="25748" priority="3290" operator="greaterThan">
      <formula>$C373</formula>
    </cfRule>
    <cfRule type="cellIs" dxfId="25747" priority="3291" operator="lessThan">
      <formula>$C373</formula>
    </cfRule>
  </conditionalFormatting>
  <conditionalFormatting sqref="F373:F413">
    <cfRule type="containsText" dxfId="25746" priority="3287" operator="containsText" text="Unpaid Rent">
      <formula>NOT(ISERROR(SEARCH("Unpaid Rent",F373)))</formula>
    </cfRule>
    <cfRule type="containsText" dxfId="25745" priority="3288" stopIfTrue="1" operator="containsText" text="Closed Account">
      <formula>NOT(ISERROR(SEARCH("Closed Account",F373)))</formula>
    </cfRule>
  </conditionalFormatting>
  <conditionalFormatting sqref="D395">
    <cfRule type="cellIs" dxfId="25744" priority="3265" operator="equal">
      <formula>$C395</formula>
    </cfRule>
    <cfRule type="cellIs" dxfId="25743" priority="3266" operator="greaterThan">
      <formula>$C395</formula>
    </cfRule>
    <cfRule type="cellIs" dxfId="25742" priority="3267" operator="lessThan">
      <formula>$C395</formula>
    </cfRule>
  </conditionalFormatting>
  <conditionalFormatting sqref="C395:E395">
    <cfRule type="expression" dxfId="25741" priority="3286">
      <formula>AND($A395&lt;&gt;"",MOD(ROW(),2))</formula>
    </cfRule>
  </conditionalFormatting>
  <conditionalFormatting sqref="D395">
    <cfRule type="cellIs" dxfId="25740" priority="3283" operator="equal">
      <formula>$C395</formula>
    </cfRule>
    <cfRule type="cellIs" dxfId="25739" priority="3284" operator="greaterThan">
      <formula>$C395</formula>
    </cfRule>
    <cfRule type="cellIs" dxfId="25738" priority="3285" operator="lessThan">
      <formula>$C395</formula>
    </cfRule>
  </conditionalFormatting>
  <conditionalFormatting sqref="F395">
    <cfRule type="containsText" dxfId="25737" priority="3281" operator="containsText" text="Unpaid Rent">
      <formula>NOT(ISERROR(SEARCH("Unpaid Rent",F395)))</formula>
    </cfRule>
    <cfRule type="containsText" dxfId="25736" priority="3282" stopIfTrue="1" operator="containsText" text="Closed Account">
      <formula>NOT(ISERROR(SEARCH("Closed Account",F395)))</formula>
    </cfRule>
  </conditionalFormatting>
  <conditionalFormatting sqref="D394:E394">
    <cfRule type="expression" dxfId="25735" priority="3280">
      <formula>AND($A394&lt;&gt;"",MOD(ROW(),2))</formula>
    </cfRule>
  </conditionalFormatting>
  <conditionalFormatting sqref="D394">
    <cfRule type="cellIs" dxfId="25734" priority="3277" operator="equal">
      <formula>$C394</formula>
    </cfRule>
    <cfRule type="cellIs" dxfId="25733" priority="3278" operator="greaterThan">
      <formula>$C394</formula>
    </cfRule>
    <cfRule type="cellIs" dxfId="25732" priority="3279" operator="lessThan">
      <formula>$C394</formula>
    </cfRule>
  </conditionalFormatting>
  <conditionalFormatting sqref="F394">
    <cfRule type="containsText" dxfId="25731" priority="3275" operator="containsText" text="Unpaid Rent">
      <formula>NOT(ISERROR(SEARCH("Unpaid Rent",F394)))</formula>
    </cfRule>
    <cfRule type="containsText" dxfId="25730" priority="3276" stopIfTrue="1" operator="containsText" text="Closed Account">
      <formula>NOT(ISERROR(SEARCH("Closed Account",F394)))</formula>
    </cfRule>
  </conditionalFormatting>
  <conditionalFormatting sqref="D395:E395">
    <cfRule type="expression" dxfId="25729" priority="3274">
      <formula>AND($A395&lt;&gt;"",MOD(ROW(),2))</formula>
    </cfRule>
  </conditionalFormatting>
  <conditionalFormatting sqref="D395">
    <cfRule type="cellIs" dxfId="25728" priority="3271" operator="equal">
      <formula>$C395</formula>
    </cfRule>
    <cfRule type="cellIs" dxfId="25727" priority="3272" operator="greaterThan">
      <formula>$C395</formula>
    </cfRule>
    <cfRule type="cellIs" dxfId="25726" priority="3273" operator="lessThan">
      <formula>$C395</formula>
    </cfRule>
  </conditionalFormatting>
  <conditionalFormatting sqref="F395">
    <cfRule type="containsText" dxfId="25725" priority="3269" operator="containsText" text="Unpaid Rent">
      <formula>NOT(ISERROR(SEARCH("Unpaid Rent",F395)))</formula>
    </cfRule>
    <cfRule type="containsText" dxfId="25724" priority="3270" stopIfTrue="1" operator="containsText" text="Closed Account">
      <formula>NOT(ISERROR(SEARCH("Closed Account",F395)))</formula>
    </cfRule>
  </conditionalFormatting>
  <conditionalFormatting sqref="D395">
    <cfRule type="expression" dxfId="25723" priority="3268">
      <formula>AND($A395&lt;&gt;"",MOD(ROW(),2))</formula>
    </cfRule>
  </conditionalFormatting>
  <conditionalFormatting sqref="D417:E417">
    <cfRule type="expression" dxfId="25722" priority="3264">
      <formula>AND($A417&lt;&gt;"",MOD(ROW(),2))</formula>
    </cfRule>
  </conditionalFormatting>
  <conditionalFormatting sqref="D416:D417">
    <cfRule type="cellIs" dxfId="25721" priority="3261" operator="equal">
      <formula>$C416</formula>
    </cfRule>
    <cfRule type="cellIs" dxfId="25720" priority="3262" operator="greaterThan">
      <formula>$C416</formula>
    </cfRule>
    <cfRule type="cellIs" dxfId="25719" priority="3263" operator="lessThan">
      <formula>$C416</formula>
    </cfRule>
  </conditionalFormatting>
  <conditionalFormatting sqref="D418:E418">
    <cfRule type="expression" dxfId="25718" priority="3260">
      <formula>AND($A418&lt;&gt;"",MOD(ROW(),2))</formula>
    </cfRule>
  </conditionalFormatting>
  <conditionalFormatting sqref="D417:D418">
    <cfRule type="cellIs" dxfId="25717" priority="3257" operator="equal">
      <formula>$C417</formula>
    </cfRule>
    <cfRule type="cellIs" dxfId="25716" priority="3258" operator="greaterThan">
      <formula>$C417</formula>
    </cfRule>
    <cfRule type="cellIs" dxfId="25715" priority="3259" operator="lessThan">
      <formula>$C417</formula>
    </cfRule>
  </conditionalFormatting>
  <conditionalFormatting sqref="D419:E419">
    <cfRule type="expression" dxfId="25714" priority="3256">
      <formula>AND($A419&lt;&gt;"",MOD(ROW(),2))</formula>
    </cfRule>
  </conditionalFormatting>
  <conditionalFormatting sqref="D417:D419">
    <cfRule type="cellIs" dxfId="25713" priority="3253" operator="equal">
      <formula>$C417</formula>
    </cfRule>
    <cfRule type="cellIs" dxfId="25712" priority="3254" operator="greaterThan">
      <formula>$C417</formula>
    </cfRule>
    <cfRule type="cellIs" dxfId="25711" priority="3255" operator="lessThan">
      <formula>$C417</formula>
    </cfRule>
  </conditionalFormatting>
  <conditionalFormatting sqref="D418:D419">
    <cfRule type="cellIs" dxfId="25710" priority="3250" operator="equal">
      <formula>$C418</formula>
    </cfRule>
    <cfRule type="cellIs" dxfId="25709" priority="3251" operator="greaterThan">
      <formula>$C418</formula>
    </cfRule>
    <cfRule type="cellIs" dxfId="25708" priority="3252" operator="lessThan">
      <formula>$C418</formula>
    </cfRule>
  </conditionalFormatting>
  <conditionalFormatting sqref="D421:E421">
    <cfRule type="expression" dxfId="25707" priority="3249">
      <formula>AND($A421&lt;&gt;"",MOD(ROW(),2))</formula>
    </cfRule>
  </conditionalFormatting>
  <conditionalFormatting sqref="D420:D421">
    <cfRule type="cellIs" dxfId="25706" priority="3246" operator="equal">
      <formula>$C420</formula>
    </cfRule>
    <cfRule type="cellIs" dxfId="25705" priority="3247" operator="greaterThan">
      <formula>$C420</formula>
    </cfRule>
    <cfRule type="cellIs" dxfId="25704" priority="3248" operator="lessThan">
      <formula>$C420</formula>
    </cfRule>
  </conditionalFormatting>
  <conditionalFormatting sqref="F416:F421">
    <cfRule type="containsText" dxfId="25703" priority="3244" operator="containsText" text="Unpaid Rent">
      <formula>NOT(ISERROR(SEARCH("Unpaid Rent",F416)))</formula>
    </cfRule>
    <cfRule type="containsText" dxfId="25702" priority="3245" stopIfTrue="1" operator="containsText" text="Closed Account">
      <formula>NOT(ISERROR(SEARCH("Closed Account",F416)))</formula>
    </cfRule>
  </conditionalFormatting>
  <conditionalFormatting sqref="A372 C372:E372 G372 I372:J372 I373:I421">
    <cfRule type="expression" dxfId="25701" priority="3243">
      <formula>AND($A372&lt;&gt;"",MOD(ROW(),2))</formula>
    </cfRule>
  </conditionalFormatting>
  <conditionalFormatting sqref="D372">
    <cfRule type="cellIs" dxfId="25700" priority="3240" operator="equal">
      <formula>$C372</formula>
    </cfRule>
    <cfRule type="cellIs" dxfId="25699" priority="3241" operator="greaterThan">
      <formula>$C372</formula>
    </cfRule>
    <cfRule type="cellIs" dxfId="25698" priority="3242" operator="lessThan">
      <formula>$C372</formula>
    </cfRule>
  </conditionalFormatting>
  <conditionalFormatting sqref="F372">
    <cfRule type="containsText" dxfId="25697" priority="3238" operator="containsText" text="Unpaid Rent">
      <formula>NOT(ISERROR(SEARCH("Unpaid Rent",F372)))</formula>
    </cfRule>
    <cfRule type="containsText" dxfId="25696" priority="3239" stopIfTrue="1" operator="containsText" text="Closed Account">
      <formula>NOT(ISERROR(SEARCH("Closed Account",F372)))</formula>
    </cfRule>
  </conditionalFormatting>
  <conditionalFormatting sqref="H372">
    <cfRule type="expression" dxfId="25695" priority="3237">
      <formula>AND($A372&lt;&gt;"",MOD(ROW(),2))</formula>
    </cfRule>
  </conditionalFormatting>
  <conditionalFormatting sqref="G412 C412:E412 A412">
    <cfRule type="expression" dxfId="25694" priority="3236">
      <formula>AND($A412&lt;&gt;"",MOD(ROW(),2))</formula>
    </cfRule>
  </conditionalFormatting>
  <conditionalFormatting sqref="D411:D412">
    <cfRule type="cellIs" dxfId="25693" priority="3233" operator="equal">
      <formula>$C411</formula>
    </cfRule>
    <cfRule type="cellIs" dxfId="25692" priority="3234" operator="greaterThan">
      <formula>$C411</formula>
    </cfRule>
    <cfRule type="cellIs" dxfId="25691" priority="3235" operator="lessThan">
      <formula>$C411</formula>
    </cfRule>
  </conditionalFormatting>
  <conditionalFormatting sqref="F411:F412">
    <cfRule type="containsText" dxfId="25690" priority="3231" operator="containsText" text="Unpaid Rent">
      <formula>NOT(ISERROR(SEARCH("Unpaid Rent",F411)))</formula>
    </cfRule>
    <cfRule type="containsText" dxfId="25689" priority="3232" stopIfTrue="1" operator="containsText" text="Closed Account">
      <formula>NOT(ISERROR(SEARCH("Closed Account",F411)))</formula>
    </cfRule>
  </conditionalFormatting>
  <conditionalFormatting sqref="A414:A417 C414:C417 G414:G417">
    <cfRule type="expression" dxfId="25688" priority="3230">
      <formula>AND($A414&lt;&gt;"",MOD(ROW(),2))</formula>
    </cfRule>
  </conditionalFormatting>
  <conditionalFormatting sqref="D414:E414">
    <cfRule type="expression" dxfId="25687" priority="3229">
      <formula>AND($A414&lt;&gt;"",MOD(ROW(),2))</formula>
    </cfRule>
  </conditionalFormatting>
  <conditionalFormatting sqref="D413:D414">
    <cfRule type="cellIs" dxfId="25686" priority="3226" operator="equal">
      <formula>$C413</formula>
    </cfRule>
    <cfRule type="cellIs" dxfId="25685" priority="3227" operator="greaterThan">
      <formula>$C413</formula>
    </cfRule>
    <cfRule type="cellIs" dxfId="25684" priority="3228" operator="lessThan">
      <formula>$C413</formula>
    </cfRule>
  </conditionalFormatting>
  <conditionalFormatting sqref="F413:F414">
    <cfRule type="containsText" dxfId="25683" priority="3224" operator="containsText" text="Unpaid Rent">
      <formula>NOT(ISERROR(SEARCH("Unpaid Rent",F413)))</formula>
    </cfRule>
    <cfRule type="containsText" dxfId="25682" priority="3225" stopIfTrue="1" operator="containsText" text="Closed Account">
      <formula>NOT(ISERROR(SEARCH("Closed Account",F413)))</formula>
    </cfRule>
  </conditionalFormatting>
  <conditionalFormatting sqref="F414:F417">
    <cfRule type="containsText" dxfId="25681" priority="3222" operator="containsText" text="Unpaid Rent">
      <formula>NOT(ISERROR(SEARCH("Unpaid Rent",F414)))</formula>
    </cfRule>
    <cfRule type="containsText" dxfId="25680" priority="3223" stopIfTrue="1" operator="containsText" text="Closed Account">
      <formula>NOT(ISERROR(SEARCH("Closed Account",F414)))</formula>
    </cfRule>
  </conditionalFormatting>
  <conditionalFormatting sqref="D415:E415">
    <cfRule type="expression" dxfId="25679" priority="3221">
      <formula>AND($A415&lt;&gt;"",MOD(ROW(),2))</formula>
    </cfRule>
  </conditionalFormatting>
  <conditionalFormatting sqref="D414:D415">
    <cfRule type="cellIs" dxfId="25678" priority="3218" operator="equal">
      <formula>$C414</formula>
    </cfRule>
    <cfRule type="cellIs" dxfId="25677" priority="3219" operator="greaterThan">
      <formula>$C414</formula>
    </cfRule>
    <cfRule type="cellIs" dxfId="25676" priority="3220" operator="lessThan">
      <formula>$C414</formula>
    </cfRule>
  </conditionalFormatting>
  <conditionalFormatting sqref="D416:E416">
    <cfRule type="expression" dxfId="25675" priority="3217">
      <formula>AND($A416&lt;&gt;"",MOD(ROW(),2))</formula>
    </cfRule>
  </conditionalFormatting>
  <conditionalFormatting sqref="D416">
    <cfRule type="cellIs" dxfId="25674" priority="3214" operator="equal">
      <formula>$C416</formula>
    </cfRule>
    <cfRule type="cellIs" dxfId="25673" priority="3215" operator="greaterThan">
      <formula>$C416</formula>
    </cfRule>
    <cfRule type="cellIs" dxfId="25672" priority="3216" operator="lessThan">
      <formula>$C416</formula>
    </cfRule>
  </conditionalFormatting>
  <conditionalFormatting sqref="D418:E418">
    <cfRule type="expression" dxfId="25671" priority="3213">
      <formula>AND($A418&lt;&gt;"",MOD(ROW(),2))</formula>
    </cfRule>
  </conditionalFormatting>
  <conditionalFormatting sqref="D417:D418">
    <cfRule type="cellIs" dxfId="25670" priority="3210" operator="equal">
      <formula>$C417</formula>
    </cfRule>
    <cfRule type="cellIs" dxfId="25669" priority="3211" operator="greaterThan">
      <formula>$C417</formula>
    </cfRule>
    <cfRule type="cellIs" dxfId="25668" priority="3212" operator="lessThan">
      <formula>$C417</formula>
    </cfRule>
  </conditionalFormatting>
  <conditionalFormatting sqref="D419:E419">
    <cfRule type="expression" dxfId="25667" priority="3209">
      <formula>AND($A419&lt;&gt;"",MOD(ROW(),2))</formula>
    </cfRule>
  </conditionalFormatting>
  <conditionalFormatting sqref="D417:D419">
    <cfRule type="cellIs" dxfId="25666" priority="3206" operator="equal">
      <formula>$C417</formula>
    </cfRule>
    <cfRule type="cellIs" dxfId="25665" priority="3207" operator="greaterThan">
      <formula>$C417</formula>
    </cfRule>
    <cfRule type="cellIs" dxfId="25664" priority="3208" operator="lessThan">
      <formula>$C417</formula>
    </cfRule>
  </conditionalFormatting>
  <conditionalFormatting sqref="D418:D419">
    <cfRule type="cellIs" dxfId="25663" priority="3203" operator="equal">
      <formula>$C418</formula>
    </cfRule>
    <cfRule type="cellIs" dxfId="25662" priority="3204" operator="greaterThan">
      <formula>$C418</formula>
    </cfRule>
    <cfRule type="cellIs" dxfId="25661" priority="3205" operator="lessThan">
      <formula>$C418</formula>
    </cfRule>
  </conditionalFormatting>
  <conditionalFormatting sqref="D421:E421">
    <cfRule type="expression" dxfId="25660" priority="3202">
      <formula>AND($A421&lt;&gt;"",MOD(ROW(),2))</formula>
    </cfRule>
  </conditionalFormatting>
  <conditionalFormatting sqref="D420:D421">
    <cfRule type="cellIs" dxfId="25659" priority="3199" operator="equal">
      <formula>$C420</formula>
    </cfRule>
    <cfRule type="cellIs" dxfId="25658" priority="3200" operator="greaterThan">
      <formula>$C420</formula>
    </cfRule>
    <cfRule type="cellIs" dxfId="25657" priority="3201" operator="lessThan">
      <formula>$C420</formula>
    </cfRule>
  </conditionalFormatting>
  <conditionalFormatting sqref="D415:E415">
    <cfRule type="expression" dxfId="25656" priority="3198">
      <formula>AND($A415&lt;&gt;"",MOD(ROW(),2))</formula>
    </cfRule>
  </conditionalFormatting>
  <conditionalFormatting sqref="D414:D415">
    <cfRule type="cellIs" dxfId="25655" priority="3195" operator="equal">
      <formula>$C414</formula>
    </cfRule>
    <cfRule type="cellIs" dxfId="25654" priority="3196" operator="greaterThan">
      <formula>$C414</formula>
    </cfRule>
    <cfRule type="cellIs" dxfId="25653" priority="3197" operator="lessThan">
      <formula>$C414</formula>
    </cfRule>
  </conditionalFormatting>
  <conditionalFormatting sqref="F414:F415">
    <cfRule type="containsText" dxfId="25652" priority="3193" operator="containsText" text="Unpaid Rent">
      <formula>NOT(ISERROR(SEARCH("Unpaid Rent",F414)))</formula>
    </cfRule>
    <cfRule type="containsText" dxfId="25651" priority="3194" stopIfTrue="1" operator="containsText" text="Closed Account">
      <formula>NOT(ISERROR(SEARCH("Closed Account",F414)))</formula>
    </cfRule>
  </conditionalFormatting>
  <conditionalFormatting sqref="D416:E416">
    <cfRule type="expression" dxfId="25650" priority="3192">
      <formula>AND($A416&lt;&gt;"",MOD(ROW(),2))</formula>
    </cfRule>
  </conditionalFormatting>
  <conditionalFormatting sqref="D416">
    <cfRule type="cellIs" dxfId="25649" priority="3189" operator="equal">
      <formula>$C416</formula>
    </cfRule>
    <cfRule type="cellIs" dxfId="25648" priority="3190" operator="greaterThan">
      <formula>$C416</formula>
    </cfRule>
    <cfRule type="cellIs" dxfId="25647" priority="3191" operator="lessThan">
      <formula>$C416</formula>
    </cfRule>
  </conditionalFormatting>
  <conditionalFormatting sqref="D417:E417">
    <cfRule type="expression" dxfId="25646" priority="3188">
      <formula>AND($A417&lt;&gt;"",MOD(ROW(),2))</formula>
    </cfRule>
  </conditionalFormatting>
  <conditionalFormatting sqref="D416:D417">
    <cfRule type="cellIs" dxfId="25645" priority="3185" operator="equal">
      <formula>$C416</formula>
    </cfRule>
    <cfRule type="cellIs" dxfId="25644" priority="3186" operator="greaterThan">
      <formula>$C416</formula>
    </cfRule>
    <cfRule type="cellIs" dxfId="25643" priority="3187" operator="lessThan">
      <formula>$C416</formula>
    </cfRule>
  </conditionalFormatting>
  <conditionalFormatting sqref="D411:E411">
    <cfRule type="expression" dxfId="25642" priority="3184">
      <formula>AND($A411&lt;&gt;"",MOD(ROW(),2))</formula>
    </cfRule>
  </conditionalFormatting>
  <conditionalFormatting sqref="D413:E413">
    <cfRule type="expression" dxfId="25641" priority="3183">
      <formula>AND($A413&lt;&gt;"",MOD(ROW(),2))</formula>
    </cfRule>
  </conditionalFormatting>
  <conditionalFormatting sqref="D414:E414">
    <cfRule type="expression" dxfId="25640" priority="3182">
      <formula>AND($A414&lt;&gt;"",MOD(ROW(),2))</formula>
    </cfRule>
  </conditionalFormatting>
  <conditionalFormatting sqref="D414:E414">
    <cfRule type="expression" dxfId="25639" priority="3181">
      <formula>AND($A414&lt;&gt;"",MOD(ROW(),2))</formula>
    </cfRule>
  </conditionalFormatting>
  <conditionalFormatting sqref="D418:E418">
    <cfRule type="expression" dxfId="25638" priority="3180">
      <formula>AND($A418&lt;&gt;"",MOD(ROW(),2))</formula>
    </cfRule>
  </conditionalFormatting>
  <conditionalFormatting sqref="D419:E419">
    <cfRule type="expression" dxfId="25637" priority="3179">
      <formula>AND($A419&lt;&gt;"",MOD(ROW(),2))</formula>
    </cfRule>
  </conditionalFormatting>
  <conditionalFormatting sqref="D418:E418">
    <cfRule type="expression" dxfId="25636" priority="3178">
      <formula>AND($A418&lt;&gt;"",MOD(ROW(),2))</formula>
    </cfRule>
  </conditionalFormatting>
  <conditionalFormatting sqref="D419:E419">
    <cfRule type="expression" dxfId="25635" priority="3177">
      <formula>AND($A419&lt;&gt;"",MOD(ROW(),2))</formula>
    </cfRule>
  </conditionalFormatting>
  <conditionalFormatting sqref="D416:E416">
    <cfRule type="expression" dxfId="25634" priority="3176">
      <formula>AND($A416&lt;&gt;"",MOD(ROW(),2))</formula>
    </cfRule>
  </conditionalFormatting>
  <conditionalFormatting sqref="D417:E417">
    <cfRule type="expression" dxfId="25633" priority="3175">
      <formula>AND($A417&lt;&gt;"",MOD(ROW(),2))</formula>
    </cfRule>
  </conditionalFormatting>
  <conditionalFormatting sqref="D418:E418">
    <cfRule type="expression" dxfId="25632" priority="3174">
      <formula>AND($A418&lt;&gt;"",MOD(ROW(),2))</formula>
    </cfRule>
  </conditionalFormatting>
  <conditionalFormatting sqref="D419:E419">
    <cfRule type="expression" dxfId="25631" priority="3173">
      <formula>AND($A419&lt;&gt;"",MOD(ROW(),2))</formula>
    </cfRule>
  </conditionalFormatting>
  <conditionalFormatting sqref="D417:E417">
    <cfRule type="expression" dxfId="25630" priority="3172">
      <formula>AND($A417&lt;&gt;"",MOD(ROW(),2))</formula>
    </cfRule>
  </conditionalFormatting>
  <conditionalFormatting sqref="D418:E418">
    <cfRule type="expression" dxfId="25629" priority="3171">
      <formula>AND($A418&lt;&gt;"",MOD(ROW(),2))</formula>
    </cfRule>
  </conditionalFormatting>
  <conditionalFormatting sqref="D419:E419">
    <cfRule type="expression" dxfId="25628" priority="3170">
      <formula>AND($A419&lt;&gt;"",MOD(ROW(),2))</formula>
    </cfRule>
  </conditionalFormatting>
  <conditionalFormatting sqref="D416:E416">
    <cfRule type="expression" dxfId="25627" priority="3169">
      <formula>AND($A416&lt;&gt;"",MOD(ROW(),2))</formula>
    </cfRule>
  </conditionalFormatting>
  <conditionalFormatting sqref="D417:E417">
    <cfRule type="expression" dxfId="25626" priority="3168">
      <formula>AND($A417&lt;&gt;"",MOD(ROW(),2))</formula>
    </cfRule>
  </conditionalFormatting>
  <conditionalFormatting sqref="D418:E418">
    <cfRule type="expression" dxfId="25625" priority="3167">
      <formula>AND($A418&lt;&gt;"",MOD(ROW(),2))</formula>
    </cfRule>
  </conditionalFormatting>
  <conditionalFormatting sqref="D417:E417">
    <cfRule type="expression" dxfId="25624" priority="3166">
      <formula>AND($A417&lt;&gt;"",MOD(ROW(),2))</formula>
    </cfRule>
  </conditionalFormatting>
  <conditionalFormatting sqref="D418:E418">
    <cfRule type="expression" dxfId="25623" priority="3165">
      <formula>AND($A418&lt;&gt;"",MOD(ROW(),2))</formula>
    </cfRule>
  </conditionalFormatting>
  <conditionalFormatting sqref="D420:E420">
    <cfRule type="expression" dxfId="25622" priority="3164">
      <formula>AND($A420&lt;&gt;"",MOD(ROW(),2))</formula>
    </cfRule>
  </conditionalFormatting>
  <conditionalFormatting sqref="D420:E420">
    <cfRule type="expression" dxfId="25621" priority="3163">
      <formula>AND($A420&lt;&gt;"",MOD(ROW(),2))</formula>
    </cfRule>
  </conditionalFormatting>
  <conditionalFormatting sqref="J373:J421">
    <cfRule type="expression" dxfId="25620" priority="3151">
      <formula>AND($A373&lt;&gt;"",MOD(ROW(),2))</formula>
    </cfRule>
  </conditionalFormatting>
  <conditionalFormatting sqref="L329:N334">
    <cfRule type="expression" dxfId="25619" priority="3141">
      <formula>AND($A329&lt;&gt;"",MOD(ROW(),2))</formula>
    </cfRule>
  </conditionalFormatting>
  <conditionalFormatting sqref="L329:L334">
    <cfRule type="cellIs" dxfId="25618" priority="3138" operator="equal">
      <formula>$C329</formula>
    </cfRule>
    <cfRule type="cellIs" dxfId="25617" priority="3139" operator="greaterThan">
      <formula>$C329</formula>
    </cfRule>
    <cfRule type="cellIs" dxfId="25616" priority="3140" operator="lessThan">
      <formula>$C329</formula>
    </cfRule>
  </conditionalFormatting>
  <conditionalFormatting sqref="L337:N342">
    <cfRule type="expression" dxfId="25615" priority="3132">
      <formula>AND($A339&lt;&gt;"",MOD(ROW(),2))</formula>
    </cfRule>
  </conditionalFormatting>
  <conditionalFormatting sqref="L344:N372 L373:M373">
    <cfRule type="expression" dxfId="25614" priority="3131">
      <formula>AND($A348&lt;&gt;"",MOD(ROW(),2))</formula>
    </cfRule>
  </conditionalFormatting>
  <conditionalFormatting sqref="L337:L342">
    <cfRule type="cellIs" dxfId="25613" priority="3128" operator="equal">
      <formula>$C339</formula>
    </cfRule>
    <cfRule type="cellIs" dxfId="25612" priority="3129" operator="greaterThan">
      <formula>$C339</formula>
    </cfRule>
    <cfRule type="cellIs" dxfId="25611" priority="3130" operator="lessThan">
      <formula>$C339</formula>
    </cfRule>
  </conditionalFormatting>
  <conditionalFormatting sqref="L342:L344">
    <cfRule type="cellIs" dxfId="25610" priority="3125" operator="equal">
      <formula>$C345</formula>
    </cfRule>
    <cfRule type="cellIs" dxfId="25609" priority="3126" operator="greaterThan">
      <formula>$C345</formula>
    </cfRule>
    <cfRule type="cellIs" dxfId="25608" priority="3127" operator="lessThan">
      <formula>$C345</formula>
    </cfRule>
  </conditionalFormatting>
  <conditionalFormatting sqref="L344:L373">
    <cfRule type="cellIs" dxfId="25607" priority="3122" operator="equal">
      <formula>$C348</formula>
    </cfRule>
    <cfRule type="cellIs" dxfId="25606" priority="3123" operator="greaterThan">
      <formula>$C348</formula>
    </cfRule>
    <cfRule type="cellIs" dxfId="25605" priority="3124" operator="lessThan">
      <formula>$C348</formula>
    </cfRule>
  </conditionalFormatting>
  <conditionalFormatting sqref="M320:N372 M373">
    <cfRule type="expression" dxfId="25604" priority="3137">
      <formula>AND(#REF!&lt;&gt;"",MOD(ROW(),2))</formula>
    </cfRule>
  </conditionalFormatting>
  <conditionalFormatting sqref="M320:N372 M373">
    <cfRule type="expression" dxfId="25603" priority="3136">
      <formula>AND(#REF!&lt;&gt;"",MOD(ROW(),2))</formula>
    </cfRule>
  </conditionalFormatting>
  <conditionalFormatting sqref="N320:N372">
    <cfRule type="cellIs" dxfId="25602" priority="3133" operator="equal">
      <formula>#REF!</formula>
    </cfRule>
    <cfRule type="cellIs" dxfId="25601" priority="3134" operator="greaterThan">
      <formula>#REF!</formula>
    </cfRule>
    <cfRule type="cellIs" dxfId="25600" priority="3135" operator="lessThan">
      <formula>#REF!</formula>
    </cfRule>
  </conditionalFormatting>
  <conditionalFormatting sqref="L320:N329">
    <cfRule type="expression" dxfId="25599" priority="3142">
      <formula>AND($A321&lt;&gt;"",MOD(ROW(),2))</formula>
    </cfRule>
  </conditionalFormatting>
  <conditionalFormatting sqref="L320:L329">
    <cfRule type="cellIs" dxfId="25598" priority="3143" operator="equal">
      <formula>$C321</formula>
    </cfRule>
    <cfRule type="cellIs" dxfId="25597" priority="3144" operator="greaterThan">
      <formula>$C321</formula>
    </cfRule>
    <cfRule type="cellIs" dxfId="25596" priority="3145" operator="lessThan">
      <formula>$C321</formula>
    </cfRule>
  </conditionalFormatting>
  <conditionalFormatting sqref="L334:N337">
    <cfRule type="expression" dxfId="25595" priority="3146">
      <formula>AND($A335&lt;&gt;"",MOD(ROW(),2))</formula>
    </cfRule>
  </conditionalFormatting>
  <conditionalFormatting sqref="L334:L337">
    <cfRule type="cellIs" dxfId="25594" priority="3147" operator="equal">
      <formula>$C335</formula>
    </cfRule>
    <cfRule type="cellIs" dxfId="25593" priority="3148" operator="greaterThan">
      <formula>$C335</formula>
    </cfRule>
    <cfRule type="cellIs" dxfId="25592" priority="3149" operator="lessThan">
      <formula>$C335</formula>
    </cfRule>
  </conditionalFormatting>
  <conditionalFormatting sqref="L342:N344">
    <cfRule type="expression" dxfId="25591" priority="3150">
      <formula>AND($A345&lt;&gt;"",MOD(ROW(),2))</formula>
    </cfRule>
  </conditionalFormatting>
  <conditionalFormatting sqref="W92:W112">
    <cfRule type="cellIs" dxfId="25590" priority="3112" operator="equal">
      <formula>#REF!</formula>
    </cfRule>
    <cfRule type="cellIs" dxfId="25589" priority="3113" operator="greaterThan">
      <formula>#REF!</formula>
    </cfRule>
    <cfRule type="cellIs" dxfId="25588" priority="3114" operator="lessThan">
      <formula>#REF!</formula>
    </cfRule>
  </conditionalFormatting>
  <conditionalFormatting sqref="W92:W112">
    <cfRule type="expression" dxfId="25587" priority="3111">
      <formula>AND($A76&lt;&gt;"",MOD(ROW(),2))</formula>
    </cfRule>
  </conditionalFormatting>
  <conditionalFormatting sqref="A422:A433 C422:E433 A436:A471 D460:E471 G466:G471 H466:H493 C448:C499 C501:C508 J475:J476 J422:J473 J530 G422:I465 J478:J527 I466:I534">
    <cfRule type="expression" dxfId="25586" priority="3103">
      <formula>AND($A422&lt;&gt;"",MOD(ROW(),2))</formula>
    </cfRule>
  </conditionalFormatting>
  <conditionalFormatting sqref="D422:D433 D460:D471">
    <cfRule type="cellIs" dxfId="25585" priority="3100" operator="equal">
      <formula>$C422</formula>
    </cfRule>
    <cfRule type="cellIs" dxfId="25584" priority="3101" operator="greaterThan">
      <formula>$C422</formula>
    </cfRule>
    <cfRule type="cellIs" dxfId="25583" priority="3102" operator="lessThan">
      <formula>$C422</formula>
    </cfRule>
  </conditionalFormatting>
  <conditionalFormatting sqref="F422:F435 F460:F531">
    <cfRule type="containsText" dxfId="25582" priority="3098" operator="containsText" text="Unpaid Rent">
      <formula>NOT(ISERROR(SEARCH("Unpaid Rent",F422)))</formula>
    </cfRule>
    <cfRule type="containsText" dxfId="25581" priority="3099" stopIfTrue="1" operator="containsText" text="Closed Account">
      <formula>NOT(ISERROR(SEARCH("Closed Account",F422)))</formula>
    </cfRule>
  </conditionalFormatting>
  <conditionalFormatting sqref="F434:F438">
    <cfRule type="containsText" dxfId="25580" priority="3092" operator="containsText" text="Unpaid Rent">
      <formula>NOT(ISERROR(SEARCH("Unpaid Rent",F434)))</formula>
    </cfRule>
    <cfRule type="containsText" dxfId="25579" priority="3093" stopIfTrue="1" operator="containsText" text="Closed Account">
      <formula>NOT(ISERROR(SEARCH("Closed Account",F434)))</formula>
    </cfRule>
  </conditionalFormatting>
  <conditionalFormatting sqref="A434:A438 C434:E438 G434:G438">
    <cfRule type="expression" dxfId="25578" priority="3097">
      <formula>AND($A434&lt;&gt;"",MOD(ROW(),2))</formula>
    </cfRule>
  </conditionalFormatting>
  <conditionalFormatting sqref="D434:D438">
    <cfRule type="cellIs" dxfId="25577" priority="3094" operator="equal">
      <formula>$C434</formula>
    </cfRule>
    <cfRule type="cellIs" dxfId="25576" priority="3095" operator="greaterThan">
      <formula>$C434</formula>
    </cfRule>
    <cfRule type="cellIs" dxfId="25575" priority="3096" operator="lessThan">
      <formula>$C434</formula>
    </cfRule>
  </conditionalFormatting>
  <conditionalFormatting sqref="A432:A435 C432:E435">
    <cfRule type="expression" dxfId="25574" priority="3091">
      <formula>AND($A432&lt;&gt;"",MOD(ROW(),2))</formula>
    </cfRule>
  </conditionalFormatting>
  <conditionalFormatting sqref="D432:D435">
    <cfRule type="cellIs" dxfId="25573" priority="3088" operator="equal">
      <formula>$C432</formula>
    </cfRule>
    <cfRule type="cellIs" dxfId="25572" priority="3089" operator="greaterThan">
      <formula>$C432</formula>
    </cfRule>
    <cfRule type="cellIs" dxfId="25571" priority="3090" operator="lessThan">
      <formula>$C432</formula>
    </cfRule>
  </conditionalFormatting>
  <conditionalFormatting sqref="C436">
    <cfRule type="expression" dxfId="25570" priority="3087">
      <formula>AND($A436&lt;&gt;"",MOD(ROW(),2))</formula>
    </cfRule>
  </conditionalFormatting>
  <conditionalFormatting sqref="C436">
    <cfRule type="cellIs" dxfId="25569" priority="3084" operator="equal">
      <formula>$C436</formula>
    </cfRule>
    <cfRule type="cellIs" dxfId="25568" priority="3085" operator="greaterThan">
      <formula>$C436</formula>
    </cfRule>
    <cfRule type="cellIs" dxfId="25567" priority="3086" operator="lessThan">
      <formula>$C436</formula>
    </cfRule>
  </conditionalFormatting>
  <conditionalFormatting sqref="C437">
    <cfRule type="expression" dxfId="25566" priority="3083">
      <formula>AND($A437&lt;&gt;"",MOD(ROW(),2))</formula>
    </cfRule>
  </conditionalFormatting>
  <conditionalFormatting sqref="C437">
    <cfRule type="cellIs" dxfId="25565" priority="3080" operator="equal">
      <formula>$C437</formula>
    </cfRule>
    <cfRule type="cellIs" dxfId="25564" priority="3081" operator="greaterThan">
      <formula>$C437</formula>
    </cfRule>
    <cfRule type="cellIs" dxfId="25563" priority="3082" operator="lessThan">
      <formula>$C437</formula>
    </cfRule>
  </conditionalFormatting>
  <conditionalFormatting sqref="C438">
    <cfRule type="expression" dxfId="25562" priority="3079">
      <formula>AND($A438&lt;&gt;"",MOD(ROW(),2))</formula>
    </cfRule>
  </conditionalFormatting>
  <conditionalFormatting sqref="C438">
    <cfRule type="cellIs" dxfId="25561" priority="3076" operator="equal">
      <formula>$C438</formula>
    </cfRule>
    <cfRule type="cellIs" dxfId="25560" priority="3077" operator="greaterThan">
      <formula>$C438</formula>
    </cfRule>
    <cfRule type="cellIs" dxfId="25559" priority="3078" operator="lessThan">
      <formula>$C438</formula>
    </cfRule>
  </conditionalFormatting>
  <conditionalFormatting sqref="C439">
    <cfRule type="expression" dxfId="25558" priority="3075">
      <formula>AND($A439&lt;&gt;"",MOD(ROW(),2))</formula>
    </cfRule>
  </conditionalFormatting>
  <conditionalFormatting sqref="C439">
    <cfRule type="cellIs" dxfId="25557" priority="3072" operator="equal">
      <formula>$C439</formula>
    </cfRule>
    <cfRule type="cellIs" dxfId="25556" priority="3073" operator="greaterThan">
      <formula>$C439</formula>
    </cfRule>
    <cfRule type="cellIs" dxfId="25555" priority="3074" operator="lessThan">
      <formula>$C439</formula>
    </cfRule>
  </conditionalFormatting>
  <conditionalFormatting sqref="C440">
    <cfRule type="expression" dxfId="25554" priority="3071">
      <formula>AND($A440&lt;&gt;"",MOD(ROW(),2))</formula>
    </cfRule>
  </conditionalFormatting>
  <conditionalFormatting sqref="C440">
    <cfRule type="cellIs" dxfId="25553" priority="3068" operator="equal">
      <formula>$C440</formula>
    </cfRule>
    <cfRule type="cellIs" dxfId="25552" priority="3069" operator="greaterThan">
      <formula>$C440</formula>
    </cfRule>
    <cfRule type="cellIs" dxfId="25551" priority="3070" operator="lessThan">
      <formula>$C440</formula>
    </cfRule>
  </conditionalFormatting>
  <conditionalFormatting sqref="C441">
    <cfRule type="expression" dxfId="25550" priority="3067">
      <formula>AND($A441&lt;&gt;"",MOD(ROW(),2))</formula>
    </cfRule>
  </conditionalFormatting>
  <conditionalFormatting sqref="C441">
    <cfRule type="cellIs" dxfId="25549" priority="3064" operator="equal">
      <formula>$C441</formula>
    </cfRule>
    <cfRule type="cellIs" dxfId="25548" priority="3065" operator="greaterThan">
      <formula>$C441</formula>
    </cfRule>
    <cfRule type="cellIs" dxfId="25547" priority="3066" operator="lessThan">
      <formula>$C441</formula>
    </cfRule>
  </conditionalFormatting>
  <conditionalFormatting sqref="C442">
    <cfRule type="expression" dxfId="25546" priority="3063">
      <formula>AND($A442&lt;&gt;"",MOD(ROW(),2))</formula>
    </cfRule>
  </conditionalFormatting>
  <conditionalFormatting sqref="C442">
    <cfRule type="cellIs" dxfId="25545" priority="3060" operator="equal">
      <formula>$C442</formula>
    </cfRule>
    <cfRule type="cellIs" dxfId="25544" priority="3061" operator="greaterThan">
      <formula>$C442</formula>
    </cfRule>
    <cfRule type="cellIs" dxfId="25543" priority="3062" operator="lessThan">
      <formula>$C442</formula>
    </cfRule>
  </conditionalFormatting>
  <conditionalFormatting sqref="C443">
    <cfRule type="expression" dxfId="25542" priority="3059">
      <formula>AND($A443&lt;&gt;"",MOD(ROW(),2))</formula>
    </cfRule>
  </conditionalFormatting>
  <conditionalFormatting sqref="C443">
    <cfRule type="cellIs" dxfId="25541" priority="3056" operator="equal">
      <formula>$C443</formula>
    </cfRule>
    <cfRule type="cellIs" dxfId="25540" priority="3057" operator="greaterThan">
      <formula>$C443</formula>
    </cfRule>
    <cfRule type="cellIs" dxfId="25539" priority="3058" operator="lessThan">
      <formula>$C443</formula>
    </cfRule>
  </conditionalFormatting>
  <conditionalFormatting sqref="C444">
    <cfRule type="expression" dxfId="25538" priority="3055">
      <formula>AND($A444&lt;&gt;"",MOD(ROW(),2))</formula>
    </cfRule>
  </conditionalFormatting>
  <conditionalFormatting sqref="C444">
    <cfRule type="cellIs" dxfId="25537" priority="3052" operator="equal">
      <formula>$C444</formula>
    </cfRule>
    <cfRule type="cellIs" dxfId="25536" priority="3053" operator="greaterThan">
      <formula>$C444</formula>
    </cfRule>
    <cfRule type="cellIs" dxfId="25535" priority="3054" operator="lessThan">
      <formula>$C444</formula>
    </cfRule>
  </conditionalFormatting>
  <conditionalFormatting sqref="C445">
    <cfRule type="expression" dxfId="25534" priority="3051">
      <formula>AND($A445&lt;&gt;"",MOD(ROW(),2))</formula>
    </cfRule>
  </conditionalFormatting>
  <conditionalFormatting sqref="C445">
    <cfRule type="cellIs" dxfId="25533" priority="3048" operator="equal">
      <formula>$C445</formula>
    </cfRule>
    <cfRule type="cellIs" dxfId="25532" priority="3049" operator="greaterThan">
      <formula>$C445</formula>
    </cfRule>
    <cfRule type="cellIs" dxfId="25531" priority="3050" operator="lessThan">
      <formula>$C445</formula>
    </cfRule>
  </conditionalFormatting>
  <conditionalFormatting sqref="C446">
    <cfRule type="expression" dxfId="25530" priority="3047">
      <formula>AND($A446&lt;&gt;"",MOD(ROW(),2))</formula>
    </cfRule>
  </conditionalFormatting>
  <conditionalFormatting sqref="C446">
    <cfRule type="cellIs" dxfId="25529" priority="3044" operator="equal">
      <formula>$C446</formula>
    </cfRule>
    <cfRule type="cellIs" dxfId="25528" priority="3045" operator="greaterThan">
      <formula>$C446</formula>
    </cfRule>
    <cfRule type="cellIs" dxfId="25527" priority="3046" operator="lessThan">
      <formula>$C446</formula>
    </cfRule>
  </conditionalFormatting>
  <conditionalFormatting sqref="C447">
    <cfRule type="expression" dxfId="25526" priority="3043">
      <formula>AND($A447&lt;&gt;"",MOD(ROW(),2))</formula>
    </cfRule>
  </conditionalFormatting>
  <conditionalFormatting sqref="C447">
    <cfRule type="cellIs" dxfId="25525" priority="3040" operator="equal">
      <formula>$C447</formula>
    </cfRule>
    <cfRule type="cellIs" dxfId="25524" priority="3041" operator="greaterThan">
      <formula>$C447</formula>
    </cfRule>
    <cfRule type="cellIs" dxfId="25523" priority="3042" operator="lessThan">
      <formula>$C447</formula>
    </cfRule>
  </conditionalFormatting>
  <conditionalFormatting sqref="D436:E436">
    <cfRule type="expression" dxfId="25522" priority="3039">
      <formula>AND($A436&lt;&gt;"",MOD(ROW(),2))</formula>
    </cfRule>
  </conditionalFormatting>
  <conditionalFormatting sqref="D436">
    <cfRule type="cellIs" dxfId="25521" priority="3036" operator="equal">
      <formula>$C436</formula>
    </cfRule>
    <cfRule type="cellIs" dxfId="25520" priority="3037" operator="greaterThan">
      <formula>$C436</formula>
    </cfRule>
    <cfRule type="cellIs" dxfId="25519" priority="3038" operator="lessThan">
      <formula>$C436</formula>
    </cfRule>
  </conditionalFormatting>
  <conditionalFormatting sqref="D437:E437">
    <cfRule type="expression" dxfId="25518" priority="3035">
      <formula>AND($A437&lt;&gt;"",MOD(ROW(),2))</formula>
    </cfRule>
  </conditionalFormatting>
  <conditionalFormatting sqref="D437">
    <cfRule type="cellIs" dxfId="25517" priority="3032" operator="equal">
      <formula>$C437</formula>
    </cfRule>
    <cfRule type="cellIs" dxfId="25516" priority="3033" operator="greaterThan">
      <formula>$C437</formula>
    </cfRule>
    <cfRule type="cellIs" dxfId="25515" priority="3034" operator="lessThan">
      <formula>$C437</formula>
    </cfRule>
  </conditionalFormatting>
  <conditionalFormatting sqref="D438:E438">
    <cfRule type="expression" dxfId="25514" priority="3031">
      <formula>AND($A438&lt;&gt;"",MOD(ROW(),2))</formula>
    </cfRule>
  </conditionalFormatting>
  <conditionalFormatting sqref="D438">
    <cfRule type="cellIs" dxfId="25513" priority="3028" operator="equal">
      <formula>$C438</formula>
    </cfRule>
    <cfRule type="cellIs" dxfId="25512" priority="3029" operator="greaterThan">
      <formula>$C438</formula>
    </cfRule>
    <cfRule type="cellIs" dxfId="25511" priority="3030" operator="lessThan">
      <formula>$C438</formula>
    </cfRule>
  </conditionalFormatting>
  <conditionalFormatting sqref="D439:E439">
    <cfRule type="expression" dxfId="25510" priority="3027">
      <formula>AND($A439&lt;&gt;"",MOD(ROW(),2))</formula>
    </cfRule>
  </conditionalFormatting>
  <conditionalFormatting sqref="D439">
    <cfRule type="cellIs" dxfId="25509" priority="3024" operator="equal">
      <formula>$C439</formula>
    </cfRule>
    <cfRule type="cellIs" dxfId="25508" priority="3025" operator="greaterThan">
      <formula>$C439</formula>
    </cfRule>
    <cfRule type="cellIs" dxfId="25507" priority="3026" operator="lessThan">
      <formula>$C439</formula>
    </cfRule>
  </conditionalFormatting>
  <conditionalFormatting sqref="D440:E440">
    <cfRule type="expression" dxfId="25506" priority="3023">
      <formula>AND($A440&lt;&gt;"",MOD(ROW(),2))</formula>
    </cfRule>
  </conditionalFormatting>
  <conditionalFormatting sqref="D440">
    <cfRule type="cellIs" dxfId="25505" priority="3020" operator="equal">
      <formula>$C440</formula>
    </cfRule>
    <cfRule type="cellIs" dxfId="25504" priority="3021" operator="greaterThan">
      <formula>$C440</formula>
    </cfRule>
    <cfRule type="cellIs" dxfId="25503" priority="3022" operator="lessThan">
      <formula>$C440</formula>
    </cfRule>
  </conditionalFormatting>
  <conditionalFormatting sqref="D441:E441">
    <cfRule type="expression" dxfId="25502" priority="3019">
      <formula>AND($A441&lt;&gt;"",MOD(ROW(),2))</formula>
    </cfRule>
  </conditionalFormatting>
  <conditionalFormatting sqref="D441">
    <cfRule type="cellIs" dxfId="25501" priority="3016" operator="equal">
      <formula>$C441</formula>
    </cfRule>
    <cfRule type="cellIs" dxfId="25500" priority="3017" operator="greaterThan">
      <formula>$C441</formula>
    </cfRule>
    <cfRule type="cellIs" dxfId="25499" priority="3018" operator="lessThan">
      <formula>$C441</formula>
    </cfRule>
  </conditionalFormatting>
  <conditionalFormatting sqref="D442:E442">
    <cfRule type="expression" dxfId="25498" priority="3015">
      <formula>AND($A442&lt;&gt;"",MOD(ROW(),2))</formula>
    </cfRule>
  </conditionalFormatting>
  <conditionalFormatting sqref="D442">
    <cfRule type="cellIs" dxfId="25497" priority="3012" operator="equal">
      <formula>$C442</formula>
    </cfRule>
    <cfRule type="cellIs" dxfId="25496" priority="3013" operator="greaterThan">
      <formula>$C442</formula>
    </cfRule>
    <cfRule type="cellIs" dxfId="25495" priority="3014" operator="lessThan">
      <formula>$C442</formula>
    </cfRule>
  </conditionalFormatting>
  <conditionalFormatting sqref="D443:E443">
    <cfRule type="expression" dxfId="25494" priority="3011">
      <formula>AND($A443&lt;&gt;"",MOD(ROW(),2))</formula>
    </cfRule>
  </conditionalFormatting>
  <conditionalFormatting sqref="D443">
    <cfRule type="cellIs" dxfId="25493" priority="3008" operator="equal">
      <formula>$C443</formula>
    </cfRule>
    <cfRule type="cellIs" dxfId="25492" priority="3009" operator="greaterThan">
      <formula>$C443</formula>
    </cfRule>
    <cfRule type="cellIs" dxfId="25491" priority="3010" operator="lessThan">
      <formula>$C443</formula>
    </cfRule>
  </conditionalFormatting>
  <conditionalFormatting sqref="D444:E444">
    <cfRule type="expression" dxfId="25490" priority="3007">
      <formula>AND($A444&lt;&gt;"",MOD(ROW(),2))</formula>
    </cfRule>
  </conditionalFormatting>
  <conditionalFormatting sqref="D444">
    <cfRule type="cellIs" dxfId="25489" priority="3004" operator="equal">
      <formula>$C444</formula>
    </cfRule>
    <cfRule type="cellIs" dxfId="25488" priority="3005" operator="greaterThan">
      <formula>$C444</formula>
    </cfRule>
    <cfRule type="cellIs" dxfId="25487" priority="3006" operator="lessThan">
      <formula>$C444</formula>
    </cfRule>
  </conditionalFormatting>
  <conditionalFormatting sqref="D445:E445">
    <cfRule type="expression" dxfId="25486" priority="3003">
      <formula>AND($A445&lt;&gt;"",MOD(ROW(),2))</formula>
    </cfRule>
  </conditionalFormatting>
  <conditionalFormatting sqref="D445">
    <cfRule type="cellIs" dxfId="25485" priority="3000" operator="equal">
      <formula>$C445</formula>
    </cfRule>
    <cfRule type="cellIs" dxfId="25484" priority="3001" operator="greaterThan">
      <formula>$C445</formula>
    </cfRule>
    <cfRule type="cellIs" dxfId="25483" priority="3002" operator="lessThan">
      <formula>$C445</formula>
    </cfRule>
  </conditionalFormatting>
  <conditionalFormatting sqref="D446:E446">
    <cfRule type="expression" dxfId="25482" priority="2999">
      <formula>AND($A446&lt;&gt;"",MOD(ROW(),2))</formula>
    </cfRule>
  </conditionalFormatting>
  <conditionalFormatting sqref="D446">
    <cfRule type="cellIs" dxfId="25481" priority="2996" operator="equal">
      <formula>$C446</formula>
    </cfRule>
    <cfRule type="cellIs" dxfId="25480" priority="2997" operator="greaterThan">
      <formula>$C446</formula>
    </cfRule>
    <cfRule type="cellIs" dxfId="25479" priority="2998" operator="lessThan">
      <formula>$C446</formula>
    </cfRule>
  </conditionalFormatting>
  <conditionalFormatting sqref="D447:E447">
    <cfRule type="expression" dxfId="25478" priority="2995">
      <formula>AND($A447&lt;&gt;"",MOD(ROW(),2))</formula>
    </cfRule>
  </conditionalFormatting>
  <conditionalFormatting sqref="D447">
    <cfRule type="cellIs" dxfId="25477" priority="2992" operator="equal">
      <formula>$C447</formula>
    </cfRule>
    <cfRule type="cellIs" dxfId="25476" priority="2993" operator="greaterThan">
      <formula>$C447</formula>
    </cfRule>
    <cfRule type="cellIs" dxfId="25475" priority="2994" operator="lessThan">
      <formula>$C447</formula>
    </cfRule>
  </conditionalFormatting>
  <conditionalFormatting sqref="F436:F451">
    <cfRule type="containsText" dxfId="25474" priority="2990" operator="containsText" text="Unpaid Rent">
      <formula>NOT(ISERROR(SEARCH("Unpaid Rent",F436)))</formula>
    </cfRule>
    <cfRule type="containsText" dxfId="25473" priority="2991" stopIfTrue="1" operator="containsText" text="Closed Account">
      <formula>NOT(ISERROR(SEARCH("Closed Account",F436)))</formula>
    </cfRule>
  </conditionalFormatting>
  <conditionalFormatting sqref="F448:F463">
    <cfRule type="containsText" dxfId="25472" priority="2988" operator="containsText" text="Unpaid Rent">
      <formula>NOT(ISERROR(SEARCH("Unpaid Rent",F448)))</formula>
    </cfRule>
    <cfRule type="containsText" dxfId="25471" priority="2989" stopIfTrue="1" operator="containsText" text="Closed Account">
      <formula>NOT(ISERROR(SEARCH("Closed Account",F448)))</formula>
    </cfRule>
  </conditionalFormatting>
  <conditionalFormatting sqref="D448:E448">
    <cfRule type="expression" dxfId="25470" priority="2987">
      <formula>AND($A448&lt;&gt;"",MOD(ROW(),2))</formula>
    </cfRule>
  </conditionalFormatting>
  <conditionalFormatting sqref="D448">
    <cfRule type="cellIs" dxfId="25469" priority="2984" operator="equal">
      <formula>$C448</formula>
    </cfRule>
    <cfRule type="cellIs" dxfId="25468" priority="2985" operator="greaterThan">
      <formula>$C448</formula>
    </cfRule>
    <cfRule type="cellIs" dxfId="25467" priority="2986" operator="lessThan">
      <formula>$C448</formula>
    </cfRule>
  </conditionalFormatting>
  <conditionalFormatting sqref="D449:E449">
    <cfRule type="expression" dxfId="25466" priority="2983">
      <formula>AND($A449&lt;&gt;"",MOD(ROW(),2))</formula>
    </cfRule>
  </conditionalFormatting>
  <conditionalFormatting sqref="D449">
    <cfRule type="cellIs" dxfId="25465" priority="2980" operator="equal">
      <formula>$C449</formula>
    </cfRule>
    <cfRule type="cellIs" dxfId="25464" priority="2981" operator="greaterThan">
      <formula>$C449</formula>
    </cfRule>
    <cfRule type="cellIs" dxfId="25463" priority="2982" operator="lessThan">
      <formula>$C449</formula>
    </cfRule>
  </conditionalFormatting>
  <conditionalFormatting sqref="D450:E450">
    <cfRule type="expression" dxfId="25462" priority="2979">
      <formula>AND($A450&lt;&gt;"",MOD(ROW(),2))</formula>
    </cfRule>
  </conditionalFormatting>
  <conditionalFormatting sqref="D450">
    <cfRule type="cellIs" dxfId="25461" priority="2976" operator="equal">
      <formula>$C450</formula>
    </cfRule>
    <cfRule type="cellIs" dxfId="25460" priority="2977" operator="greaterThan">
      <formula>$C450</formula>
    </cfRule>
    <cfRule type="cellIs" dxfId="25459" priority="2978" operator="lessThan">
      <formula>$C450</formula>
    </cfRule>
  </conditionalFormatting>
  <conditionalFormatting sqref="D451:E451">
    <cfRule type="expression" dxfId="25458" priority="2975">
      <formula>AND($A451&lt;&gt;"",MOD(ROW(),2))</formula>
    </cfRule>
  </conditionalFormatting>
  <conditionalFormatting sqref="D451">
    <cfRule type="cellIs" dxfId="25457" priority="2972" operator="equal">
      <formula>$C451</formula>
    </cfRule>
    <cfRule type="cellIs" dxfId="25456" priority="2973" operator="greaterThan">
      <formula>$C451</formula>
    </cfRule>
    <cfRule type="cellIs" dxfId="25455" priority="2974" operator="lessThan">
      <formula>$C451</formula>
    </cfRule>
  </conditionalFormatting>
  <conditionalFormatting sqref="D452:E452">
    <cfRule type="expression" dxfId="25454" priority="2971">
      <formula>AND($A452&lt;&gt;"",MOD(ROW(),2))</formula>
    </cfRule>
  </conditionalFormatting>
  <conditionalFormatting sqref="D452">
    <cfRule type="cellIs" dxfId="25453" priority="2968" operator="equal">
      <formula>$C452</formula>
    </cfRule>
    <cfRule type="cellIs" dxfId="25452" priority="2969" operator="greaterThan">
      <formula>$C452</formula>
    </cfRule>
    <cfRule type="cellIs" dxfId="25451" priority="2970" operator="lessThan">
      <formula>$C452</formula>
    </cfRule>
  </conditionalFormatting>
  <conditionalFormatting sqref="D453:E453">
    <cfRule type="expression" dxfId="25450" priority="2967">
      <formula>AND($A453&lt;&gt;"",MOD(ROW(),2))</formula>
    </cfRule>
  </conditionalFormatting>
  <conditionalFormatting sqref="D453">
    <cfRule type="cellIs" dxfId="25449" priority="2964" operator="equal">
      <formula>$C453</formula>
    </cfRule>
    <cfRule type="cellIs" dxfId="25448" priority="2965" operator="greaterThan">
      <formula>$C453</formula>
    </cfRule>
    <cfRule type="cellIs" dxfId="25447" priority="2966" operator="lessThan">
      <formula>$C453</formula>
    </cfRule>
  </conditionalFormatting>
  <conditionalFormatting sqref="D454:E454">
    <cfRule type="expression" dxfId="25446" priority="2963">
      <formula>AND($A454&lt;&gt;"",MOD(ROW(),2))</formula>
    </cfRule>
  </conditionalFormatting>
  <conditionalFormatting sqref="D454">
    <cfRule type="cellIs" dxfId="25445" priority="2960" operator="equal">
      <formula>$C454</formula>
    </cfRule>
    <cfRule type="cellIs" dxfId="25444" priority="2961" operator="greaterThan">
      <formula>$C454</formula>
    </cfRule>
    <cfRule type="cellIs" dxfId="25443" priority="2962" operator="lessThan">
      <formula>$C454</formula>
    </cfRule>
  </conditionalFormatting>
  <conditionalFormatting sqref="D455:E455">
    <cfRule type="expression" dxfId="25442" priority="2959">
      <formula>AND($A455&lt;&gt;"",MOD(ROW(),2))</formula>
    </cfRule>
  </conditionalFormatting>
  <conditionalFormatting sqref="D455">
    <cfRule type="cellIs" dxfId="25441" priority="2956" operator="equal">
      <formula>$C455</formula>
    </cfRule>
    <cfRule type="cellIs" dxfId="25440" priority="2957" operator="greaterThan">
      <formula>$C455</formula>
    </cfRule>
    <cfRule type="cellIs" dxfId="25439" priority="2958" operator="lessThan">
      <formula>$C455</formula>
    </cfRule>
  </conditionalFormatting>
  <conditionalFormatting sqref="D456:E456">
    <cfRule type="expression" dxfId="25438" priority="2955">
      <formula>AND($A456&lt;&gt;"",MOD(ROW(),2))</formula>
    </cfRule>
  </conditionalFormatting>
  <conditionalFormatting sqref="D456">
    <cfRule type="cellIs" dxfId="25437" priority="2952" operator="equal">
      <formula>$C456</formula>
    </cfRule>
    <cfRule type="cellIs" dxfId="25436" priority="2953" operator="greaterThan">
      <formula>$C456</formula>
    </cfRule>
    <cfRule type="cellIs" dxfId="25435" priority="2954" operator="lessThan">
      <formula>$C456</formula>
    </cfRule>
  </conditionalFormatting>
  <conditionalFormatting sqref="D457:E457">
    <cfRule type="expression" dxfId="25434" priority="2951">
      <formula>AND($A457&lt;&gt;"",MOD(ROW(),2))</formula>
    </cfRule>
  </conditionalFormatting>
  <conditionalFormatting sqref="D457">
    <cfRule type="cellIs" dxfId="25433" priority="2948" operator="equal">
      <formula>$C457</formula>
    </cfRule>
    <cfRule type="cellIs" dxfId="25432" priority="2949" operator="greaterThan">
      <formula>$C457</formula>
    </cfRule>
    <cfRule type="cellIs" dxfId="25431" priority="2950" operator="lessThan">
      <formula>$C457</formula>
    </cfRule>
  </conditionalFormatting>
  <conditionalFormatting sqref="D458:E458">
    <cfRule type="expression" dxfId="25430" priority="2947">
      <formula>AND($A458&lt;&gt;"",MOD(ROW(),2))</formula>
    </cfRule>
  </conditionalFormatting>
  <conditionalFormatting sqref="D458">
    <cfRule type="cellIs" dxfId="25429" priority="2944" operator="equal">
      <formula>$C458</formula>
    </cfRule>
    <cfRule type="cellIs" dxfId="25428" priority="2945" operator="greaterThan">
      <formula>$C458</formula>
    </cfRule>
    <cfRule type="cellIs" dxfId="25427" priority="2946" operator="lessThan">
      <formula>$C458</formula>
    </cfRule>
  </conditionalFormatting>
  <conditionalFormatting sqref="D459:E459">
    <cfRule type="expression" dxfId="25426" priority="2943">
      <formula>AND($A459&lt;&gt;"",MOD(ROW(),2))</formula>
    </cfRule>
  </conditionalFormatting>
  <conditionalFormatting sqref="D459">
    <cfRule type="cellIs" dxfId="25425" priority="2940" operator="equal">
      <formula>$C459</formula>
    </cfRule>
    <cfRule type="cellIs" dxfId="25424" priority="2941" operator="greaterThan">
      <formula>$C459</formula>
    </cfRule>
    <cfRule type="cellIs" dxfId="25423" priority="2942" operator="lessThan">
      <formula>$C459</formula>
    </cfRule>
  </conditionalFormatting>
  <conditionalFormatting sqref="C437">
    <cfRule type="expression" dxfId="25422" priority="2939">
      <formula>AND($A437&lt;&gt;"",MOD(ROW(),2))</formula>
    </cfRule>
  </conditionalFormatting>
  <conditionalFormatting sqref="C437">
    <cfRule type="cellIs" dxfId="25421" priority="2936" operator="equal">
      <formula>$C437</formula>
    </cfRule>
    <cfRule type="cellIs" dxfId="25420" priority="2937" operator="greaterThan">
      <formula>$C437</formula>
    </cfRule>
    <cfRule type="cellIs" dxfId="25419" priority="2938" operator="lessThan">
      <formula>$C437</formula>
    </cfRule>
  </conditionalFormatting>
  <conditionalFormatting sqref="C438">
    <cfRule type="expression" dxfId="25418" priority="2935">
      <formula>AND($A438&lt;&gt;"",MOD(ROW(),2))</formula>
    </cfRule>
  </conditionalFormatting>
  <conditionalFormatting sqref="C438">
    <cfRule type="cellIs" dxfId="25417" priority="2932" operator="equal">
      <formula>$C438</formula>
    </cfRule>
    <cfRule type="cellIs" dxfId="25416" priority="2933" operator="greaterThan">
      <formula>$C438</formula>
    </cfRule>
    <cfRule type="cellIs" dxfId="25415" priority="2934" operator="lessThan">
      <formula>$C438</formula>
    </cfRule>
  </conditionalFormatting>
  <conditionalFormatting sqref="C439">
    <cfRule type="expression" dxfId="25414" priority="2931">
      <formula>AND($A439&lt;&gt;"",MOD(ROW(),2))</formula>
    </cfRule>
  </conditionalFormatting>
  <conditionalFormatting sqref="C439">
    <cfRule type="cellIs" dxfId="25413" priority="2928" operator="equal">
      <formula>$C439</formula>
    </cfRule>
    <cfRule type="cellIs" dxfId="25412" priority="2929" operator="greaterThan">
      <formula>$C439</formula>
    </cfRule>
    <cfRule type="cellIs" dxfId="25411" priority="2930" operator="lessThan">
      <formula>$C439</formula>
    </cfRule>
  </conditionalFormatting>
  <conditionalFormatting sqref="C440">
    <cfRule type="expression" dxfId="25410" priority="2927">
      <formula>AND($A440&lt;&gt;"",MOD(ROW(),2))</formula>
    </cfRule>
  </conditionalFormatting>
  <conditionalFormatting sqref="C440">
    <cfRule type="cellIs" dxfId="25409" priority="2924" operator="equal">
      <formula>$C440</formula>
    </cfRule>
    <cfRule type="cellIs" dxfId="25408" priority="2925" operator="greaterThan">
      <formula>$C440</formula>
    </cfRule>
    <cfRule type="cellIs" dxfId="25407" priority="2926" operator="lessThan">
      <formula>$C440</formula>
    </cfRule>
  </conditionalFormatting>
  <conditionalFormatting sqref="C441">
    <cfRule type="expression" dxfId="25406" priority="2923">
      <formula>AND($A441&lt;&gt;"",MOD(ROW(),2))</formula>
    </cfRule>
  </conditionalFormatting>
  <conditionalFormatting sqref="C441">
    <cfRule type="cellIs" dxfId="25405" priority="2920" operator="equal">
      <formula>$C441</formula>
    </cfRule>
    <cfRule type="cellIs" dxfId="25404" priority="2921" operator="greaterThan">
      <formula>$C441</formula>
    </cfRule>
    <cfRule type="cellIs" dxfId="25403" priority="2922" operator="lessThan">
      <formula>$C441</formula>
    </cfRule>
  </conditionalFormatting>
  <conditionalFormatting sqref="C442">
    <cfRule type="expression" dxfId="25402" priority="2919">
      <formula>AND($A442&lt;&gt;"",MOD(ROW(),2))</formula>
    </cfRule>
  </conditionalFormatting>
  <conditionalFormatting sqref="C442">
    <cfRule type="cellIs" dxfId="25401" priority="2916" operator="equal">
      <formula>$C442</formula>
    </cfRule>
    <cfRule type="cellIs" dxfId="25400" priority="2917" operator="greaterThan">
      <formula>$C442</formula>
    </cfRule>
    <cfRule type="cellIs" dxfId="25399" priority="2918" operator="lessThan">
      <formula>$C442</formula>
    </cfRule>
  </conditionalFormatting>
  <conditionalFormatting sqref="C443">
    <cfRule type="expression" dxfId="25398" priority="2915">
      <formula>AND($A443&lt;&gt;"",MOD(ROW(),2))</formula>
    </cfRule>
  </conditionalFormatting>
  <conditionalFormatting sqref="C443">
    <cfRule type="cellIs" dxfId="25397" priority="2912" operator="equal">
      <formula>$C443</formula>
    </cfRule>
    <cfRule type="cellIs" dxfId="25396" priority="2913" operator="greaterThan">
      <formula>$C443</formula>
    </cfRule>
    <cfRule type="cellIs" dxfId="25395" priority="2914" operator="lessThan">
      <formula>$C443</formula>
    </cfRule>
  </conditionalFormatting>
  <conditionalFormatting sqref="C444">
    <cfRule type="expression" dxfId="25394" priority="2911">
      <formula>AND($A444&lt;&gt;"",MOD(ROW(),2))</formula>
    </cfRule>
  </conditionalFormatting>
  <conditionalFormatting sqref="C444">
    <cfRule type="cellIs" dxfId="25393" priority="2908" operator="equal">
      <formula>$C444</formula>
    </cfRule>
    <cfRule type="cellIs" dxfId="25392" priority="2909" operator="greaterThan">
      <formula>$C444</formula>
    </cfRule>
    <cfRule type="cellIs" dxfId="25391" priority="2910" operator="lessThan">
      <formula>$C444</formula>
    </cfRule>
  </conditionalFormatting>
  <conditionalFormatting sqref="C445">
    <cfRule type="expression" dxfId="25390" priority="2907">
      <formula>AND($A445&lt;&gt;"",MOD(ROW(),2))</formula>
    </cfRule>
  </conditionalFormatting>
  <conditionalFormatting sqref="C445">
    <cfRule type="cellIs" dxfId="25389" priority="2904" operator="equal">
      <formula>$C445</formula>
    </cfRule>
    <cfRule type="cellIs" dxfId="25388" priority="2905" operator="greaterThan">
      <formula>$C445</formula>
    </cfRule>
    <cfRule type="cellIs" dxfId="25387" priority="2906" operator="lessThan">
      <formula>$C445</formula>
    </cfRule>
  </conditionalFormatting>
  <conditionalFormatting sqref="C446">
    <cfRule type="expression" dxfId="25386" priority="2903">
      <formula>AND($A446&lt;&gt;"",MOD(ROW(),2))</formula>
    </cfRule>
  </conditionalFormatting>
  <conditionalFormatting sqref="C446">
    <cfRule type="cellIs" dxfId="25385" priority="2900" operator="equal">
      <formula>$C446</formula>
    </cfRule>
    <cfRule type="cellIs" dxfId="25384" priority="2901" operator="greaterThan">
      <formula>$C446</formula>
    </cfRule>
    <cfRule type="cellIs" dxfId="25383" priority="2902" operator="lessThan">
      <formula>$C446</formula>
    </cfRule>
  </conditionalFormatting>
  <conditionalFormatting sqref="C447">
    <cfRule type="expression" dxfId="25382" priority="2899">
      <formula>AND($A447&lt;&gt;"",MOD(ROW(),2))</formula>
    </cfRule>
  </conditionalFormatting>
  <conditionalFormatting sqref="C447">
    <cfRule type="cellIs" dxfId="25381" priority="2896" operator="equal">
      <formula>$C447</formula>
    </cfRule>
    <cfRule type="cellIs" dxfId="25380" priority="2897" operator="greaterThan">
      <formula>$C447</formula>
    </cfRule>
    <cfRule type="cellIs" dxfId="25379" priority="2898" operator="lessThan">
      <formula>$C447</formula>
    </cfRule>
  </conditionalFormatting>
  <conditionalFormatting sqref="C448">
    <cfRule type="expression" dxfId="25378" priority="2895">
      <formula>AND($A448&lt;&gt;"",MOD(ROW(),2))</formula>
    </cfRule>
  </conditionalFormatting>
  <conditionalFormatting sqref="C448">
    <cfRule type="cellIs" dxfId="25377" priority="2892" operator="equal">
      <formula>$C448</formula>
    </cfRule>
    <cfRule type="cellIs" dxfId="25376" priority="2893" operator="greaterThan">
      <formula>$C448</formula>
    </cfRule>
    <cfRule type="cellIs" dxfId="25375" priority="2894" operator="lessThan">
      <formula>$C448</formula>
    </cfRule>
  </conditionalFormatting>
  <conditionalFormatting sqref="D437:E437">
    <cfRule type="expression" dxfId="25374" priority="2891">
      <formula>AND($A437&lt;&gt;"",MOD(ROW(),2))</formula>
    </cfRule>
  </conditionalFormatting>
  <conditionalFormatting sqref="D437">
    <cfRule type="cellIs" dxfId="25373" priority="2888" operator="equal">
      <formula>$C437</formula>
    </cfRule>
    <cfRule type="cellIs" dxfId="25372" priority="2889" operator="greaterThan">
      <formula>$C437</formula>
    </cfRule>
    <cfRule type="cellIs" dxfId="25371" priority="2890" operator="lessThan">
      <formula>$C437</formula>
    </cfRule>
  </conditionalFormatting>
  <conditionalFormatting sqref="D438:E438">
    <cfRule type="expression" dxfId="25370" priority="2887">
      <formula>AND($A438&lt;&gt;"",MOD(ROW(),2))</formula>
    </cfRule>
  </conditionalFormatting>
  <conditionalFormatting sqref="D438">
    <cfRule type="cellIs" dxfId="25369" priority="2884" operator="equal">
      <formula>$C438</formula>
    </cfRule>
    <cfRule type="cellIs" dxfId="25368" priority="2885" operator="greaterThan">
      <formula>$C438</formula>
    </cfRule>
    <cfRule type="cellIs" dxfId="25367" priority="2886" operator="lessThan">
      <formula>$C438</formula>
    </cfRule>
  </conditionalFormatting>
  <conditionalFormatting sqref="D439:E439">
    <cfRule type="expression" dxfId="25366" priority="2883">
      <formula>AND($A439&lt;&gt;"",MOD(ROW(),2))</formula>
    </cfRule>
  </conditionalFormatting>
  <conditionalFormatting sqref="D439">
    <cfRule type="cellIs" dxfId="25365" priority="2880" operator="equal">
      <formula>$C439</formula>
    </cfRule>
    <cfRule type="cellIs" dxfId="25364" priority="2881" operator="greaterThan">
      <formula>$C439</formula>
    </cfRule>
    <cfRule type="cellIs" dxfId="25363" priority="2882" operator="lessThan">
      <formula>$C439</formula>
    </cfRule>
  </conditionalFormatting>
  <conditionalFormatting sqref="D440:E440">
    <cfRule type="expression" dxfId="25362" priority="2879">
      <formula>AND($A440&lt;&gt;"",MOD(ROW(),2))</formula>
    </cfRule>
  </conditionalFormatting>
  <conditionalFormatting sqref="D440">
    <cfRule type="cellIs" dxfId="25361" priority="2876" operator="equal">
      <formula>$C440</formula>
    </cfRule>
    <cfRule type="cellIs" dxfId="25360" priority="2877" operator="greaterThan">
      <formula>$C440</formula>
    </cfRule>
    <cfRule type="cellIs" dxfId="25359" priority="2878" operator="lessThan">
      <formula>$C440</formula>
    </cfRule>
  </conditionalFormatting>
  <conditionalFormatting sqref="D441:E441">
    <cfRule type="expression" dxfId="25358" priority="2875">
      <formula>AND($A441&lt;&gt;"",MOD(ROW(),2))</formula>
    </cfRule>
  </conditionalFormatting>
  <conditionalFormatting sqref="D441">
    <cfRule type="cellIs" dxfId="25357" priority="2872" operator="equal">
      <formula>$C441</formula>
    </cfRule>
    <cfRule type="cellIs" dxfId="25356" priority="2873" operator="greaterThan">
      <formula>$C441</formula>
    </cfRule>
    <cfRule type="cellIs" dxfId="25355" priority="2874" operator="lessThan">
      <formula>$C441</formula>
    </cfRule>
  </conditionalFormatting>
  <conditionalFormatting sqref="D442:E442">
    <cfRule type="expression" dxfId="25354" priority="2871">
      <formula>AND($A442&lt;&gt;"",MOD(ROW(),2))</formula>
    </cfRule>
  </conditionalFormatting>
  <conditionalFormatting sqref="D442">
    <cfRule type="cellIs" dxfId="25353" priority="2868" operator="equal">
      <formula>$C442</formula>
    </cfRule>
    <cfRule type="cellIs" dxfId="25352" priority="2869" operator="greaterThan">
      <formula>$C442</formula>
    </cfRule>
    <cfRule type="cellIs" dxfId="25351" priority="2870" operator="lessThan">
      <formula>$C442</formula>
    </cfRule>
  </conditionalFormatting>
  <conditionalFormatting sqref="D443:E443">
    <cfRule type="expression" dxfId="25350" priority="2867">
      <formula>AND($A443&lt;&gt;"",MOD(ROW(),2))</formula>
    </cfRule>
  </conditionalFormatting>
  <conditionalFormatting sqref="D443">
    <cfRule type="cellIs" dxfId="25349" priority="2864" operator="equal">
      <formula>$C443</formula>
    </cfRule>
    <cfRule type="cellIs" dxfId="25348" priority="2865" operator="greaterThan">
      <formula>$C443</formula>
    </cfRule>
    <cfRule type="cellIs" dxfId="25347" priority="2866" operator="lessThan">
      <formula>$C443</formula>
    </cfRule>
  </conditionalFormatting>
  <conditionalFormatting sqref="D444:E444">
    <cfRule type="expression" dxfId="25346" priority="2863">
      <formula>AND($A444&lt;&gt;"",MOD(ROW(),2))</formula>
    </cfRule>
  </conditionalFormatting>
  <conditionalFormatting sqref="D444">
    <cfRule type="cellIs" dxfId="25345" priority="2860" operator="equal">
      <formula>$C444</formula>
    </cfRule>
    <cfRule type="cellIs" dxfId="25344" priority="2861" operator="greaterThan">
      <formula>$C444</formula>
    </cfRule>
    <cfRule type="cellIs" dxfId="25343" priority="2862" operator="lessThan">
      <formula>$C444</formula>
    </cfRule>
  </conditionalFormatting>
  <conditionalFormatting sqref="D445:E445">
    <cfRule type="expression" dxfId="25342" priority="2859">
      <formula>AND($A445&lt;&gt;"",MOD(ROW(),2))</formula>
    </cfRule>
  </conditionalFormatting>
  <conditionalFormatting sqref="D445">
    <cfRule type="cellIs" dxfId="25341" priority="2856" operator="equal">
      <formula>$C445</formula>
    </cfRule>
    <cfRule type="cellIs" dxfId="25340" priority="2857" operator="greaterThan">
      <formula>$C445</formula>
    </cfRule>
    <cfRule type="cellIs" dxfId="25339" priority="2858" operator="lessThan">
      <formula>$C445</formula>
    </cfRule>
  </conditionalFormatting>
  <conditionalFormatting sqref="D446:E446">
    <cfRule type="expression" dxfId="25338" priority="2855">
      <formula>AND($A446&lt;&gt;"",MOD(ROW(),2))</formula>
    </cfRule>
  </conditionalFormatting>
  <conditionalFormatting sqref="D446">
    <cfRule type="cellIs" dxfId="25337" priority="2852" operator="equal">
      <formula>$C446</formula>
    </cfRule>
    <cfRule type="cellIs" dxfId="25336" priority="2853" operator="greaterThan">
      <formula>$C446</formula>
    </cfRule>
    <cfRule type="cellIs" dxfId="25335" priority="2854" operator="lessThan">
      <formula>$C446</formula>
    </cfRule>
  </conditionalFormatting>
  <conditionalFormatting sqref="D447:E447">
    <cfRule type="expression" dxfId="25334" priority="2851">
      <formula>AND($A447&lt;&gt;"",MOD(ROW(),2))</formula>
    </cfRule>
  </conditionalFormatting>
  <conditionalFormatting sqref="D447">
    <cfRule type="cellIs" dxfId="25333" priority="2848" operator="equal">
      <formula>$C447</formula>
    </cfRule>
    <cfRule type="cellIs" dxfId="25332" priority="2849" operator="greaterThan">
      <formula>$C447</formula>
    </cfRule>
    <cfRule type="cellIs" dxfId="25331" priority="2850" operator="lessThan">
      <formula>$C447</formula>
    </cfRule>
  </conditionalFormatting>
  <conditionalFormatting sqref="D448:E448">
    <cfRule type="expression" dxfId="25330" priority="2847">
      <formula>AND($A448&lt;&gt;"",MOD(ROW(),2))</formula>
    </cfRule>
  </conditionalFormatting>
  <conditionalFormatting sqref="D448">
    <cfRule type="cellIs" dxfId="25329" priority="2844" operator="equal">
      <formula>$C448</formula>
    </cfRule>
    <cfRule type="cellIs" dxfId="25328" priority="2845" operator="greaterThan">
      <formula>$C448</formula>
    </cfRule>
    <cfRule type="cellIs" dxfId="25327" priority="2846" operator="lessThan">
      <formula>$C448</formula>
    </cfRule>
  </conditionalFormatting>
  <conditionalFormatting sqref="D449:E449">
    <cfRule type="expression" dxfId="25326" priority="2843">
      <formula>AND($A449&lt;&gt;"",MOD(ROW(),2))</formula>
    </cfRule>
  </conditionalFormatting>
  <conditionalFormatting sqref="D449">
    <cfRule type="cellIs" dxfId="25325" priority="2840" operator="equal">
      <formula>$C449</formula>
    </cfRule>
    <cfRule type="cellIs" dxfId="25324" priority="2841" operator="greaterThan">
      <formula>$C449</formula>
    </cfRule>
    <cfRule type="cellIs" dxfId="25323" priority="2842" operator="lessThan">
      <formula>$C449</formula>
    </cfRule>
  </conditionalFormatting>
  <conditionalFormatting sqref="D450:E450">
    <cfRule type="expression" dxfId="25322" priority="2839">
      <formula>AND($A450&lt;&gt;"",MOD(ROW(),2))</formula>
    </cfRule>
  </conditionalFormatting>
  <conditionalFormatting sqref="D450">
    <cfRule type="cellIs" dxfId="25321" priority="2836" operator="equal">
      <formula>$C450</formula>
    </cfRule>
    <cfRule type="cellIs" dxfId="25320" priority="2837" operator="greaterThan">
      <formula>$C450</formula>
    </cfRule>
    <cfRule type="cellIs" dxfId="25319" priority="2838" operator="lessThan">
      <formula>$C450</formula>
    </cfRule>
  </conditionalFormatting>
  <conditionalFormatting sqref="D451:E451">
    <cfRule type="expression" dxfId="25318" priority="2835">
      <formula>AND($A451&lt;&gt;"",MOD(ROW(),2))</formula>
    </cfRule>
  </conditionalFormatting>
  <conditionalFormatting sqref="D451">
    <cfRule type="cellIs" dxfId="25317" priority="2832" operator="equal">
      <formula>$C451</formula>
    </cfRule>
    <cfRule type="cellIs" dxfId="25316" priority="2833" operator="greaterThan">
      <formula>$C451</formula>
    </cfRule>
    <cfRule type="cellIs" dxfId="25315" priority="2834" operator="lessThan">
      <formula>$C451</formula>
    </cfRule>
  </conditionalFormatting>
  <conditionalFormatting sqref="D452:E452">
    <cfRule type="expression" dxfId="25314" priority="2831">
      <formula>AND($A452&lt;&gt;"",MOD(ROW(),2))</formula>
    </cfRule>
  </conditionalFormatting>
  <conditionalFormatting sqref="D452">
    <cfRule type="cellIs" dxfId="25313" priority="2828" operator="equal">
      <formula>$C452</formula>
    </cfRule>
    <cfRule type="cellIs" dxfId="25312" priority="2829" operator="greaterThan">
      <formula>$C452</formula>
    </cfRule>
    <cfRule type="cellIs" dxfId="25311" priority="2830" operator="lessThan">
      <formula>$C452</formula>
    </cfRule>
  </conditionalFormatting>
  <conditionalFormatting sqref="D453:E453">
    <cfRule type="expression" dxfId="25310" priority="2827">
      <formula>AND($A453&lt;&gt;"",MOD(ROW(),2))</formula>
    </cfRule>
  </conditionalFormatting>
  <conditionalFormatting sqref="D453">
    <cfRule type="cellIs" dxfId="25309" priority="2824" operator="equal">
      <formula>$C453</formula>
    </cfRule>
    <cfRule type="cellIs" dxfId="25308" priority="2825" operator="greaterThan">
      <formula>$C453</formula>
    </cfRule>
    <cfRule type="cellIs" dxfId="25307" priority="2826" operator="lessThan">
      <formula>$C453</formula>
    </cfRule>
  </conditionalFormatting>
  <conditionalFormatting sqref="D454:E454">
    <cfRule type="expression" dxfId="25306" priority="2823">
      <formula>AND($A454&lt;&gt;"",MOD(ROW(),2))</formula>
    </cfRule>
  </conditionalFormatting>
  <conditionalFormatting sqref="D454">
    <cfRule type="cellIs" dxfId="25305" priority="2820" operator="equal">
      <formula>$C454</formula>
    </cfRule>
    <cfRule type="cellIs" dxfId="25304" priority="2821" operator="greaterThan">
      <formula>$C454</formula>
    </cfRule>
    <cfRule type="cellIs" dxfId="25303" priority="2822" operator="lessThan">
      <formula>$C454</formula>
    </cfRule>
  </conditionalFormatting>
  <conditionalFormatting sqref="D455:E455">
    <cfRule type="expression" dxfId="25302" priority="2819">
      <formula>AND($A455&lt;&gt;"",MOD(ROW(),2))</formula>
    </cfRule>
  </conditionalFormatting>
  <conditionalFormatting sqref="D455">
    <cfRule type="cellIs" dxfId="25301" priority="2816" operator="equal">
      <formula>$C455</formula>
    </cfRule>
    <cfRule type="cellIs" dxfId="25300" priority="2817" operator="greaterThan">
      <formula>$C455</formula>
    </cfRule>
    <cfRule type="cellIs" dxfId="25299" priority="2818" operator="lessThan">
      <formula>$C455</formula>
    </cfRule>
  </conditionalFormatting>
  <conditionalFormatting sqref="D456:E456">
    <cfRule type="expression" dxfId="25298" priority="2815">
      <formula>AND($A456&lt;&gt;"",MOD(ROW(),2))</formula>
    </cfRule>
  </conditionalFormatting>
  <conditionalFormatting sqref="D456">
    <cfRule type="cellIs" dxfId="25297" priority="2812" operator="equal">
      <formula>$C456</formula>
    </cfRule>
    <cfRule type="cellIs" dxfId="25296" priority="2813" operator="greaterThan">
      <formula>$C456</formula>
    </cfRule>
    <cfRule type="cellIs" dxfId="25295" priority="2814" operator="lessThan">
      <formula>$C456</formula>
    </cfRule>
  </conditionalFormatting>
  <conditionalFormatting sqref="D457:E457">
    <cfRule type="expression" dxfId="25294" priority="2811">
      <formula>AND($A457&lt;&gt;"",MOD(ROW(),2))</formula>
    </cfRule>
  </conditionalFormatting>
  <conditionalFormatting sqref="D457">
    <cfRule type="cellIs" dxfId="25293" priority="2808" operator="equal">
      <formula>$C457</formula>
    </cfRule>
    <cfRule type="cellIs" dxfId="25292" priority="2809" operator="greaterThan">
      <formula>$C457</formula>
    </cfRule>
    <cfRule type="cellIs" dxfId="25291" priority="2810" operator="lessThan">
      <formula>$C457</formula>
    </cfRule>
  </conditionalFormatting>
  <conditionalFormatting sqref="D458:E458">
    <cfRule type="expression" dxfId="25290" priority="2807">
      <formula>AND($A458&lt;&gt;"",MOD(ROW(),2))</formula>
    </cfRule>
  </conditionalFormatting>
  <conditionalFormatting sqref="D458">
    <cfRule type="cellIs" dxfId="25289" priority="2804" operator="equal">
      <formula>$C458</formula>
    </cfRule>
    <cfRule type="cellIs" dxfId="25288" priority="2805" operator="greaterThan">
      <formula>$C458</formula>
    </cfRule>
    <cfRule type="cellIs" dxfId="25287" priority="2806" operator="lessThan">
      <formula>$C458</formula>
    </cfRule>
  </conditionalFormatting>
  <conditionalFormatting sqref="D459:E459">
    <cfRule type="expression" dxfId="25286" priority="2803">
      <formula>AND($A459&lt;&gt;"",MOD(ROW(),2))</formula>
    </cfRule>
  </conditionalFormatting>
  <conditionalFormatting sqref="D459">
    <cfRule type="cellIs" dxfId="25285" priority="2800" operator="equal">
      <formula>$C459</formula>
    </cfRule>
    <cfRule type="cellIs" dxfId="25284" priority="2801" operator="greaterThan">
      <formula>$C459</formula>
    </cfRule>
    <cfRule type="cellIs" dxfId="25283" priority="2802" operator="lessThan">
      <formula>$C459</formula>
    </cfRule>
  </conditionalFormatting>
  <conditionalFormatting sqref="D460:E460">
    <cfRule type="expression" dxfId="25282" priority="2799">
      <formula>AND($A460&lt;&gt;"",MOD(ROW(),2))</formula>
    </cfRule>
  </conditionalFormatting>
  <conditionalFormatting sqref="D460">
    <cfRule type="cellIs" dxfId="25281" priority="2796" operator="equal">
      <formula>$C460</formula>
    </cfRule>
    <cfRule type="cellIs" dxfId="25280" priority="2797" operator="greaterThan">
      <formula>$C460</formula>
    </cfRule>
    <cfRule type="cellIs" dxfId="25279" priority="2798" operator="lessThan">
      <formula>$C460</formula>
    </cfRule>
  </conditionalFormatting>
  <conditionalFormatting sqref="E461">
    <cfRule type="expression" dxfId="25278" priority="2795">
      <formula>AND($A461&lt;&gt;"",MOD(ROW(),2))</formula>
    </cfRule>
  </conditionalFormatting>
  <conditionalFormatting sqref="E462">
    <cfRule type="expression" dxfId="25277" priority="2794">
      <formula>AND($A462&lt;&gt;"",MOD(ROW(),2))</formula>
    </cfRule>
  </conditionalFormatting>
  <conditionalFormatting sqref="E463">
    <cfRule type="expression" dxfId="25276" priority="2793">
      <formula>AND($A463&lt;&gt;"",MOD(ROW(),2))</formula>
    </cfRule>
  </conditionalFormatting>
  <conditionalFormatting sqref="C437">
    <cfRule type="expression" dxfId="25275" priority="2792">
      <formula>AND($A437&lt;&gt;"",MOD(ROW(),2))</formula>
    </cfRule>
  </conditionalFormatting>
  <conditionalFormatting sqref="C437">
    <cfRule type="cellIs" dxfId="25274" priority="2789" operator="equal">
      <formula>$C437</formula>
    </cfRule>
    <cfRule type="cellIs" dxfId="25273" priority="2790" operator="greaterThan">
      <formula>$C437</formula>
    </cfRule>
    <cfRule type="cellIs" dxfId="25272" priority="2791" operator="lessThan">
      <formula>$C437</formula>
    </cfRule>
  </conditionalFormatting>
  <conditionalFormatting sqref="C438">
    <cfRule type="expression" dxfId="25271" priority="2788">
      <formula>AND($A438&lt;&gt;"",MOD(ROW(),2))</formula>
    </cfRule>
  </conditionalFormatting>
  <conditionalFormatting sqref="C438">
    <cfRule type="cellIs" dxfId="25270" priority="2785" operator="equal">
      <formula>$C438</formula>
    </cfRule>
    <cfRule type="cellIs" dxfId="25269" priority="2786" operator="greaterThan">
      <formula>$C438</formula>
    </cfRule>
    <cfRule type="cellIs" dxfId="25268" priority="2787" operator="lessThan">
      <formula>$C438</formula>
    </cfRule>
  </conditionalFormatting>
  <conditionalFormatting sqref="C439">
    <cfRule type="expression" dxfId="25267" priority="2784">
      <formula>AND($A439&lt;&gt;"",MOD(ROW(),2))</formula>
    </cfRule>
  </conditionalFormatting>
  <conditionalFormatting sqref="C439">
    <cfRule type="cellIs" dxfId="25266" priority="2781" operator="equal">
      <formula>$C439</formula>
    </cfRule>
    <cfRule type="cellIs" dxfId="25265" priority="2782" operator="greaterThan">
      <formula>$C439</formula>
    </cfRule>
    <cfRule type="cellIs" dxfId="25264" priority="2783" operator="lessThan">
      <formula>$C439</formula>
    </cfRule>
  </conditionalFormatting>
  <conditionalFormatting sqref="C440">
    <cfRule type="expression" dxfId="25263" priority="2780">
      <formula>AND($A440&lt;&gt;"",MOD(ROW(),2))</formula>
    </cfRule>
  </conditionalFormatting>
  <conditionalFormatting sqref="C440">
    <cfRule type="cellIs" dxfId="25262" priority="2777" operator="equal">
      <formula>$C440</formula>
    </cfRule>
    <cfRule type="cellIs" dxfId="25261" priority="2778" operator="greaterThan">
      <formula>$C440</formula>
    </cfRule>
    <cfRule type="cellIs" dxfId="25260" priority="2779" operator="lessThan">
      <formula>$C440</formula>
    </cfRule>
  </conditionalFormatting>
  <conditionalFormatting sqref="C441">
    <cfRule type="expression" dxfId="25259" priority="2776">
      <formula>AND($A441&lt;&gt;"",MOD(ROW(),2))</formula>
    </cfRule>
  </conditionalFormatting>
  <conditionalFormatting sqref="C441">
    <cfRule type="cellIs" dxfId="25258" priority="2773" operator="equal">
      <formula>$C441</formula>
    </cfRule>
    <cfRule type="cellIs" dxfId="25257" priority="2774" operator="greaterThan">
      <formula>$C441</formula>
    </cfRule>
    <cfRule type="cellIs" dxfId="25256" priority="2775" operator="lessThan">
      <formula>$C441</formula>
    </cfRule>
  </conditionalFormatting>
  <conditionalFormatting sqref="C442">
    <cfRule type="expression" dxfId="25255" priority="2772">
      <formula>AND($A442&lt;&gt;"",MOD(ROW(),2))</formula>
    </cfRule>
  </conditionalFormatting>
  <conditionalFormatting sqref="C442">
    <cfRule type="cellIs" dxfId="25254" priority="2769" operator="equal">
      <formula>$C442</formula>
    </cfRule>
    <cfRule type="cellIs" dxfId="25253" priority="2770" operator="greaterThan">
      <formula>$C442</formula>
    </cfRule>
    <cfRule type="cellIs" dxfId="25252" priority="2771" operator="lessThan">
      <formula>$C442</formula>
    </cfRule>
  </conditionalFormatting>
  <conditionalFormatting sqref="C443">
    <cfRule type="expression" dxfId="25251" priority="2768">
      <formula>AND($A443&lt;&gt;"",MOD(ROW(),2))</formula>
    </cfRule>
  </conditionalFormatting>
  <conditionalFormatting sqref="C443">
    <cfRule type="cellIs" dxfId="25250" priority="2765" operator="equal">
      <formula>$C443</formula>
    </cfRule>
    <cfRule type="cellIs" dxfId="25249" priority="2766" operator="greaterThan">
      <formula>$C443</formula>
    </cfRule>
    <cfRule type="cellIs" dxfId="25248" priority="2767" operator="lessThan">
      <formula>$C443</formula>
    </cfRule>
  </conditionalFormatting>
  <conditionalFormatting sqref="C444">
    <cfRule type="expression" dxfId="25247" priority="2764">
      <formula>AND($A444&lt;&gt;"",MOD(ROW(),2))</formula>
    </cfRule>
  </conditionalFormatting>
  <conditionalFormatting sqref="C444">
    <cfRule type="cellIs" dxfId="25246" priority="2761" operator="equal">
      <formula>$C444</formula>
    </cfRule>
    <cfRule type="cellIs" dxfId="25245" priority="2762" operator="greaterThan">
      <formula>$C444</formula>
    </cfRule>
    <cfRule type="cellIs" dxfId="25244" priority="2763" operator="lessThan">
      <formula>$C444</formula>
    </cfRule>
  </conditionalFormatting>
  <conditionalFormatting sqref="C445">
    <cfRule type="expression" dxfId="25243" priority="2760">
      <formula>AND($A445&lt;&gt;"",MOD(ROW(),2))</formula>
    </cfRule>
  </conditionalFormatting>
  <conditionalFormatting sqref="C445">
    <cfRule type="cellIs" dxfId="25242" priority="2757" operator="equal">
      <formula>$C445</formula>
    </cfRule>
    <cfRule type="cellIs" dxfId="25241" priority="2758" operator="greaterThan">
      <formula>$C445</formula>
    </cfRule>
    <cfRule type="cellIs" dxfId="25240" priority="2759" operator="lessThan">
      <formula>$C445</formula>
    </cfRule>
  </conditionalFormatting>
  <conditionalFormatting sqref="C446">
    <cfRule type="expression" dxfId="25239" priority="2756">
      <formula>AND($A446&lt;&gt;"",MOD(ROW(),2))</formula>
    </cfRule>
  </conditionalFormatting>
  <conditionalFormatting sqref="C446">
    <cfRule type="cellIs" dxfId="25238" priority="2753" operator="equal">
      <formula>$C446</formula>
    </cfRule>
    <cfRule type="cellIs" dxfId="25237" priority="2754" operator="greaterThan">
      <formula>$C446</formula>
    </cfRule>
    <cfRule type="cellIs" dxfId="25236" priority="2755" operator="lessThan">
      <formula>$C446</formula>
    </cfRule>
  </conditionalFormatting>
  <conditionalFormatting sqref="C447">
    <cfRule type="expression" dxfId="25235" priority="2752">
      <formula>AND($A447&lt;&gt;"",MOD(ROW(),2))</formula>
    </cfRule>
  </conditionalFormatting>
  <conditionalFormatting sqref="C447">
    <cfRule type="cellIs" dxfId="25234" priority="2749" operator="equal">
      <formula>$C447</formula>
    </cfRule>
    <cfRule type="cellIs" dxfId="25233" priority="2750" operator="greaterThan">
      <formula>$C447</formula>
    </cfRule>
    <cfRule type="cellIs" dxfId="25232" priority="2751" operator="lessThan">
      <formula>$C447</formula>
    </cfRule>
  </conditionalFormatting>
  <conditionalFormatting sqref="C448">
    <cfRule type="expression" dxfId="25231" priority="2748">
      <formula>AND($A448&lt;&gt;"",MOD(ROW(),2))</formula>
    </cfRule>
  </conditionalFormatting>
  <conditionalFormatting sqref="C448">
    <cfRule type="cellIs" dxfId="25230" priority="2745" operator="equal">
      <formula>$C448</formula>
    </cfRule>
    <cfRule type="cellIs" dxfId="25229" priority="2746" operator="greaterThan">
      <formula>$C448</formula>
    </cfRule>
    <cfRule type="cellIs" dxfId="25228" priority="2747" operator="lessThan">
      <formula>$C448</formula>
    </cfRule>
  </conditionalFormatting>
  <conditionalFormatting sqref="D437:E437">
    <cfRule type="expression" dxfId="25227" priority="2744">
      <formula>AND($A437&lt;&gt;"",MOD(ROW(),2))</formula>
    </cfRule>
  </conditionalFormatting>
  <conditionalFormatting sqref="D437">
    <cfRule type="cellIs" dxfId="25226" priority="2741" operator="equal">
      <formula>$C437</formula>
    </cfRule>
    <cfRule type="cellIs" dxfId="25225" priority="2742" operator="greaterThan">
      <formula>$C437</formula>
    </cfRule>
    <cfRule type="cellIs" dxfId="25224" priority="2743" operator="lessThan">
      <formula>$C437</formula>
    </cfRule>
  </conditionalFormatting>
  <conditionalFormatting sqref="D438:E438">
    <cfRule type="expression" dxfId="25223" priority="2740">
      <formula>AND($A438&lt;&gt;"",MOD(ROW(),2))</formula>
    </cfRule>
  </conditionalFormatting>
  <conditionalFormatting sqref="D438">
    <cfRule type="cellIs" dxfId="25222" priority="2737" operator="equal">
      <formula>$C438</formula>
    </cfRule>
    <cfRule type="cellIs" dxfId="25221" priority="2738" operator="greaterThan">
      <formula>$C438</formula>
    </cfRule>
    <cfRule type="cellIs" dxfId="25220" priority="2739" operator="lessThan">
      <formula>$C438</formula>
    </cfRule>
  </conditionalFormatting>
  <conditionalFormatting sqref="D439:E439">
    <cfRule type="expression" dxfId="25219" priority="2736">
      <formula>AND($A439&lt;&gt;"",MOD(ROW(),2))</formula>
    </cfRule>
  </conditionalFormatting>
  <conditionalFormatting sqref="D439">
    <cfRule type="cellIs" dxfId="25218" priority="2733" operator="equal">
      <formula>$C439</formula>
    </cfRule>
    <cfRule type="cellIs" dxfId="25217" priority="2734" operator="greaterThan">
      <formula>$C439</formula>
    </cfRule>
    <cfRule type="cellIs" dxfId="25216" priority="2735" operator="lessThan">
      <formula>$C439</formula>
    </cfRule>
  </conditionalFormatting>
  <conditionalFormatting sqref="D440:E440">
    <cfRule type="expression" dxfId="25215" priority="2732">
      <formula>AND($A440&lt;&gt;"",MOD(ROW(),2))</formula>
    </cfRule>
  </conditionalFormatting>
  <conditionalFormatting sqref="D440">
    <cfRule type="cellIs" dxfId="25214" priority="2729" operator="equal">
      <formula>$C440</formula>
    </cfRule>
    <cfRule type="cellIs" dxfId="25213" priority="2730" operator="greaterThan">
      <formula>$C440</formula>
    </cfRule>
    <cfRule type="cellIs" dxfId="25212" priority="2731" operator="lessThan">
      <formula>$C440</formula>
    </cfRule>
  </conditionalFormatting>
  <conditionalFormatting sqref="D441:E441">
    <cfRule type="expression" dxfId="25211" priority="2728">
      <formula>AND($A441&lt;&gt;"",MOD(ROW(),2))</formula>
    </cfRule>
  </conditionalFormatting>
  <conditionalFormatting sqref="D441">
    <cfRule type="cellIs" dxfId="25210" priority="2725" operator="equal">
      <formula>$C441</formula>
    </cfRule>
    <cfRule type="cellIs" dxfId="25209" priority="2726" operator="greaterThan">
      <formula>$C441</formula>
    </cfRule>
    <cfRule type="cellIs" dxfId="25208" priority="2727" operator="lessThan">
      <formula>$C441</formula>
    </cfRule>
  </conditionalFormatting>
  <conditionalFormatting sqref="D442:E442">
    <cfRule type="expression" dxfId="25207" priority="2724">
      <formula>AND($A442&lt;&gt;"",MOD(ROW(),2))</formula>
    </cfRule>
  </conditionalFormatting>
  <conditionalFormatting sqref="D442">
    <cfRule type="cellIs" dxfId="25206" priority="2721" operator="equal">
      <formula>$C442</formula>
    </cfRule>
    <cfRule type="cellIs" dxfId="25205" priority="2722" operator="greaterThan">
      <formula>$C442</formula>
    </cfRule>
    <cfRule type="cellIs" dxfId="25204" priority="2723" operator="lessThan">
      <formula>$C442</formula>
    </cfRule>
  </conditionalFormatting>
  <conditionalFormatting sqref="D443:E443">
    <cfRule type="expression" dxfId="25203" priority="2720">
      <formula>AND($A443&lt;&gt;"",MOD(ROW(),2))</formula>
    </cfRule>
  </conditionalFormatting>
  <conditionalFormatting sqref="D443">
    <cfRule type="cellIs" dxfId="25202" priority="2717" operator="equal">
      <formula>$C443</formula>
    </cfRule>
    <cfRule type="cellIs" dxfId="25201" priority="2718" operator="greaterThan">
      <formula>$C443</formula>
    </cfRule>
    <cfRule type="cellIs" dxfId="25200" priority="2719" operator="lessThan">
      <formula>$C443</formula>
    </cfRule>
  </conditionalFormatting>
  <conditionalFormatting sqref="D444:E444">
    <cfRule type="expression" dxfId="25199" priority="2716">
      <formula>AND($A444&lt;&gt;"",MOD(ROW(),2))</formula>
    </cfRule>
  </conditionalFormatting>
  <conditionalFormatting sqref="D444">
    <cfRule type="cellIs" dxfId="25198" priority="2713" operator="equal">
      <formula>$C444</formula>
    </cfRule>
    <cfRule type="cellIs" dxfId="25197" priority="2714" operator="greaterThan">
      <formula>$C444</formula>
    </cfRule>
    <cfRule type="cellIs" dxfId="25196" priority="2715" operator="lessThan">
      <formula>$C444</formula>
    </cfRule>
  </conditionalFormatting>
  <conditionalFormatting sqref="D445:E445">
    <cfRule type="expression" dxfId="25195" priority="2712">
      <formula>AND($A445&lt;&gt;"",MOD(ROW(),2))</formula>
    </cfRule>
  </conditionalFormatting>
  <conditionalFormatting sqref="D445">
    <cfRule type="cellIs" dxfId="25194" priority="2709" operator="equal">
      <formula>$C445</formula>
    </cfRule>
    <cfRule type="cellIs" dxfId="25193" priority="2710" operator="greaterThan">
      <formula>$C445</formula>
    </cfRule>
    <cfRule type="cellIs" dxfId="25192" priority="2711" operator="lessThan">
      <formula>$C445</formula>
    </cfRule>
  </conditionalFormatting>
  <conditionalFormatting sqref="D446:E446">
    <cfRule type="expression" dxfId="25191" priority="2708">
      <formula>AND($A446&lt;&gt;"",MOD(ROW(),2))</formula>
    </cfRule>
  </conditionalFormatting>
  <conditionalFormatting sqref="D446">
    <cfRule type="cellIs" dxfId="25190" priority="2705" operator="equal">
      <formula>$C446</formula>
    </cfRule>
    <cfRule type="cellIs" dxfId="25189" priority="2706" operator="greaterThan">
      <formula>$C446</formula>
    </cfRule>
    <cfRule type="cellIs" dxfId="25188" priority="2707" operator="lessThan">
      <formula>$C446</formula>
    </cfRule>
  </conditionalFormatting>
  <conditionalFormatting sqref="D447:E447">
    <cfRule type="expression" dxfId="25187" priority="2704">
      <formula>AND($A447&lt;&gt;"",MOD(ROW(),2))</formula>
    </cfRule>
  </conditionalFormatting>
  <conditionalFormatting sqref="D447">
    <cfRule type="cellIs" dxfId="25186" priority="2701" operator="equal">
      <formula>$C447</formula>
    </cfRule>
    <cfRule type="cellIs" dxfId="25185" priority="2702" operator="greaterThan">
      <formula>$C447</formula>
    </cfRule>
    <cfRule type="cellIs" dxfId="25184" priority="2703" operator="lessThan">
      <formula>$C447</formula>
    </cfRule>
  </conditionalFormatting>
  <conditionalFormatting sqref="D448:E448">
    <cfRule type="expression" dxfId="25183" priority="2700">
      <formula>AND($A448&lt;&gt;"",MOD(ROW(),2))</formula>
    </cfRule>
  </conditionalFormatting>
  <conditionalFormatting sqref="D448">
    <cfRule type="cellIs" dxfId="25182" priority="2697" operator="equal">
      <formula>$C448</formula>
    </cfRule>
    <cfRule type="cellIs" dxfId="25181" priority="2698" operator="greaterThan">
      <formula>$C448</formula>
    </cfRule>
    <cfRule type="cellIs" dxfId="25180" priority="2699" operator="lessThan">
      <formula>$C448</formula>
    </cfRule>
  </conditionalFormatting>
  <conditionalFormatting sqref="D449:E449">
    <cfRule type="expression" dxfId="25179" priority="2696">
      <formula>AND($A449&lt;&gt;"",MOD(ROW(),2))</formula>
    </cfRule>
  </conditionalFormatting>
  <conditionalFormatting sqref="D449">
    <cfRule type="cellIs" dxfId="25178" priority="2693" operator="equal">
      <formula>$C449</formula>
    </cfRule>
    <cfRule type="cellIs" dxfId="25177" priority="2694" operator="greaterThan">
      <formula>$C449</formula>
    </cfRule>
    <cfRule type="cellIs" dxfId="25176" priority="2695" operator="lessThan">
      <formula>$C449</formula>
    </cfRule>
  </conditionalFormatting>
  <conditionalFormatting sqref="D450:E450">
    <cfRule type="expression" dxfId="25175" priority="2692">
      <formula>AND($A450&lt;&gt;"",MOD(ROW(),2))</formula>
    </cfRule>
  </conditionalFormatting>
  <conditionalFormatting sqref="D450">
    <cfRule type="cellIs" dxfId="25174" priority="2689" operator="equal">
      <formula>$C450</formula>
    </cfRule>
    <cfRule type="cellIs" dxfId="25173" priority="2690" operator="greaterThan">
      <formula>$C450</formula>
    </cfRule>
    <cfRule type="cellIs" dxfId="25172" priority="2691" operator="lessThan">
      <formula>$C450</formula>
    </cfRule>
  </conditionalFormatting>
  <conditionalFormatting sqref="D451:E451">
    <cfRule type="expression" dxfId="25171" priority="2688">
      <formula>AND($A451&lt;&gt;"",MOD(ROW(),2))</formula>
    </cfRule>
  </conditionalFormatting>
  <conditionalFormatting sqref="D451">
    <cfRule type="cellIs" dxfId="25170" priority="2685" operator="equal">
      <formula>$C451</formula>
    </cfRule>
    <cfRule type="cellIs" dxfId="25169" priority="2686" operator="greaterThan">
      <formula>$C451</formula>
    </cfRule>
    <cfRule type="cellIs" dxfId="25168" priority="2687" operator="lessThan">
      <formula>$C451</formula>
    </cfRule>
  </conditionalFormatting>
  <conditionalFormatting sqref="D452:E452">
    <cfRule type="expression" dxfId="25167" priority="2684">
      <formula>AND($A452&lt;&gt;"",MOD(ROW(),2))</formula>
    </cfRule>
  </conditionalFormatting>
  <conditionalFormatting sqref="D452">
    <cfRule type="cellIs" dxfId="25166" priority="2681" operator="equal">
      <formula>$C452</formula>
    </cfRule>
    <cfRule type="cellIs" dxfId="25165" priority="2682" operator="greaterThan">
      <formula>$C452</formula>
    </cfRule>
    <cfRule type="cellIs" dxfId="25164" priority="2683" operator="lessThan">
      <formula>$C452</formula>
    </cfRule>
  </conditionalFormatting>
  <conditionalFormatting sqref="D453:E453">
    <cfRule type="expression" dxfId="25163" priority="2680">
      <formula>AND($A453&lt;&gt;"",MOD(ROW(),2))</formula>
    </cfRule>
  </conditionalFormatting>
  <conditionalFormatting sqref="D453">
    <cfRule type="cellIs" dxfId="25162" priority="2677" operator="equal">
      <formula>$C453</formula>
    </cfRule>
    <cfRule type="cellIs" dxfId="25161" priority="2678" operator="greaterThan">
      <formula>$C453</formula>
    </cfRule>
    <cfRule type="cellIs" dxfId="25160" priority="2679" operator="lessThan">
      <formula>$C453</formula>
    </cfRule>
  </conditionalFormatting>
  <conditionalFormatting sqref="D454:E454">
    <cfRule type="expression" dxfId="25159" priority="2676">
      <formula>AND($A454&lt;&gt;"",MOD(ROW(),2))</formula>
    </cfRule>
  </conditionalFormatting>
  <conditionalFormatting sqref="D454">
    <cfRule type="cellIs" dxfId="25158" priority="2673" operator="equal">
      <formula>$C454</formula>
    </cfRule>
    <cfRule type="cellIs" dxfId="25157" priority="2674" operator="greaterThan">
      <formula>$C454</formula>
    </cfRule>
    <cfRule type="cellIs" dxfId="25156" priority="2675" operator="lessThan">
      <formula>$C454</formula>
    </cfRule>
  </conditionalFormatting>
  <conditionalFormatting sqref="D455:E455">
    <cfRule type="expression" dxfId="25155" priority="2672">
      <formula>AND($A455&lt;&gt;"",MOD(ROW(),2))</formula>
    </cfRule>
  </conditionalFormatting>
  <conditionalFormatting sqref="D455">
    <cfRule type="cellIs" dxfId="25154" priority="2669" operator="equal">
      <formula>$C455</formula>
    </cfRule>
    <cfRule type="cellIs" dxfId="25153" priority="2670" operator="greaterThan">
      <formula>$C455</formula>
    </cfRule>
    <cfRule type="cellIs" dxfId="25152" priority="2671" operator="lessThan">
      <formula>$C455</formula>
    </cfRule>
  </conditionalFormatting>
  <conditionalFormatting sqref="D456:E456">
    <cfRule type="expression" dxfId="25151" priority="2668">
      <formula>AND($A456&lt;&gt;"",MOD(ROW(),2))</formula>
    </cfRule>
  </conditionalFormatting>
  <conditionalFormatting sqref="D456">
    <cfRule type="cellIs" dxfId="25150" priority="2665" operator="equal">
      <formula>$C456</formula>
    </cfRule>
    <cfRule type="cellIs" dxfId="25149" priority="2666" operator="greaterThan">
      <formula>$C456</formula>
    </cfRule>
    <cfRule type="cellIs" dxfId="25148" priority="2667" operator="lessThan">
      <formula>$C456</formula>
    </cfRule>
  </conditionalFormatting>
  <conditionalFormatting sqref="D457:E457">
    <cfRule type="expression" dxfId="25147" priority="2664">
      <formula>AND($A457&lt;&gt;"",MOD(ROW(),2))</formula>
    </cfRule>
  </conditionalFormatting>
  <conditionalFormatting sqref="D457">
    <cfRule type="cellIs" dxfId="25146" priority="2661" operator="equal">
      <formula>$C457</formula>
    </cfRule>
    <cfRule type="cellIs" dxfId="25145" priority="2662" operator="greaterThan">
      <formula>$C457</formula>
    </cfRule>
    <cfRule type="cellIs" dxfId="25144" priority="2663" operator="lessThan">
      <formula>$C457</formula>
    </cfRule>
  </conditionalFormatting>
  <conditionalFormatting sqref="D458:E458">
    <cfRule type="expression" dxfId="25143" priority="2660">
      <formula>AND($A458&lt;&gt;"",MOD(ROW(),2))</formula>
    </cfRule>
  </conditionalFormatting>
  <conditionalFormatting sqref="D458">
    <cfRule type="cellIs" dxfId="25142" priority="2657" operator="equal">
      <formula>$C458</formula>
    </cfRule>
    <cfRule type="cellIs" dxfId="25141" priority="2658" operator="greaterThan">
      <formula>$C458</formula>
    </cfRule>
    <cfRule type="cellIs" dxfId="25140" priority="2659" operator="lessThan">
      <formula>$C458</formula>
    </cfRule>
  </conditionalFormatting>
  <conditionalFormatting sqref="D459:E459">
    <cfRule type="expression" dxfId="25139" priority="2656">
      <formula>AND($A459&lt;&gt;"",MOD(ROW(),2))</formula>
    </cfRule>
  </conditionalFormatting>
  <conditionalFormatting sqref="D459">
    <cfRule type="cellIs" dxfId="25138" priority="2653" operator="equal">
      <formula>$C459</formula>
    </cfRule>
    <cfRule type="cellIs" dxfId="25137" priority="2654" operator="greaterThan">
      <formula>$C459</formula>
    </cfRule>
    <cfRule type="cellIs" dxfId="25136" priority="2655" operator="lessThan">
      <formula>$C459</formula>
    </cfRule>
  </conditionalFormatting>
  <conditionalFormatting sqref="D460:E460">
    <cfRule type="expression" dxfId="25135" priority="2652">
      <formula>AND($A460&lt;&gt;"",MOD(ROW(),2))</formula>
    </cfRule>
  </conditionalFormatting>
  <conditionalFormatting sqref="D460">
    <cfRule type="cellIs" dxfId="25134" priority="2649" operator="equal">
      <formula>$C460</formula>
    </cfRule>
    <cfRule type="cellIs" dxfId="25133" priority="2650" operator="greaterThan">
      <formula>$C460</formula>
    </cfRule>
    <cfRule type="cellIs" dxfId="25132" priority="2651" operator="lessThan">
      <formula>$C460</formula>
    </cfRule>
  </conditionalFormatting>
  <conditionalFormatting sqref="C438">
    <cfRule type="expression" dxfId="25131" priority="2648">
      <formula>AND($A438&lt;&gt;"",MOD(ROW(),2))</formula>
    </cfRule>
  </conditionalFormatting>
  <conditionalFormatting sqref="C438">
    <cfRule type="cellIs" dxfId="25130" priority="2645" operator="equal">
      <formula>$C438</formula>
    </cfRule>
    <cfRule type="cellIs" dxfId="25129" priority="2646" operator="greaterThan">
      <formula>$C438</formula>
    </cfRule>
    <cfRule type="cellIs" dxfId="25128" priority="2647" operator="lessThan">
      <formula>$C438</formula>
    </cfRule>
  </conditionalFormatting>
  <conditionalFormatting sqref="C439">
    <cfRule type="expression" dxfId="25127" priority="2644">
      <formula>AND($A439&lt;&gt;"",MOD(ROW(),2))</formula>
    </cfRule>
  </conditionalFormatting>
  <conditionalFormatting sqref="C439">
    <cfRule type="cellIs" dxfId="25126" priority="2641" operator="equal">
      <formula>$C439</formula>
    </cfRule>
    <cfRule type="cellIs" dxfId="25125" priority="2642" operator="greaterThan">
      <formula>$C439</formula>
    </cfRule>
    <cfRule type="cellIs" dxfId="25124" priority="2643" operator="lessThan">
      <formula>$C439</formula>
    </cfRule>
  </conditionalFormatting>
  <conditionalFormatting sqref="C440">
    <cfRule type="expression" dxfId="25123" priority="2640">
      <formula>AND($A440&lt;&gt;"",MOD(ROW(),2))</formula>
    </cfRule>
  </conditionalFormatting>
  <conditionalFormatting sqref="C440">
    <cfRule type="cellIs" dxfId="25122" priority="2637" operator="equal">
      <formula>$C440</formula>
    </cfRule>
    <cfRule type="cellIs" dxfId="25121" priority="2638" operator="greaterThan">
      <formula>$C440</formula>
    </cfRule>
    <cfRule type="cellIs" dxfId="25120" priority="2639" operator="lessThan">
      <formula>$C440</formula>
    </cfRule>
  </conditionalFormatting>
  <conditionalFormatting sqref="C441">
    <cfRule type="expression" dxfId="25119" priority="2636">
      <formula>AND($A441&lt;&gt;"",MOD(ROW(),2))</formula>
    </cfRule>
  </conditionalFormatting>
  <conditionalFormatting sqref="C441">
    <cfRule type="cellIs" dxfId="25118" priority="2633" operator="equal">
      <formula>$C441</formula>
    </cfRule>
    <cfRule type="cellIs" dxfId="25117" priority="2634" operator="greaterThan">
      <formula>$C441</formula>
    </cfRule>
    <cfRule type="cellIs" dxfId="25116" priority="2635" operator="lessThan">
      <formula>$C441</formula>
    </cfRule>
  </conditionalFormatting>
  <conditionalFormatting sqref="C442">
    <cfRule type="expression" dxfId="25115" priority="2632">
      <formula>AND($A442&lt;&gt;"",MOD(ROW(),2))</formula>
    </cfRule>
  </conditionalFormatting>
  <conditionalFormatting sqref="C442">
    <cfRule type="cellIs" dxfId="25114" priority="2629" operator="equal">
      <formula>$C442</formula>
    </cfRule>
    <cfRule type="cellIs" dxfId="25113" priority="2630" operator="greaterThan">
      <formula>$C442</formula>
    </cfRule>
    <cfRule type="cellIs" dxfId="25112" priority="2631" operator="lessThan">
      <formula>$C442</formula>
    </cfRule>
  </conditionalFormatting>
  <conditionalFormatting sqref="C443">
    <cfRule type="expression" dxfId="25111" priority="2628">
      <formula>AND($A443&lt;&gt;"",MOD(ROW(),2))</formula>
    </cfRule>
  </conditionalFormatting>
  <conditionalFormatting sqref="C443">
    <cfRule type="cellIs" dxfId="25110" priority="2625" operator="equal">
      <formula>$C443</formula>
    </cfRule>
    <cfRule type="cellIs" dxfId="25109" priority="2626" operator="greaterThan">
      <formula>$C443</formula>
    </cfRule>
    <cfRule type="cellIs" dxfId="25108" priority="2627" operator="lessThan">
      <formula>$C443</formula>
    </cfRule>
  </conditionalFormatting>
  <conditionalFormatting sqref="C444">
    <cfRule type="expression" dxfId="25107" priority="2624">
      <formula>AND($A444&lt;&gt;"",MOD(ROW(),2))</formula>
    </cfRule>
  </conditionalFormatting>
  <conditionalFormatting sqref="C444">
    <cfRule type="cellIs" dxfId="25106" priority="2621" operator="equal">
      <formula>$C444</formula>
    </cfRule>
    <cfRule type="cellIs" dxfId="25105" priority="2622" operator="greaterThan">
      <formula>$C444</formula>
    </cfRule>
    <cfRule type="cellIs" dxfId="25104" priority="2623" operator="lessThan">
      <formula>$C444</formula>
    </cfRule>
  </conditionalFormatting>
  <conditionalFormatting sqref="C445">
    <cfRule type="expression" dxfId="25103" priority="2620">
      <formula>AND($A445&lt;&gt;"",MOD(ROW(),2))</formula>
    </cfRule>
  </conditionalFormatting>
  <conditionalFormatting sqref="C445">
    <cfRule type="cellIs" dxfId="25102" priority="2617" operator="equal">
      <formula>$C445</formula>
    </cfRule>
    <cfRule type="cellIs" dxfId="25101" priority="2618" operator="greaterThan">
      <formula>$C445</formula>
    </cfRule>
    <cfRule type="cellIs" dxfId="25100" priority="2619" operator="lessThan">
      <formula>$C445</formula>
    </cfRule>
  </conditionalFormatting>
  <conditionalFormatting sqref="C446">
    <cfRule type="expression" dxfId="25099" priority="2616">
      <formula>AND($A446&lt;&gt;"",MOD(ROW(),2))</formula>
    </cfRule>
  </conditionalFormatting>
  <conditionalFormatting sqref="C446">
    <cfRule type="cellIs" dxfId="25098" priority="2613" operator="equal">
      <formula>$C446</formula>
    </cfRule>
    <cfRule type="cellIs" dxfId="25097" priority="2614" operator="greaterThan">
      <formula>$C446</formula>
    </cfRule>
    <cfRule type="cellIs" dxfId="25096" priority="2615" operator="lessThan">
      <formula>$C446</formula>
    </cfRule>
  </conditionalFormatting>
  <conditionalFormatting sqref="C447">
    <cfRule type="expression" dxfId="25095" priority="2612">
      <formula>AND($A447&lt;&gt;"",MOD(ROW(),2))</formula>
    </cfRule>
  </conditionalFormatting>
  <conditionalFormatting sqref="C447">
    <cfRule type="cellIs" dxfId="25094" priority="2609" operator="equal">
      <formula>$C447</formula>
    </cfRule>
    <cfRule type="cellIs" dxfId="25093" priority="2610" operator="greaterThan">
      <formula>$C447</formula>
    </cfRule>
    <cfRule type="cellIs" dxfId="25092" priority="2611" operator="lessThan">
      <formula>$C447</formula>
    </cfRule>
  </conditionalFormatting>
  <conditionalFormatting sqref="C448">
    <cfRule type="expression" dxfId="25091" priority="2608">
      <formula>AND($A448&lt;&gt;"",MOD(ROW(),2))</formula>
    </cfRule>
  </conditionalFormatting>
  <conditionalFormatting sqref="C448">
    <cfRule type="cellIs" dxfId="25090" priority="2605" operator="equal">
      <formula>$C448</formula>
    </cfRule>
    <cfRule type="cellIs" dxfId="25089" priority="2606" operator="greaterThan">
      <formula>$C448</formula>
    </cfRule>
    <cfRule type="cellIs" dxfId="25088" priority="2607" operator="lessThan">
      <formula>$C448</formula>
    </cfRule>
  </conditionalFormatting>
  <conditionalFormatting sqref="C449">
    <cfRule type="expression" dxfId="25087" priority="2604">
      <formula>AND($A449&lt;&gt;"",MOD(ROW(),2))</formula>
    </cfRule>
  </conditionalFormatting>
  <conditionalFormatting sqref="C449">
    <cfRule type="cellIs" dxfId="25086" priority="2601" operator="equal">
      <formula>$C449</formula>
    </cfRule>
    <cfRule type="cellIs" dxfId="25085" priority="2602" operator="greaterThan">
      <formula>$C449</formula>
    </cfRule>
    <cfRule type="cellIs" dxfId="25084" priority="2603" operator="lessThan">
      <formula>$C449</formula>
    </cfRule>
  </conditionalFormatting>
  <conditionalFormatting sqref="D438:E438">
    <cfRule type="expression" dxfId="25083" priority="2600">
      <formula>AND($A438&lt;&gt;"",MOD(ROW(),2))</formula>
    </cfRule>
  </conditionalFormatting>
  <conditionalFormatting sqref="D438">
    <cfRule type="cellIs" dxfId="25082" priority="2597" operator="equal">
      <formula>$C438</formula>
    </cfRule>
    <cfRule type="cellIs" dxfId="25081" priority="2598" operator="greaterThan">
      <formula>$C438</formula>
    </cfRule>
    <cfRule type="cellIs" dxfId="25080" priority="2599" operator="lessThan">
      <formula>$C438</formula>
    </cfRule>
  </conditionalFormatting>
  <conditionalFormatting sqref="D439:E439">
    <cfRule type="expression" dxfId="25079" priority="2596">
      <formula>AND($A439&lt;&gt;"",MOD(ROW(),2))</formula>
    </cfRule>
  </conditionalFormatting>
  <conditionalFormatting sqref="D439">
    <cfRule type="cellIs" dxfId="25078" priority="2593" operator="equal">
      <formula>$C439</formula>
    </cfRule>
    <cfRule type="cellIs" dxfId="25077" priority="2594" operator="greaterThan">
      <formula>$C439</formula>
    </cfRule>
    <cfRule type="cellIs" dxfId="25076" priority="2595" operator="lessThan">
      <formula>$C439</formula>
    </cfRule>
  </conditionalFormatting>
  <conditionalFormatting sqref="D440:E440">
    <cfRule type="expression" dxfId="25075" priority="2592">
      <formula>AND($A440&lt;&gt;"",MOD(ROW(),2))</formula>
    </cfRule>
  </conditionalFormatting>
  <conditionalFormatting sqref="D440">
    <cfRule type="cellIs" dxfId="25074" priority="2589" operator="equal">
      <formula>$C440</formula>
    </cfRule>
    <cfRule type="cellIs" dxfId="25073" priority="2590" operator="greaterThan">
      <formula>$C440</formula>
    </cfRule>
    <cfRule type="cellIs" dxfId="25072" priority="2591" operator="lessThan">
      <formula>$C440</formula>
    </cfRule>
  </conditionalFormatting>
  <conditionalFormatting sqref="D441:E441">
    <cfRule type="expression" dxfId="25071" priority="2588">
      <formula>AND($A441&lt;&gt;"",MOD(ROW(),2))</formula>
    </cfRule>
  </conditionalFormatting>
  <conditionalFormatting sqref="D441">
    <cfRule type="cellIs" dxfId="25070" priority="2585" operator="equal">
      <formula>$C441</formula>
    </cfRule>
    <cfRule type="cellIs" dxfId="25069" priority="2586" operator="greaterThan">
      <formula>$C441</formula>
    </cfRule>
    <cfRule type="cellIs" dxfId="25068" priority="2587" operator="lessThan">
      <formula>$C441</formula>
    </cfRule>
  </conditionalFormatting>
  <conditionalFormatting sqref="D442:E442">
    <cfRule type="expression" dxfId="25067" priority="2584">
      <formula>AND($A442&lt;&gt;"",MOD(ROW(),2))</formula>
    </cfRule>
  </conditionalFormatting>
  <conditionalFormatting sqref="D442">
    <cfRule type="cellIs" dxfId="25066" priority="2581" operator="equal">
      <formula>$C442</formula>
    </cfRule>
    <cfRule type="cellIs" dxfId="25065" priority="2582" operator="greaterThan">
      <formula>$C442</formula>
    </cfRule>
    <cfRule type="cellIs" dxfId="25064" priority="2583" operator="lessThan">
      <formula>$C442</formula>
    </cfRule>
  </conditionalFormatting>
  <conditionalFormatting sqref="D443:E443">
    <cfRule type="expression" dxfId="25063" priority="2580">
      <formula>AND($A443&lt;&gt;"",MOD(ROW(),2))</formula>
    </cfRule>
  </conditionalFormatting>
  <conditionalFormatting sqref="D443">
    <cfRule type="cellIs" dxfId="25062" priority="2577" operator="equal">
      <formula>$C443</formula>
    </cfRule>
    <cfRule type="cellIs" dxfId="25061" priority="2578" operator="greaterThan">
      <formula>$C443</formula>
    </cfRule>
    <cfRule type="cellIs" dxfId="25060" priority="2579" operator="lessThan">
      <formula>$C443</formula>
    </cfRule>
  </conditionalFormatting>
  <conditionalFormatting sqref="D444:E444">
    <cfRule type="expression" dxfId="25059" priority="2576">
      <formula>AND($A444&lt;&gt;"",MOD(ROW(),2))</formula>
    </cfRule>
  </conditionalFormatting>
  <conditionalFormatting sqref="D444">
    <cfRule type="cellIs" dxfId="25058" priority="2573" operator="equal">
      <formula>$C444</formula>
    </cfRule>
    <cfRule type="cellIs" dxfId="25057" priority="2574" operator="greaterThan">
      <formula>$C444</formula>
    </cfRule>
    <cfRule type="cellIs" dxfId="25056" priority="2575" operator="lessThan">
      <formula>$C444</formula>
    </cfRule>
  </conditionalFormatting>
  <conditionalFormatting sqref="D445:E445">
    <cfRule type="expression" dxfId="25055" priority="2572">
      <formula>AND($A445&lt;&gt;"",MOD(ROW(),2))</formula>
    </cfRule>
  </conditionalFormatting>
  <conditionalFormatting sqref="D445">
    <cfRule type="cellIs" dxfId="25054" priority="2569" operator="equal">
      <formula>$C445</formula>
    </cfRule>
    <cfRule type="cellIs" dxfId="25053" priority="2570" operator="greaterThan">
      <formula>$C445</formula>
    </cfRule>
    <cfRule type="cellIs" dxfId="25052" priority="2571" operator="lessThan">
      <formula>$C445</formula>
    </cfRule>
  </conditionalFormatting>
  <conditionalFormatting sqref="D446:E446">
    <cfRule type="expression" dxfId="25051" priority="2568">
      <formula>AND($A446&lt;&gt;"",MOD(ROW(),2))</formula>
    </cfRule>
  </conditionalFormatting>
  <conditionalFormatting sqref="D446">
    <cfRule type="cellIs" dxfId="25050" priority="2565" operator="equal">
      <formula>$C446</formula>
    </cfRule>
    <cfRule type="cellIs" dxfId="25049" priority="2566" operator="greaterThan">
      <formula>$C446</formula>
    </cfRule>
    <cfRule type="cellIs" dxfId="25048" priority="2567" operator="lessThan">
      <formula>$C446</formula>
    </cfRule>
  </conditionalFormatting>
  <conditionalFormatting sqref="D447:E447">
    <cfRule type="expression" dxfId="25047" priority="2564">
      <formula>AND($A447&lt;&gt;"",MOD(ROW(),2))</formula>
    </cfRule>
  </conditionalFormatting>
  <conditionalFormatting sqref="D447">
    <cfRule type="cellIs" dxfId="25046" priority="2561" operator="equal">
      <formula>$C447</formula>
    </cfRule>
    <cfRule type="cellIs" dxfId="25045" priority="2562" operator="greaterThan">
      <formula>$C447</formula>
    </cfRule>
    <cfRule type="cellIs" dxfId="25044" priority="2563" operator="lessThan">
      <formula>$C447</formula>
    </cfRule>
  </conditionalFormatting>
  <conditionalFormatting sqref="D448:E448">
    <cfRule type="expression" dxfId="25043" priority="2560">
      <formula>AND($A448&lt;&gt;"",MOD(ROW(),2))</formula>
    </cfRule>
  </conditionalFormatting>
  <conditionalFormatting sqref="D448">
    <cfRule type="cellIs" dxfId="25042" priority="2557" operator="equal">
      <formula>$C448</formula>
    </cfRule>
    <cfRule type="cellIs" dxfId="25041" priority="2558" operator="greaterThan">
      <formula>$C448</formula>
    </cfRule>
    <cfRule type="cellIs" dxfId="25040" priority="2559" operator="lessThan">
      <formula>$C448</formula>
    </cfRule>
  </conditionalFormatting>
  <conditionalFormatting sqref="D449:E449">
    <cfRule type="expression" dxfId="25039" priority="2556">
      <formula>AND($A449&lt;&gt;"",MOD(ROW(),2))</formula>
    </cfRule>
  </conditionalFormatting>
  <conditionalFormatting sqref="D449">
    <cfRule type="cellIs" dxfId="25038" priority="2553" operator="equal">
      <formula>$C449</formula>
    </cfRule>
    <cfRule type="cellIs" dxfId="25037" priority="2554" operator="greaterThan">
      <formula>$C449</formula>
    </cfRule>
    <cfRule type="cellIs" dxfId="25036" priority="2555" operator="lessThan">
      <formula>$C449</formula>
    </cfRule>
  </conditionalFormatting>
  <conditionalFormatting sqref="D450:E450">
    <cfRule type="expression" dxfId="25035" priority="2552">
      <formula>AND($A450&lt;&gt;"",MOD(ROW(),2))</formula>
    </cfRule>
  </conditionalFormatting>
  <conditionalFormatting sqref="D450">
    <cfRule type="cellIs" dxfId="25034" priority="2549" operator="equal">
      <formula>$C450</formula>
    </cfRule>
    <cfRule type="cellIs" dxfId="25033" priority="2550" operator="greaterThan">
      <formula>$C450</formula>
    </cfRule>
    <cfRule type="cellIs" dxfId="25032" priority="2551" operator="lessThan">
      <formula>$C450</formula>
    </cfRule>
  </conditionalFormatting>
  <conditionalFormatting sqref="D451:E451">
    <cfRule type="expression" dxfId="25031" priority="2548">
      <formula>AND($A451&lt;&gt;"",MOD(ROW(),2))</formula>
    </cfRule>
  </conditionalFormatting>
  <conditionalFormatting sqref="D451">
    <cfRule type="cellIs" dxfId="25030" priority="2545" operator="equal">
      <formula>$C451</formula>
    </cfRule>
    <cfRule type="cellIs" dxfId="25029" priority="2546" operator="greaterThan">
      <formula>$C451</formula>
    </cfRule>
    <cfRule type="cellIs" dxfId="25028" priority="2547" operator="lessThan">
      <formula>$C451</formula>
    </cfRule>
  </conditionalFormatting>
  <conditionalFormatting sqref="D452:E452">
    <cfRule type="expression" dxfId="25027" priority="2544">
      <formula>AND($A452&lt;&gt;"",MOD(ROW(),2))</formula>
    </cfRule>
  </conditionalFormatting>
  <conditionalFormatting sqref="D452">
    <cfRule type="cellIs" dxfId="25026" priority="2541" operator="equal">
      <formula>$C452</formula>
    </cfRule>
    <cfRule type="cellIs" dxfId="25025" priority="2542" operator="greaterThan">
      <formula>$C452</formula>
    </cfRule>
    <cfRule type="cellIs" dxfId="25024" priority="2543" operator="lessThan">
      <formula>$C452</formula>
    </cfRule>
  </conditionalFormatting>
  <conditionalFormatting sqref="D453:E453">
    <cfRule type="expression" dxfId="25023" priority="2540">
      <formula>AND($A453&lt;&gt;"",MOD(ROW(),2))</formula>
    </cfRule>
  </conditionalFormatting>
  <conditionalFormatting sqref="D453">
    <cfRule type="cellIs" dxfId="25022" priority="2537" operator="equal">
      <formula>$C453</formula>
    </cfRule>
    <cfRule type="cellIs" dxfId="25021" priority="2538" operator="greaterThan">
      <formula>$C453</formula>
    </cfRule>
    <cfRule type="cellIs" dxfId="25020" priority="2539" operator="lessThan">
      <formula>$C453</formula>
    </cfRule>
  </conditionalFormatting>
  <conditionalFormatting sqref="D454:E454">
    <cfRule type="expression" dxfId="25019" priority="2536">
      <formula>AND($A454&lt;&gt;"",MOD(ROW(),2))</formula>
    </cfRule>
  </conditionalFormatting>
  <conditionalFormatting sqref="D454">
    <cfRule type="cellIs" dxfId="25018" priority="2533" operator="equal">
      <formula>$C454</formula>
    </cfRule>
    <cfRule type="cellIs" dxfId="25017" priority="2534" operator="greaterThan">
      <formula>$C454</formula>
    </cfRule>
    <cfRule type="cellIs" dxfId="25016" priority="2535" operator="lessThan">
      <formula>$C454</formula>
    </cfRule>
  </conditionalFormatting>
  <conditionalFormatting sqref="D455:E455">
    <cfRule type="expression" dxfId="25015" priority="2532">
      <formula>AND($A455&lt;&gt;"",MOD(ROW(),2))</formula>
    </cfRule>
  </conditionalFormatting>
  <conditionalFormatting sqref="D455">
    <cfRule type="cellIs" dxfId="25014" priority="2529" operator="equal">
      <formula>$C455</formula>
    </cfRule>
    <cfRule type="cellIs" dxfId="25013" priority="2530" operator="greaterThan">
      <formula>$C455</formula>
    </cfRule>
    <cfRule type="cellIs" dxfId="25012" priority="2531" operator="lessThan">
      <formula>$C455</formula>
    </cfRule>
  </conditionalFormatting>
  <conditionalFormatting sqref="D456:E456">
    <cfRule type="expression" dxfId="25011" priority="2528">
      <formula>AND($A456&lt;&gt;"",MOD(ROW(),2))</formula>
    </cfRule>
  </conditionalFormatting>
  <conditionalFormatting sqref="D456">
    <cfRule type="cellIs" dxfId="25010" priority="2525" operator="equal">
      <formula>$C456</formula>
    </cfRule>
    <cfRule type="cellIs" dxfId="25009" priority="2526" operator="greaterThan">
      <formula>$C456</formula>
    </cfRule>
    <cfRule type="cellIs" dxfId="25008" priority="2527" operator="lessThan">
      <formula>$C456</formula>
    </cfRule>
  </conditionalFormatting>
  <conditionalFormatting sqref="D457:E457">
    <cfRule type="expression" dxfId="25007" priority="2524">
      <formula>AND($A457&lt;&gt;"",MOD(ROW(),2))</formula>
    </cfRule>
  </conditionalFormatting>
  <conditionalFormatting sqref="D457">
    <cfRule type="cellIs" dxfId="25006" priority="2521" operator="equal">
      <formula>$C457</formula>
    </cfRule>
    <cfRule type="cellIs" dxfId="25005" priority="2522" operator="greaterThan">
      <formula>$C457</formula>
    </cfRule>
    <cfRule type="cellIs" dxfId="25004" priority="2523" operator="lessThan">
      <formula>$C457</formula>
    </cfRule>
  </conditionalFormatting>
  <conditionalFormatting sqref="D458:E458">
    <cfRule type="expression" dxfId="25003" priority="2520">
      <formula>AND($A458&lt;&gt;"",MOD(ROW(),2))</formula>
    </cfRule>
  </conditionalFormatting>
  <conditionalFormatting sqref="D458">
    <cfRule type="cellIs" dxfId="25002" priority="2517" operator="equal">
      <formula>$C458</formula>
    </cfRule>
    <cfRule type="cellIs" dxfId="25001" priority="2518" operator="greaterThan">
      <formula>$C458</formula>
    </cfRule>
    <cfRule type="cellIs" dxfId="25000" priority="2519" operator="lessThan">
      <formula>$C458</formula>
    </cfRule>
  </conditionalFormatting>
  <conditionalFormatting sqref="D459:E459">
    <cfRule type="expression" dxfId="24999" priority="2516">
      <formula>AND($A459&lt;&gt;"",MOD(ROW(),2))</formula>
    </cfRule>
  </conditionalFormatting>
  <conditionalFormatting sqref="D459">
    <cfRule type="cellIs" dxfId="24998" priority="2513" operator="equal">
      <formula>$C459</formula>
    </cfRule>
    <cfRule type="cellIs" dxfId="24997" priority="2514" operator="greaterThan">
      <formula>$C459</formula>
    </cfRule>
    <cfRule type="cellIs" dxfId="24996" priority="2515" operator="lessThan">
      <formula>$C459</formula>
    </cfRule>
  </conditionalFormatting>
  <conditionalFormatting sqref="D460:E460">
    <cfRule type="expression" dxfId="24995" priority="2512">
      <formula>AND($A460&lt;&gt;"",MOD(ROW(),2))</formula>
    </cfRule>
  </conditionalFormatting>
  <conditionalFormatting sqref="D460">
    <cfRule type="cellIs" dxfId="24994" priority="2509" operator="equal">
      <formula>$C460</formula>
    </cfRule>
    <cfRule type="cellIs" dxfId="24993" priority="2510" operator="greaterThan">
      <formula>$C460</formula>
    </cfRule>
    <cfRule type="cellIs" dxfId="24992" priority="2511" operator="lessThan">
      <formula>$C460</formula>
    </cfRule>
  </conditionalFormatting>
  <conditionalFormatting sqref="D461:E461">
    <cfRule type="expression" dxfId="24991" priority="2508">
      <formula>AND($A461&lt;&gt;"",MOD(ROW(),2))</formula>
    </cfRule>
  </conditionalFormatting>
  <conditionalFormatting sqref="D461">
    <cfRule type="cellIs" dxfId="24990" priority="2505" operator="equal">
      <formula>$C461</formula>
    </cfRule>
    <cfRule type="cellIs" dxfId="24989" priority="2506" operator="greaterThan">
      <formula>$C461</formula>
    </cfRule>
    <cfRule type="cellIs" dxfId="24988" priority="2507" operator="lessThan">
      <formula>$C461</formula>
    </cfRule>
  </conditionalFormatting>
  <conditionalFormatting sqref="E462">
    <cfRule type="expression" dxfId="24987" priority="2504">
      <formula>AND($A462&lt;&gt;"",MOD(ROW(),2))</formula>
    </cfRule>
  </conditionalFormatting>
  <conditionalFormatting sqref="E463">
    <cfRule type="expression" dxfId="24986" priority="2503">
      <formula>AND($A463&lt;&gt;"",MOD(ROW(),2))</formula>
    </cfRule>
  </conditionalFormatting>
  <conditionalFormatting sqref="E464">
    <cfRule type="expression" dxfId="24985" priority="2502">
      <formula>AND($A464&lt;&gt;"",MOD(ROW(),2))</formula>
    </cfRule>
  </conditionalFormatting>
  <conditionalFormatting sqref="C437">
    <cfRule type="expression" dxfId="24984" priority="2501">
      <formula>AND($A437&lt;&gt;"",MOD(ROW(),2))</formula>
    </cfRule>
  </conditionalFormatting>
  <conditionalFormatting sqref="C437">
    <cfRule type="cellIs" dxfId="24983" priority="2498" operator="equal">
      <formula>$C437</formula>
    </cfRule>
    <cfRule type="cellIs" dxfId="24982" priority="2499" operator="greaterThan">
      <formula>$C437</formula>
    </cfRule>
    <cfRule type="cellIs" dxfId="24981" priority="2500" operator="lessThan">
      <formula>$C437</formula>
    </cfRule>
  </conditionalFormatting>
  <conditionalFormatting sqref="C438">
    <cfRule type="expression" dxfId="24980" priority="2497">
      <formula>AND($A438&lt;&gt;"",MOD(ROW(),2))</formula>
    </cfRule>
  </conditionalFormatting>
  <conditionalFormatting sqref="C438">
    <cfRule type="cellIs" dxfId="24979" priority="2494" operator="equal">
      <formula>$C438</formula>
    </cfRule>
    <cfRule type="cellIs" dxfId="24978" priority="2495" operator="greaterThan">
      <formula>$C438</formula>
    </cfRule>
    <cfRule type="cellIs" dxfId="24977" priority="2496" operator="lessThan">
      <formula>$C438</formula>
    </cfRule>
  </conditionalFormatting>
  <conditionalFormatting sqref="C439">
    <cfRule type="expression" dxfId="24976" priority="2493">
      <formula>AND($A439&lt;&gt;"",MOD(ROW(),2))</formula>
    </cfRule>
  </conditionalFormatting>
  <conditionalFormatting sqref="C439">
    <cfRule type="cellIs" dxfId="24975" priority="2490" operator="equal">
      <formula>$C439</formula>
    </cfRule>
    <cfRule type="cellIs" dxfId="24974" priority="2491" operator="greaterThan">
      <formula>$C439</formula>
    </cfRule>
    <cfRule type="cellIs" dxfId="24973" priority="2492" operator="lessThan">
      <formula>$C439</formula>
    </cfRule>
  </conditionalFormatting>
  <conditionalFormatting sqref="C440">
    <cfRule type="expression" dxfId="24972" priority="2489">
      <formula>AND($A440&lt;&gt;"",MOD(ROW(),2))</formula>
    </cfRule>
  </conditionalFormatting>
  <conditionalFormatting sqref="C440">
    <cfRule type="cellIs" dxfId="24971" priority="2486" operator="equal">
      <formula>$C440</formula>
    </cfRule>
    <cfRule type="cellIs" dxfId="24970" priority="2487" operator="greaterThan">
      <formula>$C440</formula>
    </cfRule>
    <cfRule type="cellIs" dxfId="24969" priority="2488" operator="lessThan">
      <formula>$C440</formula>
    </cfRule>
  </conditionalFormatting>
  <conditionalFormatting sqref="C441">
    <cfRule type="expression" dxfId="24968" priority="2485">
      <formula>AND($A441&lt;&gt;"",MOD(ROW(),2))</formula>
    </cfRule>
  </conditionalFormatting>
  <conditionalFormatting sqref="C441">
    <cfRule type="cellIs" dxfId="24967" priority="2482" operator="equal">
      <formula>$C441</formula>
    </cfRule>
    <cfRule type="cellIs" dxfId="24966" priority="2483" operator="greaterThan">
      <formula>$C441</formula>
    </cfRule>
    <cfRule type="cellIs" dxfId="24965" priority="2484" operator="lessThan">
      <formula>$C441</formula>
    </cfRule>
  </conditionalFormatting>
  <conditionalFormatting sqref="C442">
    <cfRule type="expression" dxfId="24964" priority="2481">
      <formula>AND($A442&lt;&gt;"",MOD(ROW(),2))</formula>
    </cfRule>
  </conditionalFormatting>
  <conditionalFormatting sqref="C442">
    <cfRule type="cellIs" dxfId="24963" priority="2478" operator="equal">
      <formula>$C442</formula>
    </cfRule>
    <cfRule type="cellIs" dxfId="24962" priority="2479" operator="greaterThan">
      <formula>$C442</formula>
    </cfRule>
    <cfRule type="cellIs" dxfId="24961" priority="2480" operator="lessThan">
      <formula>$C442</formula>
    </cfRule>
  </conditionalFormatting>
  <conditionalFormatting sqref="C443">
    <cfRule type="expression" dxfId="24960" priority="2477">
      <formula>AND($A443&lt;&gt;"",MOD(ROW(),2))</formula>
    </cfRule>
  </conditionalFormatting>
  <conditionalFormatting sqref="C443">
    <cfRule type="cellIs" dxfId="24959" priority="2474" operator="equal">
      <formula>$C443</formula>
    </cfRule>
    <cfRule type="cellIs" dxfId="24958" priority="2475" operator="greaterThan">
      <formula>$C443</formula>
    </cfRule>
    <cfRule type="cellIs" dxfId="24957" priority="2476" operator="lessThan">
      <formula>$C443</formula>
    </cfRule>
  </conditionalFormatting>
  <conditionalFormatting sqref="C444">
    <cfRule type="expression" dxfId="24956" priority="2473">
      <formula>AND($A444&lt;&gt;"",MOD(ROW(),2))</formula>
    </cfRule>
  </conditionalFormatting>
  <conditionalFormatting sqref="C444">
    <cfRule type="cellIs" dxfId="24955" priority="2470" operator="equal">
      <formula>$C444</formula>
    </cfRule>
    <cfRule type="cellIs" dxfId="24954" priority="2471" operator="greaterThan">
      <formula>$C444</formula>
    </cfRule>
    <cfRule type="cellIs" dxfId="24953" priority="2472" operator="lessThan">
      <formula>$C444</formula>
    </cfRule>
  </conditionalFormatting>
  <conditionalFormatting sqref="C445">
    <cfRule type="expression" dxfId="24952" priority="2469">
      <formula>AND($A445&lt;&gt;"",MOD(ROW(),2))</formula>
    </cfRule>
  </conditionalFormatting>
  <conditionalFormatting sqref="C445">
    <cfRule type="cellIs" dxfId="24951" priority="2466" operator="equal">
      <formula>$C445</formula>
    </cfRule>
    <cfRule type="cellIs" dxfId="24950" priority="2467" operator="greaterThan">
      <formula>$C445</formula>
    </cfRule>
    <cfRule type="cellIs" dxfId="24949" priority="2468" operator="lessThan">
      <formula>$C445</formula>
    </cfRule>
  </conditionalFormatting>
  <conditionalFormatting sqref="C446">
    <cfRule type="expression" dxfId="24948" priority="2465">
      <formula>AND($A446&lt;&gt;"",MOD(ROW(),2))</formula>
    </cfRule>
  </conditionalFormatting>
  <conditionalFormatting sqref="C446">
    <cfRule type="cellIs" dxfId="24947" priority="2462" operator="equal">
      <formula>$C446</formula>
    </cfRule>
    <cfRule type="cellIs" dxfId="24946" priority="2463" operator="greaterThan">
      <formula>$C446</formula>
    </cfRule>
    <cfRule type="cellIs" dxfId="24945" priority="2464" operator="lessThan">
      <formula>$C446</formula>
    </cfRule>
  </conditionalFormatting>
  <conditionalFormatting sqref="C447">
    <cfRule type="expression" dxfId="24944" priority="2461">
      <formula>AND($A447&lt;&gt;"",MOD(ROW(),2))</formula>
    </cfRule>
  </conditionalFormatting>
  <conditionalFormatting sqref="C447">
    <cfRule type="cellIs" dxfId="24943" priority="2458" operator="equal">
      <formula>$C447</formula>
    </cfRule>
    <cfRule type="cellIs" dxfId="24942" priority="2459" operator="greaterThan">
      <formula>$C447</formula>
    </cfRule>
    <cfRule type="cellIs" dxfId="24941" priority="2460" operator="lessThan">
      <formula>$C447</formula>
    </cfRule>
  </conditionalFormatting>
  <conditionalFormatting sqref="C448">
    <cfRule type="expression" dxfId="24940" priority="2457">
      <formula>AND($A448&lt;&gt;"",MOD(ROW(),2))</formula>
    </cfRule>
  </conditionalFormatting>
  <conditionalFormatting sqref="C448">
    <cfRule type="cellIs" dxfId="24939" priority="2454" operator="equal">
      <formula>$C448</formula>
    </cfRule>
    <cfRule type="cellIs" dxfId="24938" priority="2455" operator="greaterThan">
      <formula>$C448</formula>
    </cfRule>
    <cfRule type="cellIs" dxfId="24937" priority="2456" operator="lessThan">
      <formula>$C448</formula>
    </cfRule>
  </conditionalFormatting>
  <conditionalFormatting sqref="D437:E437">
    <cfRule type="expression" dxfId="24936" priority="2453">
      <formula>AND($A437&lt;&gt;"",MOD(ROW(),2))</formula>
    </cfRule>
  </conditionalFormatting>
  <conditionalFormatting sqref="D437">
    <cfRule type="cellIs" dxfId="24935" priority="2450" operator="equal">
      <formula>$C437</formula>
    </cfRule>
    <cfRule type="cellIs" dxfId="24934" priority="2451" operator="greaterThan">
      <formula>$C437</formula>
    </cfRule>
    <cfRule type="cellIs" dxfId="24933" priority="2452" operator="lessThan">
      <formula>$C437</formula>
    </cfRule>
  </conditionalFormatting>
  <conditionalFormatting sqref="D438:E438">
    <cfRule type="expression" dxfId="24932" priority="2449">
      <formula>AND($A438&lt;&gt;"",MOD(ROW(),2))</formula>
    </cfRule>
  </conditionalFormatting>
  <conditionalFormatting sqref="D438">
    <cfRule type="cellIs" dxfId="24931" priority="2446" operator="equal">
      <formula>$C438</formula>
    </cfRule>
    <cfRule type="cellIs" dxfId="24930" priority="2447" operator="greaterThan">
      <formula>$C438</formula>
    </cfRule>
    <cfRule type="cellIs" dxfId="24929" priority="2448" operator="lessThan">
      <formula>$C438</formula>
    </cfRule>
  </conditionalFormatting>
  <conditionalFormatting sqref="D439:E439">
    <cfRule type="expression" dxfId="24928" priority="2445">
      <formula>AND($A439&lt;&gt;"",MOD(ROW(),2))</formula>
    </cfRule>
  </conditionalFormatting>
  <conditionalFormatting sqref="D439">
    <cfRule type="cellIs" dxfId="24927" priority="2442" operator="equal">
      <formula>$C439</formula>
    </cfRule>
    <cfRule type="cellIs" dxfId="24926" priority="2443" operator="greaterThan">
      <formula>$C439</formula>
    </cfRule>
    <cfRule type="cellIs" dxfId="24925" priority="2444" operator="lessThan">
      <formula>$C439</formula>
    </cfRule>
  </conditionalFormatting>
  <conditionalFormatting sqref="D440:E440">
    <cfRule type="expression" dxfId="24924" priority="2441">
      <formula>AND($A440&lt;&gt;"",MOD(ROW(),2))</formula>
    </cfRule>
  </conditionalFormatting>
  <conditionalFormatting sqref="D440">
    <cfRule type="cellIs" dxfId="24923" priority="2438" operator="equal">
      <formula>$C440</formula>
    </cfRule>
    <cfRule type="cellIs" dxfId="24922" priority="2439" operator="greaterThan">
      <formula>$C440</formula>
    </cfRule>
    <cfRule type="cellIs" dxfId="24921" priority="2440" operator="lessThan">
      <formula>$C440</formula>
    </cfRule>
  </conditionalFormatting>
  <conditionalFormatting sqref="D441:E441">
    <cfRule type="expression" dxfId="24920" priority="2437">
      <formula>AND($A441&lt;&gt;"",MOD(ROW(),2))</formula>
    </cfRule>
  </conditionalFormatting>
  <conditionalFormatting sqref="D441">
    <cfRule type="cellIs" dxfId="24919" priority="2434" operator="equal">
      <formula>$C441</formula>
    </cfRule>
    <cfRule type="cellIs" dxfId="24918" priority="2435" operator="greaterThan">
      <formula>$C441</formula>
    </cfRule>
    <cfRule type="cellIs" dxfId="24917" priority="2436" operator="lessThan">
      <formula>$C441</formula>
    </cfRule>
  </conditionalFormatting>
  <conditionalFormatting sqref="D442:E442">
    <cfRule type="expression" dxfId="24916" priority="2433">
      <formula>AND($A442&lt;&gt;"",MOD(ROW(),2))</formula>
    </cfRule>
  </conditionalFormatting>
  <conditionalFormatting sqref="D442">
    <cfRule type="cellIs" dxfId="24915" priority="2430" operator="equal">
      <formula>$C442</formula>
    </cfRule>
    <cfRule type="cellIs" dxfId="24914" priority="2431" operator="greaterThan">
      <formula>$C442</formula>
    </cfRule>
    <cfRule type="cellIs" dxfId="24913" priority="2432" operator="lessThan">
      <formula>$C442</formula>
    </cfRule>
  </conditionalFormatting>
  <conditionalFormatting sqref="D443:E443">
    <cfRule type="expression" dxfId="24912" priority="2429">
      <formula>AND($A443&lt;&gt;"",MOD(ROW(),2))</formula>
    </cfRule>
  </conditionalFormatting>
  <conditionalFormatting sqref="D443">
    <cfRule type="cellIs" dxfId="24911" priority="2426" operator="equal">
      <formula>$C443</formula>
    </cfRule>
    <cfRule type="cellIs" dxfId="24910" priority="2427" operator="greaterThan">
      <formula>$C443</formula>
    </cfRule>
    <cfRule type="cellIs" dxfId="24909" priority="2428" operator="lessThan">
      <formula>$C443</formula>
    </cfRule>
  </conditionalFormatting>
  <conditionalFormatting sqref="D444:E444">
    <cfRule type="expression" dxfId="24908" priority="2425">
      <formula>AND($A444&lt;&gt;"",MOD(ROW(),2))</formula>
    </cfRule>
  </conditionalFormatting>
  <conditionalFormatting sqref="D444">
    <cfRule type="cellIs" dxfId="24907" priority="2422" operator="equal">
      <formula>$C444</formula>
    </cfRule>
    <cfRule type="cellIs" dxfId="24906" priority="2423" operator="greaterThan">
      <formula>$C444</formula>
    </cfRule>
    <cfRule type="cellIs" dxfId="24905" priority="2424" operator="lessThan">
      <formula>$C444</formula>
    </cfRule>
  </conditionalFormatting>
  <conditionalFormatting sqref="D445:E445">
    <cfRule type="expression" dxfId="24904" priority="2421">
      <formula>AND($A445&lt;&gt;"",MOD(ROW(),2))</formula>
    </cfRule>
  </conditionalFormatting>
  <conditionalFormatting sqref="D445">
    <cfRule type="cellIs" dxfId="24903" priority="2418" operator="equal">
      <formula>$C445</formula>
    </cfRule>
    <cfRule type="cellIs" dxfId="24902" priority="2419" operator="greaterThan">
      <formula>$C445</formula>
    </cfRule>
    <cfRule type="cellIs" dxfId="24901" priority="2420" operator="lessThan">
      <formula>$C445</formula>
    </cfRule>
  </conditionalFormatting>
  <conditionalFormatting sqref="D446:E446">
    <cfRule type="expression" dxfId="24900" priority="2417">
      <formula>AND($A446&lt;&gt;"",MOD(ROW(),2))</formula>
    </cfRule>
  </conditionalFormatting>
  <conditionalFormatting sqref="D446">
    <cfRule type="cellIs" dxfId="24899" priority="2414" operator="equal">
      <formula>$C446</formula>
    </cfRule>
    <cfRule type="cellIs" dxfId="24898" priority="2415" operator="greaterThan">
      <formula>$C446</formula>
    </cfRule>
    <cfRule type="cellIs" dxfId="24897" priority="2416" operator="lessThan">
      <formula>$C446</formula>
    </cfRule>
  </conditionalFormatting>
  <conditionalFormatting sqref="D447:E447">
    <cfRule type="expression" dxfId="24896" priority="2413">
      <formula>AND($A447&lt;&gt;"",MOD(ROW(),2))</formula>
    </cfRule>
  </conditionalFormatting>
  <conditionalFormatting sqref="D447">
    <cfRule type="cellIs" dxfId="24895" priority="2410" operator="equal">
      <formula>$C447</formula>
    </cfRule>
    <cfRule type="cellIs" dxfId="24894" priority="2411" operator="greaterThan">
      <formula>$C447</formula>
    </cfRule>
    <cfRule type="cellIs" dxfId="24893" priority="2412" operator="lessThan">
      <formula>$C447</formula>
    </cfRule>
  </conditionalFormatting>
  <conditionalFormatting sqref="D448:E448">
    <cfRule type="expression" dxfId="24892" priority="2409">
      <formula>AND($A448&lt;&gt;"",MOD(ROW(),2))</formula>
    </cfRule>
  </conditionalFormatting>
  <conditionalFormatting sqref="D448">
    <cfRule type="cellIs" dxfId="24891" priority="2406" operator="equal">
      <formula>$C448</formula>
    </cfRule>
    <cfRule type="cellIs" dxfId="24890" priority="2407" operator="greaterThan">
      <formula>$C448</formula>
    </cfRule>
    <cfRule type="cellIs" dxfId="24889" priority="2408" operator="lessThan">
      <formula>$C448</formula>
    </cfRule>
  </conditionalFormatting>
  <conditionalFormatting sqref="D449:E449">
    <cfRule type="expression" dxfId="24888" priority="2405">
      <formula>AND($A449&lt;&gt;"",MOD(ROW(),2))</formula>
    </cfRule>
  </conditionalFormatting>
  <conditionalFormatting sqref="D449">
    <cfRule type="cellIs" dxfId="24887" priority="2402" operator="equal">
      <formula>$C449</formula>
    </cfRule>
    <cfRule type="cellIs" dxfId="24886" priority="2403" operator="greaterThan">
      <formula>$C449</formula>
    </cfRule>
    <cfRule type="cellIs" dxfId="24885" priority="2404" operator="lessThan">
      <formula>$C449</formula>
    </cfRule>
  </conditionalFormatting>
  <conditionalFormatting sqref="D450:E450">
    <cfRule type="expression" dxfId="24884" priority="2401">
      <formula>AND($A450&lt;&gt;"",MOD(ROW(),2))</formula>
    </cfRule>
  </conditionalFormatting>
  <conditionalFormatting sqref="D450">
    <cfRule type="cellIs" dxfId="24883" priority="2398" operator="equal">
      <formula>$C450</formula>
    </cfRule>
    <cfRule type="cellIs" dxfId="24882" priority="2399" operator="greaterThan">
      <formula>$C450</formula>
    </cfRule>
    <cfRule type="cellIs" dxfId="24881" priority="2400" operator="lessThan">
      <formula>$C450</formula>
    </cfRule>
  </conditionalFormatting>
  <conditionalFormatting sqref="D451:E451">
    <cfRule type="expression" dxfId="24880" priority="2397">
      <formula>AND($A451&lt;&gt;"",MOD(ROW(),2))</formula>
    </cfRule>
  </conditionalFormatting>
  <conditionalFormatting sqref="D451">
    <cfRule type="cellIs" dxfId="24879" priority="2394" operator="equal">
      <formula>$C451</formula>
    </cfRule>
    <cfRule type="cellIs" dxfId="24878" priority="2395" operator="greaterThan">
      <formula>$C451</formula>
    </cfRule>
    <cfRule type="cellIs" dxfId="24877" priority="2396" operator="lessThan">
      <formula>$C451</formula>
    </cfRule>
  </conditionalFormatting>
  <conditionalFormatting sqref="D452:E452">
    <cfRule type="expression" dxfId="24876" priority="2393">
      <formula>AND($A452&lt;&gt;"",MOD(ROW(),2))</formula>
    </cfRule>
  </conditionalFormatting>
  <conditionalFormatting sqref="D452">
    <cfRule type="cellIs" dxfId="24875" priority="2390" operator="equal">
      <formula>$C452</formula>
    </cfRule>
    <cfRule type="cellIs" dxfId="24874" priority="2391" operator="greaterThan">
      <formula>$C452</formula>
    </cfRule>
    <cfRule type="cellIs" dxfId="24873" priority="2392" operator="lessThan">
      <formula>$C452</formula>
    </cfRule>
  </conditionalFormatting>
  <conditionalFormatting sqref="D453:E453">
    <cfRule type="expression" dxfId="24872" priority="2389">
      <formula>AND($A453&lt;&gt;"",MOD(ROW(),2))</formula>
    </cfRule>
  </conditionalFormatting>
  <conditionalFormatting sqref="D453">
    <cfRule type="cellIs" dxfId="24871" priority="2386" operator="equal">
      <formula>$C453</formula>
    </cfRule>
    <cfRule type="cellIs" dxfId="24870" priority="2387" operator="greaterThan">
      <formula>$C453</formula>
    </cfRule>
    <cfRule type="cellIs" dxfId="24869" priority="2388" operator="lessThan">
      <formula>$C453</formula>
    </cfRule>
  </conditionalFormatting>
  <conditionalFormatting sqref="D454:E454">
    <cfRule type="expression" dxfId="24868" priority="2385">
      <formula>AND($A454&lt;&gt;"",MOD(ROW(),2))</formula>
    </cfRule>
  </conditionalFormatting>
  <conditionalFormatting sqref="D454">
    <cfRule type="cellIs" dxfId="24867" priority="2382" operator="equal">
      <formula>$C454</formula>
    </cfRule>
    <cfRule type="cellIs" dxfId="24866" priority="2383" operator="greaterThan">
      <formula>$C454</formula>
    </cfRule>
    <cfRule type="cellIs" dxfId="24865" priority="2384" operator="lessThan">
      <formula>$C454</formula>
    </cfRule>
  </conditionalFormatting>
  <conditionalFormatting sqref="D455:E455">
    <cfRule type="expression" dxfId="24864" priority="2381">
      <formula>AND($A455&lt;&gt;"",MOD(ROW(),2))</formula>
    </cfRule>
  </conditionalFormatting>
  <conditionalFormatting sqref="D455">
    <cfRule type="cellIs" dxfId="24863" priority="2378" operator="equal">
      <formula>$C455</formula>
    </cfRule>
    <cfRule type="cellIs" dxfId="24862" priority="2379" operator="greaterThan">
      <formula>$C455</formula>
    </cfRule>
    <cfRule type="cellIs" dxfId="24861" priority="2380" operator="lessThan">
      <formula>$C455</formula>
    </cfRule>
  </conditionalFormatting>
  <conditionalFormatting sqref="D456:E456">
    <cfRule type="expression" dxfId="24860" priority="2377">
      <formula>AND($A456&lt;&gt;"",MOD(ROW(),2))</formula>
    </cfRule>
  </conditionalFormatting>
  <conditionalFormatting sqref="D456">
    <cfRule type="cellIs" dxfId="24859" priority="2374" operator="equal">
      <formula>$C456</formula>
    </cfRule>
    <cfRule type="cellIs" dxfId="24858" priority="2375" operator="greaterThan">
      <formula>$C456</formula>
    </cfRule>
    <cfRule type="cellIs" dxfId="24857" priority="2376" operator="lessThan">
      <formula>$C456</formula>
    </cfRule>
  </conditionalFormatting>
  <conditionalFormatting sqref="D457:E457">
    <cfRule type="expression" dxfId="24856" priority="2373">
      <formula>AND($A457&lt;&gt;"",MOD(ROW(),2))</formula>
    </cfRule>
  </conditionalFormatting>
  <conditionalFormatting sqref="D457">
    <cfRule type="cellIs" dxfId="24855" priority="2370" operator="equal">
      <formula>$C457</formula>
    </cfRule>
    <cfRule type="cellIs" dxfId="24854" priority="2371" operator="greaterThan">
      <formula>$C457</formula>
    </cfRule>
    <cfRule type="cellIs" dxfId="24853" priority="2372" operator="lessThan">
      <formula>$C457</formula>
    </cfRule>
  </conditionalFormatting>
  <conditionalFormatting sqref="D458:E458">
    <cfRule type="expression" dxfId="24852" priority="2369">
      <formula>AND($A458&lt;&gt;"",MOD(ROW(),2))</formula>
    </cfRule>
  </conditionalFormatting>
  <conditionalFormatting sqref="D458">
    <cfRule type="cellIs" dxfId="24851" priority="2366" operator="equal">
      <formula>$C458</formula>
    </cfRule>
    <cfRule type="cellIs" dxfId="24850" priority="2367" operator="greaterThan">
      <formula>$C458</formula>
    </cfRule>
    <cfRule type="cellIs" dxfId="24849" priority="2368" operator="lessThan">
      <formula>$C458</formula>
    </cfRule>
  </conditionalFormatting>
  <conditionalFormatting sqref="D459:E459">
    <cfRule type="expression" dxfId="24848" priority="2365">
      <formula>AND($A459&lt;&gt;"",MOD(ROW(),2))</formula>
    </cfRule>
  </conditionalFormatting>
  <conditionalFormatting sqref="D459">
    <cfRule type="cellIs" dxfId="24847" priority="2362" operator="equal">
      <formula>$C459</formula>
    </cfRule>
    <cfRule type="cellIs" dxfId="24846" priority="2363" operator="greaterThan">
      <formula>$C459</formula>
    </cfRule>
    <cfRule type="cellIs" dxfId="24845" priority="2364" operator="lessThan">
      <formula>$C459</formula>
    </cfRule>
  </conditionalFormatting>
  <conditionalFormatting sqref="D460:E460">
    <cfRule type="expression" dxfId="24844" priority="2361">
      <formula>AND($A460&lt;&gt;"",MOD(ROW(),2))</formula>
    </cfRule>
  </conditionalFormatting>
  <conditionalFormatting sqref="D460">
    <cfRule type="cellIs" dxfId="24843" priority="2358" operator="equal">
      <formula>$C460</formula>
    </cfRule>
    <cfRule type="cellIs" dxfId="24842" priority="2359" operator="greaterThan">
      <formula>$C460</formula>
    </cfRule>
    <cfRule type="cellIs" dxfId="24841" priority="2360" operator="lessThan">
      <formula>$C460</formula>
    </cfRule>
  </conditionalFormatting>
  <conditionalFormatting sqref="C438">
    <cfRule type="expression" dxfId="24840" priority="2357">
      <formula>AND($A438&lt;&gt;"",MOD(ROW(),2))</formula>
    </cfRule>
  </conditionalFormatting>
  <conditionalFormatting sqref="C438">
    <cfRule type="cellIs" dxfId="24839" priority="2354" operator="equal">
      <formula>$C438</formula>
    </cfRule>
    <cfRule type="cellIs" dxfId="24838" priority="2355" operator="greaterThan">
      <formula>$C438</formula>
    </cfRule>
    <cfRule type="cellIs" dxfId="24837" priority="2356" operator="lessThan">
      <formula>$C438</formula>
    </cfRule>
  </conditionalFormatting>
  <conditionalFormatting sqref="C439">
    <cfRule type="expression" dxfId="24836" priority="2353">
      <formula>AND($A439&lt;&gt;"",MOD(ROW(),2))</formula>
    </cfRule>
  </conditionalFormatting>
  <conditionalFormatting sqref="C439">
    <cfRule type="cellIs" dxfId="24835" priority="2350" operator="equal">
      <formula>$C439</formula>
    </cfRule>
    <cfRule type="cellIs" dxfId="24834" priority="2351" operator="greaterThan">
      <formula>$C439</formula>
    </cfRule>
    <cfRule type="cellIs" dxfId="24833" priority="2352" operator="lessThan">
      <formula>$C439</formula>
    </cfRule>
  </conditionalFormatting>
  <conditionalFormatting sqref="C440">
    <cfRule type="expression" dxfId="24832" priority="2349">
      <formula>AND($A440&lt;&gt;"",MOD(ROW(),2))</formula>
    </cfRule>
  </conditionalFormatting>
  <conditionalFormatting sqref="C440">
    <cfRule type="cellIs" dxfId="24831" priority="2346" operator="equal">
      <formula>$C440</formula>
    </cfRule>
    <cfRule type="cellIs" dxfId="24830" priority="2347" operator="greaterThan">
      <formula>$C440</formula>
    </cfRule>
    <cfRule type="cellIs" dxfId="24829" priority="2348" operator="lessThan">
      <formula>$C440</formula>
    </cfRule>
  </conditionalFormatting>
  <conditionalFormatting sqref="C441">
    <cfRule type="expression" dxfId="24828" priority="2345">
      <formula>AND($A441&lt;&gt;"",MOD(ROW(),2))</formula>
    </cfRule>
  </conditionalFormatting>
  <conditionalFormatting sqref="C441">
    <cfRule type="cellIs" dxfId="24827" priority="2342" operator="equal">
      <formula>$C441</formula>
    </cfRule>
    <cfRule type="cellIs" dxfId="24826" priority="2343" operator="greaterThan">
      <formula>$C441</formula>
    </cfRule>
    <cfRule type="cellIs" dxfId="24825" priority="2344" operator="lessThan">
      <formula>$C441</formula>
    </cfRule>
  </conditionalFormatting>
  <conditionalFormatting sqref="C442">
    <cfRule type="expression" dxfId="24824" priority="2341">
      <formula>AND($A442&lt;&gt;"",MOD(ROW(),2))</formula>
    </cfRule>
  </conditionalFormatting>
  <conditionalFormatting sqref="C442">
    <cfRule type="cellIs" dxfId="24823" priority="2338" operator="equal">
      <formula>$C442</formula>
    </cfRule>
    <cfRule type="cellIs" dxfId="24822" priority="2339" operator="greaterThan">
      <formula>$C442</formula>
    </cfRule>
    <cfRule type="cellIs" dxfId="24821" priority="2340" operator="lessThan">
      <formula>$C442</formula>
    </cfRule>
  </conditionalFormatting>
  <conditionalFormatting sqref="C443">
    <cfRule type="expression" dxfId="24820" priority="2337">
      <formula>AND($A443&lt;&gt;"",MOD(ROW(),2))</formula>
    </cfRule>
  </conditionalFormatting>
  <conditionalFormatting sqref="C443">
    <cfRule type="cellIs" dxfId="24819" priority="2334" operator="equal">
      <formula>$C443</formula>
    </cfRule>
    <cfRule type="cellIs" dxfId="24818" priority="2335" operator="greaterThan">
      <formula>$C443</formula>
    </cfRule>
    <cfRule type="cellIs" dxfId="24817" priority="2336" operator="lessThan">
      <formula>$C443</formula>
    </cfRule>
  </conditionalFormatting>
  <conditionalFormatting sqref="C444">
    <cfRule type="expression" dxfId="24816" priority="2333">
      <formula>AND($A444&lt;&gt;"",MOD(ROW(),2))</formula>
    </cfRule>
  </conditionalFormatting>
  <conditionalFormatting sqref="C444">
    <cfRule type="cellIs" dxfId="24815" priority="2330" operator="equal">
      <formula>$C444</formula>
    </cfRule>
    <cfRule type="cellIs" dxfId="24814" priority="2331" operator="greaterThan">
      <formula>$C444</formula>
    </cfRule>
    <cfRule type="cellIs" dxfId="24813" priority="2332" operator="lessThan">
      <formula>$C444</formula>
    </cfRule>
  </conditionalFormatting>
  <conditionalFormatting sqref="C445">
    <cfRule type="expression" dxfId="24812" priority="2329">
      <formula>AND($A445&lt;&gt;"",MOD(ROW(),2))</formula>
    </cfRule>
  </conditionalFormatting>
  <conditionalFormatting sqref="C445">
    <cfRule type="cellIs" dxfId="24811" priority="2326" operator="equal">
      <formula>$C445</formula>
    </cfRule>
    <cfRule type="cellIs" dxfId="24810" priority="2327" operator="greaterThan">
      <formula>$C445</formula>
    </cfRule>
    <cfRule type="cellIs" dxfId="24809" priority="2328" operator="lessThan">
      <formula>$C445</formula>
    </cfRule>
  </conditionalFormatting>
  <conditionalFormatting sqref="C446">
    <cfRule type="expression" dxfId="24808" priority="2325">
      <formula>AND($A446&lt;&gt;"",MOD(ROW(),2))</formula>
    </cfRule>
  </conditionalFormatting>
  <conditionalFormatting sqref="C446">
    <cfRule type="cellIs" dxfId="24807" priority="2322" operator="equal">
      <formula>$C446</formula>
    </cfRule>
    <cfRule type="cellIs" dxfId="24806" priority="2323" operator="greaterThan">
      <formula>$C446</formula>
    </cfRule>
    <cfRule type="cellIs" dxfId="24805" priority="2324" operator="lessThan">
      <formula>$C446</formula>
    </cfRule>
  </conditionalFormatting>
  <conditionalFormatting sqref="C447">
    <cfRule type="expression" dxfId="24804" priority="2321">
      <formula>AND($A447&lt;&gt;"",MOD(ROW(),2))</formula>
    </cfRule>
  </conditionalFormatting>
  <conditionalFormatting sqref="C447">
    <cfRule type="cellIs" dxfId="24803" priority="2318" operator="equal">
      <formula>$C447</formula>
    </cfRule>
    <cfRule type="cellIs" dxfId="24802" priority="2319" operator="greaterThan">
      <formula>$C447</formula>
    </cfRule>
    <cfRule type="cellIs" dxfId="24801" priority="2320" operator="lessThan">
      <formula>$C447</formula>
    </cfRule>
  </conditionalFormatting>
  <conditionalFormatting sqref="C448">
    <cfRule type="expression" dxfId="24800" priority="2317">
      <formula>AND($A448&lt;&gt;"",MOD(ROW(),2))</formula>
    </cfRule>
  </conditionalFormatting>
  <conditionalFormatting sqref="C448">
    <cfRule type="cellIs" dxfId="24799" priority="2314" operator="equal">
      <formula>$C448</formula>
    </cfRule>
    <cfRule type="cellIs" dxfId="24798" priority="2315" operator="greaterThan">
      <formula>$C448</formula>
    </cfRule>
    <cfRule type="cellIs" dxfId="24797" priority="2316" operator="lessThan">
      <formula>$C448</formula>
    </cfRule>
  </conditionalFormatting>
  <conditionalFormatting sqref="C449">
    <cfRule type="expression" dxfId="24796" priority="2313">
      <formula>AND($A449&lt;&gt;"",MOD(ROW(),2))</formula>
    </cfRule>
  </conditionalFormatting>
  <conditionalFormatting sqref="C449">
    <cfRule type="cellIs" dxfId="24795" priority="2310" operator="equal">
      <formula>$C449</formula>
    </cfRule>
    <cfRule type="cellIs" dxfId="24794" priority="2311" operator="greaterThan">
      <formula>$C449</formula>
    </cfRule>
    <cfRule type="cellIs" dxfId="24793" priority="2312" operator="lessThan">
      <formula>$C449</formula>
    </cfRule>
  </conditionalFormatting>
  <conditionalFormatting sqref="D438:E438">
    <cfRule type="expression" dxfId="24792" priority="2309">
      <formula>AND($A438&lt;&gt;"",MOD(ROW(),2))</formula>
    </cfRule>
  </conditionalFormatting>
  <conditionalFormatting sqref="D438">
    <cfRule type="cellIs" dxfId="24791" priority="2306" operator="equal">
      <formula>$C438</formula>
    </cfRule>
    <cfRule type="cellIs" dxfId="24790" priority="2307" operator="greaterThan">
      <formula>$C438</formula>
    </cfRule>
    <cfRule type="cellIs" dxfId="24789" priority="2308" operator="lessThan">
      <formula>$C438</formula>
    </cfRule>
  </conditionalFormatting>
  <conditionalFormatting sqref="D439:E439">
    <cfRule type="expression" dxfId="24788" priority="2305">
      <formula>AND($A439&lt;&gt;"",MOD(ROW(),2))</formula>
    </cfRule>
  </conditionalFormatting>
  <conditionalFormatting sqref="D439">
    <cfRule type="cellIs" dxfId="24787" priority="2302" operator="equal">
      <formula>$C439</formula>
    </cfRule>
    <cfRule type="cellIs" dxfId="24786" priority="2303" operator="greaterThan">
      <formula>$C439</formula>
    </cfRule>
    <cfRule type="cellIs" dxfId="24785" priority="2304" operator="lessThan">
      <formula>$C439</formula>
    </cfRule>
  </conditionalFormatting>
  <conditionalFormatting sqref="D440:E440">
    <cfRule type="expression" dxfId="24784" priority="2301">
      <formula>AND($A440&lt;&gt;"",MOD(ROW(),2))</formula>
    </cfRule>
  </conditionalFormatting>
  <conditionalFormatting sqref="D440">
    <cfRule type="cellIs" dxfId="24783" priority="2298" operator="equal">
      <formula>$C440</formula>
    </cfRule>
    <cfRule type="cellIs" dxfId="24782" priority="2299" operator="greaterThan">
      <formula>$C440</formula>
    </cfRule>
    <cfRule type="cellIs" dxfId="24781" priority="2300" operator="lessThan">
      <formula>$C440</formula>
    </cfRule>
  </conditionalFormatting>
  <conditionalFormatting sqref="D441:E441">
    <cfRule type="expression" dxfId="24780" priority="2297">
      <formula>AND($A441&lt;&gt;"",MOD(ROW(),2))</formula>
    </cfRule>
  </conditionalFormatting>
  <conditionalFormatting sqref="D441">
    <cfRule type="cellIs" dxfId="24779" priority="2294" operator="equal">
      <formula>$C441</formula>
    </cfRule>
    <cfRule type="cellIs" dxfId="24778" priority="2295" operator="greaterThan">
      <formula>$C441</formula>
    </cfRule>
    <cfRule type="cellIs" dxfId="24777" priority="2296" operator="lessThan">
      <formula>$C441</formula>
    </cfRule>
  </conditionalFormatting>
  <conditionalFormatting sqref="D442:E442">
    <cfRule type="expression" dxfId="24776" priority="2293">
      <formula>AND($A442&lt;&gt;"",MOD(ROW(),2))</formula>
    </cfRule>
  </conditionalFormatting>
  <conditionalFormatting sqref="D442">
    <cfRule type="cellIs" dxfId="24775" priority="2290" operator="equal">
      <formula>$C442</formula>
    </cfRule>
    <cfRule type="cellIs" dxfId="24774" priority="2291" operator="greaterThan">
      <formula>$C442</formula>
    </cfRule>
    <cfRule type="cellIs" dxfId="24773" priority="2292" operator="lessThan">
      <formula>$C442</formula>
    </cfRule>
  </conditionalFormatting>
  <conditionalFormatting sqref="D443:E443">
    <cfRule type="expression" dxfId="24772" priority="2289">
      <formula>AND($A443&lt;&gt;"",MOD(ROW(),2))</formula>
    </cfRule>
  </conditionalFormatting>
  <conditionalFormatting sqref="D443">
    <cfRule type="cellIs" dxfId="24771" priority="2286" operator="equal">
      <formula>$C443</formula>
    </cfRule>
    <cfRule type="cellIs" dxfId="24770" priority="2287" operator="greaterThan">
      <formula>$C443</formula>
    </cfRule>
    <cfRule type="cellIs" dxfId="24769" priority="2288" operator="lessThan">
      <formula>$C443</formula>
    </cfRule>
  </conditionalFormatting>
  <conditionalFormatting sqref="D444:E444">
    <cfRule type="expression" dxfId="24768" priority="2285">
      <formula>AND($A444&lt;&gt;"",MOD(ROW(),2))</formula>
    </cfRule>
  </conditionalFormatting>
  <conditionalFormatting sqref="D444">
    <cfRule type="cellIs" dxfId="24767" priority="2282" operator="equal">
      <formula>$C444</formula>
    </cfRule>
    <cfRule type="cellIs" dxfId="24766" priority="2283" operator="greaterThan">
      <formula>$C444</formula>
    </cfRule>
    <cfRule type="cellIs" dxfId="24765" priority="2284" operator="lessThan">
      <formula>$C444</formula>
    </cfRule>
  </conditionalFormatting>
  <conditionalFormatting sqref="D445:E445">
    <cfRule type="expression" dxfId="24764" priority="2281">
      <formula>AND($A445&lt;&gt;"",MOD(ROW(),2))</formula>
    </cfRule>
  </conditionalFormatting>
  <conditionalFormatting sqref="D445">
    <cfRule type="cellIs" dxfId="24763" priority="2278" operator="equal">
      <formula>$C445</formula>
    </cfRule>
    <cfRule type="cellIs" dxfId="24762" priority="2279" operator="greaterThan">
      <formula>$C445</formula>
    </cfRule>
    <cfRule type="cellIs" dxfId="24761" priority="2280" operator="lessThan">
      <formula>$C445</formula>
    </cfRule>
  </conditionalFormatting>
  <conditionalFormatting sqref="D446:E446">
    <cfRule type="expression" dxfId="24760" priority="2277">
      <formula>AND($A446&lt;&gt;"",MOD(ROW(),2))</formula>
    </cfRule>
  </conditionalFormatting>
  <conditionalFormatting sqref="D446">
    <cfRule type="cellIs" dxfId="24759" priority="2274" operator="equal">
      <formula>$C446</formula>
    </cfRule>
    <cfRule type="cellIs" dxfId="24758" priority="2275" operator="greaterThan">
      <formula>$C446</formula>
    </cfRule>
    <cfRule type="cellIs" dxfId="24757" priority="2276" operator="lessThan">
      <formula>$C446</formula>
    </cfRule>
  </conditionalFormatting>
  <conditionalFormatting sqref="D447:E447">
    <cfRule type="expression" dxfId="24756" priority="2273">
      <formula>AND($A447&lt;&gt;"",MOD(ROW(),2))</formula>
    </cfRule>
  </conditionalFormatting>
  <conditionalFormatting sqref="D447">
    <cfRule type="cellIs" dxfId="24755" priority="2270" operator="equal">
      <formula>$C447</formula>
    </cfRule>
    <cfRule type="cellIs" dxfId="24754" priority="2271" operator="greaterThan">
      <formula>$C447</formula>
    </cfRule>
    <cfRule type="cellIs" dxfId="24753" priority="2272" operator="lessThan">
      <formula>$C447</formula>
    </cfRule>
  </conditionalFormatting>
  <conditionalFormatting sqref="D448:E448">
    <cfRule type="expression" dxfId="24752" priority="2269">
      <formula>AND($A448&lt;&gt;"",MOD(ROW(),2))</formula>
    </cfRule>
  </conditionalFormatting>
  <conditionalFormatting sqref="D448">
    <cfRule type="cellIs" dxfId="24751" priority="2266" operator="equal">
      <formula>$C448</formula>
    </cfRule>
    <cfRule type="cellIs" dxfId="24750" priority="2267" operator="greaterThan">
      <formula>$C448</formula>
    </cfRule>
    <cfRule type="cellIs" dxfId="24749" priority="2268" operator="lessThan">
      <formula>$C448</formula>
    </cfRule>
  </conditionalFormatting>
  <conditionalFormatting sqref="D449:E449">
    <cfRule type="expression" dxfId="24748" priority="2265">
      <formula>AND($A449&lt;&gt;"",MOD(ROW(),2))</formula>
    </cfRule>
  </conditionalFormatting>
  <conditionalFormatting sqref="D449">
    <cfRule type="cellIs" dxfId="24747" priority="2262" operator="equal">
      <formula>$C449</formula>
    </cfRule>
    <cfRule type="cellIs" dxfId="24746" priority="2263" operator="greaterThan">
      <formula>$C449</formula>
    </cfRule>
    <cfRule type="cellIs" dxfId="24745" priority="2264" operator="lessThan">
      <formula>$C449</formula>
    </cfRule>
  </conditionalFormatting>
  <conditionalFormatting sqref="D450:E450">
    <cfRule type="expression" dxfId="24744" priority="2261">
      <formula>AND($A450&lt;&gt;"",MOD(ROW(),2))</formula>
    </cfRule>
  </conditionalFormatting>
  <conditionalFormatting sqref="D450">
    <cfRule type="cellIs" dxfId="24743" priority="2258" operator="equal">
      <formula>$C450</formula>
    </cfRule>
    <cfRule type="cellIs" dxfId="24742" priority="2259" operator="greaterThan">
      <formula>$C450</formula>
    </cfRule>
    <cfRule type="cellIs" dxfId="24741" priority="2260" operator="lessThan">
      <formula>$C450</formula>
    </cfRule>
  </conditionalFormatting>
  <conditionalFormatting sqref="D451:E451">
    <cfRule type="expression" dxfId="24740" priority="2257">
      <formula>AND($A451&lt;&gt;"",MOD(ROW(),2))</formula>
    </cfRule>
  </conditionalFormatting>
  <conditionalFormatting sqref="D451">
    <cfRule type="cellIs" dxfId="24739" priority="2254" operator="equal">
      <formula>$C451</formula>
    </cfRule>
    <cfRule type="cellIs" dxfId="24738" priority="2255" operator="greaterThan">
      <formula>$C451</formula>
    </cfRule>
    <cfRule type="cellIs" dxfId="24737" priority="2256" operator="lessThan">
      <formula>$C451</formula>
    </cfRule>
  </conditionalFormatting>
  <conditionalFormatting sqref="D452:E452">
    <cfRule type="expression" dxfId="24736" priority="2253">
      <formula>AND($A452&lt;&gt;"",MOD(ROW(),2))</formula>
    </cfRule>
  </conditionalFormatting>
  <conditionalFormatting sqref="D452">
    <cfRule type="cellIs" dxfId="24735" priority="2250" operator="equal">
      <formula>$C452</formula>
    </cfRule>
    <cfRule type="cellIs" dxfId="24734" priority="2251" operator="greaterThan">
      <formula>$C452</formula>
    </cfRule>
    <cfRule type="cellIs" dxfId="24733" priority="2252" operator="lessThan">
      <formula>$C452</formula>
    </cfRule>
  </conditionalFormatting>
  <conditionalFormatting sqref="D453:E453">
    <cfRule type="expression" dxfId="24732" priority="2249">
      <formula>AND($A453&lt;&gt;"",MOD(ROW(),2))</formula>
    </cfRule>
  </conditionalFormatting>
  <conditionalFormatting sqref="D453">
    <cfRule type="cellIs" dxfId="24731" priority="2246" operator="equal">
      <formula>$C453</formula>
    </cfRule>
    <cfRule type="cellIs" dxfId="24730" priority="2247" operator="greaterThan">
      <formula>$C453</formula>
    </cfRule>
    <cfRule type="cellIs" dxfId="24729" priority="2248" operator="lessThan">
      <formula>$C453</formula>
    </cfRule>
  </conditionalFormatting>
  <conditionalFormatting sqref="D454:E454">
    <cfRule type="expression" dxfId="24728" priority="2245">
      <formula>AND($A454&lt;&gt;"",MOD(ROW(),2))</formula>
    </cfRule>
  </conditionalFormatting>
  <conditionalFormatting sqref="D454">
    <cfRule type="cellIs" dxfId="24727" priority="2242" operator="equal">
      <formula>$C454</formula>
    </cfRule>
    <cfRule type="cellIs" dxfId="24726" priority="2243" operator="greaterThan">
      <formula>$C454</formula>
    </cfRule>
    <cfRule type="cellIs" dxfId="24725" priority="2244" operator="lessThan">
      <formula>$C454</formula>
    </cfRule>
  </conditionalFormatting>
  <conditionalFormatting sqref="D455:E455">
    <cfRule type="expression" dxfId="24724" priority="2241">
      <formula>AND($A455&lt;&gt;"",MOD(ROW(),2))</formula>
    </cfRule>
  </conditionalFormatting>
  <conditionalFormatting sqref="D455">
    <cfRule type="cellIs" dxfId="24723" priority="2238" operator="equal">
      <formula>$C455</formula>
    </cfRule>
    <cfRule type="cellIs" dxfId="24722" priority="2239" operator="greaterThan">
      <formula>$C455</formula>
    </cfRule>
    <cfRule type="cellIs" dxfId="24721" priority="2240" operator="lessThan">
      <formula>$C455</formula>
    </cfRule>
  </conditionalFormatting>
  <conditionalFormatting sqref="D456:E456">
    <cfRule type="expression" dxfId="24720" priority="2237">
      <formula>AND($A456&lt;&gt;"",MOD(ROW(),2))</formula>
    </cfRule>
  </conditionalFormatting>
  <conditionalFormatting sqref="D456">
    <cfRule type="cellIs" dxfId="24719" priority="2234" operator="equal">
      <formula>$C456</formula>
    </cfRule>
    <cfRule type="cellIs" dxfId="24718" priority="2235" operator="greaterThan">
      <formula>$C456</formula>
    </cfRule>
    <cfRule type="cellIs" dxfId="24717" priority="2236" operator="lessThan">
      <formula>$C456</formula>
    </cfRule>
  </conditionalFormatting>
  <conditionalFormatting sqref="D457:E457">
    <cfRule type="expression" dxfId="24716" priority="2233">
      <formula>AND($A457&lt;&gt;"",MOD(ROW(),2))</formula>
    </cfRule>
  </conditionalFormatting>
  <conditionalFormatting sqref="D457">
    <cfRule type="cellIs" dxfId="24715" priority="2230" operator="equal">
      <formula>$C457</formula>
    </cfRule>
    <cfRule type="cellIs" dxfId="24714" priority="2231" operator="greaterThan">
      <formula>$C457</formula>
    </cfRule>
    <cfRule type="cellIs" dxfId="24713" priority="2232" operator="lessThan">
      <formula>$C457</formula>
    </cfRule>
  </conditionalFormatting>
  <conditionalFormatting sqref="D458:E458">
    <cfRule type="expression" dxfId="24712" priority="2229">
      <formula>AND($A458&lt;&gt;"",MOD(ROW(),2))</formula>
    </cfRule>
  </conditionalFormatting>
  <conditionalFormatting sqref="D458">
    <cfRule type="cellIs" dxfId="24711" priority="2226" operator="equal">
      <formula>$C458</formula>
    </cfRule>
    <cfRule type="cellIs" dxfId="24710" priority="2227" operator="greaterThan">
      <formula>$C458</formula>
    </cfRule>
    <cfRule type="cellIs" dxfId="24709" priority="2228" operator="lessThan">
      <formula>$C458</formula>
    </cfRule>
  </conditionalFormatting>
  <conditionalFormatting sqref="D459:E459">
    <cfRule type="expression" dxfId="24708" priority="2225">
      <formula>AND($A459&lt;&gt;"",MOD(ROW(),2))</formula>
    </cfRule>
  </conditionalFormatting>
  <conditionalFormatting sqref="D459">
    <cfRule type="cellIs" dxfId="24707" priority="2222" operator="equal">
      <formula>$C459</formula>
    </cfRule>
    <cfRule type="cellIs" dxfId="24706" priority="2223" operator="greaterThan">
      <formula>$C459</formula>
    </cfRule>
    <cfRule type="cellIs" dxfId="24705" priority="2224" operator="lessThan">
      <formula>$C459</formula>
    </cfRule>
  </conditionalFormatting>
  <conditionalFormatting sqref="D460:E460">
    <cfRule type="expression" dxfId="24704" priority="2221">
      <formula>AND($A460&lt;&gt;"",MOD(ROW(),2))</formula>
    </cfRule>
  </conditionalFormatting>
  <conditionalFormatting sqref="D460">
    <cfRule type="cellIs" dxfId="24703" priority="2218" operator="equal">
      <formula>$C460</formula>
    </cfRule>
    <cfRule type="cellIs" dxfId="24702" priority="2219" operator="greaterThan">
      <formula>$C460</formula>
    </cfRule>
    <cfRule type="cellIs" dxfId="24701" priority="2220" operator="lessThan">
      <formula>$C460</formula>
    </cfRule>
  </conditionalFormatting>
  <conditionalFormatting sqref="D461:E461">
    <cfRule type="expression" dxfId="24700" priority="2217">
      <formula>AND($A461&lt;&gt;"",MOD(ROW(),2))</formula>
    </cfRule>
  </conditionalFormatting>
  <conditionalFormatting sqref="D461">
    <cfRule type="cellIs" dxfId="24699" priority="2214" operator="equal">
      <formula>$C461</formula>
    </cfRule>
    <cfRule type="cellIs" dxfId="24698" priority="2215" operator="greaterThan">
      <formula>$C461</formula>
    </cfRule>
    <cfRule type="cellIs" dxfId="24697" priority="2216" operator="lessThan">
      <formula>$C461</formula>
    </cfRule>
  </conditionalFormatting>
  <conditionalFormatting sqref="E462">
    <cfRule type="expression" dxfId="24696" priority="2213">
      <formula>AND($A462&lt;&gt;"",MOD(ROW(),2))</formula>
    </cfRule>
  </conditionalFormatting>
  <conditionalFormatting sqref="E463">
    <cfRule type="expression" dxfId="24695" priority="2212">
      <formula>AND($A463&lt;&gt;"",MOD(ROW(),2))</formula>
    </cfRule>
  </conditionalFormatting>
  <conditionalFormatting sqref="E464">
    <cfRule type="expression" dxfId="24694" priority="2211">
      <formula>AND($A464&lt;&gt;"",MOD(ROW(),2))</formula>
    </cfRule>
  </conditionalFormatting>
  <conditionalFormatting sqref="C438">
    <cfRule type="expression" dxfId="24693" priority="2210">
      <formula>AND($A438&lt;&gt;"",MOD(ROW(),2))</formula>
    </cfRule>
  </conditionalFormatting>
  <conditionalFormatting sqref="C438">
    <cfRule type="cellIs" dxfId="24692" priority="2207" operator="equal">
      <formula>$C438</formula>
    </cfRule>
    <cfRule type="cellIs" dxfId="24691" priority="2208" operator="greaterThan">
      <formula>$C438</formula>
    </cfRule>
    <cfRule type="cellIs" dxfId="24690" priority="2209" operator="lessThan">
      <formula>$C438</formula>
    </cfRule>
  </conditionalFormatting>
  <conditionalFormatting sqref="C439">
    <cfRule type="expression" dxfId="24689" priority="2206">
      <formula>AND($A439&lt;&gt;"",MOD(ROW(),2))</formula>
    </cfRule>
  </conditionalFormatting>
  <conditionalFormatting sqref="C439">
    <cfRule type="cellIs" dxfId="24688" priority="2203" operator="equal">
      <formula>$C439</formula>
    </cfRule>
    <cfRule type="cellIs" dxfId="24687" priority="2204" operator="greaterThan">
      <formula>$C439</formula>
    </cfRule>
    <cfRule type="cellIs" dxfId="24686" priority="2205" operator="lessThan">
      <formula>$C439</formula>
    </cfRule>
  </conditionalFormatting>
  <conditionalFormatting sqref="C440">
    <cfRule type="expression" dxfId="24685" priority="2202">
      <formula>AND($A440&lt;&gt;"",MOD(ROW(),2))</formula>
    </cfRule>
  </conditionalFormatting>
  <conditionalFormatting sqref="C440">
    <cfRule type="cellIs" dxfId="24684" priority="2199" operator="equal">
      <formula>$C440</formula>
    </cfRule>
    <cfRule type="cellIs" dxfId="24683" priority="2200" operator="greaterThan">
      <formula>$C440</formula>
    </cfRule>
    <cfRule type="cellIs" dxfId="24682" priority="2201" operator="lessThan">
      <formula>$C440</formula>
    </cfRule>
  </conditionalFormatting>
  <conditionalFormatting sqref="C441">
    <cfRule type="expression" dxfId="24681" priority="2198">
      <formula>AND($A441&lt;&gt;"",MOD(ROW(),2))</formula>
    </cfRule>
  </conditionalFormatting>
  <conditionalFormatting sqref="C441">
    <cfRule type="cellIs" dxfId="24680" priority="2195" operator="equal">
      <formula>$C441</formula>
    </cfRule>
    <cfRule type="cellIs" dxfId="24679" priority="2196" operator="greaterThan">
      <formula>$C441</formula>
    </cfRule>
    <cfRule type="cellIs" dxfId="24678" priority="2197" operator="lessThan">
      <formula>$C441</formula>
    </cfRule>
  </conditionalFormatting>
  <conditionalFormatting sqref="C442">
    <cfRule type="expression" dxfId="24677" priority="2194">
      <formula>AND($A442&lt;&gt;"",MOD(ROW(),2))</formula>
    </cfRule>
  </conditionalFormatting>
  <conditionalFormatting sqref="C442">
    <cfRule type="cellIs" dxfId="24676" priority="2191" operator="equal">
      <formula>$C442</formula>
    </cfRule>
    <cfRule type="cellIs" dxfId="24675" priority="2192" operator="greaterThan">
      <formula>$C442</formula>
    </cfRule>
    <cfRule type="cellIs" dxfId="24674" priority="2193" operator="lessThan">
      <formula>$C442</formula>
    </cfRule>
  </conditionalFormatting>
  <conditionalFormatting sqref="C443">
    <cfRule type="expression" dxfId="24673" priority="2190">
      <formula>AND($A443&lt;&gt;"",MOD(ROW(),2))</formula>
    </cfRule>
  </conditionalFormatting>
  <conditionalFormatting sqref="C443">
    <cfRule type="cellIs" dxfId="24672" priority="2187" operator="equal">
      <formula>$C443</formula>
    </cfRule>
    <cfRule type="cellIs" dxfId="24671" priority="2188" operator="greaterThan">
      <formula>$C443</formula>
    </cfRule>
    <cfRule type="cellIs" dxfId="24670" priority="2189" operator="lessThan">
      <formula>$C443</formula>
    </cfRule>
  </conditionalFormatting>
  <conditionalFormatting sqref="C444">
    <cfRule type="expression" dxfId="24669" priority="2186">
      <formula>AND($A444&lt;&gt;"",MOD(ROW(),2))</formula>
    </cfRule>
  </conditionalFormatting>
  <conditionalFormatting sqref="C444">
    <cfRule type="cellIs" dxfId="24668" priority="2183" operator="equal">
      <formula>$C444</formula>
    </cfRule>
    <cfRule type="cellIs" dxfId="24667" priority="2184" operator="greaterThan">
      <formula>$C444</formula>
    </cfRule>
    <cfRule type="cellIs" dxfId="24666" priority="2185" operator="lessThan">
      <formula>$C444</formula>
    </cfRule>
  </conditionalFormatting>
  <conditionalFormatting sqref="C445">
    <cfRule type="expression" dxfId="24665" priority="2182">
      <formula>AND($A445&lt;&gt;"",MOD(ROW(),2))</formula>
    </cfRule>
  </conditionalFormatting>
  <conditionalFormatting sqref="C445">
    <cfRule type="cellIs" dxfId="24664" priority="2179" operator="equal">
      <formula>$C445</formula>
    </cfRule>
    <cfRule type="cellIs" dxfId="24663" priority="2180" operator="greaterThan">
      <formula>$C445</formula>
    </cfRule>
    <cfRule type="cellIs" dxfId="24662" priority="2181" operator="lessThan">
      <formula>$C445</formula>
    </cfRule>
  </conditionalFormatting>
  <conditionalFormatting sqref="C446">
    <cfRule type="expression" dxfId="24661" priority="2178">
      <formula>AND($A446&lt;&gt;"",MOD(ROW(),2))</formula>
    </cfRule>
  </conditionalFormatting>
  <conditionalFormatting sqref="C446">
    <cfRule type="cellIs" dxfId="24660" priority="2175" operator="equal">
      <formula>$C446</formula>
    </cfRule>
    <cfRule type="cellIs" dxfId="24659" priority="2176" operator="greaterThan">
      <formula>$C446</formula>
    </cfRule>
    <cfRule type="cellIs" dxfId="24658" priority="2177" operator="lessThan">
      <formula>$C446</formula>
    </cfRule>
  </conditionalFormatting>
  <conditionalFormatting sqref="C447">
    <cfRule type="expression" dxfId="24657" priority="2174">
      <formula>AND($A447&lt;&gt;"",MOD(ROW(),2))</formula>
    </cfRule>
  </conditionalFormatting>
  <conditionalFormatting sqref="C447">
    <cfRule type="cellIs" dxfId="24656" priority="2171" operator="equal">
      <formula>$C447</formula>
    </cfRule>
    <cfRule type="cellIs" dxfId="24655" priority="2172" operator="greaterThan">
      <formula>$C447</formula>
    </cfRule>
    <cfRule type="cellIs" dxfId="24654" priority="2173" operator="lessThan">
      <formula>$C447</formula>
    </cfRule>
  </conditionalFormatting>
  <conditionalFormatting sqref="C448">
    <cfRule type="expression" dxfId="24653" priority="2170">
      <formula>AND($A448&lt;&gt;"",MOD(ROW(),2))</formula>
    </cfRule>
  </conditionalFormatting>
  <conditionalFormatting sqref="C448">
    <cfRule type="cellIs" dxfId="24652" priority="2167" operator="equal">
      <formula>$C448</formula>
    </cfRule>
    <cfRule type="cellIs" dxfId="24651" priority="2168" operator="greaterThan">
      <formula>$C448</formula>
    </cfRule>
    <cfRule type="cellIs" dxfId="24650" priority="2169" operator="lessThan">
      <formula>$C448</formula>
    </cfRule>
  </conditionalFormatting>
  <conditionalFormatting sqref="C449">
    <cfRule type="expression" dxfId="24649" priority="2166">
      <formula>AND($A449&lt;&gt;"",MOD(ROW(),2))</formula>
    </cfRule>
  </conditionalFormatting>
  <conditionalFormatting sqref="C449">
    <cfRule type="cellIs" dxfId="24648" priority="2163" operator="equal">
      <formula>$C449</formula>
    </cfRule>
    <cfRule type="cellIs" dxfId="24647" priority="2164" operator="greaterThan">
      <formula>$C449</formula>
    </cfRule>
    <cfRule type="cellIs" dxfId="24646" priority="2165" operator="lessThan">
      <formula>$C449</formula>
    </cfRule>
  </conditionalFormatting>
  <conditionalFormatting sqref="D438:E438">
    <cfRule type="expression" dxfId="24645" priority="2162">
      <formula>AND($A438&lt;&gt;"",MOD(ROW(),2))</formula>
    </cfRule>
  </conditionalFormatting>
  <conditionalFormatting sqref="D438">
    <cfRule type="cellIs" dxfId="24644" priority="2159" operator="equal">
      <formula>$C438</formula>
    </cfRule>
    <cfRule type="cellIs" dxfId="24643" priority="2160" operator="greaterThan">
      <formula>$C438</formula>
    </cfRule>
    <cfRule type="cellIs" dxfId="24642" priority="2161" operator="lessThan">
      <formula>$C438</formula>
    </cfRule>
  </conditionalFormatting>
  <conditionalFormatting sqref="D439:E439">
    <cfRule type="expression" dxfId="24641" priority="2158">
      <formula>AND($A439&lt;&gt;"",MOD(ROW(),2))</formula>
    </cfRule>
  </conditionalFormatting>
  <conditionalFormatting sqref="D439">
    <cfRule type="cellIs" dxfId="24640" priority="2155" operator="equal">
      <formula>$C439</formula>
    </cfRule>
    <cfRule type="cellIs" dxfId="24639" priority="2156" operator="greaterThan">
      <formula>$C439</formula>
    </cfRule>
    <cfRule type="cellIs" dxfId="24638" priority="2157" operator="lessThan">
      <formula>$C439</formula>
    </cfRule>
  </conditionalFormatting>
  <conditionalFormatting sqref="D440:E440">
    <cfRule type="expression" dxfId="24637" priority="2154">
      <formula>AND($A440&lt;&gt;"",MOD(ROW(),2))</formula>
    </cfRule>
  </conditionalFormatting>
  <conditionalFormatting sqref="D440">
    <cfRule type="cellIs" dxfId="24636" priority="2151" operator="equal">
      <formula>$C440</formula>
    </cfRule>
    <cfRule type="cellIs" dxfId="24635" priority="2152" operator="greaterThan">
      <formula>$C440</formula>
    </cfRule>
    <cfRule type="cellIs" dxfId="24634" priority="2153" operator="lessThan">
      <formula>$C440</formula>
    </cfRule>
  </conditionalFormatting>
  <conditionalFormatting sqref="D441:E441">
    <cfRule type="expression" dxfId="24633" priority="2150">
      <formula>AND($A441&lt;&gt;"",MOD(ROW(),2))</formula>
    </cfRule>
  </conditionalFormatting>
  <conditionalFormatting sqref="D441">
    <cfRule type="cellIs" dxfId="24632" priority="2147" operator="equal">
      <formula>$C441</formula>
    </cfRule>
    <cfRule type="cellIs" dxfId="24631" priority="2148" operator="greaterThan">
      <formula>$C441</formula>
    </cfRule>
    <cfRule type="cellIs" dxfId="24630" priority="2149" operator="lessThan">
      <formula>$C441</formula>
    </cfRule>
  </conditionalFormatting>
  <conditionalFormatting sqref="D442:E442">
    <cfRule type="expression" dxfId="24629" priority="2146">
      <formula>AND($A442&lt;&gt;"",MOD(ROW(),2))</formula>
    </cfRule>
  </conditionalFormatting>
  <conditionalFormatting sqref="D442">
    <cfRule type="cellIs" dxfId="24628" priority="2143" operator="equal">
      <formula>$C442</formula>
    </cfRule>
    <cfRule type="cellIs" dxfId="24627" priority="2144" operator="greaterThan">
      <formula>$C442</formula>
    </cfRule>
    <cfRule type="cellIs" dxfId="24626" priority="2145" operator="lessThan">
      <formula>$C442</formula>
    </cfRule>
  </conditionalFormatting>
  <conditionalFormatting sqref="D443:E443">
    <cfRule type="expression" dxfId="24625" priority="2142">
      <formula>AND($A443&lt;&gt;"",MOD(ROW(),2))</formula>
    </cfRule>
  </conditionalFormatting>
  <conditionalFormatting sqref="D443">
    <cfRule type="cellIs" dxfId="24624" priority="2139" operator="equal">
      <formula>$C443</formula>
    </cfRule>
    <cfRule type="cellIs" dxfId="24623" priority="2140" operator="greaterThan">
      <formula>$C443</formula>
    </cfRule>
    <cfRule type="cellIs" dxfId="24622" priority="2141" operator="lessThan">
      <formula>$C443</formula>
    </cfRule>
  </conditionalFormatting>
  <conditionalFormatting sqref="D444:E444">
    <cfRule type="expression" dxfId="24621" priority="2138">
      <formula>AND($A444&lt;&gt;"",MOD(ROW(),2))</formula>
    </cfRule>
  </conditionalFormatting>
  <conditionalFormatting sqref="D444">
    <cfRule type="cellIs" dxfId="24620" priority="2135" operator="equal">
      <formula>$C444</formula>
    </cfRule>
    <cfRule type="cellIs" dxfId="24619" priority="2136" operator="greaterThan">
      <formula>$C444</formula>
    </cfRule>
    <cfRule type="cellIs" dxfId="24618" priority="2137" operator="lessThan">
      <formula>$C444</formula>
    </cfRule>
  </conditionalFormatting>
  <conditionalFormatting sqref="D445:E445">
    <cfRule type="expression" dxfId="24617" priority="2134">
      <formula>AND($A445&lt;&gt;"",MOD(ROW(),2))</formula>
    </cfRule>
  </conditionalFormatting>
  <conditionalFormatting sqref="D445">
    <cfRule type="cellIs" dxfId="24616" priority="2131" operator="equal">
      <formula>$C445</formula>
    </cfRule>
    <cfRule type="cellIs" dxfId="24615" priority="2132" operator="greaterThan">
      <formula>$C445</formula>
    </cfRule>
    <cfRule type="cellIs" dxfId="24614" priority="2133" operator="lessThan">
      <formula>$C445</formula>
    </cfRule>
  </conditionalFormatting>
  <conditionalFormatting sqref="D446:E446">
    <cfRule type="expression" dxfId="24613" priority="2130">
      <formula>AND($A446&lt;&gt;"",MOD(ROW(),2))</formula>
    </cfRule>
  </conditionalFormatting>
  <conditionalFormatting sqref="D446">
    <cfRule type="cellIs" dxfId="24612" priority="2127" operator="equal">
      <formula>$C446</formula>
    </cfRule>
    <cfRule type="cellIs" dxfId="24611" priority="2128" operator="greaterThan">
      <formula>$C446</formula>
    </cfRule>
    <cfRule type="cellIs" dxfId="24610" priority="2129" operator="lessThan">
      <formula>$C446</formula>
    </cfRule>
  </conditionalFormatting>
  <conditionalFormatting sqref="D447:E447">
    <cfRule type="expression" dxfId="24609" priority="2126">
      <formula>AND($A447&lt;&gt;"",MOD(ROW(),2))</formula>
    </cfRule>
  </conditionalFormatting>
  <conditionalFormatting sqref="D447">
    <cfRule type="cellIs" dxfId="24608" priority="2123" operator="equal">
      <formula>$C447</formula>
    </cfRule>
    <cfRule type="cellIs" dxfId="24607" priority="2124" operator="greaterThan">
      <formula>$C447</formula>
    </cfRule>
    <cfRule type="cellIs" dxfId="24606" priority="2125" operator="lessThan">
      <formula>$C447</formula>
    </cfRule>
  </conditionalFormatting>
  <conditionalFormatting sqref="D448:E448">
    <cfRule type="expression" dxfId="24605" priority="2122">
      <formula>AND($A448&lt;&gt;"",MOD(ROW(),2))</formula>
    </cfRule>
  </conditionalFormatting>
  <conditionalFormatting sqref="D448">
    <cfRule type="cellIs" dxfId="24604" priority="2119" operator="equal">
      <formula>$C448</formula>
    </cfRule>
    <cfRule type="cellIs" dxfId="24603" priority="2120" operator="greaterThan">
      <formula>$C448</formula>
    </cfRule>
    <cfRule type="cellIs" dxfId="24602" priority="2121" operator="lessThan">
      <formula>$C448</formula>
    </cfRule>
  </conditionalFormatting>
  <conditionalFormatting sqref="D449:E449">
    <cfRule type="expression" dxfId="24601" priority="2118">
      <formula>AND($A449&lt;&gt;"",MOD(ROW(),2))</formula>
    </cfRule>
  </conditionalFormatting>
  <conditionalFormatting sqref="D449">
    <cfRule type="cellIs" dxfId="24600" priority="2115" operator="equal">
      <formula>$C449</formula>
    </cfRule>
    <cfRule type="cellIs" dxfId="24599" priority="2116" operator="greaterThan">
      <formula>$C449</formula>
    </cfRule>
    <cfRule type="cellIs" dxfId="24598" priority="2117" operator="lessThan">
      <formula>$C449</formula>
    </cfRule>
  </conditionalFormatting>
  <conditionalFormatting sqref="D450:E450">
    <cfRule type="expression" dxfId="24597" priority="2114">
      <formula>AND($A450&lt;&gt;"",MOD(ROW(),2))</formula>
    </cfRule>
  </conditionalFormatting>
  <conditionalFormatting sqref="D450">
    <cfRule type="cellIs" dxfId="24596" priority="2111" operator="equal">
      <formula>$C450</formula>
    </cfRule>
    <cfRule type="cellIs" dxfId="24595" priority="2112" operator="greaterThan">
      <formula>$C450</formula>
    </cfRule>
    <cfRule type="cellIs" dxfId="24594" priority="2113" operator="lessThan">
      <formula>$C450</formula>
    </cfRule>
  </conditionalFormatting>
  <conditionalFormatting sqref="D451:E451">
    <cfRule type="expression" dxfId="24593" priority="2110">
      <formula>AND($A451&lt;&gt;"",MOD(ROW(),2))</formula>
    </cfRule>
  </conditionalFormatting>
  <conditionalFormatting sqref="D451">
    <cfRule type="cellIs" dxfId="24592" priority="2107" operator="equal">
      <formula>$C451</formula>
    </cfRule>
    <cfRule type="cellIs" dxfId="24591" priority="2108" operator="greaterThan">
      <formula>$C451</formula>
    </cfRule>
    <cfRule type="cellIs" dxfId="24590" priority="2109" operator="lessThan">
      <formula>$C451</formula>
    </cfRule>
  </conditionalFormatting>
  <conditionalFormatting sqref="D452:E452">
    <cfRule type="expression" dxfId="24589" priority="2106">
      <formula>AND($A452&lt;&gt;"",MOD(ROW(),2))</formula>
    </cfRule>
  </conditionalFormatting>
  <conditionalFormatting sqref="D452">
    <cfRule type="cellIs" dxfId="24588" priority="2103" operator="equal">
      <formula>$C452</formula>
    </cfRule>
    <cfRule type="cellIs" dxfId="24587" priority="2104" operator="greaterThan">
      <formula>$C452</formula>
    </cfRule>
    <cfRule type="cellIs" dxfId="24586" priority="2105" operator="lessThan">
      <formula>$C452</formula>
    </cfRule>
  </conditionalFormatting>
  <conditionalFormatting sqref="D453:E453">
    <cfRule type="expression" dxfId="24585" priority="2102">
      <formula>AND($A453&lt;&gt;"",MOD(ROW(),2))</formula>
    </cfRule>
  </conditionalFormatting>
  <conditionalFormatting sqref="D453">
    <cfRule type="cellIs" dxfId="24584" priority="2099" operator="equal">
      <formula>$C453</formula>
    </cfRule>
    <cfRule type="cellIs" dxfId="24583" priority="2100" operator="greaterThan">
      <formula>$C453</formula>
    </cfRule>
    <cfRule type="cellIs" dxfId="24582" priority="2101" operator="lessThan">
      <formula>$C453</formula>
    </cfRule>
  </conditionalFormatting>
  <conditionalFormatting sqref="D454:E454">
    <cfRule type="expression" dxfId="24581" priority="2098">
      <formula>AND($A454&lt;&gt;"",MOD(ROW(),2))</formula>
    </cfRule>
  </conditionalFormatting>
  <conditionalFormatting sqref="D454">
    <cfRule type="cellIs" dxfId="24580" priority="2095" operator="equal">
      <formula>$C454</formula>
    </cfRule>
    <cfRule type="cellIs" dxfId="24579" priority="2096" operator="greaterThan">
      <formula>$C454</formula>
    </cfRule>
    <cfRule type="cellIs" dxfId="24578" priority="2097" operator="lessThan">
      <formula>$C454</formula>
    </cfRule>
  </conditionalFormatting>
  <conditionalFormatting sqref="D455:E455">
    <cfRule type="expression" dxfId="24577" priority="2094">
      <formula>AND($A455&lt;&gt;"",MOD(ROW(),2))</formula>
    </cfRule>
  </conditionalFormatting>
  <conditionalFormatting sqref="D455">
    <cfRule type="cellIs" dxfId="24576" priority="2091" operator="equal">
      <formula>$C455</formula>
    </cfRule>
    <cfRule type="cellIs" dxfId="24575" priority="2092" operator="greaterThan">
      <formula>$C455</formula>
    </cfRule>
    <cfRule type="cellIs" dxfId="24574" priority="2093" operator="lessThan">
      <formula>$C455</formula>
    </cfRule>
  </conditionalFormatting>
  <conditionalFormatting sqref="D456:E456">
    <cfRule type="expression" dxfId="24573" priority="2090">
      <formula>AND($A456&lt;&gt;"",MOD(ROW(),2))</formula>
    </cfRule>
  </conditionalFormatting>
  <conditionalFormatting sqref="D456">
    <cfRule type="cellIs" dxfId="24572" priority="2087" operator="equal">
      <formula>$C456</formula>
    </cfRule>
    <cfRule type="cellIs" dxfId="24571" priority="2088" operator="greaterThan">
      <formula>$C456</formula>
    </cfRule>
    <cfRule type="cellIs" dxfId="24570" priority="2089" operator="lessThan">
      <formula>$C456</formula>
    </cfRule>
  </conditionalFormatting>
  <conditionalFormatting sqref="D457:E457">
    <cfRule type="expression" dxfId="24569" priority="2086">
      <formula>AND($A457&lt;&gt;"",MOD(ROW(),2))</formula>
    </cfRule>
  </conditionalFormatting>
  <conditionalFormatting sqref="D457">
    <cfRule type="cellIs" dxfId="24568" priority="2083" operator="equal">
      <formula>$C457</formula>
    </cfRule>
    <cfRule type="cellIs" dxfId="24567" priority="2084" operator="greaterThan">
      <formula>$C457</formula>
    </cfRule>
    <cfRule type="cellIs" dxfId="24566" priority="2085" operator="lessThan">
      <formula>$C457</formula>
    </cfRule>
  </conditionalFormatting>
  <conditionalFormatting sqref="D458:E458">
    <cfRule type="expression" dxfId="24565" priority="2082">
      <formula>AND($A458&lt;&gt;"",MOD(ROW(),2))</formula>
    </cfRule>
  </conditionalFormatting>
  <conditionalFormatting sqref="D458">
    <cfRule type="cellIs" dxfId="24564" priority="2079" operator="equal">
      <formula>$C458</formula>
    </cfRule>
    <cfRule type="cellIs" dxfId="24563" priority="2080" operator="greaterThan">
      <formula>$C458</formula>
    </cfRule>
    <cfRule type="cellIs" dxfId="24562" priority="2081" operator="lessThan">
      <formula>$C458</formula>
    </cfRule>
  </conditionalFormatting>
  <conditionalFormatting sqref="D459:E459">
    <cfRule type="expression" dxfId="24561" priority="2078">
      <formula>AND($A459&lt;&gt;"",MOD(ROW(),2))</formula>
    </cfRule>
  </conditionalFormatting>
  <conditionalFormatting sqref="D459">
    <cfRule type="cellIs" dxfId="24560" priority="2075" operator="equal">
      <formula>$C459</formula>
    </cfRule>
    <cfRule type="cellIs" dxfId="24559" priority="2076" operator="greaterThan">
      <formula>$C459</formula>
    </cfRule>
    <cfRule type="cellIs" dxfId="24558" priority="2077" operator="lessThan">
      <formula>$C459</formula>
    </cfRule>
  </conditionalFormatting>
  <conditionalFormatting sqref="D460:E460">
    <cfRule type="expression" dxfId="24557" priority="2074">
      <formula>AND($A460&lt;&gt;"",MOD(ROW(),2))</formula>
    </cfRule>
  </conditionalFormatting>
  <conditionalFormatting sqref="D460">
    <cfRule type="cellIs" dxfId="24556" priority="2071" operator="equal">
      <formula>$C460</formula>
    </cfRule>
    <cfRule type="cellIs" dxfId="24555" priority="2072" operator="greaterThan">
      <formula>$C460</formula>
    </cfRule>
    <cfRule type="cellIs" dxfId="24554" priority="2073" operator="lessThan">
      <formula>$C460</formula>
    </cfRule>
  </conditionalFormatting>
  <conditionalFormatting sqref="D461:E461">
    <cfRule type="expression" dxfId="24553" priority="2070">
      <formula>AND($A461&lt;&gt;"",MOD(ROW(),2))</formula>
    </cfRule>
  </conditionalFormatting>
  <conditionalFormatting sqref="D461">
    <cfRule type="cellIs" dxfId="24552" priority="2067" operator="equal">
      <formula>$C461</formula>
    </cfRule>
    <cfRule type="cellIs" dxfId="24551" priority="2068" operator="greaterThan">
      <formula>$C461</formula>
    </cfRule>
    <cfRule type="cellIs" dxfId="24550" priority="2069" operator="lessThan">
      <formula>$C461</formula>
    </cfRule>
  </conditionalFormatting>
  <conditionalFormatting sqref="C439">
    <cfRule type="expression" dxfId="24549" priority="2066">
      <formula>AND($A439&lt;&gt;"",MOD(ROW(),2))</formula>
    </cfRule>
  </conditionalFormatting>
  <conditionalFormatting sqref="C439">
    <cfRule type="cellIs" dxfId="24548" priority="2063" operator="equal">
      <formula>$C439</formula>
    </cfRule>
    <cfRule type="cellIs" dxfId="24547" priority="2064" operator="greaterThan">
      <formula>$C439</formula>
    </cfRule>
    <cfRule type="cellIs" dxfId="24546" priority="2065" operator="lessThan">
      <formula>$C439</formula>
    </cfRule>
  </conditionalFormatting>
  <conditionalFormatting sqref="C440">
    <cfRule type="expression" dxfId="24545" priority="2062">
      <formula>AND($A440&lt;&gt;"",MOD(ROW(),2))</formula>
    </cfRule>
  </conditionalFormatting>
  <conditionalFormatting sqref="C440">
    <cfRule type="cellIs" dxfId="24544" priority="2059" operator="equal">
      <formula>$C440</formula>
    </cfRule>
    <cfRule type="cellIs" dxfId="24543" priority="2060" operator="greaterThan">
      <formula>$C440</formula>
    </cfRule>
    <cfRule type="cellIs" dxfId="24542" priority="2061" operator="lessThan">
      <formula>$C440</formula>
    </cfRule>
  </conditionalFormatting>
  <conditionalFormatting sqref="C441">
    <cfRule type="expression" dxfId="24541" priority="2058">
      <formula>AND($A441&lt;&gt;"",MOD(ROW(),2))</formula>
    </cfRule>
  </conditionalFormatting>
  <conditionalFormatting sqref="C441">
    <cfRule type="cellIs" dxfId="24540" priority="2055" operator="equal">
      <formula>$C441</formula>
    </cfRule>
    <cfRule type="cellIs" dxfId="24539" priority="2056" operator="greaterThan">
      <formula>$C441</formula>
    </cfRule>
    <cfRule type="cellIs" dxfId="24538" priority="2057" operator="lessThan">
      <formula>$C441</formula>
    </cfRule>
  </conditionalFormatting>
  <conditionalFormatting sqref="C442">
    <cfRule type="expression" dxfId="24537" priority="2054">
      <formula>AND($A442&lt;&gt;"",MOD(ROW(),2))</formula>
    </cfRule>
  </conditionalFormatting>
  <conditionalFormatting sqref="C442">
    <cfRule type="cellIs" dxfId="24536" priority="2051" operator="equal">
      <formula>$C442</formula>
    </cfRule>
    <cfRule type="cellIs" dxfId="24535" priority="2052" operator="greaterThan">
      <formula>$C442</formula>
    </cfRule>
    <cfRule type="cellIs" dxfId="24534" priority="2053" operator="lessThan">
      <formula>$C442</formula>
    </cfRule>
  </conditionalFormatting>
  <conditionalFormatting sqref="C443">
    <cfRule type="expression" dxfId="24533" priority="2050">
      <formula>AND($A443&lt;&gt;"",MOD(ROW(),2))</formula>
    </cfRule>
  </conditionalFormatting>
  <conditionalFormatting sqref="C443">
    <cfRule type="cellIs" dxfId="24532" priority="2047" operator="equal">
      <formula>$C443</formula>
    </cfRule>
    <cfRule type="cellIs" dxfId="24531" priority="2048" operator="greaterThan">
      <formula>$C443</formula>
    </cfRule>
    <cfRule type="cellIs" dxfId="24530" priority="2049" operator="lessThan">
      <formula>$C443</formula>
    </cfRule>
  </conditionalFormatting>
  <conditionalFormatting sqref="C444">
    <cfRule type="expression" dxfId="24529" priority="2046">
      <formula>AND($A444&lt;&gt;"",MOD(ROW(),2))</formula>
    </cfRule>
  </conditionalFormatting>
  <conditionalFormatting sqref="C444">
    <cfRule type="cellIs" dxfId="24528" priority="2043" operator="equal">
      <formula>$C444</formula>
    </cfRule>
    <cfRule type="cellIs" dxfId="24527" priority="2044" operator="greaterThan">
      <formula>$C444</formula>
    </cfRule>
    <cfRule type="cellIs" dxfId="24526" priority="2045" operator="lessThan">
      <formula>$C444</formula>
    </cfRule>
  </conditionalFormatting>
  <conditionalFormatting sqref="C445">
    <cfRule type="expression" dxfId="24525" priority="2042">
      <formula>AND($A445&lt;&gt;"",MOD(ROW(),2))</formula>
    </cfRule>
  </conditionalFormatting>
  <conditionalFormatting sqref="C445">
    <cfRule type="cellIs" dxfId="24524" priority="2039" operator="equal">
      <formula>$C445</formula>
    </cfRule>
    <cfRule type="cellIs" dxfId="24523" priority="2040" operator="greaterThan">
      <formula>$C445</formula>
    </cfRule>
    <cfRule type="cellIs" dxfId="24522" priority="2041" operator="lessThan">
      <formula>$C445</formula>
    </cfRule>
  </conditionalFormatting>
  <conditionalFormatting sqref="C446">
    <cfRule type="expression" dxfId="24521" priority="2038">
      <formula>AND($A446&lt;&gt;"",MOD(ROW(),2))</formula>
    </cfRule>
  </conditionalFormatting>
  <conditionalFormatting sqref="C446">
    <cfRule type="cellIs" dxfId="24520" priority="2035" operator="equal">
      <formula>$C446</formula>
    </cfRule>
    <cfRule type="cellIs" dxfId="24519" priority="2036" operator="greaterThan">
      <formula>$C446</formula>
    </cfRule>
    <cfRule type="cellIs" dxfId="24518" priority="2037" operator="lessThan">
      <formula>$C446</formula>
    </cfRule>
  </conditionalFormatting>
  <conditionalFormatting sqref="C447">
    <cfRule type="expression" dxfId="24517" priority="2034">
      <formula>AND($A447&lt;&gt;"",MOD(ROW(),2))</formula>
    </cfRule>
  </conditionalFormatting>
  <conditionalFormatting sqref="C447">
    <cfRule type="cellIs" dxfId="24516" priority="2031" operator="equal">
      <formula>$C447</formula>
    </cfRule>
    <cfRule type="cellIs" dxfId="24515" priority="2032" operator="greaterThan">
      <formula>$C447</formula>
    </cfRule>
    <cfRule type="cellIs" dxfId="24514" priority="2033" operator="lessThan">
      <formula>$C447</formula>
    </cfRule>
  </conditionalFormatting>
  <conditionalFormatting sqref="C448">
    <cfRule type="expression" dxfId="24513" priority="2030">
      <formula>AND($A448&lt;&gt;"",MOD(ROW(),2))</formula>
    </cfRule>
  </conditionalFormatting>
  <conditionalFormatting sqref="C448">
    <cfRule type="cellIs" dxfId="24512" priority="2027" operator="equal">
      <formula>$C448</formula>
    </cfRule>
    <cfRule type="cellIs" dxfId="24511" priority="2028" operator="greaterThan">
      <formula>$C448</formula>
    </cfRule>
    <cfRule type="cellIs" dxfId="24510" priority="2029" operator="lessThan">
      <formula>$C448</formula>
    </cfRule>
  </conditionalFormatting>
  <conditionalFormatting sqref="C449">
    <cfRule type="expression" dxfId="24509" priority="2026">
      <formula>AND($A449&lt;&gt;"",MOD(ROW(),2))</formula>
    </cfRule>
  </conditionalFormatting>
  <conditionalFormatting sqref="C449">
    <cfRule type="cellIs" dxfId="24508" priority="2023" operator="equal">
      <formula>$C449</formula>
    </cfRule>
    <cfRule type="cellIs" dxfId="24507" priority="2024" operator="greaterThan">
      <formula>$C449</formula>
    </cfRule>
    <cfRule type="cellIs" dxfId="24506" priority="2025" operator="lessThan">
      <formula>$C449</formula>
    </cfRule>
  </conditionalFormatting>
  <conditionalFormatting sqref="C450">
    <cfRule type="expression" dxfId="24505" priority="2022">
      <formula>AND($A450&lt;&gt;"",MOD(ROW(),2))</formula>
    </cfRule>
  </conditionalFormatting>
  <conditionalFormatting sqref="C450">
    <cfRule type="cellIs" dxfId="24504" priority="2019" operator="equal">
      <formula>$C450</formula>
    </cfRule>
    <cfRule type="cellIs" dxfId="24503" priority="2020" operator="greaterThan">
      <formula>$C450</formula>
    </cfRule>
    <cfRule type="cellIs" dxfId="24502" priority="2021" operator="lessThan">
      <formula>$C450</formula>
    </cfRule>
  </conditionalFormatting>
  <conditionalFormatting sqref="D439:E439">
    <cfRule type="expression" dxfId="24501" priority="2018">
      <formula>AND($A439&lt;&gt;"",MOD(ROW(),2))</formula>
    </cfRule>
  </conditionalFormatting>
  <conditionalFormatting sqref="D439">
    <cfRule type="cellIs" dxfId="24500" priority="2015" operator="equal">
      <formula>$C439</formula>
    </cfRule>
    <cfRule type="cellIs" dxfId="24499" priority="2016" operator="greaterThan">
      <formula>$C439</formula>
    </cfRule>
    <cfRule type="cellIs" dxfId="24498" priority="2017" operator="lessThan">
      <formula>$C439</formula>
    </cfRule>
  </conditionalFormatting>
  <conditionalFormatting sqref="D440:E440">
    <cfRule type="expression" dxfId="24497" priority="2014">
      <formula>AND($A440&lt;&gt;"",MOD(ROW(),2))</formula>
    </cfRule>
  </conditionalFormatting>
  <conditionalFormatting sqref="D440">
    <cfRule type="cellIs" dxfId="24496" priority="2011" operator="equal">
      <formula>$C440</formula>
    </cfRule>
    <cfRule type="cellIs" dxfId="24495" priority="2012" operator="greaterThan">
      <formula>$C440</formula>
    </cfRule>
    <cfRule type="cellIs" dxfId="24494" priority="2013" operator="lessThan">
      <formula>$C440</formula>
    </cfRule>
  </conditionalFormatting>
  <conditionalFormatting sqref="D441:E441">
    <cfRule type="expression" dxfId="24493" priority="2010">
      <formula>AND($A441&lt;&gt;"",MOD(ROW(),2))</formula>
    </cfRule>
  </conditionalFormatting>
  <conditionalFormatting sqref="D441">
    <cfRule type="cellIs" dxfId="24492" priority="2007" operator="equal">
      <formula>$C441</formula>
    </cfRule>
    <cfRule type="cellIs" dxfId="24491" priority="2008" operator="greaterThan">
      <formula>$C441</formula>
    </cfRule>
    <cfRule type="cellIs" dxfId="24490" priority="2009" operator="lessThan">
      <formula>$C441</formula>
    </cfRule>
  </conditionalFormatting>
  <conditionalFormatting sqref="D442:E442">
    <cfRule type="expression" dxfId="24489" priority="2006">
      <formula>AND($A442&lt;&gt;"",MOD(ROW(),2))</formula>
    </cfRule>
  </conditionalFormatting>
  <conditionalFormatting sqref="D442">
    <cfRule type="cellIs" dxfId="24488" priority="2003" operator="equal">
      <formula>$C442</formula>
    </cfRule>
    <cfRule type="cellIs" dxfId="24487" priority="2004" operator="greaterThan">
      <formula>$C442</formula>
    </cfRule>
    <cfRule type="cellIs" dxfId="24486" priority="2005" operator="lessThan">
      <formula>$C442</formula>
    </cfRule>
  </conditionalFormatting>
  <conditionalFormatting sqref="D443:E443">
    <cfRule type="expression" dxfId="24485" priority="2002">
      <formula>AND($A443&lt;&gt;"",MOD(ROW(),2))</formula>
    </cfRule>
  </conditionalFormatting>
  <conditionalFormatting sqref="D443">
    <cfRule type="cellIs" dxfId="24484" priority="1999" operator="equal">
      <formula>$C443</formula>
    </cfRule>
    <cfRule type="cellIs" dxfId="24483" priority="2000" operator="greaterThan">
      <formula>$C443</formula>
    </cfRule>
    <cfRule type="cellIs" dxfId="24482" priority="2001" operator="lessThan">
      <formula>$C443</formula>
    </cfRule>
  </conditionalFormatting>
  <conditionalFormatting sqref="D444:E444">
    <cfRule type="expression" dxfId="24481" priority="1998">
      <formula>AND($A444&lt;&gt;"",MOD(ROW(),2))</formula>
    </cfRule>
  </conditionalFormatting>
  <conditionalFormatting sqref="D444">
    <cfRule type="cellIs" dxfId="24480" priority="1995" operator="equal">
      <formula>$C444</formula>
    </cfRule>
    <cfRule type="cellIs" dxfId="24479" priority="1996" operator="greaterThan">
      <formula>$C444</formula>
    </cfRule>
    <cfRule type="cellIs" dxfId="24478" priority="1997" operator="lessThan">
      <formula>$C444</formula>
    </cfRule>
  </conditionalFormatting>
  <conditionalFormatting sqref="D445:E445">
    <cfRule type="expression" dxfId="24477" priority="1994">
      <formula>AND($A445&lt;&gt;"",MOD(ROW(),2))</formula>
    </cfRule>
  </conditionalFormatting>
  <conditionalFormatting sqref="D445">
    <cfRule type="cellIs" dxfId="24476" priority="1991" operator="equal">
      <formula>$C445</formula>
    </cfRule>
    <cfRule type="cellIs" dxfId="24475" priority="1992" operator="greaterThan">
      <formula>$C445</formula>
    </cfRule>
    <cfRule type="cellIs" dxfId="24474" priority="1993" operator="lessThan">
      <formula>$C445</formula>
    </cfRule>
  </conditionalFormatting>
  <conditionalFormatting sqref="D446:E446">
    <cfRule type="expression" dxfId="24473" priority="1990">
      <formula>AND($A446&lt;&gt;"",MOD(ROW(),2))</formula>
    </cfRule>
  </conditionalFormatting>
  <conditionalFormatting sqref="D446">
    <cfRule type="cellIs" dxfId="24472" priority="1987" operator="equal">
      <formula>$C446</formula>
    </cfRule>
    <cfRule type="cellIs" dxfId="24471" priority="1988" operator="greaterThan">
      <formula>$C446</formula>
    </cfRule>
    <cfRule type="cellIs" dxfId="24470" priority="1989" operator="lessThan">
      <formula>$C446</formula>
    </cfRule>
  </conditionalFormatting>
  <conditionalFormatting sqref="D447:E447">
    <cfRule type="expression" dxfId="24469" priority="1986">
      <formula>AND($A447&lt;&gt;"",MOD(ROW(),2))</formula>
    </cfRule>
  </conditionalFormatting>
  <conditionalFormatting sqref="D447">
    <cfRule type="cellIs" dxfId="24468" priority="1983" operator="equal">
      <formula>$C447</formula>
    </cfRule>
    <cfRule type="cellIs" dxfId="24467" priority="1984" operator="greaterThan">
      <formula>$C447</formula>
    </cfRule>
    <cfRule type="cellIs" dxfId="24466" priority="1985" operator="lessThan">
      <formula>$C447</formula>
    </cfRule>
  </conditionalFormatting>
  <conditionalFormatting sqref="D448:E448">
    <cfRule type="expression" dxfId="24465" priority="1982">
      <formula>AND($A448&lt;&gt;"",MOD(ROW(),2))</formula>
    </cfRule>
  </conditionalFormatting>
  <conditionalFormatting sqref="D448">
    <cfRule type="cellIs" dxfId="24464" priority="1979" operator="equal">
      <formula>$C448</formula>
    </cfRule>
    <cfRule type="cellIs" dxfId="24463" priority="1980" operator="greaterThan">
      <formula>$C448</formula>
    </cfRule>
    <cfRule type="cellIs" dxfId="24462" priority="1981" operator="lessThan">
      <formula>$C448</formula>
    </cfRule>
  </conditionalFormatting>
  <conditionalFormatting sqref="D449:E449">
    <cfRule type="expression" dxfId="24461" priority="1978">
      <formula>AND($A449&lt;&gt;"",MOD(ROW(),2))</formula>
    </cfRule>
  </conditionalFormatting>
  <conditionalFormatting sqref="D449">
    <cfRule type="cellIs" dxfId="24460" priority="1975" operator="equal">
      <formula>$C449</formula>
    </cfRule>
    <cfRule type="cellIs" dxfId="24459" priority="1976" operator="greaterThan">
      <formula>$C449</formula>
    </cfRule>
    <cfRule type="cellIs" dxfId="24458" priority="1977" operator="lessThan">
      <formula>$C449</formula>
    </cfRule>
  </conditionalFormatting>
  <conditionalFormatting sqref="D450:E450">
    <cfRule type="expression" dxfId="24457" priority="1974">
      <formula>AND($A450&lt;&gt;"",MOD(ROW(),2))</formula>
    </cfRule>
  </conditionalFormatting>
  <conditionalFormatting sqref="D450">
    <cfRule type="cellIs" dxfId="24456" priority="1971" operator="equal">
      <formula>$C450</formula>
    </cfRule>
    <cfRule type="cellIs" dxfId="24455" priority="1972" operator="greaterThan">
      <formula>$C450</formula>
    </cfRule>
    <cfRule type="cellIs" dxfId="24454" priority="1973" operator="lessThan">
      <formula>$C450</formula>
    </cfRule>
  </conditionalFormatting>
  <conditionalFormatting sqref="D451:E451">
    <cfRule type="expression" dxfId="24453" priority="1970">
      <formula>AND($A451&lt;&gt;"",MOD(ROW(),2))</formula>
    </cfRule>
  </conditionalFormatting>
  <conditionalFormatting sqref="D451">
    <cfRule type="cellIs" dxfId="24452" priority="1967" operator="equal">
      <formula>$C451</formula>
    </cfRule>
    <cfRule type="cellIs" dxfId="24451" priority="1968" operator="greaterThan">
      <formula>$C451</formula>
    </cfRule>
    <cfRule type="cellIs" dxfId="24450" priority="1969" operator="lessThan">
      <formula>$C451</formula>
    </cfRule>
  </conditionalFormatting>
  <conditionalFormatting sqref="D452:E452">
    <cfRule type="expression" dxfId="24449" priority="1966">
      <formula>AND($A452&lt;&gt;"",MOD(ROW(),2))</formula>
    </cfRule>
  </conditionalFormatting>
  <conditionalFormatting sqref="D452">
    <cfRule type="cellIs" dxfId="24448" priority="1963" operator="equal">
      <formula>$C452</formula>
    </cfRule>
    <cfRule type="cellIs" dxfId="24447" priority="1964" operator="greaterThan">
      <formula>$C452</formula>
    </cfRule>
    <cfRule type="cellIs" dxfId="24446" priority="1965" operator="lessThan">
      <formula>$C452</formula>
    </cfRule>
  </conditionalFormatting>
  <conditionalFormatting sqref="D453:E453">
    <cfRule type="expression" dxfId="24445" priority="1962">
      <formula>AND($A453&lt;&gt;"",MOD(ROW(),2))</formula>
    </cfRule>
  </conditionalFormatting>
  <conditionalFormatting sqref="D453">
    <cfRule type="cellIs" dxfId="24444" priority="1959" operator="equal">
      <formula>$C453</formula>
    </cfRule>
    <cfRule type="cellIs" dxfId="24443" priority="1960" operator="greaterThan">
      <formula>$C453</formula>
    </cfRule>
    <cfRule type="cellIs" dxfId="24442" priority="1961" operator="lessThan">
      <formula>$C453</formula>
    </cfRule>
  </conditionalFormatting>
  <conditionalFormatting sqref="D454:E454">
    <cfRule type="expression" dxfId="24441" priority="1958">
      <formula>AND($A454&lt;&gt;"",MOD(ROW(),2))</formula>
    </cfRule>
  </conditionalFormatting>
  <conditionalFormatting sqref="D454">
    <cfRule type="cellIs" dxfId="24440" priority="1955" operator="equal">
      <formula>$C454</formula>
    </cfRule>
    <cfRule type="cellIs" dxfId="24439" priority="1956" operator="greaterThan">
      <formula>$C454</formula>
    </cfRule>
    <cfRule type="cellIs" dxfId="24438" priority="1957" operator="lessThan">
      <formula>$C454</formula>
    </cfRule>
  </conditionalFormatting>
  <conditionalFormatting sqref="D455:E455">
    <cfRule type="expression" dxfId="24437" priority="1954">
      <formula>AND($A455&lt;&gt;"",MOD(ROW(),2))</formula>
    </cfRule>
  </conditionalFormatting>
  <conditionalFormatting sqref="D455">
    <cfRule type="cellIs" dxfId="24436" priority="1951" operator="equal">
      <formula>$C455</formula>
    </cfRule>
    <cfRule type="cellIs" dxfId="24435" priority="1952" operator="greaterThan">
      <formula>$C455</formula>
    </cfRule>
    <cfRule type="cellIs" dxfId="24434" priority="1953" operator="lessThan">
      <formula>$C455</formula>
    </cfRule>
  </conditionalFormatting>
  <conditionalFormatting sqref="D456:E456">
    <cfRule type="expression" dxfId="24433" priority="1950">
      <formula>AND($A456&lt;&gt;"",MOD(ROW(),2))</formula>
    </cfRule>
  </conditionalFormatting>
  <conditionalFormatting sqref="D456">
    <cfRule type="cellIs" dxfId="24432" priority="1947" operator="equal">
      <formula>$C456</formula>
    </cfRule>
    <cfRule type="cellIs" dxfId="24431" priority="1948" operator="greaterThan">
      <formula>$C456</formula>
    </cfRule>
    <cfRule type="cellIs" dxfId="24430" priority="1949" operator="lessThan">
      <formula>$C456</formula>
    </cfRule>
  </conditionalFormatting>
  <conditionalFormatting sqref="D457:E457">
    <cfRule type="expression" dxfId="24429" priority="1946">
      <formula>AND($A457&lt;&gt;"",MOD(ROW(),2))</formula>
    </cfRule>
  </conditionalFormatting>
  <conditionalFormatting sqref="D457">
    <cfRule type="cellIs" dxfId="24428" priority="1943" operator="equal">
      <formula>$C457</formula>
    </cfRule>
    <cfRule type="cellIs" dxfId="24427" priority="1944" operator="greaterThan">
      <formula>$C457</formula>
    </cfRule>
    <cfRule type="cellIs" dxfId="24426" priority="1945" operator="lessThan">
      <formula>$C457</formula>
    </cfRule>
  </conditionalFormatting>
  <conditionalFormatting sqref="D458:E458">
    <cfRule type="expression" dxfId="24425" priority="1942">
      <formula>AND($A458&lt;&gt;"",MOD(ROW(),2))</formula>
    </cfRule>
  </conditionalFormatting>
  <conditionalFormatting sqref="D458">
    <cfRule type="cellIs" dxfId="24424" priority="1939" operator="equal">
      <formula>$C458</formula>
    </cfRule>
    <cfRule type="cellIs" dxfId="24423" priority="1940" operator="greaterThan">
      <formula>$C458</formula>
    </cfRule>
    <cfRule type="cellIs" dxfId="24422" priority="1941" operator="lessThan">
      <formula>$C458</formula>
    </cfRule>
  </conditionalFormatting>
  <conditionalFormatting sqref="D459:E459">
    <cfRule type="expression" dxfId="24421" priority="1938">
      <formula>AND($A459&lt;&gt;"",MOD(ROW(),2))</formula>
    </cfRule>
  </conditionalFormatting>
  <conditionalFormatting sqref="D459">
    <cfRule type="cellIs" dxfId="24420" priority="1935" operator="equal">
      <formula>$C459</formula>
    </cfRule>
    <cfRule type="cellIs" dxfId="24419" priority="1936" operator="greaterThan">
      <formula>$C459</formula>
    </cfRule>
    <cfRule type="cellIs" dxfId="24418" priority="1937" operator="lessThan">
      <formula>$C459</formula>
    </cfRule>
  </conditionalFormatting>
  <conditionalFormatting sqref="D460:E460">
    <cfRule type="expression" dxfId="24417" priority="1934">
      <formula>AND($A460&lt;&gt;"",MOD(ROW(),2))</formula>
    </cfRule>
  </conditionalFormatting>
  <conditionalFormatting sqref="D460">
    <cfRule type="cellIs" dxfId="24416" priority="1931" operator="equal">
      <formula>$C460</formula>
    </cfRule>
    <cfRule type="cellIs" dxfId="24415" priority="1932" operator="greaterThan">
      <formula>$C460</formula>
    </cfRule>
    <cfRule type="cellIs" dxfId="24414" priority="1933" operator="lessThan">
      <formula>$C460</formula>
    </cfRule>
  </conditionalFormatting>
  <conditionalFormatting sqref="D461:E461">
    <cfRule type="expression" dxfId="24413" priority="1930">
      <formula>AND($A461&lt;&gt;"",MOD(ROW(),2))</formula>
    </cfRule>
  </conditionalFormatting>
  <conditionalFormatting sqref="D461">
    <cfRule type="cellIs" dxfId="24412" priority="1927" operator="equal">
      <formula>$C461</formula>
    </cfRule>
    <cfRule type="cellIs" dxfId="24411" priority="1928" operator="greaterThan">
      <formula>$C461</formula>
    </cfRule>
    <cfRule type="cellIs" dxfId="24410" priority="1929" operator="lessThan">
      <formula>$C461</formula>
    </cfRule>
  </conditionalFormatting>
  <conditionalFormatting sqref="D462:E462">
    <cfRule type="expression" dxfId="24409" priority="1926">
      <formula>AND($A462&lt;&gt;"",MOD(ROW(),2))</formula>
    </cfRule>
  </conditionalFormatting>
  <conditionalFormatting sqref="D462">
    <cfRule type="cellIs" dxfId="24408" priority="1923" operator="equal">
      <formula>$C462</formula>
    </cfRule>
    <cfRule type="cellIs" dxfId="24407" priority="1924" operator="greaterThan">
      <formula>$C462</formula>
    </cfRule>
    <cfRule type="cellIs" dxfId="24406" priority="1925" operator="lessThan">
      <formula>$C462</formula>
    </cfRule>
  </conditionalFormatting>
  <conditionalFormatting sqref="E463">
    <cfRule type="expression" dxfId="24405" priority="1922">
      <formula>AND($A463&lt;&gt;"",MOD(ROW(),2))</formula>
    </cfRule>
  </conditionalFormatting>
  <conditionalFormatting sqref="E464">
    <cfRule type="expression" dxfId="24404" priority="1921">
      <formula>AND($A464&lt;&gt;"",MOD(ROW(),2))</formula>
    </cfRule>
  </conditionalFormatting>
  <conditionalFormatting sqref="E465">
    <cfRule type="expression" dxfId="24403" priority="1920">
      <formula>AND($A465&lt;&gt;"",MOD(ROW(),2))</formula>
    </cfRule>
  </conditionalFormatting>
  <conditionalFormatting sqref="C437">
    <cfRule type="expression" dxfId="24402" priority="1919">
      <formula>AND($A437&lt;&gt;"",MOD(ROW(),2))</formula>
    </cfRule>
  </conditionalFormatting>
  <conditionalFormatting sqref="C437">
    <cfRule type="cellIs" dxfId="24401" priority="1916" operator="equal">
      <formula>$C437</formula>
    </cfRule>
    <cfRule type="cellIs" dxfId="24400" priority="1917" operator="greaterThan">
      <formula>$C437</formula>
    </cfRule>
    <cfRule type="cellIs" dxfId="24399" priority="1918" operator="lessThan">
      <formula>$C437</formula>
    </cfRule>
  </conditionalFormatting>
  <conditionalFormatting sqref="C438">
    <cfRule type="expression" dxfId="24398" priority="1915">
      <formula>AND($A438&lt;&gt;"",MOD(ROW(),2))</formula>
    </cfRule>
  </conditionalFormatting>
  <conditionalFormatting sqref="C438">
    <cfRule type="cellIs" dxfId="24397" priority="1912" operator="equal">
      <formula>$C438</formula>
    </cfRule>
    <cfRule type="cellIs" dxfId="24396" priority="1913" operator="greaterThan">
      <formula>$C438</formula>
    </cfRule>
    <cfRule type="cellIs" dxfId="24395" priority="1914" operator="lessThan">
      <formula>$C438</formula>
    </cfRule>
  </conditionalFormatting>
  <conditionalFormatting sqref="C439">
    <cfRule type="expression" dxfId="24394" priority="1911">
      <formula>AND($A439&lt;&gt;"",MOD(ROW(),2))</formula>
    </cfRule>
  </conditionalFormatting>
  <conditionalFormatting sqref="C439">
    <cfRule type="cellIs" dxfId="24393" priority="1908" operator="equal">
      <formula>$C439</formula>
    </cfRule>
    <cfRule type="cellIs" dxfId="24392" priority="1909" operator="greaterThan">
      <formula>$C439</formula>
    </cfRule>
    <cfRule type="cellIs" dxfId="24391" priority="1910" operator="lessThan">
      <formula>$C439</formula>
    </cfRule>
  </conditionalFormatting>
  <conditionalFormatting sqref="C440">
    <cfRule type="expression" dxfId="24390" priority="1907">
      <formula>AND($A440&lt;&gt;"",MOD(ROW(),2))</formula>
    </cfRule>
  </conditionalFormatting>
  <conditionalFormatting sqref="C440">
    <cfRule type="cellIs" dxfId="24389" priority="1904" operator="equal">
      <formula>$C440</formula>
    </cfRule>
    <cfRule type="cellIs" dxfId="24388" priority="1905" operator="greaterThan">
      <formula>$C440</formula>
    </cfRule>
    <cfRule type="cellIs" dxfId="24387" priority="1906" operator="lessThan">
      <formula>$C440</formula>
    </cfRule>
  </conditionalFormatting>
  <conditionalFormatting sqref="C441">
    <cfRule type="expression" dxfId="24386" priority="1903">
      <formula>AND($A441&lt;&gt;"",MOD(ROW(),2))</formula>
    </cfRule>
  </conditionalFormatting>
  <conditionalFormatting sqref="C441">
    <cfRule type="cellIs" dxfId="24385" priority="1900" operator="equal">
      <formula>$C441</formula>
    </cfRule>
    <cfRule type="cellIs" dxfId="24384" priority="1901" operator="greaterThan">
      <formula>$C441</formula>
    </cfRule>
    <cfRule type="cellIs" dxfId="24383" priority="1902" operator="lessThan">
      <formula>$C441</formula>
    </cfRule>
  </conditionalFormatting>
  <conditionalFormatting sqref="C442">
    <cfRule type="expression" dxfId="24382" priority="1899">
      <formula>AND($A442&lt;&gt;"",MOD(ROW(),2))</formula>
    </cfRule>
  </conditionalFormatting>
  <conditionalFormatting sqref="C442">
    <cfRule type="cellIs" dxfId="24381" priority="1896" operator="equal">
      <formula>$C442</formula>
    </cfRule>
    <cfRule type="cellIs" dxfId="24380" priority="1897" operator="greaterThan">
      <formula>$C442</formula>
    </cfRule>
    <cfRule type="cellIs" dxfId="24379" priority="1898" operator="lessThan">
      <formula>$C442</formula>
    </cfRule>
  </conditionalFormatting>
  <conditionalFormatting sqref="C443">
    <cfRule type="expression" dxfId="24378" priority="1895">
      <formula>AND($A443&lt;&gt;"",MOD(ROW(),2))</formula>
    </cfRule>
  </conditionalFormatting>
  <conditionalFormatting sqref="C443">
    <cfRule type="cellIs" dxfId="24377" priority="1892" operator="equal">
      <formula>$C443</formula>
    </cfRule>
    <cfRule type="cellIs" dxfId="24376" priority="1893" operator="greaterThan">
      <formula>$C443</formula>
    </cfRule>
    <cfRule type="cellIs" dxfId="24375" priority="1894" operator="lessThan">
      <formula>$C443</formula>
    </cfRule>
  </conditionalFormatting>
  <conditionalFormatting sqref="C444">
    <cfRule type="expression" dxfId="24374" priority="1891">
      <formula>AND($A444&lt;&gt;"",MOD(ROW(),2))</formula>
    </cfRule>
  </conditionalFormatting>
  <conditionalFormatting sqref="C444">
    <cfRule type="cellIs" dxfId="24373" priority="1888" operator="equal">
      <formula>$C444</formula>
    </cfRule>
    <cfRule type="cellIs" dxfId="24372" priority="1889" operator="greaterThan">
      <formula>$C444</formula>
    </cfRule>
    <cfRule type="cellIs" dxfId="24371" priority="1890" operator="lessThan">
      <formula>$C444</formula>
    </cfRule>
  </conditionalFormatting>
  <conditionalFormatting sqref="C445">
    <cfRule type="expression" dxfId="24370" priority="1887">
      <formula>AND($A445&lt;&gt;"",MOD(ROW(),2))</formula>
    </cfRule>
  </conditionalFormatting>
  <conditionalFormatting sqref="C445">
    <cfRule type="cellIs" dxfId="24369" priority="1884" operator="equal">
      <formula>$C445</formula>
    </cfRule>
    <cfRule type="cellIs" dxfId="24368" priority="1885" operator="greaterThan">
      <formula>$C445</formula>
    </cfRule>
    <cfRule type="cellIs" dxfId="24367" priority="1886" operator="lessThan">
      <formula>$C445</formula>
    </cfRule>
  </conditionalFormatting>
  <conditionalFormatting sqref="C446">
    <cfRule type="expression" dxfId="24366" priority="1883">
      <formula>AND($A446&lt;&gt;"",MOD(ROW(),2))</formula>
    </cfRule>
  </conditionalFormatting>
  <conditionalFormatting sqref="C446">
    <cfRule type="cellIs" dxfId="24365" priority="1880" operator="equal">
      <formula>$C446</formula>
    </cfRule>
    <cfRule type="cellIs" dxfId="24364" priority="1881" operator="greaterThan">
      <formula>$C446</formula>
    </cfRule>
    <cfRule type="cellIs" dxfId="24363" priority="1882" operator="lessThan">
      <formula>$C446</formula>
    </cfRule>
  </conditionalFormatting>
  <conditionalFormatting sqref="C447">
    <cfRule type="expression" dxfId="24362" priority="1879">
      <formula>AND($A447&lt;&gt;"",MOD(ROW(),2))</formula>
    </cfRule>
  </conditionalFormatting>
  <conditionalFormatting sqref="C447">
    <cfRule type="cellIs" dxfId="24361" priority="1876" operator="equal">
      <formula>$C447</formula>
    </cfRule>
    <cfRule type="cellIs" dxfId="24360" priority="1877" operator="greaterThan">
      <formula>$C447</formula>
    </cfRule>
    <cfRule type="cellIs" dxfId="24359" priority="1878" operator="lessThan">
      <formula>$C447</formula>
    </cfRule>
  </conditionalFormatting>
  <conditionalFormatting sqref="C448">
    <cfRule type="expression" dxfId="24358" priority="1875">
      <formula>AND($A448&lt;&gt;"",MOD(ROW(),2))</formula>
    </cfRule>
  </conditionalFormatting>
  <conditionalFormatting sqref="C448">
    <cfRule type="cellIs" dxfId="24357" priority="1872" operator="equal">
      <formula>$C448</formula>
    </cfRule>
    <cfRule type="cellIs" dxfId="24356" priority="1873" operator="greaterThan">
      <formula>$C448</formula>
    </cfRule>
    <cfRule type="cellIs" dxfId="24355" priority="1874" operator="lessThan">
      <formula>$C448</formula>
    </cfRule>
  </conditionalFormatting>
  <conditionalFormatting sqref="D437:E437">
    <cfRule type="expression" dxfId="24354" priority="1871">
      <formula>AND($A437&lt;&gt;"",MOD(ROW(),2))</formula>
    </cfRule>
  </conditionalFormatting>
  <conditionalFormatting sqref="D437">
    <cfRule type="cellIs" dxfId="24353" priority="1868" operator="equal">
      <formula>$C437</formula>
    </cfRule>
    <cfRule type="cellIs" dxfId="24352" priority="1869" operator="greaterThan">
      <formula>$C437</formula>
    </cfRule>
    <cfRule type="cellIs" dxfId="24351" priority="1870" operator="lessThan">
      <formula>$C437</formula>
    </cfRule>
  </conditionalFormatting>
  <conditionalFormatting sqref="D438:E438">
    <cfRule type="expression" dxfId="24350" priority="1867">
      <formula>AND($A438&lt;&gt;"",MOD(ROW(),2))</formula>
    </cfRule>
  </conditionalFormatting>
  <conditionalFormatting sqref="D438">
    <cfRule type="cellIs" dxfId="24349" priority="1864" operator="equal">
      <formula>$C438</formula>
    </cfRule>
    <cfRule type="cellIs" dxfId="24348" priority="1865" operator="greaterThan">
      <formula>$C438</formula>
    </cfRule>
    <cfRule type="cellIs" dxfId="24347" priority="1866" operator="lessThan">
      <formula>$C438</formula>
    </cfRule>
  </conditionalFormatting>
  <conditionalFormatting sqref="D439:E439">
    <cfRule type="expression" dxfId="24346" priority="1863">
      <formula>AND($A439&lt;&gt;"",MOD(ROW(),2))</formula>
    </cfRule>
  </conditionalFormatting>
  <conditionalFormatting sqref="D439">
    <cfRule type="cellIs" dxfId="24345" priority="1860" operator="equal">
      <formula>$C439</formula>
    </cfRule>
    <cfRule type="cellIs" dxfId="24344" priority="1861" operator="greaterThan">
      <formula>$C439</formula>
    </cfRule>
    <cfRule type="cellIs" dxfId="24343" priority="1862" operator="lessThan">
      <formula>$C439</formula>
    </cfRule>
  </conditionalFormatting>
  <conditionalFormatting sqref="D440:E440">
    <cfRule type="expression" dxfId="24342" priority="1859">
      <formula>AND($A440&lt;&gt;"",MOD(ROW(),2))</formula>
    </cfRule>
  </conditionalFormatting>
  <conditionalFormatting sqref="D440">
    <cfRule type="cellIs" dxfId="24341" priority="1856" operator="equal">
      <formula>$C440</formula>
    </cfRule>
    <cfRule type="cellIs" dxfId="24340" priority="1857" operator="greaterThan">
      <formula>$C440</formula>
    </cfRule>
    <cfRule type="cellIs" dxfId="24339" priority="1858" operator="lessThan">
      <formula>$C440</formula>
    </cfRule>
  </conditionalFormatting>
  <conditionalFormatting sqref="D441:E441">
    <cfRule type="expression" dxfId="24338" priority="1855">
      <formula>AND($A441&lt;&gt;"",MOD(ROW(),2))</formula>
    </cfRule>
  </conditionalFormatting>
  <conditionalFormatting sqref="D441">
    <cfRule type="cellIs" dxfId="24337" priority="1852" operator="equal">
      <formula>$C441</formula>
    </cfRule>
    <cfRule type="cellIs" dxfId="24336" priority="1853" operator="greaterThan">
      <formula>$C441</formula>
    </cfRule>
    <cfRule type="cellIs" dxfId="24335" priority="1854" operator="lessThan">
      <formula>$C441</formula>
    </cfRule>
  </conditionalFormatting>
  <conditionalFormatting sqref="D442:E442">
    <cfRule type="expression" dxfId="24334" priority="1851">
      <formula>AND($A442&lt;&gt;"",MOD(ROW(),2))</formula>
    </cfRule>
  </conditionalFormatting>
  <conditionalFormatting sqref="D442">
    <cfRule type="cellIs" dxfId="24333" priority="1848" operator="equal">
      <formula>$C442</formula>
    </cfRule>
    <cfRule type="cellIs" dxfId="24332" priority="1849" operator="greaterThan">
      <formula>$C442</formula>
    </cfRule>
    <cfRule type="cellIs" dxfId="24331" priority="1850" operator="lessThan">
      <formula>$C442</formula>
    </cfRule>
  </conditionalFormatting>
  <conditionalFormatting sqref="D443:E443">
    <cfRule type="expression" dxfId="24330" priority="1847">
      <formula>AND($A443&lt;&gt;"",MOD(ROW(),2))</formula>
    </cfRule>
  </conditionalFormatting>
  <conditionalFormatting sqref="D443">
    <cfRule type="cellIs" dxfId="24329" priority="1844" operator="equal">
      <formula>$C443</formula>
    </cfRule>
    <cfRule type="cellIs" dxfId="24328" priority="1845" operator="greaterThan">
      <formula>$C443</formula>
    </cfRule>
    <cfRule type="cellIs" dxfId="24327" priority="1846" operator="lessThan">
      <formula>$C443</formula>
    </cfRule>
  </conditionalFormatting>
  <conditionalFormatting sqref="D444:E444">
    <cfRule type="expression" dxfId="24326" priority="1843">
      <formula>AND($A444&lt;&gt;"",MOD(ROW(),2))</formula>
    </cfRule>
  </conditionalFormatting>
  <conditionalFormatting sqref="D444">
    <cfRule type="cellIs" dxfId="24325" priority="1840" operator="equal">
      <formula>$C444</formula>
    </cfRule>
    <cfRule type="cellIs" dxfId="24324" priority="1841" operator="greaterThan">
      <formula>$C444</formula>
    </cfRule>
    <cfRule type="cellIs" dxfId="24323" priority="1842" operator="lessThan">
      <formula>$C444</formula>
    </cfRule>
  </conditionalFormatting>
  <conditionalFormatting sqref="D445:E445">
    <cfRule type="expression" dxfId="24322" priority="1839">
      <formula>AND($A445&lt;&gt;"",MOD(ROW(),2))</formula>
    </cfRule>
  </conditionalFormatting>
  <conditionalFormatting sqref="D445">
    <cfRule type="cellIs" dxfId="24321" priority="1836" operator="equal">
      <formula>$C445</formula>
    </cfRule>
    <cfRule type="cellIs" dxfId="24320" priority="1837" operator="greaterThan">
      <formula>$C445</formula>
    </cfRule>
    <cfRule type="cellIs" dxfId="24319" priority="1838" operator="lessThan">
      <formula>$C445</formula>
    </cfRule>
  </conditionalFormatting>
  <conditionalFormatting sqref="D446:E446">
    <cfRule type="expression" dxfId="24318" priority="1835">
      <formula>AND($A446&lt;&gt;"",MOD(ROW(),2))</formula>
    </cfRule>
  </conditionalFormatting>
  <conditionalFormatting sqref="D446">
    <cfRule type="cellIs" dxfId="24317" priority="1832" operator="equal">
      <formula>$C446</formula>
    </cfRule>
    <cfRule type="cellIs" dxfId="24316" priority="1833" operator="greaterThan">
      <formula>$C446</formula>
    </cfRule>
    <cfRule type="cellIs" dxfId="24315" priority="1834" operator="lessThan">
      <formula>$C446</formula>
    </cfRule>
  </conditionalFormatting>
  <conditionalFormatting sqref="D447:E447">
    <cfRule type="expression" dxfId="24314" priority="1831">
      <formula>AND($A447&lt;&gt;"",MOD(ROW(),2))</formula>
    </cfRule>
  </conditionalFormatting>
  <conditionalFormatting sqref="D447">
    <cfRule type="cellIs" dxfId="24313" priority="1828" operator="equal">
      <formula>$C447</formula>
    </cfRule>
    <cfRule type="cellIs" dxfId="24312" priority="1829" operator="greaterThan">
      <formula>$C447</formula>
    </cfRule>
    <cfRule type="cellIs" dxfId="24311" priority="1830" operator="lessThan">
      <formula>$C447</formula>
    </cfRule>
  </conditionalFormatting>
  <conditionalFormatting sqref="D448:E448">
    <cfRule type="expression" dxfId="24310" priority="1827">
      <formula>AND($A448&lt;&gt;"",MOD(ROW(),2))</formula>
    </cfRule>
  </conditionalFormatting>
  <conditionalFormatting sqref="D448">
    <cfRule type="cellIs" dxfId="24309" priority="1824" operator="equal">
      <formula>$C448</formula>
    </cfRule>
    <cfRule type="cellIs" dxfId="24308" priority="1825" operator="greaterThan">
      <formula>$C448</formula>
    </cfRule>
    <cfRule type="cellIs" dxfId="24307" priority="1826" operator="lessThan">
      <formula>$C448</formula>
    </cfRule>
  </conditionalFormatting>
  <conditionalFormatting sqref="D449:E449">
    <cfRule type="expression" dxfId="24306" priority="1823">
      <formula>AND($A449&lt;&gt;"",MOD(ROW(),2))</formula>
    </cfRule>
  </conditionalFormatting>
  <conditionalFormatting sqref="D449">
    <cfRule type="cellIs" dxfId="24305" priority="1820" operator="equal">
      <formula>$C449</formula>
    </cfRule>
    <cfRule type="cellIs" dxfId="24304" priority="1821" operator="greaterThan">
      <formula>$C449</formula>
    </cfRule>
    <cfRule type="cellIs" dxfId="24303" priority="1822" operator="lessThan">
      <formula>$C449</formula>
    </cfRule>
  </conditionalFormatting>
  <conditionalFormatting sqref="D450:E450">
    <cfRule type="expression" dxfId="24302" priority="1819">
      <formula>AND($A450&lt;&gt;"",MOD(ROW(),2))</formula>
    </cfRule>
  </conditionalFormatting>
  <conditionalFormatting sqref="D450">
    <cfRule type="cellIs" dxfId="24301" priority="1816" operator="equal">
      <formula>$C450</formula>
    </cfRule>
    <cfRule type="cellIs" dxfId="24300" priority="1817" operator="greaterThan">
      <formula>$C450</formula>
    </cfRule>
    <cfRule type="cellIs" dxfId="24299" priority="1818" operator="lessThan">
      <formula>$C450</formula>
    </cfRule>
  </conditionalFormatting>
  <conditionalFormatting sqref="D451:E451">
    <cfRule type="expression" dxfId="24298" priority="1815">
      <formula>AND($A451&lt;&gt;"",MOD(ROW(),2))</formula>
    </cfRule>
  </conditionalFormatting>
  <conditionalFormatting sqref="D451">
    <cfRule type="cellIs" dxfId="24297" priority="1812" operator="equal">
      <formula>$C451</formula>
    </cfRule>
    <cfRule type="cellIs" dxfId="24296" priority="1813" operator="greaterThan">
      <formula>$C451</formula>
    </cfRule>
    <cfRule type="cellIs" dxfId="24295" priority="1814" operator="lessThan">
      <formula>$C451</formula>
    </cfRule>
  </conditionalFormatting>
  <conditionalFormatting sqref="D452:E452">
    <cfRule type="expression" dxfId="24294" priority="1811">
      <formula>AND($A452&lt;&gt;"",MOD(ROW(),2))</formula>
    </cfRule>
  </conditionalFormatting>
  <conditionalFormatting sqref="D452">
    <cfRule type="cellIs" dxfId="24293" priority="1808" operator="equal">
      <formula>$C452</formula>
    </cfRule>
    <cfRule type="cellIs" dxfId="24292" priority="1809" operator="greaterThan">
      <formula>$C452</formula>
    </cfRule>
    <cfRule type="cellIs" dxfId="24291" priority="1810" operator="lessThan">
      <formula>$C452</formula>
    </cfRule>
  </conditionalFormatting>
  <conditionalFormatting sqref="D453:E453">
    <cfRule type="expression" dxfId="24290" priority="1807">
      <formula>AND($A453&lt;&gt;"",MOD(ROW(),2))</formula>
    </cfRule>
  </conditionalFormatting>
  <conditionalFormatting sqref="D453">
    <cfRule type="cellIs" dxfId="24289" priority="1804" operator="equal">
      <formula>$C453</formula>
    </cfRule>
    <cfRule type="cellIs" dxfId="24288" priority="1805" operator="greaterThan">
      <formula>$C453</formula>
    </cfRule>
    <cfRule type="cellIs" dxfId="24287" priority="1806" operator="lessThan">
      <formula>$C453</formula>
    </cfRule>
  </conditionalFormatting>
  <conditionalFormatting sqref="D454:E454">
    <cfRule type="expression" dxfId="24286" priority="1803">
      <formula>AND($A454&lt;&gt;"",MOD(ROW(),2))</formula>
    </cfRule>
  </conditionalFormatting>
  <conditionalFormatting sqref="D454">
    <cfRule type="cellIs" dxfId="24285" priority="1800" operator="equal">
      <formula>$C454</formula>
    </cfRule>
    <cfRule type="cellIs" dxfId="24284" priority="1801" operator="greaterThan">
      <formula>$C454</formula>
    </cfRule>
    <cfRule type="cellIs" dxfId="24283" priority="1802" operator="lessThan">
      <formula>$C454</formula>
    </cfRule>
  </conditionalFormatting>
  <conditionalFormatting sqref="D455:E455">
    <cfRule type="expression" dxfId="24282" priority="1799">
      <formula>AND($A455&lt;&gt;"",MOD(ROW(),2))</formula>
    </cfRule>
  </conditionalFormatting>
  <conditionalFormatting sqref="D455">
    <cfRule type="cellIs" dxfId="24281" priority="1796" operator="equal">
      <formula>$C455</formula>
    </cfRule>
    <cfRule type="cellIs" dxfId="24280" priority="1797" operator="greaterThan">
      <formula>$C455</formula>
    </cfRule>
    <cfRule type="cellIs" dxfId="24279" priority="1798" operator="lessThan">
      <formula>$C455</formula>
    </cfRule>
  </conditionalFormatting>
  <conditionalFormatting sqref="D456:E456">
    <cfRule type="expression" dxfId="24278" priority="1795">
      <formula>AND($A456&lt;&gt;"",MOD(ROW(),2))</formula>
    </cfRule>
  </conditionalFormatting>
  <conditionalFormatting sqref="D456">
    <cfRule type="cellIs" dxfId="24277" priority="1792" operator="equal">
      <formula>$C456</formula>
    </cfRule>
    <cfRule type="cellIs" dxfId="24276" priority="1793" operator="greaterThan">
      <formula>$C456</formula>
    </cfRule>
    <cfRule type="cellIs" dxfId="24275" priority="1794" operator="lessThan">
      <formula>$C456</formula>
    </cfRule>
  </conditionalFormatting>
  <conditionalFormatting sqref="D457:E457">
    <cfRule type="expression" dxfId="24274" priority="1791">
      <formula>AND($A457&lt;&gt;"",MOD(ROW(),2))</formula>
    </cfRule>
  </conditionalFormatting>
  <conditionalFormatting sqref="D457">
    <cfRule type="cellIs" dxfId="24273" priority="1788" operator="equal">
      <formula>$C457</formula>
    </cfRule>
    <cfRule type="cellIs" dxfId="24272" priority="1789" operator="greaterThan">
      <formula>$C457</formula>
    </cfRule>
    <cfRule type="cellIs" dxfId="24271" priority="1790" operator="lessThan">
      <formula>$C457</formula>
    </cfRule>
  </conditionalFormatting>
  <conditionalFormatting sqref="D458:E458">
    <cfRule type="expression" dxfId="24270" priority="1787">
      <formula>AND($A458&lt;&gt;"",MOD(ROW(),2))</formula>
    </cfRule>
  </conditionalFormatting>
  <conditionalFormatting sqref="D458">
    <cfRule type="cellIs" dxfId="24269" priority="1784" operator="equal">
      <formula>$C458</formula>
    </cfRule>
    <cfRule type="cellIs" dxfId="24268" priority="1785" operator="greaterThan">
      <formula>$C458</formula>
    </cfRule>
    <cfRule type="cellIs" dxfId="24267" priority="1786" operator="lessThan">
      <formula>$C458</formula>
    </cfRule>
  </conditionalFormatting>
  <conditionalFormatting sqref="D459:E459">
    <cfRule type="expression" dxfId="24266" priority="1783">
      <formula>AND($A459&lt;&gt;"",MOD(ROW(),2))</formula>
    </cfRule>
  </conditionalFormatting>
  <conditionalFormatting sqref="D459">
    <cfRule type="cellIs" dxfId="24265" priority="1780" operator="equal">
      <formula>$C459</formula>
    </cfRule>
    <cfRule type="cellIs" dxfId="24264" priority="1781" operator="greaterThan">
      <formula>$C459</formula>
    </cfRule>
    <cfRule type="cellIs" dxfId="24263" priority="1782" operator="lessThan">
      <formula>$C459</formula>
    </cfRule>
  </conditionalFormatting>
  <conditionalFormatting sqref="D460:E460">
    <cfRule type="expression" dxfId="24262" priority="1779">
      <formula>AND($A460&lt;&gt;"",MOD(ROW(),2))</formula>
    </cfRule>
  </conditionalFormatting>
  <conditionalFormatting sqref="D460">
    <cfRule type="cellIs" dxfId="24261" priority="1776" operator="equal">
      <formula>$C460</formula>
    </cfRule>
    <cfRule type="cellIs" dxfId="24260" priority="1777" operator="greaterThan">
      <formula>$C460</formula>
    </cfRule>
    <cfRule type="cellIs" dxfId="24259" priority="1778" operator="lessThan">
      <formula>$C460</formula>
    </cfRule>
  </conditionalFormatting>
  <conditionalFormatting sqref="C438">
    <cfRule type="expression" dxfId="24258" priority="1775">
      <formula>AND($A438&lt;&gt;"",MOD(ROW(),2))</formula>
    </cfRule>
  </conditionalFormatting>
  <conditionalFormatting sqref="C438">
    <cfRule type="cellIs" dxfId="24257" priority="1772" operator="equal">
      <formula>$C438</formula>
    </cfRule>
    <cfRule type="cellIs" dxfId="24256" priority="1773" operator="greaterThan">
      <formula>$C438</formula>
    </cfRule>
    <cfRule type="cellIs" dxfId="24255" priority="1774" operator="lessThan">
      <formula>$C438</formula>
    </cfRule>
  </conditionalFormatting>
  <conditionalFormatting sqref="C439">
    <cfRule type="expression" dxfId="24254" priority="1771">
      <formula>AND($A439&lt;&gt;"",MOD(ROW(),2))</formula>
    </cfRule>
  </conditionalFormatting>
  <conditionalFormatting sqref="C439">
    <cfRule type="cellIs" dxfId="24253" priority="1768" operator="equal">
      <formula>$C439</formula>
    </cfRule>
    <cfRule type="cellIs" dxfId="24252" priority="1769" operator="greaterThan">
      <formula>$C439</formula>
    </cfRule>
    <cfRule type="cellIs" dxfId="24251" priority="1770" operator="lessThan">
      <formula>$C439</formula>
    </cfRule>
  </conditionalFormatting>
  <conditionalFormatting sqref="C440">
    <cfRule type="expression" dxfId="24250" priority="1767">
      <formula>AND($A440&lt;&gt;"",MOD(ROW(),2))</formula>
    </cfRule>
  </conditionalFormatting>
  <conditionalFormatting sqref="C440">
    <cfRule type="cellIs" dxfId="24249" priority="1764" operator="equal">
      <formula>$C440</formula>
    </cfRule>
    <cfRule type="cellIs" dxfId="24248" priority="1765" operator="greaterThan">
      <formula>$C440</formula>
    </cfRule>
    <cfRule type="cellIs" dxfId="24247" priority="1766" operator="lessThan">
      <formula>$C440</formula>
    </cfRule>
  </conditionalFormatting>
  <conditionalFormatting sqref="C441">
    <cfRule type="expression" dxfId="24246" priority="1763">
      <formula>AND($A441&lt;&gt;"",MOD(ROW(),2))</formula>
    </cfRule>
  </conditionalFormatting>
  <conditionalFormatting sqref="C441">
    <cfRule type="cellIs" dxfId="24245" priority="1760" operator="equal">
      <formula>$C441</formula>
    </cfRule>
    <cfRule type="cellIs" dxfId="24244" priority="1761" operator="greaterThan">
      <formula>$C441</formula>
    </cfRule>
    <cfRule type="cellIs" dxfId="24243" priority="1762" operator="lessThan">
      <formula>$C441</formula>
    </cfRule>
  </conditionalFormatting>
  <conditionalFormatting sqref="C442">
    <cfRule type="expression" dxfId="24242" priority="1759">
      <formula>AND($A442&lt;&gt;"",MOD(ROW(),2))</formula>
    </cfRule>
  </conditionalFormatting>
  <conditionalFormatting sqref="C442">
    <cfRule type="cellIs" dxfId="24241" priority="1756" operator="equal">
      <formula>$C442</formula>
    </cfRule>
    <cfRule type="cellIs" dxfId="24240" priority="1757" operator="greaterThan">
      <formula>$C442</formula>
    </cfRule>
    <cfRule type="cellIs" dxfId="24239" priority="1758" operator="lessThan">
      <formula>$C442</formula>
    </cfRule>
  </conditionalFormatting>
  <conditionalFormatting sqref="C443">
    <cfRule type="expression" dxfId="24238" priority="1755">
      <formula>AND($A443&lt;&gt;"",MOD(ROW(),2))</formula>
    </cfRule>
  </conditionalFormatting>
  <conditionalFormatting sqref="C443">
    <cfRule type="cellIs" dxfId="24237" priority="1752" operator="equal">
      <formula>$C443</formula>
    </cfRule>
    <cfRule type="cellIs" dxfId="24236" priority="1753" operator="greaterThan">
      <formula>$C443</formula>
    </cfRule>
    <cfRule type="cellIs" dxfId="24235" priority="1754" operator="lessThan">
      <formula>$C443</formula>
    </cfRule>
  </conditionalFormatting>
  <conditionalFormatting sqref="C444">
    <cfRule type="expression" dxfId="24234" priority="1751">
      <formula>AND($A444&lt;&gt;"",MOD(ROW(),2))</formula>
    </cfRule>
  </conditionalFormatting>
  <conditionalFormatting sqref="C444">
    <cfRule type="cellIs" dxfId="24233" priority="1748" operator="equal">
      <formula>$C444</formula>
    </cfRule>
    <cfRule type="cellIs" dxfId="24232" priority="1749" operator="greaterThan">
      <formula>$C444</formula>
    </cfRule>
    <cfRule type="cellIs" dxfId="24231" priority="1750" operator="lessThan">
      <formula>$C444</formula>
    </cfRule>
  </conditionalFormatting>
  <conditionalFormatting sqref="C445">
    <cfRule type="expression" dxfId="24230" priority="1747">
      <formula>AND($A445&lt;&gt;"",MOD(ROW(),2))</formula>
    </cfRule>
  </conditionalFormatting>
  <conditionalFormatting sqref="C445">
    <cfRule type="cellIs" dxfId="24229" priority="1744" operator="equal">
      <formula>$C445</formula>
    </cfRule>
    <cfRule type="cellIs" dxfId="24228" priority="1745" operator="greaterThan">
      <formula>$C445</formula>
    </cfRule>
    <cfRule type="cellIs" dxfId="24227" priority="1746" operator="lessThan">
      <formula>$C445</formula>
    </cfRule>
  </conditionalFormatting>
  <conditionalFormatting sqref="C446">
    <cfRule type="expression" dxfId="24226" priority="1743">
      <formula>AND($A446&lt;&gt;"",MOD(ROW(),2))</formula>
    </cfRule>
  </conditionalFormatting>
  <conditionalFormatting sqref="C446">
    <cfRule type="cellIs" dxfId="24225" priority="1740" operator="equal">
      <formula>$C446</formula>
    </cfRule>
    <cfRule type="cellIs" dxfId="24224" priority="1741" operator="greaterThan">
      <formula>$C446</formula>
    </cfRule>
    <cfRule type="cellIs" dxfId="24223" priority="1742" operator="lessThan">
      <formula>$C446</formula>
    </cfRule>
  </conditionalFormatting>
  <conditionalFormatting sqref="C447">
    <cfRule type="expression" dxfId="24222" priority="1739">
      <formula>AND($A447&lt;&gt;"",MOD(ROW(),2))</formula>
    </cfRule>
  </conditionalFormatting>
  <conditionalFormatting sqref="C447">
    <cfRule type="cellIs" dxfId="24221" priority="1736" operator="equal">
      <formula>$C447</formula>
    </cfRule>
    <cfRule type="cellIs" dxfId="24220" priority="1737" operator="greaterThan">
      <formula>$C447</formula>
    </cfRule>
    <cfRule type="cellIs" dxfId="24219" priority="1738" operator="lessThan">
      <formula>$C447</formula>
    </cfRule>
  </conditionalFormatting>
  <conditionalFormatting sqref="C448">
    <cfRule type="expression" dxfId="24218" priority="1735">
      <formula>AND($A448&lt;&gt;"",MOD(ROW(),2))</formula>
    </cfRule>
  </conditionalFormatting>
  <conditionalFormatting sqref="C448">
    <cfRule type="cellIs" dxfId="24217" priority="1732" operator="equal">
      <formula>$C448</formula>
    </cfRule>
    <cfRule type="cellIs" dxfId="24216" priority="1733" operator="greaterThan">
      <formula>$C448</formula>
    </cfRule>
    <cfRule type="cellIs" dxfId="24215" priority="1734" operator="lessThan">
      <formula>$C448</formula>
    </cfRule>
  </conditionalFormatting>
  <conditionalFormatting sqref="C449">
    <cfRule type="expression" dxfId="24214" priority="1731">
      <formula>AND($A449&lt;&gt;"",MOD(ROW(),2))</formula>
    </cfRule>
  </conditionalFormatting>
  <conditionalFormatting sqref="C449">
    <cfRule type="cellIs" dxfId="24213" priority="1728" operator="equal">
      <formula>$C449</formula>
    </cfRule>
    <cfRule type="cellIs" dxfId="24212" priority="1729" operator="greaterThan">
      <formula>$C449</formula>
    </cfRule>
    <cfRule type="cellIs" dxfId="24211" priority="1730" operator="lessThan">
      <formula>$C449</formula>
    </cfRule>
  </conditionalFormatting>
  <conditionalFormatting sqref="D438:E438">
    <cfRule type="expression" dxfId="24210" priority="1727">
      <formula>AND($A438&lt;&gt;"",MOD(ROW(),2))</formula>
    </cfRule>
  </conditionalFormatting>
  <conditionalFormatting sqref="D438">
    <cfRule type="cellIs" dxfId="24209" priority="1724" operator="equal">
      <formula>$C438</formula>
    </cfRule>
    <cfRule type="cellIs" dxfId="24208" priority="1725" operator="greaterThan">
      <formula>$C438</formula>
    </cfRule>
    <cfRule type="cellIs" dxfId="24207" priority="1726" operator="lessThan">
      <formula>$C438</formula>
    </cfRule>
  </conditionalFormatting>
  <conditionalFormatting sqref="D439:E439">
    <cfRule type="expression" dxfId="24206" priority="1723">
      <formula>AND($A439&lt;&gt;"",MOD(ROW(),2))</formula>
    </cfRule>
  </conditionalFormatting>
  <conditionalFormatting sqref="D439">
    <cfRule type="cellIs" dxfId="24205" priority="1720" operator="equal">
      <formula>$C439</formula>
    </cfRule>
    <cfRule type="cellIs" dxfId="24204" priority="1721" operator="greaterThan">
      <formula>$C439</formula>
    </cfRule>
    <cfRule type="cellIs" dxfId="24203" priority="1722" operator="lessThan">
      <formula>$C439</formula>
    </cfRule>
  </conditionalFormatting>
  <conditionalFormatting sqref="D440:E440">
    <cfRule type="expression" dxfId="24202" priority="1719">
      <formula>AND($A440&lt;&gt;"",MOD(ROW(),2))</formula>
    </cfRule>
  </conditionalFormatting>
  <conditionalFormatting sqref="D440">
    <cfRule type="cellIs" dxfId="24201" priority="1716" operator="equal">
      <formula>$C440</formula>
    </cfRule>
    <cfRule type="cellIs" dxfId="24200" priority="1717" operator="greaterThan">
      <formula>$C440</formula>
    </cfRule>
    <cfRule type="cellIs" dxfId="24199" priority="1718" operator="lessThan">
      <formula>$C440</formula>
    </cfRule>
  </conditionalFormatting>
  <conditionalFormatting sqref="D441:E441">
    <cfRule type="expression" dxfId="24198" priority="1715">
      <formula>AND($A441&lt;&gt;"",MOD(ROW(),2))</formula>
    </cfRule>
  </conditionalFormatting>
  <conditionalFormatting sqref="D441">
    <cfRule type="cellIs" dxfId="24197" priority="1712" operator="equal">
      <formula>$C441</formula>
    </cfRule>
    <cfRule type="cellIs" dxfId="24196" priority="1713" operator="greaterThan">
      <formula>$C441</formula>
    </cfRule>
    <cfRule type="cellIs" dxfId="24195" priority="1714" operator="lessThan">
      <formula>$C441</formula>
    </cfRule>
  </conditionalFormatting>
  <conditionalFormatting sqref="D442:E442">
    <cfRule type="expression" dxfId="24194" priority="1711">
      <formula>AND($A442&lt;&gt;"",MOD(ROW(),2))</formula>
    </cfRule>
  </conditionalFormatting>
  <conditionalFormatting sqref="D442">
    <cfRule type="cellIs" dxfId="24193" priority="1708" operator="equal">
      <formula>$C442</formula>
    </cfRule>
    <cfRule type="cellIs" dxfId="24192" priority="1709" operator="greaterThan">
      <formula>$C442</formula>
    </cfRule>
    <cfRule type="cellIs" dxfId="24191" priority="1710" operator="lessThan">
      <formula>$C442</formula>
    </cfRule>
  </conditionalFormatting>
  <conditionalFormatting sqref="D443:E443">
    <cfRule type="expression" dxfId="24190" priority="1707">
      <formula>AND($A443&lt;&gt;"",MOD(ROW(),2))</formula>
    </cfRule>
  </conditionalFormatting>
  <conditionalFormatting sqref="D443">
    <cfRule type="cellIs" dxfId="24189" priority="1704" operator="equal">
      <formula>$C443</formula>
    </cfRule>
    <cfRule type="cellIs" dxfId="24188" priority="1705" operator="greaterThan">
      <formula>$C443</formula>
    </cfRule>
    <cfRule type="cellIs" dxfId="24187" priority="1706" operator="lessThan">
      <formula>$C443</formula>
    </cfRule>
  </conditionalFormatting>
  <conditionalFormatting sqref="D444:E444">
    <cfRule type="expression" dxfId="24186" priority="1703">
      <formula>AND($A444&lt;&gt;"",MOD(ROW(),2))</formula>
    </cfRule>
  </conditionalFormatting>
  <conditionalFormatting sqref="D444">
    <cfRule type="cellIs" dxfId="24185" priority="1700" operator="equal">
      <formula>$C444</formula>
    </cfRule>
    <cfRule type="cellIs" dxfId="24184" priority="1701" operator="greaterThan">
      <formula>$C444</formula>
    </cfRule>
    <cfRule type="cellIs" dxfId="24183" priority="1702" operator="lessThan">
      <formula>$C444</formula>
    </cfRule>
  </conditionalFormatting>
  <conditionalFormatting sqref="D445:E445">
    <cfRule type="expression" dxfId="24182" priority="1699">
      <formula>AND($A445&lt;&gt;"",MOD(ROW(),2))</formula>
    </cfRule>
  </conditionalFormatting>
  <conditionalFormatting sqref="D445">
    <cfRule type="cellIs" dxfId="24181" priority="1696" operator="equal">
      <formula>$C445</formula>
    </cfRule>
    <cfRule type="cellIs" dxfId="24180" priority="1697" operator="greaterThan">
      <formula>$C445</formula>
    </cfRule>
    <cfRule type="cellIs" dxfId="24179" priority="1698" operator="lessThan">
      <formula>$C445</formula>
    </cfRule>
  </conditionalFormatting>
  <conditionalFormatting sqref="D446:E446">
    <cfRule type="expression" dxfId="24178" priority="1695">
      <formula>AND($A446&lt;&gt;"",MOD(ROW(),2))</formula>
    </cfRule>
  </conditionalFormatting>
  <conditionalFormatting sqref="D446">
    <cfRule type="cellIs" dxfId="24177" priority="1692" operator="equal">
      <formula>$C446</formula>
    </cfRule>
    <cfRule type="cellIs" dxfId="24176" priority="1693" operator="greaterThan">
      <formula>$C446</formula>
    </cfRule>
    <cfRule type="cellIs" dxfId="24175" priority="1694" operator="lessThan">
      <formula>$C446</formula>
    </cfRule>
  </conditionalFormatting>
  <conditionalFormatting sqref="D447:E447">
    <cfRule type="expression" dxfId="24174" priority="1691">
      <formula>AND($A447&lt;&gt;"",MOD(ROW(),2))</formula>
    </cfRule>
  </conditionalFormatting>
  <conditionalFormatting sqref="D447">
    <cfRule type="cellIs" dxfId="24173" priority="1688" operator="equal">
      <formula>$C447</formula>
    </cfRule>
    <cfRule type="cellIs" dxfId="24172" priority="1689" operator="greaterThan">
      <formula>$C447</formula>
    </cfRule>
    <cfRule type="cellIs" dxfId="24171" priority="1690" operator="lessThan">
      <formula>$C447</formula>
    </cfRule>
  </conditionalFormatting>
  <conditionalFormatting sqref="D448:E448">
    <cfRule type="expression" dxfId="24170" priority="1687">
      <formula>AND($A448&lt;&gt;"",MOD(ROW(),2))</formula>
    </cfRule>
  </conditionalFormatting>
  <conditionalFormatting sqref="D448">
    <cfRule type="cellIs" dxfId="24169" priority="1684" operator="equal">
      <formula>$C448</formula>
    </cfRule>
    <cfRule type="cellIs" dxfId="24168" priority="1685" operator="greaterThan">
      <formula>$C448</formula>
    </cfRule>
    <cfRule type="cellIs" dxfId="24167" priority="1686" operator="lessThan">
      <formula>$C448</formula>
    </cfRule>
  </conditionalFormatting>
  <conditionalFormatting sqref="D449:E449">
    <cfRule type="expression" dxfId="24166" priority="1683">
      <formula>AND($A449&lt;&gt;"",MOD(ROW(),2))</formula>
    </cfRule>
  </conditionalFormatting>
  <conditionalFormatting sqref="D449">
    <cfRule type="cellIs" dxfId="24165" priority="1680" operator="equal">
      <formula>$C449</formula>
    </cfRule>
    <cfRule type="cellIs" dxfId="24164" priority="1681" operator="greaterThan">
      <formula>$C449</formula>
    </cfRule>
    <cfRule type="cellIs" dxfId="24163" priority="1682" operator="lessThan">
      <formula>$C449</formula>
    </cfRule>
  </conditionalFormatting>
  <conditionalFormatting sqref="D450:E450">
    <cfRule type="expression" dxfId="24162" priority="1679">
      <formula>AND($A450&lt;&gt;"",MOD(ROW(),2))</formula>
    </cfRule>
  </conditionalFormatting>
  <conditionalFormatting sqref="D450">
    <cfRule type="cellIs" dxfId="24161" priority="1676" operator="equal">
      <formula>$C450</formula>
    </cfRule>
    <cfRule type="cellIs" dxfId="24160" priority="1677" operator="greaterThan">
      <formula>$C450</formula>
    </cfRule>
    <cfRule type="cellIs" dxfId="24159" priority="1678" operator="lessThan">
      <formula>$C450</formula>
    </cfRule>
  </conditionalFormatting>
  <conditionalFormatting sqref="D451:E451">
    <cfRule type="expression" dxfId="24158" priority="1675">
      <formula>AND($A451&lt;&gt;"",MOD(ROW(),2))</formula>
    </cfRule>
  </conditionalFormatting>
  <conditionalFormatting sqref="D451">
    <cfRule type="cellIs" dxfId="24157" priority="1672" operator="equal">
      <formula>$C451</formula>
    </cfRule>
    <cfRule type="cellIs" dxfId="24156" priority="1673" operator="greaterThan">
      <formula>$C451</formula>
    </cfRule>
    <cfRule type="cellIs" dxfId="24155" priority="1674" operator="lessThan">
      <formula>$C451</formula>
    </cfRule>
  </conditionalFormatting>
  <conditionalFormatting sqref="D452:E452">
    <cfRule type="expression" dxfId="24154" priority="1671">
      <formula>AND($A452&lt;&gt;"",MOD(ROW(),2))</formula>
    </cfRule>
  </conditionalFormatting>
  <conditionalFormatting sqref="D452">
    <cfRule type="cellIs" dxfId="24153" priority="1668" operator="equal">
      <formula>$C452</formula>
    </cfRule>
    <cfRule type="cellIs" dxfId="24152" priority="1669" operator="greaterThan">
      <formula>$C452</formula>
    </cfRule>
    <cfRule type="cellIs" dxfId="24151" priority="1670" operator="lessThan">
      <formula>$C452</formula>
    </cfRule>
  </conditionalFormatting>
  <conditionalFormatting sqref="D453:E453">
    <cfRule type="expression" dxfId="24150" priority="1667">
      <formula>AND($A453&lt;&gt;"",MOD(ROW(),2))</formula>
    </cfRule>
  </conditionalFormatting>
  <conditionalFormatting sqref="D453">
    <cfRule type="cellIs" dxfId="24149" priority="1664" operator="equal">
      <formula>$C453</formula>
    </cfRule>
    <cfRule type="cellIs" dxfId="24148" priority="1665" operator="greaterThan">
      <formula>$C453</formula>
    </cfRule>
    <cfRule type="cellIs" dxfId="24147" priority="1666" operator="lessThan">
      <formula>$C453</formula>
    </cfRule>
  </conditionalFormatting>
  <conditionalFormatting sqref="D454:E454">
    <cfRule type="expression" dxfId="24146" priority="1663">
      <formula>AND($A454&lt;&gt;"",MOD(ROW(),2))</formula>
    </cfRule>
  </conditionalFormatting>
  <conditionalFormatting sqref="D454">
    <cfRule type="cellIs" dxfId="24145" priority="1660" operator="equal">
      <formula>$C454</formula>
    </cfRule>
    <cfRule type="cellIs" dxfId="24144" priority="1661" operator="greaterThan">
      <formula>$C454</formula>
    </cfRule>
    <cfRule type="cellIs" dxfId="24143" priority="1662" operator="lessThan">
      <formula>$C454</formula>
    </cfRule>
  </conditionalFormatting>
  <conditionalFormatting sqref="D455:E455">
    <cfRule type="expression" dxfId="24142" priority="1659">
      <formula>AND($A455&lt;&gt;"",MOD(ROW(),2))</formula>
    </cfRule>
  </conditionalFormatting>
  <conditionalFormatting sqref="D455">
    <cfRule type="cellIs" dxfId="24141" priority="1656" operator="equal">
      <formula>$C455</formula>
    </cfRule>
    <cfRule type="cellIs" dxfId="24140" priority="1657" operator="greaterThan">
      <formula>$C455</formula>
    </cfRule>
    <cfRule type="cellIs" dxfId="24139" priority="1658" operator="lessThan">
      <formula>$C455</formula>
    </cfRule>
  </conditionalFormatting>
  <conditionalFormatting sqref="D456:E456">
    <cfRule type="expression" dxfId="24138" priority="1655">
      <formula>AND($A456&lt;&gt;"",MOD(ROW(),2))</formula>
    </cfRule>
  </conditionalFormatting>
  <conditionalFormatting sqref="D456">
    <cfRule type="cellIs" dxfId="24137" priority="1652" operator="equal">
      <formula>$C456</formula>
    </cfRule>
    <cfRule type="cellIs" dxfId="24136" priority="1653" operator="greaterThan">
      <formula>$C456</formula>
    </cfRule>
    <cfRule type="cellIs" dxfId="24135" priority="1654" operator="lessThan">
      <formula>$C456</formula>
    </cfRule>
  </conditionalFormatting>
  <conditionalFormatting sqref="D457:E457">
    <cfRule type="expression" dxfId="24134" priority="1651">
      <formula>AND($A457&lt;&gt;"",MOD(ROW(),2))</formula>
    </cfRule>
  </conditionalFormatting>
  <conditionalFormatting sqref="D457">
    <cfRule type="cellIs" dxfId="24133" priority="1648" operator="equal">
      <formula>$C457</formula>
    </cfRule>
    <cfRule type="cellIs" dxfId="24132" priority="1649" operator="greaterThan">
      <formula>$C457</formula>
    </cfRule>
    <cfRule type="cellIs" dxfId="24131" priority="1650" operator="lessThan">
      <formula>$C457</formula>
    </cfRule>
  </conditionalFormatting>
  <conditionalFormatting sqref="D458:E458">
    <cfRule type="expression" dxfId="24130" priority="1647">
      <formula>AND($A458&lt;&gt;"",MOD(ROW(),2))</formula>
    </cfRule>
  </conditionalFormatting>
  <conditionalFormatting sqref="D458">
    <cfRule type="cellIs" dxfId="24129" priority="1644" operator="equal">
      <formula>$C458</formula>
    </cfRule>
    <cfRule type="cellIs" dxfId="24128" priority="1645" operator="greaterThan">
      <formula>$C458</formula>
    </cfRule>
    <cfRule type="cellIs" dxfId="24127" priority="1646" operator="lessThan">
      <formula>$C458</formula>
    </cfRule>
  </conditionalFormatting>
  <conditionalFormatting sqref="D459:E459">
    <cfRule type="expression" dxfId="24126" priority="1643">
      <formula>AND($A459&lt;&gt;"",MOD(ROW(),2))</formula>
    </cfRule>
  </conditionalFormatting>
  <conditionalFormatting sqref="D459">
    <cfRule type="cellIs" dxfId="24125" priority="1640" operator="equal">
      <formula>$C459</formula>
    </cfRule>
    <cfRule type="cellIs" dxfId="24124" priority="1641" operator="greaterThan">
      <formula>$C459</formula>
    </cfRule>
    <cfRule type="cellIs" dxfId="24123" priority="1642" operator="lessThan">
      <formula>$C459</formula>
    </cfRule>
  </conditionalFormatting>
  <conditionalFormatting sqref="D460:E460">
    <cfRule type="expression" dxfId="24122" priority="1639">
      <formula>AND($A460&lt;&gt;"",MOD(ROW(),2))</formula>
    </cfRule>
  </conditionalFormatting>
  <conditionalFormatting sqref="D460">
    <cfRule type="cellIs" dxfId="24121" priority="1636" operator="equal">
      <formula>$C460</formula>
    </cfRule>
    <cfRule type="cellIs" dxfId="24120" priority="1637" operator="greaterThan">
      <formula>$C460</formula>
    </cfRule>
    <cfRule type="cellIs" dxfId="24119" priority="1638" operator="lessThan">
      <formula>$C460</formula>
    </cfRule>
  </conditionalFormatting>
  <conditionalFormatting sqref="D461:E461">
    <cfRule type="expression" dxfId="24118" priority="1635">
      <formula>AND($A461&lt;&gt;"",MOD(ROW(),2))</formula>
    </cfRule>
  </conditionalFormatting>
  <conditionalFormatting sqref="D461">
    <cfRule type="cellIs" dxfId="24117" priority="1632" operator="equal">
      <formula>$C461</formula>
    </cfRule>
    <cfRule type="cellIs" dxfId="24116" priority="1633" operator="greaterThan">
      <formula>$C461</formula>
    </cfRule>
    <cfRule type="cellIs" dxfId="24115" priority="1634" operator="lessThan">
      <formula>$C461</formula>
    </cfRule>
  </conditionalFormatting>
  <conditionalFormatting sqref="E462">
    <cfRule type="expression" dxfId="24114" priority="1631">
      <formula>AND($A462&lt;&gt;"",MOD(ROW(),2))</formula>
    </cfRule>
  </conditionalFormatting>
  <conditionalFormatting sqref="E463">
    <cfRule type="expression" dxfId="24113" priority="1630">
      <formula>AND($A463&lt;&gt;"",MOD(ROW(),2))</formula>
    </cfRule>
  </conditionalFormatting>
  <conditionalFormatting sqref="E464">
    <cfRule type="expression" dxfId="24112" priority="1629">
      <formula>AND($A464&lt;&gt;"",MOD(ROW(),2))</formula>
    </cfRule>
  </conditionalFormatting>
  <conditionalFormatting sqref="C438">
    <cfRule type="expression" dxfId="24111" priority="1628">
      <formula>AND($A438&lt;&gt;"",MOD(ROW(),2))</formula>
    </cfRule>
  </conditionalFormatting>
  <conditionalFormatting sqref="C438">
    <cfRule type="cellIs" dxfId="24110" priority="1625" operator="equal">
      <formula>$C438</formula>
    </cfRule>
    <cfRule type="cellIs" dxfId="24109" priority="1626" operator="greaterThan">
      <formula>$C438</formula>
    </cfRule>
    <cfRule type="cellIs" dxfId="24108" priority="1627" operator="lessThan">
      <formula>$C438</formula>
    </cfRule>
  </conditionalFormatting>
  <conditionalFormatting sqref="C439">
    <cfRule type="expression" dxfId="24107" priority="1624">
      <formula>AND($A439&lt;&gt;"",MOD(ROW(),2))</formula>
    </cfRule>
  </conditionalFormatting>
  <conditionalFormatting sqref="C439">
    <cfRule type="cellIs" dxfId="24106" priority="1621" operator="equal">
      <formula>$C439</formula>
    </cfRule>
    <cfRule type="cellIs" dxfId="24105" priority="1622" operator="greaterThan">
      <formula>$C439</formula>
    </cfRule>
    <cfRule type="cellIs" dxfId="24104" priority="1623" operator="lessThan">
      <formula>$C439</formula>
    </cfRule>
  </conditionalFormatting>
  <conditionalFormatting sqref="C440">
    <cfRule type="expression" dxfId="24103" priority="1620">
      <formula>AND($A440&lt;&gt;"",MOD(ROW(),2))</formula>
    </cfRule>
  </conditionalFormatting>
  <conditionalFormatting sqref="C440">
    <cfRule type="cellIs" dxfId="24102" priority="1617" operator="equal">
      <formula>$C440</formula>
    </cfRule>
    <cfRule type="cellIs" dxfId="24101" priority="1618" operator="greaterThan">
      <formula>$C440</formula>
    </cfRule>
    <cfRule type="cellIs" dxfId="24100" priority="1619" operator="lessThan">
      <formula>$C440</formula>
    </cfRule>
  </conditionalFormatting>
  <conditionalFormatting sqref="C441">
    <cfRule type="expression" dxfId="24099" priority="1616">
      <formula>AND($A441&lt;&gt;"",MOD(ROW(),2))</formula>
    </cfRule>
  </conditionalFormatting>
  <conditionalFormatting sqref="C441">
    <cfRule type="cellIs" dxfId="24098" priority="1613" operator="equal">
      <formula>$C441</formula>
    </cfRule>
    <cfRule type="cellIs" dxfId="24097" priority="1614" operator="greaterThan">
      <formula>$C441</formula>
    </cfRule>
    <cfRule type="cellIs" dxfId="24096" priority="1615" operator="lessThan">
      <formula>$C441</formula>
    </cfRule>
  </conditionalFormatting>
  <conditionalFormatting sqref="C442">
    <cfRule type="expression" dxfId="24095" priority="1612">
      <formula>AND($A442&lt;&gt;"",MOD(ROW(),2))</formula>
    </cfRule>
  </conditionalFormatting>
  <conditionalFormatting sqref="C442">
    <cfRule type="cellIs" dxfId="24094" priority="1609" operator="equal">
      <formula>$C442</formula>
    </cfRule>
    <cfRule type="cellIs" dxfId="24093" priority="1610" operator="greaterThan">
      <formula>$C442</formula>
    </cfRule>
    <cfRule type="cellIs" dxfId="24092" priority="1611" operator="lessThan">
      <formula>$C442</formula>
    </cfRule>
  </conditionalFormatting>
  <conditionalFormatting sqref="C443">
    <cfRule type="expression" dxfId="24091" priority="1608">
      <formula>AND($A443&lt;&gt;"",MOD(ROW(),2))</formula>
    </cfRule>
  </conditionalFormatting>
  <conditionalFormatting sqref="C443">
    <cfRule type="cellIs" dxfId="24090" priority="1605" operator="equal">
      <formula>$C443</formula>
    </cfRule>
    <cfRule type="cellIs" dxfId="24089" priority="1606" operator="greaterThan">
      <formula>$C443</formula>
    </cfRule>
    <cfRule type="cellIs" dxfId="24088" priority="1607" operator="lessThan">
      <formula>$C443</formula>
    </cfRule>
  </conditionalFormatting>
  <conditionalFormatting sqref="C444">
    <cfRule type="expression" dxfId="24087" priority="1604">
      <formula>AND($A444&lt;&gt;"",MOD(ROW(),2))</formula>
    </cfRule>
  </conditionalFormatting>
  <conditionalFormatting sqref="C444">
    <cfRule type="cellIs" dxfId="24086" priority="1601" operator="equal">
      <formula>$C444</formula>
    </cfRule>
    <cfRule type="cellIs" dxfId="24085" priority="1602" operator="greaterThan">
      <formula>$C444</formula>
    </cfRule>
    <cfRule type="cellIs" dxfId="24084" priority="1603" operator="lessThan">
      <formula>$C444</formula>
    </cfRule>
  </conditionalFormatting>
  <conditionalFormatting sqref="C445">
    <cfRule type="expression" dxfId="24083" priority="1600">
      <formula>AND($A445&lt;&gt;"",MOD(ROW(),2))</formula>
    </cfRule>
  </conditionalFormatting>
  <conditionalFormatting sqref="C445">
    <cfRule type="cellIs" dxfId="24082" priority="1597" operator="equal">
      <formula>$C445</formula>
    </cfRule>
    <cfRule type="cellIs" dxfId="24081" priority="1598" operator="greaterThan">
      <formula>$C445</formula>
    </cfRule>
    <cfRule type="cellIs" dxfId="24080" priority="1599" operator="lessThan">
      <formula>$C445</formula>
    </cfRule>
  </conditionalFormatting>
  <conditionalFormatting sqref="C446">
    <cfRule type="expression" dxfId="24079" priority="1596">
      <formula>AND($A446&lt;&gt;"",MOD(ROW(),2))</formula>
    </cfRule>
  </conditionalFormatting>
  <conditionalFormatting sqref="C446">
    <cfRule type="cellIs" dxfId="24078" priority="1593" operator="equal">
      <formula>$C446</formula>
    </cfRule>
    <cfRule type="cellIs" dxfId="24077" priority="1594" operator="greaterThan">
      <formula>$C446</formula>
    </cfRule>
    <cfRule type="cellIs" dxfId="24076" priority="1595" operator="lessThan">
      <formula>$C446</formula>
    </cfRule>
  </conditionalFormatting>
  <conditionalFormatting sqref="C447">
    <cfRule type="expression" dxfId="24075" priority="1592">
      <formula>AND($A447&lt;&gt;"",MOD(ROW(),2))</formula>
    </cfRule>
  </conditionalFormatting>
  <conditionalFormatting sqref="C447">
    <cfRule type="cellIs" dxfId="24074" priority="1589" operator="equal">
      <formula>$C447</formula>
    </cfRule>
    <cfRule type="cellIs" dxfId="24073" priority="1590" operator="greaterThan">
      <formula>$C447</formula>
    </cfRule>
    <cfRule type="cellIs" dxfId="24072" priority="1591" operator="lessThan">
      <formula>$C447</formula>
    </cfRule>
  </conditionalFormatting>
  <conditionalFormatting sqref="C448">
    <cfRule type="expression" dxfId="24071" priority="1588">
      <formula>AND($A448&lt;&gt;"",MOD(ROW(),2))</formula>
    </cfRule>
  </conditionalFormatting>
  <conditionalFormatting sqref="C448">
    <cfRule type="cellIs" dxfId="24070" priority="1585" operator="equal">
      <formula>$C448</formula>
    </cfRule>
    <cfRule type="cellIs" dxfId="24069" priority="1586" operator="greaterThan">
      <formula>$C448</formula>
    </cfRule>
    <cfRule type="cellIs" dxfId="24068" priority="1587" operator="lessThan">
      <formula>$C448</formula>
    </cfRule>
  </conditionalFormatting>
  <conditionalFormatting sqref="C449">
    <cfRule type="expression" dxfId="24067" priority="1584">
      <formula>AND($A449&lt;&gt;"",MOD(ROW(),2))</formula>
    </cfRule>
  </conditionalFormatting>
  <conditionalFormatting sqref="C449">
    <cfRule type="cellIs" dxfId="24066" priority="1581" operator="equal">
      <formula>$C449</formula>
    </cfRule>
    <cfRule type="cellIs" dxfId="24065" priority="1582" operator="greaterThan">
      <formula>$C449</formula>
    </cfRule>
    <cfRule type="cellIs" dxfId="24064" priority="1583" operator="lessThan">
      <formula>$C449</formula>
    </cfRule>
  </conditionalFormatting>
  <conditionalFormatting sqref="D438:E438">
    <cfRule type="expression" dxfId="24063" priority="1580">
      <formula>AND($A438&lt;&gt;"",MOD(ROW(),2))</formula>
    </cfRule>
  </conditionalFormatting>
  <conditionalFormatting sqref="D438">
    <cfRule type="cellIs" dxfId="24062" priority="1577" operator="equal">
      <formula>$C438</formula>
    </cfRule>
    <cfRule type="cellIs" dxfId="24061" priority="1578" operator="greaterThan">
      <formula>$C438</formula>
    </cfRule>
    <cfRule type="cellIs" dxfId="24060" priority="1579" operator="lessThan">
      <formula>$C438</formula>
    </cfRule>
  </conditionalFormatting>
  <conditionalFormatting sqref="D439:E439">
    <cfRule type="expression" dxfId="24059" priority="1576">
      <formula>AND($A439&lt;&gt;"",MOD(ROW(),2))</formula>
    </cfRule>
  </conditionalFormatting>
  <conditionalFormatting sqref="D439">
    <cfRule type="cellIs" dxfId="24058" priority="1573" operator="equal">
      <formula>$C439</formula>
    </cfRule>
    <cfRule type="cellIs" dxfId="24057" priority="1574" operator="greaterThan">
      <formula>$C439</formula>
    </cfRule>
    <cfRule type="cellIs" dxfId="24056" priority="1575" operator="lessThan">
      <formula>$C439</formula>
    </cfRule>
  </conditionalFormatting>
  <conditionalFormatting sqref="D440:E440">
    <cfRule type="expression" dxfId="24055" priority="1572">
      <formula>AND($A440&lt;&gt;"",MOD(ROW(),2))</formula>
    </cfRule>
  </conditionalFormatting>
  <conditionalFormatting sqref="D440">
    <cfRule type="cellIs" dxfId="24054" priority="1569" operator="equal">
      <formula>$C440</formula>
    </cfRule>
    <cfRule type="cellIs" dxfId="24053" priority="1570" operator="greaterThan">
      <formula>$C440</formula>
    </cfRule>
    <cfRule type="cellIs" dxfId="24052" priority="1571" operator="lessThan">
      <formula>$C440</formula>
    </cfRule>
  </conditionalFormatting>
  <conditionalFormatting sqref="D441:E441">
    <cfRule type="expression" dxfId="24051" priority="1568">
      <formula>AND($A441&lt;&gt;"",MOD(ROW(),2))</formula>
    </cfRule>
  </conditionalFormatting>
  <conditionalFormatting sqref="D441">
    <cfRule type="cellIs" dxfId="24050" priority="1565" operator="equal">
      <formula>$C441</formula>
    </cfRule>
    <cfRule type="cellIs" dxfId="24049" priority="1566" operator="greaterThan">
      <formula>$C441</formula>
    </cfRule>
    <cfRule type="cellIs" dxfId="24048" priority="1567" operator="lessThan">
      <formula>$C441</formula>
    </cfRule>
  </conditionalFormatting>
  <conditionalFormatting sqref="D442:E442">
    <cfRule type="expression" dxfId="24047" priority="1564">
      <formula>AND($A442&lt;&gt;"",MOD(ROW(),2))</formula>
    </cfRule>
  </conditionalFormatting>
  <conditionalFormatting sqref="D442">
    <cfRule type="cellIs" dxfId="24046" priority="1561" operator="equal">
      <formula>$C442</formula>
    </cfRule>
    <cfRule type="cellIs" dxfId="24045" priority="1562" operator="greaterThan">
      <formula>$C442</formula>
    </cfRule>
    <cfRule type="cellIs" dxfId="24044" priority="1563" operator="lessThan">
      <formula>$C442</formula>
    </cfRule>
  </conditionalFormatting>
  <conditionalFormatting sqref="D443:E443">
    <cfRule type="expression" dxfId="24043" priority="1560">
      <formula>AND($A443&lt;&gt;"",MOD(ROW(),2))</formula>
    </cfRule>
  </conditionalFormatting>
  <conditionalFormatting sqref="D443">
    <cfRule type="cellIs" dxfId="24042" priority="1557" operator="equal">
      <formula>$C443</formula>
    </cfRule>
    <cfRule type="cellIs" dxfId="24041" priority="1558" operator="greaterThan">
      <formula>$C443</formula>
    </cfRule>
    <cfRule type="cellIs" dxfId="24040" priority="1559" operator="lessThan">
      <formula>$C443</formula>
    </cfRule>
  </conditionalFormatting>
  <conditionalFormatting sqref="D444:E444">
    <cfRule type="expression" dxfId="24039" priority="1556">
      <formula>AND($A444&lt;&gt;"",MOD(ROW(),2))</formula>
    </cfRule>
  </conditionalFormatting>
  <conditionalFormatting sqref="D444">
    <cfRule type="cellIs" dxfId="24038" priority="1553" operator="equal">
      <formula>$C444</formula>
    </cfRule>
    <cfRule type="cellIs" dxfId="24037" priority="1554" operator="greaterThan">
      <formula>$C444</formula>
    </cfRule>
    <cfRule type="cellIs" dxfId="24036" priority="1555" operator="lessThan">
      <formula>$C444</formula>
    </cfRule>
  </conditionalFormatting>
  <conditionalFormatting sqref="D445:E445">
    <cfRule type="expression" dxfId="24035" priority="1552">
      <formula>AND($A445&lt;&gt;"",MOD(ROW(),2))</formula>
    </cfRule>
  </conditionalFormatting>
  <conditionalFormatting sqref="D445">
    <cfRule type="cellIs" dxfId="24034" priority="1549" operator="equal">
      <formula>$C445</formula>
    </cfRule>
    <cfRule type="cellIs" dxfId="24033" priority="1550" operator="greaterThan">
      <formula>$C445</formula>
    </cfRule>
    <cfRule type="cellIs" dxfId="24032" priority="1551" operator="lessThan">
      <formula>$C445</formula>
    </cfRule>
  </conditionalFormatting>
  <conditionalFormatting sqref="D446:E446">
    <cfRule type="expression" dxfId="24031" priority="1548">
      <formula>AND($A446&lt;&gt;"",MOD(ROW(),2))</formula>
    </cfRule>
  </conditionalFormatting>
  <conditionalFormatting sqref="D446">
    <cfRule type="cellIs" dxfId="24030" priority="1545" operator="equal">
      <formula>$C446</formula>
    </cfRule>
    <cfRule type="cellIs" dxfId="24029" priority="1546" operator="greaterThan">
      <formula>$C446</formula>
    </cfRule>
    <cfRule type="cellIs" dxfId="24028" priority="1547" operator="lessThan">
      <formula>$C446</formula>
    </cfRule>
  </conditionalFormatting>
  <conditionalFormatting sqref="D447:E447">
    <cfRule type="expression" dxfId="24027" priority="1544">
      <formula>AND($A447&lt;&gt;"",MOD(ROW(),2))</formula>
    </cfRule>
  </conditionalFormatting>
  <conditionalFormatting sqref="D447">
    <cfRule type="cellIs" dxfId="24026" priority="1541" operator="equal">
      <formula>$C447</formula>
    </cfRule>
    <cfRule type="cellIs" dxfId="24025" priority="1542" operator="greaterThan">
      <formula>$C447</formula>
    </cfRule>
    <cfRule type="cellIs" dxfId="24024" priority="1543" operator="lessThan">
      <formula>$C447</formula>
    </cfRule>
  </conditionalFormatting>
  <conditionalFormatting sqref="D448:E448">
    <cfRule type="expression" dxfId="24023" priority="1540">
      <formula>AND($A448&lt;&gt;"",MOD(ROW(),2))</formula>
    </cfRule>
  </conditionalFormatting>
  <conditionalFormatting sqref="D448">
    <cfRule type="cellIs" dxfId="24022" priority="1537" operator="equal">
      <formula>$C448</formula>
    </cfRule>
    <cfRule type="cellIs" dxfId="24021" priority="1538" operator="greaterThan">
      <formula>$C448</formula>
    </cfRule>
    <cfRule type="cellIs" dxfId="24020" priority="1539" operator="lessThan">
      <formula>$C448</formula>
    </cfRule>
  </conditionalFormatting>
  <conditionalFormatting sqref="D449:E449">
    <cfRule type="expression" dxfId="24019" priority="1536">
      <formula>AND($A449&lt;&gt;"",MOD(ROW(),2))</formula>
    </cfRule>
  </conditionalFormatting>
  <conditionalFormatting sqref="D449">
    <cfRule type="cellIs" dxfId="24018" priority="1533" operator="equal">
      <formula>$C449</formula>
    </cfRule>
    <cfRule type="cellIs" dxfId="24017" priority="1534" operator="greaterThan">
      <formula>$C449</formula>
    </cfRule>
    <cfRule type="cellIs" dxfId="24016" priority="1535" operator="lessThan">
      <formula>$C449</formula>
    </cfRule>
  </conditionalFormatting>
  <conditionalFormatting sqref="D450:E450">
    <cfRule type="expression" dxfId="24015" priority="1532">
      <formula>AND($A450&lt;&gt;"",MOD(ROW(),2))</formula>
    </cfRule>
  </conditionalFormatting>
  <conditionalFormatting sqref="D450">
    <cfRule type="cellIs" dxfId="24014" priority="1529" operator="equal">
      <formula>$C450</formula>
    </cfRule>
    <cfRule type="cellIs" dxfId="24013" priority="1530" operator="greaterThan">
      <formula>$C450</formula>
    </cfRule>
    <cfRule type="cellIs" dxfId="24012" priority="1531" operator="lessThan">
      <formula>$C450</formula>
    </cfRule>
  </conditionalFormatting>
  <conditionalFormatting sqref="D451:E451">
    <cfRule type="expression" dxfId="24011" priority="1528">
      <formula>AND($A451&lt;&gt;"",MOD(ROW(),2))</formula>
    </cfRule>
  </conditionalFormatting>
  <conditionalFormatting sqref="D451">
    <cfRule type="cellIs" dxfId="24010" priority="1525" operator="equal">
      <formula>$C451</formula>
    </cfRule>
    <cfRule type="cellIs" dxfId="24009" priority="1526" operator="greaterThan">
      <formula>$C451</formula>
    </cfRule>
    <cfRule type="cellIs" dxfId="24008" priority="1527" operator="lessThan">
      <formula>$C451</formula>
    </cfRule>
  </conditionalFormatting>
  <conditionalFormatting sqref="D452:E452">
    <cfRule type="expression" dxfId="24007" priority="1524">
      <formula>AND($A452&lt;&gt;"",MOD(ROW(),2))</formula>
    </cfRule>
  </conditionalFormatting>
  <conditionalFormatting sqref="D452">
    <cfRule type="cellIs" dxfId="24006" priority="1521" operator="equal">
      <formula>$C452</formula>
    </cfRule>
    <cfRule type="cellIs" dxfId="24005" priority="1522" operator="greaterThan">
      <formula>$C452</formula>
    </cfRule>
    <cfRule type="cellIs" dxfId="24004" priority="1523" operator="lessThan">
      <formula>$C452</formula>
    </cfRule>
  </conditionalFormatting>
  <conditionalFormatting sqref="D453:E453">
    <cfRule type="expression" dxfId="24003" priority="1520">
      <formula>AND($A453&lt;&gt;"",MOD(ROW(),2))</formula>
    </cfRule>
  </conditionalFormatting>
  <conditionalFormatting sqref="D453">
    <cfRule type="cellIs" dxfId="24002" priority="1517" operator="equal">
      <formula>$C453</formula>
    </cfRule>
    <cfRule type="cellIs" dxfId="24001" priority="1518" operator="greaterThan">
      <formula>$C453</formula>
    </cfRule>
    <cfRule type="cellIs" dxfId="24000" priority="1519" operator="lessThan">
      <formula>$C453</formula>
    </cfRule>
  </conditionalFormatting>
  <conditionalFormatting sqref="D454:E454">
    <cfRule type="expression" dxfId="23999" priority="1516">
      <formula>AND($A454&lt;&gt;"",MOD(ROW(),2))</formula>
    </cfRule>
  </conditionalFormatting>
  <conditionalFormatting sqref="D454">
    <cfRule type="cellIs" dxfId="23998" priority="1513" operator="equal">
      <formula>$C454</formula>
    </cfRule>
    <cfRule type="cellIs" dxfId="23997" priority="1514" operator="greaterThan">
      <formula>$C454</formula>
    </cfRule>
    <cfRule type="cellIs" dxfId="23996" priority="1515" operator="lessThan">
      <formula>$C454</formula>
    </cfRule>
  </conditionalFormatting>
  <conditionalFormatting sqref="D455:E455">
    <cfRule type="expression" dxfId="23995" priority="1512">
      <formula>AND($A455&lt;&gt;"",MOD(ROW(),2))</formula>
    </cfRule>
  </conditionalFormatting>
  <conditionalFormatting sqref="D455">
    <cfRule type="cellIs" dxfId="23994" priority="1509" operator="equal">
      <formula>$C455</formula>
    </cfRule>
    <cfRule type="cellIs" dxfId="23993" priority="1510" operator="greaterThan">
      <formula>$C455</formula>
    </cfRule>
    <cfRule type="cellIs" dxfId="23992" priority="1511" operator="lessThan">
      <formula>$C455</formula>
    </cfRule>
  </conditionalFormatting>
  <conditionalFormatting sqref="D456:E456">
    <cfRule type="expression" dxfId="23991" priority="1508">
      <formula>AND($A456&lt;&gt;"",MOD(ROW(),2))</formula>
    </cfRule>
  </conditionalFormatting>
  <conditionalFormatting sqref="D456">
    <cfRule type="cellIs" dxfId="23990" priority="1505" operator="equal">
      <formula>$C456</formula>
    </cfRule>
    <cfRule type="cellIs" dxfId="23989" priority="1506" operator="greaterThan">
      <formula>$C456</formula>
    </cfRule>
    <cfRule type="cellIs" dxfId="23988" priority="1507" operator="lessThan">
      <formula>$C456</formula>
    </cfRule>
  </conditionalFormatting>
  <conditionalFormatting sqref="D457:E457">
    <cfRule type="expression" dxfId="23987" priority="1504">
      <formula>AND($A457&lt;&gt;"",MOD(ROW(),2))</formula>
    </cfRule>
  </conditionalFormatting>
  <conditionalFormatting sqref="D457">
    <cfRule type="cellIs" dxfId="23986" priority="1501" operator="equal">
      <formula>$C457</formula>
    </cfRule>
    <cfRule type="cellIs" dxfId="23985" priority="1502" operator="greaterThan">
      <formula>$C457</formula>
    </cfRule>
    <cfRule type="cellIs" dxfId="23984" priority="1503" operator="lessThan">
      <formula>$C457</formula>
    </cfRule>
  </conditionalFormatting>
  <conditionalFormatting sqref="D458:E458">
    <cfRule type="expression" dxfId="23983" priority="1500">
      <formula>AND($A458&lt;&gt;"",MOD(ROW(),2))</formula>
    </cfRule>
  </conditionalFormatting>
  <conditionalFormatting sqref="D458">
    <cfRule type="cellIs" dxfId="23982" priority="1497" operator="equal">
      <formula>$C458</formula>
    </cfRule>
    <cfRule type="cellIs" dxfId="23981" priority="1498" operator="greaterThan">
      <formula>$C458</formula>
    </cfRule>
    <cfRule type="cellIs" dxfId="23980" priority="1499" operator="lessThan">
      <formula>$C458</formula>
    </cfRule>
  </conditionalFormatting>
  <conditionalFormatting sqref="D459:E459">
    <cfRule type="expression" dxfId="23979" priority="1496">
      <formula>AND($A459&lt;&gt;"",MOD(ROW(),2))</formula>
    </cfRule>
  </conditionalFormatting>
  <conditionalFormatting sqref="D459">
    <cfRule type="cellIs" dxfId="23978" priority="1493" operator="equal">
      <formula>$C459</formula>
    </cfRule>
    <cfRule type="cellIs" dxfId="23977" priority="1494" operator="greaterThan">
      <formula>$C459</formula>
    </cfRule>
    <cfRule type="cellIs" dxfId="23976" priority="1495" operator="lessThan">
      <formula>$C459</formula>
    </cfRule>
  </conditionalFormatting>
  <conditionalFormatting sqref="D460:E460">
    <cfRule type="expression" dxfId="23975" priority="1492">
      <formula>AND($A460&lt;&gt;"",MOD(ROW(),2))</formula>
    </cfRule>
  </conditionalFormatting>
  <conditionalFormatting sqref="D460">
    <cfRule type="cellIs" dxfId="23974" priority="1489" operator="equal">
      <formula>$C460</formula>
    </cfRule>
    <cfRule type="cellIs" dxfId="23973" priority="1490" operator="greaterThan">
      <formula>$C460</formula>
    </cfRule>
    <cfRule type="cellIs" dxfId="23972" priority="1491" operator="lessThan">
      <formula>$C460</formula>
    </cfRule>
  </conditionalFormatting>
  <conditionalFormatting sqref="D461:E461">
    <cfRule type="expression" dxfId="23971" priority="1488">
      <formula>AND($A461&lt;&gt;"",MOD(ROW(),2))</formula>
    </cfRule>
  </conditionalFormatting>
  <conditionalFormatting sqref="D461">
    <cfRule type="cellIs" dxfId="23970" priority="1485" operator="equal">
      <formula>$C461</formula>
    </cfRule>
    <cfRule type="cellIs" dxfId="23969" priority="1486" operator="greaterThan">
      <formula>$C461</formula>
    </cfRule>
    <cfRule type="cellIs" dxfId="23968" priority="1487" operator="lessThan">
      <formula>$C461</formula>
    </cfRule>
  </conditionalFormatting>
  <conditionalFormatting sqref="C439">
    <cfRule type="expression" dxfId="23967" priority="1484">
      <formula>AND($A439&lt;&gt;"",MOD(ROW(),2))</formula>
    </cfRule>
  </conditionalFormatting>
  <conditionalFormatting sqref="C439">
    <cfRule type="cellIs" dxfId="23966" priority="1481" operator="equal">
      <formula>$C439</formula>
    </cfRule>
    <cfRule type="cellIs" dxfId="23965" priority="1482" operator="greaterThan">
      <formula>$C439</formula>
    </cfRule>
    <cfRule type="cellIs" dxfId="23964" priority="1483" operator="lessThan">
      <formula>$C439</formula>
    </cfRule>
  </conditionalFormatting>
  <conditionalFormatting sqref="C440">
    <cfRule type="expression" dxfId="23963" priority="1480">
      <formula>AND($A440&lt;&gt;"",MOD(ROW(),2))</formula>
    </cfRule>
  </conditionalFormatting>
  <conditionalFormatting sqref="C440">
    <cfRule type="cellIs" dxfId="23962" priority="1477" operator="equal">
      <formula>$C440</formula>
    </cfRule>
    <cfRule type="cellIs" dxfId="23961" priority="1478" operator="greaterThan">
      <formula>$C440</formula>
    </cfRule>
    <cfRule type="cellIs" dxfId="23960" priority="1479" operator="lessThan">
      <formula>$C440</formula>
    </cfRule>
  </conditionalFormatting>
  <conditionalFormatting sqref="C441">
    <cfRule type="expression" dxfId="23959" priority="1476">
      <formula>AND($A441&lt;&gt;"",MOD(ROW(),2))</formula>
    </cfRule>
  </conditionalFormatting>
  <conditionalFormatting sqref="C441">
    <cfRule type="cellIs" dxfId="23958" priority="1473" operator="equal">
      <formula>$C441</formula>
    </cfRule>
    <cfRule type="cellIs" dxfId="23957" priority="1474" operator="greaterThan">
      <formula>$C441</formula>
    </cfRule>
    <cfRule type="cellIs" dxfId="23956" priority="1475" operator="lessThan">
      <formula>$C441</formula>
    </cfRule>
  </conditionalFormatting>
  <conditionalFormatting sqref="C442">
    <cfRule type="expression" dxfId="23955" priority="1472">
      <formula>AND($A442&lt;&gt;"",MOD(ROW(),2))</formula>
    </cfRule>
  </conditionalFormatting>
  <conditionalFormatting sqref="C442">
    <cfRule type="cellIs" dxfId="23954" priority="1469" operator="equal">
      <formula>$C442</formula>
    </cfRule>
    <cfRule type="cellIs" dxfId="23953" priority="1470" operator="greaterThan">
      <formula>$C442</formula>
    </cfRule>
    <cfRule type="cellIs" dxfId="23952" priority="1471" operator="lessThan">
      <formula>$C442</formula>
    </cfRule>
  </conditionalFormatting>
  <conditionalFormatting sqref="C443">
    <cfRule type="expression" dxfId="23951" priority="1468">
      <formula>AND($A443&lt;&gt;"",MOD(ROW(),2))</formula>
    </cfRule>
  </conditionalFormatting>
  <conditionalFormatting sqref="C443">
    <cfRule type="cellIs" dxfId="23950" priority="1465" operator="equal">
      <formula>$C443</formula>
    </cfRule>
    <cfRule type="cellIs" dxfId="23949" priority="1466" operator="greaterThan">
      <formula>$C443</formula>
    </cfRule>
    <cfRule type="cellIs" dxfId="23948" priority="1467" operator="lessThan">
      <formula>$C443</formula>
    </cfRule>
  </conditionalFormatting>
  <conditionalFormatting sqref="C444">
    <cfRule type="expression" dxfId="23947" priority="1464">
      <formula>AND($A444&lt;&gt;"",MOD(ROW(),2))</formula>
    </cfRule>
  </conditionalFormatting>
  <conditionalFormatting sqref="C444">
    <cfRule type="cellIs" dxfId="23946" priority="1461" operator="equal">
      <formula>$C444</formula>
    </cfRule>
    <cfRule type="cellIs" dxfId="23945" priority="1462" operator="greaterThan">
      <formula>$C444</formula>
    </cfRule>
    <cfRule type="cellIs" dxfId="23944" priority="1463" operator="lessThan">
      <formula>$C444</formula>
    </cfRule>
  </conditionalFormatting>
  <conditionalFormatting sqref="C445">
    <cfRule type="expression" dxfId="23943" priority="1460">
      <formula>AND($A445&lt;&gt;"",MOD(ROW(),2))</formula>
    </cfRule>
  </conditionalFormatting>
  <conditionalFormatting sqref="C445">
    <cfRule type="cellIs" dxfId="23942" priority="1457" operator="equal">
      <formula>$C445</formula>
    </cfRule>
    <cfRule type="cellIs" dxfId="23941" priority="1458" operator="greaterThan">
      <formula>$C445</formula>
    </cfRule>
    <cfRule type="cellIs" dxfId="23940" priority="1459" operator="lessThan">
      <formula>$C445</formula>
    </cfRule>
  </conditionalFormatting>
  <conditionalFormatting sqref="C446">
    <cfRule type="expression" dxfId="23939" priority="1456">
      <formula>AND($A446&lt;&gt;"",MOD(ROW(),2))</formula>
    </cfRule>
  </conditionalFormatting>
  <conditionalFormatting sqref="C446">
    <cfRule type="cellIs" dxfId="23938" priority="1453" operator="equal">
      <formula>$C446</formula>
    </cfRule>
    <cfRule type="cellIs" dxfId="23937" priority="1454" operator="greaterThan">
      <formula>$C446</formula>
    </cfRule>
    <cfRule type="cellIs" dxfId="23936" priority="1455" operator="lessThan">
      <formula>$C446</formula>
    </cfRule>
  </conditionalFormatting>
  <conditionalFormatting sqref="C447">
    <cfRule type="expression" dxfId="23935" priority="1452">
      <formula>AND($A447&lt;&gt;"",MOD(ROW(),2))</formula>
    </cfRule>
  </conditionalFormatting>
  <conditionalFormatting sqref="C447">
    <cfRule type="cellIs" dxfId="23934" priority="1449" operator="equal">
      <formula>$C447</formula>
    </cfRule>
    <cfRule type="cellIs" dxfId="23933" priority="1450" operator="greaterThan">
      <formula>$C447</formula>
    </cfRule>
    <cfRule type="cellIs" dxfId="23932" priority="1451" operator="lessThan">
      <formula>$C447</formula>
    </cfRule>
  </conditionalFormatting>
  <conditionalFormatting sqref="C448">
    <cfRule type="expression" dxfId="23931" priority="1448">
      <formula>AND($A448&lt;&gt;"",MOD(ROW(),2))</formula>
    </cfRule>
  </conditionalFormatting>
  <conditionalFormatting sqref="C448">
    <cfRule type="cellIs" dxfId="23930" priority="1445" operator="equal">
      <formula>$C448</formula>
    </cfRule>
    <cfRule type="cellIs" dxfId="23929" priority="1446" operator="greaterThan">
      <formula>$C448</formula>
    </cfRule>
    <cfRule type="cellIs" dxfId="23928" priority="1447" operator="lessThan">
      <formula>$C448</formula>
    </cfRule>
  </conditionalFormatting>
  <conditionalFormatting sqref="C449">
    <cfRule type="expression" dxfId="23927" priority="1444">
      <formula>AND($A449&lt;&gt;"",MOD(ROW(),2))</formula>
    </cfRule>
  </conditionalFormatting>
  <conditionalFormatting sqref="C449">
    <cfRule type="cellIs" dxfId="23926" priority="1441" operator="equal">
      <formula>$C449</formula>
    </cfRule>
    <cfRule type="cellIs" dxfId="23925" priority="1442" operator="greaterThan">
      <formula>$C449</formula>
    </cfRule>
    <cfRule type="cellIs" dxfId="23924" priority="1443" operator="lessThan">
      <formula>$C449</formula>
    </cfRule>
  </conditionalFormatting>
  <conditionalFormatting sqref="C450">
    <cfRule type="expression" dxfId="23923" priority="1440">
      <formula>AND($A450&lt;&gt;"",MOD(ROW(),2))</formula>
    </cfRule>
  </conditionalFormatting>
  <conditionalFormatting sqref="C450">
    <cfRule type="cellIs" dxfId="23922" priority="1437" operator="equal">
      <formula>$C450</formula>
    </cfRule>
    <cfRule type="cellIs" dxfId="23921" priority="1438" operator="greaterThan">
      <formula>$C450</formula>
    </cfRule>
    <cfRule type="cellIs" dxfId="23920" priority="1439" operator="lessThan">
      <formula>$C450</formula>
    </cfRule>
  </conditionalFormatting>
  <conditionalFormatting sqref="D439:E439">
    <cfRule type="expression" dxfId="23919" priority="1436">
      <formula>AND($A439&lt;&gt;"",MOD(ROW(),2))</formula>
    </cfRule>
  </conditionalFormatting>
  <conditionalFormatting sqref="D439">
    <cfRule type="cellIs" dxfId="23918" priority="1433" operator="equal">
      <formula>$C439</formula>
    </cfRule>
    <cfRule type="cellIs" dxfId="23917" priority="1434" operator="greaterThan">
      <formula>$C439</formula>
    </cfRule>
    <cfRule type="cellIs" dxfId="23916" priority="1435" operator="lessThan">
      <formula>$C439</formula>
    </cfRule>
  </conditionalFormatting>
  <conditionalFormatting sqref="D440:E440">
    <cfRule type="expression" dxfId="23915" priority="1432">
      <formula>AND($A440&lt;&gt;"",MOD(ROW(),2))</formula>
    </cfRule>
  </conditionalFormatting>
  <conditionalFormatting sqref="D440">
    <cfRule type="cellIs" dxfId="23914" priority="1429" operator="equal">
      <formula>$C440</formula>
    </cfRule>
    <cfRule type="cellIs" dxfId="23913" priority="1430" operator="greaterThan">
      <formula>$C440</formula>
    </cfRule>
    <cfRule type="cellIs" dxfId="23912" priority="1431" operator="lessThan">
      <formula>$C440</formula>
    </cfRule>
  </conditionalFormatting>
  <conditionalFormatting sqref="D441:E441">
    <cfRule type="expression" dxfId="23911" priority="1428">
      <formula>AND($A441&lt;&gt;"",MOD(ROW(),2))</formula>
    </cfRule>
  </conditionalFormatting>
  <conditionalFormatting sqref="D441">
    <cfRule type="cellIs" dxfId="23910" priority="1425" operator="equal">
      <formula>$C441</formula>
    </cfRule>
    <cfRule type="cellIs" dxfId="23909" priority="1426" operator="greaterThan">
      <formula>$C441</formula>
    </cfRule>
    <cfRule type="cellIs" dxfId="23908" priority="1427" operator="lessThan">
      <formula>$C441</formula>
    </cfRule>
  </conditionalFormatting>
  <conditionalFormatting sqref="D442:E442">
    <cfRule type="expression" dxfId="23907" priority="1424">
      <formula>AND($A442&lt;&gt;"",MOD(ROW(),2))</formula>
    </cfRule>
  </conditionalFormatting>
  <conditionalFormatting sqref="D442">
    <cfRule type="cellIs" dxfId="23906" priority="1421" operator="equal">
      <formula>$C442</formula>
    </cfRule>
    <cfRule type="cellIs" dxfId="23905" priority="1422" operator="greaterThan">
      <formula>$C442</formula>
    </cfRule>
    <cfRule type="cellIs" dxfId="23904" priority="1423" operator="lessThan">
      <formula>$C442</formula>
    </cfRule>
  </conditionalFormatting>
  <conditionalFormatting sqref="D443:E443">
    <cfRule type="expression" dxfId="23903" priority="1420">
      <formula>AND($A443&lt;&gt;"",MOD(ROW(),2))</formula>
    </cfRule>
  </conditionalFormatting>
  <conditionalFormatting sqref="D443">
    <cfRule type="cellIs" dxfId="23902" priority="1417" operator="equal">
      <formula>$C443</formula>
    </cfRule>
    <cfRule type="cellIs" dxfId="23901" priority="1418" operator="greaterThan">
      <formula>$C443</formula>
    </cfRule>
    <cfRule type="cellIs" dxfId="23900" priority="1419" operator="lessThan">
      <formula>$C443</formula>
    </cfRule>
  </conditionalFormatting>
  <conditionalFormatting sqref="D444:E444">
    <cfRule type="expression" dxfId="23899" priority="1416">
      <formula>AND($A444&lt;&gt;"",MOD(ROW(),2))</formula>
    </cfRule>
  </conditionalFormatting>
  <conditionalFormatting sqref="D444">
    <cfRule type="cellIs" dxfId="23898" priority="1413" operator="equal">
      <formula>$C444</formula>
    </cfRule>
    <cfRule type="cellIs" dxfId="23897" priority="1414" operator="greaterThan">
      <formula>$C444</formula>
    </cfRule>
    <cfRule type="cellIs" dxfId="23896" priority="1415" operator="lessThan">
      <formula>$C444</formula>
    </cfRule>
  </conditionalFormatting>
  <conditionalFormatting sqref="D445:E445">
    <cfRule type="expression" dxfId="23895" priority="1412">
      <formula>AND($A445&lt;&gt;"",MOD(ROW(),2))</formula>
    </cfRule>
  </conditionalFormatting>
  <conditionalFormatting sqref="D445">
    <cfRule type="cellIs" dxfId="23894" priority="1409" operator="equal">
      <formula>$C445</formula>
    </cfRule>
    <cfRule type="cellIs" dxfId="23893" priority="1410" operator="greaterThan">
      <formula>$C445</formula>
    </cfRule>
    <cfRule type="cellIs" dxfId="23892" priority="1411" operator="lessThan">
      <formula>$C445</formula>
    </cfRule>
  </conditionalFormatting>
  <conditionalFormatting sqref="D446:E446">
    <cfRule type="expression" dxfId="23891" priority="1408">
      <formula>AND($A446&lt;&gt;"",MOD(ROW(),2))</formula>
    </cfRule>
  </conditionalFormatting>
  <conditionalFormatting sqref="D446">
    <cfRule type="cellIs" dxfId="23890" priority="1405" operator="equal">
      <formula>$C446</formula>
    </cfRule>
    <cfRule type="cellIs" dxfId="23889" priority="1406" operator="greaterThan">
      <formula>$C446</formula>
    </cfRule>
    <cfRule type="cellIs" dxfId="23888" priority="1407" operator="lessThan">
      <formula>$C446</formula>
    </cfRule>
  </conditionalFormatting>
  <conditionalFormatting sqref="D447:E447">
    <cfRule type="expression" dxfId="23887" priority="1404">
      <formula>AND($A447&lt;&gt;"",MOD(ROW(),2))</formula>
    </cfRule>
  </conditionalFormatting>
  <conditionalFormatting sqref="D447">
    <cfRule type="cellIs" dxfId="23886" priority="1401" operator="equal">
      <formula>$C447</formula>
    </cfRule>
    <cfRule type="cellIs" dxfId="23885" priority="1402" operator="greaterThan">
      <formula>$C447</formula>
    </cfRule>
    <cfRule type="cellIs" dxfId="23884" priority="1403" operator="lessThan">
      <formula>$C447</formula>
    </cfRule>
  </conditionalFormatting>
  <conditionalFormatting sqref="D448:E448">
    <cfRule type="expression" dxfId="23883" priority="1400">
      <formula>AND($A448&lt;&gt;"",MOD(ROW(),2))</formula>
    </cfRule>
  </conditionalFormatting>
  <conditionalFormatting sqref="D448">
    <cfRule type="cellIs" dxfId="23882" priority="1397" operator="equal">
      <formula>$C448</formula>
    </cfRule>
    <cfRule type="cellIs" dxfId="23881" priority="1398" operator="greaterThan">
      <formula>$C448</formula>
    </cfRule>
    <cfRule type="cellIs" dxfId="23880" priority="1399" operator="lessThan">
      <formula>$C448</formula>
    </cfRule>
  </conditionalFormatting>
  <conditionalFormatting sqref="D449:E449">
    <cfRule type="expression" dxfId="23879" priority="1396">
      <formula>AND($A449&lt;&gt;"",MOD(ROW(),2))</formula>
    </cfRule>
  </conditionalFormatting>
  <conditionalFormatting sqref="D449">
    <cfRule type="cellIs" dxfId="23878" priority="1393" operator="equal">
      <formula>$C449</formula>
    </cfRule>
    <cfRule type="cellIs" dxfId="23877" priority="1394" operator="greaterThan">
      <formula>$C449</formula>
    </cfRule>
    <cfRule type="cellIs" dxfId="23876" priority="1395" operator="lessThan">
      <formula>$C449</formula>
    </cfRule>
  </conditionalFormatting>
  <conditionalFormatting sqref="D450:E450">
    <cfRule type="expression" dxfId="23875" priority="1392">
      <formula>AND($A450&lt;&gt;"",MOD(ROW(),2))</formula>
    </cfRule>
  </conditionalFormatting>
  <conditionalFormatting sqref="D450">
    <cfRule type="cellIs" dxfId="23874" priority="1389" operator="equal">
      <formula>$C450</formula>
    </cfRule>
    <cfRule type="cellIs" dxfId="23873" priority="1390" operator="greaterThan">
      <formula>$C450</formula>
    </cfRule>
    <cfRule type="cellIs" dxfId="23872" priority="1391" operator="lessThan">
      <formula>$C450</formula>
    </cfRule>
  </conditionalFormatting>
  <conditionalFormatting sqref="D451:E451">
    <cfRule type="expression" dxfId="23871" priority="1388">
      <formula>AND($A451&lt;&gt;"",MOD(ROW(),2))</formula>
    </cfRule>
  </conditionalFormatting>
  <conditionalFormatting sqref="D451">
    <cfRule type="cellIs" dxfId="23870" priority="1385" operator="equal">
      <formula>$C451</formula>
    </cfRule>
    <cfRule type="cellIs" dxfId="23869" priority="1386" operator="greaterThan">
      <formula>$C451</formula>
    </cfRule>
    <cfRule type="cellIs" dxfId="23868" priority="1387" operator="lessThan">
      <formula>$C451</formula>
    </cfRule>
  </conditionalFormatting>
  <conditionalFormatting sqref="D452:E452">
    <cfRule type="expression" dxfId="23867" priority="1384">
      <formula>AND($A452&lt;&gt;"",MOD(ROW(),2))</formula>
    </cfRule>
  </conditionalFormatting>
  <conditionalFormatting sqref="D452">
    <cfRule type="cellIs" dxfId="23866" priority="1381" operator="equal">
      <formula>$C452</formula>
    </cfRule>
    <cfRule type="cellIs" dxfId="23865" priority="1382" operator="greaterThan">
      <formula>$C452</formula>
    </cfRule>
    <cfRule type="cellIs" dxfId="23864" priority="1383" operator="lessThan">
      <formula>$C452</formula>
    </cfRule>
  </conditionalFormatting>
  <conditionalFormatting sqref="D453:E453">
    <cfRule type="expression" dxfId="23863" priority="1380">
      <formula>AND($A453&lt;&gt;"",MOD(ROW(),2))</formula>
    </cfRule>
  </conditionalFormatting>
  <conditionalFormatting sqref="D453">
    <cfRule type="cellIs" dxfId="23862" priority="1377" operator="equal">
      <formula>$C453</formula>
    </cfRule>
    <cfRule type="cellIs" dxfId="23861" priority="1378" operator="greaterThan">
      <formula>$C453</formula>
    </cfRule>
    <cfRule type="cellIs" dxfId="23860" priority="1379" operator="lessThan">
      <formula>$C453</formula>
    </cfRule>
  </conditionalFormatting>
  <conditionalFormatting sqref="D454:E454">
    <cfRule type="expression" dxfId="23859" priority="1376">
      <formula>AND($A454&lt;&gt;"",MOD(ROW(),2))</formula>
    </cfRule>
  </conditionalFormatting>
  <conditionalFormatting sqref="D454">
    <cfRule type="cellIs" dxfId="23858" priority="1373" operator="equal">
      <formula>$C454</formula>
    </cfRule>
    <cfRule type="cellIs" dxfId="23857" priority="1374" operator="greaterThan">
      <formula>$C454</formula>
    </cfRule>
    <cfRule type="cellIs" dxfId="23856" priority="1375" operator="lessThan">
      <formula>$C454</formula>
    </cfRule>
  </conditionalFormatting>
  <conditionalFormatting sqref="D455:E455">
    <cfRule type="expression" dxfId="23855" priority="1372">
      <formula>AND($A455&lt;&gt;"",MOD(ROW(),2))</formula>
    </cfRule>
  </conditionalFormatting>
  <conditionalFormatting sqref="D455">
    <cfRule type="cellIs" dxfId="23854" priority="1369" operator="equal">
      <formula>$C455</formula>
    </cfRule>
    <cfRule type="cellIs" dxfId="23853" priority="1370" operator="greaterThan">
      <formula>$C455</formula>
    </cfRule>
    <cfRule type="cellIs" dxfId="23852" priority="1371" operator="lessThan">
      <formula>$C455</formula>
    </cfRule>
  </conditionalFormatting>
  <conditionalFormatting sqref="D456:E456">
    <cfRule type="expression" dxfId="23851" priority="1368">
      <formula>AND($A456&lt;&gt;"",MOD(ROW(),2))</formula>
    </cfRule>
  </conditionalFormatting>
  <conditionalFormatting sqref="D456">
    <cfRule type="cellIs" dxfId="23850" priority="1365" operator="equal">
      <formula>$C456</formula>
    </cfRule>
    <cfRule type="cellIs" dxfId="23849" priority="1366" operator="greaterThan">
      <formula>$C456</formula>
    </cfRule>
    <cfRule type="cellIs" dxfId="23848" priority="1367" operator="lessThan">
      <formula>$C456</formula>
    </cfRule>
  </conditionalFormatting>
  <conditionalFormatting sqref="D457:E457">
    <cfRule type="expression" dxfId="23847" priority="1364">
      <formula>AND($A457&lt;&gt;"",MOD(ROW(),2))</formula>
    </cfRule>
  </conditionalFormatting>
  <conditionalFormatting sqref="D457">
    <cfRule type="cellIs" dxfId="23846" priority="1361" operator="equal">
      <formula>$C457</formula>
    </cfRule>
    <cfRule type="cellIs" dxfId="23845" priority="1362" operator="greaterThan">
      <formula>$C457</formula>
    </cfRule>
    <cfRule type="cellIs" dxfId="23844" priority="1363" operator="lessThan">
      <formula>$C457</formula>
    </cfRule>
  </conditionalFormatting>
  <conditionalFormatting sqref="D458:E458">
    <cfRule type="expression" dxfId="23843" priority="1360">
      <formula>AND($A458&lt;&gt;"",MOD(ROW(),2))</formula>
    </cfRule>
  </conditionalFormatting>
  <conditionalFormatting sqref="D458">
    <cfRule type="cellIs" dxfId="23842" priority="1357" operator="equal">
      <formula>$C458</formula>
    </cfRule>
    <cfRule type="cellIs" dxfId="23841" priority="1358" operator="greaterThan">
      <formula>$C458</formula>
    </cfRule>
    <cfRule type="cellIs" dxfId="23840" priority="1359" operator="lessThan">
      <formula>$C458</formula>
    </cfRule>
  </conditionalFormatting>
  <conditionalFormatting sqref="D459:E459">
    <cfRule type="expression" dxfId="23839" priority="1356">
      <formula>AND($A459&lt;&gt;"",MOD(ROW(),2))</formula>
    </cfRule>
  </conditionalFormatting>
  <conditionalFormatting sqref="D459">
    <cfRule type="cellIs" dxfId="23838" priority="1353" operator="equal">
      <formula>$C459</formula>
    </cfRule>
    <cfRule type="cellIs" dxfId="23837" priority="1354" operator="greaterThan">
      <formula>$C459</formula>
    </cfRule>
    <cfRule type="cellIs" dxfId="23836" priority="1355" operator="lessThan">
      <formula>$C459</formula>
    </cfRule>
  </conditionalFormatting>
  <conditionalFormatting sqref="D460:E460">
    <cfRule type="expression" dxfId="23835" priority="1352">
      <formula>AND($A460&lt;&gt;"",MOD(ROW(),2))</formula>
    </cfRule>
  </conditionalFormatting>
  <conditionalFormatting sqref="D460">
    <cfRule type="cellIs" dxfId="23834" priority="1349" operator="equal">
      <formula>$C460</formula>
    </cfRule>
    <cfRule type="cellIs" dxfId="23833" priority="1350" operator="greaterThan">
      <formula>$C460</formula>
    </cfRule>
    <cfRule type="cellIs" dxfId="23832" priority="1351" operator="lessThan">
      <formula>$C460</formula>
    </cfRule>
  </conditionalFormatting>
  <conditionalFormatting sqref="D461:E461">
    <cfRule type="expression" dxfId="23831" priority="1348">
      <formula>AND($A461&lt;&gt;"",MOD(ROW(),2))</formula>
    </cfRule>
  </conditionalFormatting>
  <conditionalFormatting sqref="D461">
    <cfRule type="cellIs" dxfId="23830" priority="1345" operator="equal">
      <formula>$C461</formula>
    </cfRule>
    <cfRule type="cellIs" dxfId="23829" priority="1346" operator="greaterThan">
      <formula>$C461</formula>
    </cfRule>
    <cfRule type="cellIs" dxfId="23828" priority="1347" operator="lessThan">
      <formula>$C461</formula>
    </cfRule>
  </conditionalFormatting>
  <conditionalFormatting sqref="D462:E462">
    <cfRule type="expression" dxfId="23827" priority="1344">
      <formula>AND($A462&lt;&gt;"",MOD(ROW(),2))</formula>
    </cfRule>
  </conditionalFormatting>
  <conditionalFormatting sqref="D462">
    <cfRule type="cellIs" dxfId="23826" priority="1341" operator="equal">
      <formula>$C462</formula>
    </cfRule>
    <cfRule type="cellIs" dxfId="23825" priority="1342" operator="greaterThan">
      <formula>$C462</formula>
    </cfRule>
    <cfRule type="cellIs" dxfId="23824" priority="1343" operator="lessThan">
      <formula>$C462</formula>
    </cfRule>
  </conditionalFormatting>
  <conditionalFormatting sqref="E463">
    <cfRule type="expression" dxfId="23823" priority="1340">
      <formula>AND($A463&lt;&gt;"",MOD(ROW(),2))</formula>
    </cfRule>
  </conditionalFormatting>
  <conditionalFormatting sqref="E464">
    <cfRule type="expression" dxfId="23822" priority="1339">
      <formula>AND($A464&lt;&gt;"",MOD(ROW(),2))</formula>
    </cfRule>
  </conditionalFormatting>
  <conditionalFormatting sqref="E465">
    <cfRule type="expression" dxfId="23821" priority="1338">
      <formula>AND($A465&lt;&gt;"",MOD(ROW(),2))</formula>
    </cfRule>
  </conditionalFormatting>
  <conditionalFormatting sqref="C438">
    <cfRule type="expression" dxfId="23820" priority="1337">
      <formula>AND($A438&lt;&gt;"",MOD(ROW(),2))</formula>
    </cfRule>
  </conditionalFormatting>
  <conditionalFormatting sqref="C438">
    <cfRule type="cellIs" dxfId="23819" priority="1334" operator="equal">
      <formula>$C438</formula>
    </cfRule>
    <cfRule type="cellIs" dxfId="23818" priority="1335" operator="greaterThan">
      <formula>$C438</formula>
    </cfRule>
    <cfRule type="cellIs" dxfId="23817" priority="1336" operator="lessThan">
      <formula>$C438</formula>
    </cfRule>
  </conditionalFormatting>
  <conditionalFormatting sqref="C439">
    <cfRule type="expression" dxfId="23816" priority="1333">
      <formula>AND($A439&lt;&gt;"",MOD(ROW(),2))</formula>
    </cfRule>
  </conditionalFormatting>
  <conditionalFormatting sqref="C439">
    <cfRule type="cellIs" dxfId="23815" priority="1330" operator="equal">
      <formula>$C439</formula>
    </cfRule>
    <cfRule type="cellIs" dxfId="23814" priority="1331" operator="greaterThan">
      <formula>$C439</formula>
    </cfRule>
    <cfRule type="cellIs" dxfId="23813" priority="1332" operator="lessThan">
      <formula>$C439</formula>
    </cfRule>
  </conditionalFormatting>
  <conditionalFormatting sqref="C440">
    <cfRule type="expression" dxfId="23812" priority="1329">
      <formula>AND($A440&lt;&gt;"",MOD(ROW(),2))</formula>
    </cfRule>
  </conditionalFormatting>
  <conditionalFormatting sqref="C440">
    <cfRule type="cellIs" dxfId="23811" priority="1326" operator="equal">
      <formula>$C440</formula>
    </cfRule>
    <cfRule type="cellIs" dxfId="23810" priority="1327" operator="greaterThan">
      <formula>$C440</formula>
    </cfRule>
    <cfRule type="cellIs" dxfId="23809" priority="1328" operator="lessThan">
      <formula>$C440</formula>
    </cfRule>
  </conditionalFormatting>
  <conditionalFormatting sqref="C441">
    <cfRule type="expression" dxfId="23808" priority="1325">
      <formula>AND($A441&lt;&gt;"",MOD(ROW(),2))</formula>
    </cfRule>
  </conditionalFormatting>
  <conditionalFormatting sqref="C441">
    <cfRule type="cellIs" dxfId="23807" priority="1322" operator="equal">
      <formula>$C441</formula>
    </cfRule>
    <cfRule type="cellIs" dxfId="23806" priority="1323" operator="greaterThan">
      <formula>$C441</formula>
    </cfRule>
    <cfRule type="cellIs" dxfId="23805" priority="1324" operator="lessThan">
      <formula>$C441</formula>
    </cfRule>
  </conditionalFormatting>
  <conditionalFormatting sqref="C442">
    <cfRule type="expression" dxfId="23804" priority="1321">
      <formula>AND($A442&lt;&gt;"",MOD(ROW(),2))</formula>
    </cfRule>
  </conditionalFormatting>
  <conditionalFormatting sqref="C442">
    <cfRule type="cellIs" dxfId="23803" priority="1318" operator="equal">
      <formula>$C442</formula>
    </cfRule>
    <cfRule type="cellIs" dxfId="23802" priority="1319" operator="greaterThan">
      <formula>$C442</formula>
    </cfRule>
    <cfRule type="cellIs" dxfId="23801" priority="1320" operator="lessThan">
      <formula>$C442</formula>
    </cfRule>
  </conditionalFormatting>
  <conditionalFormatting sqref="C443">
    <cfRule type="expression" dxfId="23800" priority="1317">
      <formula>AND($A443&lt;&gt;"",MOD(ROW(),2))</formula>
    </cfRule>
  </conditionalFormatting>
  <conditionalFormatting sqref="C443">
    <cfRule type="cellIs" dxfId="23799" priority="1314" operator="equal">
      <formula>$C443</formula>
    </cfRule>
    <cfRule type="cellIs" dxfId="23798" priority="1315" operator="greaterThan">
      <formula>$C443</formula>
    </cfRule>
    <cfRule type="cellIs" dxfId="23797" priority="1316" operator="lessThan">
      <formula>$C443</formula>
    </cfRule>
  </conditionalFormatting>
  <conditionalFormatting sqref="C444">
    <cfRule type="expression" dxfId="23796" priority="1313">
      <formula>AND($A444&lt;&gt;"",MOD(ROW(),2))</formula>
    </cfRule>
  </conditionalFormatting>
  <conditionalFormatting sqref="C444">
    <cfRule type="cellIs" dxfId="23795" priority="1310" operator="equal">
      <formula>$C444</formula>
    </cfRule>
    <cfRule type="cellIs" dxfId="23794" priority="1311" operator="greaterThan">
      <formula>$C444</formula>
    </cfRule>
    <cfRule type="cellIs" dxfId="23793" priority="1312" operator="lessThan">
      <formula>$C444</formula>
    </cfRule>
  </conditionalFormatting>
  <conditionalFormatting sqref="C445">
    <cfRule type="expression" dxfId="23792" priority="1309">
      <formula>AND($A445&lt;&gt;"",MOD(ROW(),2))</formula>
    </cfRule>
  </conditionalFormatting>
  <conditionalFormatting sqref="C445">
    <cfRule type="cellIs" dxfId="23791" priority="1306" operator="equal">
      <formula>$C445</formula>
    </cfRule>
    <cfRule type="cellIs" dxfId="23790" priority="1307" operator="greaterThan">
      <formula>$C445</formula>
    </cfRule>
    <cfRule type="cellIs" dxfId="23789" priority="1308" operator="lessThan">
      <formula>$C445</formula>
    </cfRule>
  </conditionalFormatting>
  <conditionalFormatting sqref="C446">
    <cfRule type="expression" dxfId="23788" priority="1305">
      <formula>AND($A446&lt;&gt;"",MOD(ROW(),2))</formula>
    </cfRule>
  </conditionalFormatting>
  <conditionalFormatting sqref="C446">
    <cfRule type="cellIs" dxfId="23787" priority="1302" operator="equal">
      <formula>$C446</formula>
    </cfRule>
    <cfRule type="cellIs" dxfId="23786" priority="1303" operator="greaterThan">
      <formula>$C446</formula>
    </cfRule>
    <cfRule type="cellIs" dxfId="23785" priority="1304" operator="lessThan">
      <formula>$C446</formula>
    </cfRule>
  </conditionalFormatting>
  <conditionalFormatting sqref="C447">
    <cfRule type="expression" dxfId="23784" priority="1301">
      <formula>AND($A447&lt;&gt;"",MOD(ROW(),2))</formula>
    </cfRule>
  </conditionalFormatting>
  <conditionalFormatting sqref="C447">
    <cfRule type="cellIs" dxfId="23783" priority="1298" operator="equal">
      <formula>$C447</formula>
    </cfRule>
    <cfRule type="cellIs" dxfId="23782" priority="1299" operator="greaterThan">
      <formula>$C447</formula>
    </cfRule>
    <cfRule type="cellIs" dxfId="23781" priority="1300" operator="lessThan">
      <formula>$C447</formula>
    </cfRule>
  </conditionalFormatting>
  <conditionalFormatting sqref="C448">
    <cfRule type="expression" dxfId="23780" priority="1297">
      <formula>AND($A448&lt;&gt;"",MOD(ROW(),2))</formula>
    </cfRule>
  </conditionalFormatting>
  <conditionalFormatting sqref="C448">
    <cfRule type="cellIs" dxfId="23779" priority="1294" operator="equal">
      <formula>$C448</formula>
    </cfRule>
    <cfRule type="cellIs" dxfId="23778" priority="1295" operator="greaterThan">
      <formula>$C448</formula>
    </cfRule>
    <cfRule type="cellIs" dxfId="23777" priority="1296" operator="lessThan">
      <formula>$C448</formula>
    </cfRule>
  </conditionalFormatting>
  <conditionalFormatting sqref="C449">
    <cfRule type="expression" dxfId="23776" priority="1293">
      <formula>AND($A449&lt;&gt;"",MOD(ROW(),2))</formula>
    </cfRule>
  </conditionalFormatting>
  <conditionalFormatting sqref="C449">
    <cfRule type="cellIs" dxfId="23775" priority="1290" operator="equal">
      <formula>$C449</formula>
    </cfRule>
    <cfRule type="cellIs" dxfId="23774" priority="1291" operator="greaterThan">
      <formula>$C449</formula>
    </cfRule>
    <cfRule type="cellIs" dxfId="23773" priority="1292" operator="lessThan">
      <formula>$C449</formula>
    </cfRule>
  </conditionalFormatting>
  <conditionalFormatting sqref="D438:E438">
    <cfRule type="expression" dxfId="23772" priority="1289">
      <formula>AND($A438&lt;&gt;"",MOD(ROW(),2))</formula>
    </cfRule>
  </conditionalFormatting>
  <conditionalFormatting sqref="D438">
    <cfRule type="cellIs" dxfId="23771" priority="1286" operator="equal">
      <formula>$C438</formula>
    </cfRule>
    <cfRule type="cellIs" dxfId="23770" priority="1287" operator="greaterThan">
      <formula>$C438</formula>
    </cfRule>
    <cfRule type="cellIs" dxfId="23769" priority="1288" operator="lessThan">
      <formula>$C438</formula>
    </cfRule>
  </conditionalFormatting>
  <conditionalFormatting sqref="D439:E439">
    <cfRule type="expression" dxfId="23768" priority="1285">
      <formula>AND($A439&lt;&gt;"",MOD(ROW(),2))</formula>
    </cfRule>
  </conditionalFormatting>
  <conditionalFormatting sqref="D439">
    <cfRule type="cellIs" dxfId="23767" priority="1282" operator="equal">
      <formula>$C439</formula>
    </cfRule>
    <cfRule type="cellIs" dxfId="23766" priority="1283" operator="greaterThan">
      <formula>$C439</formula>
    </cfRule>
    <cfRule type="cellIs" dxfId="23765" priority="1284" operator="lessThan">
      <formula>$C439</formula>
    </cfRule>
  </conditionalFormatting>
  <conditionalFormatting sqref="D440:E440">
    <cfRule type="expression" dxfId="23764" priority="1281">
      <formula>AND($A440&lt;&gt;"",MOD(ROW(),2))</formula>
    </cfRule>
  </conditionalFormatting>
  <conditionalFormatting sqref="D440">
    <cfRule type="cellIs" dxfId="23763" priority="1278" operator="equal">
      <formula>$C440</formula>
    </cfRule>
    <cfRule type="cellIs" dxfId="23762" priority="1279" operator="greaterThan">
      <formula>$C440</formula>
    </cfRule>
    <cfRule type="cellIs" dxfId="23761" priority="1280" operator="lessThan">
      <formula>$C440</formula>
    </cfRule>
  </conditionalFormatting>
  <conditionalFormatting sqref="D441:E441">
    <cfRule type="expression" dxfId="23760" priority="1277">
      <formula>AND($A441&lt;&gt;"",MOD(ROW(),2))</formula>
    </cfRule>
  </conditionalFormatting>
  <conditionalFormatting sqref="D441">
    <cfRule type="cellIs" dxfId="23759" priority="1274" operator="equal">
      <formula>$C441</formula>
    </cfRule>
    <cfRule type="cellIs" dxfId="23758" priority="1275" operator="greaterThan">
      <formula>$C441</formula>
    </cfRule>
    <cfRule type="cellIs" dxfId="23757" priority="1276" operator="lessThan">
      <formula>$C441</formula>
    </cfRule>
  </conditionalFormatting>
  <conditionalFormatting sqref="D442:E442">
    <cfRule type="expression" dxfId="23756" priority="1273">
      <formula>AND($A442&lt;&gt;"",MOD(ROW(),2))</formula>
    </cfRule>
  </conditionalFormatting>
  <conditionalFormatting sqref="D442">
    <cfRule type="cellIs" dxfId="23755" priority="1270" operator="equal">
      <formula>$C442</formula>
    </cfRule>
    <cfRule type="cellIs" dxfId="23754" priority="1271" operator="greaterThan">
      <formula>$C442</formula>
    </cfRule>
    <cfRule type="cellIs" dxfId="23753" priority="1272" operator="lessThan">
      <formula>$C442</formula>
    </cfRule>
  </conditionalFormatting>
  <conditionalFormatting sqref="D443:E443">
    <cfRule type="expression" dxfId="23752" priority="1269">
      <formula>AND($A443&lt;&gt;"",MOD(ROW(),2))</formula>
    </cfRule>
  </conditionalFormatting>
  <conditionalFormatting sqref="D443">
    <cfRule type="cellIs" dxfId="23751" priority="1266" operator="equal">
      <formula>$C443</formula>
    </cfRule>
    <cfRule type="cellIs" dxfId="23750" priority="1267" operator="greaterThan">
      <formula>$C443</formula>
    </cfRule>
    <cfRule type="cellIs" dxfId="23749" priority="1268" operator="lessThan">
      <formula>$C443</formula>
    </cfRule>
  </conditionalFormatting>
  <conditionalFormatting sqref="D444:E444">
    <cfRule type="expression" dxfId="23748" priority="1265">
      <formula>AND($A444&lt;&gt;"",MOD(ROW(),2))</formula>
    </cfRule>
  </conditionalFormatting>
  <conditionalFormatting sqref="D444">
    <cfRule type="cellIs" dxfId="23747" priority="1262" operator="equal">
      <formula>$C444</formula>
    </cfRule>
    <cfRule type="cellIs" dxfId="23746" priority="1263" operator="greaterThan">
      <formula>$C444</formula>
    </cfRule>
    <cfRule type="cellIs" dxfId="23745" priority="1264" operator="lessThan">
      <formula>$C444</formula>
    </cfRule>
  </conditionalFormatting>
  <conditionalFormatting sqref="D445:E445">
    <cfRule type="expression" dxfId="23744" priority="1261">
      <formula>AND($A445&lt;&gt;"",MOD(ROW(),2))</formula>
    </cfRule>
  </conditionalFormatting>
  <conditionalFormatting sqref="D445">
    <cfRule type="cellIs" dxfId="23743" priority="1258" operator="equal">
      <formula>$C445</formula>
    </cfRule>
    <cfRule type="cellIs" dxfId="23742" priority="1259" operator="greaterThan">
      <formula>$C445</formula>
    </cfRule>
    <cfRule type="cellIs" dxfId="23741" priority="1260" operator="lessThan">
      <formula>$C445</formula>
    </cfRule>
  </conditionalFormatting>
  <conditionalFormatting sqref="D446:E446">
    <cfRule type="expression" dxfId="23740" priority="1257">
      <formula>AND($A446&lt;&gt;"",MOD(ROW(),2))</formula>
    </cfRule>
  </conditionalFormatting>
  <conditionalFormatting sqref="D446">
    <cfRule type="cellIs" dxfId="23739" priority="1254" operator="equal">
      <formula>$C446</formula>
    </cfRule>
    <cfRule type="cellIs" dxfId="23738" priority="1255" operator="greaterThan">
      <formula>$C446</formula>
    </cfRule>
    <cfRule type="cellIs" dxfId="23737" priority="1256" operator="lessThan">
      <formula>$C446</formula>
    </cfRule>
  </conditionalFormatting>
  <conditionalFormatting sqref="D447:E447">
    <cfRule type="expression" dxfId="23736" priority="1253">
      <formula>AND($A447&lt;&gt;"",MOD(ROW(),2))</formula>
    </cfRule>
  </conditionalFormatting>
  <conditionalFormatting sqref="D447">
    <cfRule type="cellIs" dxfId="23735" priority="1250" operator="equal">
      <formula>$C447</formula>
    </cfRule>
    <cfRule type="cellIs" dxfId="23734" priority="1251" operator="greaterThan">
      <formula>$C447</formula>
    </cfRule>
    <cfRule type="cellIs" dxfId="23733" priority="1252" operator="lessThan">
      <formula>$C447</formula>
    </cfRule>
  </conditionalFormatting>
  <conditionalFormatting sqref="D448:E448">
    <cfRule type="expression" dxfId="23732" priority="1249">
      <formula>AND($A448&lt;&gt;"",MOD(ROW(),2))</formula>
    </cfRule>
  </conditionalFormatting>
  <conditionalFormatting sqref="D448">
    <cfRule type="cellIs" dxfId="23731" priority="1246" operator="equal">
      <formula>$C448</formula>
    </cfRule>
    <cfRule type="cellIs" dxfId="23730" priority="1247" operator="greaterThan">
      <formula>$C448</formula>
    </cfRule>
    <cfRule type="cellIs" dxfId="23729" priority="1248" operator="lessThan">
      <formula>$C448</formula>
    </cfRule>
  </conditionalFormatting>
  <conditionalFormatting sqref="D449:E449">
    <cfRule type="expression" dxfId="23728" priority="1245">
      <formula>AND($A449&lt;&gt;"",MOD(ROW(),2))</formula>
    </cfRule>
  </conditionalFormatting>
  <conditionalFormatting sqref="D449">
    <cfRule type="cellIs" dxfId="23727" priority="1242" operator="equal">
      <formula>$C449</formula>
    </cfRule>
    <cfRule type="cellIs" dxfId="23726" priority="1243" operator="greaterThan">
      <formula>$C449</formula>
    </cfRule>
    <cfRule type="cellIs" dxfId="23725" priority="1244" operator="lessThan">
      <formula>$C449</formula>
    </cfRule>
  </conditionalFormatting>
  <conditionalFormatting sqref="D450:E450">
    <cfRule type="expression" dxfId="23724" priority="1241">
      <formula>AND($A450&lt;&gt;"",MOD(ROW(),2))</formula>
    </cfRule>
  </conditionalFormatting>
  <conditionalFormatting sqref="D450">
    <cfRule type="cellIs" dxfId="23723" priority="1238" operator="equal">
      <formula>$C450</formula>
    </cfRule>
    <cfRule type="cellIs" dxfId="23722" priority="1239" operator="greaterThan">
      <formula>$C450</formula>
    </cfRule>
    <cfRule type="cellIs" dxfId="23721" priority="1240" operator="lessThan">
      <formula>$C450</formula>
    </cfRule>
  </conditionalFormatting>
  <conditionalFormatting sqref="D451:E451">
    <cfRule type="expression" dxfId="23720" priority="1237">
      <formula>AND($A451&lt;&gt;"",MOD(ROW(),2))</formula>
    </cfRule>
  </conditionalFormatting>
  <conditionalFormatting sqref="D451">
    <cfRule type="cellIs" dxfId="23719" priority="1234" operator="equal">
      <formula>$C451</formula>
    </cfRule>
    <cfRule type="cellIs" dxfId="23718" priority="1235" operator="greaterThan">
      <formula>$C451</formula>
    </cfRule>
    <cfRule type="cellIs" dxfId="23717" priority="1236" operator="lessThan">
      <formula>$C451</formula>
    </cfRule>
  </conditionalFormatting>
  <conditionalFormatting sqref="D452:E452">
    <cfRule type="expression" dxfId="23716" priority="1233">
      <formula>AND($A452&lt;&gt;"",MOD(ROW(),2))</formula>
    </cfRule>
  </conditionalFormatting>
  <conditionalFormatting sqref="D452">
    <cfRule type="cellIs" dxfId="23715" priority="1230" operator="equal">
      <formula>$C452</formula>
    </cfRule>
    <cfRule type="cellIs" dxfId="23714" priority="1231" operator="greaterThan">
      <formula>$C452</formula>
    </cfRule>
    <cfRule type="cellIs" dxfId="23713" priority="1232" operator="lessThan">
      <formula>$C452</formula>
    </cfRule>
  </conditionalFormatting>
  <conditionalFormatting sqref="D453:E453">
    <cfRule type="expression" dxfId="23712" priority="1229">
      <formula>AND($A453&lt;&gt;"",MOD(ROW(),2))</formula>
    </cfRule>
  </conditionalFormatting>
  <conditionalFormatting sqref="D453">
    <cfRule type="cellIs" dxfId="23711" priority="1226" operator="equal">
      <formula>$C453</formula>
    </cfRule>
    <cfRule type="cellIs" dxfId="23710" priority="1227" operator="greaterThan">
      <formula>$C453</formula>
    </cfRule>
    <cfRule type="cellIs" dxfId="23709" priority="1228" operator="lessThan">
      <formula>$C453</formula>
    </cfRule>
  </conditionalFormatting>
  <conditionalFormatting sqref="D454:E454">
    <cfRule type="expression" dxfId="23708" priority="1225">
      <formula>AND($A454&lt;&gt;"",MOD(ROW(),2))</formula>
    </cfRule>
  </conditionalFormatting>
  <conditionalFormatting sqref="D454">
    <cfRule type="cellIs" dxfId="23707" priority="1222" operator="equal">
      <formula>$C454</formula>
    </cfRule>
    <cfRule type="cellIs" dxfId="23706" priority="1223" operator="greaterThan">
      <formula>$C454</formula>
    </cfRule>
    <cfRule type="cellIs" dxfId="23705" priority="1224" operator="lessThan">
      <formula>$C454</formula>
    </cfRule>
  </conditionalFormatting>
  <conditionalFormatting sqref="D455:E455">
    <cfRule type="expression" dxfId="23704" priority="1221">
      <formula>AND($A455&lt;&gt;"",MOD(ROW(),2))</formula>
    </cfRule>
  </conditionalFormatting>
  <conditionalFormatting sqref="D455">
    <cfRule type="cellIs" dxfId="23703" priority="1218" operator="equal">
      <formula>$C455</formula>
    </cfRule>
    <cfRule type="cellIs" dxfId="23702" priority="1219" operator="greaterThan">
      <formula>$C455</formula>
    </cfRule>
    <cfRule type="cellIs" dxfId="23701" priority="1220" operator="lessThan">
      <formula>$C455</formula>
    </cfRule>
  </conditionalFormatting>
  <conditionalFormatting sqref="D456:E456">
    <cfRule type="expression" dxfId="23700" priority="1217">
      <formula>AND($A456&lt;&gt;"",MOD(ROW(),2))</formula>
    </cfRule>
  </conditionalFormatting>
  <conditionalFormatting sqref="D456">
    <cfRule type="cellIs" dxfId="23699" priority="1214" operator="equal">
      <formula>$C456</formula>
    </cfRule>
    <cfRule type="cellIs" dxfId="23698" priority="1215" operator="greaterThan">
      <formula>$C456</formula>
    </cfRule>
    <cfRule type="cellIs" dxfId="23697" priority="1216" operator="lessThan">
      <formula>$C456</formula>
    </cfRule>
  </conditionalFormatting>
  <conditionalFormatting sqref="D457:E457">
    <cfRule type="expression" dxfId="23696" priority="1213">
      <formula>AND($A457&lt;&gt;"",MOD(ROW(),2))</formula>
    </cfRule>
  </conditionalFormatting>
  <conditionalFormatting sqref="D457">
    <cfRule type="cellIs" dxfId="23695" priority="1210" operator="equal">
      <formula>$C457</formula>
    </cfRule>
    <cfRule type="cellIs" dxfId="23694" priority="1211" operator="greaterThan">
      <formula>$C457</formula>
    </cfRule>
    <cfRule type="cellIs" dxfId="23693" priority="1212" operator="lessThan">
      <formula>$C457</formula>
    </cfRule>
  </conditionalFormatting>
  <conditionalFormatting sqref="D458:E458">
    <cfRule type="expression" dxfId="23692" priority="1209">
      <formula>AND($A458&lt;&gt;"",MOD(ROW(),2))</formula>
    </cfRule>
  </conditionalFormatting>
  <conditionalFormatting sqref="D458">
    <cfRule type="cellIs" dxfId="23691" priority="1206" operator="equal">
      <formula>$C458</formula>
    </cfRule>
    <cfRule type="cellIs" dxfId="23690" priority="1207" operator="greaterThan">
      <formula>$C458</formula>
    </cfRule>
    <cfRule type="cellIs" dxfId="23689" priority="1208" operator="lessThan">
      <formula>$C458</formula>
    </cfRule>
  </conditionalFormatting>
  <conditionalFormatting sqref="D459:E459">
    <cfRule type="expression" dxfId="23688" priority="1205">
      <formula>AND($A459&lt;&gt;"",MOD(ROW(),2))</formula>
    </cfRule>
  </conditionalFormatting>
  <conditionalFormatting sqref="D459">
    <cfRule type="cellIs" dxfId="23687" priority="1202" operator="equal">
      <formula>$C459</formula>
    </cfRule>
    <cfRule type="cellIs" dxfId="23686" priority="1203" operator="greaterThan">
      <formula>$C459</formula>
    </cfRule>
    <cfRule type="cellIs" dxfId="23685" priority="1204" operator="lessThan">
      <formula>$C459</formula>
    </cfRule>
  </conditionalFormatting>
  <conditionalFormatting sqref="D460:E460">
    <cfRule type="expression" dxfId="23684" priority="1201">
      <formula>AND($A460&lt;&gt;"",MOD(ROW(),2))</formula>
    </cfRule>
  </conditionalFormatting>
  <conditionalFormatting sqref="D460">
    <cfRule type="cellIs" dxfId="23683" priority="1198" operator="equal">
      <formula>$C460</formula>
    </cfRule>
    <cfRule type="cellIs" dxfId="23682" priority="1199" operator="greaterThan">
      <formula>$C460</formula>
    </cfRule>
    <cfRule type="cellIs" dxfId="23681" priority="1200" operator="lessThan">
      <formula>$C460</formula>
    </cfRule>
  </conditionalFormatting>
  <conditionalFormatting sqref="D461:E461">
    <cfRule type="expression" dxfId="23680" priority="1197">
      <formula>AND($A461&lt;&gt;"",MOD(ROW(),2))</formula>
    </cfRule>
  </conditionalFormatting>
  <conditionalFormatting sqref="D461">
    <cfRule type="cellIs" dxfId="23679" priority="1194" operator="equal">
      <formula>$C461</formula>
    </cfRule>
    <cfRule type="cellIs" dxfId="23678" priority="1195" operator="greaterThan">
      <formula>$C461</formula>
    </cfRule>
    <cfRule type="cellIs" dxfId="23677" priority="1196" operator="lessThan">
      <formula>$C461</formula>
    </cfRule>
  </conditionalFormatting>
  <conditionalFormatting sqref="C439">
    <cfRule type="expression" dxfId="23676" priority="1193">
      <formula>AND($A439&lt;&gt;"",MOD(ROW(),2))</formula>
    </cfRule>
  </conditionalFormatting>
  <conditionalFormatting sqref="C439">
    <cfRule type="cellIs" dxfId="23675" priority="1190" operator="equal">
      <formula>$C439</formula>
    </cfRule>
    <cfRule type="cellIs" dxfId="23674" priority="1191" operator="greaterThan">
      <formula>$C439</formula>
    </cfRule>
    <cfRule type="cellIs" dxfId="23673" priority="1192" operator="lessThan">
      <formula>$C439</formula>
    </cfRule>
  </conditionalFormatting>
  <conditionalFormatting sqref="C440">
    <cfRule type="expression" dxfId="23672" priority="1189">
      <formula>AND($A440&lt;&gt;"",MOD(ROW(),2))</formula>
    </cfRule>
  </conditionalFormatting>
  <conditionalFormatting sqref="C440">
    <cfRule type="cellIs" dxfId="23671" priority="1186" operator="equal">
      <formula>$C440</formula>
    </cfRule>
    <cfRule type="cellIs" dxfId="23670" priority="1187" operator="greaterThan">
      <formula>$C440</formula>
    </cfRule>
    <cfRule type="cellIs" dxfId="23669" priority="1188" operator="lessThan">
      <formula>$C440</formula>
    </cfRule>
  </conditionalFormatting>
  <conditionalFormatting sqref="C441">
    <cfRule type="expression" dxfId="23668" priority="1185">
      <formula>AND($A441&lt;&gt;"",MOD(ROW(),2))</formula>
    </cfRule>
  </conditionalFormatting>
  <conditionalFormatting sqref="C441">
    <cfRule type="cellIs" dxfId="23667" priority="1182" operator="equal">
      <formula>$C441</formula>
    </cfRule>
    <cfRule type="cellIs" dxfId="23666" priority="1183" operator="greaterThan">
      <formula>$C441</formula>
    </cfRule>
    <cfRule type="cellIs" dxfId="23665" priority="1184" operator="lessThan">
      <formula>$C441</formula>
    </cfRule>
  </conditionalFormatting>
  <conditionalFormatting sqref="C442">
    <cfRule type="expression" dxfId="23664" priority="1181">
      <formula>AND($A442&lt;&gt;"",MOD(ROW(),2))</formula>
    </cfRule>
  </conditionalFormatting>
  <conditionalFormatting sqref="C442">
    <cfRule type="cellIs" dxfId="23663" priority="1178" operator="equal">
      <formula>$C442</formula>
    </cfRule>
    <cfRule type="cellIs" dxfId="23662" priority="1179" operator="greaterThan">
      <formula>$C442</formula>
    </cfRule>
    <cfRule type="cellIs" dxfId="23661" priority="1180" operator="lessThan">
      <formula>$C442</formula>
    </cfRule>
  </conditionalFormatting>
  <conditionalFormatting sqref="C443">
    <cfRule type="expression" dxfId="23660" priority="1177">
      <formula>AND($A443&lt;&gt;"",MOD(ROW(),2))</formula>
    </cfRule>
  </conditionalFormatting>
  <conditionalFormatting sqref="C443">
    <cfRule type="cellIs" dxfId="23659" priority="1174" operator="equal">
      <formula>$C443</formula>
    </cfRule>
    <cfRule type="cellIs" dxfId="23658" priority="1175" operator="greaterThan">
      <formula>$C443</formula>
    </cfRule>
    <cfRule type="cellIs" dxfId="23657" priority="1176" operator="lessThan">
      <formula>$C443</formula>
    </cfRule>
  </conditionalFormatting>
  <conditionalFormatting sqref="C444">
    <cfRule type="expression" dxfId="23656" priority="1173">
      <formula>AND($A444&lt;&gt;"",MOD(ROW(),2))</formula>
    </cfRule>
  </conditionalFormatting>
  <conditionalFormatting sqref="C444">
    <cfRule type="cellIs" dxfId="23655" priority="1170" operator="equal">
      <formula>$C444</formula>
    </cfRule>
    <cfRule type="cellIs" dxfId="23654" priority="1171" operator="greaterThan">
      <formula>$C444</formula>
    </cfRule>
    <cfRule type="cellIs" dxfId="23653" priority="1172" operator="lessThan">
      <formula>$C444</formula>
    </cfRule>
  </conditionalFormatting>
  <conditionalFormatting sqref="C445">
    <cfRule type="expression" dxfId="23652" priority="1169">
      <formula>AND($A445&lt;&gt;"",MOD(ROW(),2))</formula>
    </cfRule>
  </conditionalFormatting>
  <conditionalFormatting sqref="C445">
    <cfRule type="cellIs" dxfId="23651" priority="1166" operator="equal">
      <formula>$C445</formula>
    </cfRule>
    <cfRule type="cellIs" dxfId="23650" priority="1167" operator="greaterThan">
      <formula>$C445</formula>
    </cfRule>
    <cfRule type="cellIs" dxfId="23649" priority="1168" operator="lessThan">
      <formula>$C445</formula>
    </cfRule>
  </conditionalFormatting>
  <conditionalFormatting sqref="C446">
    <cfRule type="expression" dxfId="23648" priority="1165">
      <formula>AND($A446&lt;&gt;"",MOD(ROW(),2))</formula>
    </cfRule>
  </conditionalFormatting>
  <conditionalFormatting sqref="C446">
    <cfRule type="cellIs" dxfId="23647" priority="1162" operator="equal">
      <formula>$C446</formula>
    </cfRule>
    <cfRule type="cellIs" dxfId="23646" priority="1163" operator="greaterThan">
      <formula>$C446</formula>
    </cfRule>
    <cfRule type="cellIs" dxfId="23645" priority="1164" operator="lessThan">
      <formula>$C446</formula>
    </cfRule>
  </conditionalFormatting>
  <conditionalFormatting sqref="C447">
    <cfRule type="expression" dxfId="23644" priority="1161">
      <formula>AND($A447&lt;&gt;"",MOD(ROW(),2))</formula>
    </cfRule>
  </conditionalFormatting>
  <conditionalFormatting sqref="C447">
    <cfRule type="cellIs" dxfId="23643" priority="1158" operator="equal">
      <formula>$C447</formula>
    </cfRule>
    <cfRule type="cellIs" dxfId="23642" priority="1159" operator="greaterThan">
      <formula>$C447</formula>
    </cfRule>
    <cfRule type="cellIs" dxfId="23641" priority="1160" operator="lessThan">
      <formula>$C447</formula>
    </cfRule>
  </conditionalFormatting>
  <conditionalFormatting sqref="C448">
    <cfRule type="expression" dxfId="23640" priority="1157">
      <formula>AND($A448&lt;&gt;"",MOD(ROW(),2))</formula>
    </cfRule>
  </conditionalFormatting>
  <conditionalFormatting sqref="C448">
    <cfRule type="cellIs" dxfId="23639" priority="1154" operator="equal">
      <formula>$C448</formula>
    </cfRule>
    <cfRule type="cellIs" dxfId="23638" priority="1155" operator="greaterThan">
      <formula>$C448</formula>
    </cfRule>
    <cfRule type="cellIs" dxfId="23637" priority="1156" operator="lessThan">
      <formula>$C448</formula>
    </cfRule>
  </conditionalFormatting>
  <conditionalFormatting sqref="C449">
    <cfRule type="expression" dxfId="23636" priority="1153">
      <formula>AND($A449&lt;&gt;"",MOD(ROW(),2))</formula>
    </cfRule>
  </conditionalFormatting>
  <conditionalFormatting sqref="C449">
    <cfRule type="cellIs" dxfId="23635" priority="1150" operator="equal">
      <formula>$C449</formula>
    </cfRule>
    <cfRule type="cellIs" dxfId="23634" priority="1151" operator="greaterThan">
      <formula>$C449</formula>
    </cfRule>
    <cfRule type="cellIs" dxfId="23633" priority="1152" operator="lessThan">
      <formula>$C449</formula>
    </cfRule>
  </conditionalFormatting>
  <conditionalFormatting sqref="C450">
    <cfRule type="expression" dxfId="23632" priority="1149">
      <formula>AND($A450&lt;&gt;"",MOD(ROW(),2))</formula>
    </cfRule>
  </conditionalFormatting>
  <conditionalFormatting sqref="C450">
    <cfRule type="cellIs" dxfId="23631" priority="1146" operator="equal">
      <formula>$C450</formula>
    </cfRule>
    <cfRule type="cellIs" dxfId="23630" priority="1147" operator="greaterThan">
      <formula>$C450</formula>
    </cfRule>
    <cfRule type="cellIs" dxfId="23629" priority="1148" operator="lessThan">
      <formula>$C450</formula>
    </cfRule>
  </conditionalFormatting>
  <conditionalFormatting sqref="D439:E439">
    <cfRule type="expression" dxfId="23628" priority="1145">
      <formula>AND($A439&lt;&gt;"",MOD(ROW(),2))</formula>
    </cfRule>
  </conditionalFormatting>
  <conditionalFormatting sqref="D439">
    <cfRule type="cellIs" dxfId="23627" priority="1142" operator="equal">
      <formula>$C439</formula>
    </cfRule>
    <cfRule type="cellIs" dxfId="23626" priority="1143" operator="greaterThan">
      <formula>$C439</formula>
    </cfRule>
    <cfRule type="cellIs" dxfId="23625" priority="1144" operator="lessThan">
      <formula>$C439</formula>
    </cfRule>
  </conditionalFormatting>
  <conditionalFormatting sqref="D440:E440">
    <cfRule type="expression" dxfId="23624" priority="1141">
      <formula>AND($A440&lt;&gt;"",MOD(ROW(),2))</formula>
    </cfRule>
  </conditionalFormatting>
  <conditionalFormatting sqref="D440">
    <cfRule type="cellIs" dxfId="23623" priority="1138" operator="equal">
      <formula>$C440</formula>
    </cfRule>
    <cfRule type="cellIs" dxfId="23622" priority="1139" operator="greaterThan">
      <formula>$C440</formula>
    </cfRule>
    <cfRule type="cellIs" dxfId="23621" priority="1140" operator="lessThan">
      <formula>$C440</formula>
    </cfRule>
  </conditionalFormatting>
  <conditionalFormatting sqref="D441:E441">
    <cfRule type="expression" dxfId="23620" priority="1137">
      <formula>AND($A441&lt;&gt;"",MOD(ROW(),2))</formula>
    </cfRule>
  </conditionalFormatting>
  <conditionalFormatting sqref="D441">
    <cfRule type="cellIs" dxfId="23619" priority="1134" operator="equal">
      <formula>$C441</formula>
    </cfRule>
    <cfRule type="cellIs" dxfId="23618" priority="1135" operator="greaterThan">
      <formula>$C441</formula>
    </cfRule>
    <cfRule type="cellIs" dxfId="23617" priority="1136" operator="lessThan">
      <formula>$C441</formula>
    </cfRule>
  </conditionalFormatting>
  <conditionalFormatting sqref="D442:E442">
    <cfRule type="expression" dxfId="23616" priority="1133">
      <formula>AND($A442&lt;&gt;"",MOD(ROW(),2))</formula>
    </cfRule>
  </conditionalFormatting>
  <conditionalFormatting sqref="D442">
    <cfRule type="cellIs" dxfId="23615" priority="1130" operator="equal">
      <formula>$C442</formula>
    </cfRule>
    <cfRule type="cellIs" dxfId="23614" priority="1131" operator="greaterThan">
      <formula>$C442</formula>
    </cfRule>
    <cfRule type="cellIs" dxfId="23613" priority="1132" operator="lessThan">
      <formula>$C442</formula>
    </cfRule>
  </conditionalFormatting>
  <conditionalFormatting sqref="D443:E443">
    <cfRule type="expression" dxfId="23612" priority="1129">
      <formula>AND($A443&lt;&gt;"",MOD(ROW(),2))</formula>
    </cfRule>
  </conditionalFormatting>
  <conditionalFormatting sqref="D443">
    <cfRule type="cellIs" dxfId="23611" priority="1126" operator="equal">
      <formula>$C443</formula>
    </cfRule>
    <cfRule type="cellIs" dxfId="23610" priority="1127" operator="greaterThan">
      <formula>$C443</formula>
    </cfRule>
    <cfRule type="cellIs" dxfId="23609" priority="1128" operator="lessThan">
      <formula>$C443</formula>
    </cfRule>
  </conditionalFormatting>
  <conditionalFormatting sqref="D444:E444">
    <cfRule type="expression" dxfId="23608" priority="1125">
      <formula>AND($A444&lt;&gt;"",MOD(ROW(),2))</formula>
    </cfRule>
  </conditionalFormatting>
  <conditionalFormatting sqref="D444">
    <cfRule type="cellIs" dxfId="23607" priority="1122" operator="equal">
      <formula>$C444</formula>
    </cfRule>
    <cfRule type="cellIs" dxfId="23606" priority="1123" operator="greaterThan">
      <formula>$C444</formula>
    </cfRule>
    <cfRule type="cellIs" dxfId="23605" priority="1124" operator="lessThan">
      <formula>$C444</formula>
    </cfRule>
  </conditionalFormatting>
  <conditionalFormatting sqref="D445:E445">
    <cfRule type="expression" dxfId="23604" priority="1121">
      <formula>AND($A445&lt;&gt;"",MOD(ROW(),2))</formula>
    </cfRule>
  </conditionalFormatting>
  <conditionalFormatting sqref="D445">
    <cfRule type="cellIs" dxfId="23603" priority="1118" operator="equal">
      <formula>$C445</formula>
    </cfRule>
    <cfRule type="cellIs" dxfId="23602" priority="1119" operator="greaterThan">
      <formula>$C445</formula>
    </cfRule>
    <cfRule type="cellIs" dxfId="23601" priority="1120" operator="lessThan">
      <formula>$C445</formula>
    </cfRule>
  </conditionalFormatting>
  <conditionalFormatting sqref="D446:E446">
    <cfRule type="expression" dxfId="23600" priority="1117">
      <formula>AND($A446&lt;&gt;"",MOD(ROW(),2))</formula>
    </cfRule>
  </conditionalFormatting>
  <conditionalFormatting sqref="D446">
    <cfRule type="cellIs" dxfId="23599" priority="1114" operator="equal">
      <formula>$C446</formula>
    </cfRule>
    <cfRule type="cellIs" dxfId="23598" priority="1115" operator="greaterThan">
      <formula>$C446</formula>
    </cfRule>
    <cfRule type="cellIs" dxfId="23597" priority="1116" operator="lessThan">
      <formula>$C446</formula>
    </cfRule>
  </conditionalFormatting>
  <conditionalFormatting sqref="D447:E447">
    <cfRule type="expression" dxfId="23596" priority="1113">
      <formula>AND($A447&lt;&gt;"",MOD(ROW(),2))</formula>
    </cfRule>
  </conditionalFormatting>
  <conditionalFormatting sqref="D447">
    <cfRule type="cellIs" dxfId="23595" priority="1110" operator="equal">
      <formula>$C447</formula>
    </cfRule>
    <cfRule type="cellIs" dxfId="23594" priority="1111" operator="greaterThan">
      <formula>$C447</formula>
    </cfRule>
    <cfRule type="cellIs" dxfId="23593" priority="1112" operator="lessThan">
      <formula>$C447</formula>
    </cfRule>
  </conditionalFormatting>
  <conditionalFormatting sqref="D448:E448">
    <cfRule type="expression" dxfId="23592" priority="1109">
      <formula>AND($A448&lt;&gt;"",MOD(ROW(),2))</formula>
    </cfRule>
  </conditionalFormatting>
  <conditionalFormatting sqref="D448">
    <cfRule type="cellIs" dxfId="23591" priority="1106" operator="equal">
      <formula>$C448</formula>
    </cfRule>
    <cfRule type="cellIs" dxfId="23590" priority="1107" operator="greaterThan">
      <formula>$C448</formula>
    </cfRule>
    <cfRule type="cellIs" dxfId="23589" priority="1108" operator="lessThan">
      <formula>$C448</formula>
    </cfRule>
  </conditionalFormatting>
  <conditionalFormatting sqref="D449:E449">
    <cfRule type="expression" dxfId="23588" priority="1105">
      <formula>AND($A449&lt;&gt;"",MOD(ROW(),2))</formula>
    </cfRule>
  </conditionalFormatting>
  <conditionalFormatting sqref="D449">
    <cfRule type="cellIs" dxfId="23587" priority="1102" operator="equal">
      <formula>$C449</formula>
    </cfRule>
    <cfRule type="cellIs" dxfId="23586" priority="1103" operator="greaterThan">
      <formula>$C449</formula>
    </cfRule>
    <cfRule type="cellIs" dxfId="23585" priority="1104" operator="lessThan">
      <formula>$C449</formula>
    </cfRule>
  </conditionalFormatting>
  <conditionalFormatting sqref="D450:E450">
    <cfRule type="expression" dxfId="23584" priority="1101">
      <formula>AND($A450&lt;&gt;"",MOD(ROW(),2))</formula>
    </cfRule>
  </conditionalFormatting>
  <conditionalFormatting sqref="D450">
    <cfRule type="cellIs" dxfId="23583" priority="1098" operator="equal">
      <formula>$C450</formula>
    </cfRule>
    <cfRule type="cellIs" dxfId="23582" priority="1099" operator="greaterThan">
      <formula>$C450</formula>
    </cfRule>
    <cfRule type="cellIs" dxfId="23581" priority="1100" operator="lessThan">
      <formula>$C450</formula>
    </cfRule>
  </conditionalFormatting>
  <conditionalFormatting sqref="D451:E451">
    <cfRule type="expression" dxfId="23580" priority="1097">
      <formula>AND($A451&lt;&gt;"",MOD(ROW(),2))</formula>
    </cfRule>
  </conditionalFormatting>
  <conditionalFormatting sqref="D451">
    <cfRule type="cellIs" dxfId="23579" priority="1094" operator="equal">
      <formula>$C451</formula>
    </cfRule>
    <cfRule type="cellIs" dxfId="23578" priority="1095" operator="greaterThan">
      <formula>$C451</formula>
    </cfRule>
    <cfRule type="cellIs" dxfId="23577" priority="1096" operator="lessThan">
      <formula>$C451</formula>
    </cfRule>
  </conditionalFormatting>
  <conditionalFormatting sqref="D452:E452">
    <cfRule type="expression" dxfId="23576" priority="1093">
      <formula>AND($A452&lt;&gt;"",MOD(ROW(),2))</formula>
    </cfRule>
  </conditionalFormatting>
  <conditionalFormatting sqref="D452">
    <cfRule type="cellIs" dxfId="23575" priority="1090" operator="equal">
      <formula>$C452</formula>
    </cfRule>
    <cfRule type="cellIs" dxfId="23574" priority="1091" operator="greaterThan">
      <formula>$C452</formula>
    </cfRule>
    <cfRule type="cellIs" dxfId="23573" priority="1092" operator="lessThan">
      <formula>$C452</formula>
    </cfRule>
  </conditionalFormatting>
  <conditionalFormatting sqref="D453:E453">
    <cfRule type="expression" dxfId="23572" priority="1089">
      <formula>AND($A453&lt;&gt;"",MOD(ROW(),2))</formula>
    </cfRule>
  </conditionalFormatting>
  <conditionalFormatting sqref="D453">
    <cfRule type="cellIs" dxfId="23571" priority="1086" operator="equal">
      <formula>$C453</formula>
    </cfRule>
    <cfRule type="cellIs" dxfId="23570" priority="1087" operator="greaterThan">
      <formula>$C453</formula>
    </cfRule>
    <cfRule type="cellIs" dxfId="23569" priority="1088" operator="lessThan">
      <formula>$C453</formula>
    </cfRule>
  </conditionalFormatting>
  <conditionalFormatting sqref="D454:E454">
    <cfRule type="expression" dxfId="23568" priority="1085">
      <formula>AND($A454&lt;&gt;"",MOD(ROW(),2))</formula>
    </cfRule>
  </conditionalFormatting>
  <conditionalFormatting sqref="D454">
    <cfRule type="cellIs" dxfId="23567" priority="1082" operator="equal">
      <formula>$C454</formula>
    </cfRule>
    <cfRule type="cellIs" dxfId="23566" priority="1083" operator="greaterThan">
      <formula>$C454</formula>
    </cfRule>
    <cfRule type="cellIs" dxfId="23565" priority="1084" operator="lessThan">
      <formula>$C454</formula>
    </cfRule>
  </conditionalFormatting>
  <conditionalFormatting sqref="D455:E455">
    <cfRule type="expression" dxfId="23564" priority="1081">
      <formula>AND($A455&lt;&gt;"",MOD(ROW(),2))</formula>
    </cfRule>
  </conditionalFormatting>
  <conditionalFormatting sqref="D455">
    <cfRule type="cellIs" dxfId="23563" priority="1078" operator="equal">
      <formula>$C455</formula>
    </cfRule>
    <cfRule type="cellIs" dxfId="23562" priority="1079" operator="greaterThan">
      <formula>$C455</formula>
    </cfRule>
    <cfRule type="cellIs" dxfId="23561" priority="1080" operator="lessThan">
      <formula>$C455</formula>
    </cfRule>
  </conditionalFormatting>
  <conditionalFormatting sqref="D456:E456">
    <cfRule type="expression" dxfId="23560" priority="1077">
      <formula>AND($A456&lt;&gt;"",MOD(ROW(),2))</formula>
    </cfRule>
  </conditionalFormatting>
  <conditionalFormatting sqref="D456">
    <cfRule type="cellIs" dxfId="23559" priority="1074" operator="equal">
      <formula>$C456</formula>
    </cfRule>
    <cfRule type="cellIs" dxfId="23558" priority="1075" operator="greaterThan">
      <formula>$C456</formula>
    </cfRule>
    <cfRule type="cellIs" dxfId="23557" priority="1076" operator="lessThan">
      <formula>$C456</formula>
    </cfRule>
  </conditionalFormatting>
  <conditionalFormatting sqref="D457:E457">
    <cfRule type="expression" dxfId="23556" priority="1073">
      <formula>AND($A457&lt;&gt;"",MOD(ROW(),2))</formula>
    </cfRule>
  </conditionalFormatting>
  <conditionalFormatting sqref="D457">
    <cfRule type="cellIs" dxfId="23555" priority="1070" operator="equal">
      <formula>$C457</formula>
    </cfRule>
    <cfRule type="cellIs" dxfId="23554" priority="1071" operator="greaterThan">
      <formula>$C457</formula>
    </cfRule>
    <cfRule type="cellIs" dxfId="23553" priority="1072" operator="lessThan">
      <formula>$C457</formula>
    </cfRule>
  </conditionalFormatting>
  <conditionalFormatting sqref="D458:E458">
    <cfRule type="expression" dxfId="23552" priority="1069">
      <formula>AND($A458&lt;&gt;"",MOD(ROW(),2))</formula>
    </cfRule>
  </conditionalFormatting>
  <conditionalFormatting sqref="D458">
    <cfRule type="cellIs" dxfId="23551" priority="1066" operator="equal">
      <formula>$C458</formula>
    </cfRule>
    <cfRule type="cellIs" dxfId="23550" priority="1067" operator="greaterThan">
      <formula>$C458</formula>
    </cfRule>
    <cfRule type="cellIs" dxfId="23549" priority="1068" operator="lessThan">
      <formula>$C458</formula>
    </cfRule>
  </conditionalFormatting>
  <conditionalFormatting sqref="D459:E459">
    <cfRule type="expression" dxfId="23548" priority="1065">
      <formula>AND($A459&lt;&gt;"",MOD(ROW(),2))</formula>
    </cfRule>
  </conditionalFormatting>
  <conditionalFormatting sqref="D459">
    <cfRule type="cellIs" dxfId="23547" priority="1062" operator="equal">
      <formula>$C459</formula>
    </cfRule>
    <cfRule type="cellIs" dxfId="23546" priority="1063" operator="greaterThan">
      <formula>$C459</formula>
    </cfRule>
    <cfRule type="cellIs" dxfId="23545" priority="1064" operator="lessThan">
      <formula>$C459</formula>
    </cfRule>
  </conditionalFormatting>
  <conditionalFormatting sqref="D460:E460">
    <cfRule type="expression" dxfId="23544" priority="1061">
      <formula>AND($A460&lt;&gt;"",MOD(ROW(),2))</formula>
    </cfRule>
  </conditionalFormatting>
  <conditionalFormatting sqref="D460">
    <cfRule type="cellIs" dxfId="23543" priority="1058" operator="equal">
      <formula>$C460</formula>
    </cfRule>
    <cfRule type="cellIs" dxfId="23542" priority="1059" operator="greaterThan">
      <formula>$C460</formula>
    </cfRule>
    <cfRule type="cellIs" dxfId="23541" priority="1060" operator="lessThan">
      <formula>$C460</formula>
    </cfRule>
  </conditionalFormatting>
  <conditionalFormatting sqref="D461:E461">
    <cfRule type="expression" dxfId="23540" priority="1057">
      <formula>AND($A461&lt;&gt;"",MOD(ROW(),2))</formula>
    </cfRule>
  </conditionalFormatting>
  <conditionalFormatting sqref="D461">
    <cfRule type="cellIs" dxfId="23539" priority="1054" operator="equal">
      <formula>$C461</formula>
    </cfRule>
    <cfRule type="cellIs" dxfId="23538" priority="1055" operator="greaterThan">
      <formula>$C461</formula>
    </cfRule>
    <cfRule type="cellIs" dxfId="23537" priority="1056" operator="lessThan">
      <formula>$C461</formula>
    </cfRule>
  </conditionalFormatting>
  <conditionalFormatting sqref="D462:E462">
    <cfRule type="expression" dxfId="23536" priority="1053">
      <formula>AND($A462&lt;&gt;"",MOD(ROW(),2))</formula>
    </cfRule>
  </conditionalFormatting>
  <conditionalFormatting sqref="D462">
    <cfRule type="cellIs" dxfId="23535" priority="1050" operator="equal">
      <formula>$C462</formula>
    </cfRule>
    <cfRule type="cellIs" dxfId="23534" priority="1051" operator="greaterThan">
      <formula>$C462</formula>
    </cfRule>
    <cfRule type="cellIs" dxfId="23533" priority="1052" operator="lessThan">
      <formula>$C462</formula>
    </cfRule>
  </conditionalFormatting>
  <conditionalFormatting sqref="E463">
    <cfRule type="expression" dxfId="23532" priority="1049">
      <formula>AND($A463&lt;&gt;"",MOD(ROW(),2))</formula>
    </cfRule>
  </conditionalFormatting>
  <conditionalFormatting sqref="E464">
    <cfRule type="expression" dxfId="23531" priority="1048">
      <formula>AND($A464&lt;&gt;"",MOD(ROW(),2))</formula>
    </cfRule>
  </conditionalFormatting>
  <conditionalFormatting sqref="E465">
    <cfRule type="expression" dxfId="23530" priority="1047">
      <formula>AND($A465&lt;&gt;"",MOD(ROW(),2))</formula>
    </cfRule>
  </conditionalFormatting>
  <conditionalFormatting sqref="C439">
    <cfRule type="expression" dxfId="23529" priority="1046">
      <formula>AND($A439&lt;&gt;"",MOD(ROW(),2))</formula>
    </cfRule>
  </conditionalFormatting>
  <conditionalFormatting sqref="C439">
    <cfRule type="cellIs" dxfId="23528" priority="1043" operator="equal">
      <formula>$C439</formula>
    </cfRule>
    <cfRule type="cellIs" dxfId="23527" priority="1044" operator="greaterThan">
      <formula>$C439</formula>
    </cfRule>
    <cfRule type="cellIs" dxfId="23526" priority="1045" operator="lessThan">
      <formula>$C439</formula>
    </cfRule>
  </conditionalFormatting>
  <conditionalFormatting sqref="C440">
    <cfRule type="expression" dxfId="23525" priority="1042">
      <formula>AND($A440&lt;&gt;"",MOD(ROW(),2))</formula>
    </cfRule>
  </conditionalFormatting>
  <conditionalFormatting sqref="C440">
    <cfRule type="cellIs" dxfId="23524" priority="1039" operator="equal">
      <formula>$C440</formula>
    </cfRule>
    <cfRule type="cellIs" dxfId="23523" priority="1040" operator="greaterThan">
      <formula>$C440</formula>
    </cfRule>
    <cfRule type="cellIs" dxfId="23522" priority="1041" operator="lessThan">
      <formula>$C440</formula>
    </cfRule>
  </conditionalFormatting>
  <conditionalFormatting sqref="C441">
    <cfRule type="expression" dxfId="23521" priority="1038">
      <formula>AND($A441&lt;&gt;"",MOD(ROW(),2))</formula>
    </cfRule>
  </conditionalFormatting>
  <conditionalFormatting sqref="C441">
    <cfRule type="cellIs" dxfId="23520" priority="1035" operator="equal">
      <formula>$C441</formula>
    </cfRule>
    <cfRule type="cellIs" dxfId="23519" priority="1036" operator="greaterThan">
      <formula>$C441</formula>
    </cfRule>
    <cfRule type="cellIs" dxfId="23518" priority="1037" operator="lessThan">
      <formula>$C441</formula>
    </cfRule>
  </conditionalFormatting>
  <conditionalFormatting sqref="C442">
    <cfRule type="expression" dxfId="23517" priority="1034">
      <formula>AND($A442&lt;&gt;"",MOD(ROW(),2))</formula>
    </cfRule>
  </conditionalFormatting>
  <conditionalFormatting sqref="C442">
    <cfRule type="cellIs" dxfId="23516" priority="1031" operator="equal">
      <formula>$C442</formula>
    </cfRule>
    <cfRule type="cellIs" dxfId="23515" priority="1032" operator="greaterThan">
      <formula>$C442</formula>
    </cfRule>
    <cfRule type="cellIs" dxfId="23514" priority="1033" operator="lessThan">
      <formula>$C442</formula>
    </cfRule>
  </conditionalFormatting>
  <conditionalFormatting sqref="C443">
    <cfRule type="expression" dxfId="23513" priority="1030">
      <formula>AND($A443&lt;&gt;"",MOD(ROW(),2))</formula>
    </cfRule>
  </conditionalFormatting>
  <conditionalFormatting sqref="C443">
    <cfRule type="cellIs" dxfId="23512" priority="1027" operator="equal">
      <formula>$C443</formula>
    </cfRule>
    <cfRule type="cellIs" dxfId="23511" priority="1028" operator="greaterThan">
      <formula>$C443</formula>
    </cfRule>
    <cfRule type="cellIs" dxfId="23510" priority="1029" operator="lessThan">
      <formula>$C443</formula>
    </cfRule>
  </conditionalFormatting>
  <conditionalFormatting sqref="C444">
    <cfRule type="expression" dxfId="23509" priority="1026">
      <formula>AND($A444&lt;&gt;"",MOD(ROW(),2))</formula>
    </cfRule>
  </conditionalFormatting>
  <conditionalFormatting sqref="C444">
    <cfRule type="cellIs" dxfId="23508" priority="1023" operator="equal">
      <formula>$C444</formula>
    </cfRule>
    <cfRule type="cellIs" dxfId="23507" priority="1024" operator="greaterThan">
      <formula>$C444</formula>
    </cfRule>
    <cfRule type="cellIs" dxfId="23506" priority="1025" operator="lessThan">
      <formula>$C444</formula>
    </cfRule>
  </conditionalFormatting>
  <conditionalFormatting sqref="C445">
    <cfRule type="expression" dxfId="23505" priority="1022">
      <formula>AND($A445&lt;&gt;"",MOD(ROW(),2))</formula>
    </cfRule>
  </conditionalFormatting>
  <conditionalFormatting sqref="C445">
    <cfRule type="cellIs" dxfId="23504" priority="1019" operator="equal">
      <formula>$C445</formula>
    </cfRule>
    <cfRule type="cellIs" dxfId="23503" priority="1020" operator="greaterThan">
      <formula>$C445</formula>
    </cfRule>
    <cfRule type="cellIs" dxfId="23502" priority="1021" operator="lessThan">
      <formula>$C445</formula>
    </cfRule>
  </conditionalFormatting>
  <conditionalFormatting sqref="C446">
    <cfRule type="expression" dxfId="23501" priority="1018">
      <formula>AND($A446&lt;&gt;"",MOD(ROW(),2))</formula>
    </cfRule>
  </conditionalFormatting>
  <conditionalFormatting sqref="C446">
    <cfRule type="cellIs" dxfId="23500" priority="1015" operator="equal">
      <formula>$C446</formula>
    </cfRule>
    <cfRule type="cellIs" dxfId="23499" priority="1016" operator="greaterThan">
      <formula>$C446</formula>
    </cfRule>
    <cfRule type="cellIs" dxfId="23498" priority="1017" operator="lessThan">
      <formula>$C446</formula>
    </cfRule>
  </conditionalFormatting>
  <conditionalFormatting sqref="C447">
    <cfRule type="expression" dxfId="23497" priority="1014">
      <formula>AND($A447&lt;&gt;"",MOD(ROW(),2))</formula>
    </cfRule>
  </conditionalFormatting>
  <conditionalFormatting sqref="C447">
    <cfRule type="cellIs" dxfId="23496" priority="1011" operator="equal">
      <formula>$C447</formula>
    </cfRule>
    <cfRule type="cellIs" dxfId="23495" priority="1012" operator="greaterThan">
      <formula>$C447</formula>
    </cfRule>
    <cfRule type="cellIs" dxfId="23494" priority="1013" operator="lessThan">
      <formula>$C447</formula>
    </cfRule>
  </conditionalFormatting>
  <conditionalFormatting sqref="C448">
    <cfRule type="expression" dxfId="23493" priority="1010">
      <formula>AND($A448&lt;&gt;"",MOD(ROW(),2))</formula>
    </cfRule>
  </conditionalFormatting>
  <conditionalFormatting sqref="C448">
    <cfRule type="cellIs" dxfId="23492" priority="1007" operator="equal">
      <formula>$C448</formula>
    </cfRule>
    <cfRule type="cellIs" dxfId="23491" priority="1008" operator="greaterThan">
      <formula>$C448</formula>
    </cfRule>
    <cfRule type="cellIs" dxfId="23490" priority="1009" operator="lessThan">
      <formula>$C448</formula>
    </cfRule>
  </conditionalFormatting>
  <conditionalFormatting sqref="C449">
    <cfRule type="expression" dxfId="23489" priority="1006">
      <formula>AND($A449&lt;&gt;"",MOD(ROW(),2))</formula>
    </cfRule>
  </conditionalFormatting>
  <conditionalFormatting sqref="C449">
    <cfRule type="cellIs" dxfId="23488" priority="1003" operator="equal">
      <formula>$C449</formula>
    </cfRule>
    <cfRule type="cellIs" dxfId="23487" priority="1004" operator="greaterThan">
      <formula>$C449</formula>
    </cfRule>
    <cfRule type="cellIs" dxfId="23486" priority="1005" operator="lessThan">
      <formula>$C449</formula>
    </cfRule>
  </conditionalFormatting>
  <conditionalFormatting sqref="C450">
    <cfRule type="expression" dxfId="23485" priority="1002">
      <formula>AND($A450&lt;&gt;"",MOD(ROW(),2))</formula>
    </cfRule>
  </conditionalFormatting>
  <conditionalFormatting sqref="C450">
    <cfRule type="cellIs" dxfId="23484" priority="999" operator="equal">
      <formula>$C450</formula>
    </cfRule>
    <cfRule type="cellIs" dxfId="23483" priority="1000" operator="greaterThan">
      <formula>$C450</formula>
    </cfRule>
    <cfRule type="cellIs" dxfId="23482" priority="1001" operator="lessThan">
      <formula>$C450</formula>
    </cfRule>
  </conditionalFormatting>
  <conditionalFormatting sqref="D439:E439">
    <cfRule type="expression" dxfId="23481" priority="998">
      <formula>AND($A439&lt;&gt;"",MOD(ROW(),2))</formula>
    </cfRule>
  </conditionalFormatting>
  <conditionalFormatting sqref="D439">
    <cfRule type="cellIs" dxfId="23480" priority="995" operator="equal">
      <formula>$C439</formula>
    </cfRule>
    <cfRule type="cellIs" dxfId="23479" priority="996" operator="greaterThan">
      <formula>$C439</formula>
    </cfRule>
    <cfRule type="cellIs" dxfId="23478" priority="997" operator="lessThan">
      <formula>$C439</formula>
    </cfRule>
  </conditionalFormatting>
  <conditionalFormatting sqref="D440:E440">
    <cfRule type="expression" dxfId="23477" priority="994">
      <formula>AND($A440&lt;&gt;"",MOD(ROW(),2))</formula>
    </cfRule>
  </conditionalFormatting>
  <conditionalFormatting sqref="D440">
    <cfRule type="cellIs" dxfId="23476" priority="991" operator="equal">
      <formula>$C440</formula>
    </cfRule>
    <cfRule type="cellIs" dxfId="23475" priority="992" operator="greaterThan">
      <formula>$C440</formula>
    </cfRule>
    <cfRule type="cellIs" dxfId="23474" priority="993" operator="lessThan">
      <formula>$C440</formula>
    </cfRule>
  </conditionalFormatting>
  <conditionalFormatting sqref="D441:E441">
    <cfRule type="expression" dxfId="23473" priority="990">
      <formula>AND($A441&lt;&gt;"",MOD(ROW(),2))</formula>
    </cfRule>
  </conditionalFormatting>
  <conditionalFormatting sqref="D441">
    <cfRule type="cellIs" dxfId="23472" priority="987" operator="equal">
      <formula>$C441</formula>
    </cfRule>
    <cfRule type="cellIs" dxfId="23471" priority="988" operator="greaterThan">
      <formula>$C441</formula>
    </cfRule>
    <cfRule type="cellIs" dxfId="23470" priority="989" operator="lessThan">
      <formula>$C441</formula>
    </cfRule>
  </conditionalFormatting>
  <conditionalFormatting sqref="D442:E442">
    <cfRule type="expression" dxfId="23469" priority="986">
      <formula>AND($A442&lt;&gt;"",MOD(ROW(),2))</formula>
    </cfRule>
  </conditionalFormatting>
  <conditionalFormatting sqref="D442">
    <cfRule type="cellIs" dxfId="23468" priority="983" operator="equal">
      <formula>$C442</formula>
    </cfRule>
    <cfRule type="cellIs" dxfId="23467" priority="984" operator="greaterThan">
      <formula>$C442</formula>
    </cfRule>
    <cfRule type="cellIs" dxfId="23466" priority="985" operator="lessThan">
      <formula>$C442</formula>
    </cfRule>
  </conditionalFormatting>
  <conditionalFormatting sqref="D443:E443">
    <cfRule type="expression" dxfId="23465" priority="982">
      <formula>AND($A443&lt;&gt;"",MOD(ROW(),2))</formula>
    </cfRule>
  </conditionalFormatting>
  <conditionalFormatting sqref="D443">
    <cfRule type="cellIs" dxfId="23464" priority="979" operator="equal">
      <formula>$C443</formula>
    </cfRule>
    <cfRule type="cellIs" dxfId="23463" priority="980" operator="greaterThan">
      <formula>$C443</formula>
    </cfRule>
    <cfRule type="cellIs" dxfId="23462" priority="981" operator="lessThan">
      <formula>$C443</formula>
    </cfRule>
  </conditionalFormatting>
  <conditionalFormatting sqref="D444:E444">
    <cfRule type="expression" dxfId="23461" priority="978">
      <formula>AND($A444&lt;&gt;"",MOD(ROW(),2))</formula>
    </cfRule>
  </conditionalFormatting>
  <conditionalFormatting sqref="D444">
    <cfRule type="cellIs" dxfId="23460" priority="975" operator="equal">
      <formula>$C444</formula>
    </cfRule>
    <cfRule type="cellIs" dxfId="23459" priority="976" operator="greaterThan">
      <formula>$C444</formula>
    </cfRule>
    <cfRule type="cellIs" dxfId="23458" priority="977" operator="lessThan">
      <formula>$C444</formula>
    </cfRule>
  </conditionalFormatting>
  <conditionalFormatting sqref="D445:E445">
    <cfRule type="expression" dxfId="23457" priority="974">
      <formula>AND($A445&lt;&gt;"",MOD(ROW(),2))</formula>
    </cfRule>
  </conditionalFormatting>
  <conditionalFormatting sqref="D445">
    <cfRule type="cellIs" dxfId="23456" priority="971" operator="equal">
      <formula>$C445</formula>
    </cfRule>
    <cfRule type="cellIs" dxfId="23455" priority="972" operator="greaterThan">
      <formula>$C445</formula>
    </cfRule>
    <cfRule type="cellIs" dxfId="23454" priority="973" operator="lessThan">
      <formula>$C445</formula>
    </cfRule>
  </conditionalFormatting>
  <conditionalFormatting sqref="D446:E446">
    <cfRule type="expression" dxfId="23453" priority="970">
      <formula>AND($A446&lt;&gt;"",MOD(ROW(),2))</formula>
    </cfRule>
  </conditionalFormatting>
  <conditionalFormatting sqref="D446">
    <cfRule type="cellIs" dxfId="23452" priority="967" operator="equal">
      <formula>$C446</formula>
    </cfRule>
    <cfRule type="cellIs" dxfId="23451" priority="968" operator="greaterThan">
      <formula>$C446</formula>
    </cfRule>
    <cfRule type="cellIs" dxfId="23450" priority="969" operator="lessThan">
      <formula>$C446</formula>
    </cfRule>
  </conditionalFormatting>
  <conditionalFormatting sqref="D447:E447">
    <cfRule type="expression" dxfId="23449" priority="966">
      <formula>AND($A447&lt;&gt;"",MOD(ROW(),2))</formula>
    </cfRule>
  </conditionalFormatting>
  <conditionalFormatting sqref="D447">
    <cfRule type="cellIs" dxfId="23448" priority="963" operator="equal">
      <formula>$C447</formula>
    </cfRule>
    <cfRule type="cellIs" dxfId="23447" priority="964" operator="greaterThan">
      <formula>$C447</formula>
    </cfRule>
    <cfRule type="cellIs" dxfId="23446" priority="965" operator="lessThan">
      <formula>$C447</formula>
    </cfRule>
  </conditionalFormatting>
  <conditionalFormatting sqref="D448:E448">
    <cfRule type="expression" dxfId="23445" priority="962">
      <formula>AND($A448&lt;&gt;"",MOD(ROW(),2))</formula>
    </cfRule>
  </conditionalFormatting>
  <conditionalFormatting sqref="D448">
    <cfRule type="cellIs" dxfId="23444" priority="959" operator="equal">
      <formula>$C448</formula>
    </cfRule>
    <cfRule type="cellIs" dxfId="23443" priority="960" operator="greaterThan">
      <formula>$C448</formula>
    </cfRule>
    <cfRule type="cellIs" dxfId="23442" priority="961" operator="lessThan">
      <formula>$C448</formula>
    </cfRule>
  </conditionalFormatting>
  <conditionalFormatting sqref="D449:E449">
    <cfRule type="expression" dxfId="23441" priority="958">
      <formula>AND($A449&lt;&gt;"",MOD(ROW(),2))</formula>
    </cfRule>
  </conditionalFormatting>
  <conditionalFormatting sqref="D449">
    <cfRule type="cellIs" dxfId="23440" priority="955" operator="equal">
      <formula>$C449</formula>
    </cfRule>
    <cfRule type="cellIs" dxfId="23439" priority="956" operator="greaterThan">
      <formula>$C449</formula>
    </cfRule>
    <cfRule type="cellIs" dxfId="23438" priority="957" operator="lessThan">
      <formula>$C449</formula>
    </cfRule>
  </conditionalFormatting>
  <conditionalFormatting sqref="D450:E450">
    <cfRule type="expression" dxfId="23437" priority="954">
      <formula>AND($A450&lt;&gt;"",MOD(ROW(),2))</formula>
    </cfRule>
  </conditionalFormatting>
  <conditionalFormatting sqref="D450">
    <cfRule type="cellIs" dxfId="23436" priority="951" operator="equal">
      <formula>$C450</formula>
    </cfRule>
    <cfRule type="cellIs" dxfId="23435" priority="952" operator="greaterThan">
      <formula>$C450</formula>
    </cfRule>
    <cfRule type="cellIs" dxfId="23434" priority="953" operator="lessThan">
      <formula>$C450</formula>
    </cfRule>
  </conditionalFormatting>
  <conditionalFormatting sqref="D451:E451">
    <cfRule type="expression" dxfId="23433" priority="950">
      <formula>AND($A451&lt;&gt;"",MOD(ROW(),2))</formula>
    </cfRule>
  </conditionalFormatting>
  <conditionalFormatting sqref="D451">
    <cfRule type="cellIs" dxfId="23432" priority="947" operator="equal">
      <formula>$C451</formula>
    </cfRule>
    <cfRule type="cellIs" dxfId="23431" priority="948" operator="greaterThan">
      <formula>$C451</formula>
    </cfRule>
    <cfRule type="cellIs" dxfId="23430" priority="949" operator="lessThan">
      <formula>$C451</formula>
    </cfRule>
  </conditionalFormatting>
  <conditionalFormatting sqref="D452:E452">
    <cfRule type="expression" dxfId="23429" priority="946">
      <formula>AND($A452&lt;&gt;"",MOD(ROW(),2))</formula>
    </cfRule>
  </conditionalFormatting>
  <conditionalFormatting sqref="D452">
    <cfRule type="cellIs" dxfId="23428" priority="943" operator="equal">
      <formula>$C452</formula>
    </cfRule>
    <cfRule type="cellIs" dxfId="23427" priority="944" operator="greaterThan">
      <formula>$C452</formula>
    </cfRule>
    <cfRule type="cellIs" dxfId="23426" priority="945" operator="lessThan">
      <formula>$C452</formula>
    </cfRule>
  </conditionalFormatting>
  <conditionalFormatting sqref="D453:E453">
    <cfRule type="expression" dxfId="23425" priority="942">
      <formula>AND($A453&lt;&gt;"",MOD(ROW(),2))</formula>
    </cfRule>
  </conditionalFormatting>
  <conditionalFormatting sqref="D453">
    <cfRule type="cellIs" dxfId="23424" priority="939" operator="equal">
      <formula>$C453</formula>
    </cfRule>
    <cfRule type="cellIs" dxfId="23423" priority="940" operator="greaterThan">
      <formula>$C453</formula>
    </cfRule>
    <cfRule type="cellIs" dxfId="23422" priority="941" operator="lessThan">
      <formula>$C453</formula>
    </cfRule>
  </conditionalFormatting>
  <conditionalFormatting sqref="D454:E454">
    <cfRule type="expression" dxfId="23421" priority="938">
      <formula>AND($A454&lt;&gt;"",MOD(ROW(),2))</formula>
    </cfRule>
  </conditionalFormatting>
  <conditionalFormatting sqref="D454">
    <cfRule type="cellIs" dxfId="23420" priority="935" operator="equal">
      <formula>$C454</formula>
    </cfRule>
    <cfRule type="cellIs" dxfId="23419" priority="936" operator="greaterThan">
      <formula>$C454</formula>
    </cfRule>
    <cfRule type="cellIs" dxfId="23418" priority="937" operator="lessThan">
      <formula>$C454</formula>
    </cfRule>
  </conditionalFormatting>
  <conditionalFormatting sqref="D455:E455">
    <cfRule type="expression" dxfId="23417" priority="934">
      <formula>AND($A455&lt;&gt;"",MOD(ROW(),2))</formula>
    </cfRule>
  </conditionalFormatting>
  <conditionalFormatting sqref="D455">
    <cfRule type="cellIs" dxfId="23416" priority="931" operator="equal">
      <formula>$C455</formula>
    </cfRule>
    <cfRule type="cellIs" dxfId="23415" priority="932" operator="greaterThan">
      <formula>$C455</formula>
    </cfRule>
    <cfRule type="cellIs" dxfId="23414" priority="933" operator="lessThan">
      <formula>$C455</formula>
    </cfRule>
  </conditionalFormatting>
  <conditionalFormatting sqref="D456:E456">
    <cfRule type="expression" dxfId="23413" priority="930">
      <formula>AND($A456&lt;&gt;"",MOD(ROW(),2))</formula>
    </cfRule>
  </conditionalFormatting>
  <conditionalFormatting sqref="D456">
    <cfRule type="cellIs" dxfId="23412" priority="927" operator="equal">
      <formula>$C456</formula>
    </cfRule>
    <cfRule type="cellIs" dxfId="23411" priority="928" operator="greaterThan">
      <formula>$C456</formula>
    </cfRule>
    <cfRule type="cellIs" dxfId="23410" priority="929" operator="lessThan">
      <formula>$C456</formula>
    </cfRule>
  </conditionalFormatting>
  <conditionalFormatting sqref="D457:E457">
    <cfRule type="expression" dxfId="23409" priority="926">
      <formula>AND($A457&lt;&gt;"",MOD(ROW(),2))</formula>
    </cfRule>
  </conditionalFormatting>
  <conditionalFormatting sqref="D457">
    <cfRule type="cellIs" dxfId="23408" priority="923" operator="equal">
      <formula>$C457</formula>
    </cfRule>
    <cfRule type="cellIs" dxfId="23407" priority="924" operator="greaterThan">
      <formula>$C457</formula>
    </cfRule>
    <cfRule type="cellIs" dxfId="23406" priority="925" operator="lessThan">
      <formula>$C457</formula>
    </cfRule>
  </conditionalFormatting>
  <conditionalFormatting sqref="D458:E458">
    <cfRule type="expression" dxfId="23405" priority="922">
      <formula>AND($A458&lt;&gt;"",MOD(ROW(),2))</formula>
    </cfRule>
  </conditionalFormatting>
  <conditionalFormatting sqref="D458">
    <cfRule type="cellIs" dxfId="23404" priority="919" operator="equal">
      <formula>$C458</formula>
    </cfRule>
    <cfRule type="cellIs" dxfId="23403" priority="920" operator="greaterThan">
      <formula>$C458</formula>
    </cfRule>
    <cfRule type="cellIs" dxfId="23402" priority="921" operator="lessThan">
      <formula>$C458</formula>
    </cfRule>
  </conditionalFormatting>
  <conditionalFormatting sqref="D459:E459">
    <cfRule type="expression" dxfId="23401" priority="918">
      <formula>AND($A459&lt;&gt;"",MOD(ROW(),2))</formula>
    </cfRule>
  </conditionalFormatting>
  <conditionalFormatting sqref="D459">
    <cfRule type="cellIs" dxfId="23400" priority="915" operator="equal">
      <formula>$C459</formula>
    </cfRule>
    <cfRule type="cellIs" dxfId="23399" priority="916" operator="greaterThan">
      <formula>$C459</formula>
    </cfRule>
    <cfRule type="cellIs" dxfId="23398" priority="917" operator="lessThan">
      <formula>$C459</formula>
    </cfRule>
  </conditionalFormatting>
  <conditionalFormatting sqref="D460:E460">
    <cfRule type="expression" dxfId="23397" priority="914">
      <formula>AND($A460&lt;&gt;"",MOD(ROW(),2))</formula>
    </cfRule>
  </conditionalFormatting>
  <conditionalFormatting sqref="D460">
    <cfRule type="cellIs" dxfId="23396" priority="911" operator="equal">
      <formula>$C460</formula>
    </cfRule>
    <cfRule type="cellIs" dxfId="23395" priority="912" operator="greaterThan">
      <formula>$C460</formula>
    </cfRule>
    <cfRule type="cellIs" dxfId="23394" priority="913" operator="lessThan">
      <formula>$C460</formula>
    </cfRule>
  </conditionalFormatting>
  <conditionalFormatting sqref="D461:E461">
    <cfRule type="expression" dxfId="23393" priority="910">
      <formula>AND($A461&lt;&gt;"",MOD(ROW(),2))</formula>
    </cfRule>
  </conditionalFormatting>
  <conditionalFormatting sqref="D461">
    <cfRule type="cellIs" dxfId="23392" priority="907" operator="equal">
      <formula>$C461</formula>
    </cfRule>
    <cfRule type="cellIs" dxfId="23391" priority="908" operator="greaterThan">
      <formula>$C461</formula>
    </cfRule>
    <cfRule type="cellIs" dxfId="23390" priority="909" operator="lessThan">
      <formula>$C461</formula>
    </cfRule>
  </conditionalFormatting>
  <conditionalFormatting sqref="D462:E462">
    <cfRule type="expression" dxfId="23389" priority="906">
      <formula>AND($A462&lt;&gt;"",MOD(ROW(),2))</formula>
    </cfRule>
  </conditionalFormatting>
  <conditionalFormatting sqref="D462">
    <cfRule type="cellIs" dxfId="23388" priority="903" operator="equal">
      <formula>$C462</formula>
    </cfRule>
    <cfRule type="cellIs" dxfId="23387" priority="904" operator="greaterThan">
      <formula>$C462</formula>
    </cfRule>
    <cfRule type="cellIs" dxfId="23386" priority="905" operator="lessThan">
      <formula>$C462</formula>
    </cfRule>
  </conditionalFormatting>
  <conditionalFormatting sqref="C440">
    <cfRule type="expression" dxfId="23385" priority="902">
      <formula>AND($A440&lt;&gt;"",MOD(ROW(),2))</formula>
    </cfRule>
  </conditionalFormatting>
  <conditionalFormatting sqref="C440">
    <cfRule type="cellIs" dxfId="23384" priority="899" operator="equal">
      <formula>$C440</formula>
    </cfRule>
    <cfRule type="cellIs" dxfId="23383" priority="900" operator="greaterThan">
      <formula>$C440</formula>
    </cfRule>
    <cfRule type="cellIs" dxfId="23382" priority="901" operator="lessThan">
      <formula>$C440</formula>
    </cfRule>
  </conditionalFormatting>
  <conditionalFormatting sqref="C441">
    <cfRule type="expression" dxfId="23381" priority="898">
      <formula>AND($A441&lt;&gt;"",MOD(ROW(),2))</formula>
    </cfRule>
  </conditionalFormatting>
  <conditionalFormatting sqref="C441">
    <cfRule type="cellIs" dxfId="23380" priority="895" operator="equal">
      <formula>$C441</formula>
    </cfRule>
    <cfRule type="cellIs" dxfId="23379" priority="896" operator="greaterThan">
      <formula>$C441</formula>
    </cfRule>
    <cfRule type="cellIs" dxfId="23378" priority="897" operator="lessThan">
      <formula>$C441</formula>
    </cfRule>
  </conditionalFormatting>
  <conditionalFormatting sqref="C442">
    <cfRule type="expression" dxfId="23377" priority="894">
      <formula>AND($A442&lt;&gt;"",MOD(ROW(),2))</formula>
    </cfRule>
  </conditionalFormatting>
  <conditionalFormatting sqref="C442">
    <cfRule type="cellIs" dxfId="23376" priority="891" operator="equal">
      <formula>$C442</formula>
    </cfRule>
    <cfRule type="cellIs" dxfId="23375" priority="892" operator="greaterThan">
      <formula>$C442</formula>
    </cfRule>
    <cfRule type="cellIs" dxfId="23374" priority="893" operator="lessThan">
      <formula>$C442</formula>
    </cfRule>
  </conditionalFormatting>
  <conditionalFormatting sqref="C443">
    <cfRule type="expression" dxfId="23373" priority="890">
      <formula>AND($A443&lt;&gt;"",MOD(ROW(),2))</formula>
    </cfRule>
  </conditionalFormatting>
  <conditionalFormatting sqref="C443">
    <cfRule type="cellIs" dxfId="23372" priority="887" operator="equal">
      <formula>$C443</formula>
    </cfRule>
    <cfRule type="cellIs" dxfId="23371" priority="888" operator="greaterThan">
      <formula>$C443</formula>
    </cfRule>
    <cfRule type="cellIs" dxfId="23370" priority="889" operator="lessThan">
      <formula>$C443</formula>
    </cfRule>
  </conditionalFormatting>
  <conditionalFormatting sqref="C444">
    <cfRule type="expression" dxfId="23369" priority="886">
      <formula>AND($A444&lt;&gt;"",MOD(ROW(),2))</formula>
    </cfRule>
  </conditionalFormatting>
  <conditionalFormatting sqref="C444">
    <cfRule type="cellIs" dxfId="23368" priority="883" operator="equal">
      <formula>$C444</formula>
    </cfRule>
    <cfRule type="cellIs" dxfId="23367" priority="884" operator="greaterThan">
      <formula>$C444</formula>
    </cfRule>
    <cfRule type="cellIs" dxfId="23366" priority="885" operator="lessThan">
      <formula>$C444</formula>
    </cfRule>
  </conditionalFormatting>
  <conditionalFormatting sqref="C445">
    <cfRule type="expression" dxfId="23365" priority="882">
      <formula>AND($A445&lt;&gt;"",MOD(ROW(),2))</formula>
    </cfRule>
  </conditionalFormatting>
  <conditionalFormatting sqref="C445">
    <cfRule type="cellIs" dxfId="23364" priority="879" operator="equal">
      <formula>$C445</formula>
    </cfRule>
    <cfRule type="cellIs" dxfId="23363" priority="880" operator="greaterThan">
      <formula>$C445</formula>
    </cfRule>
    <cfRule type="cellIs" dxfId="23362" priority="881" operator="lessThan">
      <formula>$C445</formula>
    </cfRule>
  </conditionalFormatting>
  <conditionalFormatting sqref="C446">
    <cfRule type="expression" dxfId="23361" priority="878">
      <formula>AND($A446&lt;&gt;"",MOD(ROW(),2))</formula>
    </cfRule>
  </conditionalFormatting>
  <conditionalFormatting sqref="C446">
    <cfRule type="cellIs" dxfId="23360" priority="875" operator="equal">
      <formula>$C446</formula>
    </cfRule>
    <cfRule type="cellIs" dxfId="23359" priority="876" operator="greaterThan">
      <formula>$C446</formula>
    </cfRule>
    <cfRule type="cellIs" dxfId="23358" priority="877" operator="lessThan">
      <formula>$C446</formula>
    </cfRule>
  </conditionalFormatting>
  <conditionalFormatting sqref="C447">
    <cfRule type="expression" dxfId="23357" priority="874">
      <formula>AND($A447&lt;&gt;"",MOD(ROW(),2))</formula>
    </cfRule>
  </conditionalFormatting>
  <conditionalFormatting sqref="C447">
    <cfRule type="cellIs" dxfId="23356" priority="871" operator="equal">
      <formula>$C447</formula>
    </cfRule>
    <cfRule type="cellIs" dxfId="23355" priority="872" operator="greaterThan">
      <formula>$C447</formula>
    </cfRule>
    <cfRule type="cellIs" dxfId="23354" priority="873" operator="lessThan">
      <formula>$C447</formula>
    </cfRule>
  </conditionalFormatting>
  <conditionalFormatting sqref="C448">
    <cfRule type="expression" dxfId="23353" priority="870">
      <formula>AND($A448&lt;&gt;"",MOD(ROW(),2))</formula>
    </cfRule>
  </conditionalFormatting>
  <conditionalFormatting sqref="C448">
    <cfRule type="cellIs" dxfId="23352" priority="867" operator="equal">
      <formula>$C448</formula>
    </cfRule>
    <cfRule type="cellIs" dxfId="23351" priority="868" operator="greaterThan">
      <formula>$C448</formula>
    </cfRule>
    <cfRule type="cellIs" dxfId="23350" priority="869" operator="lessThan">
      <formula>$C448</formula>
    </cfRule>
  </conditionalFormatting>
  <conditionalFormatting sqref="C449">
    <cfRule type="expression" dxfId="23349" priority="866">
      <formula>AND($A449&lt;&gt;"",MOD(ROW(),2))</formula>
    </cfRule>
  </conditionalFormatting>
  <conditionalFormatting sqref="C449">
    <cfRule type="cellIs" dxfId="23348" priority="863" operator="equal">
      <formula>$C449</formula>
    </cfRule>
    <cfRule type="cellIs" dxfId="23347" priority="864" operator="greaterThan">
      <formula>$C449</formula>
    </cfRule>
    <cfRule type="cellIs" dxfId="23346" priority="865" operator="lessThan">
      <formula>$C449</formula>
    </cfRule>
  </conditionalFormatting>
  <conditionalFormatting sqref="C450">
    <cfRule type="expression" dxfId="23345" priority="862">
      <formula>AND($A450&lt;&gt;"",MOD(ROW(),2))</formula>
    </cfRule>
  </conditionalFormatting>
  <conditionalFormatting sqref="C450">
    <cfRule type="cellIs" dxfId="23344" priority="859" operator="equal">
      <formula>$C450</formula>
    </cfRule>
    <cfRule type="cellIs" dxfId="23343" priority="860" operator="greaterThan">
      <formula>$C450</formula>
    </cfRule>
    <cfRule type="cellIs" dxfId="23342" priority="861" operator="lessThan">
      <formula>$C450</formula>
    </cfRule>
  </conditionalFormatting>
  <conditionalFormatting sqref="C451">
    <cfRule type="expression" dxfId="23341" priority="858">
      <formula>AND($A451&lt;&gt;"",MOD(ROW(),2))</formula>
    </cfRule>
  </conditionalFormatting>
  <conditionalFormatting sqref="C451">
    <cfRule type="cellIs" dxfId="23340" priority="855" operator="equal">
      <formula>$C451</formula>
    </cfRule>
    <cfRule type="cellIs" dxfId="23339" priority="856" operator="greaterThan">
      <formula>$C451</formula>
    </cfRule>
    <cfRule type="cellIs" dxfId="23338" priority="857" operator="lessThan">
      <formula>$C451</formula>
    </cfRule>
  </conditionalFormatting>
  <conditionalFormatting sqref="D440:E440">
    <cfRule type="expression" dxfId="23337" priority="854">
      <formula>AND($A440&lt;&gt;"",MOD(ROW(),2))</formula>
    </cfRule>
  </conditionalFormatting>
  <conditionalFormatting sqref="D440">
    <cfRule type="cellIs" dxfId="23336" priority="851" operator="equal">
      <formula>$C440</formula>
    </cfRule>
    <cfRule type="cellIs" dxfId="23335" priority="852" operator="greaterThan">
      <formula>$C440</formula>
    </cfRule>
    <cfRule type="cellIs" dxfId="23334" priority="853" operator="lessThan">
      <formula>$C440</formula>
    </cfRule>
  </conditionalFormatting>
  <conditionalFormatting sqref="D441:E441">
    <cfRule type="expression" dxfId="23333" priority="850">
      <formula>AND($A441&lt;&gt;"",MOD(ROW(),2))</formula>
    </cfRule>
  </conditionalFormatting>
  <conditionalFormatting sqref="D441">
    <cfRule type="cellIs" dxfId="23332" priority="847" operator="equal">
      <formula>$C441</formula>
    </cfRule>
    <cfRule type="cellIs" dxfId="23331" priority="848" operator="greaterThan">
      <formula>$C441</formula>
    </cfRule>
    <cfRule type="cellIs" dxfId="23330" priority="849" operator="lessThan">
      <formula>$C441</formula>
    </cfRule>
  </conditionalFormatting>
  <conditionalFormatting sqref="D442:E442">
    <cfRule type="expression" dxfId="23329" priority="846">
      <formula>AND($A442&lt;&gt;"",MOD(ROW(),2))</formula>
    </cfRule>
  </conditionalFormatting>
  <conditionalFormatting sqref="D442">
    <cfRule type="cellIs" dxfId="23328" priority="843" operator="equal">
      <formula>$C442</formula>
    </cfRule>
    <cfRule type="cellIs" dxfId="23327" priority="844" operator="greaterThan">
      <formula>$C442</formula>
    </cfRule>
    <cfRule type="cellIs" dxfId="23326" priority="845" operator="lessThan">
      <formula>$C442</formula>
    </cfRule>
  </conditionalFormatting>
  <conditionalFormatting sqref="D443:E443">
    <cfRule type="expression" dxfId="23325" priority="842">
      <formula>AND($A443&lt;&gt;"",MOD(ROW(),2))</formula>
    </cfRule>
  </conditionalFormatting>
  <conditionalFormatting sqref="D443">
    <cfRule type="cellIs" dxfId="23324" priority="839" operator="equal">
      <formula>$C443</formula>
    </cfRule>
    <cfRule type="cellIs" dxfId="23323" priority="840" operator="greaterThan">
      <formula>$C443</formula>
    </cfRule>
    <cfRule type="cellIs" dxfId="23322" priority="841" operator="lessThan">
      <formula>$C443</formula>
    </cfRule>
  </conditionalFormatting>
  <conditionalFormatting sqref="D444:E444">
    <cfRule type="expression" dxfId="23321" priority="838">
      <formula>AND($A444&lt;&gt;"",MOD(ROW(),2))</formula>
    </cfRule>
  </conditionalFormatting>
  <conditionalFormatting sqref="D444">
    <cfRule type="cellIs" dxfId="23320" priority="835" operator="equal">
      <formula>$C444</formula>
    </cfRule>
    <cfRule type="cellIs" dxfId="23319" priority="836" operator="greaterThan">
      <formula>$C444</formula>
    </cfRule>
    <cfRule type="cellIs" dxfId="23318" priority="837" operator="lessThan">
      <formula>$C444</formula>
    </cfRule>
  </conditionalFormatting>
  <conditionalFormatting sqref="D445:E445">
    <cfRule type="expression" dxfId="23317" priority="834">
      <formula>AND($A445&lt;&gt;"",MOD(ROW(),2))</formula>
    </cfRule>
  </conditionalFormatting>
  <conditionalFormatting sqref="D445">
    <cfRule type="cellIs" dxfId="23316" priority="831" operator="equal">
      <formula>$C445</formula>
    </cfRule>
    <cfRule type="cellIs" dxfId="23315" priority="832" operator="greaterThan">
      <formula>$C445</formula>
    </cfRule>
    <cfRule type="cellIs" dxfId="23314" priority="833" operator="lessThan">
      <formula>$C445</formula>
    </cfRule>
  </conditionalFormatting>
  <conditionalFormatting sqref="D446:E446">
    <cfRule type="expression" dxfId="23313" priority="830">
      <formula>AND($A446&lt;&gt;"",MOD(ROW(),2))</formula>
    </cfRule>
  </conditionalFormatting>
  <conditionalFormatting sqref="D446">
    <cfRule type="cellIs" dxfId="23312" priority="827" operator="equal">
      <formula>$C446</formula>
    </cfRule>
    <cfRule type="cellIs" dxfId="23311" priority="828" operator="greaterThan">
      <formula>$C446</formula>
    </cfRule>
    <cfRule type="cellIs" dxfId="23310" priority="829" operator="lessThan">
      <formula>$C446</formula>
    </cfRule>
  </conditionalFormatting>
  <conditionalFormatting sqref="D447:E447">
    <cfRule type="expression" dxfId="23309" priority="826">
      <formula>AND($A447&lt;&gt;"",MOD(ROW(),2))</formula>
    </cfRule>
  </conditionalFormatting>
  <conditionalFormatting sqref="D447">
    <cfRule type="cellIs" dxfId="23308" priority="823" operator="equal">
      <formula>$C447</formula>
    </cfRule>
    <cfRule type="cellIs" dxfId="23307" priority="824" operator="greaterThan">
      <formula>$C447</formula>
    </cfRule>
    <cfRule type="cellIs" dxfId="23306" priority="825" operator="lessThan">
      <formula>$C447</formula>
    </cfRule>
  </conditionalFormatting>
  <conditionalFormatting sqref="D448:E448">
    <cfRule type="expression" dxfId="23305" priority="822">
      <formula>AND($A448&lt;&gt;"",MOD(ROW(),2))</formula>
    </cfRule>
  </conditionalFormatting>
  <conditionalFormatting sqref="D448">
    <cfRule type="cellIs" dxfId="23304" priority="819" operator="equal">
      <formula>$C448</formula>
    </cfRule>
    <cfRule type="cellIs" dxfId="23303" priority="820" operator="greaterThan">
      <formula>$C448</formula>
    </cfRule>
    <cfRule type="cellIs" dxfId="23302" priority="821" operator="lessThan">
      <formula>$C448</formula>
    </cfRule>
  </conditionalFormatting>
  <conditionalFormatting sqref="D449:E449">
    <cfRule type="expression" dxfId="23301" priority="818">
      <formula>AND($A449&lt;&gt;"",MOD(ROW(),2))</formula>
    </cfRule>
  </conditionalFormatting>
  <conditionalFormatting sqref="D449">
    <cfRule type="cellIs" dxfId="23300" priority="815" operator="equal">
      <formula>$C449</formula>
    </cfRule>
    <cfRule type="cellIs" dxfId="23299" priority="816" operator="greaterThan">
      <formula>$C449</formula>
    </cfRule>
    <cfRule type="cellIs" dxfId="23298" priority="817" operator="lessThan">
      <formula>$C449</formula>
    </cfRule>
  </conditionalFormatting>
  <conditionalFormatting sqref="D450:E450">
    <cfRule type="expression" dxfId="23297" priority="814">
      <formula>AND($A450&lt;&gt;"",MOD(ROW(),2))</formula>
    </cfRule>
  </conditionalFormatting>
  <conditionalFormatting sqref="D450">
    <cfRule type="cellIs" dxfId="23296" priority="811" operator="equal">
      <formula>$C450</formula>
    </cfRule>
    <cfRule type="cellIs" dxfId="23295" priority="812" operator="greaterThan">
      <formula>$C450</formula>
    </cfRule>
    <cfRule type="cellIs" dxfId="23294" priority="813" operator="lessThan">
      <formula>$C450</formula>
    </cfRule>
  </conditionalFormatting>
  <conditionalFormatting sqref="D451:E451">
    <cfRule type="expression" dxfId="23293" priority="810">
      <formula>AND($A451&lt;&gt;"",MOD(ROW(),2))</formula>
    </cfRule>
  </conditionalFormatting>
  <conditionalFormatting sqref="D451">
    <cfRule type="cellIs" dxfId="23292" priority="807" operator="equal">
      <formula>$C451</formula>
    </cfRule>
    <cfRule type="cellIs" dxfId="23291" priority="808" operator="greaterThan">
      <formula>$C451</formula>
    </cfRule>
    <cfRule type="cellIs" dxfId="23290" priority="809" operator="lessThan">
      <formula>$C451</formula>
    </cfRule>
  </conditionalFormatting>
  <conditionalFormatting sqref="D452:E452">
    <cfRule type="expression" dxfId="23289" priority="806">
      <formula>AND($A452&lt;&gt;"",MOD(ROW(),2))</formula>
    </cfRule>
  </conditionalFormatting>
  <conditionalFormatting sqref="D452">
    <cfRule type="cellIs" dxfId="23288" priority="803" operator="equal">
      <formula>$C452</formula>
    </cfRule>
    <cfRule type="cellIs" dxfId="23287" priority="804" operator="greaterThan">
      <formula>$C452</formula>
    </cfRule>
    <cfRule type="cellIs" dxfId="23286" priority="805" operator="lessThan">
      <formula>$C452</formula>
    </cfRule>
  </conditionalFormatting>
  <conditionalFormatting sqref="D453:E453">
    <cfRule type="expression" dxfId="23285" priority="802">
      <formula>AND($A453&lt;&gt;"",MOD(ROW(),2))</formula>
    </cfRule>
  </conditionalFormatting>
  <conditionalFormatting sqref="D453">
    <cfRule type="cellIs" dxfId="23284" priority="799" operator="equal">
      <formula>$C453</formula>
    </cfRule>
    <cfRule type="cellIs" dxfId="23283" priority="800" operator="greaterThan">
      <formula>$C453</formula>
    </cfRule>
    <cfRule type="cellIs" dxfId="23282" priority="801" operator="lessThan">
      <formula>$C453</formula>
    </cfRule>
  </conditionalFormatting>
  <conditionalFormatting sqref="D454:E454">
    <cfRule type="expression" dxfId="23281" priority="798">
      <formula>AND($A454&lt;&gt;"",MOD(ROW(),2))</formula>
    </cfRule>
  </conditionalFormatting>
  <conditionalFormatting sqref="D454">
    <cfRule type="cellIs" dxfId="23280" priority="795" operator="equal">
      <formula>$C454</formula>
    </cfRule>
    <cfRule type="cellIs" dxfId="23279" priority="796" operator="greaterThan">
      <formula>$C454</formula>
    </cfRule>
    <cfRule type="cellIs" dxfId="23278" priority="797" operator="lessThan">
      <formula>$C454</formula>
    </cfRule>
  </conditionalFormatting>
  <conditionalFormatting sqref="D455:E455">
    <cfRule type="expression" dxfId="23277" priority="794">
      <formula>AND($A455&lt;&gt;"",MOD(ROW(),2))</formula>
    </cfRule>
  </conditionalFormatting>
  <conditionalFormatting sqref="D455">
    <cfRule type="cellIs" dxfId="23276" priority="791" operator="equal">
      <formula>$C455</formula>
    </cfRule>
    <cfRule type="cellIs" dxfId="23275" priority="792" operator="greaterThan">
      <formula>$C455</formula>
    </cfRule>
    <cfRule type="cellIs" dxfId="23274" priority="793" operator="lessThan">
      <formula>$C455</formula>
    </cfRule>
  </conditionalFormatting>
  <conditionalFormatting sqref="D456:E456">
    <cfRule type="expression" dxfId="23273" priority="790">
      <formula>AND($A456&lt;&gt;"",MOD(ROW(),2))</formula>
    </cfRule>
  </conditionalFormatting>
  <conditionalFormatting sqref="D456">
    <cfRule type="cellIs" dxfId="23272" priority="787" operator="equal">
      <formula>$C456</formula>
    </cfRule>
    <cfRule type="cellIs" dxfId="23271" priority="788" operator="greaterThan">
      <formula>$C456</formula>
    </cfRule>
    <cfRule type="cellIs" dxfId="23270" priority="789" operator="lessThan">
      <formula>$C456</formula>
    </cfRule>
  </conditionalFormatting>
  <conditionalFormatting sqref="D457:E457">
    <cfRule type="expression" dxfId="23269" priority="786">
      <formula>AND($A457&lt;&gt;"",MOD(ROW(),2))</formula>
    </cfRule>
  </conditionalFormatting>
  <conditionalFormatting sqref="D457">
    <cfRule type="cellIs" dxfId="23268" priority="783" operator="equal">
      <formula>$C457</formula>
    </cfRule>
    <cfRule type="cellIs" dxfId="23267" priority="784" operator="greaterThan">
      <formula>$C457</formula>
    </cfRule>
    <cfRule type="cellIs" dxfId="23266" priority="785" operator="lessThan">
      <formula>$C457</formula>
    </cfRule>
  </conditionalFormatting>
  <conditionalFormatting sqref="D458:E458">
    <cfRule type="expression" dxfId="23265" priority="782">
      <formula>AND($A458&lt;&gt;"",MOD(ROW(),2))</formula>
    </cfRule>
  </conditionalFormatting>
  <conditionalFormatting sqref="D458">
    <cfRule type="cellIs" dxfId="23264" priority="779" operator="equal">
      <formula>$C458</formula>
    </cfRule>
    <cfRule type="cellIs" dxfId="23263" priority="780" operator="greaterThan">
      <formula>$C458</formula>
    </cfRule>
    <cfRule type="cellIs" dxfId="23262" priority="781" operator="lessThan">
      <formula>$C458</formula>
    </cfRule>
  </conditionalFormatting>
  <conditionalFormatting sqref="D459:E459">
    <cfRule type="expression" dxfId="23261" priority="778">
      <formula>AND($A459&lt;&gt;"",MOD(ROW(),2))</formula>
    </cfRule>
  </conditionalFormatting>
  <conditionalFormatting sqref="D459">
    <cfRule type="cellIs" dxfId="23260" priority="775" operator="equal">
      <formula>$C459</formula>
    </cfRule>
    <cfRule type="cellIs" dxfId="23259" priority="776" operator="greaterThan">
      <formula>$C459</formula>
    </cfRule>
    <cfRule type="cellIs" dxfId="23258" priority="777" operator="lessThan">
      <formula>$C459</formula>
    </cfRule>
  </conditionalFormatting>
  <conditionalFormatting sqref="D460:E460">
    <cfRule type="expression" dxfId="23257" priority="774">
      <formula>AND($A460&lt;&gt;"",MOD(ROW(),2))</formula>
    </cfRule>
  </conditionalFormatting>
  <conditionalFormatting sqref="D460">
    <cfRule type="cellIs" dxfId="23256" priority="771" operator="equal">
      <formula>$C460</formula>
    </cfRule>
    <cfRule type="cellIs" dxfId="23255" priority="772" operator="greaterThan">
      <formula>$C460</formula>
    </cfRule>
    <cfRule type="cellIs" dxfId="23254" priority="773" operator="lessThan">
      <formula>$C460</formula>
    </cfRule>
  </conditionalFormatting>
  <conditionalFormatting sqref="D461:E461">
    <cfRule type="expression" dxfId="23253" priority="770">
      <formula>AND($A461&lt;&gt;"",MOD(ROW(),2))</formula>
    </cfRule>
  </conditionalFormatting>
  <conditionalFormatting sqref="D461">
    <cfRule type="cellIs" dxfId="23252" priority="767" operator="equal">
      <formula>$C461</formula>
    </cfRule>
    <cfRule type="cellIs" dxfId="23251" priority="768" operator="greaterThan">
      <formula>$C461</formula>
    </cfRule>
    <cfRule type="cellIs" dxfId="23250" priority="769" operator="lessThan">
      <formula>$C461</formula>
    </cfRule>
  </conditionalFormatting>
  <conditionalFormatting sqref="D462:E462">
    <cfRule type="expression" dxfId="23249" priority="766">
      <formula>AND($A462&lt;&gt;"",MOD(ROW(),2))</formula>
    </cfRule>
  </conditionalFormatting>
  <conditionalFormatting sqref="D462">
    <cfRule type="cellIs" dxfId="23248" priority="763" operator="equal">
      <formula>$C462</formula>
    </cfRule>
    <cfRule type="cellIs" dxfId="23247" priority="764" operator="greaterThan">
      <formula>$C462</formula>
    </cfRule>
    <cfRule type="cellIs" dxfId="23246" priority="765" operator="lessThan">
      <formula>$C462</formula>
    </cfRule>
  </conditionalFormatting>
  <conditionalFormatting sqref="D463:E463">
    <cfRule type="expression" dxfId="23245" priority="762">
      <formula>AND($A463&lt;&gt;"",MOD(ROW(),2))</formula>
    </cfRule>
  </conditionalFormatting>
  <conditionalFormatting sqref="D463">
    <cfRule type="cellIs" dxfId="23244" priority="759" operator="equal">
      <formula>$C463</formula>
    </cfRule>
    <cfRule type="cellIs" dxfId="23243" priority="760" operator="greaterThan">
      <formula>$C463</formula>
    </cfRule>
    <cfRule type="cellIs" dxfId="23242" priority="761" operator="lessThan">
      <formula>$C463</formula>
    </cfRule>
  </conditionalFormatting>
  <conditionalFormatting sqref="E464">
    <cfRule type="expression" dxfId="23241" priority="758">
      <formula>AND($A464&lt;&gt;"",MOD(ROW(),2))</formula>
    </cfRule>
  </conditionalFormatting>
  <conditionalFormatting sqref="E465">
    <cfRule type="expression" dxfId="23240" priority="757">
      <formula>AND($A465&lt;&gt;"",MOD(ROW(),2))</formula>
    </cfRule>
  </conditionalFormatting>
  <conditionalFormatting sqref="E466">
    <cfRule type="expression" dxfId="23239" priority="756">
      <formula>AND($A466&lt;&gt;"",MOD(ROW(),2))</formula>
    </cfRule>
  </conditionalFormatting>
  <conditionalFormatting sqref="J474">
    <cfRule type="expression" dxfId="23238" priority="755">
      <formula>AND($A474&lt;&gt;"",MOD(ROW(),2))</formula>
    </cfRule>
  </conditionalFormatting>
  <conditionalFormatting sqref="D474">
    <cfRule type="expression" dxfId="23237" priority="754">
      <formula>AND($A474&lt;&gt;"",MOD(ROW(),2))</formula>
    </cfRule>
  </conditionalFormatting>
  <conditionalFormatting sqref="D474">
    <cfRule type="cellIs" dxfId="23236" priority="751" operator="equal">
      <formula>$C474</formula>
    </cfRule>
    <cfRule type="cellIs" dxfId="23235" priority="752" operator="greaterThan">
      <formula>$C474</formula>
    </cfRule>
    <cfRule type="cellIs" dxfId="23234" priority="753" operator="lessThan">
      <formula>$C474</formula>
    </cfRule>
  </conditionalFormatting>
  <conditionalFormatting sqref="J477">
    <cfRule type="expression" dxfId="23233" priority="750">
      <formula>AND($A477&lt;&gt;"",MOD(ROW(),2))</formula>
    </cfRule>
  </conditionalFormatting>
  <conditionalFormatting sqref="D475">
    <cfRule type="expression" dxfId="23232" priority="749">
      <formula>AND($A475&lt;&gt;"",MOD(ROW(),2))</formula>
    </cfRule>
  </conditionalFormatting>
  <conditionalFormatting sqref="D475">
    <cfRule type="cellIs" dxfId="23231" priority="746" operator="equal">
      <formula>$C475</formula>
    </cfRule>
    <cfRule type="cellIs" dxfId="23230" priority="747" operator="greaterThan">
      <formula>$C475</formula>
    </cfRule>
    <cfRule type="cellIs" dxfId="23229" priority="748" operator="lessThan">
      <formula>$C475</formula>
    </cfRule>
  </conditionalFormatting>
  <conditionalFormatting sqref="D476">
    <cfRule type="expression" dxfId="23228" priority="745">
      <formula>AND($A476&lt;&gt;"",MOD(ROW(),2))</formula>
    </cfRule>
  </conditionalFormatting>
  <conditionalFormatting sqref="D476">
    <cfRule type="cellIs" dxfId="23227" priority="742" operator="equal">
      <formula>$C476</formula>
    </cfRule>
    <cfRule type="cellIs" dxfId="23226" priority="743" operator="greaterThan">
      <formula>$C476</formula>
    </cfRule>
    <cfRule type="cellIs" dxfId="23225" priority="744" operator="lessThan">
      <formula>$C476</formula>
    </cfRule>
  </conditionalFormatting>
  <conditionalFormatting sqref="D477">
    <cfRule type="expression" dxfId="23224" priority="741">
      <formula>AND($A477&lt;&gt;"",MOD(ROW(),2))</formula>
    </cfRule>
  </conditionalFormatting>
  <conditionalFormatting sqref="D477">
    <cfRule type="cellIs" dxfId="23223" priority="738" operator="equal">
      <formula>$C477</formula>
    </cfRule>
    <cfRule type="cellIs" dxfId="23222" priority="739" operator="greaterThan">
      <formula>$C477</formula>
    </cfRule>
    <cfRule type="cellIs" dxfId="23221" priority="740" operator="lessThan">
      <formula>$C477</formula>
    </cfRule>
  </conditionalFormatting>
  <conditionalFormatting sqref="D478">
    <cfRule type="expression" dxfId="23220" priority="737">
      <formula>AND($A478&lt;&gt;"",MOD(ROW(),2))</formula>
    </cfRule>
  </conditionalFormatting>
  <conditionalFormatting sqref="D478">
    <cfRule type="cellIs" dxfId="23219" priority="734" operator="equal">
      <formula>$C478</formula>
    </cfRule>
    <cfRule type="cellIs" dxfId="23218" priority="735" operator="greaterThan">
      <formula>$C478</formula>
    </cfRule>
    <cfRule type="cellIs" dxfId="23217" priority="736" operator="lessThan">
      <formula>$C478</formula>
    </cfRule>
  </conditionalFormatting>
  <conditionalFormatting sqref="D482">
    <cfRule type="expression" dxfId="23216" priority="733">
      <formula>AND($A482&lt;&gt;"",MOD(ROW(),2))</formula>
    </cfRule>
  </conditionalFormatting>
  <conditionalFormatting sqref="D482">
    <cfRule type="cellIs" dxfId="23215" priority="730" operator="equal">
      <formula>$C482</formula>
    </cfRule>
    <cfRule type="cellIs" dxfId="23214" priority="731" operator="greaterThan">
      <formula>$C482</formula>
    </cfRule>
    <cfRule type="cellIs" dxfId="23213" priority="732" operator="lessThan">
      <formula>$C482</formula>
    </cfRule>
  </conditionalFormatting>
  <conditionalFormatting sqref="D483">
    <cfRule type="expression" dxfId="23212" priority="729">
      <formula>AND($A483&lt;&gt;"",MOD(ROW(),2))</formula>
    </cfRule>
  </conditionalFormatting>
  <conditionalFormatting sqref="D483">
    <cfRule type="cellIs" dxfId="23211" priority="726" operator="equal">
      <formula>$C483</formula>
    </cfRule>
    <cfRule type="cellIs" dxfId="23210" priority="727" operator="greaterThan">
      <formula>$C483</formula>
    </cfRule>
    <cfRule type="cellIs" dxfId="23209" priority="728" operator="lessThan">
      <formula>$C483</formula>
    </cfRule>
  </conditionalFormatting>
  <conditionalFormatting sqref="D484">
    <cfRule type="expression" dxfId="23208" priority="725">
      <formula>AND($A484&lt;&gt;"",MOD(ROW(),2))</formula>
    </cfRule>
  </conditionalFormatting>
  <conditionalFormatting sqref="D484">
    <cfRule type="cellIs" dxfId="23207" priority="722" operator="equal">
      <formula>$C484</formula>
    </cfRule>
    <cfRule type="cellIs" dxfId="23206" priority="723" operator="greaterThan">
      <formula>$C484</formula>
    </cfRule>
    <cfRule type="cellIs" dxfId="23205" priority="724" operator="lessThan">
      <formula>$C484</formula>
    </cfRule>
  </conditionalFormatting>
  <conditionalFormatting sqref="D485">
    <cfRule type="expression" dxfId="23204" priority="721">
      <formula>AND($A485&lt;&gt;"",MOD(ROW(),2))</formula>
    </cfRule>
  </conditionalFormatting>
  <conditionalFormatting sqref="D485">
    <cfRule type="cellIs" dxfId="23203" priority="718" operator="equal">
      <formula>$C485</formula>
    </cfRule>
    <cfRule type="cellIs" dxfId="23202" priority="719" operator="greaterThan">
      <formula>$C485</formula>
    </cfRule>
    <cfRule type="cellIs" dxfId="23201" priority="720" operator="lessThan">
      <formula>$C485</formula>
    </cfRule>
  </conditionalFormatting>
  <conditionalFormatting sqref="D486">
    <cfRule type="expression" dxfId="23200" priority="717">
      <formula>AND($A486&lt;&gt;"",MOD(ROW(),2))</formula>
    </cfRule>
  </conditionalFormatting>
  <conditionalFormatting sqref="D486">
    <cfRule type="cellIs" dxfId="23199" priority="714" operator="equal">
      <formula>$C486</formula>
    </cfRule>
    <cfRule type="cellIs" dxfId="23198" priority="715" operator="greaterThan">
      <formula>$C486</formula>
    </cfRule>
    <cfRule type="cellIs" dxfId="23197" priority="716" operator="lessThan">
      <formula>$C486</formula>
    </cfRule>
  </conditionalFormatting>
  <conditionalFormatting sqref="D487">
    <cfRule type="expression" dxfId="23196" priority="713">
      <formula>AND($A487&lt;&gt;"",MOD(ROW(),2))</formula>
    </cfRule>
  </conditionalFormatting>
  <conditionalFormatting sqref="D487">
    <cfRule type="cellIs" dxfId="23195" priority="710" operator="equal">
      <formula>$C487</formula>
    </cfRule>
    <cfRule type="cellIs" dxfId="23194" priority="711" operator="greaterThan">
      <formula>$C487</formula>
    </cfRule>
    <cfRule type="cellIs" dxfId="23193" priority="712" operator="lessThan">
      <formula>$C487</formula>
    </cfRule>
  </conditionalFormatting>
  <conditionalFormatting sqref="D488">
    <cfRule type="expression" dxfId="23192" priority="709">
      <formula>AND($A488&lt;&gt;"",MOD(ROW(),2))</formula>
    </cfRule>
  </conditionalFormatting>
  <conditionalFormatting sqref="D488">
    <cfRule type="cellIs" dxfId="23191" priority="706" operator="equal">
      <formula>$C488</formula>
    </cfRule>
    <cfRule type="cellIs" dxfId="23190" priority="707" operator="greaterThan">
      <formula>$C488</formula>
    </cfRule>
    <cfRule type="cellIs" dxfId="23189" priority="708" operator="lessThan">
      <formula>$C488</formula>
    </cfRule>
  </conditionalFormatting>
  <conditionalFormatting sqref="D489">
    <cfRule type="expression" dxfId="23188" priority="705">
      <formula>AND($A489&lt;&gt;"",MOD(ROW(),2))</formula>
    </cfRule>
  </conditionalFormatting>
  <conditionalFormatting sqref="D489">
    <cfRule type="cellIs" dxfId="23187" priority="702" operator="equal">
      <formula>$C489</formula>
    </cfRule>
    <cfRule type="cellIs" dxfId="23186" priority="703" operator="greaterThan">
      <formula>$C489</formula>
    </cfRule>
    <cfRule type="cellIs" dxfId="23185" priority="704" operator="lessThan">
      <formula>$C489</formula>
    </cfRule>
  </conditionalFormatting>
  <conditionalFormatting sqref="D490">
    <cfRule type="expression" dxfId="23184" priority="701">
      <formula>AND($A490&lt;&gt;"",MOD(ROW(),2))</formula>
    </cfRule>
  </conditionalFormatting>
  <conditionalFormatting sqref="D490">
    <cfRule type="cellIs" dxfId="23183" priority="698" operator="equal">
      <formula>$C490</formula>
    </cfRule>
    <cfRule type="cellIs" dxfId="23182" priority="699" operator="greaterThan">
      <formula>$C490</formula>
    </cfRule>
    <cfRule type="cellIs" dxfId="23181" priority="700" operator="lessThan">
      <formula>$C490</formula>
    </cfRule>
  </conditionalFormatting>
  <conditionalFormatting sqref="D491">
    <cfRule type="expression" dxfId="23180" priority="697">
      <formula>AND($A491&lt;&gt;"",MOD(ROW(),2))</formula>
    </cfRule>
  </conditionalFormatting>
  <conditionalFormatting sqref="D491">
    <cfRule type="cellIs" dxfId="23179" priority="694" operator="equal">
      <formula>$C491</formula>
    </cfRule>
    <cfRule type="cellIs" dxfId="23178" priority="695" operator="greaterThan">
      <formula>$C491</formula>
    </cfRule>
    <cfRule type="cellIs" dxfId="23177" priority="696" operator="lessThan">
      <formula>$C491</formula>
    </cfRule>
  </conditionalFormatting>
  <conditionalFormatting sqref="D492">
    <cfRule type="expression" dxfId="23176" priority="693">
      <formula>AND($A492&lt;&gt;"",MOD(ROW(),2))</formula>
    </cfRule>
  </conditionalFormatting>
  <conditionalFormatting sqref="D492">
    <cfRule type="cellIs" dxfId="23175" priority="690" operator="equal">
      <formula>$C492</formula>
    </cfRule>
    <cfRule type="cellIs" dxfId="23174" priority="691" operator="greaterThan">
      <formula>$C492</formula>
    </cfRule>
    <cfRule type="cellIs" dxfId="23173" priority="692" operator="lessThan">
      <formula>$C492</formula>
    </cfRule>
  </conditionalFormatting>
  <conditionalFormatting sqref="D493">
    <cfRule type="expression" dxfId="23172" priority="689">
      <formula>AND($A493&lt;&gt;"",MOD(ROW(),2))</formula>
    </cfRule>
  </conditionalFormatting>
  <conditionalFormatting sqref="D493">
    <cfRule type="cellIs" dxfId="23171" priority="686" operator="equal">
      <formula>$C493</formula>
    </cfRule>
    <cfRule type="cellIs" dxfId="23170" priority="687" operator="greaterThan">
      <formula>$C493</formula>
    </cfRule>
    <cfRule type="cellIs" dxfId="23169" priority="688" operator="lessThan">
      <formula>$C493</formula>
    </cfRule>
  </conditionalFormatting>
  <conditionalFormatting sqref="H494">
    <cfRule type="expression" dxfId="23168" priority="685">
      <formula>AND($A494&lt;&gt;"",MOD(ROW(),2))</formula>
    </cfRule>
  </conditionalFormatting>
  <conditionalFormatting sqref="D494">
    <cfRule type="expression" dxfId="23167" priority="684">
      <formula>AND($A494&lt;&gt;"",MOD(ROW(),2))</formula>
    </cfRule>
  </conditionalFormatting>
  <conditionalFormatting sqref="D494">
    <cfRule type="cellIs" dxfId="23166" priority="681" operator="equal">
      <formula>$C494</formula>
    </cfRule>
    <cfRule type="cellIs" dxfId="23165" priority="682" operator="greaterThan">
      <formula>$C494</formula>
    </cfRule>
    <cfRule type="cellIs" dxfId="23164" priority="683" operator="lessThan">
      <formula>$C494</formula>
    </cfRule>
  </conditionalFormatting>
  <conditionalFormatting sqref="H495:H496">
    <cfRule type="expression" dxfId="23163" priority="680">
      <formula>AND($A495&lt;&gt;"",MOD(ROW(),2))</formula>
    </cfRule>
  </conditionalFormatting>
  <conditionalFormatting sqref="D495">
    <cfRule type="expression" dxfId="23162" priority="679">
      <formula>AND($A495&lt;&gt;"",MOD(ROW(),2))</formula>
    </cfRule>
  </conditionalFormatting>
  <conditionalFormatting sqref="D495">
    <cfRule type="cellIs" dxfId="23161" priority="676" operator="equal">
      <formula>$C495</formula>
    </cfRule>
    <cfRule type="cellIs" dxfId="23160" priority="677" operator="greaterThan">
      <formula>$C495</formula>
    </cfRule>
    <cfRule type="cellIs" dxfId="23159" priority="678" operator="lessThan">
      <formula>$C495</formula>
    </cfRule>
  </conditionalFormatting>
  <conditionalFormatting sqref="D496">
    <cfRule type="expression" dxfId="23158" priority="675">
      <formula>AND($A496&lt;&gt;"",MOD(ROW(),2))</formula>
    </cfRule>
  </conditionalFormatting>
  <conditionalFormatting sqref="D496">
    <cfRule type="cellIs" dxfId="23157" priority="672" operator="equal">
      <formula>$C496</formula>
    </cfRule>
    <cfRule type="cellIs" dxfId="23156" priority="673" operator="greaterThan">
      <formula>$C496</formula>
    </cfRule>
    <cfRule type="cellIs" dxfId="23155" priority="674" operator="lessThan">
      <formula>$C496</formula>
    </cfRule>
  </conditionalFormatting>
  <conditionalFormatting sqref="H497:H506">
    <cfRule type="expression" dxfId="23154" priority="671">
      <formula>AND($A497&lt;&gt;"",MOD(ROW(),2))</formula>
    </cfRule>
  </conditionalFormatting>
  <conditionalFormatting sqref="D497">
    <cfRule type="expression" dxfId="23153" priority="670">
      <formula>AND($A497&lt;&gt;"",MOD(ROW(),2))</formula>
    </cfRule>
  </conditionalFormatting>
  <conditionalFormatting sqref="D497">
    <cfRule type="cellIs" dxfId="23152" priority="667" operator="equal">
      <formula>$C497</formula>
    </cfRule>
    <cfRule type="cellIs" dxfId="23151" priority="668" operator="greaterThan">
      <formula>$C497</formula>
    </cfRule>
    <cfRule type="cellIs" dxfId="23150" priority="669" operator="lessThan">
      <formula>$C497</formula>
    </cfRule>
  </conditionalFormatting>
  <conditionalFormatting sqref="D498">
    <cfRule type="expression" dxfId="23149" priority="666">
      <formula>AND($A498&lt;&gt;"",MOD(ROW(),2))</formula>
    </cfRule>
  </conditionalFormatting>
  <conditionalFormatting sqref="D498">
    <cfRule type="cellIs" dxfId="23148" priority="663" operator="equal">
      <formula>$C498</formula>
    </cfRule>
    <cfRule type="cellIs" dxfId="23147" priority="664" operator="greaterThan">
      <formula>$C498</formula>
    </cfRule>
    <cfRule type="cellIs" dxfId="23146" priority="665" operator="lessThan">
      <formula>$C498</formula>
    </cfRule>
  </conditionalFormatting>
  <conditionalFormatting sqref="D499">
    <cfRule type="expression" dxfId="23145" priority="662">
      <formula>AND($A499&lt;&gt;"",MOD(ROW(),2))</formula>
    </cfRule>
  </conditionalFormatting>
  <conditionalFormatting sqref="D499">
    <cfRule type="cellIs" dxfId="23144" priority="659" operator="equal">
      <formula>$C499</formula>
    </cfRule>
    <cfRule type="cellIs" dxfId="23143" priority="660" operator="greaterThan">
      <formula>$C499</formula>
    </cfRule>
    <cfRule type="cellIs" dxfId="23142" priority="661" operator="lessThan">
      <formula>$C499</formula>
    </cfRule>
  </conditionalFormatting>
  <conditionalFormatting sqref="C500">
    <cfRule type="expression" dxfId="23141" priority="658">
      <formula>AND($A500&lt;&gt;"",MOD(ROW(),2))</formula>
    </cfRule>
  </conditionalFormatting>
  <conditionalFormatting sqref="D500">
    <cfRule type="expression" dxfId="23140" priority="657">
      <formula>AND($A500&lt;&gt;"",MOD(ROW(),2))</formula>
    </cfRule>
  </conditionalFormatting>
  <conditionalFormatting sqref="D500">
    <cfRule type="cellIs" dxfId="23139" priority="654" operator="equal">
      <formula>$C500</formula>
    </cfRule>
    <cfRule type="cellIs" dxfId="23138" priority="655" operator="greaterThan">
      <formula>$C500</formula>
    </cfRule>
    <cfRule type="cellIs" dxfId="23137" priority="656" operator="lessThan">
      <formula>$C500</formula>
    </cfRule>
  </conditionalFormatting>
  <conditionalFormatting sqref="D501">
    <cfRule type="expression" dxfId="23136" priority="653">
      <formula>AND($A501&lt;&gt;"",MOD(ROW(),2))</formula>
    </cfRule>
  </conditionalFormatting>
  <conditionalFormatting sqref="D501">
    <cfRule type="cellIs" dxfId="23135" priority="650" operator="equal">
      <formula>$C501</formula>
    </cfRule>
    <cfRule type="cellIs" dxfId="23134" priority="651" operator="greaterThan">
      <formula>$C501</formula>
    </cfRule>
    <cfRule type="cellIs" dxfId="23133" priority="652" operator="lessThan">
      <formula>$C501</formula>
    </cfRule>
  </conditionalFormatting>
  <conditionalFormatting sqref="D502">
    <cfRule type="expression" dxfId="23132" priority="649">
      <formula>AND($A502&lt;&gt;"",MOD(ROW(),2))</formula>
    </cfRule>
  </conditionalFormatting>
  <conditionalFormatting sqref="D502">
    <cfRule type="cellIs" dxfId="23131" priority="646" operator="equal">
      <formula>$C502</formula>
    </cfRule>
    <cfRule type="cellIs" dxfId="23130" priority="647" operator="greaterThan">
      <formula>$C502</formula>
    </cfRule>
    <cfRule type="cellIs" dxfId="23129" priority="648" operator="lessThan">
      <formula>$C502</formula>
    </cfRule>
  </conditionalFormatting>
  <conditionalFormatting sqref="D503">
    <cfRule type="expression" dxfId="23128" priority="645">
      <formula>AND($A503&lt;&gt;"",MOD(ROW(),2))</formula>
    </cfRule>
  </conditionalFormatting>
  <conditionalFormatting sqref="D503">
    <cfRule type="cellIs" dxfId="23127" priority="642" operator="equal">
      <formula>$C503</formula>
    </cfRule>
    <cfRule type="cellIs" dxfId="23126" priority="643" operator="greaterThan">
      <formula>$C503</formula>
    </cfRule>
    <cfRule type="cellIs" dxfId="23125" priority="644" operator="lessThan">
      <formula>$C503</formula>
    </cfRule>
  </conditionalFormatting>
  <conditionalFormatting sqref="D504">
    <cfRule type="expression" dxfId="23124" priority="641">
      <formula>AND($A504&lt;&gt;"",MOD(ROW(),2))</formula>
    </cfRule>
  </conditionalFormatting>
  <conditionalFormatting sqref="D504">
    <cfRule type="cellIs" dxfId="23123" priority="638" operator="equal">
      <formula>$C504</formula>
    </cfRule>
    <cfRule type="cellIs" dxfId="23122" priority="639" operator="greaterThan">
      <formula>$C504</formula>
    </cfRule>
    <cfRule type="cellIs" dxfId="23121" priority="640" operator="lessThan">
      <formula>$C504</formula>
    </cfRule>
  </conditionalFormatting>
  <conditionalFormatting sqref="D505">
    <cfRule type="expression" dxfId="23120" priority="637">
      <formula>AND($A505&lt;&gt;"",MOD(ROW(),2))</formula>
    </cfRule>
  </conditionalFormatting>
  <conditionalFormatting sqref="D505">
    <cfRule type="cellIs" dxfId="23119" priority="634" operator="equal">
      <formula>$C505</formula>
    </cfRule>
    <cfRule type="cellIs" dxfId="23118" priority="635" operator="greaterThan">
      <formula>$C505</formula>
    </cfRule>
    <cfRule type="cellIs" dxfId="23117" priority="636" operator="lessThan">
      <formula>$C505</formula>
    </cfRule>
  </conditionalFormatting>
  <conditionalFormatting sqref="D506">
    <cfRule type="expression" dxfId="23116" priority="633">
      <formula>AND($A506&lt;&gt;"",MOD(ROW(),2))</formula>
    </cfRule>
  </conditionalFormatting>
  <conditionalFormatting sqref="D506">
    <cfRule type="cellIs" dxfId="23115" priority="630" operator="equal">
      <formula>$C506</formula>
    </cfRule>
    <cfRule type="cellIs" dxfId="23114" priority="631" operator="greaterThan">
      <formula>$C506</formula>
    </cfRule>
    <cfRule type="cellIs" dxfId="23113" priority="632" operator="lessThan">
      <formula>$C506</formula>
    </cfRule>
  </conditionalFormatting>
  <conditionalFormatting sqref="H507">
    <cfRule type="expression" dxfId="23112" priority="629">
      <formula>AND($A507&lt;&gt;"",MOD(ROW(),2))</formula>
    </cfRule>
  </conditionalFormatting>
  <conditionalFormatting sqref="D507">
    <cfRule type="expression" dxfId="23111" priority="628">
      <formula>AND($A507&lt;&gt;"",MOD(ROW(),2))</formula>
    </cfRule>
  </conditionalFormatting>
  <conditionalFormatting sqref="D507">
    <cfRule type="cellIs" dxfId="23110" priority="625" operator="equal">
      <formula>$C507</formula>
    </cfRule>
    <cfRule type="cellIs" dxfId="23109" priority="626" operator="greaterThan">
      <formula>$C507</formula>
    </cfRule>
    <cfRule type="cellIs" dxfId="23108" priority="627" operator="lessThan">
      <formula>$C507</formula>
    </cfRule>
  </conditionalFormatting>
  <conditionalFormatting sqref="D508">
    <cfRule type="expression" dxfId="23107" priority="624">
      <formula>AND($A508&lt;&gt;"",MOD(ROW(),2))</formula>
    </cfRule>
  </conditionalFormatting>
  <conditionalFormatting sqref="D508">
    <cfRule type="cellIs" dxfId="23106" priority="621" operator="equal">
      <formula>$C508</formula>
    </cfRule>
    <cfRule type="cellIs" dxfId="23105" priority="622" operator="greaterThan">
      <formula>$C508</formula>
    </cfRule>
    <cfRule type="cellIs" dxfId="23104" priority="623" operator="lessThan">
      <formula>$C508</formula>
    </cfRule>
  </conditionalFormatting>
  <conditionalFormatting sqref="H508">
    <cfRule type="expression" dxfId="23103" priority="620">
      <formula>AND($A508&lt;&gt;"",MOD(ROW(),2))</formula>
    </cfRule>
  </conditionalFormatting>
  <conditionalFormatting sqref="H509">
    <cfRule type="expression" dxfId="23102" priority="619">
      <formula>AND($A509&lt;&gt;"",MOD(ROW(),2))</formula>
    </cfRule>
  </conditionalFormatting>
  <conditionalFormatting sqref="C509">
    <cfRule type="expression" dxfId="23101" priority="618">
      <formula>AND($A509&lt;&gt;"",MOD(ROW(),2))</formula>
    </cfRule>
  </conditionalFormatting>
  <conditionalFormatting sqref="D509">
    <cfRule type="expression" dxfId="23100" priority="617">
      <formula>AND($A509&lt;&gt;"",MOD(ROW(),2))</formula>
    </cfRule>
  </conditionalFormatting>
  <conditionalFormatting sqref="D509">
    <cfRule type="cellIs" dxfId="23099" priority="614" operator="equal">
      <formula>$C509</formula>
    </cfRule>
    <cfRule type="cellIs" dxfId="23098" priority="615" operator="greaterThan">
      <formula>$C509</formula>
    </cfRule>
    <cfRule type="cellIs" dxfId="23097" priority="616" operator="lessThan">
      <formula>$C509</formula>
    </cfRule>
  </conditionalFormatting>
  <conditionalFormatting sqref="H510">
    <cfRule type="expression" dxfId="23096" priority="613">
      <formula>AND($A510&lt;&gt;"",MOD(ROW(),2))</formula>
    </cfRule>
  </conditionalFormatting>
  <conditionalFormatting sqref="C510">
    <cfRule type="expression" dxfId="23095" priority="612">
      <formula>AND($A510&lt;&gt;"",MOD(ROW(),2))</formula>
    </cfRule>
  </conditionalFormatting>
  <conditionalFormatting sqref="D510">
    <cfRule type="expression" dxfId="23094" priority="611">
      <formula>AND($A510&lt;&gt;"",MOD(ROW(),2))</formula>
    </cfRule>
  </conditionalFormatting>
  <conditionalFormatting sqref="D510">
    <cfRule type="cellIs" dxfId="23093" priority="608" operator="equal">
      <formula>$C510</formula>
    </cfRule>
    <cfRule type="cellIs" dxfId="23092" priority="609" operator="greaterThan">
      <formula>$C510</formula>
    </cfRule>
    <cfRule type="cellIs" dxfId="23091" priority="610" operator="lessThan">
      <formula>$C510</formula>
    </cfRule>
  </conditionalFormatting>
  <conditionalFormatting sqref="H511">
    <cfRule type="expression" dxfId="23090" priority="607">
      <formula>AND($A511&lt;&gt;"",MOD(ROW(),2))</formula>
    </cfRule>
  </conditionalFormatting>
  <conditionalFormatting sqref="C511">
    <cfRule type="expression" dxfId="23089" priority="606">
      <formula>AND($A511&lt;&gt;"",MOD(ROW(),2))</formula>
    </cfRule>
  </conditionalFormatting>
  <conditionalFormatting sqref="D511">
    <cfRule type="expression" dxfId="23088" priority="605">
      <formula>AND($A511&lt;&gt;"",MOD(ROW(),2))</formula>
    </cfRule>
  </conditionalFormatting>
  <conditionalFormatting sqref="D511">
    <cfRule type="cellIs" dxfId="23087" priority="602" operator="equal">
      <formula>$C511</formula>
    </cfRule>
    <cfRule type="cellIs" dxfId="23086" priority="603" operator="greaterThan">
      <formula>$C511</formula>
    </cfRule>
    <cfRule type="cellIs" dxfId="23085" priority="604" operator="lessThan">
      <formula>$C511</formula>
    </cfRule>
  </conditionalFormatting>
  <conditionalFormatting sqref="H512">
    <cfRule type="expression" dxfId="23084" priority="601">
      <formula>AND($A512&lt;&gt;"",MOD(ROW(),2))</formula>
    </cfRule>
  </conditionalFormatting>
  <conditionalFormatting sqref="C512">
    <cfRule type="expression" dxfId="23083" priority="600">
      <formula>AND($A512&lt;&gt;"",MOD(ROW(),2))</formula>
    </cfRule>
  </conditionalFormatting>
  <conditionalFormatting sqref="D512">
    <cfRule type="expression" dxfId="23082" priority="599">
      <formula>AND($A512&lt;&gt;"",MOD(ROW(),2))</formula>
    </cfRule>
  </conditionalFormatting>
  <conditionalFormatting sqref="D512">
    <cfRule type="cellIs" dxfId="23081" priority="596" operator="equal">
      <formula>$C512</formula>
    </cfRule>
    <cfRule type="cellIs" dxfId="23080" priority="597" operator="greaterThan">
      <formula>$C512</formula>
    </cfRule>
    <cfRule type="cellIs" dxfId="23079" priority="598" operator="lessThan">
      <formula>$C512</formula>
    </cfRule>
  </conditionalFormatting>
  <conditionalFormatting sqref="H513">
    <cfRule type="expression" dxfId="23078" priority="595">
      <formula>AND($A513&lt;&gt;"",MOD(ROW(),2))</formula>
    </cfRule>
  </conditionalFormatting>
  <conditionalFormatting sqref="C513">
    <cfRule type="expression" dxfId="23077" priority="594">
      <formula>AND($A513&lt;&gt;"",MOD(ROW(),2))</formula>
    </cfRule>
  </conditionalFormatting>
  <conditionalFormatting sqref="D513">
    <cfRule type="expression" dxfId="23076" priority="593">
      <formula>AND($A513&lt;&gt;"",MOD(ROW(),2))</formula>
    </cfRule>
  </conditionalFormatting>
  <conditionalFormatting sqref="D513">
    <cfRule type="cellIs" dxfId="23075" priority="590" operator="equal">
      <formula>$C513</formula>
    </cfRule>
    <cfRule type="cellIs" dxfId="23074" priority="591" operator="greaterThan">
      <formula>$C513</formula>
    </cfRule>
    <cfRule type="cellIs" dxfId="23073" priority="592" operator="lessThan">
      <formula>$C513</formula>
    </cfRule>
  </conditionalFormatting>
  <conditionalFormatting sqref="H514">
    <cfRule type="expression" dxfId="23072" priority="589">
      <formula>AND($A514&lt;&gt;"",MOD(ROW(),2))</formula>
    </cfRule>
  </conditionalFormatting>
  <conditionalFormatting sqref="C514">
    <cfRule type="expression" dxfId="23071" priority="588">
      <formula>AND($A514&lt;&gt;"",MOD(ROW(),2))</formula>
    </cfRule>
  </conditionalFormatting>
  <conditionalFormatting sqref="D514">
    <cfRule type="expression" dxfId="23070" priority="587">
      <formula>AND($A514&lt;&gt;"",MOD(ROW(),2))</formula>
    </cfRule>
  </conditionalFormatting>
  <conditionalFormatting sqref="D514">
    <cfRule type="cellIs" dxfId="23069" priority="584" operator="equal">
      <formula>$C514</formula>
    </cfRule>
    <cfRule type="cellIs" dxfId="23068" priority="585" operator="greaterThan">
      <formula>$C514</formula>
    </cfRule>
    <cfRule type="cellIs" dxfId="23067" priority="586" operator="lessThan">
      <formula>$C514</formula>
    </cfRule>
  </conditionalFormatting>
  <conditionalFormatting sqref="H515">
    <cfRule type="expression" dxfId="23066" priority="583">
      <formula>AND($A515&lt;&gt;"",MOD(ROW(),2))</formula>
    </cfRule>
  </conditionalFormatting>
  <conditionalFormatting sqref="C515">
    <cfRule type="expression" dxfId="23065" priority="582">
      <formula>AND($A515&lt;&gt;"",MOD(ROW(),2))</formula>
    </cfRule>
  </conditionalFormatting>
  <conditionalFormatting sqref="D515">
    <cfRule type="expression" dxfId="23064" priority="581">
      <formula>AND($A515&lt;&gt;"",MOD(ROW(),2))</formula>
    </cfRule>
  </conditionalFormatting>
  <conditionalFormatting sqref="D515">
    <cfRule type="cellIs" dxfId="23063" priority="578" operator="equal">
      <formula>$C515</formula>
    </cfRule>
    <cfRule type="cellIs" dxfId="23062" priority="579" operator="greaterThan">
      <formula>$C515</formula>
    </cfRule>
    <cfRule type="cellIs" dxfId="23061" priority="580" operator="lessThan">
      <formula>$C515</formula>
    </cfRule>
  </conditionalFormatting>
  <conditionalFormatting sqref="H516">
    <cfRule type="expression" dxfId="23060" priority="577">
      <formula>AND($A516&lt;&gt;"",MOD(ROW(),2))</formula>
    </cfRule>
  </conditionalFormatting>
  <conditionalFormatting sqref="C516">
    <cfRule type="expression" dxfId="23059" priority="576">
      <formula>AND($A516&lt;&gt;"",MOD(ROW(),2))</formula>
    </cfRule>
  </conditionalFormatting>
  <conditionalFormatting sqref="D516">
    <cfRule type="expression" dxfId="23058" priority="575">
      <formula>AND($A516&lt;&gt;"",MOD(ROW(),2))</formula>
    </cfRule>
  </conditionalFormatting>
  <conditionalFormatting sqref="D516">
    <cfRule type="cellIs" dxfId="23057" priority="572" operator="equal">
      <formula>$C516</formula>
    </cfRule>
    <cfRule type="cellIs" dxfId="23056" priority="573" operator="greaterThan">
      <formula>$C516</formula>
    </cfRule>
    <cfRule type="cellIs" dxfId="23055" priority="574" operator="lessThan">
      <formula>$C516</formula>
    </cfRule>
  </conditionalFormatting>
  <conditionalFormatting sqref="H517">
    <cfRule type="expression" dxfId="23054" priority="571">
      <formula>AND($A517&lt;&gt;"",MOD(ROW(),2))</formula>
    </cfRule>
  </conditionalFormatting>
  <conditionalFormatting sqref="C517">
    <cfRule type="expression" dxfId="23053" priority="570">
      <formula>AND($A517&lt;&gt;"",MOD(ROW(),2))</formula>
    </cfRule>
  </conditionalFormatting>
  <conditionalFormatting sqref="D517">
    <cfRule type="expression" dxfId="23052" priority="569">
      <formula>AND($A517&lt;&gt;"",MOD(ROW(),2))</formula>
    </cfRule>
  </conditionalFormatting>
  <conditionalFormatting sqref="D517">
    <cfRule type="cellIs" dxfId="23051" priority="566" operator="equal">
      <formula>$C517</formula>
    </cfRule>
    <cfRule type="cellIs" dxfId="23050" priority="567" operator="greaterThan">
      <formula>$C517</formula>
    </cfRule>
    <cfRule type="cellIs" dxfId="23049" priority="568" operator="lessThan">
      <formula>$C517</formula>
    </cfRule>
  </conditionalFormatting>
  <conditionalFormatting sqref="H518">
    <cfRule type="expression" dxfId="23048" priority="565">
      <formula>AND($A518&lt;&gt;"",MOD(ROW(),2))</formula>
    </cfRule>
  </conditionalFormatting>
  <conditionalFormatting sqref="C518">
    <cfRule type="expression" dxfId="23047" priority="564">
      <formula>AND($A518&lt;&gt;"",MOD(ROW(),2))</formula>
    </cfRule>
  </conditionalFormatting>
  <conditionalFormatting sqref="D518">
    <cfRule type="expression" dxfId="23046" priority="563">
      <formula>AND($A518&lt;&gt;"",MOD(ROW(),2))</formula>
    </cfRule>
  </conditionalFormatting>
  <conditionalFormatting sqref="D518">
    <cfRule type="cellIs" dxfId="23045" priority="560" operator="equal">
      <formula>$C518</formula>
    </cfRule>
    <cfRule type="cellIs" dxfId="23044" priority="561" operator="greaterThan">
      <formula>$C518</formula>
    </cfRule>
    <cfRule type="cellIs" dxfId="23043" priority="562" operator="lessThan">
      <formula>$C518</formula>
    </cfRule>
  </conditionalFormatting>
  <conditionalFormatting sqref="H519">
    <cfRule type="expression" dxfId="23042" priority="559">
      <formula>AND($A519&lt;&gt;"",MOD(ROW(),2))</formula>
    </cfRule>
  </conditionalFormatting>
  <conditionalFormatting sqref="C519">
    <cfRule type="expression" dxfId="23041" priority="558">
      <formula>AND($A519&lt;&gt;"",MOD(ROW(),2))</formula>
    </cfRule>
  </conditionalFormatting>
  <conditionalFormatting sqref="D519">
    <cfRule type="expression" dxfId="23040" priority="557">
      <formula>AND($A519&lt;&gt;"",MOD(ROW(),2))</formula>
    </cfRule>
  </conditionalFormatting>
  <conditionalFormatting sqref="D519">
    <cfRule type="cellIs" dxfId="23039" priority="554" operator="equal">
      <formula>$C519</formula>
    </cfRule>
    <cfRule type="cellIs" dxfId="23038" priority="555" operator="greaterThan">
      <formula>$C519</formula>
    </cfRule>
    <cfRule type="cellIs" dxfId="23037" priority="556" operator="lessThan">
      <formula>$C519</formula>
    </cfRule>
  </conditionalFormatting>
  <conditionalFormatting sqref="H520">
    <cfRule type="expression" dxfId="23036" priority="553">
      <formula>AND($A520&lt;&gt;"",MOD(ROW(),2))</formula>
    </cfRule>
  </conditionalFormatting>
  <conditionalFormatting sqref="C520">
    <cfRule type="expression" dxfId="23035" priority="552">
      <formula>AND($A520&lt;&gt;"",MOD(ROW(),2))</formula>
    </cfRule>
  </conditionalFormatting>
  <conditionalFormatting sqref="D520">
    <cfRule type="expression" dxfId="23034" priority="551">
      <formula>AND($A520&lt;&gt;"",MOD(ROW(),2))</formula>
    </cfRule>
  </conditionalFormatting>
  <conditionalFormatting sqref="D520">
    <cfRule type="cellIs" dxfId="23033" priority="548" operator="equal">
      <formula>$C520</formula>
    </cfRule>
    <cfRule type="cellIs" dxfId="23032" priority="549" operator="greaterThan">
      <formula>$C520</formula>
    </cfRule>
    <cfRule type="cellIs" dxfId="23031" priority="550" operator="lessThan">
      <formula>$C520</formula>
    </cfRule>
  </conditionalFormatting>
  <conditionalFormatting sqref="H521">
    <cfRule type="expression" dxfId="23030" priority="547">
      <formula>AND($A521&lt;&gt;"",MOD(ROW(),2))</formula>
    </cfRule>
  </conditionalFormatting>
  <conditionalFormatting sqref="H522">
    <cfRule type="expression" dxfId="23029" priority="546">
      <formula>AND($A522&lt;&gt;"",MOD(ROW(),2))</formula>
    </cfRule>
  </conditionalFormatting>
  <conditionalFormatting sqref="C521">
    <cfRule type="expression" dxfId="23028" priority="545">
      <formula>AND($A521&lt;&gt;"",MOD(ROW(),2))</formula>
    </cfRule>
  </conditionalFormatting>
  <conditionalFormatting sqref="D521">
    <cfRule type="expression" dxfId="23027" priority="544">
      <formula>AND($A521&lt;&gt;"",MOD(ROW(),2))</formula>
    </cfRule>
  </conditionalFormatting>
  <conditionalFormatting sqref="D521">
    <cfRule type="cellIs" dxfId="23026" priority="541" operator="equal">
      <formula>$C521</formula>
    </cfRule>
    <cfRule type="cellIs" dxfId="23025" priority="542" operator="greaterThan">
      <formula>$C521</formula>
    </cfRule>
    <cfRule type="cellIs" dxfId="23024" priority="543" operator="lessThan">
      <formula>$C521</formula>
    </cfRule>
  </conditionalFormatting>
  <conditionalFormatting sqref="C522">
    <cfRule type="expression" dxfId="23023" priority="540">
      <formula>AND($A522&lt;&gt;"",MOD(ROW(),2))</formula>
    </cfRule>
  </conditionalFormatting>
  <conditionalFormatting sqref="D522">
    <cfRule type="expression" dxfId="23022" priority="539">
      <formula>AND($A522&lt;&gt;"",MOD(ROW(),2))</formula>
    </cfRule>
  </conditionalFormatting>
  <conditionalFormatting sqref="D522">
    <cfRule type="cellIs" dxfId="23021" priority="536" operator="equal">
      <formula>$C522</formula>
    </cfRule>
    <cfRule type="cellIs" dxfId="23020" priority="537" operator="greaterThan">
      <formula>$C522</formula>
    </cfRule>
    <cfRule type="cellIs" dxfId="23019" priority="538" operator="lessThan">
      <formula>$C522</formula>
    </cfRule>
  </conditionalFormatting>
  <conditionalFormatting sqref="H523">
    <cfRule type="expression" dxfId="23018" priority="535">
      <formula>AND($A523&lt;&gt;"",MOD(ROW(),2))</formula>
    </cfRule>
  </conditionalFormatting>
  <conditionalFormatting sqref="C523">
    <cfRule type="expression" dxfId="23017" priority="534">
      <formula>AND($A523&lt;&gt;"",MOD(ROW(),2))</formula>
    </cfRule>
  </conditionalFormatting>
  <conditionalFormatting sqref="D523">
    <cfRule type="expression" dxfId="23016" priority="533">
      <formula>AND($A523&lt;&gt;"",MOD(ROW(),2))</formula>
    </cfRule>
  </conditionalFormatting>
  <conditionalFormatting sqref="D523">
    <cfRule type="cellIs" dxfId="23015" priority="530" operator="equal">
      <formula>$C523</formula>
    </cfRule>
    <cfRule type="cellIs" dxfId="23014" priority="531" operator="greaterThan">
      <formula>$C523</formula>
    </cfRule>
    <cfRule type="cellIs" dxfId="23013" priority="532" operator="lessThan">
      <formula>$C523</formula>
    </cfRule>
  </conditionalFormatting>
  <conditionalFormatting sqref="H524">
    <cfRule type="expression" dxfId="23012" priority="529">
      <formula>AND($A524&lt;&gt;"",MOD(ROW(),2))</formula>
    </cfRule>
  </conditionalFormatting>
  <conditionalFormatting sqref="H525">
    <cfRule type="expression" dxfId="23011" priority="528">
      <formula>AND($A525&lt;&gt;"",MOD(ROW(),2))</formula>
    </cfRule>
  </conditionalFormatting>
  <conditionalFormatting sqref="H526">
    <cfRule type="expression" dxfId="23010" priority="527">
      <formula>AND($A526&lt;&gt;"",MOD(ROW(),2))</formula>
    </cfRule>
  </conditionalFormatting>
  <conditionalFormatting sqref="H527">
    <cfRule type="expression" dxfId="23009" priority="526">
      <formula>AND($A527&lt;&gt;"",MOD(ROW(),2))</formula>
    </cfRule>
  </conditionalFormatting>
  <conditionalFormatting sqref="C524">
    <cfRule type="expression" dxfId="23008" priority="525">
      <formula>AND($A524&lt;&gt;"",MOD(ROW(),2))</formula>
    </cfRule>
  </conditionalFormatting>
  <conditionalFormatting sqref="D524">
    <cfRule type="expression" dxfId="23007" priority="524">
      <formula>AND($A524&lt;&gt;"",MOD(ROW(),2))</formula>
    </cfRule>
  </conditionalFormatting>
  <conditionalFormatting sqref="D524">
    <cfRule type="cellIs" dxfId="23006" priority="521" operator="equal">
      <formula>$C524</formula>
    </cfRule>
    <cfRule type="cellIs" dxfId="23005" priority="522" operator="greaterThan">
      <formula>$C524</formula>
    </cfRule>
    <cfRule type="cellIs" dxfId="23004" priority="523" operator="lessThan">
      <formula>$C524</formula>
    </cfRule>
  </conditionalFormatting>
  <conditionalFormatting sqref="C525">
    <cfRule type="expression" dxfId="23003" priority="520">
      <formula>AND($A525&lt;&gt;"",MOD(ROW(),2))</formula>
    </cfRule>
  </conditionalFormatting>
  <conditionalFormatting sqref="D525">
    <cfRule type="expression" dxfId="23002" priority="519">
      <formula>AND($A525&lt;&gt;"",MOD(ROW(),2))</formula>
    </cfRule>
  </conditionalFormatting>
  <conditionalFormatting sqref="D525">
    <cfRule type="cellIs" dxfId="23001" priority="516" operator="equal">
      <formula>$C525</formula>
    </cfRule>
    <cfRule type="cellIs" dxfId="23000" priority="517" operator="greaterThan">
      <formula>$C525</formula>
    </cfRule>
    <cfRule type="cellIs" dxfId="22999" priority="518" operator="lessThan">
      <formula>$C525</formula>
    </cfRule>
  </conditionalFormatting>
  <conditionalFormatting sqref="C526">
    <cfRule type="expression" dxfId="22998" priority="515">
      <formula>AND($A526&lt;&gt;"",MOD(ROW(),2))</formula>
    </cfRule>
  </conditionalFormatting>
  <conditionalFormatting sqref="D526">
    <cfRule type="expression" dxfId="22997" priority="514">
      <formula>AND($A526&lt;&gt;"",MOD(ROW(),2))</formula>
    </cfRule>
  </conditionalFormatting>
  <conditionalFormatting sqref="D526">
    <cfRule type="cellIs" dxfId="22996" priority="511" operator="equal">
      <formula>$C526</formula>
    </cfRule>
    <cfRule type="cellIs" dxfId="22995" priority="512" operator="greaterThan">
      <formula>$C526</formula>
    </cfRule>
    <cfRule type="cellIs" dxfId="22994" priority="513" operator="lessThan">
      <formula>$C526</formula>
    </cfRule>
  </conditionalFormatting>
  <conditionalFormatting sqref="C527">
    <cfRule type="expression" dxfId="22993" priority="510">
      <formula>AND($A527&lt;&gt;"",MOD(ROW(),2))</formula>
    </cfRule>
  </conditionalFormatting>
  <conditionalFormatting sqref="D527">
    <cfRule type="expression" dxfId="22992" priority="509">
      <formula>AND($A527&lt;&gt;"",MOD(ROW(),2))</formula>
    </cfRule>
  </conditionalFormatting>
  <conditionalFormatting sqref="D527">
    <cfRule type="cellIs" dxfId="22991" priority="506" operator="equal">
      <formula>$C527</formula>
    </cfRule>
    <cfRule type="cellIs" dxfId="22990" priority="507" operator="greaterThan">
      <formula>$C527</formula>
    </cfRule>
    <cfRule type="cellIs" dxfId="22989" priority="508" operator="lessThan">
      <formula>$C527</formula>
    </cfRule>
  </conditionalFormatting>
  <conditionalFormatting sqref="C528">
    <cfRule type="expression" dxfId="22988" priority="505">
      <formula>AND($A528&lt;&gt;"",MOD(ROW(),2))</formula>
    </cfRule>
  </conditionalFormatting>
  <conditionalFormatting sqref="D528">
    <cfRule type="expression" dxfId="22987" priority="504">
      <formula>AND($A528&lt;&gt;"",MOD(ROW(),2))</formula>
    </cfRule>
  </conditionalFormatting>
  <conditionalFormatting sqref="D528">
    <cfRule type="cellIs" dxfId="22986" priority="501" operator="equal">
      <formula>$C528</formula>
    </cfRule>
    <cfRule type="cellIs" dxfId="22985" priority="502" operator="greaterThan">
      <formula>$C528</formula>
    </cfRule>
    <cfRule type="cellIs" dxfId="22984" priority="503" operator="lessThan">
      <formula>$C528</formula>
    </cfRule>
  </conditionalFormatting>
  <conditionalFormatting sqref="C529:C535">
    <cfRule type="expression" dxfId="22983" priority="500">
      <formula>AND($A529&lt;&gt;"",MOD(ROW(),2))</formula>
    </cfRule>
  </conditionalFormatting>
  <conditionalFormatting sqref="D529:D535">
    <cfRule type="expression" dxfId="22982" priority="499">
      <formula>AND($A529&lt;&gt;"",MOD(ROW(),2))</formula>
    </cfRule>
  </conditionalFormatting>
  <conditionalFormatting sqref="D529:D535">
    <cfRule type="cellIs" dxfId="22981" priority="496" operator="equal">
      <formula>$C529</formula>
    </cfRule>
    <cfRule type="cellIs" dxfId="22980" priority="497" operator="greaterThan">
      <formula>$C529</formula>
    </cfRule>
    <cfRule type="cellIs" dxfId="22979" priority="498" operator="lessThan">
      <formula>$C529</formula>
    </cfRule>
  </conditionalFormatting>
  <conditionalFormatting sqref="C524">
    <cfRule type="expression" dxfId="22978" priority="495">
      <formula>AND($A524&lt;&gt;"",MOD(ROW(),2))</formula>
    </cfRule>
  </conditionalFormatting>
  <conditionalFormatting sqref="D524">
    <cfRule type="expression" dxfId="22977" priority="494">
      <formula>AND($A524&lt;&gt;"",MOD(ROW(),2))</formula>
    </cfRule>
  </conditionalFormatting>
  <conditionalFormatting sqref="D524">
    <cfRule type="cellIs" dxfId="22976" priority="491" operator="equal">
      <formula>$C524</formula>
    </cfRule>
    <cfRule type="cellIs" dxfId="22975" priority="492" operator="greaterThan">
      <formula>$C524</formula>
    </cfRule>
    <cfRule type="cellIs" dxfId="22974" priority="493" operator="lessThan">
      <formula>$C524</formula>
    </cfRule>
  </conditionalFormatting>
  <conditionalFormatting sqref="C525">
    <cfRule type="expression" dxfId="22973" priority="490">
      <formula>AND($A525&lt;&gt;"",MOD(ROW(),2))</formula>
    </cfRule>
  </conditionalFormatting>
  <conditionalFormatting sqref="D525">
    <cfRule type="expression" dxfId="22972" priority="489">
      <formula>AND($A525&lt;&gt;"",MOD(ROW(),2))</formula>
    </cfRule>
  </conditionalFormatting>
  <conditionalFormatting sqref="D525">
    <cfRule type="cellIs" dxfId="22971" priority="486" operator="equal">
      <formula>$C525</formula>
    </cfRule>
    <cfRule type="cellIs" dxfId="22970" priority="487" operator="greaterThan">
      <formula>$C525</formula>
    </cfRule>
    <cfRule type="cellIs" dxfId="22969" priority="488" operator="lessThan">
      <formula>$C525</formula>
    </cfRule>
  </conditionalFormatting>
  <conditionalFormatting sqref="C526">
    <cfRule type="expression" dxfId="22968" priority="485">
      <formula>AND($A526&lt;&gt;"",MOD(ROW(),2))</formula>
    </cfRule>
  </conditionalFormatting>
  <conditionalFormatting sqref="D526">
    <cfRule type="expression" dxfId="22967" priority="484">
      <formula>AND($A526&lt;&gt;"",MOD(ROW(),2))</formula>
    </cfRule>
  </conditionalFormatting>
  <conditionalFormatting sqref="D526">
    <cfRule type="cellIs" dxfId="22966" priority="481" operator="equal">
      <formula>$C526</formula>
    </cfRule>
    <cfRule type="cellIs" dxfId="22965" priority="482" operator="greaterThan">
      <formula>$C526</formula>
    </cfRule>
    <cfRule type="cellIs" dxfId="22964" priority="483" operator="lessThan">
      <formula>$C526</formula>
    </cfRule>
  </conditionalFormatting>
  <conditionalFormatting sqref="C527">
    <cfRule type="expression" dxfId="22963" priority="480">
      <formula>AND($A527&lt;&gt;"",MOD(ROW(),2))</formula>
    </cfRule>
  </conditionalFormatting>
  <conditionalFormatting sqref="D527">
    <cfRule type="expression" dxfId="22962" priority="479">
      <formula>AND($A527&lt;&gt;"",MOD(ROW(),2))</formula>
    </cfRule>
  </conditionalFormatting>
  <conditionalFormatting sqref="D527">
    <cfRule type="cellIs" dxfId="22961" priority="476" operator="equal">
      <formula>$C527</formula>
    </cfRule>
    <cfRule type="cellIs" dxfId="22960" priority="477" operator="greaterThan">
      <formula>$C527</formula>
    </cfRule>
    <cfRule type="cellIs" dxfId="22959" priority="478" operator="lessThan">
      <formula>$C527</formula>
    </cfRule>
  </conditionalFormatting>
  <conditionalFormatting sqref="J528">
    <cfRule type="expression" dxfId="22958" priority="475">
      <formula>AND($A528&lt;&gt;"",MOD(ROW(),2))</formula>
    </cfRule>
  </conditionalFormatting>
  <conditionalFormatting sqref="H528">
    <cfRule type="expression" dxfId="22957" priority="474">
      <formula>AND($A528&lt;&gt;"",MOD(ROW(),2))</formula>
    </cfRule>
  </conditionalFormatting>
  <conditionalFormatting sqref="J529">
    <cfRule type="expression" dxfId="22956" priority="473">
      <formula>AND($A529&lt;&gt;"",MOD(ROW(),2))</formula>
    </cfRule>
  </conditionalFormatting>
  <conditionalFormatting sqref="H529">
    <cfRule type="expression" dxfId="22955" priority="472">
      <formula>AND($A529&lt;&gt;"",MOD(ROW(),2))</formula>
    </cfRule>
  </conditionalFormatting>
  <conditionalFormatting sqref="H530">
    <cfRule type="expression" dxfId="22954" priority="470">
      <formula>AND($A530&lt;&gt;"",MOD(ROW(),2))</formula>
    </cfRule>
  </conditionalFormatting>
  <conditionalFormatting sqref="H531:H534">
    <cfRule type="expression" dxfId="22953" priority="469">
      <formula>AND($A531&lt;&gt;"",MOD(ROW(),2))</formula>
    </cfRule>
  </conditionalFormatting>
  <conditionalFormatting sqref="J531:J534">
    <cfRule type="expression" dxfId="22952" priority="468">
      <formula>AND($A531&lt;&gt;"",MOD(ROW(),2))</formula>
    </cfRule>
  </conditionalFormatting>
  <conditionalFormatting sqref="L374:N383">
    <cfRule type="expression" dxfId="22951" priority="463">
      <formula>AND($A374&lt;&gt;"",MOD(ROW(),2))</formula>
    </cfRule>
  </conditionalFormatting>
  <conditionalFormatting sqref="L374:L383">
    <cfRule type="cellIs" dxfId="22950" priority="460" operator="equal">
      <formula>$C374</formula>
    </cfRule>
    <cfRule type="cellIs" dxfId="22949" priority="461" operator="greaterThan">
      <formula>$C374</formula>
    </cfRule>
    <cfRule type="cellIs" dxfId="22948" priority="462" operator="lessThan">
      <formula>$C374</formula>
    </cfRule>
  </conditionalFormatting>
  <conditionalFormatting sqref="L383:N392">
    <cfRule type="expression" dxfId="22947" priority="454">
      <formula>AND($A381&lt;&gt;"",MOD(ROW(),2))</formula>
    </cfRule>
  </conditionalFormatting>
  <conditionalFormatting sqref="L428:M453 L393:N427">
    <cfRule type="expression" dxfId="22946" priority="453">
      <formula>AND($A389&lt;&gt;"",MOD(ROW(),2))</formula>
    </cfRule>
  </conditionalFormatting>
  <conditionalFormatting sqref="L383:L392">
    <cfRule type="cellIs" dxfId="22945" priority="450" operator="equal">
      <formula>$C381</formula>
    </cfRule>
    <cfRule type="cellIs" dxfId="22944" priority="451" operator="greaterThan">
      <formula>$C381</formula>
    </cfRule>
    <cfRule type="cellIs" dxfId="22943" priority="452" operator="lessThan">
      <formula>$C381</formula>
    </cfRule>
  </conditionalFormatting>
  <conditionalFormatting sqref="L454:M460">
    <cfRule type="expression" dxfId="22942" priority="449">
      <formula>AND($A450&lt;&gt;"",MOD(ROW(),2))</formula>
    </cfRule>
  </conditionalFormatting>
  <conditionalFormatting sqref="L394">
    <cfRule type="cellIs" dxfId="22941" priority="446" operator="equal">
      <formula>$C391</formula>
    </cfRule>
    <cfRule type="cellIs" dxfId="22940" priority="447" operator="greaterThan">
      <formula>$C391</formula>
    </cfRule>
    <cfRule type="cellIs" dxfId="22939" priority="448" operator="lessThan">
      <formula>$C391</formula>
    </cfRule>
  </conditionalFormatting>
  <conditionalFormatting sqref="L393:L460">
    <cfRule type="cellIs" dxfId="22938" priority="443" operator="equal">
      <formula>$C389</formula>
    </cfRule>
    <cfRule type="cellIs" dxfId="22937" priority="444" operator="greaterThan">
      <formula>$C389</formula>
    </cfRule>
    <cfRule type="cellIs" dxfId="22936" priority="445" operator="lessThan">
      <formula>$C389</formula>
    </cfRule>
  </conditionalFormatting>
  <conditionalFormatting sqref="N402:N427 M374:N401 M402:M460">
    <cfRule type="expression" dxfId="22935" priority="459">
      <formula>AND(#REF!&lt;&gt;"",MOD(ROW(),2))</formula>
    </cfRule>
  </conditionalFormatting>
  <conditionalFormatting sqref="N402:N427 M374:N401 M402:M460">
    <cfRule type="expression" dxfId="22934" priority="458">
      <formula>AND(#REF!&lt;&gt;"",MOD(ROW(),2))</formula>
    </cfRule>
  </conditionalFormatting>
  <conditionalFormatting sqref="N374:N427">
    <cfRule type="cellIs" dxfId="22933" priority="455" operator="equal">
      <formula>#REF!</formula>
    </cfRule>
    <cfRule type="cellIs" dxfId="22932" priority="456" operator="greaterThan">
      <formula>#REF!</formula>
    </cfRule>
    <cfRule type="cellIs" dxfId="22931" priority="457" operator="lessThan">
      <formula>#REF!</formula>
    </cfRule>
  </conditionalFormatting>
  <conditionalFormatting sqref="L381:N385">
    <cfRule type="expression" dxfId="22930" priority="464">
      <formula>AND(#REF!&lt;&gt;"",MOD(ROW(),2))</formula>
    </cfRule>
  </conditionalFormatting>
  <conditionalFormatting sqref="L381:L385">
    <cfRule type="cellIs" dxfId="22929" priority="465" operator="equal">
      <formula>#REF!</formula>
    </cfRule>
    <cfRule type="cellIs" dxfId="22928" priority="466" operator="greaterThan">
      <formula>#REF!</formula>
    </cfRule>
    <cfRule type="cellIs" dxfId="22927" priority="467" operator="lessThan">
      <formula>#REF!</formula>
    </cfRule>
  </conditionalFormatting>
  <conditionalFormatting sqref="L390:N394">
    <cfRule type="expression" dxfId="22926" priority="437">
      <formula>AND($A387&lt;&gt;"",MOD(ROW(),2))</formula>
    </cfRule>
  </conditionalFormatting>
  <conditionalFormatting sqref="L393">
    <cfRule type="cellIs" dxfId="22925" priority="434" operator="equal">
      <formula>$C390</formula>
    </cfRule>
    <cfRule type="cellIs" dxfId="22924" priority="435" operator="greaterThan">
      <formula>$C390</formula>
    </cfRule>
    <cfRule type="cellIs" dxfId="22923" priority="436" operator="lessThan">
      <formula>$C390</formula>
    </cfRule>
  </conditionalFormatting>
  <conditionalFormatting sqref="M393:N393">
    <cfRule type="expression" dxfId="22922" priority="442">
      <formula>AND(#REF!&lt;&gt;"",MOD(ROW(),2))</formula>
    </cfRule>
  </conditionalFormatting>
  <conditionalFormatting sqref="M393:N393">
    <cfRule type="expression" dxfId="22921" priority="441">
      <formula>AND(#REF!&lt;&gt;"",MOD(ROW(),2))</formula>
    </cfRule>
  </conditionalFormatting>
  <conditionalFormatting sqref="N393">
    <cfRule type="cellIs" dxfId="22920" priority="438" operator="equal">
      <formula>#REF!</formula>
    </cfRule>
    <cfRule type="cellIs" dxfId="22919" priority="439" operator="greaterThan">
      <formula>#REF!</formula>
    </cfRule>
    <cfRule type="cellIs" dxfId="22918" priority="440" operator="lessThan">
      <formula>#REF!</formula>
    </cfRule>
  </conditionalFormatting>
  <conditionalFormatting sqref="L395:N395">
    <cfRule type="expression" dxfId="22917" priority="428">
      <formula>AND($A391&lt;&gt;"",MOD(ROW(),2))</formula>
    </cfRule>
  </conditionalFormatting>
  <conditionalFormatting sqref="L395">
    <cfRule type="cellIs" dxfId="22916" priority="425" operator="equal">
      <formula>$C391</formula>
    </cfRule>
    <cfRule type="cellIs" dxfId="22915" priority="426" operator="greaterThan">
      <formula>$C391</formula>
    </cfRule>
    <cfRule type="cellIs" dxfId="22914" priority="427" operator="lessThan">
      <formula>$C391</formula>
    </cfRule>
  </conditionalFormatting>
  <conditionalFormatting sqref="M395:N395">
    <cfRule type="expression" dxfId="22913" priority="433">
      <formula>AND(#REF!&lt;&gt;"",MOD(ROW(),2))</formula>
    </cfRule>
  </conditionalFormatting>
  <conditionalFormatting sqref="M395:N395">
    <cfRule type="expression" dxfId="22912" priority="432">
      <formula>AND(#REF!&lt;&gt;"",MOD(ROW(),2))</formula>
    </cfRule>
  </conditionalFormatting>
  <conditionalFormatting sqref="N395">
    <cfRule type="cellIs" dxfId="22911" priority="429" operator="equal">
      <formula>#REF!</formula>
    </cfRule>
    <cfRule type="cellIs" dxfId="22910" priority="430" operator="greaterThan">
      <formula>#REF!</formula>
    </cfRule>
    <cfRule type="cellIs" dxfId="22909" priority="431" operator="lessThan">
      <formula>#REF!</formula>
    </cfRule>
  </conditionalFormatting>
  <conditionalFormatting sqref="L393">
    <cfRule type="cellIs" dxfId="22908" priority="422" operator="equal">
      <formula>$C390</formula>
    </cfRule>
    <cfRule type="cellIs" dxfId="22907" priority="423" operator="greaterThan">
      <formula>$C390</formula>
    </cfRule>
    <cfRule type="cellIs" dxfId="22906" priority="424" operator="lessThan">
      <formula>$C390</formula>
    </cfRule>
  </conditionalFormatting>
  <conditionalFormatting sqref="L392">
    <cfRule type="cellIs" dxfId="22905" priority="414" operator="equal">
      <formula>$C389</formula>
    </cfRule>
    <cfRule type="cellIs" dxfId="22904" priority="415" operator="greaterThan">
      <formula>$C389</formula>
    </cfRule>
    <cfRule type="cellIs" dxfId="22903" priority="416" operator="lessThan">
      <formula>$C389</formula>
    </cfRule>
  </conditionalFormatting>
  <conditionalFormatting sqref="M392:N392">
    <cfRule type="expression" dxfId="22902" priority="421">
      <formula>AND(#REF!&lt;&gt;"",MOD(ROW(),2))</formula>
    </cfRule>
  </conditionalFormatting>
  <conditionalFormatting sqref="M392:N392">
    <cfRule type="expression" dxfId="22901" priority="420">
      <formula>AND(#REF!&lt;&gt;"",MOD(ROW(),2))</formula>
    </cfRule>
  </conditionalFormatting>
  <conditionalFormatting sqref="N392">
    <cfRule type="cellIs" dxfId="22900" priority="417" operator="equal">
      <formula>#REF!</formula>
    </cfRule>
    <cfRule type="cellIs" dxfId="22899" priority="418" operator="greaterThan">
      <formula>#REF!</formula>
    </cfRule>
    <cfRule type="cellIs" dxfId="22898" priority="419" operator="lessThan">
      <formula>#REF!</formula>
    </cfRule>
  </conditionalFormatting>
  <conditionalFormatting sqref="L394:N394">
    <cfRule type="expression" dxfId="22897" priority="408">
      <formula>AND($A390&lt;&gt;"",MOD(ROW(),2))</formula>
    </cfRule>
  </conditionalFormatting>
  <conditionalFormatting sqref="L394">
    <cfRule type="cellIs" dxfId="22896" priority="405" operator="equal">
      <formula>$C390</formula>
    </cfRule>
    <cfRule type="cellIs" dxfId="22895" priority="406" operator="greaterThan">
      <formula>$C390</formula>
    </cfRule>
    <cfRule type="cellIs" dxfId="22894" priority="407" operator="lessThan">
      <formula>$C390</formula>
    </cfRule>
  </conditionalFormatting>
  <conditionalFormatting sqref="M394:N394">
    <cfRule type="expression" dxfId="22893" priority="413">
      <formula>AND(#REF!&lt;&gt;"",MOD(ROW(),2))</formula>
    </cfRule>
  </conditionalFormatting>
  <conditionalFormatting sqref="M394:N394">
    <cfRule type="expression" dxfId="22892" priority="412">
      <formula>AND(#REF!&lt;&gt;"",MOD(ROW(),2))</formula>
    </cfRule>
  </conditionalFormatting>
  <conditionalFormatting sqref="N394">
    <cfRule type="cellIs" dxfId="22891" priority="409" operator="equal">
      <formula>#REF!</formula>
    </cfRule>
    <cfRule type="cellIs" dxfId="22890" priority="410" operator="greaterThan">
      <formula>#REF!</formula>
    </cfRule>
    <cfRule type="cellIs" dxfId="22889" priority="411" operator="lessThan">
      <formula>#REF!</formula>
    </cfRule>
  </conditionalFormatting>
  <conditionalFormatting sqref="L393">
    <cfRule type="cellIs" dxfId="22888" priority="402" operator="equal">
      <formula>$C390</formula>
    </cfRule>
    <cfRule type="cellIs" dxfId="22887" priority="403" operator="greaterThan">
      <formula>$C390</formula>
    </cfRule>
    <cfRule type="cellIs" dxfId="22886" priority="404" operator="lessThan">
      <formula>$C390</formula>
    </cfRule>
  </conditionalFormatting>
  <conditionalFormatting sqref="L392">
    <cfRule type="cellIs" dxfId="22885" priority="394" operator="equal">
      <formula>$C389</formula>
    </cfRule>
    <cfRule type="cellIs" dxfId="22884" priority="395" operator="greaterThan">
      <formula>$C389</formula>
    </cfRule>
    <cfRule type="cellIs" dxfId="22883" priority="396" operator="lessThan">
      <formula>$C389</formula>
    </cfRule>
  </conditionalFormatting>
  <conditionalFormatting sqref="M392:N392">
    <cfRule type="expression" dxfId="22882" priority="401">
      <formula>AND(#REF!&lt;&gt;"",MOD(ROW(),2))</formula>
    </cfRule>
  </conditionalFormatting>
  <conditionalFormatting sqref="M392:N392">
    <cfRule type="expression" dxfId="22881" priority="400">
      <formula>AND(#REF!&lt;&gt;"",MOD(ROW(),2))</formula>
    </cfRule>
  </conditionalFormatting>
  <conditionalFormatting sqref="N392">
    <cfRule type="cellIs" dxfId="22880" priority="397" operator="equal">
      <formula>#REF!</formula>
    </cfRule>
    <cfRule type="cellIs" dxfId="22879" priority="398" operator="greaterThan">
      <formula>#REF!</formula>
    </cfRule>
    <cfRule type="cellIs" dxfId="22878" priority="399" operator="lessThan">
      <formula>#REF!</formula>
    </cfRule>
  </conditionalFormatting>
  <conditionalFormatting sqref="L394:N394">
    <cfRule type="expression" dxfId="22877" priority="388">
      <formula>AND($A390&lt;&gt;"",MOD(ROW(),2))</formula>
    </cfRule>
  </conditionalFormatting>
  <conditionalFormatting sqref="L394">
    <cfRule type="cellIs" dxfId="22876" priority="385" operator="equal">
      <formula>$C390</formula>
    </cfRule>
    <cfRule type="cellIs" dxfId="22875" priority="386" operator="greaterThan">
      <formula>$C390</formula>
    </cfRule>
    <cfRule type="cellIs" dxfId="22874" priority="387" operator="lessThan">
      <formula>$C390</formula>
    </cfRule>
  </conditionalFormatting>
  <conditionalFormatting sqref="M394:N394">
    <cfRule type="expression" dxfId="22873" priority="393">
      <formula>AND(#REF!&lt;&gt;"",MOD(ROW(),2))</formula>
    </cfRule>
  </conditionalFormatting>
  <conditionalFormatting sqref="M394:N394">
    <cfRule type="expression" dxfId="22872" priority="392">
      <formula>AND(#REF!&lt;&gt;"",MOD(ROW(),2))</formula>
    </cfRule>
  </conditionalFormatting>
  <conditionalFormatting sqref="N394">
    <cfRule type="cellIs" dxfId="22871" priority="389" operator="equal">
      <formula>#REF!</formula>
    </cfRule>
    <cfRule type="cellIs" dxfId="22870" priority="390" operator="greaterThan">
      <formula>#REF!</formula>
    </cfRule>
    <cfRule type="cellIs" dxfId="22869" priority="391" operator="lessThan">
      <formula>#REF!</formula>
    </cfRule>
  </conditionalFormatting>
  <conditionalFormatting sqref="L392">
    <cfRule type="cellIs" dxfId="22868" priority="382" operator="equal">
      <formula>$C389</formula>
    </cfRule>
    <cfRule type="cellIs" dxfId="22867" priority="383" operator="greaterThan">
      <formula>$C389</formula>
    </cfRule>
    <cfRule type="cellIs" dxfId="22866" priority="384" operator="lessThan">
      <formula>$C389</formula>
    </cfRule>
  </conditionalFormatting>
  <conditionalFormatting sqref="L391">
    <cfRule type="cellIs" dxfId="22865" priority="374" operator="equal">
      <formula>$C388</formula>
    </cfRule>
    <cfRule type="cellIs" dxfId="22864" priority="375" operator="greaterThan">
      <formula>$C388</formula>
    </cfRule>
    <cfRule type="cellIs" dxfId="22863" priority="376" operator="lessThan">
      <formula>$C388</formula>
    </cfRule>
  </conditionalFormatting>
  <conditionalFormatting sqref="M391:N391">
    <cfRule type="expression" dxfId="22862" priority="381">
      <formula>AND(#REF!&lt;&gt;"",MOD(ROW(),2))</formula>
    </cfRule>
  </conditionalFormatting>
  <conditionalFormatting sqref="M391:N391">
    <cfRule type="expression" dxfId="22861" priority="380">
      <formula>AND(#REF!&lt;&gt;"",MOD(ROW(),2))</formula>
    </cfRule>
  </conditionalFormatting>
  <conditionalFormatting sqref="N391">
    <cfRule type="cellIs" dxfId="22860" priority="377" operator="equal">
      <formula>#REF!</formula>
    </cfRule>
    <cfRule type="cellIs" dxfId="22859" priority="378" operator="greaterThan">
      <formula>#REF!</formula>
    </cfRule>
    <cfRule type="cellIs" dxfId="22858" priority="379" operator="lessThan">
      <formula>#REF!</formula>
    </cfRule>
  </conditionalFormatting>
  <conditionalFormatting sqref="L393:N393">
    <cfRule type="expression" dxfId="22857" priority="368">
      <formula>AND($A389&lt;&gt;"",MOD(ROW(),2))</formula>
    </cfRule>
  </conditionalFormatting>
  <conditionalFormatting sqref="L393">
    <cfRule type="cellIs" dxfId="22856" priority="365" operator="equal">
      <formula>$C389</formula>
    </cfRule>
    <cfRule type="cellIs" dxfId="22855" priority="366" operator="greaterThan">
      <formula>$C389</formula>
    </cfRule>
    <cfRule type="cellIs" dxfId="22854" priority="367" operator="lessThan">
      <formula>$C389</formula>
    </cfRule>
  </conditionalFormatting>
  <conditionalFormatting sqref="M393:N393">
    <cfRule type="expression" dxfId="22853" priority="373">
      <formula>AND(#REF!&lt;&gt;"",MOD(ROW(),2))</formula>
    </cfRule>
  </conditionalFormatting>
  <conditionalFormatting sqref="M393:N393">
    <cfRule type="expression" dxfId="22852" priority="372">
      <formula>AND(#REF!&lt;&gt;"",MOD(ROW(),2))</formula>
    </cfRule>
  </conditionalFormatting>
  <conditionalFormatting sqref="N393">
    <cfRule type="cellIs" dxfId="22851" priority="369" operator="equal">
      <formula>#REF!</formula>
    </cfRule>
    <cfRule type="cellIs" dxfId="22850" priority="370" operator="greaterThan">
      <formula>#REF!</formula>
    </cfRule>
    <cfRule type="cellIs" dxfId="22849" priority="371" operator="lessThan">
      <formula>#REF!</formula>
    </cfRule>
  </conditionalFormatting>
  <conditionalFormatting sqref="L393">
    <cfRule type="cellIs" dxfId="22848" priority="362" operator="equal">
      <formula>$C390</formula>
    </cfRule>
    <cfRule type="cellIs" dxfId="22847" priority="363" operator="greaterThan">
      <formula>$C390</formula>
    </cfRule>
    <cfRule type="cellIs" dxfId="22846" priority="364" operator="lessThan">
      <formula>$C390</formula>
    </cfRule>
  </conditionalFormatting>
  <conditionalFormatting sqref="L392">
    <cfRule type="cellIs" dxfId="22845" priority="354" operator="equal">
      <formula>$C389</formula>
    </cfRule>
    <cfRule type="cellIs" dxfId="22844" priority="355" operator="greaterThan">
      <formula>$C389</formula>
    </cfRule>
    <cfRule type="cellIs" dxfId="22843" priority="356" operator="lessThan">
      <formula>$C389</formula>
    </cfRule>
  </conditionalFormatting>
  <conditionalFormatting sqref="M392:N392">
    <cfRule type="expression" dxfId="22842" priority="361">
      <formula>AND(#REF!&lt;&gt;"",MOD(ROW(),2))</formula>
    </cfRule>
  </conditionalFormatting>
  <conditionalFormatting sqref="M392:N392">
    <cfRule type="expression" dxfId="22841" priority="360">
      <formula>AND(#REF!&lt;&gt;"",MOD(ROW(),2))</formula>
    </cfRule>
  </conditionalFormatting>
  <conditionalFormatting sqref="N392">
    <cfRule type="cellIs" dxfId="22840" priority="357" operator="equal">
      <formula>#REF!</formula>
    </cfRule>
    <cfRule type="cellIs" dxfId="22839" priority="358" operator="greaterThan">
      <formula>#REF!</formula>
    </cfRule>
    <cfRule type="cellIs" dxfId="22838" priority="359" operator="lessThan">
      <formula>#REF!</formula>
    </cfRule>
  </conditionalFormatting>
  <conditionalFormatting sqref="L394:N394">
    <cfRule type="expression" dxfId="22837" priority="348">
      <formula>AND($A390&lt;&gt;"",MOD(ROW(),2))</formula>
    </cfRule>
  </conditionalFormatting>
  <conditionalFormatting sqref="L394">
    <cfRule type="cellIs" dxfId="22836" priority="345" operator="equal">
      <formula>$C390</formula>
    </cfRule>
    <cfRule type="cellIs" dxfId="22835" priority="346" operator="greaterThan">
      <formula>$C390</formula>
    </cfRule>
    <cfRule type="cellIs" dxfId="22834" priority="347" operator="lessThan">
      <formula>$C390</formula>
    </cfRule>
  </conditionalFormatting>
  <conditionalFormatting sqref="M394:N394">
    <cfRule type="expression" dxfId="22833" priority="353">
      <formula>AND(#REF!&lt;&gt;"",MOD(ROW(),2))</formula>
    </cfRule>
  </conditionalFormatting>
  <conditionalFormatting sqref="M394:N394">
    <cfRule type="expression" dxfId="22832" priority="352">
      <formula>AND(#REF!&lt;&gt;"",MOD(ROW(),2))</formula>
    </cfRule>
  </conditionalFormatting>
  <conditionalFormatting sqref="N394">
    <cfRule type="cellIs" dxfId="22831" priority="349" operator="equal">
      <formula>#REF!</formula>
    </cfRule>
    <cfRule type="cellIs" dxfId="22830" priority="350" operator="greaterThan">
      <formula>#REF!</formula>
    </cfRule>
    <cfRule type="cellIs" dxfId="22829" priority="351" operator="lessThan">
      <formula>#REF!</formula>
    </cfRule>
  </conditionalFormatting>
  <conditionalFormatting sqref="L392">
    <cfRule type="cellIs" dxfId="22828" priority="342" operator="equal">
      <formula>$C389</formula>
    </cfRule>
    <cfRule type="cellIs" dxfId="22827" priority="343" operator="greaterThan">
      <formula>$C389</formula>
    </cfRule>
    <cfRule type="cellIs" dxfId="22826" priority="344" operator="lessThan">
      <formula>$C389</formula>
    </cfRule>
  </conditionalFormatting>
  <conditionalFormatting sqref="L391">
    <cfRule type="cellIs" dxfId="22825" priority="334" operator="equal">
      <formula>$C388</formula>
    </cfRule>
    <cfRule type="cellIs" dxfId="22824" priority="335" operator="greaterThan">
      <formula>$C388</formula>
    </cfRule>
    <cfRule type="cellIs" dxfId="22823" priority="336" operator="lessThan">
      <formula>$C388</formula>
    </cfRule>
  </conditionalFormatting>
  <conditionalFormatting sqref="M391:N391">
    <cfRule type="expression" dxfId="22822" priority="341">
      <formula>AND(#REF!&lt;&gt;"",MOD(ROW(),2))</formula>
    </cfRule>
  </conditionalFormatting>
  <conditionalFormatting sqref="M391:N391">
    <cfRule type="expression" dxfId="22821" priority="340">
      <formula>AND(#REF!&lt;&gt;"",MOD(ROW(),2))</formula>
    </cfRule>
  </conditionalFormatting>
  <conditionalFormatting sqref="N391">
    <cfRule type="cellIs" dxfId="22820" priority="337" operator="equal">
      <formula>#REF!</formula>
    </cfRule>
    <cfRule type="cellIs" dxfId="22819" priority="338" operator="greaterThan">
      <formula>#REF!</formula>
    </cfRule>
    <cfRule type="cellIs" dxfId="22818" priority="339" operator="lessThan">
      <formula>#REF!</formula>
    </cfRule>
  </conditionalFormatting>
  <conditionalFormatting sqref="L393:N393">
    <cfRule type="expression" dxfId="22817" priority="328">
      <formula>AND($A389&lt;&gt;"",MOD(ROW(),2))</formula>
    </cfRule>
  </conditionalFormatting>
  <conditionalFormatting sqref="L393">
    <cfRule type="cellIs" dxfId="22816" priority="325" operator="equal">
      <formula>$C389</formula>
    </cfRule>
    <cfRule type="cellIs" dxfId="22815" priority="326" operator="greaterThan">
      <formula>$C389</formula>
    </cfRule>
    <cfRule type="cellIs" dxfId="22814" priority="327" operator="lessThan">
      <formula>$C389</formula>
    </cfRule>
  </conditionalFormatting>
  <conditionalFormatting sqref="M393:N393">
    <cfRule type="expression" dxfId="22813" priority="333">
      <formula>AND(#REF!&lt;&gt;"",MOD(ROW(),2))</formula>
    </cfRule>
  </conditionalFormatting>
  <conditionalFormatting sqref="M393:N393">
    <cfRule type="expression" dxfId="22812" priority="332">
      <formula>AND(#REF!&lt;&gt;"",MOD(ROW(),2))</formula>
    </cfRule>
  </conditionalFormatting>
  <conditionalFormatting sqref="N393">
    <cfRule type="cellIs" dxfId="22811" priority="329" operator="equal">
      <formula>#REF!</formula>
    </cfRule>
    <cfRule type="cellIs" dxfId="22810" priority="330" operator="greaterThan">
      <formula>#REF!</formula>
    </cfRule>
    <cfRule type="cellIs" dxfId="22809" priority="331" operator="lessThan">
      <formula>#REF!</formula>
    </cfRule>
  </conditionalFormatting>
  <conditionalFormatting sqref="L392">
    <cfRule type="cellIs" dxfId="22808" priority="322" operator="equal">
      <formula>$C389</formula>
    </cfRule>
    <cfRule type="cellIs" dxfId="22807" priority="323" operator="greaterThan">
      <formula>$C389</formula>
    </cfRule>
    <cfRule type="cellIs" dxfId="22806" priority="324" operator="lessThan">
      <formula>$C389</formula>
    </cfRule>
  </conditionalFormatting>
  <conditionalFormatting sqref="L391">
    <cfRule type="cellIs" dxfId="22805" priority="314" operator="equal">
      <formula>$C388</formula>
    </cfRule>
    <cfRule type="cellIs" dxfId="22804" priority="315" operator="greaterThan">
      <formula>$C388</formula>
    </cfRule>
    <cfRule type="cellIs" dxfId="22803" priority="316" operator="lessThan">
      <formula>$C388</formula>
    </cfRule>
  </conditionalFormatting>
  <conditionalFormatting sqref="M391:N391">
    <cfRule type="expression" dxfId="22802" priority="321">
      <formula>AND(#REF!&lt;&gt;"",MOD(ROW(),2))</formula>
    </cfRule>
  </conditionalFormatting>
  <conditionalFormatting sqref="M391:N391">
    <cfRule type="expression" dxfId="22801" priority="320">
      <formula>AND(#REF!&lt;&gt;"",MOD(ROW(),2))</formula>
    </cfRule>
  </conditionalFormatting>
  <conditionalFormatting sqref="N391">
    <cfRule type="cellIs" dxfId="22800" priority="317" operator="equal">
      <formula>#REF!</formula>
    </cfRule>
    <cfRule type="cellIs" dxfId="22799" priority="318" operator="greaterThan">
      <formula>#REF!</formula>
    </cfRule>
    <cfRule type="cellIs" dxfId="22798" priority="319" operator="lessThan">
      <formula>#REF!</formula>
    </cfRule>
  </conditionalFormatting>
  <conditionalFormatting sqref="L393:N393">
    <cfRule type="expression" dxfId="22797" priority="308">
      <formula>AND($A389&lt;&gt;"",MOD(ROW(),2))</formula>
    </cfRule>
  </conditionalFormatting>
  <conditionalFormatting sqref="L393">
    <cfRule type="cellIs" dxfId="22796" priority="305" operator="equal">
      <formula>$C389</formula>
    </cfRule>
    <cfRule type="cellIs" dxfId="22795" priority="306" operator="greaterThan">
      <formula>$C389</formula>
    </cfRule>
    <cfRule type="cellIs" dxfId="22794" priority="307" operator="lessThan">
      <formula>$C389</formula>
    </cfRule>
  </conditionalFormatting>
  <conditionalFormatting sqref="M393:N393">
    <cfRule type="expression" dxfId="22793" priority="313">
      <formula>AND(#REF!&lt;&gt;"",MOD(ROW(),2))</formula>
    </cfRule>
  </conditionalFormatting>
  <conditionalFormatting sqref="M393:N393">
    <cfRule type="expression" dxfId="22792" priority="312">
      <formula>AND(#REF!&lt;&gt;"",MOD(ROW(),2))</formula>
    </cfRule>
  </conditionalFormatting>
  <conditionalFormatting sqref="N393">
    <cfRule type="cellIs" dxfId="22791" priority="309" operator="equal">
      <formula>#REF!</formula>
    </cfRule>
    <cfRule type="cellIs" dxfId="22790" priority="310" operator="greaterThan">
      <formula>#REF!</formula>
    </cfRule>
    <cfRule type="cellIs" dxfId="22789" priority="311" operator="lessThan">
      <formula>#REF!</formula>
    </cfRule>
  </conditionalFormatting>
  <conditionalFormatting sqref="L391">
    <cfRule type="cellIs" dxfId="22788" priority="302" operator="equal">
      <formula>$C388</formula>
    </cfRule>
    <cfRule type="cellIs" dxfId="22787" priority="303" operator="greaterThan">
      <formula>$C388</formula>
    </cfRule>
    <cfRule type="cellIs" dxfId="22786" priority="304" operator="lessThan">
      <formula>$C388</formula>
    </cfRule>
  </conditionalFormatting>
  <conditionalFormatting sqref="L390">
    <cfRule type="cellIs" dxfId="22785" priority="294" operator="equal">
      <formula>$C387</formula>
    </cfRule>
    <cfRule type="cellIs" dxfId="22784" priority="295" operator="greaterThan">
      <formula>$C387</formula>
    </cfRule>
    <cfRule type="cellIs" dxfId="22783" priority="296" operator="lessThan">
      <formula>$C387</formula>
    </cfRule>
  </conditionalFormatting>
  <conditionalFormatting sqref="M390:N390">
    <cfRule type="expression" dxfId="22782" priority="301">
      <formula>AND(#REF!&lt;&gt;"",MOD(ROW(),2))</formula>
    </cfRule>
  </conditionalFormatting>
  <conditionalFormatting sqref="M390:N390">
    <cfRule type="expression" dxfId="22781" priority="300">
      <formula>AND(#REF!&lt;&gt;"",MOD(ROW(),2))</formula>
    </cfRule>
  </conditionalFormatting>
  <conditionalFormatting sqref="N390">
    <cfRule type="cellIs" dxfId="22780" priority="297" operator="equal">
      <formula>#REF!</formula>
    </cfRule>
    <cfRule type="cellIs" dxfId="22779" priority="298" operator="greaterThan">
      <formula>#REF!</formula>
    </cfRule>
    <cfRule type="cellIs" dxfId="22778" priority="299" operator="lessThan">
      <formula>#REF!</formula>
    </cfRule>
  </conditionalFormatting>
  <conditionalFormatting sqref="L392:N392">
    <cfRule type="expression" dxfId="22777" priority="288">
      <formula>AND($A388&lt;&gt;"",MOD(ROW(),2))</formula>
    </cfRule>
  </conditionalFormatting>
  <conditionalFormatting sqref="L392">
    <cfRule type="cellIs" dxfId="22776" priority="285" operator="equal">
      <formula>$C388</formula>
    </cfRule>
    <cfRule type="cellIs" dxfId="22775" priority="286" operator="greaterThan">
      <formula>$C388</formula>
    </cfRule>
    <cfRule type="cellIs" dxfId="22774" priority="287" operator="lessThan">
      <formula>$C388</formula>
    </cfRule>
  </conditionalFormatting>
  <conditionalFormatting sqref="M392:N392">
    <cfRule type="expression" dxfId="22773" priority="293">
      <formula>AND(#REF!&lt;&gt;"",MOD(ROW(),2))</formula>
    </cfRule>
  </conditionalFormatting>
  <conditionalFormatting sqref="M392:N392">
    <cfRule type="expression" dxfId="22772" priority="292">
      <formula>AND(#REF!&lt;&gt;"",MOD(ROW(),2))</formula>
    </cfRule>
  </conditionalFormatting>
  <conditionalFormatting sqref="N392">
    <cfRule type="cellIs" dxfId="22771" priority="289" operator="equal">
      <formula>#REF!</formula>
    </cfRule>
    <cfRule type="cellIs" dxfId="22770" priority="290" operator="greaterThan">
      <formula>#REF!</formula>
    </cfRule>
    <cfRule type="cellIs" dxfId="22769" priority="291" operator="lessThan">
      <formula>#REF!</formula>
    </cfRule>
  </conditionalFormatting>
  <conditionalFormatting sqref="W111:W113">
    <cfRule type="expression" dxfId="22768" priority="200">
      <formula>AND($A95&lt;&gt;"",MOD(ROW(),2))</formula>
    </cfRule>
  </conditionalFormatting>
  <conditionalFormatting sqref="W111:W113">
    <cfRule type="cellIs" dxfId="22767" priority="197" operator="equal">
      <formula>#REF!</formula>
    </cfRule>
    <cfRule type="cellIs" dxfId="22766" priority="198" operator="greaterThan">
      <formula>#REF!</formula>
    </cfRule>
    <cfRule type="cellIs" dxfId="22765" priority="199" operator="lessThan">
      <formula>#REF!</formula>
    </cfRule>
  </conditionalFormatting>
  <conditionalFormatting sqref="W112:W114">
    <cfRule type="expression" dxfId="22764" priority="196">
      <formula>AND($A96&lt;&gt;"",MOD(ROW(),2))</formula>
    </cfRule>
  </conditionalFormatting>
  <conditionalFormatting sqref="W112:W114">
    <cfRule type="cellIs" dxfId="22763" priority="193" operator="equal">
      <formula>#REF!</formula>
    </cfRule>
    <cfRule type="cellIs" dxfId="22762" priority="194" operator="greaterThan">
      <formula>#REF!</formula>
    </cfRule>
    <cfRule type="cellIs" dxfId="22761" priority="195" operator="lessThan">
      <formula>#REF!</formula>
    </cfRule>
  </conditionalFormatting>
  <conditionalFormatting sqref="W112:W114">
    <cfRule type="expression" dxfId="22760" priority="192">
      <formula>AND($A96&lt;&gt;"",MOD(ROW(),2))</formula>
    </cfRule>
  </conditionalFormatting>
  <conditionalFormatting sqref="W112:W114">
    <cfRule type="cellIs" dxfId="22759" priority="189" operator="equal">
      <formula>#REF!</formula>
    </cfRule>
    <cfRule type="cellIs" dxfId="22758" priority="190" operator="greaterThan">
      <formula>#REF!</formula>
    </cfRule>
    <cfRule type="cellIs" dxfId="22757" priority="191" operator="lessThan">
      <formula>#REF!</formula>
    </cfRule>
  </conditionalFormatting>
  <conditionalFormatting sqref="W113:W115">
    <cfRule type="expression" dxfId="22756" priority="188">
      <formula>AND($A97&lt;&gt;"",MOD(ROW(),2))</formula>
    </cfRule>
  </conditionalFormatting>
  <conditionalFormatting sqref="W113:W115">
    <cfRule type="cellIs" dxfId="22755" priority="185" operator="equal">
      <formula>#REF!</formula>
    </cfRule>
    <cfRule type="cellIs" dxfId="22754" priority="186" operator="greaterThan">
      <formula>#REF!</formula>
    </cfRule>
    <cfRule type="cellIs" dxfId="22753" priority="187" operator="lessThan">
      <formula>#REF!</formula>
    </cfRule>
  </conditionalFormatting>
  <conditionalFormatting sqref="W113:W115">
    <cfRule type="expression" dxfId="22752" priority="184">
      <formula>AND($A97&lt;&gt;"",MOD(ROW(),2))</formula>
    </cfRule>
  </conditionalFormatting>
  <conditionalFormatting sqref="W113:W115">
    <cfRule type="cellIs" dxfId="22751" priority="181" operator="equal">
      <formula>#REF!</formula>
    </cfRule>
    <cfRule type="cellIs" dxfId="22750" priority="182" operator="greaterThan">
      <formula>#REF!</formula>
    </cfRule>
    <cfRule type="cellIs" dxfId="22749" priority="183" operator="lessThan">
      <formula>#REF!</formula>
    </cfRule>
  </conditionalFormatting>
  <conditionalFormatting sqref="W114:W116">
    <cfRule type="expression" dxfId="22748" priority="180">
      <formula>AND($A98&lt;&gt;"",MOD(ROW(),2))</formula>
    </cfRule>
  </conditionalFormatting>
  <conditionalFormatting sqref="W114:W116">
    <cfRule type="cellIs" dxfId="22747" priority="177" operator="equal">
      <formula>#REF!</formula>
    </cfRule>
    <cfRule type="cellIs" dxfId="22746" priority="178" operator="greaterThan">
      <formula>#REF!</formula>
    </cfRule>
    <cfRule type="cellIs" dxfId="22745" priority="179" operator="lessThan">
      <formula>#REF!</formula>
    </cfRule>
  </conditionalFormatting>
  <conditionalFormatting sqref="W114:W116">
    <cfRule type="expression" dxfId="22744" priority="176">
      <formula>AND($A98&lt;&gt;"",MOD(ROW(),2))</formula>
    </cfRule>
  </conditionalFormatting>
  <conditionalFormatting sqref="W114:W116">
    <cfRule type="cellIs" dxfId="22743" priority="173" operator="equal">
      <formula>#REF!</formula>
    </cfRule>
    <cfRule type="cellIs" dxfId="22742" priority="174" operator="greaterThan">
      <formula>#REF!</formula>
    </cfRule>
    <cfRule type="cellIs" dxfId="22741" priority="175" operator="lessThan">
      <formula>#REF!</formula>
    </cfRule>
  </conditionalFormatting>
  <conditionalFormatting sqref="W115:W117">
    <cfRule type="expression" dxfId="22740" priority="172">
      <formula>AND($A99&lt;&gt;"",MOD(ROW(),2))</formula>
    </cfRule>
  </conditionalFormatting>
  <conditionalFormatting sqref="W115:W117">
    <cfRule type="cellIs" dxfId="22739" priority="169" operator="equal">
      <formula>#REF!</formula>
    </cfRule>
    <cfRule type="cellIs" dxfId="22738" priority="170" operator="greaterThan">
      <formula>#REF!</formula>
    </cfRule>
    <cfRule type="cellIs" dxfId="22737" priority="171" operator="lessThan">
      <formula>#REF!</formula>
    </cfRule>
  </conditionalFormatting>
  <conditionalFormatting sqref="W115:W117">
    <cfRule type="expression" dxfId="22736" priority="168">
      <formula>AND($A99&lt;&gt;"",MOD(ROW(),2))</formula>
    </cfRule>
  </conditionalFormatting>
  <conditionalFormatting sqref="W115:W117">
    <cfRule type="cellIs" dxfId="22735" priority="165" operator="equal">
      <formula>#REF!</formula>
    </cfRule>
    <cfRule type="cellIs" dxfId="22734" priority="166" operator="greaterThan">
      <formula>#REF!</formula>
    </cfRule>
    <cfRule type="cellIs" dxfId="22733" priority="167" operator="lessThan">
      <formula>#REF!</formula>
    </cfRule>
  </conditionalFormatting>
  <conditionalFormatting sqref="W116:W118">
    <cfRule type="expression" dxfId="22732" priority="164">
      <formula>AND($A100&lt;&gt;"",MOD(ROW(),2))</formula>
    </cfRule>
  </conditionalFormatting>
  <conditionalFormatting sqref="W116:W118">
    <cfRule type="cellIs" dxfId="22731" priority="161" operator="equal">
      <formula>#REF!</formula>
    </cfRule>
    <cfRule type="cellIs" dxfId="22730" priority="162" operator="greaterThan">
      <formula>#REF!</formula>
    </cfRule>
    <cfRule type="cellIs" dxfId="22729" priority="163" operator="lessThan">
      <formula>#REF!</formula>
    </cfRule>
  </conditionalFormatting>
  <conditionalFormatting sqref="W116:W118">
    <cfRule type="expression" dxfId="22728" priority="160">
      <formula>AND($A100&lt;&gt;"",MOD(ROW(),2))</formula>
    </cfRule>
  </conditionalFormatting>
  <conditionalFormatting sqref="W116:W118">
    <cfRule type="cellIs" dxfId="22727" priority="157" operator="equal">
      <formula>#REF!</formula>
    </cfRule>
    <cfRule type="cellIs" dxfId="22726" priority="158" operator="greaterThan">
      <formula>#REF!</formula>
    </cfRule>
    <cfRule type="cellIs" dxfId="22725" priority="159" operator="lessThan">
      <formula>#REF!</formula>
    </cfRule>
  </conditionalFormatting>
  <conditionalFormatting sqref="W117:W119">
    <cfRule type="expression" dxfId="22724" priority="156">
      <formula>AND($A101&lt;&gt;"",MOD(ROW(),2))</formula>
    </cfRule>
  </conditionalFormatting>
  <conditionalFormatting sqref="W117:W119">
    <cfRule type="cellIs" dxfId="22723" priority="153" operator="equal">
      <formula>#REF!</formula>
    </cfRule>
    <cfRule type="cellIs" dxfId="22722" priority="154" operator="greaterThan">
      <formula>#REF!</formula>
    </cfRule>
    <cfRule type="cellIs" dxfId="22721" priority="155" operator="lessThan">
      <formula>#REF!</formula>
    </cfRule>
  </conditionalFormatting>
  <conditionalFormatting sqref="W117:W119">
    <cfRule type="expression" dxfId="22720" priority="152">
      <formula>AND($A101&lt;&gt;"",MOD(ROW(),2))</formula>
    </cfRule>
  </conditionalFormatting>
  <conditionalFormatting sqref="W117:W119">
    <cfRule type="cellIs" dxfId="22719" priority="149" operator="equal">
      <formula>#REF!</formula>
    </cfRule>
    <cfRule type="cellIs" dxfId="22718" priority="150" operator="greaterThan">
      <formula>#REF!</formula>
    </cfRule>
    <cfRule type="cellIs" dxfId="22717" priority="151" operator="lessThan">
      <formula>#REF!</formula>
    </cfRule>
  </conditionalFormatting>
  <conditionalFormatting sqref="W118:W120">
    <cfRule type="expression" dxfId="22716" priority="148">
      <formula>AND($A102&lt;&gt;"",MOD(ROW(),2))</formula>
    </cfRule>
  </conditionalFormatting>
  <conditionalFormatting sqref="W118:W120">
    <cfRule type="cellIs" dxfId="22715" priority="145" operator="equal">
      <formula>#REF!</formula>
    </cfRule>
    <cfRule type="cellIs" dxfId="22714" priority="146" operator="greaterThan">
      <formula>#REF!</formula>
    </cfRule>
    <cfRule type="cellIs" dxfId="22713" priority="147" operator="lessThan">
      <formula>#REF!</formula>
    </cfRule>
  </conditionalFormatting>
  <conditionalFormatting sqref="W118:W120">
    <cfRule type="expression" dxfId="22712" priority="144">
      <formula>AND($A102&lt;&gt;"",MOD(ROW(),2))</formula>
    </cfRule>
  </conditionalFormatting>
  <conditionalFormatting sqref="W118:W120">
    <cfRule type="cellIs" dxfId="22711" priority="141" operator="equal">
      <formula>#REF!</formula>
    </cfRule>
    <cfRule type="cellIs" dxfId="22710" priority="142" operator="greaterThan">
      <formula>#REF!</formula>
    </cfRule>
    <cfRule type="cellIs" dxfId="22709" priority="143" operator="lessThan">
      <formula>#REF!</formula>
    </cfRule>
  </conditionalFormatting>
  <conditionalFormatting sqref="W119:W121">
    <cfRule type="expression" dxfId="22708" priority="140">
      <formula>AND($A103&lt;&gt;"",MOD(ROW(),2))</formula>
    </cfRule>
  </conditionalFormatting>
  <conditionalFormatting sqref="W119:W121">
    <cfRule type="cellIs" dxfId="22707" priority="137" operator="equal">
      <formula>#REF!</formula>
    </cfRule>
    <cfRule type="cellIs" dxfId="22706" priority="138" operator="greaterThan">
      <formula>#REF!</formula>
    </cfRule>
    <cfRule type="cellIs" dxfId="22705" priority="139" operator="lessThan">
      <formula>#REF!</formula>
    </cfRule>
  </conditionalFormatting>
  <conditionalFormatting sqref="W119:W121">
    <cfRule type="expression" dxfId="22704" priority="136">
      <formula>AND($A103&lt;&gt;"",MOD(ROW(),2))</formula>
    </cfRule>
  </conditionalFormatting>
  <conditionalFormatting sqref="W119:W121">
    <cfRule type="cellIs" dxfId="22703" priority="133" operator="equal">
      <formula>#REF!</formula>
    </cfRule>
    <cfRule type="cellIs" dxfId="22702" priority="134" operator="greaterThan">
      <formula>#REF!</formula>
    </cfRule>
    <cfRule type="cellIs" dxfId="22701" priority="135" operator="lessThan">
      <formula>#REF!</formula>
    </cfRule>
  </conditionalFormatting>
  <conditionalFormatting sqref="W120:W122">
    <cfRule type="expression" dxfId="22700" priority="132">
      <formula>AND($A104&lt;&gt;"",MOD(ROW(),2))</formula>
    </cfRule>
  </conditionalFormatting>
  <conditionalFormatting sqref="W120:W122">
    <cfRule type="cellIs" dxfId="22699" priority="129" operator="equal">
      <formula>#REF!</formula>
    </cfRule>
    <cfRule type="cellIs" dxfId="22698" priority="130" operator="greaterThan">
      <formula>#REF!</formula>
    </cfRule>
    <cfRule type="cellIs" dxfId="22697" priority="131" operator="lessThan">
      <formula>#REF!</formula>
    </cfRule>
  </conditionalFormatting>
  <conditionalFormatting sqref="W120:W122">
    <cfRule type="expression" dxfId="22696" priority="128">
      <formula>AND($A104&lt;&gt;"",MOD(ROW(),2))</formula>
    </cfRule>
  </conditionalFormatting>
  <conditionalFormatting sqref="W120:W122">
    <cfRule type="cellIs" dxfId="22695" priority="125" operator="equal">
      <formula>#REF!</formula>
    </cfRule>
    <cfRule type="cellIs" dxfId="22694" priority="126" operator="greaterThan">
      <formula>#REF!</formula>
    </cfRule>
    <cfRule type="cellIs" dxfId="22693" priority="127" operator="lessThan">
      <formula>#REF!</formula>
    </cfRule>
  </conditionalFormatting>
  <conditionalFormatting sqref="W121:W123">
    <cfRule type="expression" dxfId="22692" priority="124">
      <formula>AND($A105&lt;&gt;"",MOD(ROW(),2))</formula>
    </cfRule>
  </conditionalFormatting>
  <conditionalFormatting sqref="W121:W123">
    <cfRule type="cellIs" dxfId="22691" priority="121" operator="equal">
      <formula>#REF!</formula>
    </cfRule>
    <cfRule type="cellIs" dxfId="22690" priority="122" operator="greaterThan">
      <formula>#REF!</formula>
    </cfRule>
    <cfRule type="cellIs" dxfId="22689" priority="123" operator="lessThan">
      <formula>#REF!</formula>
    </cfRule>
  </conditionalFormatting>
  <conditionalFormatting sqref="W121:W123">
    <cfRule type="expression" dxfId="22688" priority="120">
      <formula>AND($A105&lt;&gt;"",MOD(ROW(),2))</formula>
    </cfRule>
  </conditionalFormatting>
  <conditionalFormatting sqref="W121:W123">
    <cfRule type="cellIs" dxfId="22687" priority="117" operator="equal">
      <formula>#REF!</formula>
    </cfRule>
    <cfRule type="cellIs" dxfId="22686" priority="118" operator="greaterThan">
      <formula>#REF!</formula>
    </cfRule>
    <cfRule type="cellIs" dxfId="22685" priority="119" operator="lessThan">
      <formula>#REF!</formula>
    </cfRule>
  </conditionalFormatting>
  <conditionalFormatting sqref="W122:W124">
    <cfRule type="expression" dxfId="22684" priority="116">
      <formula>AND($A106&lt;&gt;"",MOD(ROW(),2))</formula>
    </cfRule>
  </conditionalFormatting>
  <conditionalFormatting sqref="W122:W124">
    <cfRule type="cellIs" dxfId="22683" priority="113" operator="equal">
      <formula>#REF!</formula>
    </cfRule>
    <cfRule type="cellIs" dxfId="22682" priority="114" operator="greaterThan">
      <formula>#REF!</formula>
    </cfRule>
    <cfRule type="cellIs" dxfId="22681" priority="115" operator="lessThan">
      <formula>#REF!</formula>
    </cfRule>
  </conditionalFormatting>
  <conditionalFormatting sqref="W122:W124">
    <cfRule type="expression" dxfId="22680" priority="112">
      <formula>AND($A106&lt;&gt;"",MOD(ROW(),2))</formula>
    </cfRule>
  </conditionalFormatting>
  <conditionalFormatting sqref="W122:W124">
    <cfRule type="cellIs" dxfId="22679" priority="109" operator="equal">
      <formula>#REF!</formula>
    </cfRule>
    <cfRule type="cellIs" dxfId="22678" priority="110" operator="greaterThan">
      <formula>#REF!</formula>
    </cfRule>
    <cfRule type="cellIs" dxfId="22677" priority="111" operator="lessThan">
      <formula>#REF!</formula>
    </cfRule>
  </conditionalFormatting>
  <conditionalFormatting sqref="W122:W124">
    <cfRule type="expression" dxfId="22676" priority="100">
      <formula>AND($A106&lt;&gt;"",MOD(ROW(),2))</formula>
    </cfRule>
  </conditionalFormatting>
  <conditionalFormatting sqref="W122:W124">
    <cfRule type="cellIs" dxfId="22675" priority="97" operator="equal">
      <formula>#REF!</formula>
    </cfRule>
    <cfRule type="cellIs" dxfId="22674" priority="98" operator="greaterThan">
      <formula>#REF!</formula>
    </cfRule>
    <cfRule type="cellIs" dxfId="22673" priority="99" operator="lessThan">
      <formula>#REF!</formula>
    </cfRule>
  </conditionalFormatting>
  <conditionalFormatting sqref="W122:W124">
    <cfRule type="expression" dxfId="22672" priority="96">
      <formula>AND($A106&lt;&gt;"",MOD(ROW(),2))</formula>
    </cfRule>
  </conditionalFormatting>
  <conditionalFormatting sqref="W122:W124">
    <cfRule type="cellIs" dxfId="22671" priority="93" operator="equal">
      <formula>#REF!</formula>
    </cfRule>
    <cfRule type="cellIs" dxfId="22670" priority="94" operator="greaterThan">
      <formula>#REF!</formula>
    </cfRule>
    <cfRule type="cellIs" dxfId="22669" priority="95" operator="lessThan">
      <formula>#REF!</formula>
    </cfRule>
  </conditionalFormatting>
  <conditionalFormatting sqref="W123:W125">
    <cfRule type="expression" dxfId="22668" priority="92">
      <formula>AND($A107&lt;&gt;"",MOD(ROW(),2))</formula>
    </cfRule>
  </conditionalFormatting>
  <conditionalFormatting sqref="W123:W125">
    <cfRule type="cellIs" dxfId="22667" priority="89" operator="equal">
      <formula>#REF!</formula>
    </cfRule>
    <cfRule type="cellIs" dxfId="22666" priority="90" operator="greaterThan">
      <formula>#REF!</formula>
    </cfRule>
    <cfRule type="cellIs" dxfId="22665" priority="91" operator="lessThan">
      <formula>#REF!</formula>
    </cfRule>
  </conditionalFormatting>
  <conditionalFormatting sqref="W123:W125">
    <cfRule type="expression" dxfId="22664" priority="88">
      <formula>AND($A107&lt;&gt;"",MOD(ROW(),2))</formula>
    </cfRule>
  </conditionalFormatting>
  <conditionalFormatting sqref="W123:W125">
    <cfRule type="cellIs" dxfId="22663" priority="85" operator="equal">
      <formula>#REF!</formula>
    </cfRule>
    <cfRule type="cellIs" dxfId="22662" priority="86" operator="greaterThan">
      <formula>#REF!</formula>
    </cfRule>
    <cfRule type="cellIs" dxfId="22661" priority="87" operator="lessThan">
      <formula>#REF!</formula>
    </cfRule>
  </conditionalFormatting>
  <conditionalFormatting sqref="W124:W126">
    <cfRule type="expression" dxfId="22660" priority="84">
      <formula>AND($A108&lt;&gt;"",MOD(ROW(),2))</formula>
    </cfRule>
  </conditionalFormatting>
  <conditionalFormatting sqref="W124:W126">
    <cfRule type="cellIs" dxfId="22659" priority="81" operator="equal">
      <formula>#REF!</formula>
    </cfRule>
    <cfRule type="cellIs" dxfId="22658" priority="82" operator="greaterThan">
      <formula>#REF!</formula>
    </cfRule>
    <cfRule type="cellIs" dxfId="22657" priority="83" operator="lessThan">
      <formula>#REF!</formula>
    </cfRule>
  </conditionalFormatting>
  <conditionalFormatting sqref="W124:W126">
    <cfRule type="expression" dxfId="22656" priority="80">
      <formula>AND($A108&lt;&gt;"",MOD(ROW(),2))</formula>
    </cfRule>
  </conditionalFormatting>
  <conditionalFormatting sqref="W124:W126">
    <cfRule type="cellIs" dxfId="22655" priority="77" operator="equal">
      <formula>#REF!</formula>
    </cfRule>
    <cfRule type="cellIs" dxfId="22654" priority="78" operator="greaterThan">
      <formula>#REF!</formula>
    </cfRule>
    <cfRule type="cellIs" dxfId="22653" priority="79" operator="lessThan">
      <formula>#REF!</formula>
    </cfRule>
  </conditionalFormatting>
  <conditionalFormatting sqref="W125:W127">
    <cfRule type="expression" dxfId="22652" priority="76">
      <formula>AND($A109&lt;&gt;"",MOD(ROW(),2))</formula>
    </cfRule>
  </conditionalFormatting>
  <conditionalFormatting sqref="W125:W127">
    <cfRule type="cellIs" dxfId="22651" priority="73" operator="equal">
      <formula>#REF!</formula>
    </cfRule>
    <cfRule type="cellIs" dxfId="22650" priority="74" operator="greaterThan">
      <formula>#REF!</formula>
    </cfRule>
    <cfRule type="cellIs" dxfId="22649" priority="75" operator="lessThan">
      <formula>#REF!</formula>
    </cfRule>
  </conditionalFormatting>
  <conditionalFormatting sqref="W125:W127">
    <cfRule type="expression" dxfId="22648" priority="72">
      <formula>AND($A109&lt;&gt;"",MOD(ROW(),2))</formula>
    </cfRule>
  </conditionalFormatting>
  <conditionalFormatting sqref="W125:W127">
    <cfRule type="cellIs" dxfId="22647" priority="69" operator="equal">
      <formula>#REF!</formula>
    </cfRule>
    <cfRule type="cellIs" dxfId="22646" priority="70" operator="greaterThan">
      <formula>#REF!</formula>
    </cfRule>
    <cfRule type="cellIs" dxfId="22645" priority="71" operator="lessThan">
      <formula>#REF!</formula>
    </cfRule>
  </conditionalFormatting>
  <conditionalFormatting sqref="W126:W128">
    <cfRule type="expression" dxfId="22644" priority="68">
      <formula>AND($A110&lt;&gt;"",MOD(ROW(),2))</formula>
    </cfRule>
  </conditionalFormatting>
  <conditionalFormatting sqref="W126:W128">
    <cfRule type="cellIs" dxfId="22643" priority="65" operator="equal">
      <formula>#REF!</formula>
    </cfRule>
    <cfRule type="cellIs" dxfId="22642" priority="66" operator="greaterThan">
      <formula>#REF!</formula>
    </cfRule>
    <cfRule type="cellIs" dxfId="22641" priority="67" operator="lessThan">
      <formula>#REF!</formula>
    </cfRule>
  </conditionalFormatting>
  <conditionalFormatting sqref="W126:W128">
    <cfRule type="expression" dxfId="22640" priority="64">
      <formula>AND($A110&lt;&gt;"",MOD(ROW(),2))</formula>
    </cfRule>
  </conditionalFormatting>
  <conditionalFormatting sqref="W126:W128">
    <cfRule type="cellIs" dxfId="22639" priority="61" operator="equal">
      <formula>#REF!</formula>
    </cfRule>
    <cfRule type="cellIs" dxfId="22638" priority="62" operator="greaterThan">
      <formula>#REF!</formula>
    </cfRule>
    <cfRule type="cellIs" dxfId="22637" priority="63" operator="lessThan">
      <formula>#REF!</formula>
    </cfRule>
  </conditionalFormatting>
  <conditionalFormatting sqref="W127:W129">
    <cfRule type="expression" dxfId="22636" priority="60">
      <formula>AND($A111&lt;&gt;"",MOD(ROW(),2))</formula>
    </cfRule>
  </conditionalFormatting>
  <conditionalFormatting sqref="W127:W129">
    <cfRule type="cellIs" dxfId="22635" priority="57" operator="equal">
      <formula>#REF!</formula>
    </cfRule>
    <cfRule type="cellIs" dxfId="22634" priority="58" operator="greaterThan">
      <formula>#REF!</formula>
    </cfRule>
    <cfRule type="cellIs" dxfId="22633" priority="59" operator="lessThan">
      <formula>#REF!</formula>
    </cfRule>
  </conditionalFormatting>
  <conditionalFormatting sqref="W127:W129">
    <cfRule type="expression" dxfId="22632" priority="56">
      <formula>AND($A111&lt;&gt;"",MOD(ROW(),2))</formula>
    </cfRule>
  </conditionalFormatting>
  <conditionalFormatting sqref="W127:W129">
    <cfRule type="cellIs" dxfId="22631" priority="53" operator="equal">
      <formula>#REF!</formula>
    </cfRule>
    <cfRule type="cellIs" dxfId="22630" priority="54" operator="greaterThan">
      <formula>#REF!</formula>
    </cfRule>
    <cfRule type="cellIs" dxfId="22629" priority="55" operator="lessThan">
      <formula>#REF!</formula>
    </cfRule>
  </conditionalFormatting>
  <conditionalFormatting sqref="W128:W131">
    <cfRule type="expression" dxfId="22628" priority="44">
      <formula>AND($A112&lt;&gt;"",MOD(ROW(),2))</formula>
    </cfRule>
  </conditionalFormatting>
  <conditionalFormatting sqref="W128:W131">
    <cfRule type="cellIs" dxfId="22627" priority="41" operator="equal">
      <formula>#REF!</formula>
    </cfRule>
    <cfRule type="cellIs" dxfId="22626" priority="42" operator="greaterThan">
      <formula>#REF!</formula>
    </cfRule>
    <cfRule type="cellIs" dxfId="22625" priority="43" operator="lessThan">
      <formula>#REF!</formula>
    </cfRule>
  </conditionalFormatting>
  <conditionalFormatting sqref="W128:W131">
    <cfRule type="expression" dxfId="22624" priority="40">
      <formula>AND($A112&lt;&gt;"",MOD(ROW(),2))</formula>
    </cfRule>
  </conditionalFormatting>
  <conditionalFormatting sqref="W128:W131">
    <cfRule type="cellIs" dxfId="22623" priority="37" operator="equal">
      <formula>#REF!</formula>
    </cfRule>
    <cfRule type="cellIs" dxfId="22622" priority="38" operator="greaterThan">
      <formula>#REF!</formula>
    </cfRule>
    <cfRule type="cellIs" dxfId="22621" priority="39" operator="lessThan">
      <formula>#REF!</formula>
    </cfRule>
  </conditionalFormatting>
  <conditionalFormatting sqref="W130:W132">
    <cfRule type="expression" dxfId="22620" priority="36">
      <formula>AND($A114&lt;&gt;"",MOD(ROW(),2))</formula>
    </cfRule>
  </conditionalFormatting>
  <conditionalFormatting sqref="W130:W132">
    <cfRule type="cellIs" dxfId="22619" priority="33" operator="equal">
      <formula>#REF!</formula>
    </cfRule>
    <cfRule type="cellIs" dxfId="22618" priority="34" operator="greaterThan">
      <formula>#REF!</formula>
    </cfRule>
    <cfRule type="cellIs" dxfId="22617" priority="35" operator="lessThan">
      <formula>#REF!</formula>
    </cfRule>
  </conditionalFormatting>
  <conditionalFormatting sqref="W130:W132">
    <cfRule type="expression" dxfId="22616" priority="32">
      <formula>AND($A114&lt;&gt;"",MOD(ROW(),2))</formula>
    </cfRule>
  </conditionalFormatting>
  <conditionalFormatting sqref="W130:W132">
    <cfRule type="cellIs" dxfId="22615" priority="29" operator="equal">
      <formula>#REF!</formula>
    </cfRule>
    <cfRule type="cellIs" dxfId="22614" priority="30" operator="greaterThan">
      <formula>#REF!</formula>
    </cfRule>
    <cfRule type="cellIs" dxfId="22613" priority="31" operator="lessThan">
      <formula>#REF!</formula>
    </cfRule>
  </conditionalFormatting>
  <conditionalFormatting sqref="W131:W133">
    <cfRule type="expression" dxfId="22612" priority="28">
      <formula>AND($A115&lt;&gt;"",MOD(ROW(),2))</formula>
    </cfRule>
  </conditionalFormatting>
  <conditionalFormatting sqref="W131:W133">
    <cfRule type="cellIs" dxfId="22611" priority="25" operator="equal">
      <formula>#REF!</formula>
    </cfRule>
    <cfRule type="cellIs" dxfId="22610" priority="26" operator="greaterThan">
      <formula>#REF!</formula>
    </cfRule>
    <cfRule type="cellIs" dxfId="22609" priority="27" operator="lessThan">
      <formula>#REF!</formula>
    </cfRule>
  </conditionalFormatting>
  <conditionalFormatting sqref="W131:W133">
    <cfRule type="expression" dxfId="22608" priority="24">
      <formula>AND($A115&lt;&gt;"",MOD(ROW(),2))</formula>
    </cfRule>
  </conditionalFormatting>
  <conditionalFormatting sqref="W131:W133">
    <cfRule type="cellIs" dxfId="22607" priority="21" operator="equal">
      <formula>#REF!</formula>
    </cfRule>
    <cfRule type="cellIs" dxfId="22606" priority="22" operator="greaterThan">
      <formula>#REF!</formula>
    </cfRule>
    <cfRule type="cellIs" dxfId="22605" priority="23" operator="lessThan">
      <formula>#REF!</formula>
    </cfRule>
  </conditionalFormatting>
  <conditionalFormatting sqref="W132:W136 W138:W139">
    <cfRule type="expression" dxfId="22604" priority="20">
      <formula>AND($A116&lt;&gt;"",MOD(ROW(),2))</formula>
    </cfRule>
  </conditionalFormatting>
  <conditionalFormatting sqref="W132:W136 W138:W139">
    <cfRule type="cellIs" dxfId="22603" priority="17" operator="equal">
      <formula>#REF!</formula>
    </cfRule>
    <cfRule type="cellIs" dxfId="22602" priority="18" operator="greaterThan">
      <formula>#REF!</formula>
    </cfRule>
    <cfRule type="cellIs" dxfId="22601" priority="19" operator="lessThan">
      <formula>#REF!</formula>
    </cfRule>
  </conditionalFormatting>
  <conditionalFormatting sqref="W132:W136 W138:W139">
    <cfRule type="expression" dxfId="22600" priority="16">
      <formula>AND($A116&lt;&gt;"",MOD(ROW(),2))</formula>
    </cfRule>
  </conditionalFormatting>
  <conditionalFormatting sqref="W132:W136 W138:W139">
    <cfRule type="cellIs" dxfId="22599" priority="13" operator="equal">
      <formula>#REF!</formula>
    </cfRule>
    <cfRule type="cellIs" dxfId="22598" priority="14" operator="greaterThan">
      <formula>#REF!</formula>
    </cfRule>
    <cfRule type="cellIs" dxfId="22597" priority="15" operator="lessThan">
      <formula>#REF!</formula>
    </cfRule>
  </conditionalFormatting>
  <conditionalFormatting sqref="W135:W140">
    <cfRule type="cellIs" dxfId="22596" priority="2" operator="equal">
      <formula>#REF!</formula>
    </cfRule>
    <cfRule type="cellIs" dxfId="22595" priority="3" operator="greaterThan">
      <formula>#REF!</formula>
    </cfRule>
    <cfRule type="cellIs" dxfId="22594" priority="4" operator="lessThan">
      <formula>#REF!</formula>
    </cfRule>
  </conditionalFormatting>
  <conditionalFormatting sqref="W135:W140">
    <cfRule type="expression" dxfId="22593" priority="1">
      <formula>AND($A119&lt;&gt;"",MOD(ROW(),2))</formula>
    </cfRule>
  </conditionalFormatting>
  <pageMargins left="0.75" right="0.75" top="1" bottom="1" header="0.5" footer="0.5"/>
  <pageSetup paperSize="9" orientation="landscape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="Payment Method" xr:uid="{00000000-0002-0000-0100-000000000000}">
          <x14:formula1>
            <xm:f>PullDownValues!$B$2:$B$12</xm:f>
          </x14:formula1>
          <xm:sqref>F8:F371 F373:F531</xm:sqref>
        </x14:dataValidation>
        <x14:dataValidation type="list" allowBlank="1" showInputMessage="1" showErrorMessage="1" xr:uid="{00000000-0002-0000-0100-000001000000}">
          <x14:formula1>
            <xm:f>PullDownValues!$F$2:$F$14</xm:f>
          </x14:formula1>
          <xm:sqref>M7:M123 M127:M372 M374:M456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R354"/>
  <sheetViews>
    <sheetView topLeftCell="F1" zoomScaleNormal="100" workbookViewId="0">
      <pane ySplit="5" topLeftCell="A7" activePane="bottomLeft" state="frozen"/>
      <selection pane="bottomLeft" activeCell="I17" sqref="I17"/>
    </sheetView>
  </sheetViews>
  <sheetFormatPr defaultColWidth="8.85546875" defaultRowHeight="15" customHeight="1" x14ac:dyDescent="0.25"/>
  <cols>
    <col min="1" max="1" width="3.28515625" style="10" bestFit="1" customWidth="1"/>
    <col min="2" max="3" width="12.5703125" bestFit="1" customWidth="1"/>
    <col min="4" max="4" width="12.85546875" bestFit="1" customWidth="1"/>
    <col min="5" max="5" width="15.28515625" bestFit="1" customWidth="1"/>
    <col min="6" max="6" width="15.28515625" customWidth="1"/>
    <col min="7" max="7" width="9.42578125" style="31" bestFit="1" customWidth="1"/>
    <col min="8" max="8" width="11.5703125" bestFit="1" customWidth="1"/>
    <col min="9" max="9" width="12.7109375" bestFit="1" customWidth="1"/>
    <col min="10" max="10" width="15.140625" bestFit="1" customWidth="1"/>
    <col min="11" max="11" width="10.5703125" bestFit="1" customWidth="1"/>
    <col min="12" max="12" width="12.5703125" bestFit="1" customWidth="1"/>
    <col min="13" max="13" width="10.7109375" bestFit="1" customWidth="1"/>
    <col min="14" max="14" width="12.7109375" bestFit="1" customWidth="1"/>
    <col min="16" max="16" width="10.5703125" bestFit="1" customWidth="1"/>
  </cols>
  <sheetData>
    <row r="1" spans="1:18" ht="35.1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338">
        <f>SUM(P6:P90)-O4</f>
        <v>0</v>
      </c>
      <c r="P1" s="255"/>
      <c r="Q1" s="114"/>
      <c r="R1" s="114"/>
    </row>
    <row r="2" spans="1:18" s="9" customFormat="1" ht="15.95" customHeight="1" x14ac:dyDescent="0.25">
      <c r="A2" s="283" t="s">
        <v>4</v>
      </c>
      <c r="B2" s="283"/>
      <c r="C2" s="283"/>
      <c r="D2" s="283"/>
      <c r="E2" s="283"/>
      <c r="F2" s="283"/>
      <c r="G2" s="285">
        <f>SUM($D$6:$D$2990)-SUMIF($F$7:$F$290,"Bond Received",$D$7:$D$2990)-SUMIF($F$7:$F$290,"Unpaid Rent",$D$7:$D$2990)-(SUMIF($F$7:$F$290,"Discount Rent",$D$7:$D$2990)*2)</f>
        <v>28150</v>
      </c>
      <c r="H2" s="285"/>
      <c r="I2" s="285"/>
      <c r="J2" s="260" t="s">
        <v>5</v>
      </c>
      <c r="K2" s="260"/>
      <c r="L2" s="260"/>
      <c r="M2" s="262">
        <f>SUM($K$6:$K$2989)-SUMIF($L$6:$L$2989,"Bond Return",$K$6:$K$2989)</f>
        <v>5998.3600000000006</v>
      </c>
      <c r="N2" s="263"/>
      <c r="O2" s="265"/>
      <c r="P2" s="265"/>
      <c r="Q2" s="35"/>
    </row>
    <row r="3" spans="1:18" s="9" customFormat="1" ht="15.95" customHeight="1" x14ac:dyDescent="0.25">
      <c r="A3" s="284"/>
      <c r="B3" s="284"/>
      <c r="C3" s="284"/>
      <c r="D3" s="284"/>
      <c r="E3" s="284"/>
      <c r="F3" s="284"/>
      <c r="G3" s="286"/>
      <c r="H3" s="286"/>
      <c r="I3" s="286"/>
      <c r="J3" s="261"/>
      <c r="K3" s="261"/>
      <c r="L3" s="261"/>
      <c r="M3" s="264"/>
      <c r="N3" s="264"/>
      <c r="O3" s="266"/>
      <c r="P3" s="266"/>
    </row>
    <row r="4" spans="1:18" s="9" customFormat="1" ht="15.95" customHeight="1" x14ac:dyDescent="0.25">
      <c r="A4" s="244" t="s">
        <v>6</v>
      </c>
      <c r="B4" s="244" t="s">
        <v>7</v>
      </c>
      <c r="C4" s="267" t="s">
        <v>8</v>
      </c>
      <c r="D4" s="269" t="s">
        <v>9</v>
      </c>
      <c r="E4" s="269" t="s">
        <v>10</v>
      </c>
      <c r="F4" s="252" t="s">
        <v>112</v>
      </c>
      <c r="G4" s="276" t="s">
        <v>11</v>
      </c>
      <c r="H4" s="244" t="s">
        <v>12</v>
      </c>
      <c r="I4" s="322" t="s">
        <v>113</v>
      </c>
      <c r="J4" s="246" t="s">
        <v>13</v>
      </c>
      <c r="K4" s="246" t="s">
        <v>14</v>
      </c>
      <c r="L4" s="248" t="s">
        <v>15</v>
      </c>
      <c r="M4" s="249"/>
      <c r="N4" s="271" t="s">
        <v>113</v>
      </c>
      <c r="O4" s="273">
        <f>G2-M2</f>
        <v>22151.64</v>
      </c>
      <c r="P4" s="274">
        <f>SUM(P2:P3)</f>
        <v>0</v>
      </c>
      <c r="Q4" s="63">
        <f>SUM(Q2:Q3)</f>
        <v>0</v>
      </c>
    </row>
    <row r="5" spans="1:18" s="10" customFormat="1" x14ac:dyDescent="0.25">
      <c r="A5" s="245"/>
      <c r="B5" s="245"/>
      <c r="C5" s="268"/>
      <c r="D5" s="270"/>
      <c r="E5" s="270"/>
      <c r="F5" s="253"/>
      <c r="G5" s="277"/>
      <c r="H5" s="245"/>
      <c r="I5" s="323"/>
      <c r="J5" s="247"/>
      <c r="K5" s="247"/>
      <c r="L5" s="250"/>
      <c r="M5" s="251"/>
      <c r="N5" s="272"/>
      <c r="O5" s="275"/>
      <c r="P5" s="275"/>
      <c r="Q5" s="18"/>
      <c r="R5" s="64"/>
    </row>
    <row r="6" spans="1:18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1"/>
      <c r="K6" s="42"/>
      <c r="L6" s="43" t="s">
        <v>123</v>
      </c>
      <c r="M6" s="43"/>
      <c r="N6" s="43"/>
      <c r="O6"/>
    </row>
    <row r="7" spans="1:18" ht="15" customHeight="1" x14ac:dyDescent="0.25">
      <c r="A7" s="10">
        <v>1</v>
      </c>
      <c r="B7" s="48">
        <v>44183</v>
      </c>
      <c r="C7" s="17">
        <v>350</v>
      </c>
      <c r="D7" s="17">
        <v>350</v>
      </c>
      <c r="E7" s="16">
        <v>44183</v>
      </c>
      <c r="F7" t="s">
        <v>181</v>
      </c>
      <c r="H7" s="17">
        <f>IFERROR(IF(F6="Closed account",(IF(F7="Unpaid Rent",(C7),(C7-D7))),(IF(F7="Unpaid Rent",(C7+H6),(C7-D7+H6)))),"")</f>
        <v>0</v>
      </c>
      <c r="I7" s="17" t="s">
        <v>475</v>
      </c>
      <c r="J7" s="48">
        <v>44181</v>
      </c>
      <c r="K7" s="17">
        <v>66</v>
      </c>
      <c r="L7" s="49" t="s">
        <v>98</v>
      </c>
      <c r="N7" t="s">
        <v>14</v>
      </c>
      <c r="O7" t="s">
        <v>14</v>
      </c>
      <c r="P7" s="111">
        <f>SUMIF($I$6:$I$2992,O7,$D$6:$D$2992)-SUMIFS($D$6:$D$2992,$I$6:$I$2992,O7,$F$6:$F$2992,"Unpaid Rent")-(SUMIFS($D$6:$D$2992,$I$6:$I$2992,O7,$F$6:$F$2992,"Discount Rent")*2)-(SUMIFS($D$6:$D$2992,$I$6:$I$2992,O7,$F$6:$F$2992,"Bond Received"))-SUMIF($N$6:$N$2989,O7,$K$6:$K$2989)+SUMIFS($K$6:$K$2989,$N$6:$N$2989,O7,$L$6:$L$2989,"Bond Return")</f>
        <v>-3690.1699999999996</v>
      </c>
    </row>
    <row r="8" spans="1:18" ht="15" customHeight="1" x14ac:dyDescent="0.25">
      <c r="A8" s="10">
        <v>1</v>
      </c>
      <c r="B8" s="48">
        <v>44184</v>
      </c>
      <c r="C8" s="17">
        <v>250</v>
      </c>
      <c r="D8" s="17">
        <v>250</v>
      </c>
      <c r="E8" s="16">
        <v>44184</v>
      </c>
      <c r="F8" t="s">
        <v>117</v>
      </c>
      <c r="H8" s="17">
        <f t="shared" ref="H8:H58" si="0">IFERROR(IF(F7="Closed account",(IF(F8="Unpaid Rent",(C8),(C8-D8))),(IF(F8="Unpaid Rent",(C8+H7),(C8-D8+H7)))),"")</f>
        <v>0</v>
      </c>
      <c r="I8" s="17" t="s">
        <v>475</v>
      </c>
      <c r="J8" s="48">
        <v>44187</v>
      </c>
      <c r="K8" s="17">
        <v>55.1</v>
      </c>
      <c r="L8" s="49" t="s">
        <v>54</v>
      </c>
      <c r="N8" t="s">
        <v>14</v>
      </c>
      <c r="O8" t="s">
        <v>475</v>
      </c>
      <c r="P8" s="111">
        <f t="shared" ref="P8:P48" si="1">SUMIF($I$6:$I$2992,O8,$D$6:$D$2992)-SUMIFS($D$6:$D$2992,$I$6:$I$2992,O8,$F$6:$F$2992,"Unpaid Rent")-(SUMIFS($D$6:$D$2992,$I$6:$I$2992,O8,$F$6:$F$2992,"Discount Rent")*2)-(SUMIFS($D$6:$D$2992,$I$6:$I$2992,O8,$F$6:$F$2992,"Bond Received"))-SUMIF($N$6:$N$2989,O8,$K$6:$K$2989)+SUMIFS($K$6:$K$2989,$N$6:$N$2989,O8,$L$6:$L$2989,"Bond Return")</f>
        <v>4485.9799999999996</v>
      </c>
    </row>
    <row r="9" spans="1:18" ht="15" customHeight="1" x14ac:dyDescent="0.25">
      <c r="A9" s="10">
        <v>2</v>
      </c>
      <c r="B9" s="48">
        <f t="shared" ref="B9:B14" si="2">B8+7</f>
        <v>44191</v>
      </c>
      <c r="C9" s="17">
        <v>250</v>
      </c>
      <c r="D9" s="17">
        <v>250</v>
      </c>
      <c r="E9" s="16">
        <v>44190</v>
      </c>
      <c r="F9" t="s">
        <v>117</v>
      </c>
      <c r="H9" s="17">
        <f t="shared" si="0"/>
        <v>0</v>
      </c>
      <c r="I9" s="17" t="s">
        <v>475</v>
      </c>
      <c r="J9" s="48">
        <v>44187</v>
      </c>
      <c r="K9" s="17">
        <v>105</v>
      </c>
      <c r="L9" s="49" t="s">
        <v>16</v>
      </c>
      <c r="N9" t="s">
        <v>475</v>
      </c>
      <c r="O9" t="s">
        <v>585</v>
      </c>
      <c r="P9" s="111">
        <f t="shared" si="1"/>
        <v>1823.57</v>
      </c>
    </row>
    <row r="10" spans="1:18" ht="15" customHeight="1" x14ac:dyDescent="0.25">
      <c r="A10" s="10">
        <v>3</v>
      </c>
      <c r="B10" s="48">
        <f t="shared" si="2"/>
        <v>44198</v>
      </c>
      <c r="C10" s="17">
        <v>250</v>
      </c>
      <c r="D10" s="17">
        <v>250</v>
      </c>
      <c r="E10" s="16">
        <v>43831</v>
      </c>
      <c r="F10" t="s">
        <v>117</v>
      </c>
      <c r="H10" s="17">
        <f t="shared" si="0"/>
        <v>0</v>
      </c>
      <c r="I10" s="17" t="s">
        <v>475</v>
      </c>
      <c r="J10" s="48">
        <v>44187</v>
      </c>
      <c r="K10" s="17">
        <v>37.53</v>
      </c>
      <c r="L10" s="49" t="s">
        <v>32</v>
      </c>
      <c r="N10" t="s">
        <v>475</v>
      </c>
      <c r="O10" t="s">
        <v>418</v>
      </c>
      <c r="P10" s="111">
        <f t="shared" si="1"/>
        <v>196.26</v>
      </c>
    </row>
    <row r="11" spans="1:18" ht="15" customHeight="1" x14ac:dyDescent="0.25">
      <c r="A11" s="10">
        <v>4</v>
      </c>
      <c r="B11" s="48">
        <f t="shared" si="2"/>
        <v>44205</v>
      </c>
      <c r="C11" s="17">
        <v>250</v>
      </c>
      <c r="D11" s="17">
        <v>250</v>
      </c>
      <c r="E11" s="16">
        <v>44205</v>
      </c>
      <c r="F11" t="s">
        <v>117</v>
      </c>
      <c r="H11" s="17">
        <f t="shared" si="0"/>
        <v>0</v>
      </c>
      <c r="I11" s="17" t="s">
        <v>475</v>
      </c>
      <c r="J11" s="48">
        <v>44236</v>
      </c>
      <c r="K11" s="17">
        <v>41.21</v>
      </c>
      <c r="L11" s="49" t="s">
        <v>45</v>
      </c>
      <c r="M11" t="s">
        <v>453</v>
      </c>
      <c r="N11" t="s">
        <v>475</v>
      </c>
      <c r="O11" t="s">
        <v>465</v>
      </c>
      <c r="P11" s="111">
        <f t="shared" si="1"/>
        <v>0</v>
      </c>
    </row>
    <row r="12" spans="1:18" ht="15" customHeight="1" x14ac:dyDescent="0.25">
      <c r="A12" s="10">
        <v>5</v>
      </c>
      <c r="B12" s="48">
        <f t="shared" si="2"/>
        <v>44212</v>
      </c>
      <c r="C12" s="17">
        <v>250</v>
      </c>
      <c r="D12" s="17">
        <v>250</v>
      </c>
      <c r="E12" s="16">
        <v>44211</v>
      </c>
      <c r="F12" t="s">
        <v>117</v>
      </c>
      <c r="H12" s="17">
        <f t="shared" si="0"/>
        <v>0</v>
      </c>
      <c r="I12" s="17" t="s">
        <v>475</v>
      </c>
      <c r="J12" s="48">
        <v>44249</v>
      </c>
      <c r="K12" s="17">
        <v>55</v>
      </c>
      <c r="L12" s="49" t="s">
        <v>26</v>
      </c>
      <c r="N12" t="s">
        <v>475</v>
      </c>
      <c r="O12" t="s">
        <v>800</v>
      </c>
      <c r="P12" s="111">
        <f t="shared" si="1"/>
        <v>7175</v>
      </c>
    </row>
    <row r="13" spans="1:18" ht="15" customHeight="1" x14ac:dyDescent="0.25">
      <c r="A13" s="10">
        <v>6</v>
      </c>
      <c r="B13" s="48">
        <f t="shared" si="2"/>
        <v>44219</v>
      </c>
      <c r="C13" s="17">
        <v>250</v>
      </c>
      <c r="D13" s="17">
        <v>250</v>
      </c>
      <c r="E13" s="16">
        <v>44219</v>
      </c>
      <c r="F13" t="s">
        <v>117</v>
      </c>
      <c r="H13" s="17">
        <f t="shared" si="0"/>
        <v>0</v>
      </c>
      <c r="I13" s="17" t="s">
        <v>475</v>
      </c>
      <c r="J13" s="48">
        <v>44252</v>
      </c>
      <c r="K13" s="17">
        <v>110.97</v>
      </c>
      <c r="L13" s="49" t="s">
        <v>26</v>
      </c>
      <c r="N13" t="s">
        <v>475</v>
      </c>
      <c r="O13" t="s">
        <v>16</v>
      </c>
      <c r="P13" s="111">
        <f t="shared" si="1"/>
        <v>8510</v>
      </c>
    </row>
    <row r="14" spans="1:18" ht="15" customHeight="1" x14ac:dyDescent="0.25">
      <c r="A14" s="10">
        <v>7</v>
      </c>
      <c r="B14" s="48">
        <f t="shared" si="2"/>
        <v>44226</v>
      </c>
      <c r="C14" s="17">
        <v>250</v>
      </c>
      <c r="D14" s="17">
        <v>250</v>
      </c>
      <c r="E14" s="16">
        <v>44226</v>
      </c>
      <c r="F14" t="s">
        <v>117</v>
      </c>
      <c r="H14" s="17">
        <f t="shared" si="0"/>
        <v>0</v>
      </c>
      <c r="I14" s="17" t="s">
        <v>475</v>
      </c>
      <c r="J14" s="48">
        <v>44259</v>
      </c>
      <c r="K14" s="17">
        <v>86.06</v>
      </c>
      <c r="L14" s="49" t="s">
        <v>45</v>
      </c>
      <c r="M14" t="s">
        <v>206</v>
      </c>
      <c r="N14" t="s">
        <v>475</v>
      </c>
      <c r="O14" t="s">
        <v>866</v>
      </c>
      <c r="P14" s="111">
        <f t="shared" si="1"/>
        <v>3651</v>
      </c>
    </row>
    <row r="15" spans="1:18" ht="15" customHeight="1" x14ac:dyDescent="0.25">
      <c r="A15" s="10">
        <v>8</v>
      </c>
      <c r="B15" s="48">
        <f>B14+7</f>
        <v>44233</v>
      </c>
      <c r="C15" s="17">
        <v>250</v>
      </c>
      <c r="D15" s="17">
        <v>250</v>
      </c>
      <c r="E15" s="16">
        <v>44233</v>
      </c>
      <c r="F15" t="s">
        <v>117</v>
      </c>
      <c r="H15" s="17">
        <f t="shared" si="0"/>
        <v>0</v>
      </c>
      <c r="I15" s="17" t="s">
        <v>475</v>
      </c>
      <c r="J15" s="48">
        <v>44264</v>
      </c>
      <c r="K15" s="17">
        <v>198.52</v>
      </c>
      <c r="L15" s="49" t="s">
        <v>20</v>
      </c>
      <c r="N15" t="s">
        <v>475</v>
      </c>
      <c r="P15" s="111">
        <f t="shared" si="1"/>
        <v>0</v>
      </c>
    </row>
    <row r="16" spans="1:18" ht="15" customHeight="1" x14ac:dyDescent="0.25">
      <c r="A16" s="10">
        <v>9</v>
      </c>
      <c r="B16" s="48">
        <f>B15+7</f>
        <v>44240</v>
      </c>
      <c r="C16" s="17">
        <v>150</v>
      </c>
      <c r="D16" s="17">
        <v>250</v>
      </c>
      <c r="E16" s="16">
        <v>44239</v>
      </c>
      <c r="F16" t="s">
        <v>117</v>
      </c>
      <c r="H16" s="17">
        <f t="shared" si="0"/>
        <v>-100</v>
      </c>
      <c r="I16" s="17" t="s">
        <v>475</v>
      </c>
      <c r="J16" s="48">
        <v>44297</v>
      </c>
      <c r="K16" s="17">
        <v>150</v>
      </c>
      <c r="L16" s="49" t="s">
        <v>17</v>
      </c>
      <c r="M16" t="s">
        <v>503</v>
      </c>
      <c r="N16" t="s">
        <v>475</v>
      </c>
      <c r="P16" s="111">
        <f t="shared" si="1"/>
        <v>0</v>
      </c>
    </row>
    <row r="17" spans="1:16" ht="15" customHeight="1" x14ac:dyDescent="0.25">
      <c r="A17" s="10">
        <v>10</v>
      </c>
      <c r="B17" s="48">
        <v>44246</v>
      </c>
      <c r="C17" s="17">
        <v>250</v>
      </c>
      <c r="D17" s="17">
        <v>250</v>
      </c>
      <c r="E17" s="16">
        <v>44246</v>
      </c>
      <c r="F17" t="s">
        <v>117</v>
      </c>
      <c r="H17" s="17">
        <f t="shared" si="0"/>
        <v>-100</v>
      </c>
      <c r="I17" s="17" t="s">
        <v>475</v>
      </c>
      <c r="J17" s="48">
        <v>44310</v>
      </c>
      <c r="K17" s="17">
        <v>110</v>
      </c>
      <c r="L17" s="49" t="s">
        <v>17</v>
      </c>
      <c r="M17" t="s">
        <v>156</v>
      </c>
      <c r="N17" t="s">
        <v>475</v>
      </c>
      <c r="P17" s="111">
        <f t="shared" si="1"/>
        <v>0</v>
      </c>
    </row>
    <row r="18" spans="1:16" ht="15" customHeight="1" x14ac:dyDescent="0.25">
      <c r="A18" s="10">
        <v>11</v>
      </c>
      <c r="B18" s="48">
        <f t="shared" ref="B18:B23" si="3">B17+7</f>
        <v>44253</v>
      </c>
      <c r="C18" s="17">
        <v>250</v>
      </c>
      <c r="D18" s="17">
        <v>250</v>
      </c>
      <c r="E18" s="16">
        <v>44254</v>
      </c>
      <c r="F18" t="s">
        <v>117</v>
      </c>
      <c r="H18" s="17">
        <f t="shared" si="0"/>
        <v>-100</v>
      </c>
      <c r="I18" s="17" t="s">
        <v>475</v>
      </c>
      <c r="J18" s="48">
        <v>44315</v>
      </c>
      <c r="K18" s="17">
        <v>214.5</v>
      </c>
      <c r="L18" s="49" t="s">
        <v>17</v>
      </c>
      <c r="N18" t="s">
        <v>475</v>
      </c>
      <c r="P18" s="111">
        <f t="shared" si="1"/>
        <v>0</v>
      </c>
    </row>
    <row r="19" spans="1:16" ht="15" customHeight="1" x14ac:dyDescent="0.25">
      <c r="A19" s="10">
        <v>12</v>
      </c>
      <c r="B19" s="48">
        <f t="shared" si="3"/>
        <v>44260</v>
      </c>
      <c r="C19" s="17">
        <v>250</v>
      </c>
      <c r="D19" s="17">
        <v>250</v>
      </c>
      <c r="E19" s="16">
        <v>44260</v>
      </c>
      <c r="F19" t="s">
        <v>117</v>
      </c>
      <c r="H19" s="17">
        <f t="shared" si="0"/>
        <v>-100</v>
      </c>
      <c r="I19" s="17" t="s">
        <v>475</v>
      </c>
      <c r="J19" s="48">
        <v>44309</v>
      </c>
      <c r="K19" s="17">
        <v>5.5</v>
      </c>
      <c r="L19" s="49" t="s">
        <v>22</v>
      </c>
      <c r="N19" t="s">
        <v>475</v>
      </c>
      <c r="P19" s="111">
        <f t="shared" si="1"/>
        <v>0</v>
      </c>
    </row>
    <row r="20" spans="1:16" ht="15" customHeight="1" x14ac:dyDescent="0.25">
      <c r="A20" s="10">
        <v>13</v>
      </c>
      <c r="B20" s="48">
        <f t="shared" si="3"/>
        <v>44267</v>
      </c>
      <c r="C20" s="17">
        <v>250</v>
      </c>
      <c r="D20" s="17">
        <v>250</v>
      </c>
      <c r="E20" s="16">
        <v>44268</v>
      </c>
      <c r="F20" t="s">
        <v>117</v>
      </c>
      <c r="H20" s="17">
        <f t="shared" si="0"/>
        <v>-100</v>
      </c>
      <c r="I20" s="17" t="s">
        <v>475</v>
      </c>
      <c r="J20" s="48">
        <v>44333</v>
      </c>
      <c r="K20" s="17">
        <v>200</v>
      </c>
      <c r="L20" s="49" t="s">
        <v>17</v>
      </c>
      <c r="M20" t="s">
        <v>584</v>
      </c>
      <c r="N20" t="s">
        <v>585</v>
      </c>
      <c r="P20" s="111">
        <f t="shared" si="1"/>
        <v>0</v>
      </c>
    </row>
    <row r="21" spans="1:16" ht="15" customHeight="1" x14ac:dyDescent="0.25">
      <c r="A21" s="10">
        <v>14</v>
      </c>
      <c r="B21" s="48">
        <f t="shared" si="3"/>
        <v>44274</v>
      </c>
      <c r="C21" s="17">
        <v>250</v>
      </c>
      <c r="D21" s="17">
        <v>250</v>
      </c>
      <c r="E21" s="16">
        <v>44274</v>
      </c>
      <c r="F21" t="s">
        <v>117</v>
      </c>
      <c r="H21" s="17">
        <f t="shared" si="0"/>
        <v>-100</v>
      </c>
      <c r="I21" s="17" t="s">
        <v>475</v>
      </c>
      <c r="J21" s="48">
        <v>44333</v>
      </c>
      <c r="K21" s="17">
        <v>30</v>
      </c>
      <c r="L21" s="49" t="s">
        <v>53</v>
      </c>
      <c r="N21" t="s">
        <v>585</v>
      </c>
      <c r="P21" s="111">
        <f t="shared" si="1"/>
        <v>0</v>
      </c>
    </row>
    <row r="22" spans="1:16" ht="15" customHeight="1" x14ac:dyDescent="0.25">
      <c r="A22" s="10">
        <v>15</v>
      </c>
      <c r="B22" s="48">
        <f t="shared" si="3"/>
        <v>44281</v>
      </c>
      <c r="C22" s="17">
        <v>250</v>
      </c>
      <c r="D22" s="17">
        <v>250</v>
      </c>
      <c r="E22" s="16">
        <v>44281</v>
      </c>
      <c r="F22" t="s">
        <v>117</v>
      </c>
      <c r="H22" s="17">
        <f t="shared" si="0"/>
        <v>-100</v>
      </c>
      <c r="I22" s="17" t="s">
        <v>475</v>
      </c>
      <c r="J22" s="48">
        <v>44336</v>
      </c>
      <c r="K22" s="17">
        <v>15.6</v>
      </c>
      <c r="L22" s="49" t="s">
        <v>32</v>
      </c>
      <c r="N22" t="s">
        <v>585</v>
      </c>
      <c r="P22" s="111">
        <f t="shared" si="1"/>
        <v>0</v>
      </c>
    </row>
    <row r="23" spans="1:16" ht="15" customHeight="1" x14ac:dyDescent="0.25">
      <c r="A23" s="10">
        <v>16</v>
      </c>
      <c r="B23" s="48">
        <f t="shared" si="3"/>
        <v>44288</v>
      </c>
      <c r="C23" s="17">
        <v>250</v>
      </c>
      <c r="D23" s="17">
        <v>250</v>
      </c>
      <c r="E23" s="16">
        <v>44289</v>
      </c>
      <c r="F23" t="s">
        <v>117</v>
      </c>
      <c r="H23" s="17">
        <f t="shared" si="0"/>
        <v>-100</v>
      </c>
      <c r="I23" s="17" t="s">
        <v>475</v>
      </c>
      <c r="J23" s="48">
        <v>44323</v>
      </c>
      <c r="K23" s="17">
        <v>223</v>
      </c>
      <c r="L23" s="49" t="s">
        <v>45</v>
      </c>
      <c r="N23" t="s">
        <v>475</v>
      </c>
      <c r="P23" s="111">
        <f t="shared" si="1"/>
        <v>0</v>
      </c>
    </row>
    <row r="24" spans="1:16" ht="15" customHeight="1" x14ac:dyDescent="0.25">
      <c r="A24" s="10">
        <v>17</v>
      </c>
      <c r="B24" s="48">
        <f>B23+7</f>
        <v>44295</v>
      </c>
      <c r="C24" s="17">
        <v>250</v>
      </c>
      <c r="D24" s="17">
        <v>250</v>
      </c>
      <c r="E24" s="16">
        <v>44295</v>
      </c>
      <c r="F24" t="s">
        <v>117</v>
      </c>
      <c r="H24" s="17">
        <f t="shared" si="0"/>
        <v>-100</v>
      </c>
      <c r="I24" s="17" t="s">
        <v>475</v>
      </c>
      <c r="J24" s="48">
        <v>44323</v>
      </c>
      <c r="K24" s="17">
        <f>-223-100</f>
        <v>-323</v>
      </c>
      <c r="L24" s="49" t="s">
        <v>17</v>
      </c>
      <c r="M24" t="s">
        <v>605</v>
      </c>
      <c r="N24" t="s">
        <v>475</v>
      </c>
      <c r="P24" s="111">
        <f t="shared" si="1"/>
        <v>0</v>
      </c>
    </row>
    <row r="25" spans="1:16" ht="15" customHeight="1" x14ac:dyDescent="0.25">
      <c r="A25" s="10">
        <v>18</v>
      </c>
      <c r="B25" s="48">
        <f>B24+7</f>
        <v>44302</v>
      </c>
      <c r="C25" s="17">
        <v>250</v>
      </c>
      <c r="D25" s="17">
        <v>250</v>
      </c>
      <c r="E25" s="16">
        <v>44302</v>
      </c>
      <c r="F25" t="s">
        <v>117</v>
      </c>
      <c r="H25" s="17">
        <f t="shared" si="0"/>
        <v>-100</v>
      </c>
      <c r="I25" s="17" t="s">
        <v>475</v>
      </c>
      <c r="J25" s="48">
        <v>44358</v>
      </c>
      <c r="K25" s="17">
        <v>198.52</v>
      </c>
      <c r="L25" s="49" t="s">
        <v>20</v>
      </c>
      <c r="N25" t="s">
        <v>585</v>
      </c>
      <c r="P25" s="111">
        <f t="shared" si="1"/>
        <v>0</v>
      </c>
    </row>
    <row r="26" spans="1:16" ht="15" customHeight="1" x14ac:dyDescent="0.25">
      <c r="A26" s="10">
        <v>19</v>
      </c>
      <c r="B26" s="48">
        <f>B25+7</f>
        <v>44309</v>
      </c>
      <c r="C26" s="17">
        <v>250</v>
      </c>
      <c r="D26" s="17">
        <v>250</v>
      </c>
      <c r="E26" s="16">
        <v>44309</v>
      </c>
      <c r="F26" t="s">
        <v>117</v>
      </c>
      <c r="H26" s="17">
        <f t="shared" si="0"/>
        <v>-100</v>
      </c>
      <c r="I26" s="17" t="s">
        <v>475</v>
      </c>
      <c r="J26" s="48">
        <v>44376</v>
      </c>
      <c r="K26" s="17">
        <v>291</v>
      </c>
      <c r="L26" s="49" t="s">
        <v>17</v>
      </c>
      <c r="N26" t="s">
        <v>585</v>
      </c>
      <c r="P26" s="111">
        <f t="shared" si="1"/>
        <v>0</v>
      </c>
    </row>
    <row r="27" spans="1:16" ht="15" customHeight="1" x14ac:dyDescent="0.25">
      <c r="A27" s="10">
        <v>20</v>
      </c>
      <c r="B27" s="48">
        <f>B26+7</f>
        <v>44316</v>
      </c>
      <c r="C27" s="17">
        <v>250</v>
      </c>
      <c r="D27" s="17">
        <v>250</v>
      </c>
      <c r="E27" s="16">
        <v>44316</v>
      </c>
      <c r="F27" t="s">
        <v>58</v>
      </c>
      <c r="H27" s="17">
        <f t="shared" si="0"/>
        <v>-100</v>
      </c>
      <c r="I27" s="17" t="s">
        <v>475</v>
      </c>
      <c r="J27" s="48">
        <v>44455</v>
      </c>
      <c r="K27" s="17">
        <v>201.31</v>
      </c>
      <c r="L27" s="49" t="s">
        <v>20</v>
      </c>
      <c r="N27" t="s">
        <v>585</v>
      </c>
      <c r="P27" s="111">
        <f t="shared" si="1"/>
        <v>0</v>
      </c>
    </row>
    <row r="28" spans="1:16" ht="15" customHeight="1" x14ac:dyDescent="0.25">
      <c r="A28" s="10">
        <v>21</v>
      </c>
      <c r="B28" s="48">
        <f>B27+7</f>
        <v>44323</v>
      </c>
      <c r="C28" s="17">
        <v>250</v>
      </c>
      <c r="D28" s="17">
        <f>250-100</f>
        <v>150</v>
      </c>
      <c r="E28" s="16">
        <v>44323</v>
      </c>
      <c r="F28" t="s">
        <v>124</v>
      </c>
      <c r="H28" s="17">
        <f t="shared" si="0"/>
        <v>0</v>
      </c>
      <c r="I28" s="17" t="s">
        <v>475</v>
      </c>
      <c r="J28" s="48">
        <v>44477</v>
      </c>
      <c r="K28" s="17">
        <v>460</v>
      </c>
      <c r="L28" s="49" t="s">
        <v>45</v>
      </c>
      <c r="N28" t="s">
        <v>585</v>
      </c>
      <c r="P28" s="111">
        <f t="shared" si="1"/>
        <v>0</v>
      </c>
    </row>
    <row r="29" spans="1:16" ht="15" customHeight="1" x14ac:dyDescent="0.25">
      <c r="A29" s="10">
        <v>1</v>
      </c>
      <c r="B29" s="48">
        <v>44333</v>
      </c>
      <c r="C29" s="17">
        <v>460</v>
      </c>
      <c r="D29" s="17">
        <v>460</v>
      </c>
      <c r="E29" s="16">
        <v>44333</v>
      </c>
      <c r="F29" t="s">
        <v>181</v>
      </c>
      <c r="H29" s="17">
        <f t="shared" si="0"/>
        <v>0</v>
      </c>
      <c r="I29" s="17" t="s">
        <v>585</v>
      </c>
      <c r="J29" s="48">
        <v>44489</v>
      </c>
      <c r="K29" s="17">
        <v>80</v>
      </c>
      <c r="L29" s="49" t="s">
        <v>53</v>
      </c>
      <c r="N29" t="s">
        <v>14</v>
      </c>
      <c r="P29" s="111">
        <f t="shared" si="1"/>
        <v>0</v>
      </c>
    </row>
    <row r="30" spans="1:16" ht="15" customHeight="1" x14ac:dyDescent="0.25">
      <c r="A30" s="10">
        <v>1</v>
      </c>
      <c r="B30" s="48">
        <v>44333</v>
      </c>
      <c r="C30" s="17">
        <v>230</v>
      </c>
      <c r="D30" s="17">
        <v>230</v>
      </c>
      <c r="E30" s="16">
        <v>44333</v>
      </c>
      <c r="F30" t="s">
        <v>114</v>
      </c>
      <c r="H30" s="17">
        <f t="shared" si="0"/>
        <v>0</v>
      </c>
      <c r="I30" s="17" t="s">
        <v>585</v>
      </c>
      <c r="J30" s="48">
        <v>44511</v>
      </c>
      <c r="K30" s="17">
        <v>2000</v>
      </c>
      <c r="L30" s="49" t="s">
        <v>17</v>
      </c>
      <c r="M30" t="s">
        <v>703</v>
      </c>
      <c r="N30" t="s">
        <v>14</v>
      </c>
      <c r="P30" s="111">
        <f t="shared" si="1"/>
        <v>0</v>
      </c>
    </row>
    <row r="31" spans="1:16" ht="15" customHeight="1" x14ac:dyDescent="0.25">
      <c r="A31" s="10">
        <v>2</v>
      </c>
      <c r="B31" s="48">
        <f t="shared" ref="B31:B36" si="4">B30+7</f>
        <v>44340</v>
      </c>
      <c r="C31" s="17">
        <v>230</v>
      </c>
      <c r="D31" s="17">
        <v>230</v>
      </c>
      <c r="E31" s="16">
        <v>44342</v>
      </c>
      <c r="F31" t="s">
        <v>117</v>
      </c>
      <c r="H31" s="17">
        <f t="shared" si="0"/>
        <v>0</v>
      </c>
      <c r="I31" s="17" t="s">
        <v>585</v>
      </c>
      <c r="J31" s="48">
        <v>44512</v>
      </c>
      <c r="K31" s="17">
        <v>0.99</v>
      </c>
      <c r="L31" s="49" t="s">
        <v>22</v>
      </c>
      <c r="N31" t="s">
        <v>418</v>
      </c>
      <c r="P31" s="111">
        <f t="shared" si="1"/>
        <v>0</v>
      </c>
    </row>
    <row r="32" spans="1:16" ht="15" customHeight="1" x14ac:dyDescent="0.25">
      <c r="A32" s="10">
        <v>3</v>
      </c>
      <c r="B32" s="48">
        <f t="shared" si="4"/>
        <v>44347</v>
      </c>
      <c r="C32" s="17">
        <v>230</v>
      </c>
      <c r="D32" s="17">
        <v>230</v>
      </c>
      <c r="E32" s="16">
        <v>44348</v>
      </c>
      <c r="F32" t="s">
        <v>117</v>
      </c>
      <c r="H32" s="17">
        <f t="shared" si="0"/>
        <v>0</v>
      </c>
      <c r="I32" s="17" t="s">
        <v>585</v>
      </c>
      <c r="J32" s="48">
        <v>44518</v>
      </c>
      <c r="K32" s="17">
        <v>2.75</v>
      </c>
      <c r="L32" s="49" t="s">
        <v>22</v>
      </c>
      <c r="N32" t="s">
        <v>418</v>
      </c>
      <c r="P32" s="111">
        <f t="shared" si="1"/>
        <v>0</v>
      </c>
    </row>
    <row r="33" spans="1:16" ht="15" customHeight="1" x14ac:dyDescent="0.25">
      <c r="A33" s="10">
        <v>4</v>
      </c>
      <c r="B33" s="48">
        <f t="shared" si="4"/>
        <v>44354</v>
      </c>
      <c r="C33" s="17">
        <v>230</v>
      </c>
      <c r="D33" s="17">
        <v>230</v>
      </c>
      <c r="E33" s="16">
        <v>44358</v>
      </c>
      <c r="F33" t="s">
        <v>117</v>
      </c>
      <c r="H33" s="17">
        <f t="shared" si="0"/>
        <v>0</v>
      </c>
      <c r="I33" s="17" t="s">
        <v>585</v>
      </c>
      <c r="J33" s="48">
        <v>44536</v>
      </c>
      <c r="K33" s="17">
        <v>400</v>
      </c>
      <c r="L33" s="49" t="s">
        <v>45</v>
      </c>
      <c r="N33" t="s">
        <v>418</v>
      </c>
      <c r="P33" s="111">
        <f t="shared" si="1"/>
        <v>0</v>
      </c>
    </row>
    <row r="34" spans="1:16" ht="15" customHeight="1" x14ac:dyDescent="0.25">
      <c r="A34" s="10">
        <v>8</v>
      </c>
      <c r="B34" s="48">
        <f t="shared" si="4"/>
        <v>44361</v>
      </c>
      <c r="C34" s="17">
        <v>230</v>
      </c>
      <c r="D34" s="17"/>
      <c r="H34" s="17">
        <f t="shared" si="0"/>
        <v>230</v>
      </c>
      <c r="I34" s="17" t="s">
        <v>585</v>
      </c>
      <c r="J34" s="48">
        <v>44569</v>
      </c>
      <c r="K34" s="17">
        <v>297</v>
      </c>
      <c r="L34" s="49" t="s">
        <v>17</v>
      </c>
      <c r="M34" t="s">
        <v>675</v>
      </c>
      <c r="N34" t="s">
        <v>14</v>
      </c>
      <c r="P34" s="111">
        <f t="shared" si="1"/>
        <v>0</v>
      </c>
    </row>
    <row r="35" spans="1:16" ht="15" customHeight="1" x14ac:dyDescent="0.25">
      <c r="A35" s="10">
        <v>9</v>
      </c>
      <c r="B35" s="48">
        <f t="shared" si="4"/>
        <v>44368</v>
      </c>
      <c r="C35" s="17">
        <v>230</v>
      </c>
      <c r="D35" s="17">
        <v>460</v>
      </c>
      <c r="E35" s="16">
        <v>44369</v>
      </c>
      <c r="F35" t="s">
        <v>117</v>
      </c>
      <c r="H35" s="17">
        <f t="shared" si="0"/>
        <v>0</v>
      </c>
      <c r="I35" s="17" t="s">
        <v>585</v>
      </c>
      <c r="J35" s="48">
        <v>44569</v>
      </c>
      <c r="K35" s="17">
        <v>121</v>
      </c>
      <c r="L35" s="49" t="s">
        <v>17</v>
      </c>
      <c r="M35" t="s">
        <v>778</v>
      </c>
      <c r="N35" t="s">
        <v>14</v>
      </c>
      <c r="P35" s="111">
        <f t="shared" si="1"/>
        <v>0</v>
      </c>
    </row>
    <row r="36" spans="1:16" ht="15" customHeight="1" x14ac:dyDescent="0.25">
      <c r="A36" s="10">
        <v>10</v>
      </c>
      <c r="B36" s="48">
        <f t="shared" si="4"/>
        <v>44375</v>
      </c>
      <c r="C36" s="17">
        <v>230</v>
      </c>
      <c r="D36" s="17">
        <v>230</v>
      </c>
      <c r="E36" s="16">
        <v>44377</v>
      </c>
      <c r="F36" t="s">
        <v>117</v>
      </c>
      <c r="H36" s="17">
        <f t="shared" si="0"/>
        <v>0</v>
      </c>
      <c r="I36" s="17" t="s">
        <v>585</v>
      </c>
      <c r="J36" s="48">
        <v>44635</v>
      </c>
      <c r="K36" s="17">
        <v>201.31</v>
      </c>
      <c r="L36" s="49" t="s">
        <v>20</v>
      </c>
      <c r="N36" t="s">
        <v>14</v>
      </c>
      <c r="P36" s="111">
        <f t="shared" si="1"/>
        <v>0</v>
      </c>
    </row>
    <row r="37" spans="1:16" ht="15" customHeight="1" x14ac:dyDescent="0.25">
      <c r="A37" s="10">
        <v>11</v>
      </c>
      <c r="B37" s="48">
        <f t="shared" ref="B37:B44" si="5">B36+7</f>
        <v>44382</v>
      </c>
      <c r="C37" s="17">
        <v>230</v>
      </c>
      <c r="D37" s="17"/>
      <c r="H37" s="17">
        <f t="shared" si="0"/>
        <v>230</v>
      </c>
      <c r="I37" s="17" t="s">
        <v>585</v>
      </c>
      <c r="J37" s="48">
        <v>44698</v>
      </c>
      <c r="K37" s="17">
        <v>17.09</v>
      </c>
      <c r="L37" s="49" t="s">
        <v>133</v>
      </c>
      <c r="M37" t="s">
        <v>453</v>
      </c>
      <c r="N37" t="s">
        <v>14</v>
      </c>
      <c r="P37" s="111">
        <f t="shared" si="1"/>
        <v>0</v>
      </c>
    </row>
    <row r="38" spans="1:16" ht="15" customHeight="1" x14ac:dyDescent="0.25">
      <c r="A38" s="10">
        <v>12</v>
      </c>
      <c r="B38" s="48">
        <f t="shared" si="5"/>
        <v>44389</v>
      </c>
      <c r="C38" s="17">
        <v>230</v>
      </c>
      <c r="D38" s="17"/>
      <c r="H38" s="17">
        <f t="shared" si="0"/>
        <v>460</v>
      </c>
      <c r="I38" s="17" t="s">
        <v>585</v>
      </c>
      <c r="J38" s="48">
        <v>44720</v>
      </c>
      <c r="K38" s="17">
        <v>201.31</v>
      </c>
      <c r="L38" s="49" t="s">
        <v>20</v>
      </c>
      <c r="N38" t="s">
        <v>14</v>
      </c>
      <c r="P38" s="111">
        <f t="shared" si="1"/>
        <v>0</v>
      </c>
    </row>
    <row r="39" spans="1:16" ht="15" customHeight="1" x14ac:dyDescent="0.25">
      <c r="A39" s="10">
        <v>13</v>
      </c>
      <c r="B39" s="48">
        <f t="shared" si="5"/>
        <v>44396</v>
      </c>
      <c r="C39" s="17">
        <v>230</v>
      </c>
      <c r="D39" s="17">
        <v>690</v>
      </c>
      <c r="E39" s="16">
        <v>44396</v>
      </c>
      <c r="F39" t="s">
        <v>117</v>
      </c>
      <c r="H39" s="17">
        <f t="shared" si="0"/>
        <v>0</v>
      </c>
      <c r="I39" s="17" t="s">
        <v>585</v>
      </c>
      <c r="J39" s="48">
        <v>44810</v>
      </c>
      <c r="K39" s="17">
        <v>205.68</v>
      </c>
      <c r="L39" s="49" t="s">
        <v>20</v>
      </c>
      <c r="N39" t="s">
        <v>14</v>
      </c>
      <c r="P39" s="111">
        <f t="shared" si="1"/>
        <v>0</v>
      </c>
    </row>
    <row r="40" spans="1:16" ht="15" customHeight="1" x14ac:dyDescent="0.25">
      <c r="A40" s="10">
        <v>14</v>
      </c>
      <c r="B40" s="48">
        <f t="shared" si="5"/>
        <v>44403</v>
      </c>
      <c r="C40" s="17">
        <v>230</v>
      </c>
      <c r="D40" s="17">
        <v>230</v>
      </c>
      <c r="E40" s="16">
        <v>44407</v>
      </c>
      <c r="F40" t="s">
        <v>124</v>
      </c>
      <c r="H40" s="17">
        <f t="shared" si="0"/>
        <v>0</v>
      </c>
      <c r="I40" s="17" t="s">
        <v>585</v>
      </c>
      <c r="J40" s="48">
        <v>44854</v>
      </c>
      <c r="K40" s="17">
        <v>80</v>
      </c>
      <c r="L40" s="49" t="s">
        <v>32</v>
      </c>
      <c r="N40" t="s">
        <v>14</v>
      </c>
      <c r="P40" s="111">
        <f t="shared" si="1"/>
        <v>0</v>
      </c>
    </row>
    <row r="41" spans="1:16" ht="15" customHeight="1" x14ac:dyDescent="0.25">
      <c r="A41" s="10">
        <v>15</v>
      </c>
      <c r="B41" s="48">
        <f t="shared" si="5"/>
        <v>44410</v>
      </c>
      <c r="C41" s="17">
        <v>230</v>
      </c>
      <c r="D41" s="17">
        <v>230</v>
      </c>
      <c r="E41" s="16">
        <v>44412</v>
      </c>
      <c r="F41" t="s">
        <v>117</v>
      </c>
      <c r="H41" s="17">
        <f t="shared" si="0"/>
        <v>0</v>
      </c>
      <c r="I41" s="17" t="s">
        <v>585</v>
      </c>
      <c r="J41" s="48">
        <v>44857</v>
      </c>
      <c r="K41" s="17">
        <v>400</v>
      </c>
      <c r="L41" s="49" t="s">
        <v>45</v>
      </c>
      <c r="N41" t="s">
        <v>800</v>
      </c>
      <c r="P41" s="111">
        <f t="shared" si="1"/>
        <v>0</v>
      </c>
    </row>
    <row r="42" spans="1:16" ht="15" customHeight="1" x14ac:dyDescent="0.25">
      <c r="A42" s="10">
        <v>16</v>
      </c>
      <c r="B42" s="48">
        <f t="shared" si="5"/>
        <v>44417</v>
      </c>
      <c r="C42" s="17">
        <v>230</v>
      </c>
      <c r="D42" s="17"/>
      <c r="H42" s="17">
        <f t="shared" si="0"/>
        <v>230</v>
      </c>
      <c r="I42" s="17" t="s">
        <v>585</v>
      </c>
      <c r="J42" s="48">
        <v>44869</v>
      </c>
      <c r="K42" s="17">
        <v>175</v>
      </c>
      <c r="L42" s="49" t="s">
        <v>17</v>
      </c>
      <c r="M42" t="s">
        <v>924</v>
      </c>
      <c r="N42" t="s">
        <v>800</v>
      </c>
      <c r="P42" s="111">
        <f t="shared" si="1"/>
        <v>0</v>
      </c>
    </row>
    <row r="43" spans="1:16" ht="15" customHeight="1" x14ac:dyDescent="0.25">
      <c r="A43" s="10">
        <v>17</v>
      </c>
      <c r="B43" s="48">
        <f t="shared" si="5"/>
        <v>44424</v>
      </c>
      <c r="C43" s="17">
        <v>230</v>
      </c>
      <c r="D43" s="17"/>
      <c r="H43" s="17">
        <f t="shared" si="0"/>
        <v>460</v>
      </c>
      <c r="I43" s="17" t="s">
        <v>585</v>
      </c>
      <c r="J43" s="48">
        <v>44873</v>
      </c>
      <c r="K43" s="17">
        <v>80</v>
      </c>
      <c r="L43" s="49" t="s">
        <v>98</v>
      </c>
      <c r="N43" t="s">
        <v>14</v>
      </c>
      <c r="P43" s="111">
        <f t="shared" si="1"/>
        <v>0</v>
      </c>
    </row>
    <row r="44" spans="1:16" ht="15" customHeight="1" x14ac:dyDescent="0.25">
      <c r="A44" s="10">
        <v>18</v>
      </c>
      <c r="B44" s="48">
        <f t="shared" si="5"/>
        <v>44431</v>
      </c>
      <c r="C44" s="17">
        <v>230</v>
      </c>
      <c r="D44" s="17"/>
      <c r="H44" s="17">
        <f t="shared" si="0"/>
        <v>690</v>
      </c>
      <c r="I44" s="17" t="s">
        <v>585</v>
      </c>
      <c r="J44" s="48">
        <v>44881</v>
      </c>
      <c r="K44" s="17">
        <v>80</v>
      </c>
      <c r="L44" s="49" t="s">
        <v>98</v>
      </c>
      <c r="N44" t="s">
        <v>14</v>
      </c>
      <c r="P44" s="111">
        <f t="shared" si="1"/>
        <v>0</v>
      </c>
    </row>
    <row r="45" spans="1:16" ht="15" customHeight="1" x14ac:dyDescent="0.25">
      <c r="A45" s="10">
        <v>19</v>
      </c>
      <c r="B45" s="48">
        <f>B44+7</f>
        <v>44438</v>
      </c>
      <c r="C45" s="17">
        <v>230</v>
      </c>
      <c r="D45" s="17"/>
      <c r="H45" s="17">
        <f t="shared" si="0"/>
        <v>920</v>
      </c>
      <c r="I45" s="17" t="s">
        <v>585</v>
      </c>
      <c r="J45" s="48">
        <v>44889</v>
      </c>
      <c r="K45" s="17">
        <v>205.68</v>
      </c>
      <c r="L45" s="49" t="s">
        <v>20</v>
      </c>
      <c r="N45" t="s">
        <v>14</v>
      </c>
      <c r="P45" s="111">
        <f t="shared" si="1"/>
        <v>0</v>
      </c>
    </row>
    <row r="46" spans="1:16" ht="15" customHeight="1" x14ac:dyDescent="0.25">
      <c r="A46" s="10">
        <v>1</v>
      </c>
      <c r="B46" s="48">
        <v>44505</v>
      </c>
      <c r="C46" s="17">
        <v>400</v>
      </c>
      <c r="D46" s="17">
        <v>400</v>
      </c>
      <c r="E46" s="16">
        <v>44505</v>
      </c>
      <c r="F46" t="s">
        <v>181</v>
      </c>
      <c r="H46" s="17">
        <f t="shared" si="0"/>
        <v>920</v>
      </c>
      <c r="I46" s="17" t="s">
        <v>418</v>
      </c>
      <c r="J46" s="48">
        <v>44971</v>
      </c>
      <c r="K46" s="17">
        <v>160</v>
      </c>
      <c r="L46" s="49" t="s">
        <v>17</v>
      </c>
      <c r="M46" t="s">
        <v>526</v>
      </c>
      <c r="N46" t="s">
        <v>866</v>
      </c>
      <c r="P46" s="111">
        <f t="shared" si="1"/>
        <v>0</v>
      </c>
    </row>
    <row r="47" spans="1:16" ht="15" customHeight="1" x14ac:dyDescent="0.25">
      <c r="A47" s="10">
        <v>1</v>
      </c>
      <c r="B47" s="48">
        <v>44505</v>
      </c>
      <c r="C47" s="17">
        <v>200</v>
      </c>
      <c r="D47" s="17">
        <v>200</v>
      </c>
      <c r="E47" s="16">
        <v>44505</v>
      </c>
      <c r="F47" t="s">
        <v>124</v>
      </c>
      <c r="H47" s="17">
        <f t="shared" si="0"/>
        <v>920</v>
      </c>
      <c r="I47" s="17" t="s">
        <v>418</v>
      </c>
      <c r="J47" s="48">
        <v>45035</v>
      </c>
      <c r="K47" s="17">
        <v>335</v>
      </c>
      <c r="L47" s="49" t="s">
        <v>17</v>
      </c>
      <c r="M47" t="s">
        <v>526</v>
      </c>
      <c r="N47" t="s">
        <v>866</v>
      </c>
      <c r="P47" s="111">
        <f t="shared" si="1"/>
        <v>0</v>
      </c>
    </row>
    <row r="48" spans="1:16" ht="15" customHeight="1" x14ac:dyDescent="0.25">
      <c r="A48" s="10">
        <v>1</v>
      </c>
      <c r="B48" s="48">
        <v>44609</v>
      </c>
      <c r="C48" s="17">
        <v>400</v>
      </c>
      <c r="D48" s="17">
        <v>400</v>
      </c>
      <c r="E48" s="16">
        <v>44609</v>
      </c>
      <c r="F48" t="s">
        <v>181</v>
      </c>
      <c r="H48" s="17">
        <f t="shared" si="0"/>
        <v>0</v>
      </c>
      <c r="I48" s="17" t="s">
        <v>800</v>
      </c>
      <c r="J48" s="48">
        <v>45069</v>
      </c>
      <c r="K48" s="17">
        <f>250-216</f>
        <v>34</v>
      </c>
      <c r="L48" s="49" t="s">
        <v>17</v>
      </c>
      <c r="M48" t="s">
        <v>172</v>
      </c>
      <c r="N48" t="s">
        <v>866</v>
      </c>
      <c r="P48" s="111">
        <f t="shared" si="1"/>
        <v>0</v>
      </c>
    </row>
    <row r="49" spans="1:12" ht="15" customHeight="1" x14ac:dyDescent="0.25">
      <c r="A49" s="10">
        <v>1</v>
      </c>
      <c r="B49" s="48">
        <v>44609</v>
      </c>
      <c r="C49" s="17">
        <v>210</v>
      </c>
      <c r="D49" s="17">
        <v>210</v>
      </c>
      <c r="E49" s="16">
        <v>44609</v>
      </c>
      <c r="F49" t="s">
        <v>117</v>
      </c>
      <c r="H49" s="17">
        <f t="shared" si="0"/>
        <v>0</v>
      </c>
      <c r="I49" s="17" t="s">
        <v>800</v>
      </c>
      <c r="J49" s="48"/>
      <c r="K49" s="17"/>
      <c r="L49" s="49"/>
    </row>
    <row r="50" spans="1:12" ht="15" customHeight="1" x14ac:dyDescent="0.25">
      <c r="A50" s="10">
        <v>2</v>
      </c>
      <c r="B50" s="48">
        <f t="shared" ref="B50:B56" si="6">B49+7</f>
        <v>44616</v>
      </c>
      <c r="C50" s="17">
        <v>210</v>
      </c>
      <c r="D50" s="17"/>
      <c r="H50" s="17">
        <f t="shared" si="0"/>
        <v>210</v>
      </c>
      <c r="I50" s="17" t="s">
        <v>800</v>
      </c>
      <c r="J50" s="48"/>
      <c r="K50" s="17"/>
      <c r="L50" s="49"/>
    </row>
    <row r="51" spans="1:12" ht="15" customHeight="1" x14ac:dyDescent="0.25">
      <c r="A51" s="10">
        <v>3</v>
      </c>
      <c r="B51" s="48">
        <f t="shared" si="6"/>
        <v>44623</v>
      </c>
      <c r="C51" s="17">
        <v>210</v>
      </c>
      <c r="D51" s="17">
        <v>420</v>
      </c>
      <c r="E51" s="16">
        <v>44620</v>
      </c>
      <c r="F51" t="s">
        <v>117</v>
      </c>
      <c r="H51" s="17">
        <f t="shared" si="0"/>
        <v>0</v>
      </c>
      <c r="I51" s="17" t="s">
        <v>800</v>
      </c>
      <c r="J51" s="48"/>
      <c r="K51" s="17"/>
      <c r="L51" s="49"/>
    </row>
    <row r="52" spans="1:12" ht="15" customHeight="1" x14ac:dyDescent="0.25">
      <c r="A52" s="10">
        <v>4</v>
      </c>
      <c r="B52" s="48">
        <f t="shared" si="6"/>
        <v>44630</v>
      </c>
      <c r="C52" s="17">
        <v>210</v>
      </c>
      <c r="D52" s="17"/>
      <c r="H52" s="17">
        <f t="shared" si="0"/>
        <v>210</v>
      </c>
      <c r="I52" s="17" t="s">
        <v>800</v>
      </c>
      <c r="J52" s="48"/>
      <c r="K52" s="17"/>
      <c r="L52" s="49"/>
    </row>
    <row r="53" spans="1:12" ht="15" customHeight="1" x14ac:dyDescent="0.25">
      <c r="A53" s="10">
        <v>5</v>
      </c>
      <c r="B53" s="48">
        <f t="shared" si="6"/>
        <v>44637</v>
      </c>
      <c r="C53" s="17">
        <v>210</v>
      </c>
      <c r="D53" s="17">
        <v>210</v>
      </c>
      <c r="E53" s="16">
        <v>44639</v>
      </c>
      <c r="F53" t="s">
        <v>117</v>
      </c>
      <c r="H53" s="17">
        <f t="shared" si="0"/>
        <v>210</v>
      </c>
      <c r="I53" s="17" t="s">
        <v>800</v>
      </c>
      <c r="J53" s="48"/>
      <c r="K53" s="17"/>
      <c r="L53" s="49"/>
    </row>
    <row r="54" spans="1:12" ht="15" customHeight="1" x14ac:dyDescent="0.25">
      <c r="A54" s="10">
        <v>6</v>
      </c>
      <c r="B54" s="48">
        <f t="shared" si="6"/>
        <v>44644</v>
      </c>
      <c r="C54" s="17">
        <v>210</v>
      </c>
      <c r="D54" s="17"/>
      <c r="H54" s="17">
        <f t="shared" si="0"/>
        <v>420</v>
      </c>
      <c r="I54" s="17" t="s">
        <v>800</v>
      </c>
      <c r="J54" s="48"/>
      <c r="K54" s="17"/>
      <c r="L54" s="49"/>
    </row>
    <row r="55" spans="1:12" ht="15" customHeight="1" x14ac:dyDescent="0.25">
      <c r="A55" s="10">
        <v>7</v>
      </c>
      <c r="B55" s="48">
        <f t="shared" si="6"/>
        <v>44651</v>
      </c>
      <c r="C55" s="17">
        <v>210</v>
      </c>
      <c r="D55" s="17">
        <v>420</v>
      </c>
      <c r="E55" s="16">
        <v>44655</v>
      </c>
      <c r="F55" t="s">
        <v>117</v>
      </c>
      <c r="H55" s="17">
        <f t="shared" si="0"/>
        <v>210</v>
      </c>
      <c r="I55" s="17" t="s">
        <v>800</v>
      </c>
      <c r="J55" s="48"/>
      <c r="K55" s="17"/>
      <c r="L55" s="49"/>
    </row>
    <row r="56" spans="1:12" ht="15" customHeight="1" x14ac:dyDescent="0.25">
      <c r="A56" s="10">
        <v>8</v>
      </c>
      <c r="B56" s="48">
        <f t="shared" si="6"/>
        <v>44658</v>
      </c>
      <c r="C56" s="17">
        <v>210</v>
      </c>
      <c r="D56" s="17">
        <v>210</v>
      </c>
      <c r="E56" s="16">
        <v>44662</v>
      </c>
      <c r="F56" t="s">
        <v>117</v>
      </c>
      <c r="H56" s="17">
        <f t="shared" si="0"/>
        <v>210</v>
      </c>
      <c r="I56" s="17" t="s">
        <v>800</v>
      </c>
      <c r="J56" s="48"/>
      <c r="K56" s="17"/>
      <c r="L56" s="49"/>
    </row>
    <row r="57" spans="1:12" ht="15" customHeight="1" x14ac:dyDescent="0.25">
      <c r="A57" s="10">
        <v>9</v>
      </c>
      <c r="B57" s="48">
        <f t="shared" ref="B57:B63" si="7">B56+7</f>
        <v>44665</v>
      </c>
      <c r="C57" s="17">
        <v>210</v>
      </c>
      <c r="D57" s="17">
        <v>210</v>
      </c>
      <c r="E57" s="16">
        <v>44669</v>
      </c>
      <c r="F57" t="s">
        <v>117</v>
      </c>
      <c r="H57" s="17">
        <f t="shared" si="0"/>
        <v>210</v>
      </c>
      <c r="I57" s="17" t="s">
        <v>800</v>
      </c>
      <c r="J57" s="48"/>
      <c r="K57" s="17"/>
      <c r="L57" s="49"/>
    </row>
    <row r="58" spans="1:12" ht="15" customHeight="1" x14ac:dyDescent="0.25">
      <c r="A58" s="10">
        <v>10</v>
      </c>
      <c r="B58" s="48">
        <f t="shared" si="7"/>
        <v>44672</v>
      </c>
      <c r="C58" s="17">
        <v>210</v>
      </c>
      <c r="D58" s="17"/>
      <c r="E58" s="16"/>
      <c r="H58" s="17">
        <f t="shared" si="0"/>
        <v>420</v>
      </c>
      <c r="I58" s="17" t="s">
        <v>800</v>
      </c>
      <c r="J58" s="48"/>
      <c r="K58" s="17"/>
      <c r="L58" s="49"/>
    </row>
    <row r="59" spans="1:12" ht="15" customHeight="1" x14ac:dyDescent="0.25">
      <c r="A59" s="10">
        <v>11</v>
      </c>
      <c r="B59" s="48">
        <f t="shared" si="7"/>
        <v>44679</v>
      </c>
      <c r="C59" s="17">
        <v>210</v>
      </c>
      <c r="D59" s="17"/>
      <c r="E59" s="16"/>
      <c r="H59" s="17">
        <f t="shared" ref="H59:H73" si="8">IFERROR(IF(F58="Closed account",(IF(F59="Unpaid Rent",(C59),(C59-D59))),(IF(F59="Unpaid Rent",(C59+H58),(C59-D59+H58)))),"")</f>
        <v>630</v>
      </c>
      <c r="I59" s="17" t="s">
        <v>800</v>
      </c>
      <c r="J59" s="48"/>
      <c r="K59" s="17"/>
      <c r="L59" s="49"/>
    </row>
    <row r="60" spans="1:12" ht="15" customHeight="1" x14ac:dyDescent="0.25">
      <c r="A60" s="10">
        <v>12</v>
      </c>
      <c r="B60" s="48">
        <f t="shared" si="7"/>
        <v>44686</v>
      </c>
      <c r="C60" s="17">
        <v>210</v>
      </c>
      <c r="D60" s="17"/>
      <c r="E60" s="16"/>
      <c r="H60" s="17">
        <f t="shared" si="8"/>
        <v>840</v>
      </c>
      <c r="I60" s="17" t="s">
        <v>800</v>
      </c>
      <c r="J60" s="48"/>
      <c r="K60" s="17"/>
      <c r="L60" s="49"/>
    </row>
    <row r="61" spans="1:12" ht="15" customHeight="1" x14ac:dyDescent="0.25">
      <c r="A61" s="10">
        <v>13</v>
      </c>
      <c r="B61" s="48">
        <f t="shared" si="7"/>
        <v>44693</v>
      </c>
      <c r="C61" s="17">
        <v>210</v>
      </c>
      <c r="D61" s="17">
        <v>1050</v>
      </c>
      <c r="E61" s="16">
        <v>44704</v>
      </c>
      <c r="F61" t="s">
        <v>117</v>
      </c>
      <c r="H61" s="17">
        <f t="shared" si="8"/>
        <v>0</v>
      </c>
      <c r="I61" s="17" t="s">
        <v>800</v>
      </c>
      <c r="J61" s="48"/>
      <c r="K61" s="17"/>
      <c r="L61" s="49"/>
    </row>
    <row r="62" spans="1:12" ht="15" customHeight="1" x14ac:dyDescent="0.25">
      <c r="A62" s="10">
        <v>14</v>
      </c>
      <c r="B62" s="48">
        <f t="shared" si="7"/>
        <v>44700</v>
      </c>
      <c r="C62" s="17">
        <v>210</v>
      </c>
      <c r="D62" s="17"/>
      <c r="H62" s="17">
        <f t="shared" si="8"/>
        <v>210</v>
      </c>
      <c r="I62" s="17" t="s">
        <v>800</v>
      </c>
      <c r="J62" s="48"/>
      <c r="K62" s="17"/>
      <c r="L62" s="49"/>
    </row>
    <row r="63" spans="1:12" ht="15" customHeight="1" x14ac:dyDescent="0.25">
      <c r="A63" s="10">
        <v>15</v>
      </c>
      <c r="B63" s="48">
        <f t="shared" si="7"/>
        <v>44707</v>
      </c>
      <c r="C63" s="17">
        <v>210</v>
      </c>
      <c r="D63" s="17"/>
      <c r="H63" s="17">
        <f t="shared" si="8"/>
        <v>420</v>
      </c>
      <c r="I63" s="17" t="s">
        <v>800</v>
      </c>
      <c r="J63" s="48"/>
      <c r="K63" s="17"/>
      <c r="L63" s="49"/>
    </row>
    <row r="64" spans="1:12" ht="15" customHeight="1" x14ac:dyDescent="0.25">
      <c r="A64" s="10">
        <v>16</v>
      </c>
      <c r="B64" s="48">
        <f t="shared" ref="B64:B69" si="9">B63+7</f>
        <v>44714</v>
      </c>
      <c r="C64" s="17">
        <v>210</v>
      </c>
      <c r="D64" s="17"/>
      <c r="H64" s="17">
        <f t="shared" si="8"/>
        <v>630</v>
      </c>
      <c r="I64" s="17" t="s">
        <v>800</v>
      </c>
      <c r="J64" s="48"/>
      <c r="K64" s="17"/>
      <c r="L64" s="49"/>
    </row>
    <row r="65" spans="1:12" ht="15" customHeight="1" x14ac:dyDescent="0.25">
      <c r="A65" s="10">
        <v>17</v>
      </c>
      <c r="B65" s="48">
        <f t="shared" si="9"/>
        <v>44721</v>
      </c>
      <c r="C65" s="17">
        <v>210</v>
      </c>
      <c r="D65" s="17"/>
      <c r="H65" s="17">
        <f t="shared" si="8"/>
        <v>840</v>
      </c>
      <c r="I65" s="17" t="s">
        <v>800</v>
      </c>
      <c r="J65" s="48"/>
      <c r="K65" s="17"/>
      <c r="L65" s="49"/>
    </row>
    <row r="66" spans="1:12" ht="15" customHeight="1" x14ac:dyDescent="0.25">
      <c r="A66" s="10">
        <v>18</v>
      </c>
      <c r="B66" s="48">
        <f t="shared" si="9"/>
        <v>44728</v>
      </c>
      <c r="C66" s="17">
        <v>210</v>
      </c>
      <c r="D66" s="17"/>
      <c r="H66" s="17">
        <f t="shared" si="8"/>
        <v>1050</v>
      </c>
      <c r="I66" s="17" t="s">
        <v>800</v>
      </c>
      <c r="J66" s="48"/>
      <c r="K66" s="17"/>
      <c r="L66" s="49"/>
    </row>
    <row r="67" spans="1:12" ht="15" customHeight="1" x14ac:dyDescent="0.25">
      <c r="A67" s="10">
        <v>19</v>
      </c>
      <c r="B67" s="48">
        <f t="shared" si="9"/>
        <v>44735</v>
      </c>
      <c r="C67" s="17">
        <v>210</v>
      </c>
      <c r="D67" s="17">
        <v>500</v>
      </c>
      <c r="E67" s="16">
        <v>44735</v>
      </c>
      <c r="F67" t="s">
        <v>117</v>
      </c>
      <c r="H67" s="17">
        <f t="shared" si="8"/>
        <v>760</v>
      </c>
      <c r="I67" s="17" t="s">
        <v>800</v>
      </c>
      <c r="J67" s="48"/>
      <c r="K67" s="17"/>
      <c r="L67" s="49"/>
    </row>
    <row r="68" spans="1:12" ht="15" customHeight="1" x14ac:dyDescent="0.25">
      <c r="A68" s="10">
        <v>20</v>
      </c>
      <c r="B68" s="48">
        <f t="shared" si="9"/>
        <v>44742</v>
      </c>
      <c r="C68" s="17">
        <v>210</v>
      </c>
      <c r="D68" s="17">
        <v>550</v>
      </c>
      <c r="E68" s="16">
        <v>44748</v>
      </c>
      <c r="F68" t="s">
        <v>117</v>
      </c>
      <c r="H68" s="17">
        <f t="shared" si="8"/>
        <v>420</v>
      </c>
      <c r="I68" s="17" t="s">
        <v>800</v>
      </c>
      <c r="J68" s="48"/>
      <c r="K68" s="17"/>
      <c r="L68" s="49"/>
    </row>
    <row r="69" spans="1:12" ht="15" customHeight="1" x14ac:dyDescent="0.25">
      <c r="A69" s="10">
        <v>21</v>
      </c>
      <c r="B69" s="48">
        <f t="shared" si="9"/>
        <v>44749</v>
      </c>
      <c r="C69" s="17">
        <v>210</v>
      </c>
      <c r="D69" s="17"/>
      <c r="H69" s="17">
        <f t="shared" si="8"/>
        <v>630</v>
      </c>
      <c r="I69" s="17" t="s">
        <v>800</v>
      </c>
      <c r="J69" s="48"/>
      <c r="K69" s="17"/>
      <c r="L69" s="49"/>
    </row>
    <row r="70" spans="1:12" ht="15" customHeight="1" x14ac:dyDescent="0.25">
      <c r="A70" s="10">
        <v>22</v>
      </c>
      <c r="B70" s="48">
        <f>B69+7</f>
        <v>44756</v>
      </c>
      <c r="C70" s="17">
        <v>210</v>
      </c>
      <c r="D70" s="17">
        <v>550</v>
      </c>
      <c r="E70" s="16">
        <v>44770</v>
      </c>
      <c r="F70" t="s">
        <v>117</v>
      </c>
      <c r="H70" s="17">
        <f t="shared" si="8"/>
        <v>290</v>
      </c>
      <c r="I70" s="17" t="s">
        <v>800</v>
      </c>
      <c r="J70" s="48"/>
      <c r="K70" s="17"/>
      <c r="L70" s="49"/>
    </row>
    <row r="71" spans="1:12" ht="15" customHeight="1" x14ac:dyDescent="0.25">
      <c r="A71" s="10">
        <v>23</v>
      </c>
      <c r="B71" s="48">
        <f>B70+7</f>
        <v>44763</v>
      </c>
      <c r="C71" s="17">
        <v>210</v>
      </c>
      <c r="D71" s="17">
        <v>500</v>
      </c>
      <c r="E71" s="16">
        <v>44745</v>
      </c>
      <c r="F71" t="s">
        <v>117</v>
      </c>
      <c r="H71" s="17">
        <f t="shared" si="8"/>
        <v>0</v>
      </c>
      <c r="I71" s="17" t="s">
        <v>800</v>
      </c>
      <c r="J71" s="48"/>
      <c r="K71" s="17"/>
      <c r="L71" s="49"/>
    </row>
    <row r="72" spans="1:12" ht="15" customHeight="1" x14ac:dyDescent="0.25">
      <c r="A72" s="10">
        <v>24</v>
      </c>
      <c r="B72" s="48">
        <f>B71+7</f>
        <v>44770</v>
      </c>
      <c r="C72" s="17">
        <v>210</v>
      </c>
      <c r="D72" s="17"/>
      <c r="E72" s="16"/>
      <c r="H72" s="17">
        <f t="shared" si="8"/>
        <v>210</v>
      </c>
      <c r="I72" s="17" t="s">
        <v>800</v>
      </c>
      <c r="J72" s="48"/>
      <c r="K72" s="17"/>
      <c r="L72" s="49"/>
    </row>
    <row r="73" spans="1:12" x14ac:dyDescent="0.25">
      <c r="A73" s="10">
        <v>25</v>
      </c>
      <c r="B73" s="48">
        <f>B72+7</f>
        <v>44777</v>
      </c>
      <c r="C73" s="17">
        <v>210</v>
      </c>
      <c r="D73" s="17"/>
      <c r="E73" s="16"/>
      <c r="H73" s="17">
        <f t="shared" si="8"/>
        <v>420</v>
      </c>
      <c r="I73" s="17" t="s">
        <v>800</v>
      </c>
      <c r="J73" s="48"/>
      <c r="K73" s="17"/>
      <c r="L73" s="49"/>
    </row>
    <row r="74" spans="1:12" x14ac:dyDescent="0.25">
      <c r="A74" s="10">
        <v>1</v>
      </c>
      <c r="B74" s="48">
        <v>44735</v>
      </c>
      <c r="C74" s="17">
        <v>8510</v>
      </c>
      <c r="D74" s="17">
        <v>8510</v>
      </c>
      <c r="E74" s="16">
        <v>44735</v>
      </c>
      <c r="F74" t="s">
        <v>117</v>
      </c>
      <c r="H74" s="17">
        <f t="shared" ref="H74:H79" si="10">IFERROR(IF(F73="Closed account",(IF(F74="Unpaid Rent",(C74),(C74-D74))),(IF(F74="Unpaid Rent",(C74+H73),(C74-D74+H73)))),"")</f>
        <v>420</v>
      </c>
      <c r="I74" s="17" t="s">
        <v>16</v>
      </c>
      <c r="J74" s="48"/>
      <c r="K74" s="17"/>
      <c r="L74" s="49"/>
    </row>
    <row r="75" spans="1:12" x14ac:dyDescent="0.25">
      <c r="A75" s="10">
        <v>26</v>
      </c>
      <c r="B75" s="48">
        <f>B73+7</f>
        <v>44784</v>
      </c>
      <c r="C75" s="17">
        <v>210</v>
      </c>
      <c r="D75" s="17"/>
      <c r="H75" s="17">
        <f t="shared" si="10"/>
        <v>630</v>
      </c>
      <c r="I75" s="17" t="s">
        <v>800</v>
      </c>
      <c r="J75" s="48"/>
      <c r="K75" s="17"/>
      <c r="L75" s="49"/>
    </row>
    <row r="76" spans="1:12" x14ac:dyDescent="0.25">
      <c r="A76" s="10">
        <v>27</v>
      </c>
      <c r="B76" s="48">
        <f t="shared" ref="B76:B84" si="11">B75+7</f>
        <v>44791</v>
      </c>
      <c r="C76" s="17">
        <v>210</v>
      </c>
      <c r="D76" s="17"/>
      <c r="H76" s="17">
        <f t="shared" si="10"/>
        <v>840</v>
      </c>
      <c r="I76" s="17" t="s">
        <v>800</v>
      </c>
      <c r="J76" s="48"/>
      <c r="K76" s="17"/>
      <c r="L76" s="49"/>
    </row>
    <row r="77" spans="1:12" x14ac:dyDescent="0.25">
      <c r="A77" s="10">
        <v>28</v>
      </c>
      <c r="B77" s="48">
        <f t="shared" si="11"/>
        <v>44798</v>
      </c>
      <c r="C77" s="17">
        <v>210</v>
      </c>
      <c r="D77" s="17"/>
      <c r="H77" s="17">
        <f t="shared" si="10"/>
        <v>1050</v>
      </c>
      <c r="I77" s="17" t="s">
        <v>800</v>
      </c>
      <c r="J77" s="48"/>
      <c r="K77" s="17"/>
      <c r="L77" s="49"/>
    </row>
    <row r="78" spans="1:12" x14ac:dyDescent="0.25">
      <c r="A78" s="10">
        <v>29</v>
      </c>
      <c r="B78" s="48">
        <f t="shared" si="11"/>
        <v>44805</v>
      </c>
      <c r="C78" s="17">
        <v>210</v>
      </c>
      <c r="D78" s="17"/>
      <c r="H78" s="17">
        <f t="shared" si="10"/>
        <v>1260</v>
      </c>
      <c r="I78" s="17" t="s">
        <v>800</v>
      </c>
      <c r="J78" s="48"/>
      <c r="K78" s="17"/>
      <c r="L78" s="49"/>
    </row>
    <row r="79" spans="1:12" x14ac:dyDescent="0.25">
      <c r="A79" s="10">
        <v>30</v>
      </c>
      <c r="B79" s="48">
        <f t="shared" si="11"/>
        <v>44812</v>
      </c>
      <c r="C79" s="17">
        <v>210</v>
      </c>
      <c r="D79" s="17">
        <v>1400</v>
      </c>
      <c r="E79" s="16">
        <v>44842</v>
      </c>
      <c r="F79" t="s">
        <v>117</v>
      </c>
      <c r="H79" s="17">
        <f t="shared" si="10"/>
        <v>70</v>
      </c>
      <c r="I79" s="17" t="s">
        <v>800</v>
      </c>
      <c r="J79" s="48"/>
      <c r="K79" s="17"/>
      <c r="L79" s="49"/>
    </row>
    <row r="80" spans="1:12" x14ac:dyDescent="0.25">
      <c r="A80" s="10">
        <v>31</v>
      </c>
      <c r="B80" s="48">
        <f t="shared" si="11"/>
        <v>44819</v>
      </c>
      <c r="C80" s="17">
        <v>210</v>
      </c>
      <c r="D80" s="17"/>
      <c r="H80" s="17">
        <f t="shared" ref="H80:H102" si="12">IFERROR(IF(F79="Closed account",(IF(F80="Unpaid Rent",(C80),(C80-D80))),(IF(F80="Unpaid Rent",(C80+H79),(C80-D80+H79)))),"")</f>
        <v>280</v>
      </c>
      <c r="I80" s="17" t="s">
        <v>800</v>
      </c>
      <c r="J80" s="48"/>
      <c r="K80" s="17"/>
      <c r="L80" s="49"/>
    </row>
    <row r="81" spans="1:12" x14ac:dyDescent="0.25">
      <c r="A81" s="10">
        <v>32</v>
      </c>
      <c r="B81" s="48">
        <f t="shared" si="11"/>
        <v>44826</v>
      </c>
      <c r="C81" s="17">
        <v>210</v>
      </c>
      <c r="D81" s="17"/>
      <c r="H81" s="17">
        <f t="shared" si="12"/>
        <v>490</v>
      </c>
      <c r="I81" s="17" t="s">
        <v>800</v>
      </c>
      <c r="J81" s="48"/>
      <c r="K81" s="17"/>
      <c r="L81" s="49"/>
    </row>
    <row r="82" spans="1:12" x14ac:dyDescent="0.25">
      <c r="A82" s="10">
        <v>33</v>
      </c>
      <c r="B82" s="48">
        <f t="shared" si="11"/>
        <v>44833</v>
      </c>
      <c r="C82" s="17">
        <v>210</v>
      </c>
      <c r="D82" s="17"/>
      <c r="H82" s="17">
        <f t="shared" si="12"/>
        <v>700</v>
      </c>
      <c r="I82" s="17" t="s">
        <v>800</v>
      </c>
      <c r="J82" s="48"/>
      <c r="K82" s="17"/>
      <c r="L82" s="49"/>
    </row>
    <row r="83" spans="1:12" x14ac:dyDescent="0.25">
      <c r="A83" s="10">
        <v>34</v>
      </c>
      <c r="B83" s="48">
        <f t="shared" si="11"/>
        <v>44840</v>
      </c>
      <c r="C83" s="17">
        <v>210</v>
      </c>
      <c r="D83" s="17">
        <v>400</v>
      </c>
      <c r="E83" s="16">
        <v>44857</v>
      </c>
      <c r="F83" t="s">
        <v>157</v>
      </c>
      <c r="H83" s="17">
        <f t="shared" si="12"/>
        <v>510</v>
      </c>
      <c r="I83" s="17" t="s">
        <v>800</v>
      </c>
      <c r="J83" s="48"/>
      <c r="K83" s="17"/>
      <c r="L83" s="49"/>
    </row>
    <row r="84" spans="1:12" x14ac:dyDescent="0.25">
      <c r="A84" s="10">
        <v>35</v>
      </c>
      <c r="B84" s="48">
        <f t="shared" si="11"/>
        <v>44847</v>
      </c>
      <c r="C84" s="17">
        <v>210</v>
      </c>
      <c r="D84" s="17">
        <v>720</v>
      </c>
      <c r="E84" s="16">
        <v>44862</v>
      </c>
      <c r="F84" t="s">
        <v>124</v>
      </c>
      <c r="H84" s="17">
        <f t="shared" si="12"/>
        <v>0</v>
      </c>
      <c r="I84" s="17" t="s">
        <v>800</v>
      </c>
      <c r="J84" s="48"/>
      <c r="K84" s="17"/>
      <c r="L84" s="49"/>
    </row>
    <row r="85" spans="1:12" x14ac:dyDescent="0.25">
      <c r="A85" s="10">
        <v>1</v>
      </c>
      <c r="B85" s="48">
        <v>44954</v>
      </c>
      <c r="C85" s="17">
        <v>400</v>
      </c>
      <c r="D85" s="17">
        <v>400</v>
      </c>
      <c r="E85" s="16">
        <v>44954</v>
      </c>
      <c r="F85" t="s">
        <v>181</v>
      </c>
      <c r="H85" s="17">
        <f t="shared" si="12"/>
        <v>0</v>
      </c>
      <c r="I85" s="17" t="s">
        <v>866</v>
      </c>
      <c r="J85" s="48"/>
      <c r="K85" s="17"/>
      <c r="L85" s="49"/>
    </row>
    <row r="86" spans="1:12" x14ac:dyDescent="0.25">
      <c r="A86" s="10">
        <v>1</v>
      </c>
      <c r="B86" s="48">
        <v>44954</v>
      </c>
      <c r="C86" s="17">
        <v>250</v>
      </c>
      <c r="D86" s="17">
        <v>250</v>
      </c>
      <c r="E86" s="16">
        <v>44954</v>
      </c>
      <c r="F86" t="s">
        <v>117</v>
      </c>
      <c r="H86" s="17">
        <f t="shared" si="12"/>
        <v>0</v>
      </c>
      <c r="I86" s="17" t="s">
        <v>866</v>
      </c>
      <c r="J86" s="48"/>
      <c r="K86" s="17"/>
      <c r="L86" s="49"/>
    </row>
    <row r="87" spans="1:12" x14ac:dyDescent="0.25">
      <c r="A87" s="10">
        <v>2</v>
      </c>
      <c r="B87" s="48">
        <f t="shared" ref="B87:B92" si="13">B86+7</f>
        <v>44961</v>
      </c>
      <c r="C87" s="17">
        <v>250</v>
      </c>
      <c r="D87" s="17">
        <v>250</v>
      </c>
      <c r="E87" s="16">
        <v>44962</v>
      </c>
      <c r="F87" t="s">
        <v>117</v>
      </c>
      <c r="H87" s="17">
        <f t="shared" si="12"/>
        <v>0</v>
      </c>
      <c r="I87" s="17" t="s">
        <v>866</v>
      </c>
      <c r="J87" s="48"/>
      <c r="K87" s="17"/>
      <c r="L87" s="49"/>
    </row>
    <row r="88" spans="1:12" x14ac:dyDescent="0.25">
      <c r="A88" s="10">
        <v>3</v>
      </c>
      <c r="B88" s="48">
        <f t="shared" si="13"/>
        <v>44968</v>
      </c>
      <c r="C88" s="17">
        <v>250</v>
      </c>
      <c r="D88" s="17">
        <v>250</v>
      </c>
      <c r="E88" s="16">
        <v>44971</v>
      </c>
      <c r="F88" t="s">
        <v>117</v>
      </c>
      <c r="H88" s="17">
        <f t="shared" si="12"/>
        <v>0</v>
      </c>
      <c r="I88" s="17" t="s">
        <v>866</v>
      </c>
      <c r="J88" s="48"/>
      <c r="K88" s="17"/>
      <c r="L88" s="49"/>
    </row>
    <row r="89" spans="1:12" x14ac:dyDescent="0.25">
      <c r="A89" s="10">
        <v>4</v>
      </c>
      <c r="B89" s="48">
        <f t="shared" si="13"/>
        <v>44975</v>
      </c>
      <c r="C89" s="17">
        <v>250</v>
      </c>
      <c r="D89" s="17">
        <v>250</v>
      </c>
      <c r="E89" s="16">
        <v>44978</v>
      </c>
      <c r="F89" t="s">
        <v>117</v>
      </c>
      <c r="H89" s="17">
        <f t="shared" si="12"/>
        <v>0</v>
      </c>
      <c r="I89" s="17" t="s">
        <v>866</v>
      </c>
      <c r="J89" s="48"/>
      <c r="K89" s="17"/>
      <c r="L89" s="49"/>
    </row>
    <row r="90" spans="1:12" x14ac:dyDescent="0.25">
      <c r="A90" s="10">
        <v>5</v>
      </c>
      <c r="B90" s="48">
        <f t="shared" si="13"/>
        <v>44982</v>
      </c>
      <c r="C90" s="17">
        <v>250</v>
      </c>
      <c r="D90" s="17">
        <v>250</v>
      </c>
      <c r="E90" s="16">
        <v>44985</v>
      </c>
      <c r="F90" t="s">
        <v>117</v>
      </c>
      <c r="H90" s="17">
        <f t="shared" si="12"/>
        <v>0</v>
      </c>
      <c r="I90" s="17" t="s">
        <v>866</v>
      </c>
      <c r="J90" s="48"/>
      <c r="K90" s="17"/>
      <c r="L90" s="49"/>
    </row>
    <row r="91" spans="1:12" x14ac:dyDescent="0.25">
      <c r="A91" s="10">
        <v>6</v>
      </c>
      <c r="B91" s="48">
        <f t="shared" si="13"/>
        <v>44989</v>
      </c>
      <c r="C91" s="17">
        <v>250</v>
      </c>
      <c r="D91" s="17">
        <v>250</v>
      </c>
      <c r="E91" s="16">
        <v>44992</v>
      </c>
      <c r="F91" t="s">
        <v>117</v>
      </c>
      <c r="H91" s="17">
        <f t="shared" si="12"/>
        <v>0</v>
      </c>
      <c r="I91" s="17" t="s">
        <v>866</v>
      </c>
      <c r="J91" s="48"/>
      <c r="K91" s="17"/>
      <c r="L91" s="49"/>
    </row>
    <row r="92" spans="1:12" x14ac:dyDescent="0.25">
      <c r="A92" s="10">
        <v>7</v>
      </c>
      <c r="B92" s="48">
        <f t="shared" si="13"/>
        <v>44996</v>
      </c>
      <c r="C92" s="17">
        <v>180</v>
      </c>
      <c r="D92" s="17">
        <v>180</v>
      </c>
      <c r="E92" s="16">
        <v>44998</v>
      </c>
      <c r="F92" t="s">
        <v>117</v>
      </c>
      <c r="H92" s="17">
        <f t="shared" si="12"/>
        <v>0</v>
      </c>
      <c r="I92" s="17" t="s">
        <v>866</v>
      </c>
      <c r="J92" s="48"/>
      <c r="K92" s="17"/>
      <c r="L92" s="49"/>
    </row>
    <row r="93" spans="1:12" x14ac:dyDescent="0.25">
      <c r="A93" s="10">
        <v>8</v>
      </c>
      <c r="B93" s="48">
        <f t="shared" ref="B93:B98" si="14">B92+7</f>
        <v>45003</v>
      </c>
      <c r="C93" s="17">
        <v>250</v>
      </c>
      <c r="D93" s="17">
        <v>250</v>
      </c>
      <c r="E93" s="16">
        <v>45006</v>
      </c>
      <c r="F93" t="s">
        <v>117</v>
      </c>
      <c r="H93" s="17">
        <f t="shared" si="12"/>
        <v>0</v>
      </c>
      <c r="I93" s="17" t="s">
        <v>866</v>
      </c>
      <c r="J93" s="48"/>
      <c r="K93" s="17"/>
      <c r="L93" s="49"/>
    </row>
    <row r="94" spans="1:12" x14ac:dyDescent="0.25">
      <c r="A94" s="10">
        <v>9</v>
      </c>
      <c r="B94" s="48">
        <f t="shared" si="14"/>
        <v>45010</v>
      </c>
      <c r="C94" s="17">
        <v>250</v>
      </c>
      <c r="D94" s="17">
        <v>250</v>
      </c>
      <c r="E94" s="16">
        <v>45012</v>
      </c>
      <c r="F94" t="s">
        <v>117</v>
      </c>
      <c r="H94" s="17">
        <f t="shared" si="12"/>
        <v>0</v>
      </c>
      <c r="I94" s="17" t="s">
        <v>866</v>
      </c>
      <c r="J94" s="48"/>
      <c r="K94" s="17"/>
      <c r="L94" s="49"/>
    </row>
    <row r="95" spans="1:12" x14ac:dyDescent="0.25">
      <c r="A95" s="10">
        <v>10</v>
      </c>
      <c r="B95" s="48">
        <f t="shared" si="14"/>
        <v>45017</v>
      </c>
      <c r="C95" s="17">
        <v>250</v>
      </c>
      <c r="D95" s="17">
        <v>250</v>
      </c>
      <c r="E95" s="16">
        <v>45020</v>
      </c>
      <c r="F95" t="s">
        <v>117</v>
      </c>
      <c r="H95" s="17">
        <f t="shared" si="12"/>
        <v>0</v>
      </c>
      <c r="I95" s="17" t="s">
        <v>866</v>
      </c>
      <c r="J95" s="48"/>
      <c r="K95" s="17"/>
      <c r="L95" s="49"/>
    </row>
    <row r="96" spans="1:12" x14ac:dyDescent="0.25">
      <c r="A96" s="10">
        <v>11</v>
      </c>
      <c r="B96" s="48">
        <f t="shared" si="14"/>
        <v>45024</v>
      </c>
      <c r="C96" s="17">
        <v>250</v>
      </c>
      <c r="D96" s="17">
        <v>250</v>
      </c>
      <c r="E96" s="16">
        <v>45027</v>
      </c>
      <c r="F96" t="s">
        <v>117</v>
      </c>
      <c r="H96" s="17">
        <f t="shared" si="12"/>
        <v>0</v>
      </c>
      <c r="I96" s="17" t="s">
        <v>866</v>
      </c>
      <c r="J96" s="48"/>
      <c r="K96" s="17"/>
      <c r="L96" s="49"/>
    </row>
    <row r="97" spans="1:12" x14ac:dyDescent="0.25">
      <c r="A97" s="10">
        <v>12</v>
      </c>
      <c r="B97" s="48">
        <f t="shared" si="14"/>
        <v>45031</v>
      </c>
      <c r="C97" s="17">
        <v>250</v>
      </c>
      <c r="D97" s="17">
        <v>250</v>
      </c>
      <c r="E97" s="16">
        <v>45033</v>
      </c>
      <c r="F97" t="s">
        <v>117</v>
      </c>
      <c r="H97" s="17">
        <f t="shared" si="12"/>
        <v>0</v>
      </c>
      <c r="I97" s="17" t="s">
        <v>866</v>
      </c>
      <c r="J97" s="48"/>
      <c r="K97" s="17"/>
      <c r="L97" s="49"/>
    </row>
    <row r="98" spans="1:12" x14ac:dyDescent="0.25">
      <c r="A98" s="10">
        <v>13</v>
      </c>
      <c r="B98" s="48">
        <f t="shared" si="14"/>
        <v>45038</v>
      </c>
      <c r="C98" s="17">
        <v>250</v>
      </c>
      <c r="D98" s="17">
        <v>250</v>
      </c>
      <c r="E98" s="16">
        <v>45040</v>
      </c>
      <c r="F98" t="s">
        <v>117</v>
      </c>
      <c r="H98" s="17">
        <f t="shared" si="12"/>
        <v>0</v>
      </c>
      <c r="I98" s="17" t="s">
        <v>866</v>
      </c>
      <c r="J98" s="48"/>
      <c r="K98" s="17"/>
      <c r="L98" s="49"/>
    </row>
    <row r="99" spans="1:12" x14ac:dyDescent="0.25">
      <c r="A99" s="10">
        <v>14</v>
      </c>
      <c r="B99" s="48">
        <f>B98+7</f>
        <v>45045</v>
      </c>
      <c r="C99" s="17">
        <v>250</v>
      </c>
      <c r="D99" s="17">
        <v>250</v>
      </c>
      <c r="E99" s="16">
        <v>45047</v>
      </c>
      <c r="F99" t="s">
        <v>117</v>
      </c>
      <c r="H99" s="17">
        <f t="shared" si="12"/>
        <v>0</v>
      </c>
      <c r="I99" s="17" t="s">
        <v>866</v>
      </c>
      <c r="J99" s="48"/>
      <c r="K99" s="17"/>
      <c r="L99" s="49"/>
    </row>
    <row r="100" spans="1:12" x14ac:dyDescent="0.25">
      <c r="A100" s="10">
        <v>15</v>
      </c>
      <c r="B100" s="48">
        <f>B99+7</f>
        <v>45052</v>
      </c>
      <c r="C100" s="17">
        <v>250</v>
      </c>
      <c r="D100" s="17">
        <v>250</v>
      </c>
      <c r="E100" s="16">
        <v>45055</v>
      </c>
      <c r="F100" t="s">
        <v>117</v>
      </c>
      <c r="H100" s="17">
        <f t="shared" si="12"/>
        <v>0</v>
      </c>
      <c r="I100" s="17" t="s">
        <v>866</v>
      </c>
      <c r="J100" s="48"/>
      <c r="K100" s="17"/>
      <c r="L100" s="49"/>
    </row>
    <row r="101" spans="1:12" x14ac:dyDescent="0.25">
      <c r="A101" s="10">
        <v>16</v>
      </c>
      <c r="B101" s="48">
        <f>B100+7</f>
        <v>45059</v>
      </c>
      <c r="C101" s="17">
        <v>250</v>
      </c>
      <c r="D101" s="17">
        <v>250</v>
      </c>
      <c r="E101" s="16">
        <v>45062</v>
      </c>
      <c r="F101" t="s">
        <v>117</v>
      </c>
      <c r="H101" s="17">
        <f t="shared" si="12"/>
        <v>0</v>
      </c>
      <c r="I101" s="17" t="s">
        <v>866</v>
      </c>
      <c r="J101" s="48"/>
      <c r="K101" s="17"/>
      <c r="L101" s="49"/>
    </row>
    <row r="102" spans="1:12" x14ac:dyDescent="0.25">
      <c r="A102" s="10">
        <v>17</v>
      </c>
      <c r="B102" s="48">
        <f>B101+7</f>
        <v>45066</v>
      </c>
      <c r="C102" s="17">
        <v>250</v>
      </c>
      <c r="D102" s="17">
        <v>250</v>
      </c>
      <c r="E102" s="16">
        <v>45069</v>
      </c>
      <c r="F102" t="s">
        <v>117</v>
      </c>
      <c r="H102" s="17">
        <f t="shared" si="12"/>
        <v>0</v>
      </c>
      <c r="I102" s="17" t="s">
        <v>866</v>
      </c>
      <c r="J102" s="48"/>
      <c r="K102" s="17"/>
      <c r="L102" s="49"/>
    </row>
    <row r="103" spans="1:12" x14ac:dyDescent="0.25">
      <c r="A103"/>
      <c r="B103" s="50"/>
      <c r="J103" s="48"/>
      <c r="K103" s="17"/>
      <c r="L103" s="49"/>
    </row>
    <row r="104" spans="1:12" x14ac:dyDescent="0.25">
      <c r="A104"/>
      <c r="B104" s="50"/>
      <c r="J104" s="48"/>
      <c r="K104" s="17"/>
      <c r="L104" s="49"/>
    </row>
    <row r="105" spans="1:12" x14ac:dyDescent="0.25">
      <c r="A105"/>
      <c r="B105" s="50"/>
      <c r="J105" s="48"/>
      <c r="K105" s="17"/>
      <c r="L105" s="49"/>
    </row>
    <row r="106" spans="1:12" x14ac:dyDescent="0.25">
      <c r="A106"/>
      <c r="B106" s="50"/>
      <c r="J106" s="48"/>
      <c r="K106" s="17"/>
      <c r="L106" s="49"/>
    </row>
    <row r="107" spans="1:12" x14ac:dyDescent="0.25">
      <c r="A107"/>
      <c r="B107" s="50"/>
      <c r="J107" s="48"/>
      <c r="K107" s="17"/>
      <c r="L107" s="49"/>
    </row>
    <row r="108" spans="1:12" x14ac:dyDescent="0.25">
      <c r="A108"/>
      <c r="B108" s="50"/>
      <c r="J108" s="48"/>
      <c r="K108" s="17"/>
      <c r="L108" s="49"/>
    </row>
    <row r="109" spans="1:12" x14ac:dyDescent="0.25">
      <c r="A109"/>
      <c r="B109" s="50"/>
      <c r="J109" s="48"/>
      <c r="K109" s="17"/>
      <c r="L109" s="49"/>
    </row>
    <row r="110" spans="1:12" x14ac:dyDescent="0.25">
      <c r="A110"/>
      <c r="B110" s="50"/>
      <c r="J110" s="48"/>
      <c r="K110" s="17"/>
      <c r="L110" s="49"/>
    </row>
    <row r="111" spans="1:12" x14ac:dyDescent="0.25">
      <c r="A111"/>
      <c r="B111" s="50"/>
      <c r="J111" s="48"/>
      <c r="K111" s="17"/>
      <c r="L111" s="49"/>
    </row>
    <row r="112" spans="1:12" x14ac:dyDescent="0.25">
      <c r="A112"/>
      <c r="B112" s="50"/>
      <c r="J112" s="48"/>
      <c r="K112" s="17"/>
      <c r="L112" s="49"/>
    </row>
    <row r="113" spans="1:12" x14ac:dyDescent="0.25">
      <c r="A113"/>
      <c r="B113" s="50"/>
      <c r="J113" s="48"/>
      <c r="K113" s="17"/>
      <c r="L113" s="49"/>
    </row>
    <row r="114" spans="1:12" x14ac:dyDescent="0.25">
      <c r="A114"/>
      <c r="B114" s="50"/>
      <c r="J114" s="48"/>
      <c r="K114" s="17"/>
      <c r="L114" s="49"/>
    </row>
    <row r="115" spans="1:12" x14ac:dyDescent="0.25">
      <c r="A115"/>
      <c r="B115" s="50"/>
      <c r="J115" s="48"/>
      <c r="K115" s="17"/>
      <c r="L115" s="49"/>
    </row>
    <row r="116" spans="1:12" x14ac:dyDescent="0.25">
      <c r="A116"/>
      <c r="B116" s="50"/>
      <c r="J116" s="48"/>
      <c r="K116" s="17"/>
      <c r="L116" s="49"/>
    </row>
    <row r="117" spans="1:12" x14ac:dyDescent="0.25">
      <c r="A117"/>
      <c r="B117" s="50"/>
      <c r="J117" s="48"/>
      <c r="K117" s="17"/>
      <c r="L117" s="49"/>
    </row>
    <row r="118" spans="1:12" x14ac:dyDescent="0.25">
      <c r="A118"/>
      <c r="B118" s="50"/>
      <c r="J118" s="48"/>
      <c r="K118" s="17"/>
      <c r="L118" s="49"/>
    </row>
    <row r="119" spans="1:12" x14ac:dyDescent="0.25">
      <c r="A119"/>
      <c r="B119" s="50"/>
      <c r="J119" s="48"/>
      <c r="K119" s="17"/>
      <c r="L119" s="49"/>
    </row>
    <row r="120" spans="1:12" x14ac:dyDescent="0.25">
      <c r="A120"/>
      <c r="B120" s="50"/>
      <c r="J120" s="48"/>
      <c r="K120" s="17"/>
      <c r="L120" s="49"/>
    </row>
    <row r="121" spans="1:12" x14ac:dyDescent="0.25">
      <c r="B121" s="50"/>
      <c r="J121" s="48"/>
      <c r="K121" s="17"/>
      <c r="L121" s="49"/>
    </row>
    <row r="122" spans="1:12" x14ac:dyDescent="0.25">
      <c r="B122" s="50"/>
      <c r="J122" s="48"/>
      <c r="K122" s="17"/>
      <c r="L122" s="49"/>
    </row>
    <row r="123" spans="1:12" x14ac:dyDescent="0.25">
      <c r="B123" s="50"/>
      <c r="J123" s="48"/>
      <c r="K123" s="17"/>
      <c r="L123" s="49"/>
    </row>
    <row r="124" spans="1:12" x14ac:dyDescent="0.25">
      <c r="B124" s="50"/>
      <c r="J124" s="48"/>
      <c r="K124" s="17"/>
      <c r="L124" s="49"/>
    </row>
    <row r="125" spans="1:12" x14ac:dyDescent="0.25">
      <c r="B125" s="50"/>
      <c r="J125" s="48"/>
      <c r="K125" s="17"/>
      <c r="L125" s="49"/>
    </row>
    <row r="126" spans="1:12" x14ac:dyDescent="0.25">
      <c r="B126" s="50"/>
      <c r="J126" s="48"/>
      <c r="K126" s="17"/>
      <c r="L126" s="49"/>
    </row>
    <row r="127" spans="1:12" x14ac:dyDescent="0.25">
      <c r="B127" s="50"/>
      <c r="J127" s="48"/>
      <c r="K127" s="17"/>
      <c r="L127" s="49"/>
    </row>
    <row r="128" spans="1:12" x14ac:dyDescent="0.25">
      <c r="B128" s="50"/>
      <c r="J128" s="48"/>
      <c r="K128" s="17"/>
      <c r="L128" s="49"/>
    </row>
    <row r="129" spans="1:12" x14ac:dyDescent="0.25">
      <c r="B129" s="50"/>
      <c r="J129" s="48"/>
      <c r="K129" s="17"/>
      <c r="L129" s="49"/>
    </row>
    <row r="130" spans="1:12" x14ac:dyDescent="0.25">
      <c r="B130" s="50"/>
      <c r="J130" s="48"/>
      <c r="K130" s="17"/>
      <c r="L130" s="49"/>
    </row>
    <row r="131" spans="1:12" x14ac:dyDescent="0.25">
      <c r="B131" s="50"/>
      <c r="J131" s="48"/>
      <c r="K131" s="17"/>
      <c r="L131" s="49"/>
    </row>
    <row r="132" spans="1:12" x14ac:dyDescent="0.25">
      <c r="B132" s="50"/>
      <c r="J132" s="48"/>
      <c r="K132" s="17"/>
      <c r="L132" s="49"/>
    </row>
    <row r="133" spans="1:12" x14ac:dyDescent="0.25">
      <c r="B133" s="50"/>
      <c r="J133" s="48"/>
      <c r="K133" s="17"/>
      <c r="L133" s="49"/>
    </row>
    <row r="134" spans="1:12" x14ac:dyDescent="0.25">
      <c r="B134" s="50"/>
      <c r="J134" s="48"/>
      <c r="K134" s="17"/>
      <c r="L134" s="49"/>
    </row>
    <row r="135" spans="1:12" x14ac:dyDescent="0.25">
      <c r="B135" s="50"/>
      <c r="J135" s="48"/>
      <c r="K135" s="17"/>
      <c r="L135" s="49"/>
    </row>
    <row r="136" spans="1:12" x14ac:dyDescent="0.25">
      <c r="A136" s="10" t="s">
        <v>18</v>
      </c>
      <c r="B136" s="50" t="str">
        <f>IF($A136&lt;&gt;"",IF(_term=26,IF(A136=1,first_payment,B135+14),IF(_term=52,IF(A136=1,first_payment,B135+7),DATE(YEAR(first_payment),MONTH(first_payment)+(A136-1)*per_year,IF(_term=24,IF(1-MOD(A136,2)=1,DAY(first_payment)+14,DAY(first_payment)),DAY(first_payment))))),"")</f>
        <v/>
      </c>
      <c r="H136" t="str">
        <f>IF($A136&lt;&gt;"",$H135-$D136,"")</f>
        <v/>
      </c>
      <c r="J136" s="48"/>
      <c r="K136" s="17"/>
      <c r="L136" s="49"/>
    </row>
    <row r="137" spans="1:12" x14ac:dyDescent="0.25">
      <c r="A137" s="10" t="s">
        <v>18</v>
      </c>
      <c r="B137" s="50" t="str">
        <f>IF($A137&lt;&gt;"",IF(_term=26,IF(A137=1,first_payment,B136+14),IF(_term=52,IF(A137=1,first_payment,B136+7),DATE(YEAR(first_payment),MONTH(first_payment)+(A137-1)*per_year,IF(_term=24,IF(1-MOD(A137,2)=1,DAY(first_payment)+14,DAY(first_payment)),DAY(first_payment))))),"")</f>
        <v/>
      </c>
      <c r="H137" t="str">
        <f>IF($A137&lt;&gt;"",$H136-$D137,"")</f>
        <v/>
      </c>
      <c r="J137" s="48"/>
      <c r="K137" s="17"/>
      <c r="L137" s="49"/>
    </row>
    <row r="138" spans="1:12" x14ac:dyDescent="0.25">
      <c r="A138" s="10" t="s">
        <v>18</v>
      </c>
      <c r="B138" s="50" t="str">
        <f>IF($A138&lt;&gt;"",IF(_term=26,IF(A138=1,first_payment,B137+14),IF(_term=52,IF(A138=1,first_payment,B137+7),DATE(YEAR(first_payment),MONTH(first_payment)+(A138-1)*per_year,IF(_term=24,IF(1-MOD(A138,2)=1,DAY(first_payment)+14,DAY(first_payment)),DAY(first_payment))))),"")</f>
        <v/>
      </c>
      <c r="H138" t="str">
        <f>IF($A138&lt;&gt;"",$H137-$D138,"")</f>
        <v/>
      </c>
      <c r="J138" s="48"/>
      <c r="K138" s="17"/>
      <c r="L138" s="49"/>
    </row>
    <row r="139" spans="1:12" x14ac:dyDescent="0.25">
      <c r="A139" s="10" t="s">
        <v>18</v>
      </c>
      <c r="B139" s="50" t="str">
        <f>IF($A139&lt;&gt;"",IF(_term=26,IF(A139=1,first_payment,B138+14),IF(_term=52,IF(A139=1,first_payment,B138+7),DATE(YEAR(first_payment),MONTH(first_payment)+(A139-1)*per_year,IF(_term=24,IF(1-MOD(A139,2)=1,DAY(first_payment)+14,DAY(first_payment)),DAY(first_payment))))),"")</f>
        <v/>
      </c>
      <c r="H139" t="str">
        <f>IF($A139&lt;&gt;"",$H138-$D139,"")</f>
        <v/>
      </c>
      <c r="J139" s="48"/>
      <c r="K139" s="17"/>
      <c r="L139" s="49"/>
    </row>
    <row r="140" spans="1:12" ht="15" customHeight="1" x14ac:dyDescent="0.25">
      <c r="J140" s="48"/>
      <c r="K140" s="17"/>
      <c r="L140" s="49"/>
    </row>
    <row r="141" spans="1:12" ht="15" customHeight="1" x14ac:dyDescent="0.25">
      <c r="J141" s="48"/>
      <c r="K141" s="17"/>
      <c r="L141" s="49"/>
    </row>
    <row r="142" spans="1:12" ht="15" customHeight="1" x14ac:dyDescent="0.25">
      <c r="J142" s="48"/>
      <c r="K142" s="17"/>
      <c r="L142" s="49"/>
    </row>
    <row r="143" spans="1:12" ht="15" customHeight="1" x14ac:dyDescent="0.25">
      <c r="J143" s="48"/>
      <c r="K143" s="17"/>
      <c r="L143" s="49"/>
    </row>
    <row r="144" spans="1:12" ht="15" customHeight="1" x14ac:dyDescent="0.25">
      <c r="J144" s="48"/>
      <c r="K144" s="17"/>
      <c r="L144" s="49"/>
    </row>
    <row r="145" spans="10:12" ht="15" customHeight="1" x14ac:dyDescent="0.25">
      <c r="J145" s="48"/>
      <c r="K145" s="17"/>
      <c r="L145" s="49"/>
    </row>
    <row r="146" spans="10:12" ht="15" customHeight="1" x14ac:dyDescent="0.25">
      <c r="J146" s="48"/>
      <c r="K146" s="17"/>
      <c r="L146" s="49"/>
    </row>
    <row r="147" spans="10:12" ht="15" customHeight="1" x14ac:dyDescent="0.25">
      <c r="J147" s="48"/>
      <c r="K147" s="17"/>
      <c r="L147" s="49"/>
    </row>
    <row r="148" spans="10:12" ht="15" customHeight="1" x14ac:dyDescent="0.25">
      <c r="J148" s="48"/>
      <c r="K148" s="17"/>
      <c r="L148" s="49"/>
    </row>
    <row r="149" spans="10:12" ht="15" customHeight="1" x14ac:dyDescent="0.25">
      <c r="J149" s="48"/>
      <c r="K149" s="17"/>
      <c r="L149" s="49"/>
    </row>
    <row r="150" spans="10:12" ht="15" customHeight="1" x14ac:dyDescent="0.25">
      <c r="J150" s="48"/>
      <c r="K150" s="17"/>
      <c r="L150" s="49"/>
    </row>
    <row r="151" spans="10:12" ht="15" customHeight="1" x14ac:dyDescent="0.25">
      <c r="J151" s="48"/>
      <c r="K151" s="17"/>
      <c r="L151" s="49"/>
    </row>
    <row r="152" spans="10:12" ht="15" customHeight="1" x14ac:dyDescent="0.25">
      <c r="J152" s="48"/>
      <c r="K152" s="17"/>
      <c r="L152" s="49"/>
    </row>
    <row r="153" spans="10:12" ht="15" customHeight="1" x14ac:dyDescent="0.25">
      <c r="J153" s="48"/>
      <c r="K153" s="17"/>
      <c r="L153" s="49"/>
    </row>
    <row r="154" spans="10:12" ht="15" customHeight="1" x14ac:dyDescent="0.25">
      <c r="J154" s="48"/>
      <c r="K154" s="17"/>
      <c r="L154" s="49"/>
    </row>
    <row r="155" spans="10:12" ht="15" customHeight="1" x14ac:dyDescent="0.25">
      <c r="J155" s="48"/>
      <c r="K155" s="17"/>
      <c r="L155" s="49"/>
    </row>
    <row r="156" spans="10:12" ht="15" customHeight="1" x14ac:dyDescent="0.25">
      <c r="J156" s="48"/>
      <c r="K156" s="17"/>
      <c r="L156" s="49"/>
    </row>
    <row r="157" spans="10:12" ht="15" customHeight="1" x14ac:dyDescent="0.25">
      <c r="J157" s="48"/>
      <c r="K157" s="17"/>
      <c r="L157" s="49"/>
    </row>
    <row r="158" spans="10:12" ht="15" customHeight="1" x14ac:dyDescent="0.25">
      <c r="J158" s="48"/>
      <c r="K158" s="17"/>
      <c r="L158" s="49"/>
    </row>
    <row r="159" spans="10:12" ht="15" customHeight="1" x14ac:dyDescent="0.25">
      <c r="J159" s="48"/>
      <c r="K159" s="17"/>
      <c r="L159" s="49"/>
    </row>
    <row r="160" spans="10:12" ht="15" customHeight="1" x14ac:dyDescent="0.25">
      <c r="J160" s="48"/>
      <c r="K160" s="17"/>
      <c r="L160" s="49"/>
    </row>
    <row r="161" spans="10:12" ht="15" customHeight="1" x14ac:dyDescent="0.25">
      <c r="J161" s="48"/>
      <c r="K161" s="17"/>
      <c r="L161" s="49"/>
    </row>
    <row r="162" spans="10:12" ht="15" customHeight="1" x14ac:dyDescent="0.25">
      <c r="J162" s="48"/>
      <c r="K162" s="17"/>
      <c r="L162" s="49"/>
    </row>
    <row r="163" spans="10:12" ht="15" customHeight="1" x14ac:dyDescent="0.25">
      <c r="J163" s="48"/>
      <c r="K163" s="17"/>
      <c r="L163" s="49"/>
    </row>
    <row r="164" spans="10:12" ht="15" customHeight="1" x14ac:dyDescent="0.25">
      <c r="J164" s="48"/>
      <c r="K164" s="17"/>
      <c r="L164" s="49"/>
    </row>
    <row r="165" spans="10:12" ht="15" customHeight="1" x14ac:dyDescent="0.25">
      <c r="J165" s="48"/>
      <c r="K165" s="17"/>
      <c r="L165" s="49"/>
    </row>
    <row r="166" spans="10:12" ht="15" customHeight="1" x14ac:dyDescent="0.25">
      <c r="J166" s="48"/>
      <c r="K166" s="17"/>
      <c r="L166" s="49"/>
    </row>
    <row r="167" spans="10:12" ht="15" customHeight="1" x14ac:dyDescent="0.25">
      <c r="J167" s="48"/>
      <c r="K167" s="17"/>
      <c r="L167" s="49"/>
    </row>
    <row r="168" spans="10:12" ht="15" customHeight="1" x14ac:dyDescent="0.25">
      <c r="J168" s="48"/>
      <c r="K168" s="17"/>
      <c r="L168" s="49"/>
    </row>
    <row r="169" spans="10:12" ht="15" customHeight="1" x14ac:dyDescent="0.25">
      <c r="J169" s="48"/>
      <c r="K169" s="17"/>
      <c r="L169" s="49"/>
    </row>
    <row r="170" spans="10:12" ht="15" customHeight="1" x14ac:dyDescent="0.25">
      <c r="J170" s="48"/>
      <c r="K170" s="17"/>
      <c r="L170" s="49"/>
    </row>
    <row r="171" spans="10:12" ht="15" customHeight="1" x14ac:dyDescent="0.25">
      <c r="J171" s="48"/>
      <c r="K171" s="17"/>
      <c r="L171" s="49"/>
    </row>
    <row r="172" spans="10:12" ht="15" customHeight="1" x14ac:dyDescent="0.25">
      <c r="J172" s="48"/>
      <c r="K172" s="17"/>
      <c r="L172" s="49"/>
    </row>
    <row r="173" spans="10:12" ht="15" customHeight="1" x14ac:dyDescent="0.25">
      <c r="J173" s="48"/>
      <c r="K173" s="17"/>
      <c r="L173" s="49"/>
    </row>
    <row r="174" spans="10:12" ht="15" customHeight="1" x14ac:dyDescent="0.25">
      <c r="J174" s="48"/>
      <c r="K174" s="17"/>
      <c r="L174" s="49"/>
    </row>
    <row r="175" spans="10:12" ht="15" customHeight="1" x14ac:dyDescent="0.25">
      <c r="J175" s="48"/>
      <c r="K175" s="17"/>
      <c r="L175" s="49"/>
    </row>
    <row r="176" spans="10:12" ht="15" customHeight="1" x14ac:dyDescent="0.25">
      <c r="J176" s="48"/>
      <c r="K176" s="17"/>
      <c r="L176" s="49"/>
    </row>
    <row r="177" spans="10:12" ht="15" customHeight="1" x14ac:dyDescent="0.25">
      <c r="J177" s="48"/>
      <c r="K177" s="17"/>
      <c r="L177" s="49"/>
    </row>
    <row r="178" spans="10:12" ht="15" customHeight="1" x14ac:dyDescent="0.25">
      <c r="J178" s="48"/>
      <c r="K178" s="17"/>
      <c r="L178" s="49"/>
    </row>
    <row r="179" spans="10:12" ht="15" customHeight="1" x14ac:dyDescent="0.25">
      <c r="J179" s="48"/>
      <c r="K179" s="17"/>
      <c r="L179" s="49"/>
    </row>
    <row r="180" spans="10:12" ht="15" customHeight="1" x14ac:dyDescent="0.25">
      <c r="J180" s="48"/>
      <c r="K180" s="17"/>
      <c r="L180" s="49"/>
    </row>
    <row r="181" spans="10:12" ht="15" customHeight="1" x14ac:dyDescent="0.25">
      <c r="J181" s="48"/>
      <c r="K181" s="17"/>
      <c r="L181" s="49"/>
    </row>
    <row r="182" spans="10:12" ht="15" customHeight="1" x14ac:dyDescent="0.25">
      <c r="J182" s="48"/>
      <c r="K182" s="17"/>
      <c r="L182" s="49"/>
    </row>
    <row r="183" spans="10:12" ht="15" customHeight="1" x14ac:dyDescent="0.25">
      <c r="J183" s="48"/>
      <c r="K183" s="17"/>
      <c r="L183" s="49"/>
    </row>
    <row r="184" spans="10:12" ht="15" customHeight="1" x14ac:dyDescent="0.25">
      <c r="J184" s="48"/>
      <c r="K184" s="17"/>
      <c r="L184" s="49"/>
    </row>
    <row r="185" spans="10:12" ht="15" customHeight="1" x14ac:dyDescent="0.25">
      <c r="J185" s="48"/>
      <c r="K185" s="17"/>
      <c r="L185" s="49"/>
    </row>
    <row r="186" spans="10:12" ht="15" customHeight="1" x14ac:dyDescent="0.25">
      <c r="J186" s="48"/>
      <c r="K186" s="17"/>
      <c r="L186" s="49"/>
    </row>
    <row r="187" spans="10:12" ht="15" customHeight="1" x14ac:dyDescent="0.25">
      <c r="J187" s="48"/>
      <c r="K187" s="17"/>
      <c r="L187" s="49"/>
    </row>
    <row r="188" spans="10:12" ht="15" customHeight="1" x14ac:dyDescent="0.25">
      <c r="J188" s="48"/>
      <c r="K188" s="17"/>
      <c r="L188" s="49"/>
    </row>
    <row r="189" spans="10:12" ht="15" customHeight="1" x14ac:dyDescent="0.25">
      <c r="J189" s="48"/>
      <c r="K189" s="17"/>
      <c r="L189" s="49"/>
    </row>
    <row r="190" spans="10:12" ht="15" customHeight="1" x14ac:dyDescent="0.25">
      <c r="J190" s="48"/>
      <c r="K190" s="17"/>
      <c r="L190" s="49"/>
    </row>
    <row r="191" spans="10:12" ht="15" customHeight="1" x14ac:dyDescent="0.25">
      <c r="J191" s="48"/>
      <c r="K191" s="17"/>
      <c r="L191" s="49"/>
    </row>
    <row r="192" spans="10:12" ht="15" customHeight="1" x14ac:dyDescent="0.25">
      <c r="J192" s="48"/>
      <c r="K192" s="17"/>
      <c r="L192" s="49"/>
    </row>
    <row r="193" spans="10:12" ht="15" customHeight="1" x14ac:dyDescent="0.25">
      <c r="J193" s="48"/>
      <c r="K193" s="17"/>
      <c r="L193" s="49"/>
    </row>
    <row r="194" spans="10:12" ht="15" customHeight="1" x14ac:dyDescent="0.25">
      <c r="J194" s="48"/>
      <c r="K194" s="17"/>
      <c r="L194" s="49"/>
    </row>
    <row r="195" spans="10:12" ht="15" customHeight="1" x14ac:dyDescent="0.25">
      <c r="J195" s="48"/>
      <c r="K195" s="17"/>
      <c r="L195" s="49"/>
    </row>
    <row r="196" spans="10:12" ht="15" customHeight="1" x14ac:dyDescent="0.25">
      <c r="J196" s="48"/>
      <c r="K196" s="17"/>
      <c r="L196" s="49"/>
    </row>
    <row r="197" spans="10:12" ht="15" customHeight="1" x14ac:dyDescent="0.25">
      <c r="J197" s="48"/>
      <c r="K197" s="17"/>
      <c r="L197" s="49"/>
    </row>
    <row r="198" spans="10:12" ht="15" customHeight="1" x14ac:dyDescent="0.25">
      <c r="J198" s="48"/>
      <c r="K198" s="17"/>
      <c r="L198" s="49"/>
    </row>
    <row r="199" spans="10:12" ht="15" customHeight="1" x14ac:dyDescent="0.25">
      <c r="J199" s="48"/>
      <c r="K199" s="17"/>
      <c r="L199" s="49"/>
    </row>
    <row r="200" spans="10:12" ht="15" customHeight="1" x14ac:dyDescent="0.25">
      <c r="J200" s="48"/>
      <c r="K200" s="17"/>
      <c r="L200" s="49"/>
    </row>
    <row r="201" spans="10:12" ht="15" customHeight="1" x14ac:dyDescent="0.25">
      <c r="J201" s="48"/>
      <c r="K201" s="17"/>
      <c r="L201" s="49"/>
    </row>
    <row r="202" spans="10:12" ht="15" customHeight="1" x14ac:dyDescent="0.25">
      <c r="J202" s="48"/>
      <c r="K202" s="17"/>
      <c r="L202" s="49"/>
    </row>
    <row r="203" spans="10:12" ht="15" customHeight="1" x14ac:dyDescent="0.25">
      <c r="J203" s="48"/>
      <c r="K203" s="17"/>
      <c r="L203" s="49"/>
    </row>
    <row r="204" spans="10:12" ht="15" customHeight="1" x14ac:dyDescent="0.25">
      <c r="J204" s="48"/>
      <c r="K204" s="17"/>
      <c r="L204" s="49"/>
    </row>
    <row r="205" spans="10:12" ht="15" customHeight="1" x14ac:dyDescent="0.25">
      <c r="J205" s="48"/>
      <c r="K205" s="17"/>
      <c r="L205" s="49"/>
    </row>
    <row r="206" spans="10:12" ht="15" customHeight="1" x14ac:dyDescent="0.25">
      <c r="J206" s="48"/>
      <c r="K206" s="17"/>
      <c r="L206" s="49"/>
    </row>
    <row r="207" spans="10:12" ht="15" customHeight="1" x14ac:dyDescent="0.25">
      <c r="J207" s="48"/>
      <c r="K207" s="17"/>
      <c r="L207" s="49"/>
    </row>
    <row r="208" spans="10:12" ht="15" customHeight="1" x14ac:dyDescent="0.25">
      <c r="J208" s="48"/>
      <c r="K208" s="17"/>
      <c r="L208" s="49"/>
    </row>
    <row r="209" spans="10:12" ht="15" customHeight="1" x14ac:dyDescent="0.25">
      <c r="J209" s="48"/>
      <c r="K209" s="17"/>
      <c r="L209" s="49"/>
    </row>
    <row r="210" spans="10:12" ht="15" customHeight="1" x14ac:dyDescent="0.25">
      <c r="J210" s="48"/>
      <c r="K210" s="17"/>
      <c r="L210" s="49"/>
    </row>
    <row r="211" spans="10:12" ht="15" customHeight="1" x14ac:dyDescent="0.25">
      <c r="J211" s="48"/>
      <c r="K211" s="17"/>
      <c r="L211" s="49"/>
    </row>
    <row r="212" spans="10:12" ht="15" customHeight="1" x14ac:dyDescent="0.25">
      <c r="J212" s="48"/>
      <c r="K212" s="17"/>
      <c r="L212" s="49"/>
    </row>
    <row r="213" spans="10:12" ht="15" customHeight="1" x14ac:dyDescent="0.25">
      <c r="J213" s="48"/>
      <c r="K213" s="17"/>
      <c r="L213" s="49"/>
    </row>
    <row r="214" spans="10:12" ht="15" customHeight="1" x14ac:dyDescent="0.25">
      <c r="J214" s="48"/>
      <c r="K214" s="17"/>
      <c r="L214" s="49"/>
    </row>
    <row r="215" spans="10:12" ht="15" customHeight="1" x14ac:dyDescent="0.25">
      <c r="J215" s="48"/>
      <c r="K215" s="17"/>
      <c r="L215" s="49"/>
    </row>
    <row r="216" spans="10:12" ht="15" customHeight="1" x14ac:dyDescent="0.25">
      <c r="J216" s="48"/>
      <c r="K216" s="17"/>
      <c r="L216" s="49"/>
    </row>
    <row r="217" spans="10:12" ht="15" customHeight="1" x14ac:dyDescent="0.25">
      <c r="J217" s="48"/>
      <c r="K217" s="17"/>
      <c r="L217" s="49"/>
    </row>
    <row r="218" spans="10:12" ht="15" customHeight="1" x14ac:dyDescent="0.25">
      <c r="J218" s="48"/>
      <c r="K218" s="17"/>
      <c r="L218" s="49"/>
    </row>
    <row r="219" spans="10:12" ht="15" customHeight="1" x14ac:dyDescent="0.25">
      <c r="J219" s="48"/>
      <c r="K219" s="17"/>
      <c r="L219" s="49"/>
    </row>
    <row r="220" spans="10:12" ht="15" customHeight="1" x14ac:dyDescent="0.25">
      <c r="J220" s="48"/>
      <c r="K220" s="17"/>
      <c r="L220" s="49"/>
    </row>
    <row r="221" spans="10:12" ht="15" customHeight="1" x14ac:dyDescent="0.25">
      <c r="J221" s="48"/>
      <c r="K221" s="17"/>
      <c r="L221" s="49"/>
    </row>
    <row r="222" spans="10:12" ht="15" customHeight="1" x14ac:dyDescent="0.25">
      <c r="J222" s="48"/>
      <c r="K222" s="17"/>
      <c r="L222" s="49"/>
    </row>
    <row r="223" spans="10:12" ht="15" customHeight="1" x14ac:dyDescent="0.25">
      <c r="J223" s="48"/>
      <c r="K223" s="17"/>
      <c r="L223" s="49"/>
    </row>
    <row r="224" spans="10:12" ht="15" customHeight="1" x14ac:dyDescent="0.25">
      <c r="J224" s="48"/>
      <c r="K224" s="17"/>
      <c r="L224" s="49"/>
    </row>
    <row r="225" spans="10:12" ht="15" customHeight="1" x14ac:dyDescent="0.25">
      <c r="J225" s="48"/>
      <c r="K225" s="17"/>
      <c r="L225" s="49"/>
    </row>
    <row r="226" spans="10:12" ht="15" customHeight="1" x14ac:dyDescent="0.25">
      <c r="J226" s="48"/>
      <c r="K226" s="17"/>
      <c r="L226" s="49"/>
    </row>
    <row r="227" spans="10:12" ht="15" customHeight="1" x14ac:dyDescent="0.25">
      <c r="J227" s="48"/>
      <c r="K227" s="17"/>
      <c r="L227" s="49"/>
    </row>
    <row r="228" spans="10:12" ht="15" customHeight="1" x14ac:dyDescent="0.25">
      <c r="J228" s="48"/>
      <c r="K228" s="17"/>
      <c r="L228" s="49"/>
    </row>
    <row r="229" spans="10:12" ht="15" customHeight="1" x14ac:dyDescent="0.25">
      <c r="J229" s="48"/>
      <c r="K229" s="17"/>
      <c r="L229" s="49"/>
    </row>
    <row r="230" spans="10:12" ht="15" customHeight="1" x14ac:dyDescent="0.25">
      <c r="J230" s="48"/>
      <c r="K230" s="17"/>
      <c r="L230" s="49"/>
    </row>
    <row r="231" spans="10:12" ht="15" customHeight="1" x14ac:dyDescent="0.25">
      <c r="J231" s="48"/>
      <c r="K231" s="17"/>
      <c r="L231" s="49"/>
    </row>
    <row r="232" spans="10:12" ht="15" customHeight="1" x14ac:dyDescent="0.25">
      <c r="J232" s="48"/>
      <c r="K232" s="17"/>
      <c r="L232" s="49"/>
    </row>
    <row r="233" spans="10:12" ht="15" customHeight="1" x14ac:dyDescent="0.25">
      <c r="J233" s="48"/>
      <c r="K233" s="17"/>
      <c r="L233" s="49"/>
    </row>
    <row r="234" spans="10:12" ht="15" customHeight="1" x14ac:dyDescent="0.25">
      <c r="J234" s="48"/>
      <c r="K234" s="17"/>
      <c r="L234" s="49"/>
    </row>
    <row r="235" spans="10:12" ht="15" customHeight="1" x14ac:dyDescent="0.25">
      <c r="J235" s="48"/>
      <c r="K235" s="17"/>
      <c r="L235" s="49"/>
    </row>
    <row r="236" spans="10:12" ht="15" customHeight="1" x14ac:dyDescent="0.25">
      <c r="J236" s="48"/>
      <c r="K236" s="17"/>
      <c r="L236" s="49"/>
    </row>
    <row r="237" spans="10:12" ht="15" customHeight="1" x14ac:dyDescent="0.25">
      <c r="J237" s="48"/>
      <c r="K237" s="17"/>
      <c r="L237" s="49"/>
    </row>
    <row r="238" spans="10:12" ht="15" customHeight="1" x14ac:dyDescent="0.25">
      <c r="J238" s="48"/>
      <c r="K238" s="17"/>
      <c r="L238" s="49"/>
    </row>
    <row r="239" spans="10:12" ht="15" customHeight="1" x14ac:dyDescent="0.25">
      <c r="J239" s="48"/>
      <c r="K239" s="17"/>
      <c r="L239" s="49"/>
    </row>
    <row r="240" spans="10:12" ht="15" customHeight="1" x14ac:dyDescent="0.25">
      <c r="J240" s="48"/>
      <c r="K240" s="17"/>
      <c r="L240" s="49"/>
    </row>
    <row r="241" spans="10:12" ht="15" customHeight="1" x14ac:dyDescent="0.25">
      <c r="J241" s="48"/>
      <c r="K241" s="17"/>
      <c r="L241" s="49"/>
    </row>
    <row r="242" spans="10:12" ht="15" customHeight="1" x14ac:dyDescent="0.25">
      <c r="J242" s="48"/>
      <c r="K242" s="17"/>
      <c r="L242" s="49"/>
    </row>
    <row r="243" spans="10:12" ht="15" customHeight="1" x14ac:dyDescent="0.25">
      <c r="J243" s="48"/>
      <c r="K243" s="17"/>
      <c r="L243" s="49"/>
    </row>
    <row r="244" spans="10:12" ht="15" customHeight="1" x14ac:dyDescent="0.25">
      <c r="J244" s="48"/>
      <c r="K244" s="17"/>
      <c r="L244" s="49"/>
    </row>
    <row r="245" spans="10:12" ht="15" customHeight="1" x14ac:dyDescent="0.25">
      <c r="J245" s="48"/>
      <c r="K245" s="17"/>
      <c r="L245" s="49"/>
    </row>
    <row r="246" spans="10:12" ht="15" customHeight="1" x14ac:dyDescent="0.25">
      <c r="J246" s="48"/>
      <c r="K246" s="17"/>
      <c r="L246" s="49"/>
    </row>
    <row r="247" spans="10:12" ht="15" customHeight="1" x14ac:dyDescent="0.25">
      <c r="J247" s="48"/>
      <c r="K247" s="17"/>
      <c r="L247" s="49"/>
    </row>
    <row r="248" spans="10:12" ht="15" customHeight="1" x14ac:dyDescent="0.25">
      <c r="J248" s="48"/>
      <c r="K248" s="17"/>
      <c r="L248" s="49"/>
    </row>
    <row r="249" spans="10:12" ht="15" customHeight="1" x14ac:dyDescent="0.25">
      <c r="J249" s="48"/>
      <c r="K249" s="17"/>
      <c r="L249" s="49"/>
    </row>
    <row r="250" spans="10:12" ht="15" customHeight="1" x14ac:dyDescent="0.25">
      <c r="J250" s="48"/>
      <c r="K250" s="17"/>
      <c r="L250" s="49"/>
    </row>
    <row r="251" spans="10:12" ht="15" customHeight="1" x14ac:dyDescent="0.25">
      <c r="J251" s="48"/>
      <c r="K251" s="17"/>
      <c r="L251" s="49"/>
    </row>
    <row r="252" spans="10:12" ht="15" customHeight="1" x14ac:dyDescent="0.25">
      <c r="J252" s="48"/>
      <c r="K252" s="17"/>
      <c r="L252" s="49"/>
    </row>
    <row r="253" spans="10:12" ht="15" customHeight="1" x14ac:dyDescent="0.25">
      <c r="J253" s="48"/>
      <c r="K253" s="17"/>
      <c r="L253" s="49"/>
    </row>
    <row r="254" spans="10:12" ht="15" customHeight="1" x14ac:dyDescent="0.25">
      <c r="J254" s="48"/>
      <c r="K254" s="17"/>
      <c r="L254" s="49"/>
    </row>
    <row r="255" spans="10:12" ht="15" customHeight="1" x14ac:dyDescent="0.25">
      <c r="J255" s="48"/>
      <c r="K255" s="17"/>
      <c r="L255" s="49"/>
    </row>
    <row r="256" spans="10:12" ht="15" customHeight="1" x14ac:dyDescent="0.25">
      <c r="J256" s="48"/>
      <c r="K256" s="17"/>
      <c r="L256" s="49"/>
    </row>
    <row r="257" spans="10:12" ht="15" customHeight="1" x14ac:dyDescent="0.25">
      <c r="J257" s="48"/>
      <c r="K257" s="17"/>
      <c r="L257" s="49"/>
    </row>
    <row r="258" spans="10:12" ht="15" customHeight="1" x14ac:dyDescent="0.25">
      <c r="J258" s="48"/>
      <c r="K258" s="17"/>
      <c r="L258" s="49"/>
    </row>
    <row r="259" spans="10:12" ht="15" customHeight="1" x14ac:dyDescent="0.25">
      <c r="J259" s="48"/>
      <c r="K259" s="17"/>
      <c r="L259" s="49"/>
    </row>
    <row r="260" spans="10:12" ht="15" customHeight="1" x14ac:dyDescent="0.25">
      <c r="J260" s="48"/>
      <c r="K260" s="17"/>
      <c r="L260" s="49"/>
    </row>
    <row r="261" spans="10:12" ht="15" customHeight="1" x14ac:dyDescent="0.25">
      <c r="J261" s="48"/>
      <c r="K261" s="17"/>
      <c r="L261" s="49"/>
    </row>
    <row r="262" spans="10:12" ht="15" customHeight="1" x14ac:dyDescent="0.25">
      <c r="J262" s="48"/>
      <c r="K262" s="17"/>
      <c r="L262" s="49"/>
    </row>
    <row r="263" spans="10:12" ht="15" customHeight="1" x14ac:dyDescent="0.25">
      <c r="J263" s="48"/>
      <c r="K263" s="17"/>
      <c r="L263" s="49"/>
    </row>
    <row r="264" spans="10:12" ht="15" customHeight="1" x14ac:dyDescent="0.25">
      <c r="J264" s="48"/>
      <c r="K264" s="17"/>
      <c r="L264" s="49"/>
    </row>
    <row r="265" spans="10:12" ht="15" customHeight="1" x14ac:dyDescent="0.25">
      <c r="J265" s="48"/>
      <c r="K265" s="17"/>
      <c r="L265" s="49"/>
    </row>
    <row r="266" spans="10:12" ht="15" customHeight="1" x14ac:dyDescent="0.25">
      <c r="J266" s="48"/>
      <c r="K266" s="17"/>
      <c r="L266" s="49"/>
    </row>
    <row r="267" spans="10:12" ht="15" customHeight="1" x14ac:dyDescent="0.25">
      <c r="J267" s="48"/>
      <c r="K267" s="17"/>
      <c r="L267" s="49"/>
    </row>
    <row r="268" spans="10:12" ht="15" customHeight="1" x14ac:dyDescent="0.25">
      <c r="J268" s="48"/>
      <c r="K268" s="17"/>
      <c r="L268" s="49"/>
    </row>
    <row r="269" spans="10:12" ht="15" customHeight="1" x14ac:dyDescent="0.25">
      <c r="J269" s="48"/>
      <c r="K269" s="17"/>
      <c r="L269" s="49"/>
    </row>
    <row r="270" spans="10:12" ht="15" customHeight="1" x14ac:dyDescent="0.25">
      <c r="J270" s="48"/>
      <c r="K270" s="17"/>
      <c r="L270" s="49"/>
    </row>
    <row r="271" spans="10:12" ht="15" customHeight="1" x14ac:dyDescent="0.25">
      <c r="J271" s="48"/>
      <c r="K271" s="17"/>
      <c r="L271" s="49"/>
    </row>
    <row r="272" spans="10:12" ht="15" customHeight="1" x14ac:dyDescent="0.25">
      <c r="J272" s="48"/>
      <c r="K272" s="17"/>
      <c r="L272" s="49"/>
    </row>
    <row r="273" spans="10:12" ht="15" customHeight="1" x14ac:dyDescent="0.25">
      <c r="J273" s="48"/>
      <c r="K273" s="17"/>
      <c r="L273" s="49"/>
    </row>
    <row r="274" spans="10:12" ht="15" customHeight="1" x14ac:dyDescent="0.25">
      <c r="J274" s="48"/>
      <c r="K274" s="17"/>
      <c r="L274" s="49"/>
    </row>
    <row r="275" spans="10:12" ht="15" customHeight="1" x14ac:dyDescent="0.25">
      <c r="J275" s="48"/>
      <c r="K275" s="17"/>
      <c r="L275" s="49"/>
    </row>
    <row r="276" spans="10:12" ht="15" customHeight="1" x14ac:dyDescent="0.25">
      <c r="J276" s="48"/>
      <c r="K276" s="17"/>
      <c r="L276" s="49"/>
    </row>
    <row r="277" spans="10:12" ht="15" customHeight="1" x14ac:dyDescent="0.25">
      <c r="J277" s="48"/>
      <c r="K277" s="17"/>
      <c r="L277" s="49"/>
    </row>
    <row r="278" spans="10:12" ht="15" customHeight="1" x14ac:dyDescent="0.25">
      <c r="J278" s="48"/>
      <c r="K278" s="17"/>
      <c r="L278" s="49"/>
    </row>
    <row r="279" spans="10:12" ht="15" customHeight="1" x14ac:dyDescent="0.25">
      <c r="J279" s="48"/>
      <c r="K279" s="17"/>
      <c r="L279" s="49"/>
    </row>
    <row r="280" spans="10:12" ht="15" customHeight="1" x14ac:dyDescent="0.25">
      <c r="J280" s="48"/>
      <c r="K280" s="17"/>
      <c r="L280" s="49"/>
    </row>
    <row r="281" spans="10:12" ht="15" customHeight="1" x14ac:dyDescent="0.25">
      <c r="J281" s="48"/>
      <c r="K281" s="17"/>
      <c r="L281" s="49"/>
    </row>
    <row r="282" spans="10:12" ht="15" customHeight="1" x14ac:dyDescent="0.25">
      <c r="J282" s="48"/>
      <c r="K282" s="17"/>
      <c r="L282" s="49"/>
    </row>
    <row r="283" spans="10:12" ht="15" customHeight="1" x14ac:dyDescent="0.25">
      <c r="J283" s="48"/>
      <c r="K283" s="17"/>
      <c r="L283" s="49"/>
    </row>
    <row r="284" spans="10:12" ht="15" customHeight="1" x14ac:dyDescent="0.25">
      <c r="J284" s="48"/>
      <c r="K284" s="17"/>
      <c r="L284" s="49"/>
    </row>
    <row r="285" spans="10:12" ht="15" customHeight="1" x14ac:dyDescent="0.25">
      <c r="J285" s="48"/>
      <c r="K285" s="17"/>
      <c r="L285" s="49"/>
    </row>
    <row r="286" spans="10:12" ht="15" customHeight="1" x14ac:dyDescent="0.25">
      <c r="J286" s="48"/>
      <c r="K286" s="17"/>
      <c r="L286" s="49"/>
    </row>
    <row r="287" spans="10:12" ht="15" customHeight="1" x14ac:dyDescent="0.25">
      <c r="J287" s="48"/>
      <c r="K287" s="17"/>
      <c r="L287" s="49"/>
    </row>
    <row r="288" spans="10:12" ht="15" customHeight="1" x14ac:dyDescent="0.25">
      <c r="J288" s="48"/>
      <c r="K288" s="17"/>
      <c r="L288" s="49"/>
    </row>
    <row r="289" spans="10:12" ht="15" customHeight="1" x14ac:dyDescent="0.25">
      <c r="J289" s="48"/>
      <c r="K289" s="17"/>
      <c r="L289" s="49"/>
    </row>
    <row r="290" spans="10:12" ht="15" customHeight="1" x14ac:dyDescent="0.25">
      <c r="J290" s="48"/>
      <c r="K290" s="17"/>
      <c r="L290" s="49"/>
    </row>
    <row r="291" spans="10:12" ht="15" customHeight="1" x14ac:dyDescent="0.25">
      <c r="J291" s="48"/>
      <c r="K291" s="17"/>
      <c r="L291" s="49"/>
    </row>
    <row r="292" spans="10:12" ht="15" customHeight="1" x14ac:dyDescent="0.25">
      <c r="J292" s="48"/>
      <c r="K292" s="17"/>
      <c r="L292" s="49"/>
    </row>
    <row r="293" spans="10:12" ht="15" customHeight="1" x14ac:dyDescent="0.25">
      <c r="J293" s="48"/>
      <c r="K293" s="17"/>
      <c r="L293" s="49"/>
    </row>
    <row r="294" spans="10:12" ht="15" customHeight="1" x14ac:dyDescent="0.25">
      <c r="J294" s="48"/>
      <c r="K294" s="17"/>
      <c r="L294" s="49"/>
    </row>
    <row r="295" spans="10:12" ht="15" customHeight="1" x14ac:dyDescent="0.25">
      <c r="J295" s="48"/>
      <c r="K295" s="17"/>
      <c r="L295" s="49"/>
    </row>
    <row r="296" spans="10:12" ht="15" customHeight="1" x14ac:dyDescent="0.25">
      <c r="J296" s="48"/>
      <c r="K296" s="17"/>
      <c r="L296" s="49"/>
    </row>
    <row r="297" spans="10:12" ht="15" customHeight="1" x14ac:dyDescent="0.25">
      <c r="J297" s="48"/>
      <c r="K297" s="17"/>
      <c r="L297" s="49"/>
    </row>
    <row r="298" spans="10:12" ht="15" customHeight="1" x14ac:dyDescent="0.25">
      <c r="J298" s="48"/>
      <c r="K298" s="17"/>
      <c r="L298" s="49"/>
    </row>
    <row r="299" spans="10:12" ht="15" customHeight="1" x14ac:dyDescent="0.25">
      <c r="J299" s="48"/>
      <c r="K299" s="17"/>
      <c r="L299" s="49"/>
    </row>
    <row r="300" spans="10:12" ht="15" customHeight="1" x14ac:dyDescent="0.25">
      <c r="J300" s="48"/>
      <c r="K300" s="17"/>
      <c r="L300" s="49"/>
    </row>
    <row r="301" spans="10:12" ht="15" customHeight="1" x14ac:dyDescent="0.25">
      <c r="J301" s="48"/>
      <c r="K301" s="17"/>
      <c r="L301" s="49"/>
    </row>
    <row r="302" spans="10:12" ht="15" customHeight="1" x14ac:dyDescent="0.25">
      <c r="J302" s="48"/>
      <c r="K302" s="17"/>
      <c r="L302" s="49"/>
    </row>
    <row r="303" spans="10:12" ht="15" customHeight="1" x14ac:dyDescent="0.25">
      <c r="J303" s="48"/>
      <c r="K303" s="17"/>
      <c r="L303" s="49"/>
    </row>
    <row r="304" spans="10:12" ht="15" customHeight="1" x14ac:dyDescent="0.25">
      <c r="J304" s="48"/>
      <c r="K304" s="17"/>
      <c r="L304" s="49"/>
    </row>
    <row r="305" spans="10:12" ht="15" customHeight="1" x14ac:dyDescent="0.25">
      <c r="J305" s="48"/>
      <c r="K305" s="17"/>
      <c r="L305" s="49"/>
    </row>
    <row r="306" spans="10:12" ht="15" customHeight="1" x14ac:dyDescent="0.25">
      <c r="J306" s="48"/>
      <c r="K306" s="17"/>
      <c r="L306" s="49"/>
    </row>
    <row r="307" spans="10:12" ht="15" customHeight="1" x14ac:dyDescent="0.25">
      <c r="J307" s="48"/>
      <c r="K307" s="17"/>
      <c r="L307" s="49"/>
    </row>
    <row r="308" spans="10:12" ht="15" customHeight="1" x14ac:dyDescent="0.25">
      <c r="J308" s="48"/>
      <c r="K308" s="17"/>
      <c r="L308" s="49"/>
    </row>
    <row r="309" spans="10:12" ht="15" customHeight="1" x14ac:dyDescent="0.25">
      <c r="J309" s="48"/>
      <c r="K309" s="17"/>
      <c r="L309" s="49"/>
    </row>
    <row r="310" spans="10:12" ht="15" customHeight="1" x14ac:dyDescent="0.25">
      <c r="J310" s="48"/>
      <c r="K310" s="17"/>
      <c r="L310" s="49"/>
    </row>
    <row r="311" spans="10:12" ht="15" customHeight="1" x14ac:dyDescent="0.25">
      <c r="J311" s="48"/>
      <c r="K311" s="17"/>
      <c r="L311" s="49"/>
    </row>
    <row r="312" spans="10:12" ht="15" customHeight="1" x14ac:dyDescent="0.25">
      <c r="J312" s="48"/>
      <c r="K312" s="17"/>
      <c r="L312" s="49"/>
    </row>
    <row r="313" spans="10:12" ht="15" customHeight="1" x14ac:dyDescent="0.25">
      <c r="J313" s="48"/>
      <c r="K313" s="17"/>
      <c r="L313" s="49"/>
    </row>
    <row r="314" spans="10:12" ht="15" customHeight="1" x14ac:dyDescent="0.25">
      <c r="J314" s="48"/>
      <c r="K314" s="17"/>
      <c r="L314" s="49"/>
    </row>
    <row r="315" spans="10:12" ht="15" customHeight="1" x14ac:dyDescent="0.25">
      <c r="J315" s="48"/>
      <c r="K315" s="17"/>
      <c r="L315" s="49"/>
    </row>
    <row r="316" spans="10:12" ht="15" customHeight="1" x14ac:dyDescent="0.25">
      <c r="J316" s="48"/>
      <c r="K316" s="17"/>
      <c r="L316" s="49"/>
    </row>
    <row r="317" spans="10:12" ht="15" customHeight="1" x14ac:dyDescent="0.25">
      <c r="J317" s="48"/>
      <c r="K317" s="17"/>
      <c r="L317" s="49"/>
    </row>
    <row r="318" spans="10:12" ht="15" customHeight="1" x14ac:dyDescent="0.25">
      <c r="J318" s="48"/>
      <c r="K318" s="17"/>
      <c r="L318" s="49"/>
    </row>
    <row r="319" spans="10:12" ht="15" customHeight="1" x14ac:dyDescent="0.25">
      <c r="J319" s="16"/>
      <c r="K319" s="17"/>
      <c r="L319" s="49"/>
    </row>
    <row r="320" spans="10:12" ht="15" customHeight="1" x14ac:dyDescent="0.25">
      <c r="J320" s="16"/>
      <c r="K320" s="17"/>
      <c r="L320" s="49"/>
    </row>
    <row r="321" spans="10:12" ht="15" customHeight="1" x14ac:dyDescent="0.25">
      <c r="J321" s="16"/>
      <c r="K321" s="17"/>
      <c r="L321" s="49"/>
    </row>
    <row r="322" spans="10:12" ht="15" customHeight="1" x14ac:dyDescent="0.25">
      <c r="J322" s="16"/>
      <c r="K322" s="17"/>
      <c r="L322" s="49"/>
    </row>
    <row r="323" spans="10:12" ht="15" customHeight="1" x14ac:dyDescent="0.25">
      <c r="J323" s="16"/>
      <c r="K323" s="17"/>
      <c r="L323" s="49"/>
    </row>
    <row r="324" spans="10:12" ht="15" customHeight="1" x14ac:dyDescent="0.25">
      <c r="J324" s="16"/>
      <c r="K324" s="17"/>
      <c r="L324" s="49"/>
    </row>
    <row r="325" spans="10:12" ht="15" customHeight="1" x14ac:dyDescent="0.25">
      <c r="J325" s="16"/>
      <c r="K325" s="17"/>
      <c r="L325" s="49"/>
    </row>
    <row r="326" spans="10:12" ht="15" customHeight="1" x14ac:dyDescent="0.25">
      <c r="J326" s="16"/>
      <c r="K326" s="17"/>
      <c r="L326" s="49"/>
    </row>
    <row r="327" spans="10:12" ht="15" customHeight="1" x14ac:dyDescent="0.25">
      <c r="J327" s="16"/>
      <c r="K327" s="17"/>
      <c r="L327" s="49"/>
    </row>
    <row r="328" spans="10:12" ht="15" customHeight="1" x14ac:dyDescent="0.25">
      <c r="J328" s="16"/>
      <c r="K328" s="17"/>
      <c r="L328" s="49"/>
    </row>
    <row r="329" spans="10:12" ht="15" customHeight="1" x14ac:dyDescent="0.25">
      <c r="J329" s="16"/>
      <c r="K329" s="17"/>
      <c r="L329" s="49"/>
    </row>
    <row r="330" spans="10:12" ht="15" customHeight="1" x14ac:dyDescent="0.25">
      <c r="J330" s="16"/>
      <c r="K330" s="17"/>
      <c r="L330" s="49"/>
    </row>
    <row r="331" spans="10:12" ht="15" customHeight="1" x14ac:dyDescent="0.25">
      <c r="J331" s="16"/>
      <c r="K331" s="17"/>
      <c r="L331" s="49"/>
    </row>
    <row r="332" spans="10:12" ht="15" customHeight="1" x14ac:dyDescent="0.25">
      <c r="J332" s="16"/>
      <c r="K332" s="17"/>
      <c r="L332" s="49"/>
    </row>
    <row r="333" spans="10:12" ht="15" customHeight="1" x14ac:dyDescent="0.25">
      <c r="J333" s="16"/>
      <c r="K333" s="17"/>
      <c r="L333" s="49"/>
    </row>
    <row r="334" spans="10:12" ht="15" customHeight="1" x14ac:dyDescent="0.25">
      <c r="J334" s="16"/>
      <c r="K334" s="17"/>
      <c r="L334" s="49"/>
    </row>
    <row r="335" spans="10:12" ht="15" customHeight="1" x14ac:dyDescent="0.25">
      <c r="J335" s="16"/>
      <c r="K335" s="17"/>
      <c r="L335" s="49"/>
    </row>
    <row r="336" spans="10:12" ht="15" customHeight="1" x14ac:dyDescent="0.25">
      <c r="J336" s="16"/>
      <c r="K336" s="17"/>
      <c r="L336" s="49"/>
    </row>
    <row r="337" spans="10:12" ht="15" customHeight="1" x14ac:dyDescent="0.25">
      <c r="J337" s="16"/>
      <c r="K337" s="17"/>
      <c r="L337" s="49"/>
    </row>
    <row r="338" spans="10:12" ht="15" customHeight="1" x14ac:dyDescent="0.25">
      <c r="J338" s="16"/>
      <c r="K338" s="17"/>
      <c r="L338" s="49"/>
    </row>
    <row r="339" spans="10:12" ht="15" customHeight="1" x14ac:dyDescent="0.25">
      <c r="J339" s="16"/>
      <c r="K339" s="17"/>
      <c r="L339" s="49"/>
    </row>
    <row r="340" spans="10:12" ht="15" customHeight="1" x14ac:dyDescent="0.25">
      <c r="J340" s="16"/>
      <c r="K340" s="17"/>
      <c r="L340" s="49"/>
    </row>
    <row r="341" spans="10:12" ht="15" customHeight="1" x14ac:dyDescent="0.25">
      <c r="J341" s="16"/>
      <c r="K341" s="17"/>
      <c r="L341" s="49"/>
    </row>
    <row r="342" spans="10:12" ht="15" customHeight="1" x14ac:dyDescent="0.25">
      <c r="J342" s="16"/>
      <c r="K342" s="17"/>
      <c r="L342" s="49"/>
    </row>
    <row r="343" spans="10:12" ht="15" customHeight="1" x14ac:dyDescent="0.25">
      <c r="J343" s="16"/>
      <c r="K343" s="17"/>
      <c r="L343" s="49"/>
    </row>
    <row r="344" spans="10:12" ht="15" customHeight="1" x14ac:dyDescent="0.25">
      <c r="J344" s="16"/>
      <c r="K344" s="17"/>
      <c r="L344" s="49"/>
    </row>
    <row r="345" spans="10:12" ht="15" customHeight="1" x14ac:dyDescent="0.25">
      <c r="J345" s="16"/>
      <c r="K345" s="17"/>
      <c r="L345" s="49"/>
    </row>
    <row r="346" spans="10:12" ht="15" customHeight="1" x14ac:dyDescent="0.25">
      <c r="J346" s="16"/>
      <c r="K346" s="17"/>
      <c r="L346" s="49"/>
    </row>
    <row r="347" spans="10:12" ht="15" customHeight="1" x14ac:dyDescent="0.25">
      <c r="J347" s="16"/>
      <c r="K347" s="17"/>
      <c r="L347" s="49"/>
    </row>
    <row r="348" spans="10:12" ht="15" customHeight="1" x14ac:dyDescent="0.25">
      <c r="J348" s="16"/>
      <c r="K348" s="17"/>
      <c r="L348" s="49"/>
    </row>
    <row r="349" spans="10:12" ht="15" customHeight="1" x14ac:dyDescent="0.25">
      <c r="J349" s="16"/>
      <c r="K349" s="17"/>
      <c r="L349" s="49"/>
    </row>
    <row r="350" spans="10:12" ht="15" customHeight="1" x14ac:dyDescent="0.25">
      <c r="J350" s="16"/>
      <c r="K350" s="17"/>
      <c r="L350" s="49"/>
    </row>
    <row r="351" spans="10:12" ht="15" customHeight="1" x14ac:dyDescent="0.25">
      <c r="J351" s="16"/>
      <c r="K351" s="17"/>
      <c r="L351" s="49"/>
    </row>
    <row r="352" spans="10:12" ht="15" customHeight="1" x14ac:dyDescent="0.25">
      <c r="J352" s="16"/>
      <c r="K352" s="17"/>
      <c r="L352" s="49"/>
    </row>
    <row r="353" spans="10:12" ht="15" customHeight="1" x14ac:dyDescent="0.25">
      <c r="J353" s="16"/>
      <c r="K353" s="17"/>
      <c r="L353" s="49"/>
    </row>
    <row r="354" spans="10:12" ht="15" customHeight="1" x14ac:dyDescent="0.25">
      <c r="J354" s="16"/>
      <c r="K354" s="17"/>
      <c r="L354" s="49"/>
    </row>
  </sheetData>
  <autoFilter ref="A5:R102" xr:uid="{00000000-0009-0000-0000-000015000000}">
    <filterColumn colId="11" showButton="0"/>
  </autoFilter>
  <mergeCells count="21">
    <mergeCell ref="A2:F3"/>
    <mergeCell ref="G2:I3"/>
    <mergeCell ref="J2:L3"/>
    <mergeCell ref="M2:N3"/>
    <mergeCell ref="A1:N1"/>
    <mergeCell ref="O1:P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M5"/>
    <mergeCell ref="O2:P3"/>
    <mergeCell ref="O4:P5"/>
    <mergeCell ref="N4:N5"/>
  </mergeCells>
  <conditionalFormatting sqref="K7:L32 C7:C30 A7:A61 C31:E61 G7:I58 C62:D62 H59:I97">
    <cfRule type="expression" dxfId="4475" priority="452">
      <formula>AND($A7&lt;&gt;"",MOD(ROW(),2))</formula>
    </cfRule>
  </conditionalFormatting>
  <conditionalFormatting sqref="D31:D102">
    <cfRule type="cellIs" dxfId="4474" priority="449" operator="equal">
      <formula>$C31</formula>
    </cfRule>
    <cfRule type="cellIs" dxfId="4473" priority="450" operator="greaterThan">
      <formula>$C31</formula>
    </cfRule>
    <cfRule type="cellIs" dxfId="4472" priority="451" operator="lessThan">
      <formula>$C31</formula>
    </cfRule>
  </conditionalFormatting>
  <conditionalFormatting sqref="M7:M58">
    <cfRule type="expression" dxfId="4471" priority="445">
      <formula>AND($A7&lt;&gt;"",MOD(ROW(),2))</formula>
    </cfRule>
  </conditionalFormatting>
  <conditionalFormatting sqref="K33:L58">
    <cfRule type="expression" dxfId="4470" priority="428">
      <formula>AND($A33&lt;&gt;"",MOD(ROW(),2))</formula>
    </cfRule>
  </conditionalFormatting>
  <conditionalFormatting sqref="K7:K58">
    <cfRule type="cellIs" dxfId="4469" priority="425" operator="equal">
      <formula>$C7</formula>
    </cfRule>
    <cfRule type="cellIs" dxfId="4468" priority="426" operator="greaterThan">
      <formula>$C7</formula>
    </cfRule>
    <cfRule type="cellIs" dxfId="4467" priority="427" operator="lessThan">
      <formula>$C7</formula>
    </cfRule>
  </conditionalFormatting>
  <conditionalFormatting sqref="K59:L84">
    <cfRule type="expression" dxfId="4466" priority="424">
      <formula>AND($A59&lt;&gt;"",MOD(ROW(),2))</formula>
    </cfRule>
  </conditionalFormatting>
  <conditionalFormatting sqref="K59:K84">
    <cfRule type="cellIs" dxfId="4465" priority="421" operator="equal">
      <formula>$C59</formula>
    </cfRule>
    <cfRule type="cellIs" dxfId="4464" priority="422" operator="greaterThan">
      <formula>$C59</formula>
    </cfRule>
    <cfRule type="cellIs" dxfId="4463" priority="423" operator="lessThan">
      <formula>$C59</formula>
    </cfRule>
  </conditionalFormatting>
  <conditionalFormatting sqref="K85:L110">
    <cfRule type="expression" dxfId="4462" priority="420">
      <formula>AND($A85&lt;&gt;"",MOD(ROW(),2))</formula>
    </cfRule>
  </conditionalFormatting>
  <conditionalFormatting sqref="K85:K110">
    <cfRule type="cellIs" dxfId="4461" priority="417" operator="equal">
      <formula>$C85</formula>
    </cfRule>
    <cfRule type="cellIs" dxfId="4460" priority="418" operator="greaterThan">
      <formula>$C85</formula>
    </cfRule>
    <cfRule type="cellIs" dxfId="4459" priority="419" operator="lessThan">
      <formula>$C85</formula>
    </cfRule>
  </conditionalFormatting>
  <conditionalFormatting sqref="K111:L136">
    <cfRule type="expression" dxfId="4458" priority="416">
      <formula>AND($A111&lt;&gt;"",MOD(ROW(),2))</formula>
    </cfRule>
  </conditionalFormatting>
  <conditionalFormatting sqref="K111:K136">
    <cfRule type="cellIs" dxfId="4457" priority="413" operator="equal">
      <formula>$C111</formula>
    </cfRule>
    <cfRule type="cellIs" dxfId="4456" priority="414" operator="greaterThan">
      <formula>$C111</formula>
    </cfRule>
    <cfRule type="cellIs" dxfId="4455" priority="415" operator="lessThan">
      <formula>$C111</formula>
    </cfRule>
  </conditionalFormatting>
  <conditionalFormatting sqref="K137:L162">
    <cfRule type="expression" dxfId="4454" priority="412">
      <formula>AND($A137&lt;&gt;"",MOD(ROW(),2))</formula>
    </cfRule>
  </conditionalFormatting>
  <conditionalFormatting sqref="K137:K162">
    <cfRule type="cellIs" dxfId="4453" priority="409" operator="equal">
      <formula>$C137</formula>
    </cfRule>
    <cfRule type="cellIs" dxfId="4452" priority="410" operator="greaterThan">
      <formula>$C137</formula>
    </cfRule>
    <cfRule type="cellIs" dxfId="4451" priority="411" operator="lessThan">
      <formula>$C137</formula>
    </cfRule>
  </conditionalFormatting>
  <conditionalFormatting sqref="K163:L188">
    <cfRule type="expression" dxfId="4450" priority="408">
      <formula>AND($A163&lt;&gt;"",MOD(ROW(),2))</formula>
    </cfRule>
  </conditionalFormatting>
  <conditionalFormatting sqref="K163:K188">
    <cfRule type="cellIs" dxfId="4449" priority="405" operator="equal">
      <formula>$C163</formula>
    </cfRule>
    <cfRule type="cellIs" dxfId="4448" priority="406" operator="greaterThan">
      <formula>$C163</formula>
    </cfRule>
    <cfRule type="cellIs" dxfId="4447" priority="407" operator="lessThan">
      <formula>$C163</formula>
    </cfRule>
  </conditionalFormatting>
  <conditionalFormatting sqref="K189:L214">
    <cfRule type="expression" dxfId="4446" priority="404">
      <formula>AND($A189&lt;&gt;"",MOD(ROW(),2))</formula>
    </cfRule>
  </conditionalFormatting>
  <conditionalFormatting sqref="K189:K214">
    <cfRule type="cellIs" dxfId="4445" priority="401" operator="equal">
      <formula>$C189</formula>
    </cfRule>
    <cfRule type="cellIs" dxfId="4444" priority="402" operator="greaterThan">
      <formula>$C189</formula>
    </cfRule>
    <cfRule type="cellIs" dxfId="4443" priority="403" operator="lessThan">
      <formula>$C189</formula>
    </cfRule>
  </conditionalFormatting>
  <conditionalFormatting sqref="K215:L240">
    <cfRule type="expression" dxfId="4442" priority="400">
      <formula>AND($A215&lt;&gt;"",MOD(ROW(),2))</formula>
    </cfRule>
  </conditionalFormatting>
  <conditionalFormatting sqref="K215:K240">
    <cfRule type="cellIs" dxfId="4441" priority="397" operator="equal">
      <formula>$C215</formula>
    </cfRule>
    <cfRule type="cellIs" dxfId="4440" priority="398" operator="greaterThan">
      <formula>$C215</formula>
    </cfRule>
    <cfRule type="cellIs" dxfId="4439" priority="399" operator="lessThan">
      <formula>$C215</formula>
    </cfRule>
  </conditionalFormatting>
  <conditionalFormatting sqref="K241:L266">
    <cfRule type="expression" dxfId="4438" priority="396">
      <formula>AND($A241&lt;&gt;"",MOD(ROW(),2))</formula>
    </cfRule>
  </conditionalFormatting>
  <conditionalFormatting sqref="K241:K266">
    <cfRule type="cellIs" dxfId="4437" priority="393" operator="equal">
      <formula>$C241</formula>
    </cfRule>
    <cfRule type="cellIs" dxfId="4436" priority="394" operator="greaterThan">
      <formula>$C241</formula>
    </cfRule>
    <cfRule type="cellIs" dxfId="4435" priority="395" operator="lessThan">
      <formula>$C241</formula>
    </cfRule>
  </conditionalFormatting>
  <conditionalFormatting sqref="K267:L292">
    <cfRule type="expression" dxfId="4434" priority="392">
      <formula>AND($A267&lt;&gt;"",MOD(ROW(),2))</formula>
    </cfRule>
  </conditionalFormatting>
  <conditionalFormatting sqref="K267:K292">
    <cfRule type="cellIs" dxfId="4433" priority="389" operator="equal">
      <formula>$C267</formula>
    </cfRule>
    <cfRule type="cellIs" dxfId="4432" priority="390" operator="greaterThan">
      <formula>$C267</formula>
    </cfRule>
    <cfRule type="cellIs" dxfId="4431" priority="391" operator="lessThan">
      <formula>$C267</formula>
    </cfRule>
  </conditionalFormatting>
  <conditionalFormatting sqref="K293:L318">
    <cfRule type="expression" dxfId="4430" priority="388">
      <formula>AND($A293&lt;&gt;"",MOD(ROW(),2))</formula>
    </cfRule>
  </conditionalFormatting>
  <conditionalFormatting sqref="K293:K318">
    <cfRule type="cellIs" dxfId="4429" priority="385" operator="equal">
      <formula>$C293</formula>
    </cfRule>
    <cfRule type="cellIs" dxfId="4428" priority="386" operator="greaterThan">
      <formula>$C293</formula>
    </cfRule>
    <cfRule type="cellIs" dxfId="4427" priority="387" operator="lessThan">
      <formula>$C293</formula>
    </cfRule>
  </conditionalFormatting>
  <conditionalFormatting sqref="F31:F2989">
    <cfRule type="containsText" dxfId="4426" priority="384" operator="containsText" text="Unpaid Rent">
      <formula>NOT(ISERROR(SEARCH("Unpaid Rent",F31)))</formula>
    </cfRule>
    <cfRule type="containsText" dxfId="4425" priority="429" stopIfTrue="1" operator="containsText" text="Closed Account">
      <formula>NOT(ISERROR(SEARCH("Closed Account",F31)))</formula>
    </cfRule>
  </conditionalFormatting>
  <conditionalFormatting sqref="L7:M32 M33:M58 L33:L318">
    <cfRule type="expression" dxfId="4424" priority="447">
      <formula>AND(#REF!&lt;&gt;"",MOD(ROW(),2))</formula>
    </cfRule>
  </conditionalFormatting>
  <conditionalFormatting sqref="L7:M32 M33:M58 L33:L318">
    <cfRule type="expression" dxfId="4423" priority="446">
      <formula>AND(#REF!&lt;&gt;"",MOD(ROW(),2))</formula>
    </cfRule>
  </conditionalFormatting>
  <conditionalFormatting sqref="M7:M58">
    <cfRule type="cellIs" dxfId="4422" priority="442" operator="equal">
      <formula>#REF!</formula>
    </cfRule>
    <cfRule type="cellIs" dxfId="4421" priority="443" operator="greaterThan">
      <formula>#REF!</formula>
    </cfRule>
    <cfRule type="cellIs" dxfId="4420" priority="444" operator="lessThan">
      <formula>#REF!</formula>
    </cfRule>
  </conditionalFormatting>
  <conditionalFormatting sqref="K319:L321">
    <cfRule type="expression" dxfId="4419" priority="378">
      <formula>AND($A319&lt;&gt;"",MOD(ROW(),2))</formula>
    </cfRule>
  </conditionalFormatting>
  <conditionalFormatting sqref="K319:K321">
    <cfRule type="cellIs" dxfId="4418" priority="375" operator="equal">
      <formula>$C319</formula>
    </cfRule>
    <cfRule type="cellIs" dxfId="4417" priority="376" operator="greaterThan">
      <formula>$C319</formula>
    </cfRule>
    <cfRule type="cellIs" dxfId="4416" priority="377" operator="lessThan">
      <formula>$C319</formula>
    </cfRule>
  </conditionalFormatting>
  <conditionalFormatting sqref="L319:L321">
    <cfRule type="expression" dxfId="4415" priority="380">
      <formula>AND(#REF!&lt;&gt;"",MOD(ROW(),2))</formula>
    </cfRule>
  </conditionalFormatting>
  <conditionalFormatting sqref="L319:L321">
    <cfRule type="expression" dxfId="4414" priority="379">
      <formula>AND(#REF!&lt;&gt;"",MOD(ROW(),2))</formula>
    </cfRule>
  </conditionalFormatting>
  <conditionalFormatting sqref="K322:L324">
    <cfRule type="expression" dxfId="4413" priority="372">
      <formula>AND($A322&lt;&gt;"",MOD(ROW(),2))</formula>
    </cfRule>
  </conditionalFormatting>
  <conditionalFormatting sqref="K322:K324">
    <cfRule type="cellIs" dxfId="4412" priority="369" operator="equal">
      <formula>$C322</formula>
    </cfRule>
    <cfRule type="cellIs" dxfId="4411" priority="370" operator="greaterThan">
      <formula>$C322</formula>
    </cfRule>
    <cfRule type="cellIs" dxfId="4410" priority="371" operator="lessThan">
      <formula>$C322</formula>
    </cfRule>
  </conditionalFormatting>
  <conditionalFormatting sqref="L322:L324">
    <cfRule type="expression" dxfId="4409" priority="374">
      <formula>AND(#REF!&lt;&gt;"",MOD(ROW(),2))</formula>
    </cfRule>
  </conditionalFormatting>
  <conditionalFormatting sqref="L322:L324">
    <cfRule type="expression" dxfId="4408" priority="373">
      <formula>AND(#REF!&lt;&gt;"",MOD(ROW(),2))</formula>
    </cfRule>
  </conditionalFormatting>
  <conditionalFormatting sqref="K325:L327">
    <cfRule type="expression" dxfId="4407" priority="366">
      <formula>AND($A325&lt;&gt;"",MOD(ROW(),2))</formula>
    </cfRule>
  </conditionalFormatting>
  <conditionalFormatting sqref="K325:K327">
    <cfRule type="cellIs" dxfId="4406" priority="363" operator="equal">
      <formula>$C325</formula>
    </cfRule>
    <cfRule type="cellIs" dxfId="4405" priority="364" operator="greaterThan">
      <formula>$C325</formula>
    </cfRule>
    <cfRule type="cellIs" dxfId="4404" priority="365" operator="lessThan">
      <formula>$C325</formula>
    </cfRule>
  </conditionalFormatting>
  <conditionalFormatting sqref="L325:L327">
    <cfRule type="expression" dxfId="4403" priority="368">
      <formula>AND(#REF!&lt;&gt;"",MOD(ROW(),2))</formula>
    </cfRule>
  </conditionalFormatting>
  <conditionalFormatting sqref="L325:L327">
    <cfRule type="expression" dxfId="4402" priority="367">
      <formula>AND(#REF!&lt;&gt;"",MOD(ROW(),2))</formula>
    </cfRule>
  </conditionalFormatting>
  <conditionalFormatting sqref="K328:L330">
    <cfRule type="expression" dxfId="4401" priority="360">
      <formula>AND($A328&lt;&gt;"",MOD(ROW(),2))</formula>
    </cfRule>
  </conditionalFormatting>
  <conditionalFormatting sqref="K328:K330">
    <cfRule type="cellIs" dxfId="4400" priority="357" operator="equal">
      <formula>$C328</formula>
    </cfRule>
    <cfRule type="cellIs" dxfId="4399" priority="358" operator="greaterThan">
      <formula>$C328</formula>
    </cfRule>
    <cfRule type="cellIs" dxfId="4398" priority="359" operator="lessThan">
      <formula>$C328</formula>
    </cfRule>
  </conditionalFormatting>
  <conditionalFormatting sqref="L328:L330">
    <cfRule type="expression" dxfId="4397" priority="362">
      <formula>AND(#REF!&lt;&gt;"",MOD(ROW(),2))</formula>
    </cfRule>
  </conditionalFormatting>
  <conditionalFormatting sqref="L328:L330">
    <cfRule type="expression" dxfId="4396" priority="361">
      <formula>AND(#REF!&lt;&gt;"",MOD(ROW(),2))</formula>
    </cfRule>
  </conditionalFormatting>
  <conditionalFormatting sqref="K331:L333">
    <cfRule type="expression" dxfId="4395" priority="354">
      <formula>AND($A331&lt;&gt;"",MOD(ROW(),2))</formula>
    </cfRule>
  </conditionalFormatting>
  <conditionalFormatting sqref="K331:K333">
    <cfRule type="cellIs" dxfId="4394" priority="351" operator="equal">
      <formula>$C331</formula>
    </cfRule>
    <cfRule type="cellIs" dxfId="4393" priority="352" operator="greaterThan">
      <formula>$C331</formula>
    </cfRule>
    <cfRule type="cellIs" dxfId="4392" priority="353" operator="lessThan">
      <formula>$C331</formula>
    </cfRule>
  </conditionalFormatting>
  <conditionalFormatting sqref="L331:L333">
    <cfRule type="expression" dxfId="4391" priority="356">
      <formula>AND(#REF!&lt;&gt;"",MOD(ROW(),2))</formula>
    </cfRule>
  </conditionalFormatting>
  <conditionalFormatting sqref="L331:L333">
    <cfRule type="expression" dxfId="4390" priority="355">
      <formula>AND(#REF!&lt;&gt;"",MOD(ROW(),2))</formula>
    </cfRule>
  </conditionalFormatting>
  <conditionalFormatting sqref="K334:L336">
    <cfRule type="expression" dxfId="4389" priority="348">
      <formula>AND($A334&lt;&gt;"",MOD(ROW(),2))</formula>
    </cfRule>
  </conditionalFormatting>
  <conditionalFormatting sqref="K334:K336">
    <cfRule type="cellIs" dxfId="4388" priority="345" operator="equal">
      <formula>$C334</formula>
    </cfRule>
    <cfRule type="cellIs" dxfId="4387" priority="346" operator="greaterThan">
      <formula>$C334</formula>
    </cfRule>
    <cfRule type="cellIs" dxfId="4386" priority="347" operator="lessThan">
      <formula>$C334</formula>
    </cfRule>
  </conditionalFormatting>
  <conditionalFormatting sqref="L334:L336">
    <cfRule type="expression" dxfId="4385" priority="350">
      <formula>AND(#REF!&lt;&gt;"",MOD(ROW(),2))</formula>
    </cfRule>
  </conditionalFormatting>
  <conditionalFormatting sqref="L334:L336">
    <cfRule type="expression" dxfId="4384" priority="349">
      <formula>AND(#REF!&lt;&gt;"",MOD(ROW(),2))</formula>
    </cfRule>
  </conditionalFormatting>
  <conditionalFormatting sqref="K337:L339">
    <cfRule type="expression" dxfId="4383" priority="342">
      <formula>AND($A337&lt;&gt;"",MOD(ROW(),2))</formula>
    </cfRule>
  </conditionalFormatting>
  <conditionalFormatting sqref="K337:K339">
    <cfRule type="cellIs" dxfId="4382" priority="339" operator="equal">
      <formula>$C337</formula>
    </cfRule>
    <cfRule type="cellIs" dxfId="4381" priority="340" operator="greaterThan">
      <formula>$C337</formula>
    </cfRule>
    <cfRule type="cellIs" dxfId="4380" priority="341" operator="lessThan">
      <formula>$C337</formula>
    </cfRule>
  </conditionalFormatting>
  <conditionalFormatting sqref="L337:L339">
    <cfRule type="expression" dxfId="4379" priority="344">
      <formula>AND(#REF!&lt;&gt;"",MOD(ROW(),2))</formula>
    </cfRule>
  </conditionalFormatting>
  <conditionalFormatting sqref="L337:L339">
    <cfRule type="expression" dxfId="4378" priority="343">
      <formula>AND(#REF!&lt;&gt;"",MOD(ROW(),2))</formula>
    </cfRule>
  </conditionalFormatting>
  <conditionalFormatting sqref="K340:L342">
    <cfRule type="expression" dxfId="4377" priority="336">
      <formula>AND($A340&lt;&gt;"",MOD(ROW(),2))</formula>
    </cfRule>
  </conditionalFormatting>
  <conditionalFormatting sqref="K340:K342">
    <cfRule type="cellIs" dxfId="4376" priority="333" operator="equal">
      <formula>$C340</formula>
    </cfRule>
    <cfRule type="cellIs" dxfId="4375" priority="334" operator="greaterThan">
      <formula>$C340</formula>
    </cfRule>
    <cfRule type="cellIs" dxfId="4374" priority="335" operator="lessThan">
      <formula>$C340</formula>
    </cfRule>
  </conditionalFormatting>
  <conditionalFormatting sqref="L340:L342">
    <cfRule type="expression" dxfId="4373" priority="338">
      <formula>AND(#REF!&lt;&gt;"",MOD(ROW(),2))</formula>
    </cfRule>
  </conditionalFormatting>
  <conditionalFormatting sqref="L340:L342">
    <cfRule type="expression" dxfId="4372" priority="337">
      <formula>AND(#REF!&lt;&gt;"",MOD(ROW(),2))</formula>
    </cfRule>
  </conditionalFormatting>
  <conditionalFormatting sqref="K343:L345">
    <cfRule type="expression" dxfId="4371" priority="330">
      <formula>AND($A343&lt;&gt;"",MOD(ROW(),2))</formula>
    </cfRule>
  </conditionalFormatting>
  <conditionalFormatting sqref="K343:K345">
    <cfRule type="cellIs" dxfId="4370" priority="327" operator="equal">
      <formula>$C343</formula>
    </cfRule>
    <cfRule type="cellIs" dxfId="4369" priority="328" operator="greaterThan">
      <formula>$C343</formula>
    </cfRule>
    <cfRule type="cellIs" dxfId="4368" priority="329" operator="lessThan">
      <formula>$C343</formula>
    </cfRule>
  </conditionalFormatting>
  <conditionalFormatting sqref="L343:L345">
    <cfRule type="expression" dxfId="4367" priority="332">
      <formula>AND(#REF!&lt;&gt;"",MOD(ROW(),2))</formula>
    </cfRule>
  </conditionalFormatting>
  <conditionalFormatting sqref="L343:L345">
    <cfRule type="expression" dxfId="4366" priority="331">
      <formula>AND(#REF!&lt;&gt;"",MOD(ROW(),2))</formula>
    </cfRule>
  </conditionalFormatting>
  <conditionalFormatting sqref="K346:L348">
    <cfRule type="expression" dxfId="4365" priority="324">
      <formula>AND($A346&lt;&gt;"",MOD(ROW(),2))</formula>
    </cfRule>
  </conditionalFormatting>
  <conditionalFormatting sqref="K346:K348">
    <cfRule type="cellIs" dxfId="4364" priority="321" operator="equal">
      <formula>$C346</formula>
    </cfRule>
    <cfRule type="cellIs" dxfId="4363" priority="322" operator="greaterThan">
      <formula>$C346</formula>
    </cfRule>
    <cfRule type="cellIs" dxfId="4362" priority="323" operator="lessThan">
      <formula>$C346</formula>
    </cfRule>
  </conditionalFormatting>
  <conditionalFormatting sqref="L346:L348">
    <cfRule type="expression" dxfId="4361" priority="326">
      <formula>AND(#REF!&lt;&gt;"",MOD(ROW(),2))</formula>
    </cfRule>
  </conditionalFormatting>
  <conditionalFormatting sqref="L346:L348">
    <cfRule type="expression" dxfId="4360" priority="325">
      <formula>AND(#REF!&lt;&gt;"",MOD(ROW(),2))</formula>
    </cfRule>
  </conditionalFormatting>
  <conditionalFormatting sqref="K349:L351">
    <cfRule type="expression" dxfId="4359" priority="318">
      <formula>AND($A349&lt;&gt;"",MOD(ROW(),2))</formula>
    </cfRule>
  </conditionalFormatting>
  <conditionalFormatting sqref="K349:K351">
    <cfRule type="cellIs" dxfId="4358" priority="315" operator="equal">
      <formula>$C349</formula>
    </cfRule>
    <cfRule type="cellIs" dxfId="4357" priority="316" operator="greaterThan">
      <formula>$C349</formula>
    </cfRule>
    <cfRule type="cellIs" dxfId="4356" priority="317" operator="lessThan">
      <formula>$C349</formula>
    </cfRule>
  </conditionalFormatting>
  <conditionalFormatting sqref="L349:L351">
    <cfRule type="expression" dxfId="4355" priority="320">
      <formula>AND(#REF!&lt;&gt;"",MOD(ROW(),2))</formula>
    </cfRule>
  </conditionalFormatting>
  <conditionalFormatting sqref="L349:L351">
    <cfRule type="expression" dxfId="4354" priority="319">
      <formula>AND(#REF!&lt;&gt;"",MOD(ROW(),2))</formula>
    </cfRule>
  </conditionalFormatting>
  <conditionalFormatting sqref="K352:L354">
    <cfRule type="expression" dxfId="4353" priority="312">
      <formula>AND($A352&lt;&gt;"",MOD(ROW(),2))</formula>
    </cfRule>
  </conditionalFormatting>
  <conditionalFormatting sqref="K352:K354">
    <cfRule type="cellIs" dxfId="4352" priority="309" operator="equal">
      <formula>$C352</formula>
    </cfRule>
    <cfRule type="cellIs" dxfId="4351" priority="310" operator="greaterThan">
      <formula>$C352</formula>
    </cfRule>
    <cfRule type="cellIs" dxfId="4350" priority="311" operator="lessThan">
      <formula>$C352</formula>
    </cfRule>
  </conditionalFormatting>
  <conditionalFormatting sqref="L352:L354">
    <cfRule type="expression" dxfId="4349" priority="314">
      <formula>AND(#REF!&lt;&gt;"",MOD(ROW(),2))</formula>
    </cfRule>
  </conditionalFormatting>
  <conditionalFormatting sqref="L352:L354">
    <cfRule type="expression" dxfId="4348" priority="313">
      <formula>AND(#REF!&lt;&gt;"",MOD(ROW(),2))</formula>
    </cfRule>
  </conditionalFormatting>
  <conditionalFormatting sqref="D7:E7">
    <cfRule type="expression" dxfId="4347" priority="164">
      <formula>AND($A7&lt;&gt;"",MOD(ROW(),2))</formula>
    </cfRule>
  </conditionalFormatting>
  <conditionalFormatting sqref="D7">
    <cfRule type="cellIs" dxfId="4346" priority="161" operator="equal">
      <formula>$C7</formula>
    </cfRule>
    <cfRule type="cellIs" dxfId="4345" priority="162" operator="greaterThan">
      <formula>$C7</formula>
    </cfRule>
    <cfRule type="cellIs" dxfId="4344" priority="163" operator="lessThan">
      <formula>$C7</formula>
    </cfRule>
  </conditionalFormatting>
  <conditionalFormatting sqref="D8:E8">
    <cfRule type="expression" dxfId="4343" priority="158">
      <formula>AND($A8&lt;&gt;"",MOD(ROW(),2))</formula>
    </cfRule>
  </conditionalFormatting>
  <conditionalFormatting sqref="D8">
    <cfRule type="cellIs" dxfId="4342" priority="155" operator="equal">
      <formula>$C8</formula>
    </cfRule>
    <cfRule type="cellIs" dxfId="4341" priority="156" operator="greaterThan">
      <formula>$C8</formula>
    </cfRule>
    <cfRule type="cellIs" dxfId="4340" priority="157" operator="lessThan">
      <formula>$C8</formula>
    </cfRule>
  </conditionalFormatting>
  <conditionalFormatting sqref="D9:E9">
    <cfRule type="expression" dxfId="4339" priority="154">
      <formula>AND($A9&lt;&gt;"",MOD(ROW(),2))</formula>
    </cfRule>
  </conditionalFormatting>
  <conditionalFormatting sqref="D9">
    <cfRule type="cellIs" dxfId="4338" priority="151" operator="equal">
      <formula>$C9</formula>
    </cfRule>
    <cfRule type="cellIs" dxfId="4337" priority="152" operator="greaterThan">
      <formula>$C9</formula>
    </cfRule>
    <cfRule type="cellIs" dxfId="4336" priority="153" operator="lessThan">
      <formula>$C9</formula>
    </cfRule>
  </conditionalFormatting>
  <conditionalFormatting sqref="D10:E10">
    <cfRule type="expression" dxfId="4335" priority="150">
      <formula>AND($A10&lt;&gt;"",MOD(ROW(),2))</formula>
    </cfRule>
  </conditionalFormatting>
  <conditionalFormatting sqref="D10">
    <cfRule type="cellIs" dxfId="4334" priority="147" operator="equal">
      <formula>$C10</formula>
    </cfRule>
    <cfRule type="cellIs" dxfId="4333" priority="148" operator="greaterThan">
      <formula>$C10</formula>
    </cfRule>
    <cfRule type="cellIs" dxfId="4332" priority="149" operator="lessThan">
      <formula>$C10</formula>
    </cfRule>
  </conditionalFormatting>
  <conditionalFormatting sqref="D11:E11">
    <cfRule type="expression" dxfId="4331" priority="146">
      <formula>AND($A11&lt;&gt;"",MOD(ROW(),2))</formula>
    </cfRule>
  </conditionalFormatting>
  <conditionalFormatting sqref="D11">
    <cfRule type="cellIs" dxfId="4330" priority="143" operator="equal">
      <formula>$C11</formula>
    </cfRule>
    <cfRule type="cellIs" dxfId="4329" priority="144" operator="greaterThan">
      <formula>$C11</formula>
    </cfRule>
    <cfRule type="cellIs" dxfId="4328" priority="145" operator="lessThan">
      <formula>$C11</formula>
    </cfRule>
  </conditionalFormatting>
  <conditionalFormatting sqref="D12:E12">
    <cfRule type="expression" dxfId="4327" priority="142">
      <formula>AND($A12&lt;&gt;"",MOD(ROW(),2))</formula>
    </cfRule>
  </conditionalFormatting>
  <conditionalFormatting sqref="D12">
    <cfRule type="cellIs" dxfId="4326" priority="139" operator="equal">
      <formula>$C12</formula>
    </cfRule>
    <cfRule type="cellIs" dxfId="4325" priority="140" operator="greaterThan">
      <formula>$C12</formula>
    </cfRule>
    <cfRule type="cellIs" dxfId="4324" priority="141" operator="lessThan">
      <formula>$C12</formula>
    </cfRule>
  </conditionalFormatting>
  <conditionalFormatting sqref="D13:E13">
    <cfRule type="expression" dxfId="4323" priority="138">
      <formula>AND($A13&lt;&gt;"",MOD(ROW(),2))</formula>
    </cfRule>
  </conditionalFormatting>
  <conditionalFormatting sqref="D13">
    <cfRule type="cellIs" dxfId="4322" priority="135" operator="equal">
      <formula>$C13</formula>
    </cfRule>
    <cfRule type="cellIs" dxfId="4321" priority="136" operator="greaterThan">
      <formula>$C13</formula>
    </cfRule>
    <cfRule type="cellIs" dxfId="4320" priority="137" operator="lessThan">
      <formula>$C13</formula>
    </cfRule>
  </conditionalFormatting>
  <conditionalFormatting sqref="D14:E14">
    <cfRule type="expression" dxfId="4319" priority="134">
      <formula>AND($A14&lt;&gt;"",MOD(ROW(),2))</formula>
    </cfRule>
  </conditionalFormatting>
  <conditionalFormatting sqref="D14">
    <cfRule type="cellIs" dxfId="4318" priority="131" operator="equal">
      <formula>$C14</formula>
    </cfRule>
    <cfRule type="cellIs" dxfId="4317" priority="132" operator="greaterThan">
      <formula>$C14</formula>
    </cfRule>
    <cfRule type="cellIs" dxfId="4316" priority="133" operator="lessThan">
      <formula>$C14</formula>
    </cfRule>
  </conditionalFormatting>
  <conditionalFormatting sqref="D15:E15">
    <cfRule type="expression" dxfId="4315" priority="130">
      <formula>AND($A15&lt;&gt;"",MOD(ROW(),2))</formula>
    </cfRule>
  </conditionalFormatting>
  <conditionalFormatting sqref="D15">
    <cfRule type="cellIs" dxfId="4314" priority="127" operator="equal">
      <formula>$C15</formula>
    </cfRule>
    <cfRule type="cellIs" dxfId="4313" priority="128" operator="greaterThan">
      <formula>$C15</formula>
    </cfRule>
    <cfRule type="cellIs" dxfId="4312" priority="129" operator="lessThan">
      <formula>$C15</formula>
    </cfRule>
  </conditionalFormatting>
  <conditionalFormatting sqref="D16:E16">
    <cfRule type="expression" dxfId="4311" priority="126">
      <formula>AND($A16&lt;&gt;"",MOD(ROW(),2))</formula>
    </cfRule>
  </conditionalFormatting>
  <conditionalFormatting sqref="D16">
    <cfRule type="cellIs" dxfId="4310" priority="123" operator="equal">
      <formula>$C16</formula>
    </cfRule>
    <cfRule type="cellIs" dxfId="4309" priority="124" operator="greaterThan">
      <formula>$C16</formula>
    </cfRule>
    <cfRule type="cellIs" dxfId="4308" priority="125" operator="lessThan">
      <formula>$C16</formula>
    </cfRule>
  </conditionalFormatting>
  <conditionalFormatting sqref="D17:E17">
    <cfRule type="expression" dxfId="4307" priority="122">
      <formula>AND($A17&lt;&gt;"",MOD(ROW(),2))</formula>
    </cfRule>
  </conditionalFormatting>
  <conditionalFormatting sqref="D17">
    <cfRule type="cellIs" dxfId="4306" priority="119" operator="equal">
      <formula>$C17</formula>
    </cfRule>
    <cfRule type="cellIs" dxfId="4305" priority="120" operator="greaterThan">
      <formula>$C17</formula>
    </cfRule>
    <cfRule type="cellIs" dxfId="4304" priority="121" operator="lessThan">
      <formula>$C17</formula>
    </cfRule>
  </conditionalFormatting>
  <conditionalFormatting sqref="D18:E18">
    <cfRule type="expression" dxfId="4303" priority="118">
      <formula>AND($A18&lt;&gt;"",MOD(ROW(),2))</formula>
    </cfRule>
  </conditionalFormatting>
  <conditionalFormatting sqref="D18">
    <cfRule type="cellIs" dxfId="4302" priority="115" operator="equal">
      <formula>$C18</formula>
    </cfRule>
    <cfRule type="cellIs" dxfId="4301" priority="116" operator="greaterThan">
      <formula>$C18</formula>
    </cfRule>
    <cfRule type="cellIs" dxfId="4300" priority="117" operator="lessThan">
      <formula>$C18</formula>
    </cfRule>
  </conditionalFormatting>
  <conditionalFormatting sqref="F7:F18">
    <cfRule type="containsText" dxfId="4299" priority="91" operator="containsText" text="Unpaid Rent">
      <formula>NOT(ISERROR(SEARCH("Unpaid Rent",F7)))</formula>
    </cfRule>
    <cfRule type="containsText" dxfId="4298" priority="92" stopIfTrue="1" operator="containsText" text="Closed Account">
      <formula>NOT(ISERROR(SEARCH("Closed Account",F7)))</formula>
    </cfRule>
  </conditionalFormatting>
  <conditionalFormatting sqref="F19:F30">
    <cfRule type="containsText" dxfId="4297" priority="89" operator="containsText" text="Unpaid Rent">
      <formula>NOT(ISERROR(SEARCH("Unpaid Rent",F19)))</formula>
    </cfRule>
    <cfRule type="containsText" dxfId="4296" priority="90" stopIfTrue="1" operator="containsText" text="Closed Account">
      <formula>NOT(ISERROR(SEARCH("Closed Account",F19)))</formula>
    </cfRule>
  </conditionalFormatting>
  <conditionalFormatting sqref="D19:E19">
    <cfRule type="expression" dxfId="4295" priority="88">
      <formula>AND($A19&lt;&gt;"",MOD(ROW(),2))</formula>
    </cfRule>
  </conditionalFormatting>
  <conditionalFormatting sqref="D19">
    <cfRule type="cellIs" dxfId="4294" priority="85" operator="equal">
      <formula>$C19</formula>
    </cfRule>
    <cfRule type="cellIs" dxfId="4293" priority="86" operator="greaterThan">
      <formula>$C19</formula>
    </cfRule>
    <cfRule type="cellIs" dxfId="4292" priority="87" operator="lessThan">
      <formula>$C19</formula>
    </cfRule>
  </conditionalFormatting>
  <conditionalFormatting sqref="D20:E20">
    <cfRule type="expression" dxfId="4291" priority="84">
      <formula>AND($A20&lt;&gt;"",MOD(ROW(),2))</formula>
    </cfRule>
  </conditionalFormatting>
  <conditionalFormatting sqref="D20">
    <cfRule type="cellIs" dxfId="4290" priority="81" operator="equal">
      <formula>$C20</formula>
    </cfRule>
    <cfRule type="cellIs" dxfId="4289" priority="82" operator="greaterThan">
      <formula>$C20</formula>
    </cfRule>
    <cfRule type="cellIs" dxfId="4288" priority="83" operator="lessThan">
      <formula>$C20</formula>
    </cfRule>
  </conditionalFormatting>
  <conditionalFormatting sqref="D21:E21">
    <cfRule type="expression" dxfId="4287" priority="80">
      <formula>AND($A21&lt;&gt;"",MOD(ROW(),2))</formula>
    </cfRule>
  </conditionalFormatting>
  <conditionalFormatting sqref="D21">
    <cfRule type="cellIs" dxfId="4286" priority="77" operator="equal">
      <formula>$C21</formula>
    </cfRule>
    <cfRule type="cellIs" dxfId="4285" priority="78" operator="greaterThan">
      <formula>$C21</formula>
    </cfRule>
    <cfRule type="cellIs" dxfId="4284" priority="79" operator="lessThan">
      <formula>$C21</formula>
    </cfRule>
  </conditionalFormatting>
  <conditionalFormatting sqref="D22:E22">
    <cfRule type="expression" dxfId="4283" priority="76">
      <formula>AND($A22&lt;&gt;"",MOD(ROW(),2))</formula>
    </cfRule>
  </conditionalFormatting>
  <conditionalFormatting sqref="D22">
    <cfRule type="cellIs" dxfId="4282" priority="73" operator="equal">
      <formula>$C22</formula>
    </cfRule>
    <cfRule type="cellIs" dxfId="4281" priority="74" operator="greaterThan">
      <formula>$C22</formula>
    </cfRule>
    <cfRule type="cellIs" dxfId="4280" priority="75" operator="lessThan">
      <formula>$C22</formula>
    </cfRule>
  </conditionalFormatting>
  <conditionalFormatting sqref="D23:E23">
    <cfRule type="expression" dxfId="4279" priority="72">
      <formula>AND($A23&lt;&gt;"",MOD(ROW(),2))</formula>
    </cfRule>
  </conditionalFormatting>
  <conditionalFormatting sqref="D23">
    <cfRule type="cellIs" dxfId="4278" priority="69" operator="equal">
      <formula>$C23</formula>
    </cfRule>
    <cfRule type="cellIs" dxfId="4277" priority="70" operator="greaterThan">
      <formula>$C23</formula>
    </cfRule>
    <cfRule type="cellIs" dxfId="4276" priority="71" operator="lessThan">
      <formula>$C23</formula>
    </cfRule>
  </conditionalFormatting>
  <conditionalFormatting sqref="D24:E24">
    <cfRule type="expression" dxfId="4275" priority="68">
      <formula>AND($A24&lt;&gt;"",MOD(ROW(),2))</formula>
    </cfRule>
  </conditionalFormatting>
  <conditionalFormatting sqref="D24">
    <cfRule type="cellIs" dxfId="4274" priority="65" operator="equal">
      <formula>$C24</formula>
    </cfRule>
    <cfRule type="cellIs" dxfId="4273" priority="66" operator="greaterThan">
      <formula>$C24</formula>
    </cfRule>
    <cfRule type="cellIs" dxfId="4272" priority="67" operator="lessThan">
      <formula>$C24</formula>
    </cfRule>
  </conditionalFormatting>
  <conditionalFormatting sqref="D25:E25">
    <cfRule type="expression" dxfId="4271" priority="64">
      <formula>AND($A25&lt;&gt;"",MOD(ROW(),2))</formula>
    </cfRule>
  </conditionalFormatting>
  <conditionalFormatting sqref="D25">
    <cfRule type="cellIs" dxfId="4270" priority="61" operator="equal">
      <formula>$C25</formula>
    </cfRule>
    <cfRule type="cellIs" dxfId="4269" priority="62" operator="greaterThan">
      <formula>$C25</formula>
    </cfRule>
    <cfRule type="cellIs" dxfId="4268" priority="63" operator="lessThan">
      <formula>$C25</formula>
    </cfRule>
  </conditionalFormatting>
  <conditionalFormatting sqref="D26:E26">
    <cfRule type="expression" dxfId="4267" priority="60">
      <formula>AND($A26&lt;&gt;"",MOD(ROW(),2))</formula>
    </cfRule>
  </conditionalFormatting>
  <conditionalFormatting sqref="D26">
    <cfRule type="cellIs" dxfId="4266" priority="57" operator="equal">
      <formula>$C26</formula>
    </cfRule>
    <cfRule type="cellIs" dxfId="4265" priority="58" operator="greaterThan">
      <formula>$C26</formula>
    </cfRule>
    <cfRule type="cellIs" dxfId="4264" priority="59" operator="lessThan">
      <formula>$C26</formula>
    </cfRule>
  </conditionalFormatting>
  <conditionalFormatting sqref="D27:E27">
    <cfRule type="expression" dxfId="4263" priority="56">
      <formula>AND($A27&lt;&gt;"",MOD(ROW(),2))</formula>
    </cfRule>
  </conditionalFormatting>
  <conditionalFormatting sqref="D27">
    <cfRule type="cellIs" dxfId="4262" priority="53" operator="equal">
      <formula>$C27</formula>
    </cfRule>
    <cfRule type="cellIs" dxfId="4261" priority="54" operator="greaterThan">
      <formula>$C27</formula>
    </cfRule>
    <cfRule type="cellIs" dxfId="4260" priority="55" operator="lessThan">
      <formula>$C27</formula>
    </cfRule>
  </conditionalFormatting>
  <conditionalFormatting sqref="D28:E28">
    <cfRule type="expression" dxfId="4259" priority="52">
      <formula>AND($A28&lt;&gt;"",MOD(ROW(),2))</formula>
    </cfRule>
  </conditionalFormatting>
  <conditionalFormatting sqref="D28">
    <cfRule type="cellIs" dxfId="4258" priority="49" operator="equal">
      <formula>$C28</formula>
    </cfRule>
    <cfRule type="cellIs" dxfId="4257" priority="50" operator="greaterThan">
      <formula>$C28</formula>
    </cfRule>
    <cfRule type="cellIs" dxfId="4256" priority="51" operator="lessThan">
      <formula>$C28</formula>
    </cfRule>
  </conditionalFormatting>
  <conditionalFormatting sqref="D29:E29">
    <cfRule type="expression" dxfId="4255" priority="48">
      <formula>AND($A29&lt;&gt;"",MOD(ROW(),2))</formula>
    </cfRule>
  </conditionalFormatting>
  <conditionalFormatting sqref="D29">
    <cfRule type="cellIs" dxfId="4254" priority="45" operator="equal">
      <formula>$C29</formula>
    </cfRule>
    <cfRule type="cellIs" dxfId="4253" priority="46" operator="greaterThan">
      <formula>$C29</formula>
    </cfRule>
    <cfRule type="cellIs" dxfId="4252" priority="47" operator="lessThan">
      <formula>$C29</formula>
    </cfRule>
  </conditionalFormatting>
  <conditionalFormatting sqref="D30:E30">
    <cfRule type="expression" dxfId="4251" priority="44">
      <formula>AND($A30&lt;&gt;"",MOD(ROW(),2))</formula>
    </cfRule>
  </conditionalFormatting>
  <conditionalFormatting sqref="D30">
    <cfRule type="cellIs" dxfId="4250" priority="41" operator="equal">
      <formula>$C30</formula>
    </cfRule>
    <cfRule type="cellIs" dxfId="4249" priority="42" operator="greaterThan">
      <formula>$C30</formula>
    </cfRule>
    <cfRule type="cellIs" dxfId="4248" priority="43" operator="lessThan">
      <formula>$C30</formula>
    </cfRule>
  </conditionalFormatting>
  <conditionalFormatting sqref="C63:D63">
    <cfRule type="expression" dxfId="4247" priority="35">
      <formula>AND($A63&lt;&gt;"",MOD(ROW(),2))</formula>
    </cfRule>
  </conditionalFormatting>
  <conditionalFormatting sqref="C64:D64">
    <cfRule type="expression" dxfId="4246" priority="34">
      <formula>AND($A64&lt;&gt;"",MOD(ROW(),2))</formula>
    </cfRule>
  </conditionalFormatting>
  <conditionalFormatting sqref="C65:D65">
    <cfRule type="expression" dxfId="4245" priority="33">
      <formula>AND($A65&lt;&gt;"",MOD(ROW(),2))</formula>
    </cfRule>
  </conditionalFormatting>
  <conditionalFormatting sqref="C66:D66">
    <cfRule type="expression" dxfId="4244" priority="32">
      <formula>AND($A66&lt;&gt;"",MOD(ROW(),2))</formula>
    </cfRule>
  </conditionalFormatting>
  <conditionalFormatting sqref="C67:D67">
    <cfRule type="expression" dxfId="4243" priority="31">
      <formula>AND($A67&lt;&gt;"",MOD(ROW(),2))</formula>
    </cfRule>
  </conditionalFormatting>
  <conditionalFormatting sqref="C68:D68">
    <cfRule type="expression" dxfId="4242" priority="30">
      <formula>AND($A68&lt;&gt;"",MOD(ROW(),2))</formula>
    </cfRule>
  </conditionalFormatting>
  <conditionalFormatting sqref="C69:D69">
    <cfRule type="expression" dxfId="4241" priority="28">
      <formula>AND($A69&lt;&gt;"",MOD(ROW(),2))</formula>
    </cfRule>
  </conditionalFormatting>
  <conditionalFormatting sqref="C70">
    <cfRule type="expression" dxfId="4240" priority="27">
      <formula>AND($A70&lt;&gt;"",MOD(ROW(),2))</formula>
    </cfRule>
  </conditionalFormatting>
  <conditionalFormatting sqref="C71">
    <cfRule type="expression" dxfId="4239" priority="26">
      <formula>AND($A71&lt;&gt;"",MOD(ROW(),2))</formula>
    </cfRule>
  </conditionalFormatting>
  <conditionalFormatting sqref="C72:D72">
    <cfRule type="expression" dxfId="4238" priority="25">
      <formula>AND($A72&lt;&gt;"",MOD(ROW(),2))</formula>
    </cfRule>
  </conditionalFormatting>
  <conditionalFormatting sqref="C73:D73">
    <cfRule type="expression" dxfId="4237" priority="24">
      <formula>AND($A73&lt;&gt;"",MOD(ROW(),2))</formula>
    </cfRule>
  </conditionalFormatting>
  <conditionalFormatting sqref="D70">
    <cfRule type="expression" dxfId="4236" priority="23">
      <formula>AND($A70&lt;&gt;"",MOD(ROW(),2))</formula>
    </cfRule>
  </conditionalFormatting>
  <conditionalFormatting sqref="D71">
    <cfRule type="expression" dxfId="4235" priority="22">
      <formula>AND($A71&lt;&gt;"",MOD(ROW(),2))</formula>
    </cfRule>
  </conditionalFormatting>
  <conditionalFormatting sqref="C74:D74">
    <cfRule type="expression" dxfId="4234" priority="21">
      <formula>AND($A74&lt;&gt;"",MOD(ROW(),2))</formula>
    </cfRule>
  </conditionalFormatting>
  <conditionalFormatting sqref="C75:D75">
    <cfRule type="expression" dxfId="4233" priority="20">
      <formula>AND($A75&lt;&gt;"",MOD(ROW(),2))</formula>
    </cfRule>
  </conditionalFormatting>
  <conditionalFormatting sqref="C76:D76">
    <cfRule type="expression" dxfId="4232" priority="19">
      <formula>AND($A76&lt;&gt;"",MOD(ROW(),2))</formula>
    </cfRule>
  </conditionalFormatting>
  <conditionalFormatting sqref="C77:D77">
    <cfRule type="expression" dxfId="4231" priority="18">
      <formula>AND($A77&lt;&gt;"",MOD(ROW(),2))</formula>
    </cfRule>
  </conditionalFormatting>
  <conditionalFormatting sqref="C78:D78">
    <cfRule type="expression" dxfId="4230" priority="17">
      <formula>AND($A78&lt;&gt;"",MOD(ROW(),2))</formula>
    </cfRule>
  </conditionalFormatting>
  <conditionalFormatting sqref="C79:D79">
    <cfRule type="expression" dxfId="4229" priority="16">
      <formula>AND($A79&lt;&gt;"",MOD(ROW(),2))</formula>
    </cfRule>
  </conditionalFormatting>
  <conditionalFormatting sqref="C80:D80">
    <cfRule type="expression" dxfId="4228" priority="15">
      <formula>AND($A80&lt;&gt;"",MOD(ROW(),2))</formula>
    </cfRule>
  </conditionalFormatting>
  <conditionalFormatting sqref="C81:D81">
    <cfRule type="expression" dxfId="4227" priority="14">
      <formula>AND($A81&lt;&gt;"",MOD(ROW(),2))</formula>
    </cfRule>
  </conditionalFormatting>
  <conditionalFormatting sqref="C82:D82">
    <cfRule type="expression" dxfId="4226" priority="13">
      <formula>AND($A82&lt;&gt;"",MOD(ROW(),2))</formula>
    </cfRule>
  </conditionalFormatting>
  <conditionalFormatting sqref="C83">
    <cfRule type="expression" dxfId="4225" priority="12">
      <formula>AND($A83&lt;&gt;"",MOD(ROW(),2))</formula>
    </cfRule>
  </conditionalFormatting>
  <conditionalFormatting sqref="C84:D84">
    <cfRule type="expression" dxfId="4224" priority="11">
      <formula>AND($A84&lt;&gt;"",MOD(ROW(),2))</formula>
    </cfRule>
  </conditionalFormatting>
  <conditionalFormatting sqref="D83">
    <cfRule type="expression" dxfId="4223" priority="10">
      <formula>AND($A83&lt;&gt;"",MOD(ROW(),2))</formula>
    </cfRule>
  </conditionalFormatting>
  <conditionalFormatting sqref="C85:D85">
    <cfRule type="expression" dxfId="4222" priority="9">
      <formula>AND($A85&lt;&gt;"",MOD(ROW(),2))</formula>
    </cfRule>
  </conditionalFormatting>
  <conditionalFormatting sqref="C86:D94">
    <cfRule type="expression" dxfId="4221" priority="8">
      <formula>AND($A86&lt;&gt;"",MOD(ROW(),2))</formula>
    </cfRule>
  </conditionalFormatting>
  <conditionalFormatting sqref="C95:C102">
    <cfRule type="expression" dxfId="4220" priority="7">
      <formula>AND($A95&lt;&gt;"",MOD(ROW(),2))</formula>
    </cfRule>
  </conditionalFormatting>
  <conditionalFormatting sqref="D95:D102">
    <cfRule type="expression" dxfId="4219" priority="6">
      <formula>AND($A95&lt;&gt;"",MOD(ROW(),2))</formula>
    </cfRule>
  </conditionalFormatting>
  <conditionalFormatting sqref="H98:I98">
    <cfRule type="expression" dxfId="4218" priority="5">
      <formula>AND($A98&lt;&gt;"",MOD(ROW(),2))</formula>
    </cfRule>
  </conditionalFormatting>
  <conditionalFormatting sqref="H99:I99">
    <cfRule type="expression" dxfId="4217" priority="4">
      <formula>AND($A99&lt;&gt;"",MOD(ROW(),2))</formula>
    </cfRule>
  </conditionalFormatting>
  <conditionalFormatting sqref="H100:I100">
    <cfRule type="expression" dxfId="4216" priority="3">
      <formula>AND($A100&lt;&gt;"",MOD(ROW(),2))</formula>
    </cfRule>
  </conditionalFormatting>
  <conditionalFormatting sqref="H101:I101">
    <cfRule type="expression" dxfId="4215" priority="2">
      <formula>AND($A101&lt;&gt;"",MOD(ROW(),2))</formula>
    </cfRule>
  </conditionalFormatting>
  <conditionalFormatting sqref="H102:I102">
    <cfRule type="expression" dxfId="4214" priority="1">
      <formula>AND($A102&lt;&gt;"",MOD(ROW(),2))</formula>
    </cfRule>
  </conditionalFormatting>
  <pageMargins left="0.75" right="0.75" top="1" bottom="1" header="0.5" footer="0.5"/>
  <pageSetup paperSize="9" orientation="portrait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500-000000000000}">
          <x14:formula1>
            <xm:f>PullDownValues!$F$2:$F$14</xm:f>
          </x14:formula1>
          <xm:sqref>L7:L354</xm:sqref>
        </x14:dataValidation>
        <x14:dataValidation type="list" allowBlank="1" showInputMessage="1" showErrorMessage="1" prompt="Payment Method" xr:uid="{00000000-0002-0000-1500-000001000000}">
          <x14:formula1>
            <xm:f>PullDownValues!$B$2:$B$12</xm:f>
          </x14:formula1>
          <xm:sqref>F7:F289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R354"/>
  <sheetViews>
    <sheetView zoomScaleNormal="100" workbookViewId="0">
      <pane ySplit="5" topLeftCell="A6" activePane="bottomLeft" state="frozen"/>
      <selection pane="bottomLeft" activeCell="I27" sqref="I27"/>
    </sheetView>
  </sheetViews>
  <sheetFormatPr defaultColWidth="8.85546875" defaultRowHeight="15" customHeight="1" x14ac:dyDescent="0.25"/>
  <cols>
    <col min="1" max="1" width="3.28515625" style="10" bestFit="1" customWidth="1"/>
    <col min="2" max="2" width="12.5703125" bestFit="1" customWidth="1"/>
    <col min="3" max="3" width="11" customWidth="1"/>
    <col min="4" max="4" width="11.28515625" customWidth="1"/>
    <col min="5" max="5" width="12.140625" customWidth="1"/>
    <col min="6" max="6" width="14.140625" customWidth="1"/>
    <col min="7" max="7" width="9.42578125" style="31" customWidth="1"/>
    <col min="8" max="8" width="11.5703125" bestFit="1" customWidth="1"/>
    <col min="9" max="9" width="10.5703125" customWidth="1"/>
    <col min="10" max="10" width="15.140625" customWidth="1"/>
    <col min="11" max="11" width="10.5703125" customWidth="1"/>
    <col min="12" max="12" width="12.5703125" customWidth="1"/>
    <col min="13" max="13" width="10.7109375" customWidth="1"/>
    <col min="14" max="14" width="12.7109375" customWidth="1"/>
    <col min="15" max="15" width="10.5703125" customWidth="1"/>
    <col min="16" max="16" width="11.28515625" customWidth="1"/>
    <col min="17" max="17" width="8.85546875" customWidth="1"/>
  </cols>
  <sheetData>
    <row r="1" spans="1:18" ht="35.1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57"/>
      <c r="K1" s="57"/>
      <c r="L1" s="57"/>
      <c r="M1" s="57"/>
      <c r="N1" s="57"/>
      <c r="O1" s="255">
        <f>SUM(P6:P90)-O4</f>
        <v>0</v>
      </c>
      <c r="P1" s="255"/>
      <c r="Q1" s="114"/>
      <c r="R1" s="114"/>
    </row>
    <row r="2" spans="1:18" s="9" customFormat="1" ht="15.95" customHeight="1" x14ac:dyDescent="0.25">
      <c r="A2" s="287" t="s">
        <v>4</v>
      </c>
      <c r="B2" s="287"/>
      <c r="C2" s="287"/>
      <c r="D2" s="287"/>
      <c r="E2" s="287"/>
      <c r="F2" s="287"/>
      <c r="G2" s="336">
        <f>SUM($D$6:$D$2990)-SUMIF($F$7:$F$290,"Bond Received",$D$7:$D$2990)-SUMIF($F$7:$F$290,"Unpaid Rent",$D$7:$D$2990)-(SUMIF($F$7:$F$290,"Discount Rent",$D$7:$D$2990)*2)</f>
        <v>23960</v>
      </c>
      <c r="H2" s="336"/>
      <c r="I2" s="336"/>
      <c r="J2" s="260" t="s">
        <v>5</v>
      </c>
      <c r="K2" s="260"/>
      <c r="L2" s="260"/>
      <c r="M2" s="262">
        <f>SUM($K$6:$K$2989)-SUMIF($L$6:$L$2989,"Bond Return",$K$6:$K$2989)</f>
        <v>6925.5799999999981</v>
      </c>
      <c r="N2" s="263"/>
      <c r="O2" s="265"/>
      <c r="P2" s="265"/>
      <c r="Q2" s="35"/>
    </row>
    <row r="3" spans="1:18" s="9" customFormat="1" ht="15.95" customHeight="1" x14ac:dyDescent="0.25">
      <c r="A3" s="288"/>
      <c r="B3" s="288"/>
      <c r="C3" s="288"/>
      <c r="D3" s="288"/>
      <c r="E3" s="288"/>
      <c r="F3" s="288"/>
      <c r="G3" s="337"/>
      <c r="H3" s="337"/>
      <c r="I3" s="337"/>
      <c r="J3" s="261"/>
      <c r="K3" s="261"/>
      <c r="L3" s="261"/>
      <c r="M3" s="264"/>
      <c r="N3" s="264"/>
      <c r="O3" s="266"/>
      <c r="P3" s="266"/>
    </row>
    <row r="4" spans="1:18" s="9" customFormat="1" ht="15.95" customHeight="1" x14ac:dyDescent="0.25">
      <c r="A4" s="244" t="s">
        <v>6</v>
      </c>
      <c r="B4" s="244" t="s">
        <v>7</v>
      </c>
      <c r="C4" s="267" t="s">
        <v>8</v>
      </c>
      <c r="D4" s="339" t="s">
        <v>756</v>
      </c>
      <c r="E4" s="269" t="s">
        <v>10</v>
      </c>
      <c r="F4" s="252" t="s">
        <v>112</v>
      </c>
      <c r="G4" s="276" t="s">
        <v>11</v>
      </c>
      <c r="H4" s="244" t="s">
        <v>12</v>
      </c>
      <c r="I4" s="334"/>
      <c r="J4" s="246" t="s">
        <v>13</v>
      </c>
      <c r="K4" s="246" t="s">
        <v>14</v>
      </c>
      <c r="L4" s="248" t="s">
        <v>15</v>
      </c>
      <c r="M4" s="249"/>
      <c r="N4" s="271" t="s">
        <v>113</v>
      </c>
      <c r="O4" s="273">
        <f>G2-M2</f>
        <v>17034.420000000002</v>
      </c>
      <c r="P4" s="274">
        <f>SUM(P2:P3)</f>
        <v>0</v>
      </c>
      <c r="Q4" s="63">
        <f>SUM(Q2:Q3)</f>
        <v>0</v>
      </c>
    </row>
    <row r="5" spans="1:18" s="10" customFormat="1" x14ac:dyDescent="0.25">
      <c r="A5" s="245"/>
      <c r="B5" s="245"/>
      <c r="C5" s="268"/>
      <c r="D5" s="270"/>
      <c r="E5" s="270"/>
      <c r="F5" s="253"/>
      <c r="G5" s="277"/>
      <c r="H5" s="245"/>
      <c r="I5" s="335"/>
      <c r="J5" s="247"/>
      <c r="K5" s="247"/>
      <c r="L5" s="250"/>
      <c r="M5" s="251"/>
      <c r="N5" s="272"/>
      <c r="O5" s="275"/>
      <c r="P5" s="275"/>
      <c r="Q5" s="18"/>
      <c r="R5" s="64"/>
    </row>
    <row r="6" spans="1:18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1"/>
      <c r="K6" s="42"/>
      <c r="L6" s="43" t="s">
        <v>123</v>
      </c>
      <c r="M6" s="43"/>
      <c r="N6" s="43"/>
      <c r="O6"/>
    </row>
    <row r="7" spans="1:18" ht="15" customHeight="1" x14ac:dyDescent="0.25">
      <c r="A7" s="10">
        <v>1</v>
      </c>
      <c r="B7" s="48">
        <v>44295</v>
      </c>
      <c r="C7" s="17">
        <v>600</v>
      </c>
      <c r="D7" s="17">
        <v>600</v>
      </c>
      <c r="E7" s="16">
        <v>44295</v>
      </c>
      <c r="F7" t="s">
        <v>181</v>
      </c>
      <c r="H7" s="17">
        <f>IFERROR(IF(F6="Closed account",(IF(F7="Unpaid Rent",(C7),(C7-D7))),(IF(F7="Unpaid Rent",(C7+H6),(C7-D7+H6)))),"")</f>
        <v>0</v>
      </c>
      <c r="I7" s="17" t="s">
        <v>552</v>
      </c>
      <c r="J7" s="48">
        <v>44293</v>
      </c>
      <c r="K7" s="17">
        <v>56.93</v>
      </c>
      <c r="L7" s="49" t="s">
        <v>32</v>
      </c>
      <c r="N7" t="s">
        <v>14</v>
      </c>
      <c r="O7" t="s">
        <v>14</v>
      </c>
      <c r="P7" s="111">
        <f>SUMIF($I$6:$I$2992,O7,$D$6:$D$2992)-SUMIFS($D$6:$D$2992,$I$6:$I$2992,O7,$F$6:$F$2992,"Unpaid Rent")-(SUMIFS($D$6:$D$2992,$I$6:$I$2992,O7,$F$6:$F$2992,"Discount Rent")*2)-(SUMIFS($D$6:$D$2992,$I$6:$I$2992,O7,$F$6:$F$2992,"Bond Received"))-SUMIF($N$6:$N$2989,O7,$K$6:$K$2989)+SUMIFS($K$6:$K$2989,$N$6:$N$2989,O7,$L$6:$L$2989,"Bond Return")</f>
        <v>-2158.86</v>
      </c>
    </row>
    <row r="8" spans="1:18" ht="15" customHeight="1" x14ac:dyDescent="0.25">
      <c r="A8" s="10">
        <v>1</v>
      </c>
      <c r="B8" s="48">
        <v>44295</v>
      </c>
      <c r="C8" s="17">
        <v>320</v>
      </c>
      <c r="D8" s="17">
        <v>320</v>
      </c>
      <c r="E8" s="16">
        <v>44295</v>
      </c>
      <c r="F8" t="s">
        <v>114</v>
      </c>
      <c r="H8" s="17">
        <f t="shared" ref="H8:H60" si="0">IFERROR(IF(F7="Closed account",(IF(F8="Unpaid Rent",(C8),(C8-D8))),(IF(F8="Unpaid Rent",(C8+H7),(C8-D8+H7)))),"")</f>
        <v>0</v>
      </c>
      <c r="I8" s="17" t="s">
        <v>552</v>
      </c>
      <c r="J8" s="48">
        <v>44293</v>
      </c>
      <c r="K8" s="17">
        <v>150</v>
      </c>
      <c r="L8" s="49" t="s">
        <v>17</v>
      </c>
      <c r="M8" t="s">
        <v>503</v>
      </c>
      <c r="N8" t="s">
        <v>14</v>
      </c>
      <c r="O8" t="s">
        <v>552</v>
      </c>
      <c r="P8" s="111">
        <f t="shared" ref="P8:P67" si="1">SUMIF($I$6:$I$2992,O8,$D$6:$D$2992)-SUMIFS($D$6:$D$2992,$I$6:$I$2992,O8,$F$6:$F$2992,"Unpaid Rent")-(SUMIFS($D$6:$D$2992,$I$6:$I$2992,O8,$F$6:$F$2992,"Discount Rent")*2)-(SUMIFS($D$6:$D$2992,$I$6:$I$2992,O8,$F$6:$F$2992,"Bond Received"))-SUMIF($N$6:$N$2989,O8,$K$6:$K$2989)+SUMIFS($K$6:$K$2989,$N$6:$N$2989,O8,$L$6:$L$2989,"Bond Return")</f>
        <v>4443.59</v>
      </c>
    </row>
    <row r="9" spans="1:18" ht="15" customHeight="1" x14ac:dyDescent="0.25">
      <c r="A9" s="10">
        <v>2</v>
      </c>
      <c r="B9" s="48">
        <f t="shared" ref="B9:B14" si="2">B8+7</f>
        <v>44302</v>
      </c>
      <c r="C9" s="17">
        <v>320</v>
      </c>
      <c r="D9" s="17">
        <v>320</v>
      </c>
      <c r="E9" s="16">
        <v>44309</v>
      </c>
      <c r="F9" t="s">
        <v>58</v>
      </c>
      <c r="H9" s="17">
        <f t="shared" si="0"/>
        <v>0</v>
      </c>
      <c r="I9" s="17" t="s">
        <v>552</v>
      </c>
      <c r="J9" s="48">
        <v>44295</v>
      </c>
      <c r="K9" s="17">
        <v>72.599999999999994</v>
      </c>
      <c r="L9" s="49" t="s">
        <v>98</v>
      </c>
      <c r="N9" t="s">
        <v>14</v>
      </c>
      <c r="O9" t="s">
        <v>670</v>
      </c>
      <c r="P9" s="111">
        <f t="shared" si="1"/>
        <v>2624.39</v>
      </c>
    </row>
    <row r="10" spans="1:18" ht="15" customHeight="1" x14ac:dyDescent="0.25">
      <c r="A10" s="10">
        <v>3</v>
      </c>
      <c r="B10" s="48">
        <f t="shared" si="2"/>
        <v>44309</v>
      </c>
      <c r="C10" s="17">
        <v>320</v>
      </c>
      <c r="D10" s="17">
        <v>320</v>
      </c>
      <c r="E10" s="16">
        <v>44309</v>
      </c>
      <c r="F10" t="s">
        <v>58</v>
      </c>
      <c r="H10" s="17">
        <f t="shared" si="0"/>
        <v>0</v>
      </c>
      <c r="I10" s="17" t="s">
        <v>552</v>
      </c>
      <c r="J10" s="48">
        <v>44296</v>
      </c>
      <c r="K10" s="17">
        <v>55.1</v>
      </c>
      <c r="L10" s="49" t="s">
        <v>54</v>
      </c>
      <c r="N10" t="s">
        <v>14</v>
      </c>
      <c r="O10" t="s">
        <v>706</v>
      </c>
      <c r="P10" s="111">
        <f t="shared" si="1"/>
        <v>1141</v>
      </c>
    </row>
    <row r="11" spans="1:18" ht="15" customHeight="1" x14ac:dyDescent="0.25">
      <c r="A11" s="10">
        <v>4</v>
      </c>
      <c r="B11" s="48">
        <f t="shared" si="2"/>
        <v>44316</v>
      </c>
      <c r="C11" s="17">
        <v>320</v>
      </c>
      <c r="D11" s="17">
        <v>320</v>
      </c>
      <c r="E11" s="16">
        <v>44316</v>
      </c>
      <c r="F11" t="s">
        <v>58</v>
      </c>
      <c r="H11" s="17">
        <f t="shared" si="0"/>
        <v>0</v>
      </c>
      <c r="I11" s="17" t="s">
        <v>552</v>
      </c>
      <c r="J11" s="48">
        <v>44299</v>
      </c>
      <c r="K11" s="17">
        <v>175.79</v>
      </c>
      <c r="L11" s="49" t="s">
        <v>16</v>
      </c>
      <c r="N11" t="s">
        <v>552</v>
      </c>
      <c r="O11" t="s">
        <v>738</v>
      </c>
      <c r="P11" s="111">
        <f t="shared" si="1"/>
        <v>5814.21</v>
      </c>
    </row>
    <row r="12" spans="1:18" ht="15" customHeight="1" x14ac:dyDescent="0.25">
      <c r="A12" s="10">
        <v>5</v>
      </c>
      <c r="B12" s="48">
        <f t="shared" si="2"/>
        <v>44323</v>
      </c>
      <c r="C12" s="17">
        <v>320</v>
      </c>
      <c r="D12" s="17">
        <v>320</v>
      </c>
      <c r="E12" s="16">
        <v>44323</v>
      </c>
      <c r="F12" t="s">
        <v>58</v>
      </c>
      <c r="H12" s="17">
        <f t="shared" si="0"/>
        <v>0</v>
      </c>
      <c r="I12" s="17" t="s">
        <v>552</v>
      </c>
      <c r="J12" s="48">
        <v>44299</v>
      </c>
      <c r="K12" s="17">
        <v>14.71</v>
      </c>
      <c r="L12" s="49" t="s">
        <v>32</v>
      </c>
      <c r="N12" t="s">
        <v>552</v>
      </c>
      <c r="O12" t="s">
        <v>850</v>
      </c>
      <c r="P12" s="111">
        <f t="shared" si="1"/>
        <v>1060</v>
      </c>
    </row>
    <row r="13" spans="1:18" ht="15" customHeight="1" x14ac:dyDescent="0.25">
      <c r="A13" s="10">
        <v>6</v>
      </c>
      <c r="B13" s="48">
        <f t="shared" si="2"/>
        <v>44330</v>
      </c>
      <c r="C13" s="17">
        <v>320</v>
      </c>
      <c r="D13" s="17">
        <v>320</v>
      </c>
      <c r="E13" s="16">
        <v>44330</v>
      </c>
      <c r="F13" t="s">
        <v>58</v>
      </c>
      <c r="H13" s="17">
        <f t="shared" si="0"/>
        <v>0</v>
      </c>
      <c r="I13" s="17" t="s">
        <v>552</v>
      </c>
      <c r="J13" s="48">
        <v>44315</v>
      </c>
      <c r="K13" s="17">
        <v>110</v>
      </c>
      <c r="L13" s="49" t="s">
        <v>17</v>
      </c>
      <c r="M13" t="s">
        <v>438</v>
      </c>
      <c r="N13" t="s">
        <v>552</v>
      </c>
      <c r="O13" t="s">
        <v>925</v>
      </c>
      <c r="P13" s="111">
        <f t="shared" si="1"/>
        <v>1529.8700000000001</v>
      </c>
    </row>
    <row r="14" spans="1:18" ht="15" customHeight="1" x14ac:dyDescent="0.25">
      <c r="A14" s="10">
        <v>7</v>
      </c>
      <c r="B14" s="48">
        <f t="shared" si="2"/>
        <v>44337</v>
      </c>
      <c r="C14" s="17">
        <v>320</v>
      </c>
      <c r="D14" s="17">
        <v>320</v>
      </c>
      <c r="E14" s="16">
        <v>44343</v>
      </c>
      <c r="F14" t="s">
        <v>58</v>
      </c>
      <c r="H14" s="17">
        <f t="shared" si="0"/>
        <v>0</v>
      </c>
      <c r="I14" s="17" t="s">
        <v>552</v>
      </c>
      <c r="J14" s="48">
        <v>44309</v>
      </c>
      <c r="K14" s="17">
        <v>5.5</v>
      </c>
      <c r="L14" s="49" t="s">
        <v>22</v>
      </c>
      <c r="N14" t="s">
        <v>552</v>
      </c>
      <c r="O14" t="s">
        <v>1010</v>
      </c>
      <c r="P14" s="111">
        <f t="shared" si="1"/>
        <v>2580.2200000000003</v>
      </c>
    </row>
    <row r="15" spans="1:18" ht="15" customHeight="1" x14ac:dyDescent="0.25">
      <c r="A15" s="10">
        <v>8</v>
      </c>
      <c r="B15" s="48">
        <f t="shared" ref="B15:B20" si="3">B14+7</f>
        <v>44344</v>
      </c>
      <c r="C15" s="17">
        <v>320</v>
      </c>
      <c r="D15" s="17">
        <v>320</v>
      </c>
      <c r="E15" s="16">
        <v>44344</v>
      </c>
      <c r="F15" t="s">
        <v>58</v>
      </c>
      <c r="H15" s="17">
        <f t="shared" si="0"/>
        <v>0</v>
      </c>
      <c r="I15" s="17" t="s">
        <v>552</v>
      </c>
      <c r="J15" s="48">
        <v>44337</v>
      </c>
      <c r="K15" s="17">
        <v>0.99</v>
      </c>
      <c r="L15" s="49" t="s">
        <v>22</v>
      </c>
      <c r="N15" t="s">
        <v>552</v>
      </c>
      <c r="P15" s="111">
        <f t="shared" si="1"/>
        <v>0</v>
      </c>
    </row>
    <row r="16" spans="1:18" ht="15" customHeight="1" x14ac:dyDescent="0.25">
      <c r="A16" s="10">
        <v>9</v>
      </c>
      <c r="B16" s="48">
        <f t="shared" si="3"/>
        <v>44351</v>
      </c>
      <c r="C16" s="17">
        <v>320</v>
      </c>
      <c r="D16" s="17"/>
      <c r="E16" s="16"/>
      <c r="H16" s="17">
        <f t="shared" si="0"/>
        <v>320</v>
      </c>
      <c r="I16" s="17" t="s">
        <v>552</v>
      </c>
      <c r="J16" s="48">
        <v>44357</v>
      </c>
      <c r="K16" s="17">
        <v>2.75</v>
      </c>
      <c r="L16" s="49" t="s">
        <v>22</v>
      </c>
      <c r="N16" t="s">
        <v>552</v>
      </c>
      <c r="P16" s="111">
        <f t="shared" si="1"/>
        <v>0</v>
      </c>
    </row>
    <row r="17" spans="1:16" ht="15" customHeight="1" x14ac:dyDescent="0.25">
      <c r="A17" s="10">
        <v>10</v>
      </c>
      <c r="B17" s="48">
        <f t="shared" si="3"/>
        <v>44358</v>
      </c>
      <c r="C17" s="17">
        <v>320</v>
      </c>
      <c r="D17" s="17">
        <v>190</v>
      </c>
      <c r="E17" s="16">
        <v>44357</v>
      </c>
      <c r="G17" s="31" t="s">
        <v>526</v>
      </c>
      <c r="H17" s="17">
        <f t="shared" si="0"/>
        <v>450</v>
      </c>
      <c r="I17" s="17" t="s">
        <v>552</v>
      </c>
      <c r="J17" s="48">
        <v>44351</v>
      </c>
      <c r="K17" s="17">
        <v>0.99</v>
      </c>
      <c r="L17" s="49" t="s">
        <v>22</v>
      </c>
      <c r="N17" t="s">
        <v>552</v>
      </c>
      <c r="P17" s="111">
        <f t="shared" si="1"/>
        <v>0</v>
      </c>
    </row>
    <row r="18" spans="1:16" ht="15" customHeight="1" x14ac:dyDescent="0.25">
      <c r="A18" s="10">
        <v>11</v>
      </c>
      <c r="B18" s="48">
        <f t="shared" si="3"/>
        <v>44365</v>
      </c>
      <c r="C18" s="17">
        <v>320</v>
      </c>
      <c r="D18" s="17">
        <v>320</v>
      </c>
      <c r="E18" s="16">
        <v>44378</v>
      </c>
      <c r="F18" t="s">
        <v>58</v>
      </c>
      <c r="H18" s="17">
        <f t="shared" si="0"/>
        <v>450</v>
      </c>
      <c r="I18" s="17" t="s">
        <v>552</v>
      </c>
      <c r="J18" s="48">
        <v>44364</v>
      </c>
      <c r="K18" s="17">
        <v>2.75</v>
      </c>
      <c r="L18" s="49" t="s">
        <v>22</v>
      </c>
      <c r="N18" t="s">
        <v>552</v>
      </c>
      <c r="P18" s="111">
        <f t="shared" si="1"/>
        <v>0</v>
      </c>
    </row>
    <row r="19" spans="1:16" ht="15" customHeight="1" x14ac:dyDescent="0.25">
      <c r="A19" s="10">
        <v>12</v>
      </c>
      <c r="B19" s="48">
        <f t="shared" si="3"/>
        <v>44372</v>
      </c>
      <c r="C19" s="17">
        <v>320</v>
      </c>
      <c r="D19" s="17">
        <v>320</v>
      </c>
      <c r="E19" s="16">
        <v>44379</v>
      </c>
      <c r="F19" t="s">
        <v>58</v>
      </c>
      <c r="H19" s="17">
        <f t="shared" si="0"/>
        <v>450</v>
      </c>
      <c r="I19" s="17" t="s">
        <v>552</v>
      </c>
      <c r="J19" s="48">
        <v>44358</v>
      </c>
      <c r="K19" s="17">
        <v>0.99</v>
      </c>
      <c r="L19" s="49" t="s">
        <v>22</v>
      </c>
      <c r="N19" t="s">
        <v>552</v>
      </c>
      <c r="P19" s="111">
        <f t="shared" si="1"/>
        <v>0</v>
      </c>
    </row>
    <row r="20" spans="1:16" ht="15" customHeight="1" x14ac:dyDescent="0.25">
      <c r="A20" s="10">
        <v>13</v>
      </c>
      <c r="B20" s="48">
        <f t="shared" si="3"/>
        <v>44379</v>
      </c>
      <c r="C20" s="17">
        <v>320</v>
      </c>
      <c r="D20" s="17">
        <v>320</v>
      </c>
      <c r="E20" s="16">
        <v>44386</v>
      </c>
      <c r="F20" t="s">
        <v>58</v>
      </c>
      <c r="H20" s="17">
        <f t="shared" si="0"/>
        <v>450</v>
      </c>
      <c r="I20" s="17" t="s">
        <v>552</v>
      </c>
      <c r="J20" s="48">
        <v>44371</v>
      </c>
      <c r="K20" s="17">
        <v>2.75</v>
      </c>
      <c r="L20" s="49" t="s">
        <v>22</v>
      </c>
      <c r="N20" t="s">
        <v>552</v>
      </c>
      <c r="P20" s="111">
        <f t="shared" si="1"/>
        <v>0</v>
      </c>
    </row>
    <row r="21" spans="1:16" ht="15" customHeight="1" x14ac:dyDescent="0.25">
      <c r="A21" s="10">
        <v>14</v>
      </c>
      <c r="B21" s="48">
        <v>44388</v>
      </c>
      <c r="C21" s="17">
        <v>0</v>
      </c>
      <c r="D21" s="17">
        <v>600</v>
      </c>
      <c r="E21" s="16">
        <v>44388</v>
      </c>
      <c r="F21" t="s">
        <v>157</v>
      </c>
      <c r="H21" s="17">
        <f t="shared" si="0"/>
        <v>-150</v>
      </c>
      <c r="I21" s="17" t="s">
        <v>552</v>
      </c>
      <c r="J21" s="48">
        <v>44365</v>
      </c>
      <c r="K21" s="17">
        <v>0.99</v>
      </c>
      <c r="L21" s="49" t="s">
        <v>22</v>
      </c>
      <c r="N21" t="s">
        <v>552</v>
      </c>
      <c r="P21" s="111">
        <f t="shared" si="1"/>
        <v>0</v>
      </c>
    </row>
    <row r="22" spans="1:16" ht="15" customHeight="1" x14ac:dyDescent="0.25">
      <c r="A22" s="10">
        <v>15</v>
      </c>
      <c r="B22" s="48">
        <v>44388</v>
      </c>
      <c r="C22" s="17">
        <v>800</v>
      </c>
      <c r="D22" s="17">
        <v>1000</v>
      </c>
      <c r="E22" s="16">
        <v>44388</v>
      </c>
      <c r="F22" t="s">
        <v>124</v>
      </c>
      <c r="G22" s="31" t="s">
        <v>17</v>
      </c>
      <c r="H22" s="17">
        <f t="shared" si="0"/>
        <v>-350</v>
      </c>
      <c r="I22" s="17" t="s">
        <v>552</v>
      </c>
      <c r="J22" s="48">
        <v>44388</v>
      </c>
      <c r="K22" s="17">
        <v>600</v>
      </c>
      <c r="L22" s="49" t="s">
        <v>45</v>
      </c>
      <c r="N22" t="s">
        <v>552</v>
      </c>
      <c r="P22" s="111">
        <f t="shared" si="1"/>
        <v>0</v>
      </c>
    </row>
    <row r="23" spans="1:16" ht="15" customHeight="1" x14ac:dyDescent="0.25">
      <c r="A23" s="10">
        <v>1</v>
      </c>
      <c r="B23" s="48">
        <v>44391</v>
      </c>
      <c r="C23" s="17">
        <v>400</v>
      </c>
      <c r="D23" s="17">
        <v>400</v>
      </c>
      <c r="E23" s="16">
        <v>44391</v>
      </c>
      <c r="F23" t="s">
        <v>181</v>
      </c>
      <c r="H23" s="17">
        <f t="shared" si="0"/>
        <v>0</v>
      </c>
      <c r="I23" s="17" t="s">
        <v>670</v>
      </c>
      <c r="J23" s="48">
        <v>44397</v>
      </c>
      <c r="K23" s="17">
        <v>5.5</v>
      </c>
      <c r="L23" s="49" t="s">
        <v>22</v>
      </c>
      <c r="N23" t="s">
        <v>670</v>
      </c>
      <c r="P23" s="111">
        <f t="shared" si="1"/>
        <v>0</v>
      </c>
    </row>
    <row r="24" spans="1:16" ht="15" customHeight="1" x14ac:dyDescent="0.25">
      <c r="A24" s="10">
        <v>1</v>
      </c>
      <c r="B24" s="48">
        <v>44391</v>
      </c>
      <c r="C24" s="17">
        <v>350</v>
      </c>
      <c r="D24" s="17">
        <v>350</v>
      </c>
      <c r="E24" s="16">
        <v>44391</v>
      </c>
      <c r="F24" t="s">
        <v>117</v>
      </c>
      <c r="H24" s="17">
        <f t="shared" si="0"/>
        <v>0</v>
      </c>
      <c r="I24" s="17" t="s">
        <v>670</v>
      </c>
      <c r="J24" s="48">
        <v>44418</v>
      </c>
      <c r="K24" s="17">
        <v>0.99</v>
      </c>
      <c r="L24" s="49" t="s">
        <v>22</v>
      </c>
      <c r="N24" t="s">
        <v>670</v>
      </c>
      <c r="P24" s="111">
        <f t="shared" si="1"/>
        <v>0</v>
      </c>
    </row>
    <row r="25" spans="1:16" ht="15" customHeight="1" x14ac:dyDescent="0.25">
      <c r="A25" s="10">
        <v>2</v>
      </c>
      <c r="B25" s="48">
        <f t="shared" ref="B25:B31" si="4">B24+7</f>
        <v>44398</v>
      </c>
      <c r="C25" s="17">
        <v>350</v>
      </c>
      <c r="D25" s="17">
        <v>350</v>
      </c>
      <c r="E25" s="16">
        <v>44397</v>
      </c>
      <c r="F25" t="s">
        <v>58</v>
      </c>
      <c r="H25" s="17">
        <f t="shared" si="0"/>
        <v>0</v>
      </c>
      <c r="I25" s="17" t="s">
        <v>670</v>
      </c>
      <c r="J25" s="48">
        <v>44357</v>
      </c>
      <c r="K25" s="17">
        <v>190</v>
      </c>
      <c r="L25" s="49" t="s">
        <v>26</v>
      </c>
      <c r="N25" t="s">
        <v>552</v>
      </c>
      <c r="P25" s="111">
        <f t="shared" si="1"/>
        <v>0</v>
      </c>
    </row>
    <row r="26" spans="1:16" ht="15" customHeight="1" x14ac:dyDescent="0.25">
      <c r="A26" s="10">
        <v>3</v>
      </c>
      <c r="B26" s="48">
        <f t="shared" si="4"/>
        <v>44405</v>
      </c>
      <c r="C26" s="17">
        <v>350</v>
      </c>
      <c r="D26" s="17">
        <v>350</v>
      </c>
      <c r="E26" s="16">
        <v>44404</v>
      </c>
      <c r="F26" t="s">
        <v>58</v>
      </c>
      <c r="H26" s="17">
        <f t="shared" si="0"/>
        <v>0</v>
      </c>
      <c r="I26" s="17" t="s">
        <v>670</v>
      </c>
      <c r="J26" s="48">
        <v>44432</v>
      </c>
      <c r="K26" s="17">
        <v>0.99</v>
      </c>
      <c r="L26" s="49" t="s">
        <v>22</v>
      </c>
      <c r="N26" t="s">
        <v>670</v>
      </c>
      <c r="P26" s="111">
        <f t="shared" si="1"/>
        <v>0</v>
      </c>
    </row>
    <row r="27" spans="1:16" ht="15" customHeight="1" x14ac:dyDescent="0.25">
      <c r="A27" s="10">
        <v>4</v>
      </c>
      <c r="B27" s="48">
        <f t="shared" si="4"/>
        <v>44412</v>
      </c>
      <c r="C27" s="17">
        <v>350</v>
      </c>
      <c r="D27" s="17">
        <v>350</v>
      </c>
      <c r="E27" s="16">
        <v>44411</v>
      </c>
      <c r="F27" t="s">
        <v>58</v>
      </c>
      <c r="H27" s="17">
        <f t="shared" si="0"/>
        <v>0</v>
      </c>
      <c r="I27" s="17" t="s">
        <v>670</v>
      </c>
      <c r="J27" s="48">
        <v>44438</v>
      </c>
      <c r="K27" s="17">
        <v>2.75</v>
      </c>
      <c r="L27" s="49" t="s">
        <v>22</v>
      </c>
      <c r="N27" t="s">
        <v>670</v>
      </c>
      <c r="P27" s="111">
        <f t="shared" si="1"/>
        <v>0</v>
      </c>
    </row>
    <row r="28" spans="1:16" ht="15" customHeight="1" x14ac:dyDescent="0.25">
      <c r="A28" s="10">
        <v>5</v>
      </c>
      <c r="B28" s="48">
        <f t="shared" si="4"/>
        <v>44419</v>
      </c>
      <c r="C28" s="17">
        <v>350</v>
      </c>
      <c r="D28" s="17"/>
      <c r="E28" s="16"/>
      <c r="H28" s="17">
        <f t="shared" si="0"/>
        <v>350</v>
      </c>
      <c r="I28" s="17" t="s">
        <v>670</v>
      </c>
      <c r="J28" s="48">
        <v>44446</v>
      </c>
      <c r="K28" s="17">
        <v>400</v>
      </c>
      <c r="L28" s="49" t="s">
        <v>45</v>
      </c>
      <c r="N28" t="s">
        <v>670</v>
      </c>
      <c r="P28" s="111">
        <f t="shared" si="1"/>
        <v>0</v>
      </c>
    </row>
    <row r="29" spans="1:16" ht="15" customHeight="1" x14ac:dyDescent="0.25">
      <c r="A29" s="10">
        <v>6</v>
      </c>
      <c r="B29" s="48">
        <f t="shared" si="4"/>
        <v>44426</v>
      </c>
      <c r="C29" s="17">
        <v>350</v>
      </c>
      <c r="D29" s="17">
        <f>350+350</f>
        <v>700</v>
      </c>
      <c r="E29" s="16">
        <v>44426</v>
      </c>
      <c r="F29" t="s">
        <v>58</v>
      </c>
      <c r="H29" s="17">
        <f t="shared" si="0"/>
        <v>0</v>
      </c>
      <c r="I29" s="17" t="s">
        <v>670</v>
      </c>
      <c r="J29" s="48">
        <v>44446</v>
      </c>
      <c r="K29" s="17">
        <v>0.99</v>
      </c>
      <c r="L29" s="49" t="s">
        <v>22</v>
      </c>
      <c r="N29" t="s">
        <v>670</v>
      </c>
      <c r="P29" s="111">
        <f t="shared" si="1"/>
        <v>0</v>
      </c>
    </row>
    <row r="30" spans="1:16" ht="15" customHeight="1" x14ac:dyDescent="0.25">
      <c r="A30" s="10">
        <v>7</v>
      </c>
      <c r="B30" s="48">
        <f t="shared" si="4"/>
        <v>44433</v>
      </c>
      <c r="C30" s="17">
        <v>350</v>
      </c>
      <c r="D30" s="17">
        <v>350</v>
      </c>
      <c r="E30" s="16">
        <v>44439</v>
      </c>
      <c r="F30" t="s">
        <v>58</v>
      </c>
      <c r="H30" s="17">
        <f t="shared" si="0"/>
        <v>0</v>
      </c>
      <c r="I30" s="17" t="s">
        <v>670</v>
      </c>
      <c r="J30" s="48">
        <v>44456</v>
      </c>
      <c r="K30" s="17">
        <v>329.52</v>
      </c>
      <c r="L30" s="49" t="s">
        <v>133</v>
      </c>
      <c r="N30" t="s">
        <v>552</v>
      </c>
      <c r="P30" s="111">
        <f t="shared" si="1"/>
        <v>0</v>
      </c>
    </row>
    <row r="31" spans="1:16" ht="15" customHeight="1" x14ac:dyDescent="0.25">
      <c r="A31" s="10">
        <v>8</v>
      </c>
      <c r="B31" s="48">
        <f t="shared" si="4"/>
        <v>44440</v>
      </c>
      <c r="C31" s="17">
        <v>350</v>
      </c>
      <c r="D31" s="17">
        <v>350</v>
      </c>
      <c r="E31" s="16">
        <v>44446</v>
      </c>
      <c r="F31" t="s">
        <v>124</v>
      </c>
      <c r="H31" s="17">
        <f t="shared" si="0"/>
        <v>0</v>
      </c>
      <c r="I31" s="17" t="s">
        <v>670</v>
      </c>
      <c r="J31" s="48">
        <v>44456</v>
      </c>
      <c r="K31" s="17">
        <v>28.68</v>
      </c>
      <c r="L31" s="49" t="s">
        <v>133</v>
      </c>
      <c r="N31" t="s">
        <v>552</v>
      </c>
      <c r="P31" s="111">
        <f t="shared" si="1"/>
        <v>0</v>
      </c>
    </row>
    <row r="32" spans="1:16" ht="15" customHeight="1" x14ac:dyDescent="0.25">
      <c r="A32" s="10">
        <v>1</v>
      </c>
      <c r="B32" s="48">
        <v>44469</v>
      </c>
      <c r="C32" s="17">
        <v>400</v>
      </c>
      <c r="D32" s="17">
        <v>400</v>
      </c>
      <c r="E32" s="16">
        <v>44469</v>
      </c>
      <c r="F32" t="s">
        <v>181</v>
      </c>
      <c r="H32" s="17">
        <f t="shared" si="0"/>
        <v>0</v>
      </c>
      <c r="I32" s="17" t="s">
        <v>706</v>
      </c>
      <c r="J32" s="48">
        <v>44468</v>
      </c>
      <c r="K32" s="17">
        <v>148.13999999999999</v>
      </c>
      <c r="L32" s="49" t="s">
        <v>133</v>
      </c>
      <c r="N32" t="s">
        <v>670</v>
      </c>
      <c r="P32" s="111">
        <f t="shared" si="1"/>
        <v>0</v>
      </c>
    </row>
    <row r="33" spans="1:16" ht="15" customHeight="1" x14ac:dyDescent="0.25">
      <c r="A33" s="10">
        <v>1</v>
      </c>
      <c r="B33" s="48">
        <v>44469</v>
      </c>
      <c r="C33" s="17">
        <v>200</v>
      </c>
      <c r="D33" s="17">
        <v>100</v>
      </c>
      <c r="E33" s="16">
        <v>44469</v>
      </c>
      <c r="F33" t="s">
        <v>117</v>
      </c>
      <c r="H33" s="17">
        <f t="shared" si="0"/>
        <v>100</v>
      </c>
      <c r="I33" s="17" t="s">
        <v>706</v>
      </c>
      <c r="J33" s="48">
        <v>44468</v>
      </c>
      <c r="K33" s="17">
        <v>16.25</v>
      </c>
      <c r="L33" s="49" t="s">
        <v>133</v>
      </c>
      <c r="N33" t="s">
        <v>670</v>
      </c>
      <c r="P33" s="111">
        <f t="shared" si="1"/>
        <v>0</v>
      </c>
    </row>
    <row r="34" spans="1:16" ht="15" customHeight="1" x14ac:dyDescent="0.25">
      <c r="A34" s="10">
        <v>1</v>
      </c>
      <c r="B34" s="48">
        <v>44472</v>
      </c>
      <c r="C34" s="17"/>
      <c r="D34" s="17">
        <v>100</v>
      </c>
      <c r="E34" s="16">
        <v>44472</v>
      </c>
      <c r="F34" t="s">
        <v>117</v>
      </c>
      <c r="H34" s="17">
        <f t="shared" si="0"/>
        <v>0</v>
      </c>
      <c r="I34" s="17" t="s">
        <v>706</v>
      </c>
      <c r="J34" s="48">
        <v>44476</v>
      </c>
      <c r="K34" s="17">
        <v>300</v>
      </c>
      <c r="L34" s="49" t="s">
        <v>17</v>
      </c>
      <c r="M34" t="s">
        <v>470</v>
      </c>
      <c r="N34" t="s">
        <v>706</v>
      </c>
      <c r="P34" s="111">
        <f t="shared" si="1"/>
        <v>0</v>
      </c>
    </row>
    <row r="35" spans="1:16" ht="15" customHeight="1" x14ac:dyDescent="0.25">
      <c r="A35" s="10">
        <v>2</v>
      </c>
      <c r="B35" s="48">
        <f>B33+7</f>
        <v>44476</v>
      </c>
      <c r="C35" s="17">
        <v>200</v>
      </c>
      <c r="D35" s="17">
        <v>200</v>
      </c>
      <c r="E35" s="16">
        <v>44480</v>
      </c>
      <c r="F35" t="s">
        <v>117</v>
      </c>
      <c r="H35" s="17">
        <f t="shared" si="0"/>
        <v>0</v>
      </c>
      <c r="I35" s="17" t="s">
        <v>706</v>
      </c>
      <c r="J35" s="48">
        <v>44524</v>
      </c>
      <c r="K35" s="17">
        <v>289</v>
      </c>
      <c r="L35" s="49" t="s">
        <v>17</v>
      </c>
      <c r="M35" t="s">
        <v>731</v>
      </c>
      <c r="N35" t="s">
        <v>706</v>
      </c>
      <c r="P35" s="111">
        <f t="shared" si="1"/>
        <v>0</v>
      </c>
    </row>
    <row r="36" spans="1:16" ht="15" customHeight="1" x14ac:dyDescent="0.25">
      <c r="A36" s="10">
        <v>3</v>
      </c>
      <c r="B36" s="48">
        <f t="shared" ref="B36:B42" si="5">B35+7</f>
        <v>44483</v>
      </c>
      <c r="C36" s="17">
        <v>200</v>
      </c>
      <c r="D36" s="17"/>
      <c r="H36" s="17">
        <f t="shared" si="0"/>
        <v>200</v>
      </c>
      <c r="I36" s="17" t="s">
        <v>706</v>
      </c>
      <c r="J36" s="48">
        <v>44524</v>
      </c>
      <c r="K36" s="17">
        <v>70</v>
      </c>
      <c r="L36" s="49" t="s">
        <v>53</v>
      </c>
      <c r="N36" t="s">
        <v>706</v>
      </c>
      <c r="P36" s="111">
        <f t="shared" si="1"/>
        <v>0</v>
      </c>
    </row>
    <row r="37" spans="1:16" ht="15" customHeight="1" x14ac:dyDescent="0.25">
      <c r="A37" s="10">
        <v>4</v>
      </c>
      <c r="B37" s="48">
        <f t="shared" si="5"/>
        <v>44490</v>
      </c>
      <c r="C37" s="17">
        <v>200</v>
      </c>
      <c r="D37" s="17"/>
      <c r="H37" s="17">
        <f t="shared" si="0"/>
        <v>400</v>
      </c>
      <c r="I37" s="17" t="s">
        <v>706</v>
      </c>
      <c r="J37" s="48">
        <v>44525</v>
      </c>
      <c r="K37" s="17">
        <v>400</v>
      </c>
      <c r="L37" s="49" t="s">
        <v>45</v>
      </c>
      <c r="N37" t="s">
        <v>706</v>
      </c>
      <c r="P37" s="111">
        <f t="shared" si="1"/>
        <v>0</v>
      </c>
    </row>
    <row r="38" spans="1:16" ht="15" customHeight="1" x14ac:dyDescent="0.25">
      <c r="A38" s="10">
        <v>5</v>
      </c>
      <c r="B38" s="48">
        <f t="shared" si="5"/>
        <v>44497</v>
      </c>
      <c r="C38" s="17">
        <v>200</v>
      </c>
      <c r="D38" s="17"/>
      <c r="H38" s="17">
        <f t="shared" si="0"/>
        <v>600</v>
      </c>
      <c r="I38" s="17" t="s">
        <v>706</v>
      </c>
      <c r="J38" s="48">
        <v>44537</v>
      </c>
      <c r="K38" s="17">
        <v>115.16</v>
      </c>
      <c r="L38" s="49" t="s">
        <v>133</v>
      </c>
      <c r="N38" t="s">
        <v>706</v>
      </c>
      <c r="P38" s="111">
        <f t="shared" si="1"/>
        <v>0</v>
      </c>
    </row>
    <row r="39" spans="1:16" ht="15" customHeight="1" x14ac:dyDescent="0.25">
      <c r="A39" s="10">
        <v>6</v>
      </c>
      <c r="B39" s="48">
        <f t="shared" si="5"/>
        <v>44504</v>
      </c>
      <c r="C39" s="17">
        <v>200</v>
      </c>
      <c r="D39" s="17">
        <v>400</v>
      </c>
      <c r="E39" s="16">
        <v>44508</v>
      </c>
      <c r="F39" t="s">
        <v>117</v>
      </c>
      <c r="H39" s="17">
        <f t="shared" si="0"/>
        <v>400</v>
      </c>
      <c r="I39" s="17" t="s">
        <v>706</v>
      </c>
      <c r="J39" s="48">
        <v>44537</v>
      </c>
      <c r="K39" s="17">
        <v>28.07</v>
      </c>
      <c r="L39" s="49" t="s">
        <v>133</v>
      </c>
      <c r="N39" t="s">
        <v>706</v>
      </c>
      <c r="P39" s="111">
        <f t="shared" si="1"/>
        <v>0</v>
      </c>
    </row>
    <row r="40" spans="1:16" ht="15" customHeight="1" x14ac:dyDescent="0.25">
      <c r="A40" s="10">
        <v>7</v>
      </c>
      <c r="B40" s="48">
        <f t="shared" si="5"/>
        <v>44511</v>
      </c>
      <c r="C40" s="17">
        <v>200</v>
      </c>
      <c r="D40" s="17">
        <v>100</v>
      </c>
      <c r="E40" s="16">
        <v>44537</v>
      </c>
      <c r="F40" t="s">
        <v>117</v>
      </c>
      <c r="H40" s="17">
        <f t="shared" si="0"/>
        <v>500</v>
      </c>
      <c r="I40" s="17" t="s">
        <v>706</v>
      </c>
      <c r="J40" s="48">
        <v>44537</v>
      </c>
      <c r="K40" s="17">
        <f>-243.23+100</f>
        <v>-143.22999999999999</v>
      </c>
      <c r="L40" s="49" t="s">
        <v>133</v>
      </c>
      <c r="N40" t="s">
        <v>706</v>
      </c>
      <c r="P40" s="111">
        <f t="shared" si="1"/>
        <v>0</v>
      </c>
    </row>
    <row r="41" spans="1:16" ht="15" customHeight="1" x14ac:dyDescent="0.25">
      <c r="A41" s="10">
        <v>8</v>
      </c>
      <c r="B41" s="48">
        <f t="shared" si="5"/>
        <v>44518</v>
      </c>
      <c r="C41" s="17">
        <v>200</v>
      </c>
      <c r="D41" s="17">
        <v>400</v>
      </c>
      <c r="E41" s="16">
        <v>44525</v>
      </c>
      <c r="F41" t="s">
        <v>157</v>
      </c>
      <c r="H41" s="17">
        <f t="shared" si="0"/>
        <v>300</v>
      </c>
      <c r="I41" s="17" t="s">
        <v>706</v>
      </c>
      <c r="J41" s="48">
        <v>44631</v>
      </c>
      <c r="K41" s="17">
        <v>58.97</v>
      </c>
      <c r="L41" s="49" t="s">
        <v>133</v>
      </c>
      <c r="N41" t="s">
        <v>738</v>
      </c>
      <c r="P41" s="111">
        <f t="shared" si="1"/>
        <v>0</v>
      </c>
    </row>
    <row r="42" spans="1:16" ht="15" customHeight="1" x14ac:dyDescent="0.25">
      <c r="A42" s="10">
        <v>9</v>
      </c>
      <c r="B42" s="48">
        <f t="shared" si="5"/>
        <v>44525</v>
      </c>
      <c r="C42" s="17">
        <v>200</v>
      </c>
      <c r="D42" s="17">
        <v>500</v>
      </c>
      <c r="E42" s="16">
        <v>44525</v>
      </c>
      <c r="F42" t="s">
        <v>124</v>
      </c>
      <c r="H42" s="17">
        <f t="shared" si="0"/>
        <v>0</v>
      </c>
      <c r="I42" s="17" t="s">
        <v>706</v>
      </c>
      <c r="J42" s="48">
        <v>44632</v>
      </c>
      <c r="K42" s="17">
        <v>156.34</v>
      </c>
      <c r="L42" s="49" t="s">
        <v>133</v>
      </c>
      <c r="N42" t="s">
        <v>738</v>
      </c>
      <c r="P42" s="111">
        <f t="shared" si="1"/>
        <v>0</v>
      </c>
    </row>
    <row r="43" spans="1:16" ht="15" customHeight="1" x14ac:dyDescent="0.25">
      <c r="A43" s="10">
        <v>1</v>
      </c>
      <c r="B43" s="48">
        <v>44530</v>
      </c>
      <c r="C43" s="17">
        <v>400</v>
      </c>
      <c r="D43" s="17">
        <v>400</v>
      </c>
      <c r="E43" s="16">
        <v>44530</v>
      </c>
      <c r="F43" t="s">
        <v>181</v>
      </c>
      <c r="H43" s="17">
        <f t="shared" si="0"/>
        <v>0</v>
      </c>
      <c r="I43" s="17" t="s">
        <v>738</v>
      </c>
      <c r="J43" s="48">
        <v>44642</v>
      </c>
      <c r="K43" s="17">
        <v>215.14</v>
      </c>
      <c r="L43" s="49" t="s">
        <v>20</v>
      </c>
      <c r="N43" t="s">
        <v>738</v>
      </c>
      <c r="P43" s="111">
        <f t="shared" si="1"/>
        <v>0</v>
      </c>
    </row>
    <row r="44" spans="1:16" ht="15" customHeight="1" x14ac:dyDescent="0.25">
      <c r="A44" s="10">
        <v>1</v>
      </c>
      <c r="B44" s="48">
        <v>44530</v>
      </c>
      <c r="C44" s="17">
        <v>300</v>
      </c>
      <c r="D44" s="17">
        <v>300</v>
      </c>
      <c r="E44" s="16">
        <v>44530</v>
      </c>
      <c r="F44" t="s">
        <v>117</v>
      </c>
      <c r="H44" s="17">
        <f t="shared" si="0"/>
        <v>0</v>
      </c>
      <c r="I44" s="17" t="s">
        <v>738</v>
      </c>
      <c r="J44" s="48">
        <v>44671</v>
      </c>
      <c r="K44" s="17">
        <v>100.2</v>
      </c>
      <c r="L44" s="49" t="s">
        <v>133</v>
      </c>
      <c r="N44" t="s">
        <v>738</v>
      </c>
      <c r="P44" s="111">
        <f t="shared" si="1"/>
        <v>0</v>
      </c>
    </row>
    <row r="45" spans="1:16" ht="15" customHeight="1" x14ac:dyDescent="0.25">
      <c r="A45" s="10">
        <v>2</v>
      </c>
      <c r="B45" s="48">
        <v>44533</v>
      </c>
      <c r="C45" s="17">
        <v>300</v>
      </c>
      <c r="D45" s="17">
        <v>300</v>
      </c>
      <c r="E45" s="16">
        <v>44533</v>
      </c>
      <c r="F45" t="s">
        <v>117</v>
      </c>
      <c r="H45" s="17">
        <f t="shared" si="0"/>
        <v>0</v>
      </c>
      <c r="I45" s="17" t="s">
        <v>738</v>
      </c>
      <c r="J45" s="48">
        <v>44720</v>
      </c>
      <c r="K45" s="17">
        <v>215.14</v>
      </c>
      <c r="L45" s="49" t="s">
        <v>20</v>
      </c>
      <c r="N45" t="s">
        <v>738</v>
      </c>
      <c r="P45" s="111">
        <f t="shared" si="1"/>
        <v>0</v>
      </c>
    </row>
    <row r="46" spans="1:16" ht="15" customHeight="1" x14ac:dyDescent="0.25">
      <c r="A46" s="10">
        <v>3</v>
      </c>
      <c r="B46" s="48">
        <f t="shared" ref="B46:B56" si="6">B45+7</f>
        <v>44540</v>
      </c>
      <c r="C46" s="17">
        <v>300</v>
      </c>
      <c r="D46" s="17">
        <v>300</v>
      </c>
      <c r="E46" s="16">
        <v>44540</v>
      </c>
      <c r="F46" t="s">
        <v>117</v>
      </c>
      <c r="H46" s="17">
        <f t="shared" si="0"/>
        <v>0</v>
      </c>
      <c r="I46" s="17" t="s">
        <v>738</v>
      </c>
      <c r="J46" s="48">
        <v>44721</v>
      </c>
      <c r="K46" s="17">
        <v>80</v>
      </c>
      <c r="L46" s="49" t="s">
        <v>98</v>
      </c>
      <c r="N46" t="s">
        <v>738</v>
      </c>
      <c r="P46" s="111">
        <f t="shared" si="1"/>
        <v>0</v>
      </c>
    </row>
    <row r="47" spans="1:16" ht="15" customHeight="1" x14ac:dyDescent="0.25">
      <c r="A47" s="10">
        <v>4</v>
      </c>
      <c r="B47" s="48">
        <f t="shared" si="6"/>
        <v>44547</v>
      </c>
      <c r="C47" s="17">
        <v>300</v>
      </c>
      <c r="D47" s="17">
        <v>300</v>
      </c>
      <c r="E47" s="16">
        <v>44545</v>
      </c>
      <c r="F47" t="s">
        <v>117</v>
      </c>
      <c r="H47" s="17">
        <f t="shared" si="0"/>
        <v>0</v>
      </c>
      <c r="I47" s="17" t="s">
        <v>738</v>
      </c>
      <c r="J47" s="48">
        <v>44731</v>
      </c>
      <c r="K47" s="17">
        <v>420</v>
      </c>
      <c r="L47" s="49" t="s">
        <v>17</v>
      </c>
      <c r="M47" t="s">
        <v>842</v>
      </c>
      <c r="N47" t="s">
        <v>14</v>
      </c>
      <c r="P47" s="111">
        <f t="shared" si="1"/>
        <v>0</v>
      </c>
    </row>
    <row r="48" spans="1:16" ht="15" customHeight="1" x14ac:dyDescent="0.25">
      <c r="A48" s="10">
        <v>5</v>
      </c>
      <c r="B48" s="48">
        <f t="shared" si="6"/>
        <v>44554</v>
      </c>
      <c r="C48" s="17">
        <v>300</v>
      </c>
      <c r="D48" s="17">
        <v>300</v>
      </c>
      <c r="E48" s="16">
        <v>44556</v>
      </c>
      <c r="F48" t="s">
        <v>117</v>
      </c>
      <c r="H48" s="17">
        <f t="shared" si="0"/>
        <v>0</v>
      </c>
      <c r="I48" s="17" t="s">
        <v>738</v>
      </c>
      <c r="J48" s="48">
        <v>44732</v>
      </c>
      <c r="K48" s="17">
        <v>70</v>
      </c>
      <c r="L48" s="49" t="s">
        <v>17</v>
      </c>
      <c r="M48" t="s">
        <v>673</v>
      </c>
      <c r="N48" t="s">
        <v>14</v>
      </c>
      <c r="P48" s="111">
        <f t="shared" si="1"/>
        <v>0</v>
      </c>
    </row>
    <row r="49" spans="1:16" ht="15" customHeight="1" x14ac:dyDescent="0.25">
      <c r="A49" s="10">
        <v>6</v>
      </c>
      <c r="B49" s="48">
        <f t="shared" si="6"/>
        <v>44561</v>
      </c>
      <c r="C49" s="17">
        <v>300</v>
      </c>
      <c r="D49" s="17">
        <v>300</v>
      </c>
      <c r="E49" s="16">
        <v>44567</v>
      </c>
      <c r="F49" t="s">
        <v>117</v>
      </c>
      <c r="H49" s="17">
        <f t="shared" si="0"/>
        <v>0</v>
      </c>
      <c r="I49" s="17" t="s">
        <v>738</v>
      </c>
      <c r="J49" s="48">
        <v>44734</v>
      </c>
      <c r="K49" s="17">
        <v>82.73</v>
      </c>
      <c r="L49" s="49" t="s">
        <v>32</v>
      </c>
      <c r="N49" t="s">
        <v>14</v>
      </c>
      <c r="P49" s="111">
        <f t="shared" si="1"/>
        <v>0</v>
      </c>
    </row>
    <row r="50" spans="1:16" ht="15" customHeight="1" x14ac:dyDescent="0.25">
      <c r="A50" s="10">
        <v>7</v>
      </c>
      <c r="B50" s="48">
        <f t="shared" si="6"/>
        <v>44568</v>
      </c>
      <c r="C50" s="17">
        <v>300</v>
      </c>
      <c r="D50" s="17"/>
      <c r="H50" s="17">
        <f t="shared" si="0"/>
        <v>300</v>
      </c>
      <c r="I50" s="17" t="s">
        <v>738</v>
      </c>
      <c r="J50" s="48">
        <v>44734</v>
      </c>
      <c r="K50" s="17">
        <v>450</v>
      </c>
      <c r="L50" s="49" t="s">
        <v>17</v>
      </c>
      <c r="M50" t="s">
        <v>855</v>
      </c>
      <c r="N50" t="s">
        <v>14</v>
      </c>
      <c r="P50" s="111">
        <f t="shared" si="1"/>
        <v>0</v>
      </c>
    </row>
    <row r="51" spans="1:16" ht="15" customHeight="1" x14ac:dyDescent="0.25">
      <c r="A51" s="10">
        <v>8</v>
      </c>
      <c r="B51" s="48">
        <f t="shared" si="6"/>
        <v>44575</v>
      </c>
      <c r="C51" s="17">
        <v>300</v>
      </c>
      <c r="D51" s="17"/>
      <c r="H51" s="17">
        <f t="shared" si="0"/>
        <v>600</v>
      </c>
      <c r="I51" s="17" t="s">
        <v>738</v>
      </c>
      <c r="J51" s="48">
        <v>44740</v>
      </c>
      <c r="K51" s="17">
        <v>78.8</v>
      </c>
      <c r="L51" s="49" t="s">
        <v>133</v>
      </c>
      <c r="N51" t="s">
        <v>14</v>
      </c>
      <c r="P51" s="111">
        <f t="shared" si="1"/>
        <v>0</v>
      </c>
    </row>
    <row r="52" spans="1:16" ht="15" customHeight="1" x14ac:dyDescent="0.25">
      <c r="A52" s="10">
        <v>9</v>
      </c>
      <c r="B52" s="48">
        <f t="shared" si="6"/>
        <v>44582</v>
      </c>
      <c r="C52" s="17">
        <v>300</v>
      </c>
      <c r="D52" s="17"/>
      <c r="H52" s="17">
        <f t="shared" si="0"/>
        <v>900</v>
      </c>
      <c r="I52" s="17" t="s">
        <v>738</v>
      </c>
      <c r="J52" s="48">
        <v>44754</v>
      </c>
      <c r="K52" s="17">
        <v>21.53</v>
      </c>
      <c r="L52" s="49" t="s">
        <v>32</v>
      </c>
      <c r="N52" t="s">
        <v>14</v>
      </c>
      <c r="P52" s="111">
        <f t="shared" si="1"/>
        <v>0</v>
      </c>
    </row>
    <row r="53" spans="1:16" ht="15" customHeight="1" x14ac:dyDescent="0.25">
      <c r="A53" s="10">
        <v>10</v>
      </c>
      <c r="B53" s="48">
        <f t="shared" si="6"/>
        <v>44589</v>
      </c>
      <c r="C53" s="17">
        <v>300</v>
      </c>
      <c r="D53" s="17">
        <v>300</v>
      </c>
      <c r="E53" s="16">
        <v>44589</v>
      </c>
      <c r="F53" t="s">
        <v>117</v>
      </c>
      <c r="H53" s="17">
        <f t="shared" si="0"/>
        <v>900</v>
      </c>
      <c r="I53" s="17" t="s">
        <v>738</v>
      </c>
      <c r="J53" s="48">
        <v>44769</v>
      </c>
      <c r="K53" s="17">
        <v>195</v>
      </c>
      <c r="L53" s="49" t="s">
        <v>26</v>
      </c>
      <c r="N53" t="s">
        <v>14</v>
      </c>
      <c r="P53" s="111">
        <f t="shared" si="1"/>
        <v>0</v>
      </c>
    </row>
    <row r="54" spans="1:16" ht="15" customHeight="1" x14ac:dyDescent="0.25">
      <c r="A54" s="10">
        <v>11</v>
      </c>
      <c r="B54" s="48">
        <f t="shared" si="6"/>
        <v>44596</v>
      </c>
      <c r="C54" s="17">
        <v>300</v>
      </c>
      <c r="D54" s="17"/>
      <c r="H54" s="17">
        <f t="shared" si="0"/>
        <v>1200</v>
      </c>
      <c r="I54" s="17" t="s">
        <v>738</v>
      </c>
      <c r="J54" s="48">
        <v>44804</v>
      </c>
      <c r="K54" s="17">
        <v>219.78</v>
      </c>
      <c r="L54" s="49" t="s">
        <v>20</v>
      </c>
      <c r="N54" t="s">
        <v>14</v>
      </c>
      <c r="P54" s="111">
        <f t="shared" si="1"/>
        <v>0</v>
      </c>
    </row>
    <row r="55" spans="1:16" ht="15" customHeight="1" x14ac:dyDescent="0.25">
      <c r="A55" s="10">
        <v>12</v>
      </c>
      <c r="B55" s="48">
        <f t="shared" si="6"/>
        <v>44603</v>
      </c>
      <c r="C55" s="17">
        <v>300</v>
      </c>
      <c r="D55" s="17">
        <v>300</v>
      </c>
      <c r="E55" s="16">
        <v>44608</v>
      </c>
      <c r="F55" t="s">
        <v>117</v>
      </c>
      <c r="H55" s="17">
        <f t="shared" si="0"/>
        <v>1200</v>
      </c>
      <c r="I55" s="17" t="s">
        <v>738</v>
      </c>
      <c r="J55" s="48">
        <v>44813</v>
      </c>
      <c r="K55" s="17">
        <v>130</v>
      </c>
      <c r="L55" s="49" t="s">
        <v>17</v>
      </c>
      <c r="M55" t="s">
        <v>156</v>
      </c>
      <c r="N55" t="s">
        <v>14</v>
      </c>
      <c r="P55" s="111">
        <f t="shared" si="1"/>
        <v>0</v>
      </c>
    </row>
    <row r="56" spans="1:16" ht="15" customHeight="1" x14ac:dyDescent="0.25">
      <c r="A56" s="10">
        <v>13</v>
      </c>
      <c r="B56" s="48">
        <f t="shared" si="6"/>
        <v>44610</v>
      </c>
      <c r="C56" s="17">
        <v>300</v>
      </c>
      <c r="D56" s="17">
        <v>250</v>
      </c>
      <c r="E56" s="16">
        <v>44614</v>
      </c>
      <c r="F56" t="s">
        <v>117</v>
      </c>
      <c r="H56" s="17">
        <f t="shared" si="0"/>
        <v>1250</v>
      </c>
      <c r="I56" s="17" t="s">
        <v>738</v>
      </c>
      <c r="J56" s="48">
        <v>44814</v>
      </c>
      <c r="K56" s="17">
        <v>86.39</v>
      </c>
      <c r="L56" s="49" t="s">
        <v>32</v>
      </c>
      <c r="N56" t="s">
        <v>14</v>
      </c>
      <c r="P56" s="111">
        <f t="shared" si="1"/>
        <v>0</v>
      </c>
    </row>
    <row r="57" spans="1:16" ht="15" customHeight="1" x14ac:dyDescent="0.25">
      <c r="A57" s="10">
        <v>14</v>
      </c>
      <c r="B57" s="48">
        <f t="shared" ref="B57:B62" si="7">B56+7</f>
        <v>44617</v>
      </c>
      <c r="C57" s="17">
        <v>300</v>
      </c>
      <c r="D57" s="17">
        <v>250</v>
      </c>
      <c r="E57" s="16">
        <v>44620</v>
      </c>
      <c r="F57" t="s">
        <v>117</v>
      </c>
      <c r="H57" s="17">
        <f t="shared" si="0"/>
        <v>1300</v>
      </c>
      <c r="I57" s="17" t="s">
        <v>738</v>
      </c>
      <c r="J57" s="48">
        <v>44869</v>
      </c>
      <c r="K57" s="17">
        <v>70</v>
      </c>
      <c r="L57" s="49" t="s">
        <v>17</v>
      </c>
      <c r="N57" t="s">
        <v>14</v>
      </c>
      <c r="P57" s="111">
        <f t="shared" si="1"/>
        <v>0</v>
      </c>
    </row>
    <row r="58" spans="1:16" ht="15" customHeight="1" x14ac:dyDescent="0.25">
      <c r="A58" s="10">
        <v>15</v>
      </c>
      <c r="B58" s="48">
        <f t="shared" si="7"/>
        <v>44624</v>
      </c>
      <c r="C58" s="17">
        <v>300</v>
      </c>
      <c r="D58" s="17">
        <v>300</v>
      </c>
      <c r="E58" s="16">
        <v>44624</v>
      </c>
      <c r="F58" t="s">
        <v>117</v>
      </c>
      <c r="H58" s="17">
        <f t="shared" si="0"/>
        <v>1300</v>
      </c>
      <c r="I58" s="17" t="s">
        <v>738</v>
      </c>
      <c r="J58" s="48">
        <v>44872</v>
      </c>
      <c r="K58" s="17">
        <v>95</v>
      </c>
      <c r="L58" s="49" t="s">
        <v>53</v>
      </c>
      <c r="N58" t="s">
        <v>925</v>
      </c>
      <c r="P58" s="111">
        <f t="shared" si="1"/>
        <v>0</v>
      </c>
    </row>
    <row r="59" spans="1:16" ht="15" customHeight="1" x14ac:dyDescent="0.25">
      <c r="A59" s="10">
        <v>16</v>
      </c>
      <c r="B59" s="48">
        <f t="shared" si="7"/>
        <v>44631</v>
      </c>
      <c r="C59" s="17">
        <v>300</v>
      </c>
      <c r="D59" s="17">
        <v>250</v>
      </c>
      <c r="E59" s="16">
        <v>44632</v>
      </c>
      <c r="F59" t="s">
        <v>117</v>
      </c>
      <c r="H59" s="17">
        <f t="shared" si="0"/>
        <v>1350</v>
      </c>
      <c r="I59" s="17" t="s">
        <v>738</v>
      </c>
      <c r="J59" s="48">
        <v>44916</v>
      </c>
      <c r="K59" s="17">
        <v>219.78</v>
      </c>
      <c r="L59" s="49" t="s">
        <v>20</v>
      </c>
      <c r="N59" t="s">
        <v>925</v>
      </c>
      <c r="P59" s="111">
        <f t="shared" si="1"/>
        <v>0</v>
      </c>
    </row>
    <row r="60" spans="1:16" ht="15" customHeight="1" x14ac:dyDescent="0.25">
      <c r="A60" s="10">
        <v>17</v>
      </c>
      <c r="B60" s="48">
        <f t="shared" si="7"/>
        <v>44638</v>
      </c>
      <c r="C60" s="17">
        <v>300</v>
      </c>
      <c r="D60" s="17">
        <v>300</v>
      </c>
      <c r="E60" s="16">
        <v>44636</v>
      </c>
      <c r="F60" t="s">
        <v>117</v>
      </c>
      <c r="H60" s="17">
        <f t="shared" si="0"/>
        <v>1350</v>
      </c>
      <c r="I60" s="17" t="s">
        <v>738</v>
      </c>
      <c r="J60" s="48">
        <v>44931</v>
      </c>
      <c r="K60" s="17">
        <v>108.08</v>
      </c>
      <c r="L60" s="49" t="s">
        <v>133</v>
      </c>
      <c r="N60" t="s">
        <v>925</v>
      </c>
      <c r="P60" s="111">
        <f t="shared" si="1"/>
        <v>0</v>
      </c>
    </row>
    <row r="61" spans="1:16" ht="15" customHeight="1" x14ac:dyDescent="0.25">
      <c r="A61" s="10">
        <v>18</v>
      </c>
      <c r="B61" s="48">
        <f t="shared" si="7"/>
        <v>44645</v>
      </c>
      <c r="C61" s="17">
        <v>300</v>
      </c>
      <c r="D61" s="17">
        <v>700</v>
      </c>
      <c r="E61" s="16">
        <v>44651</v>
      </c>
      <c r="F61" t="s">
        <v>117</v>
      </c>
      <c r="H61" s="17">
        <f t="shared" ref="H61:H75" si="8">IFERROR(IF(F60="Closed account",(IF(F61="Unpaid Rent",(C61),(C61-D61))),(IF(F61="Unpaid Rent",(C61+H60),(C61-D61+H60)))),"")</f>
        <v>950</v>
      </c>
      <c r="I61" s="17" t="s">
        <v>738</v>
      </c>
      <c r="J61" s="48">
        <v>44931</v>
      </c>
      <c r="K61" s="17">
        <v>50.67</v>
      </c>
      <c r="L61" s="49" t="s">
        <v>133</v>
      </c>
      <c r="N61" t="s">
        <v>925</v>
      </c>
      <c r="P61" s="111">
        <f t="shared" si="1"/>
        <v>0</v>
      </c>
    </row>
    <row r="62" spans="1:16" ht="15" customHeight="1" x14ac:dyDescent="0.25">
      <c r="A62" s="10">
        <v>19</v>
      </c>
      <c r="B62" s="48">
        <f t="shared" si="7"/>
        <v>44652</v>
      </c>
      <c r="C62" s="17">
        <v>200</v>
      </c>
      <c r="D62" s="17">
        <v>200</v>
      </c>
      <c r="E62" s="16">
        <v>44662</v>
      </c>
      <c r="F62" t="s">
        <v>117</v>
      </c>
      <c r="H62" s="17">
        <f t="shared" si="8"/>
        <v>950</v>
      </c>
      <c r="I62" s="17" t="s">
        <v>738</v>
      </c>
      <c r="J62" s="48">
        <v>44972</v>
      </c>
      <c r="K62" s="17">
        <v>555.5</v>
      </c>
      <c r="L62" s="49" t="s">
        <v>17</v>
      </c>
      <c r="M62" t="s">
        <v>999</v>
      </c>
      <c r="N62" t="s">
        <v>925</v>
      </c>
      <c r="P62" s="111">
        <f t="shared" si="1"/>
        <v>0</v>
      </c>
    </row>
    <row r="63" spans="1:16" ht="15" customHeight="1" x14ac:dyDescent="0.25">
      <c r="A63" s="10">
        <v>20</v>
      </c>
      <c r="B63" s="48">
        <f t="shared" ref="B63:B68" si="9">B62+7</f>
        <v>44659</v>
      </c>
      <c r="C63" s="17">
        <v>200</v>
      </c>
      <c r="D63" s="17">
        <v>200</v>
      </c>
      <c r="E63" s="16">
        <v>44664</v>
      </c>
      <c r="F63" t="s">
        <v>117</v>
      </c>
      <c r="H63" s="17">
        <f t="shared" si="8"/>
        <v>950</v>
      </c>
      <c r="I63" s="17" t="s">
        <v>738</v>
      </c>
      <c r="J63" s="48">
        <v>45013</v>
      </c>
      <c r="K63" s="17">
        <v>118.6</v>
      </c>
      <c r="L63" s="49" t="s">
        <v>133</v>
      </c>
      <c r="M63" t="s">
        <v>1009</v>
      </c>
      <c r="N63" t="s">
        <v>925</v>
      </c>
      <c r="P63" s="111">
        <f t="shared" si="1"/>
        <v>0</v>
      </c>
    </row>
    <row r="64" spans="1:16" ht="15" customHeight="1" x14ac:dyDescent="0.25">
      <c r="A64" s="10">
        <v>21</v>
      </c>
      <c r="B64" s="48">
        <f t="shared" si="9"/>
        <v>44666</v>
      </c>
      <c r="C64" s="17">
        <v>200</v>
      </c>
      <c r="D64" s="17"/>
      <c r="H64" s="17">
        <f t="shared" si="8"/>
        <v>1150</v>
      </c>
      <c r="I64" s="17" t="s">
        <v>738</v>
      </c>
      <c r="J64" s="48">
        <v>45015</v>
      </c>
      <c r="K64" s="17">
        <v>412.5</v>
      </c>
      <c r="L64" s="49" t="s">
        <v>17</v>
      </c>
      <c r="M64" t="s">
        <v>960</v>
      </c>
      <c r="N64" t="s">
        <v>925</v>
      </c>
      <c r="P64" s="111">
        <f t="shared" si="1"/>
        <v>0</v>
      </c>
    </row>
    <row r="65" spans="1:16" ht="15" customHeight="1" x14ac:dyDescent="0.25">
      <c r="A65" s="10">
        <v>22</v>
      </c>
      <c r="B65" s="48">
        <f t="shared" si="9"/>
        <v>44673</v>
      </c>
      <c r="C65" s="17">
        <v>200</v>
      </c>
      <c r="D65" s="17"/>
      <c r="H65" s="17">
        <f t="shared" si="8"/>
        <v>1350</v>
      </c>
      <c r="I65" s="17" t="s">
        <v>738</v>
      </c>
      <c r="J65" s="48">
        <v>45015</v>
      </c>
      <c r="K65" s="17">
        <v>219.78</v>
      </c>
      <c r="L65" s="49" t="s">
        <v>20</v>
      </c>
      <c r="N65" t="s">
        <v>1010</v>
      </c>
      <c r="P65" s="111">
        <f t="shared" si="1"/>
        <v>0</v>
      </c>
    </row>
    <row r="66" spans="1:16" ht="15" customHeight="1" x14ac:dyDescent="0.25">
      <c r="A66" s="10">
        <v>23</v>
      </c>
      <c r="B66" s="48">
        <f t="shared" si="9"/>
        <v>44680</v>
      </c>
      <c r="C66" s="17">
        <v>200</v>
      </c>
      <c r="D66" s="17">
        <v>200</v>
      </c>
      <c r="E66" s="16">
        <v>44682</v>
      </c>
      <c r="F66" t="s">
        <v>117</v>
      </c>
      <c r="H66" s="17">
        <f t="shared" si="8"/>
        <v>1350</v>
      </c>
      <c r="I66" s="17" t="s">
        <v>738</v>
      </c>
      <c r="J66" s="48">
        <v>45015</v>
      </c>
      <c r="K66" s="17">
        <v>180</v>
      </c>
      <c r="L66" s="49" t="s">
        <v>17</v>
      </c>
      <c r="M66" t="s">
        <v>796</v>
      </c>
      <c r="N66" t="s">
        <v>1010</v>
      </c>
      <c r="P66" s="111">
        <f t="shared" si="1"/>
        <v>0</v>
      </c>
    </row>
    <row r="67" spans="1:16" ht="15" customHeight="1" x14ac:dyDescent="0.25">
      <c r="A67" s="10">
        <v>24</v>
      </c>
      <c r="B67" s="48">
        <f t="shared" si="9"/>
        <v>44687</v>
      </c>
      <c r="C67" s="17">
        <v>200</v>
      </c>
      <c r="D67" s="17"/>
      <c r="H67" s="17">
        <f t="shared" si="8"/>
        <v>1550</v>
      </c>
      <c r="I67" s="17" t="s">
        <v>738</v>
      </c>
      <c r="J67" s="48">
        <v>45012</v>
      </c>
      <c r="K67" s="17">
        <v>280</v>
      </c>
      <c r="L67" s="49" t="s">
        <v>17</v>
      </c>
      <c r="M67" t="s">
        <v>1032</v>
      </c>
      <c r="N67" t="s">
        <v>925</v>
      </c>
      <c r="P67" s="111">
        <f t="shared" si="1"/>
        <v>0</v>
      </c>
    </row>
    <row r="68" spans="1:16" ht="15" customHeight="1" x14ac:dyDescent="0.25">
      <c r="A68" s="10">
        <v>25</v>
      </c>
      <c r="B68" s="48">
        <f t="shared" si="9"/>
        <v>44694</v>
      </c>
      <c r="C68" s="17">
        <v>200</v>
      </c>
      <c r="D68" s="17"/>
      <c r="H68" s="17">
        <f t="shared" si="8"/>
        <v>1750</v>
      </c>
      <c r="I68" s="17" t="s">
        <v>738</v>
      </c>
      <c r="J68" s="48"/>
      <c r="K68" s="17"/>
      <c r="L68" s="49"/>
    </row>
    <row r="69" spans="1:16" ht="15" customHeight="1" x14ac:dyDescent="0.25">
      <c r="A69" s="10">
        <v>26</v>
      </c>
      <c r="B69" s="48">
        <f t="shared" ref="B69:B74" si="10">B68+7</f>
        <v>44701</v>
      </c>
      <c r="C69" s="17">
        <v>200</v>
      </c>
      <c r="D69" s="17">
        <v>350</v>
      </c>
      <c r="E69" s="16">
        <v>44702</v>
      </c>
      <c r="F69" t="s">
        <v>117</v>
      </c>
      <c r="H69" s="17">
        <f t="shared" si="8"/>
        <v>1600</v>
      </c>
      <c r="I69" s="17" t="s">
        <v>738</v>
      </c>
      <c r="J69" s="48"/>
      <c r="K69" s="17"/>
      <c r="L69" s="49"/>
    </row>
    <row r="70" spans="1:16" ht="15" customHeight="1" x14ac:dyDescent="0.25">
      <c r="A70" s="10">
        <v>27</v>
      </c>
      <c r="B70" s="48">
        <f t="shared" si="10"/>
        <v>44708</v>
      </c>
      <c r="C70" s="17">
        <v>200</v>
      </c>
      <c r="D70" s="17">
        <v>400</v>
      </c>
      <c r="E70" s="16">
        <v>44712</v>
      </c>
      <c r="F70" t="s">
        <v>117</v>
      </c>
      <c r="H70" s="17">
        <f t="shared" si="8"/>
        <v>1400</v>
      </c>
      <c r="I70" s="17" t="s">
        <v>738</v>
      </c>
      <c r="J70" s="48"/>
      <c r="K70" s="17"/>
      <c r="L70" s="49"/>
    </row>
    <row r="71" spans="1:16" ht="15" customHeight="1" x14ac:dyDescent="0.25">
      <c r="A71" s="10">
        <v>28</v>
      </c>
      <c r="B71" s="48">
        <f t="shared" si="10"/>
        <v>44715</v>
      </c>
      <c r="C71" s="17">
        <v>180</v>
      </c>
      <c r="D71" s="17">
        <v>100</v>
      </c>
      <c r="E71" s="16">
        <v>44718</v>
      </c>
      <c r="F71" t="s">
        <v>117</v>
      </c>
      <c r="H71" s="17">
        <f t="shared" si="8"/>
        <v>1480</v>
      </c>
      <c r="I71" s="17" t="s">
        <v>738</v>
      </c>
      <c r="J71" s="48"/>
      <c r="K71" s="17"/>
      <c r="L71" s="49"/>
    </row>
    <row r="72" spans="1:16" ht="15" customHeight="1" x14ac:dyDescent="0.25">
      <c r="A72" s="10">
        <v>29</v>
      </c>
      <c r="B72" s="48">
        <f t="shared" si="10"/>
        <v>44722</v>
      </c>
      <c r="C72" s="17">
        <v>180</v>
      </c>
      <c r="D72" s="17">
        <v>200</v>
      </c>
      <c r="E72" s="16">
        <v>44718</v>
      </c>
      <c r="F72" t="s">
        <v>117</v>
      </c>
      <c r="H72" s="17">
        <f t="shared" si="8"/>
        <v>1460</v>
      </c>
      <c r="I72" s="17" t="s">
        <v>738</v>
      </c>
      <c r="J72" s="48"/>
      <c r="K72" s="17"/>
      <c r="L72" s="49"/>
    </row>
    <row r="73" spans="1:16" x14ac:dyDescent="0.25">
      <c r="A73" s="10">
        <v>30</v>
      </c>
      <c r="B73" s="48">
        <f t="shared" si="10"/>
        <v>44729</v>
      </c>
      <c r="C73" s="17">
        <v>180</v>
      </c>
      <c r="D73" s="17"/>
      <c r="H73" s="17">
        <f t="shared" si="8"/>
        <v>1640</v>
      </c>
      <c r="I73" s="17" t="s">
        <v>738</v>
      </c>
      <c r="J73" s="48"/>
      <c r="K73" s="17"/>
      <c r="L73" s="49"/>
    </row>
    <row r="74" spans="1:16" x14ac:dyDescent="0.25">
      <c r="A74" s="10">
        <v>31</v>
      </c>
      <c r="B74" s="48">
        <f t="shared" si="10"/>
        <v>44736</v>
      </c>
      <c r="C74" s="17">
        <v>180</v>
      </c>
      <c r="D74" s="17">
        <v>180</v>
      </c>
      <c r="E74" s="16">
        <v>44741</v>
      </c>
      <c r="F74" t="s">
        <v>117</v>
      </c>
      <c r="H74" s="17">
        <f t="shared" si="8"/>
        <v>1640</v>
      </c>
      <c r="I74" s="17" t="s">
        <v>738</v>
      </c>
      <c r="J74" s="48"/>
      <c r="K74" s="17"/>
      <c r="L74" s="49"/>
    </row>
    <row r="75" spans="1:16" x14ac:dyDescent="0.25">
      <c r="A75" s="10">
        <v>32</v>
      </c>
      <c r="B75" s="48">
        <f>B74+7</f>
        <v>44743</v>
      </c>
      <c r="C75" s="17">
        <v>180</v>
      </c>
      <c r="D75" s="17">
        <v>180</v>
      </c>
      <c r="E75" s="16">
        <v>44743</v>
      </c>
      <c r="F75" t="s">
        <v>117</v>
      </c>
      <c r="H75" s="17">
        <f t="shared" si="8"/>
        <v>1640</v>
      </c>
      <c r="I75" s="17" t="s">
        <v>738</v>
      </c>
      <c r="J75" s="48"/>
      <c r="K75" s="17"/>
      <c r="L75" s="49"/>
    </row>
    <row r="76" spans="1:16" x14ac:dyDescent="0.25">
      <c r="A76" s="10">
        <v>33</v>
      </c>
      <c r="B76" s="48">
        <f>B75+7</f>
        <v>44750</v>
      </c>
      <c r="C76" s="17">
        <v>180</v>
      </c>
      <c r="D76" s="17">
        <v>180</v>
      </c>
      <c r="E76" s="16">
        <v>44748</v>
      </c>
      <c r="F76" t="s">
        <v>124</v>
      </c>
      <c r="H76" s="17">
        <f t="shared" ref="H76:H81" si="11">IFERROR(IF(F75="Closed account",(IF(F76="Unpaid Rent",(C76),(C76-D76))),(IF(F76="Unpaid Rent",(C76+H75),(C76-D76+H75)))),"")</f>
        <v>1640</v>
      </c>
      <c r="I76" s="17" t="s">
        <v>738</v>
      </c>
      <c r="J76" s="48"/>
      <c r="K76" s="17"/>
      <c r="L76" s="49"/>
    </row>
    <row r="77" spans="1:16" x14ac:dyDescent="0.25">
      <c r="A77" s="10">
        <v>1</v>
      </c>
      <c r="B77" s="48">
        <v>44802</v>
      </c>
      <c r="C77" s="17">
        <v>400</v>
      </c>
      <c r="D77" s="17">
        <v>400</v>
      </c>
      <c r="E77" s="16">
        <v>44797</v>
      </c>
      <c r="F77" t="s">
        <v>117</v>
      </c>
      <c r="H77" s="17">
        <f t="shared" si="11"/>
        <v>0</v>
      </c>
      <c r="I77" s="17" t="s">
        <v>850</v>
      </c>
      <c r="J77" s="48"/>
      <c r="K77" s="17"/>
      <c r="L77" s="49"/>
    </row>
    <row r="78" spans="1:16" x14ac:dyDescent="0.25">
      <c r="A78" s="10">
        <v>1</v>
      </c>
      <c r="B78" s="48">
        <v>44802</v>
      </c>
      <c r="C78" s="17">
        <v>330</v>
      </c>
      <c r="D78" s="17">
        <v>330</v>
      </c>
      <c r="E78" s="16">
        <v>44797</v>
      </c>
      <c r="F78" t="s">
        <v>117</v>
      </c>
      <c r="H78" s="17">
        <f t="shared" si="11"/>
        <v>0</v>
      </c>
      <c r="I78" s="17" t="s">
        <v>850</v>
      </c>
      <c r="J78" s="48"/>
      <c r="K78" s="17"/>
      <c r="L78" s="49"/>
    </row>
    <row r="79" spans="1:16" x14ac:dyDescent="0.25">
      <c r="A79" s="10">
        <v>2</v>
      </c>
      <c r="B79" s="48">
        <f>B78+7</f>
        <v>44809</v>
      </c>
      <c r="C79" s="17">
        <v>330</v>
      </c>
      <c r="D79" s="17">
        <v>330</v>
      </c>
      <c r="E79" s="16">
        <v>44810</v>
      </c>
      <c r="F79" t="s">
        <v>124</v>
      </c>
      <c r="H79" s="17">
        <f t="shared" si="11"/>
        <v>0</v>
      </c>
      <c r="I79" s="17" t="s">
        <v>850</v>
      </c>
      <c r="J79" s="48"/>
      <c r="K79" s="17"/>
      <c r="L79" s="49"/>
    </row>
    <row r="80" spans="1:16" x14ac:dyDescent="0.25">
      <c r="A80" s="10">
        <v>1</v>
      </c>
      <c r="B80" s="48">
        <v>44870</v>
      </c>
      <c r="C80" s="17">
        <v>400</v>
      </c>
      <c r="D80" s="17">
        <v>400</v>
      </c>
      <c r="E80" s="16">
        <v>44871</v>
      </c>
      <c r="F80" t="s">
        <v>181</v>
      </c>
      <c r="H80" s="17">
        <f t="shared" si="11"/>
        <v>0</v>
      </c>
      <c r="I80" s="17" t="s">
        <v>925</v>
      </c>
      <c r="J80" s="48"/>
      <c r="K80" s="17"/>
      <c r="L80" s="49"/>
    </row>
    <row r="81" spans="1:12" x14ac:dyDescent="0.25">
      <c r="A81" s="10">
        <v>1</v>
      </c>
      <c r="B81" s="48">
        <v>44870</v>
      </c>
      <c r="C81" s="17">
        <v>400</v>
      </c>
      <c r="D81" s="17">
        <v>400</v>
      </c>
      <c r="E81" s="16">
        <v>44871</v>
      </c>
      <c r="F81" t="s">
        <v>117</v>
      </c>
      <c r="H81" s="17">
        <f t="shared" si="11"/>
        <v>0</v>
      </c>
      <c r="I81" s="17" t="s">
        <v>925</v>
      </c>
      <c r="J81" s="48"/>
      <c r="K81" s="17"/>
      <c r="L81" s="49"/>
    </row>
    <row r="82" spans="1:12" x14ac:dyDescent="0.25">
      <c r="A82" s="10">
        <v>2</v>
      </c>
      <c r="B82" s="48">
        <f>B81+7</f>
        <v>44877</v>
      </c>
      <c r="C82" s="17">
        <v>330</v>
      </c>
      <c r="D82" s="17"/>
      <c r="H82" s="17">
        <f t="shared" ref="H82:H101" si="12">IFERROR(IF(F81="Closed account",(IF(F82="Unpaid Rent",(C82),(C82-D82))),(IF(F82="Unpaid Rent",(C82+H81),(C82-D82+H81)))),"")</f>
        <v>330</v>
      </c>
      <c r="I82" s="17" t="s">
        <v>925</v>
      </c>
      <c r="J82" s="48"/>
      <c r="K82" s="17"/>
      <c r="L82" s="49"/>
    </row>
    <row r="83" spans="1:12" x14ac:dyDescent="0.25">
      <c r="A83" s="10">
        <v>3</v>
      </c>
      <c r="B83" s="48">
        <f t="shared" ref="B83:B90" si="13">B82+7</f>
        <v>44884</v>
      </c>
      <c r="C83" s="17">
        <v>330</v>
      </c>
      <c r="D83" s="17">
        <v>660</v>
      </c>
      <c r="E83" s="16">
        <v>44886</v>
      </c>
      <c r="F83" t="s">
        <v>117</v>
      </c>
      <c r="H83" s="17">
        <f t="shared" si="12"/>
        <v>0</v>
      </c>
      <c r="I83" s="17" t="s">
        <v>925</v>
      </c>
      <c r="J83" s="48"/>
      <c r="K83" s="17"/>
      <c r="L83" s="49"/>
    </row>
    <row r="84" spans="1:12" x14ac:dyDescent="0.25">
      <c r="A84" s="10">
        <f t="shared" ref="A84:A90" si="14">A83+1</f>
        <v>4</v>
      </c>
      <c r="B84" s="48">
        <f t="shared" si="13"/>
        <v>44891</v>
      </c>
      <c r="C84" s="17">
        <v>330</v>
      </c>
      <c r="D84" s="17">
        <v>330</v>
      </c>
      <c r="E84" s="16">
        <v>44892</v>
      </c>
      <c r="F84" t="s">
        <v>117</v>
      </c>
      <c r="H84" s="17">
        <f t="shared" si="12"/>
        <v>0</v>
      </c>
      <c r="I84" s="17" t="s">
        <v>925</v>
      </c>
      <c r="J84" s="48"/>
      <c r="K84" s="17"/>
      <c r="L84" s="49"/>
    </row>
    <row r="85" spans="1:12" x14ac:dyDescent="0.25">
      <c r="A85" s="10">
        <f t="shared" si="14"/>
        <v>5</v>
      </c>
      <c r="B85" s="48">
        <f t="shared" si="13"/>
        <v>44898</v>
      </c>
      <c r="C85" s="17">
        <v>330</v>
      </c>
      <c r="D85" s="17"/>
      <c r="H85" s="17">
        <f t="shared" si="12"/>
        <v>330</v>
      </c>
      <c r="I85" s="17" t="s">
        <v>925</v>
      </c>
      <c r="J85" s="48"/>
      <c r="K85" s="17"/>
      <c r="L85" s="49"/>
    </row>
    <row r="86" spans="1:12" x14ac:dyDescent="0.25">
      <c r="A86" s="10">
        <f t="shared" si="14"/>
        <v>6</v>
      </c>
      <c r="B86" s="48">
        <f t="shared" si="13"/>
        <v>44905</v>
      </c>
      <c r="C86" s="17">
        <v>330</v>
      </c>
      <c r="D86" s="17">
        <v>330</v>
      </c>
      <c r="E86" s="16">
        <v>44913</v>
      </c>
      <c r="F86" t="s">
        <v>117</v>
      </c>
      <c r="H86" s="17">
        <f t="shared" si="12"/>
        <v>330</v>
      </c>
      <c r="I86" s="17" t="s">
        <v>925</v>
      </c>
      <c r="J86" s="48"/>
      <c r="K86" s="17"/>
      <c r="L86" s="49"/>
    </row>
    <row r="87" spans="1:12" x14ac:dyDescent="0.25">
      <c r="A87" s="10">
        <f t="shared" si="14"/>
        <v>7</v>
      </c>
      <c r="B87" s="48">
        <f t="shared" si="13"/>
        <v>44912</v>
      </c>
      <c r="C87" s="17">
        <v>330</v>
      </c>
      <c r="D87" s="17">
        <v>330</v>
      </c>
      <c r="E87" s="16">
        <v>44915</v>
      </c>
      <c r="F87" t="s">
        <v>117</v>
      </c>
      <c r="H87" s="17">
        <f t="shared" si="12"/>
        <v>330</v>
      </c>
      <c r="I87" s="17" t="s">
        <v>925</v>
      </c>
      <c r="J87" s="48"/>
      <c r="K87" s="17"/>
      <c r="L87" s="49"/>
    </row>
    <row r="88" spans="1:12" x14ac:dyDescent="0.25">
      <c r="A88" s="10">
        <f t="shared" si="14"/>
        <v>8</v>
      </c>
      <c r="B88" s="48">
        <f t="shared" si="13"/>
        <v>44919</v>
      </c>
      <c r="C88" s="17">
        <v>330</v>
      </c>
      <c r="D88" s="17">
        <v>330</v>
      </c>
      <c r="E88" s="16">
        <v>44921</v>
      </c>
      <c r="F88" t="s">
        <v>117</v>
      </c>
      <c r="H88" s="17">
        <f t="shared" si="12"/>
        <v>330</v>
      </c>
      <c r="I88" s="17" t="s">
        <v>925</v>
      </c>
      <c r="J88" s="48"/>
      <c r="K88" s="17"/>
      <c r="L88" s="49"/>
    </row>
    <row r="89" spans="1:12" x14ac:dyDescent="0.25">
      <c r="A89" s="10">
        <f t="shared" si="14"/>
        <v>9</v>
      </c>
      <c r="B89" s="48">
        <f t="shared" si="13"/>
        <v>44926</v>
      </c>
      <c r="C89" s="17">
        <v>330</v>
      </c>
      <c r="D89" s="17">
        <v>330</v>
      </c>
      <c r="E89" s="16">
        <v>44928</v>
      </c>
      <c r="F89" t="s">
        <v>117</v>
      </c>
      <c r="H89" s="17">
        <f t="shared" si="12"/>
        <v>330</v>
      </c>
      <c r="I89" s="17" t="s">
        <v>925</v>
      </c>
      <c r="J89" s="48"/>
      <c r="K89" s="17"/>
      <c r="L89" s="49"/>
    </row>
    <row r="90" spans="1:12" x14ac:dyDescent="0.25">
      <c r="A90" s="10">
        <f t="shared" si="14"/>
        <v>10</v>
      </c>
      <c r="B90" s="48">
        <f t="shared" si="13"/>
        <v>44933</v>
      </c>
      <c r="C90" s="17">
        <v>330</v>
      </c>
      <c r="D90" s="17">
        <v>330</v>
      </c>
      <c r="E90" s="16">
        <v>44934</v>
      </c>
      <c r="F90" t="s">
        <v>117</v>
      </c>
      <c r="H90" s="17">
        <f t="shared" si="12"/>
        <v>330</v>
      </c>
      <c r="I90" s="17" t="s">
        <v>925</v>
      </c>
      <c r="J90" s="48"/>
      <c r="K90" s="17"/>
      <c r="L90" s="49"/>
    </row>
    <row r="91" spans="1:12" x14ac:dyDescent="0.25">
      <c r="A91" s="10">
        <v>11</v>
      </c>
      <c r="B91" s="48">
        <f>B90+7</f>
        <v>44940</v>
      </c>
      <c r="C91" s="17">
        <v>330</v>
      </c>
      <c r="D91" s="17">
        <v>330</v>
      </c>
      <c r="E91" s="16">
        <v>44963</v>
      </c>
      <c r="F91" t="s">
        <v>124</v>
      </c>
      <c r="H91" s="17">
        <f t="shared" si="12"/>
        <v>330</v>
      </c>
      <c r="I91" s="17" t="s">
        <v>925</v>
      </c>
      <c r="J91" s="48"/>
      <c r="K91" s="17"/>
      <c r="L91" s="49"/>
    </row>
    <row r="92" spans="1:12" x14ac:dyDescent="0.25">
      <c r="A92">
        <v>1</v>
      </c>
      <c r="B92" s="48">
        <v>45015</v>
      </c>
      <c r="C92" s="17">
        <v>400</v>
      </c>
      <c r="D92" s="17">
        <v>400</v>
      </c>
      <c r="E92" s="16">
        <v>45015</v>
      </c>
      <c r="F92" t="s">
        <v>181</v>
      </c>
      <c r="H92" s="17">
        <f t="shared" si="12"/>
        <v>0</v>
      </c>
      <c r="I92" s="17" t="s">
        <v>1010</v>
      </c>
      <c r="J92" s="48"/>
      <c r="K92" s="17"/>
      <c r="L92" s="49"/>
    </row>
    <row r="93" spans="1:12" x14ac:dyDescent="0.25">
      <c r="A93">
        <v>1</v>
      </c>
      <c r="B93" s="48">
        <v>45015</v>
      </c>
      <c r="C93" s="17">
        <v>330</v>
      </c>
      <c r="D93" s="17">
        <v>330</v>
      </c>
      <c r="E93" s="16">
        <v>45015</v>
      </c>
      <c r="F93" t="s">
        <v>117</v>
      </c>
      <c r="H93" s="17">
        <f t="shared" si="12"/>
        <v>0</v>
      </c>
      <c r="I93" s="17" t="s">
        <v>1010</v>
      </c>
      <c r="J93" s="48"/>
      <c r="K93" s="17"/>
      <c r="L93" s="49"/>
    </row>
    <row r="94" spans="1:12" x14ac:dyDescent="0.25">
      <c r="A94">
        <v>2</v>
      </c>
      <c r="B94" s="48">
        <f t="shared" ref="B94:B101" si="15">B93+7</f>
        <v>45022</v>
      </c>
      <c r="C94" s="17">
        <v>330</v>
      </c>
      <c r="D94" s="17">
        <v>330</v>
      </c>
      <c r="E94" s="16">
        <v>44998</v>
      </c>
      <c r="F94" t="s">
        <v>117</v>
      </c>
      <c r="H94" s="17">
        <f t="shared" si="12"/>
        <v>0</v>
      </c>
      <c r="I94" s="17" t="s">
        <v>1010</v>
      </c>
      <c r="J94" s="48"/>
      <c r="K94" s="17"/>
      <c r="L94" s="49"/>
    </row>
    <row r="95" spans="1:12" x14ac:dyDescent="0.25">
      <c r="A95">
        <v>3</v>
      </c>
      <c r="B95" s="48">
        <f t="shared" si="15"/>
        <v>45029</v>
      </c>
      <c r="C95" s="17">
        <v>330</v>
      </c>
      <c r="D95" s="17">
        <v>330</v>
      </c>
      <c r="E95" s="16">
        <v>45035</v>
      </c>
      <c r="F95" t="s">
        <v>117</v>
      </c>
      <c r="H95" s="17">
        <f t="shared" si="12"/>
        <v>0</v>
      </c>
      <c r="I95" s="17" t="s">
        <v>1010</v>
      </c>
      <c r="J95" s="48"/>
      <c r="K95" s="17"/>
      <c r="L95" s="49"/>
    </row>
    <row r="96" spans="1:12" x14ac:dyDescent="0.25">
      <c r="A96">
        <v>4</v>
      </c>
      <c r="B96" s="48">
        <f t="shared" si="15"/>
        <v>45036</v>
      </c>
      <c r="C96" s="17">
        <v>330</v>
      </c>
      <c r="H96" s="17">
        <f t="shared" si="12"/>
        <v>330</v>
      </c>
      <c r="I96" s="17" t="s">
        <v>1010</v>
      </c>
      <c r="J96" s="48"/>
      <c r="K96" s="17"/>
      <c r="L96" s="49"/>
    </row>
    <row r="97" spans="1:12" x14ac:dyDescent="0.25">
      <c r="A97">
        <v>5</v>
      </c>
      <c r="B97" s="48">
        <f t="shared" si="15"/>
        <v>45043</v>
      </c>
      <c r="C97" s="17">
        <v>330</v>
      </c>
      <c r="D97" s="17">
        <v>330</v>
      </c>
      <c r="E97" s="16">
        <v>45050</v>
      </c>
      <c r="F97" t="s">
        <v>117</v>
      </c>
      <c r="H97" s="17">
        <f t="shared" si="12"/>
        <v>330</v>
      </c>
      <c r="I97" s="17" t="s">
        <v>1010</v>
      </c>
      <c r="J97" s="48"/>
      <c r="K97" s="17"/>
      <c r="L97" s="49"/>
    </row>
    <row r="98" spans="1:12" x14ac:dyDescent="0.25">
      <c r="A98">
        <v>6</v>
      </c>
      <c r="B98" s="48">
        <f t="shared" si="15"/>
        <v>45050</v>
      </c>
      <c r="C98" s="17">
        <v>330</v>
      </c>
      <c r="D98" s="17">
        <v>330</v>
      </c>
      <c r="E98" s="16">
        <v>45051</v>
      </c>
      <c r="F98" t="s">
        <v>117</v>
      </c>
      <c r="H98" s="17">
        <f t="shared" si="12"/>
        <v>330</v>
      </c>
      <c r="I98" s="17" t="s">
        <v>1010</v>
      </c>
      <c r="J98" s="48"/>
      <c r="K98" s="17"/>
      <c r="L98" s="49"/>
    </row>
    <row r="99" spans="1:12" x14ac:dyDescent="0.25">
      <c r="A99">
        <v>7</v>
      </c>
      <c r="B99" s="48">
        <f t="shared" si="15"/>
        <v>45057</v>
      </c>
      <c r="C99" s="17">
        <v>330</v>
      </c>
      <c r="D99" s="17">
        <v>330</v>
      </c>
      <c r="E99" s="16">
        <v>45057</v>
      </c>
      <c r="F99" t="s">
        <v>117</v>
      </c>
      <c r="H99" s="17">
        <f t="shared" si="12"/>
        <v>330</v>
      </c>
      <c r="I99" s="17" t="s">
        <v>1010</v>
      </c>
      <c r="J99" s="48"/>
      <c r="K99" s="17"/>
      <c r="L99" s="49"/>
    </row>
    <row r="100" spans="1:12" x14ac:dyDescent="0.25">
      <c r="A100">
        <v>8</v>
      </c>
      <c r="B100" s="48">
        <f t="shared" si="15"/>
        <v>45064</v>
      </c>
      <c r="C100" s="17">
        <v>330</v>
      </c>
      <c r="D100" s="17">
        <v>500</v>
      </c>
      <c r="E100" s="16">
        <v>45064</v>
      </c>
      <c r="F100" t="s">
        <v>117</v>
      </c>
      <c r="H100" s="17">
        <f t="shared" si="12"/>
        <v>160</v>
      </c>
      <c r="I100" s="17" t="s">
        <v>1010</v>
      </c>
      <c r="J100" s="48"/>
      <c r="K100" s="17"/>
      <c r="L100" s="49"/>
    </row>
    <row r="101" spans="1:12" x14ac:dyDescent="0.25">
      <c r="A101">
        <v>9</v>
      </c>
      <c r="B101" s="48">
        <f t="shared" si="15"/>
        <v>45071</v>
      </c>
      <c r="C101" s="17">
        <v>330</v>
      </c>
      <c r="D101" s="17">
        <v>500</v>
      </c>
      <c r="E101" s="16">
        <v>45072</v>
      </c>
      <c r="F101" t="s">
        <v>117</v>
      </c>
      <c r="H101" s="17">
        <f t="shared" si="12"/>
        <v>-10</v>
      </c>
      <c r="I101" s="17" t="s">
        <v>1010</v>
      </c>
      <c r="J101" s="48"/>
      <c r="K101" s="17"/>
      <c r="L101" s="49"/>
    </row>
    <row r="102" spans="1:12" x14ac:dyDescent="0.25">
      <c r="A102"/>
      <c r="B102" s="50"/>
      <c r="J102" s="48"/>
      <c r="K102" s="17"/>
      <c r="L102" s="49"/>
    </row>
    <row r="103" spans="1:12" x14ac:dyDescent="0.25">
      <c r="A103"/>
      <c r="B103" s="50"/>
      <c r="J103" s="48"/>
      <c r="K103" s="17"/>
      <c r="L103" s="49"/>
    </row>
    <row r="104" spans="1:12" x14ac:dyDescent="0.25">
      <c r="A104"/>
      <c r="B104" s="50"/>
      <c r="J104" s="48"/>
      <c r="K104" s="17"/>
      <c r="L104" s="49"/>
    </row>
    <row r="105" spans="1:12" x14ac:dyDescent="0.25">
      <c r="A105"/>
      <c r="B105" s="50"/>
      <c r="J105" s="48"/>
      <c r="K105" s="17"/>
      <c r="L105" s="49"/>
    </row>
    <row r="106" spans="1:12" x14ac:dyDescent="0.25">
      <c r="A106"/>
      <c r="B106" s="50"/>
      <c r="J106" s="48"/>
      <c r="K106" s="17"/>
      <c r="L106" s="49"/>
    </row>
    <row r="107" spans="1:12" x14ac:dyDescent="0.25">
      <c r="A107"/>
      <c r="B107" s="50"/>
      <c r="J107" s="48"/>
      <c r="K107" s="17"/>
      <c r="L107" s="49"/>
    </row>
    <row r="108" spans="1:12" x14ac:dyDescent="0.25">
      <c r="A108"/>
      <c r="B108" s="50"/>
      <c r="J108" s="48"/>
      <c r="K108" s="17"/>
      <c r="L108" s="49"/>
    </row>
    <row r="109" spans="1:12" x14ac:dyDescent="0.25">
      <c r="A109"/>
      <c r="B109" s="50"/>
      <c r="J109" s="48"/>
      <c r="K109" s="17"/>
      <c r="L109" s="49"/>
    </row>
    <row r="110" spans="1:12" x14ac:dyDescent="0.25">
      <c r="A110"/>
      <c r="B110" s="50"/>
      <c r="J110" s="48"/>
      <c r="K110" s="17"/>
      <c r="L110" s="49"/>
    </row>
    <row r="111" spans="1:12" x14ac:dyDescent="0.25">
      <c r="A111"/>
      <c r="B111" s="50"/>
      <c r="J111" s="48"/>
      <c r="K111" s="17"/>
      <c r="L111" s="49"/>
    </row>
    <row r="112" spans="1:12" x14ac:dyDescent="0.25">
      <c r="A112"/>
      <c r="B112" s="50"/>
      <c r="J112" s="48"/>
      <c r="K112" s="17"/>
      <c r="L112" s="49"/>
    </row>
    <row r="113" spans="1:12" x14ac:dyDescent="0.25">
      <c r="A113"/>
      <c r="B113" s="50"/>
      <c r="J113" s="48"/>
      <c r="K113" s="17"/>
      <c r="L113" s="49"/>
    </row>
    <row r="114" spans="1:12" x14ac:dyDescent="0.25">
      <c r="A114"/>
      <c r="B114" s="50"/>
      <c r="J114" s="48"/>
      <c r="K114" s="17"/>
      <c r="L114" s="49"/>
    </row>
    <row r="115" spans="1:12" x14ac:dyDescent="0.25">
      <c r="A115"/>
      <c r="B115" s="50"/>
      <c r="J115" s="48"/>
      <c r="K115" s="17"/>
      <c r="L115" s="49"/>
    </row>
    <row r="116" spans="1:12" x14ac:dyDescent="0.25">
      <c r="A116"/>
      <c r="B116" s="50"/>
      <c r="J116" s="48"/>
      <c r="K116" s="17"/>
      <c r="L116" s="49"/>
    </row>
    <row r="117" spans="1:12" x14ac:dyDescent="0.25">
      <c r="A117"/>
      <c r="B117" s="50"/>
      <c r="J117" s="48"/>
      <c r="K117" s="17"/>
      <c r="L117" s="49"/>
    </row>
    <row r="118" spans="1:12" x14ac:dyDescent="0.25">
      <c r="A118"/>
      <c r="B118" s="50"/>
      <c r="J118" s="48"/>
      <c r="K118" s="17"/>
      <c r="L118" s="49"/>
    </row>
    <row r="119" spans="1:12" x14ac:dyDescent="0.25">
      <c r="A119"/>
      <c r="B119" s="50"/>
      <c r="J119" s="48"/>
      <c r="K119" s="17"/>
      <c r="L119" s="49"/>
    </row>
    <row r="120" spans="1:12" x14ac:dyDescent="0.25">
      <c r="A120"/>
      <c r="B120" s="50"/>
      <c r="J120" s="48"/>
      <c r="K120" s="17"/>
      <c r="L120" s="49"/>
    </row>
    <row r="121" spans="1:12" x14ac:dyDescent="0.25">
      <c r="B121" s="50"/>
      <c r="J121" s="48"/>
      <c r="K121" s="17"/>
      <c r="L121" s="49"/>
    </row>
    <row r="122" spans="1:12" x14ac:dyDescent="0.25">
      <c r="B122" s="50"/>
      <c r="J122" s="48"/>
      <c r="K122" s="17"/>
      <c r="L122" s="49"/>
    </row>
    <row r="123" spans="1:12" x14ac:dyDescent="0.25">
      <c r="B123" s="50"/>
      <c r="J123" s="48"/>
      <c r="K123" s="17"/>
      <c r="L123" s="49"/>
    </row>
    <row r="124" spans="1:12" x14ac:dyDescent="0.25">
      <c r="B124" s="50"/>
      <c r="J124" s="48"/>
      <c r="K124" s="17"/>
      <c r="L124" s="49"/>
    </row>
    <row r="125" spans="1:12" x14ac:dyDescent="0.25">
      <c r="B125" s="50"/>
      <c r="J125" s="48"/>
      <c r="K125" s="17"/>
      <c r="L125" s="49"/>
    </row>
    <row r="126" spans="1:12" x14ac:dyDescent="0.25">
      <c r="B126" s="50"/>
      <c r="J126" s="48"/>
      <c r="K126" s="17"/>
      <c r="L126" s="49"/>
    </row>
    <row r="127" spans="1:12" x14ac:dyDescent="0.25">
      <c r="B127" s="50"/>
      <c r="J127" s="48"/>
      <c r="K127" s="17"/>
      <c r="L127" s="49"/>
    </row>
    <row r="128" spans="1:12" x14ac:dyDescent="0.25">
      <c r="B128" s="50"/>
      <c r="J128" s="48"/>
      <c r="K128" s="17"/>
      <c r="L128" s="49"/>
    </row>
    <row r="129" spans="1:12" x14ac:dyDescent="0.25">
      <c r="B129" s="50"/>
      <c r="J129" s="48"/>
      <c r="K129" s="17"/>
      <c r="L129" s="49"/>
    </row>
    <row r="130" spans="1:12" x14ac:dyDescent="0.25">
      <c r="B130" s="50"/>
      <c r="J130" s="48"/>
      <c r="K130" s="17"/>
      <c r="L130" s="49"/>
    </row>
    <row r="131" spans="1:12" x14ac:dyDescent="0.25">
      <c r="B131" s="50"/>
      <c r="J131" s="48"/>
      <c r="K131" s="17"/>
      <c r="L131" s="49"/>
    </row>
    <row r="132" spans="1:12" x14ac:dyDescent="0.25">
      <c r="B132" s="50"/>
      <c r="J132" s="48"/>
      <c r="K132" s="17"/>
      <c r="L132" s="49"/>
    </row>
    <row r="133" spans="1:12" x14ac:dyDescent="0.25">
      <c r="B133" s="50"/>
      <c r="J133" s="48"/>
      <c r="K133" s="17"/>
      <c r="L133" s="49"/>
    </row>
    <row r="134" spans="1:12" x14ac:dyDescent="0.25">
      <c r="B134" s="50"/>
      <c r="J134" s="48"/>
      <c r="K134" s="17"/>
      <c r="L134" s="49"/>
    </row>
    <row r="135" spans="1:12" x14ac:dyDescent="0.25">
      <c r="B135" s="50"/>
      <c r="J135" s="48"/>
      <c r="K135" s="17"/>
      <c r="L135" s="49"/>
    </row>
    <row r="136" spans="1:12" x14ac:dyDescent="0.25">
      <c r="A136" s="10" t="s">
        <v>18</v>
      </c>
      <c r="B136" s="50" t="str">
        <f>IF($A136&lt;&gt;"",IF(_term=26,IF(A136=1,first_payment,B135+14),IF(_term=52,IF(A136=1,first_payment,B135+7),DATE(YEAR(first_payment),MONTH(first_payment)+(A136-1)*per_year,IF(_term=24,IF(1-MOD(A136,2)=1,DAY(first_payment)+14,DAY(first_payment)),DAY(first_payment))))),"")</f>
        <v/>
      </c>
      <c r="H136" t="str">
        <f>IF($A136&lt;&gt;"",$H135-$D136,"")</f>
        <v/>
      </c>
      <c r="J136" s="48"/>
      <c r="K136" s="17"/>
      <c r="L136" s="49"/>
    </row>
    <row r="137" spans="1:12" x14ac:dyDescent="0.25">
      <c r="A137" s="10" t="s">
        <v>18</v>
      </c>
      <c r="B137" s="50" t="str">
        <f>IF($A137&lt;&gt;"",IF(_term=26,IF(A137=1,first_payment,B136+14),IF(_term=52,IF(A137=1,first_payment,B136+7),DATE(YEAR(first_payment),MONTH(first_payment)+(A137-1)*per_year,IF(_term=24,IF(1-MOD(A137,2)=1,DAY(first_payment)+14,DAY(first_payment)),DAY(first_payment))))),"")</f>
        <v/>
      </c>
      <c r="H137" t="str">
        <f>IF($A137&lt;&gt;"",$H136-$D137,"")</f>
        <v/>
      </c>
      <c r="J137" s="48"/>
      <c r="K137" s="17"/>
      <c r="L137" s="49"/>
    </row>
    <row r="138" spans="1:12" x14ac:dyDescent="0.25">
      <c r="A138" s="10" t="s">
        <v>18</v>
      </c>
      <c r="B138" s="50" t="str">
        <f>IF($A138&lt;&gt;"",IF(_term=26,IF(A138=1,first_payment,B137+14),IF(_term=52,IF(A138=1,first_payment,B137+7),DATE(YEAR(first_payment),MONTH(first_payment)+(A138-1)*per_year,IF(_term=24,IF(1-MOD(A138,2)=1,DAY(first_payment)+14,DAY(first_payment)),DAY(first_payment))))),"")</f>
        <v/>
      </c>
      <c r="H138" t="str">
        <f>IF($A138&lt;&gt;"",$H137-$D138,"")</f>
        <v/>
      </c>
      <c r="J138" s="48"/>
      <c r="K138" s="17"/>
      <c r="L138" s="49"/>
    </row>
    <row r="139" spans="1:12" x14ac:dyDescent="0.25">
      <c r="A139" s="10" t="s">
        <v>18</v>
      </c>
      <c r="B139" s="50" t="str">
        <f>IF($A139&lt;&gt;"",IF(_term=26,IF(A139=1,first_payment,B138+14),IF(_term=52,IF(A139=1,first_payment,B138+7),DATE(YEAR(first_payment),MONTH(first_payment)+(A139-1)*per_year,IF(_term=24,IF(1-MOD(A139,2)=1,DAY(first_payment)+14,DAY(first_payment)),DAY(first_payment))))),"")</f>
        <v/>
      </c>
      <c r="H139" t="str">
        <f>IF($A139&lt;&gt;"",$H138-$D139,"")</f>
        <v/>
      </c>
      <c r="J139" s="48"/>
      <c r="K139" s="17"/>
      <c r="L139" s="49"/>
    </row>
    <row r="140" spans="1:12" ht="15" customHeight="1" x14ac:dyDescent="0.25">
      <c r="J140" s="48"/>
      <c r="K140" s="17"/>
      <c r="L140" s="49"/>
    </row>
    <row r="141" spans="1:12" ht="15" customHeight="1" x14ac:dyDescent="0.25">
      <c r="J141" s="48"/>
      <c r="K141" s="17"/>
      <c r="L141" s="49"/>
    </row>
    <row r="142" spans="1:12" ht="15" customHeight="1" x14ac:dyDescent="0.25">
      <c r="J142" s="48"/>
      <c r="K142" s="17"/>
      <c r="L142" s="49"/>
    </row>
    <row r="143" spans="1:12" ht="15" customHeight="1" x14ac:dyDescent="0.25">
      <c r="J143" s="48"/>
      <c r="K143" s="17"/>
      <c r="L143" s="49"/>
    </row>
    <row r="144" spans="1:12" ht="15" customHeight="1" x14ac:dyDescent="0.25">
      <c r="J144" s="48"/>
      <c r="K144" s="17"/>
      <c r="L144" s="49"/>
    </row>
    <row r="145" spans="10:12" ht="15" customHeight="1" x14ac:dyDescent="0.25">
      <c r="J145" s="48"/>
      <c r="K145" s="17"/>
      <c r="L145" s="49"/>
    </row>
    <row r="146" spans="10:12" ht="15" customHeight="1" x14ac:dyDescent="0.25">
      <c r="J146" s="48"/>
      <c r="K146" s="17"/>
      <c r="L146" s="49"/>
    </row>
    <row r="147" spans="10:12" ht="15" customHeight="1" x14ac:dyDescent="0.25">
      <c r="J147" s="48"/>
      <c r="K147" s="17"/>
      <c r="L147" s="49"/>
    </row>
    <row r="148" spans="10:12" ht="15" customHeight="1" x14ac:dyDescent="0.25">
      <c r="J148" s="48"/>
      <c r="K148" s="17"/>
      <c r="L148" s="49"/>
    </row>
    <row r="149" spans="10:12" ht="15" customHeight="1" x14ac:dyDescent="0.25">
      <c r="J149" s="48"/>
      <c r="K149" s="17"/>
      <c r="L149" s="49"/>
    </row>
    <row r="150" spans="10:12" ht="15" customHeight="1" x14ac:dyDescent="0.25">
      <c r="J150" s="48"/>
      <c r="K150" s="17"/>
      <c r="L150" s="49"/>
    </row>
    <row r="151" spans="10:12" ht="15" customHeight="1" x14ac:dyDescent="0.25">
      <c r="J151" s="48"/>
      <c r="K151" s="17"/>
      <c r="L151" s="49"/>
    </row>
    <row r="152" spans="10:12" ht="15" customHeight="1" x14ac:dyDescent="0.25">
      <c r="J152" s="48"/>
      <c r="K152" s="17"/>
      <c r="L152" s="49"/>
    </row>
    <row r="153" spans="10:12" ht="15" customHeight="1" x14ac:dyDescent="0.25">
      <c r="J153" s="48"/>
      <c r="K153" s="17"/>
      <c r="L153" s="49"/>
    </row>
    <row r="154" spans="10:12" ht="15" customHeight="1" x14ac:dyDescent="0.25">
      <c r="J154" s="48"/>
      <c r="K154" s="17"/>
      <c r="L154" s="49"/>
    </row>
    <row r="155" spans="10:12" ht="15" customHeight="1" x14ac:dyDescent="0.25">
      <c r="J155" s="48"/>
      <c r="K155" s="17"/>
      <c r="L155" s="49"/>
    </row>
    <row r="156" spans="10:12" ht="15" customHeight="1" x14ac:dyDescent="0.25">
      <c r="J156" s="48"/>
      <c r="K156" s="17"/>
      <c r="L156" s="49"/>
    </row>
    <row r="157" spans="10:12" ht="15" customHeight="1" x14ac:dyDescent="0.25">
      <c r="J157" s="48"/>
      <c r="K157" s="17"/>
      <c r="L157" s="49"/>
    </row>
    <row r="158" spans="10:12" ht="15" customHeight="1" x14ac:dyDescent="0.25">
      <c r="J158" s="48"/>
      <c r="K158" s="17"/>
      <c r="L158" s="49"/>
    </row>
    <row r="159" spans="10:12" ht="15" customHeight="1" x14ac:dyDescent="0.25">
      <c r="J159" s="48"/>
      <c r="K159" s="17"/>
      <c r="L159" s="49"/>
    </row>
    <row r="160" spans="10:12" ht="15" customHeight="1" x14ac:dyDescent="0.25">
      <c r="J160" s="48"/>
      <c r="K160" s="17"/>
      <c r="L160" s="49"/>
    </row>
    <row r="161" spans="10:12" ht="15" customHeight="1" x14ac:dyDescent="0.25">
      <c r="J161" s="48"/>
      <c r="K161" s="17"/>
      <c r="L161" s="49"/>
    </row>
    <row r="162" spans="10:12" ht="15" customHeight="1" x14ac:dyDescent="0.25">
      <c r="J162" s="48"/>
      <c r="K162" s="17"/>
      <c r="L162" s="49"/>
    </row>
    <row r="163" spans="10:12" ht="15" customHeight="1" x14ac:dyDescent="0.25">
      <c r="J163" s="48"/>
      <c r="K163" s="17"/>
      <c r="L163" s="49"/>
    </row>
    <row r="164" spans="10:12" ht="15" customHeight="1" x14ac:dyDescent="0.25">
      <c r="J164" s="48"/>
      <c r="K164" s="17"/>
      <c r="L164" s="49"/>
    </row>
    <row r="165" spans="10:12" ht="15" customHeight="1" x14ac:dyDescent="0.25">
      <c r="J165" s="48"/>
      <c r="K165" s="17"/>
      <c r="L165" s="49"/>
    </row>
    <row r="166" spans="10:12" ht="15" customHeight="1" x14ac:dyDescent="0.25">
      <c r="J166" s="48"/>
      <c r="K166" s="17"/>
      <c r="L166" s="49"/>
    </row>
    <row r="167" spans="10:12" ht="15" customHeight="1" x14ac:dyDescent="0.25">
      <c r="J167" s="48"/>
      <c r="K167" s="17"/>
      <c r="L167" s="49"/>
    </row>
    <row r="168" spans="10:12" ht="15" customHeight="1" x14ac:dyDescent="0.25">
      <c r="J168" s="48"/>
      <c r="K168" s="17"/>
      <c r="L168" s="49"/>
    </row>
    <row r="169" spans="10:12" ht="15" customHeight="1" x14ac:dyDescent="0.25">
      <c r="J169" s="48"/>
      <c r="K169" s="17"/>
      <c r="L169" s="49"/>
    </row>
    <row r="170" spans="10:12" ht="15" customHeight="1" x14ac:dyDescent="0.25">
      <c r="J170" s="48"/>
      <c r="K170" s="17"/>
      <c r="L170" s="49"/>
    </row>
    <row r="171" spans="10:12" ht="15" customHeight="1" x14ac:dyDescent="0.25">
      <c r="J171" s="48"/>
      <c r="K171" s="17"/>
      <c r="L171" s="49"/>
    </row>
    <row r="172" spans="10:12" ht="15" customHeight="1" x14ac:dyDescent="0.25">
      <c r="J172" s="48"/>
      <c r="K172" s="17"/>
      <c r="L172" s="49"/>
    </row>
    <row r="173" spans="10:12" ht="15" customHeight="1" x14ac:dyDescent="0.25">
      <c r="J173" s="48"/>
      <c r="K173" s="17"/>
      <c r="L173" s="49"/>
    </row>
    <row r="174" spans="10:12" ht="15" customHeight="1" x14ac:dyDescent="0.25">
      <c r="J174" s="48"/>
      <c r="K174" s="17"/>
      <c r="L174" s="49"/>
    </row>
    <row r="175" spans="10:12" ht="15" customHeight="1" x14ac:dyDescent="0.25">
      <c r="J175" s="48"/>
      <c r="K175" s="17"/>
      <c r="L175" s="49"/>
    </row>
    <row r="176" spans="10:12" ht="15" customHeight="1" x14ac:dyDescent="0.25">
      <c r="J176" s="48"/>
      <c r="K176" s="17"/>
      <c r="L176" s="49"/>
    </row>
    <row r="177" spans="10:12" ht="15" customHeight="1" x14ac:dyDescent="0.25">
      <c r="J177" s="48"/>
      <c r="K177" s="17"/>
      <c r="L177" s="49"/>
    </row>
    <row r="178" spans="10:12" ht="15" customHeight="1" x14ac:dyDescent="0.25">
      <c r="J178" s="48"/>
      <c r="K178" s="17"/>
      <c r="L178" s="49"/>
    </row>
    <row r="179" spans="10:12" ht="15" customHeight="1" x14ac:dyDescent="0.25">
      <c r="J179" s="48"/>
      <c r="K179" s="17"/>
      <c r="L179" s="49"/>
    </row>
    <row r="180" spans="10:12" ht="15" customHeight="1" x14ac:dyDescent="0.25">
      <c r="J180" s="48"/>
      <c r="K180" s="17"/>
      <c r="L180" s="49"/>
    </row>
    <row r="181" spans="10:12" ht="15" customHeight="1" x14ac:dyDescent="0.25">
      <c r="J181" s="48"/>
      <c r="K181" s="17"/>
      <c r="L181" s="49"/>
    </row>
    <row r="182" spans="10:12" ht="15" customHeight="1" x14ac:dyDescent="0.25">
      <c r="J182" s="48"/>
      <c r="K182" s="17"/>
      <c r="L182" s="49"/>
    </row>
    <row r="183" spans="10:12" ht="15" customHeight="1" x14ac:dyDescent="0.25">
      <c r="J183" s="48"/>
      <c r="K183" s="17"/>
      <c r="L183" s="49"/>
    </row>
    <row r="184" spans="10:12" ht="15" customHeight="1" x14ac:dyDescent="0.25">
      <c r="J184" s="48"/>
      <c r="K184" s="17"/>
      <c r="L184" s="49"/>
    </row>
    <row r="185" spans="10:12" ht="15" customHeight="1" x14ac:dyDescent="0.25">
      <c r="J185" s="48"/>
      <c r="K185" s="17"/>
      <c r="L185" s="49"/>
    </row>
    <row r="186" spans="10:12" ht="15" customHeight="1" x14ac:dyDescent="0.25">
      <c r="J186" s="48"/>
      <c r="K186" s="17"/>
      <c r="L186" s="49"/>
    </row>
    <row r="187" spans="10:12" ht="15" customHeight="1" x14ac:dyDescent="0.25">
      <c r="J187" s="48"/>
      <c r="K187" s="17"/>
      <c r="L187" s="49"/>
    </row>
    <row r="188" spans="10:12" ht="15" customHeight="1" x14ac:dyDescent="0.25">
      <c r="J188" s="48"/>
      <c r="K188" s="17"/>
      <c r="L188" s="49"/>
    </row>
    <row r="189" spans="10:12" ht="15" customHeight="1" x14ac:dyDescent="0.25">
      <c r="J189" s="48"/>
      <c r="K189" s="17"/>
      <c r="L189" s="49"/>
    </row>
    <row r="190" spans="10:12" ht="15" customHeight="1" x14ac:dyDescent="0.25">
      <c r="J190" s="48"/>
      <c r="K190" s="17"/>
      <c r="L190" s="49"/>
    </row>
    <row r="191" spans="10:12" ht="15" customHeight="1" x14ac:dyDescent="0.25">
      <c r="J191" s="48"/>
      <c r="K191" s="17"/>
      <c r="L191" s="49"/>
    </row>
    <row r="192" spans="10:12" ht="15" customHeight="1" x14ac:dyDescent="0.25">
      <c r="J192" s="48"/>
      <c r="K192" s="17"/>
      <c r="L192" s="49"/>
    </row>
    <row r="193" spans="10:12" ht="15" customHeight="1" x14ac:dyDescent="0.25">
      <c r="J193" s="48"/>
      <c r="K193" s="17"/>
      <c r="L193" s="49"/>
    </row>
    <row r="194" spans="10:12" ht="15" customHeight="1" x14ac:dyDescent="0.25">
      <c r="J194" s="48"/>
      <c r="K194" s="17"/>
      <c r="L194" s="49"/>
    </row>
    <row r="195" spans="10:12" ht="15" customHeight="1" x14ac:dyDescent="0.25">
      <c r="J195" s="48"/>
      <c r="K195" s="17"/>
      <c r="L195" s="49"/>
    </row>
    <row r="196" spans="10:12" ht="15" customHeight="1" x14ac:dyDescent="0.25">
      <c r="J196" s="48"/>
      <c r="K196" s="17"/>
      <c r="L196" s="49"/>
    </row>
    <row r="197" spans="10:12" ht="15" customHeight="1" x14ac:dyDescent="0.25">
      <c r="J197" s="48"/>
      <c r="K197" s="17"/>
      <c r="L197" s="49"/>
    </row>
    <row r="198" spans="10:12" ht="15" customHeight="1" x14ac:dyDescent="0.25">
      <c r="J198" s="48"/>
      <c r="K198" s="17"/>
      <c r="L198" s="49"/>
    </row>
    <row r="199" spans="10:12" ht="15" customHeight="1" x14ac:dyDescent="0.25">
      <c r="J199" s="48"/>
      <c r="K199" s="17"/>
      <c r="L199" s="49"/>
    </row>
    <row r="200" spans="10:12" ht="15" customHeight="1" x14ac:dyDescent="0.25">
      <c r="J200" s="48"/>
      <c r="K200" s="17"/>
      <c r="L200" s="49"/>
    </row>
    <row r="201" spans="10:12" ht="15" customHeight="1" x14ac:dyDescent="0.25">
      <c r="J201" s="48"/>
      <c r="K201" s="17"/>
      <c r="L201" s="49"/>
    </row>
    <row r="202" spans="10:12" ht="15" customHeight="1" x14ac:dyDescent="0.25">
      <c r="J202" s="48"/>
      <c r="K202" s="17"/>
      <c r="L202" s="49"/>
    </row>
    <row r="203" spans="10:12" ht="15" customHeight="1" x14ac:dyDescent="0.25">
      <c r="J203" s="48"/>
      <c r="K203" s="17"/>
      <c r="L203" s="49"/>
    </row>
    <row r="204" spans="10:12" ht="15" customHeight="1" x14ac:dyDescent="0.25">
      <c r="J204" s="48"/>
      <c r="K204" s="17"/>
      <c r="L204" s="49"/>
    </row>
    <row r="205" spans="10:12" ht="15" customHeight="1" x14ac:dyDescent="0.25">
      <c r="J205" s="48"/>
      <c r="K205" s="17"/>
      <c r="L205" s="49"/>
    </row>
    <row r="206" spans="10:12" ht="15" customHeight="1" x14ac:dyDescent="0.25">
      <c r="J206" s="48"/>
      <c r="K206" s="17"/>
      <c r="L206" s="49"/>
    </row>
    <row r="207" spans="10:12" ht="15" customHeight="1" x14ac:dyDescent="0.25">
      <c r="J207" s="48"/>
      <c r="K207" s="17"/>
      <c r="L207" s="49"/>
    </row>
    <row r="208" spans="10:12" ht="15" customHeight="1" x14ac:dyDescent="0.25">
      <c r="J208" s="48"/>
      <c r="K208" s="17"/>
      <c r="L208" s="49"/>
    </row>
    <row r="209" spans="10:12" ht="15" customHeight="1" x14ac:dyDescent="0.25">
      <c r="J209" s="48"/>
      <c r="K209" s="17"/>
      <c r="L209" s="49"/>
    </row>
    <row r="210" spans="10:12" ht="15" customHeight="1" x14ac:dyDescent="0.25">
      <c r="J210" s="48"/>
      <c r="K210" s="17"/>
      <c r="L210" s="49"/>
    </row>
    <row r="211" spans="10:12" ht="15" customHeight="1" x14ac:dyDescent="0.25">
      <c r="J211" s="48"/>
      <c r="K211" s="17"/>
      <c r="L211" s="49"/>
    </row>
    <row r="212" spans="10:12" ht="15" customHeight="1" x14ac:dyDescent="0.25">
      <c r="J212" s="48"/>
      <c r="K212" s="17"/>
      <c r="L212" s="49"/>
    </row>
    <row r="213" spans="10:12" ht="15" customHeight="1" x14ac:dyDescent="0.25">
      <c r="J213" s="48"/>
      <c r="K213" s="17"/>
      <c r="L213" s="49"/>
    </row>
    <row r="214" spans="10:12" ht="15" customHeight="1" x14ac:dyDescent="0.25">
      <c r="J214" s="48"/>
      <c r="K214" s="17"/>
      <c r="L214" s="49"/>
    </row>
    <row r="215" spans="10:12" ht="15" customHeight="1" x14ac:dyDescent="0.25">
      <c r="J215" s="48"/>
      <c r="K215" s="17"/>
      <c r="L215" s="49"/>
    </row>
    <row r="216" spans="10:12" ht="15" customHeight="1" x14ac:dyDescent="0.25">
      <c r="J216" s="48"/>
      <c r="K216" s="17"/>
      <c r="L216" s="49"/>
    </row>
    <row r="217" spans="10:12" ht="15" customHeight="1" x14ac:dyDescent="0.25">
      <c r="J217" s="48"/>
      <c r="K217" s="17"/>
      <c r="L217" s="49"/>
    </row>
    <row r="218" spans="10:12" ht="15" customHeight="1" x14ac:dyDescent="0.25">
      <c r="J218" s="48"/>
      <c r="K218" s="17"/>
      <c r="L218" s="49"/>
    </row>
    <row r="219" spans="10:12" ht="15" customHeight="1" x14ac:dyDescent="0.25">
      <c r="J219" s="48"/>
      <c r="K219" s="17"/>
      <c r="L219" s="49"/>
    </row>
    <row r="220" spans="10:12" ht="15" customHeight="1" x14ac:dyDescent="0.25">
      <c r="J220" s="48"/>
      <c r="K220" s="17"/>
      <c r="L220" s="49"/>
    </row>
    <row r="221" spans="10:12" ht="15" customHeight="1" x14ac:dyDescent="0.25">
      <c r="J221" s="48"/>
      <c r="K221" s="17"/>
      <c r="L221" s="49"/>
    </row>
    <row r="222" spans="10:12" ht="15" customHeight="1" x14ac:dyDescent="0.25">
      <c r="J222" s="48"/>
      <c r="K222" s="17"/>
      <c r="L222" s="49"/>
    </row>
    <row r="223" spans="10:12" ht="15" customHeight="1" x14ac:dyDescent="0.25">
      <c r="J223" s="48"/>
      <c r="K223" s="17"/>
      <c r="L223" s="49"/>
    </row>
    <row r="224" spans="10:12" ht="15" customHeight="1" x14ac:dyDescent="0.25">
      <c r="J224" s="48"/>
      <c r="K224" s="17"/>
      <c r="L224" s="49"/>
    </row>
    <row r="225" spans="10:12" ht="15" customHeight="1" x14ac:dyDescent="0.25">
      <c r="J225" s="48"/>
      <c r="K225" s="17"/>
      <c r="L225" s="49"/>
    </row>
    <row r="226" spans="10:12" ht="15" customHeight="1" x14ac:dyDescent="0.25">
      <c r="J226" s="48"/>
      <c r="K226" s="17"/>
      <c r="L226" s="49"/>
    </row>
    <row r="227" spans="10:12" ht="15" customHeight="1" x14ac:dyDescent="0.25">
      <c r="J227" s="48"/>
      <c r="K227" s="17"/>
      <c r="L227" s="49"/>
    </row>
    <row r="228" spans="10:12" ht="15" customHeight="1" x14ac:dyDescent="0.25">
      <c r="J228" s="48"/>
      <c r="K228" s="17"/>
      <c r="L228" s="49"/>
    </row>
    <row r="229" spans="10:12" ht="15" customHeight="1" x14ac:dyDescent="0.25">
      <c r="J229" s="48"/>
      <c r="K229" s="17"/>
      <c r="L229" s="49"/>
    </row>
    <row r="230" spans="10:12" ht="15" customHeight="1" x14ac:dyDescent="0.25">
      <c r="J230" s="48"/>
      <c r="K230" s="17"/>
      <c r="L230" s="49"/>
    </row>
    <row r="231" spans="10:12" ht="15" customHeight="1" x14ac:dyDescent="0.25">
      <c r="J231" s="48"/>
      <c r="K231" s="17"/>
      <c r="L231" s="49"/>
    </row>
    <row r="232" spans="10:12" ht="15" customHeight="1" x14ac:dyDescent="0.25">
      <c r="J232" s="48"/>
      <c r="K232" s="17"/>
      <c r="L232" s="49"/>
    </row>
    <row r="233" spans="10:12" ht="15" customHeight="1" x14ac:dyDescent="0.25">
      <c r="J233" s="48"/>
      <c r="K233" s="17"/>
      <c r="L233" s="49"/>
    </row>
    <row r="234" spans="10:12" ht="15" customHeight="1" x14ac:dyDescent="0.25">
      <c r="J234" s="48"/>
      <c r="K234" s="17"/>
      <c r="L234" s="49"/>
    </row>
    <row r="235" spans="10:12" ht="15" customHeight="1" x14ac:dyDescent="0.25">
      <c r="J235" s="48"/>
      <c r="K235" s="17"/>
      <c r="L235" s="49"/>
    </row>
    <row r="236" spans="10:12" ht="15" customHeight="1" x14ac:dyDescent="0.25">
      <c r="J236" s="48"/>
      <c r="K236" s="17"/>
      <c r="L236" s="49"/>
    </row>
    <row r="237" spans="10:12" ht="15" customHeight="1" x14ac:dyDescent="0.25">
      <c r="J237" s="48"/>
      <c r="K237" s="17"/>
      <c r="L237" s="49"/>
    </row>
    <row r="238" spans="10:12" ht="15" customHeight="1" x14ac:dyDescent="0.25">
      <c r="J238" s="48"/>
      <c r="K238" s="17"/>
      <c r="L238" s="49"/>
    </row>
    <row r="239" spans="10:12" ht="15" customHeight="1" x14ac:dyDescent="0.25">
      <c r="J239" s="48"/>
      <c r="K239" s="17"/>
      <c r="L239" s="49"/>
    </row>
    <row r="240" spans="10:12" ht="15" customHeight="1" x14ac:dyDescent="0.25">
      <c r="J240" s="48"/>
      <c r="K240" s="17"/>
      <c r="L240" s="49"/>
    </row>
    <row r="241" spans="10:12" ht="15" customHeight="1" x14ac:dyDescent="0.25">
      <c r="J241" s="48"/>
      <c r="K241" s="17"/>
      <c r="L241" s="49"/>
    </row>
    <row r="242" spans="10:12" ht="15" customHeight="1" x14ac:dyDescent="0.25">
      <c r="J242" s="48"/>
      <c r="K242" s="17"/>
      <c r="L242" s="49"/>
    </row>
    <row r="243" spans="10:12" ht="15" customHeight="1" x14ac:dyDescent="0.25">
      <c r="J243" s="48"/>
      <c r="K243" s="17"/>
      <c r="L243" s="49"/>
    </row>
    <row r="244" spans="10:12" ht="15" customHeight="1" x14ac:dyDescent="0.25">
      <c r="J244" s="48"/>
      <c r="K244" s="17"/>
      <c r="L244" s="49"/>
    </row>
    <row r="245" spans="10:12" ht="15" customHeight="1" x14ac:dyDescent="0.25">
      <c r="J245" s="48"/>
      <c r="K245" s="17"/>
      <c r="L245" s="49"/>
    </row>
    <row r="246" spans="10:12" ht="15" customHeight="1" x14ac:dyDescent="0.25">
      <c r="J246" s="48"/>
      <c r="K246" s="17"/>
      <c r="L246" s="49"/>
    </row>
    <row r="247" spans="10:12" ht="15" customHeight="1" x14ac:dyDescent="0.25">
      <c r="J247" s="48"/>
      <c r="K247" s="17"/>
      <c r="L247" s="49"/>
    </row>
    <row r="248" spans="10:12" ht="15" customHeight="1" x14ac:dyDescent="0.25">
      <c r="J248" s="48"/>
      <c r="K248" s="17"/>
      <c r="L248" s="49"/>
    </row>
    <row r="249" spans="10:12" ht="15" customHeight="1" x14ac:dyDescent="0.25">
      <c r="J249" s="48"/>
      <c r="K249" s="17"/>
      <c r="L249" s="49"/>
    </row>
    <row r="250" spans="10:12" ht="15" customHeight="1" x14ac:dyDescent="0.25">
      <c r="J250" s="48"/>
      <c r="K250" s="17"/>
      <c r="L250" s="49"/>
    </row>
    <row r="251" spans="10:12" ht="15" customHeight="1" x14ac:dyDescent="0.25">
      <c r="J251" s="48"/>
      <c r="K251" s="17"/>
      <c r="L251" s="49"/>
    </row>
    <row r="252" spans="10:12" ht="15" customHeight="1" x14ac:dyDescent="0.25">
      <c r="J252" s="48"/>
      <c r="K252" s="17"/>
      <c r="L252" s="49"/>
    </row>
    <row r="253" spans="10:12" ht="15" customHeight="1" x14ac:dyDescent="0.25">
      <c r="J253" s="48"/>
      <c r="K253" s="17"/>
      <c r="L253" s="49"/>
    </row>
    <row r="254" spans="10:12" ht="15" customHeight="1" x14ac:dyDescent="0.25">
      <c r="J254" s="48"/>
      <c r="K254" s="17"/>
      <c r="L254" s="49"/>
    </row>
    <row r="255" spans="10:12" ht="15" customHeight="1" x14ac:dyDescent="0.25">
      <c r="J255" s="48"/>
      <c r="K255" s="17"/>
      <c r="L255" s="49"/>
    </row>
    <row r="256" spans="10:12" ht="15" customHeight="1" x14ac:dyDescent="0.25">
      <c r="J256" s="48"/>
      <c r="K256" s="17"/>
      <c r="L256" s="49"/>
    </row>
    <row r="257" spans="10:12" ht="15" customHeight="1" x14ac:dyDescent="0.25">
      <c r="J257" s="48"/>
      <c r="K257" s="17"/>
      <c r="L257" s="49"/>
    </row>
    <row r="258" spans="10:12" ht="15" customHeight="1" x14ac:dyDescent="0.25">
      <c r="J258" s="48"/>
      <c r="K258" s="17"/>
      <c r="L258" s="49"/>
    </row>
    <row r="259" spans="10:12" ht="15" customHeight="1" x14ac:dyDescent="0.25">
      <c r="J259" s="48"/>
      <c r="K259" s="17"/>
      <c r="L259" s="49"/>
    </row>
    <row r="260" spans="10:12" ht="15" customHeight="1" x14ac:dyDescent="0.25">
      <c r="J260" s="48"/>
      <c r="K260" s="17"/>
      <c r="L260" s="49"/>
    </row>
    <row r="261" spans="10:12" ht="15" customHeight="1" x14ac:dyDescent="0.25">
      <c r="J261" s="48"/>
      <c r="K261" s="17"/>
      <c r="L261" s="49"/>
    </row>
    <row r="262" spans="10:12" ht="15" customHeight="1" x14ac:dyDescent="0.25">
      <c r="J262" s="48"/>
      <c r="K262" s="17"/>
      <c r="L262" s="49"/>
    </row>
    <row r="263" spans="10:12" ht="15" customHeight="1" x14ac:dyDescent="0.25">
      <c r="J263" s="48"/>
      <c r="K263" s="17"/>
      <c r="L263" s="49"/>
    </row>
    <row r="264" spans="10:12" ht="15" customHeight="1" x14ac:dyDescent="0.25">
      <c r="J264" s="48"/>
      <c r="K264" s="17"/>
      <c r="L264" s="49"/>
    </row>
    <row r="265" spans="10:12" ht="15" customHeight="1" x14ac:dyDescent="0.25">
      <c r="J265" s="48"/>
      <c r="K265" s="17"/>
      <c r="L265" s="49"/>
    </row>
    <row r="266" spans="10:12" ht="15" customHeight="1" x14ac:dyDescent="0.25">
      <c r="J266" s="48"/>
      <c r="K266" s="17"/>
      <c r="L266" s="49"/>
    </row>
    <row r="267" spans="10:12" ht="15" customHeight="1" x14ac:dyDescent="0.25">
      <c r="J267" s="48"/>
      <c r="K267" s="17"/>
      <c r="L267" s="49"/>
    </row>
    <row r="268" spans="10:12" ht="15" customHeight="1" x14ac:dyDescent="0.25">
      <c r="J268" s="48"/>
      <c r="K268" s="17"/>
      <c r="L268" s="49"/>
    </row>
    <row r="269" spans="10:12" ht="15" customHeight="1" x14ac:dyDescent="0.25">
      <c r="J269" s="48"/>
      <c r="K269" s="17"/>
      <c r="L269" s="49"/>
    </row>
    <row r="270" spans="10:12" ht="15" customHeight="1" x14ac:dyDescent="0.25">
      <c r="J270" s="48"/>
      <c r="K270" s="17"/>
      <c r="L270" s="49"/>
    </row>
    <row r="271" spans="10:12" ht="15" customHeight="1" x14ac:dyDescent="0.25">
      <c r="J271" s="48"/>
      <c r="K271" s="17"/>
      <c r="L271" s="49"/>
    </row>
    <row r="272" spans="10:12" ht="15" customHeight="1" x14ac:dyDescent="0.25">
      <c r="J272" s="48"/>
      <c r="K272" s="17"/>
      <c r="L272" s="49"/>
    </row>
    <row r="273" spans="10:12" ht="15" customHeight="1" x14ac:dyDescent="0.25">
      <c r="J273" s="48"/>
      <c r="K273" s="17"/>
      <c r="L273" s="49"/>
    </row>
    <row r="274" spans="10:12" ht="15" customHeight="1" x14ac:dyDescent="0.25">
      <c r="J274" s="48"/>
      <c r="K274" s="17"/>
      <c r="L274" s="49"/>
    </row>
    <row r="275" spans="10:12" ht="15" customHeight="1" x14ac:dyDescent="0.25">
      <c r="J275" s="48"/>
      <c r="K275" s="17"/>
      <c r="L275" s="49"/>
    </row>
    <row r="276" spans="10:12" ht="15" customHeight="1" x14ac:dyDescent="0.25">
      <c r="J276" s="48"/>
      <c r="K276" s="17"/>
      <c r="L276" s="49"/>
    </row>
    <row r="277" spans="10:12" ht="15" customHeight="1" x14ac:dyDescent="0.25">
      <c r="J277" s="48"/>
      <c r="K277" s="17"/>
      <c r="L277" s="49"/>
    </row>
    <row r="278" spans="10:12" ht="15" customHeight="1" x14ac:dyDescent="0.25">
      <c r="J278" s="48"/>
      <c r="K278" s="17"/>
      <c r="L278" s="49"/>
    </row>
    <row r="279" spans="10:12" ht="15" customHeight="1" x14ac:dyDescent="0.25">
      <c r="J279" s="48"/>
      <c r="K279" s="17"/>
      <c r="L279" s="49"/>
    </row>
    <row r="280" spans="10:12" ht="15" customHeight="1" x14ac:dyDescent="0.25">
      <c r="J280" s="48"/>
      <c r="K280" s="17"/>
      <c r="L280" s="49"/>
    </row>
    <row r="281" spans="10:12" ht="15" customHeight="1" x14ac:dyDescent="0.25">
      <c r="J281" s="48"/>
      <c r="K281" s="17"/>
      <c r="L281" s="49"/>
    </row>
    <row r="282" spans="10:12" ht="15" customHeight="1" x14ac:dyDescent="0.25">
      <c r="J282" s="48"/>
      <c r="K282" s="17"/>
      <c r="L282" s="49"/>
    </row>
    <row r="283" spans="10:12" ht="15" customHeight="1" x14ac:dyDescent="0.25">
      <c r="J283" s="48"/>
      <c r="K283" s="17"/>
      <c r="L283" s="49"/>
    </row>
    <row r="284" spans="10:12" ht="15" customHeight="1" x14ac:dyDescent="0.25">
      <c r="J284" s="48"/>
      <c r="K284" s="17"/>
      <c r="L284" s="49"/>
    </row>
    <row r="285" spans="10:12" ht="15" customHeight="1" x14ac:dyDescent="0.25">
      <c r="J285" s="48"/>
      <c r="K285" s="17"/>
      <c r="L285" s="49"/>
    </row>
    <row r="286" spans="10:12" ht="15" customHeight="1" x14ac:dyDescent="0.25">
      <c r="J286" s="48"/>
      <c r="K286" s="17"/>
      <c r="L286" s="49"/>
    </row>
    <row r="287" spans="10:12" ht="15" customHeight="1" x14ac:dyDescent="0.25">
      <c r="J287" s="48"/>
      <c r="K287" s="17"/>
      <c r="L287" s="49"/>
    </row>
    <row r="288" spans="10:12" ht="15" customHeight="1" x14ac:dyDescent="0.25">
      <c r="J288" s="48"/>
      <c r="K288" s="17"/>
      <c r="L288" s="49"/>
    </row>
    <row r="289" spans="10:12" ht="15" customHeight="1" x14ac:dyDescent="0.25">
      <c r="J289" s="48"/>
      <c r="K289" s="17"/>
      <c r="L289" s="49"/>
    </row>
    <row r="290" spans="10:12" ht="15" customHeight="1" x14ac:dyDescent="0.25">
      <c r="J290" s="48"/>
      <c r="K290" s="17"/>
      <c r="L290" s="49"/>
    </row>
    <row r="291" spans="10:12" ht="15" customHeight="1" x14ac:dyDescent="0.25">
      <c r="J291" s="48"/>
      <c r="K291" s="17"/>
      <c r="L291" s="49"/>
    </row>
    <row r="292" spans="10:12" ht="15" customHeight="1" x14ac:dyDescent="0.25">
      <c r="J292" s="48"/>
      <c r="K292" s="17"/>
      <c r="L292" s="49"/>
    </row>
    <row r="293" spans="10:12" ht="15" customHeight="1" x14ac:dyDescent="0.25">
      <c r="J293" s="48"/>
      <c r="K293" s="17"/>
      <c r="L293" s="49"/>
    </row>
    <row r="294" spans="10:12" ht="15" customHeight="1" x14ac:dyDescent="0.25">
      <c r="J294" s="48"/>
      <c r="K294" s="17"/>
      <c r="L294" s="49"/>
    </row>
    <row r="295" spans="10:12" ht="15" customHeight="1" x14ac:dyDescent="0.25">
      <c r="J295" s="48"/>
      <c r="K295" s="17"/>
      <c r="L295" s="49"/>
    </row>
    <row r="296" spans="10:12" ht="15" customHeight="1" x14ac:dyDescent="0.25">
      <c r="J296" s="48"/>
      <c r="K296" s="17"/>
      <c r="L296" s="49"/>
    </row>
    <row r="297" spans="10:12" ht="15" customHeight="1" x14ac:dyDescent="0.25">
      <c r="J297" s="48"/>
      <c r="K297" s="17"/>
      <c r="L297" s="49"/>
    </row>
    <row r="298" spans="10:12" ht="15" customHeight="1" x14ac:dyDescent="0.25">
      <c r="J298" s="48"/>
      <c r="K298" s="17"/>
      <c r="L298" s="49"/>
    </row>
    <row r="299" spans="10:12" ht="15" customHeight="1" x14ac:dyDescent="0.25">
      <c r="J299" s="48"/>
      <c r="K299" s="17"/>
      <c r="L299" s="49"/>
    </row>
    <row r="300" spans="10:12" ht="15" customHeight="1" x14ac:dyDescent="0.25">
      <c r="J300" s="48"/>
      <c r="K300" s="17"/>
      <c r="L300" s="49"/>
    </row>
    <row r="301" spans="10:12" ht="15" customHeight="1" x14ac:dyDescent="0.25">
      <c r="J301" s="48"/>
      <c r="K301" s="17"/>
      <c r="L301" s="49"/>
    </row>
    <row r="302" spans="10:12" ht="15" customHeight="1" x14ac:dyDescent="0.25">
      <c r="J302" s="48"/>
      <c r="K302" s="17"/>
      <c r="L302" s="49"/>
    </row>
    <row r="303" spans="10:12" ht="15" customHeight="1" x14ac:dyDescent="0.25">
      <c r="J303" s="48"/>
      <c r="K303" s="17"/>
      <c r="L303" s="49"/>
    </row>
    <row r="304" spans="10:12" ht="15" customHeight="1" x14ac:dyDescent="0.25">
      <c r="J304" s="48"/>
      <c r="K304" s="17"/>
      <c r="L304" s="49"/>
    </row>
    <row r="305" spans="10:12" ht="15" customHeight="1" x14ac:dyDescent="0.25">
      <c r="J305" s="48"/>
      <c r="K305" s="17"/>
      <c r="L305" s="49"/>
    </row>
    <row r="306" spans="10:12" ht="15" customHeight="1" x14ac:dyDescent="0.25">
      <c r="J306" s="48"/>
      <c r="K306" s="17"/>
      <c r="L306" s="49"/>
    </row>
    <row r="307" spans="10:12" ht="15" customHeight="1" x14ac:dyDescent="0.25">
      <c r="J307" s="48"/>
      <c r="K307" s="17"/>
      <c r="L307" s="49"/>
    </row>
    <row r="308" spans="10:12" ht="15" customHeight="1" x14ac:dyDescent="0.25">
      <c r="J308" s="48"/>
      <c r="K308" s="17"/>
      <c r="L308" s="49"/>
    </row>
    <row r="309" spans="10:12" ht="15" customHeight="1" x14ac:dyDescent="0.25">
      <c r="J309" s="48"/>
      <c r="K309" s="17"/>
      <c r="L309" s="49"/>
    </row>
    <row r="310" spans="10:12" ht="15" customHeight="1" x14ac:dyDescent="0.25">
      <c r="J310" s="48"/>
      <c r="K310" s="17"/>
      <c r="L310" s="49"/>
    </row>
    <row r="311" spans="10:12" ht="15" customHeight="1" x14ac:dyDescent="0.25">
      <c r="J311" s="48"/>
      <c r="K311" s="17"/>
      <c r="L311" s="49"/>
    </row>
    <row r="312" spans="10:12" ht="15" customHeight="1" x14ac:dyDescent="0.25">
      <c r="J312" s="48"/>
      <c r="K312" s="17"/>
      <c r="L312" s="49"/>
    </row>
    <row r="313" spans="10:12" ht="15" customHeight="1" x14ac:dyDescent="0.25">
      <c r="J313" s="48"/>
      <c r="K313" s="17"/>
      <c r="L313" s="49"/>
    </row>
    <row r="314" spans="10:12" ht="15" customHeight="1" x14ac:dyDescent="0.25">
      <c r="J314" s="48"/>
      <c r="K314" s="17"/>
      <c r="L314" s="49"/>
    </row>
    <row r="315" spans="10:12" ht="15" customHeight="1" x14ac:dyDescent="0.25">
      <c r="J315" s="48"/>
      <c r="K315" s="17"/>
      <c r="L315" s="49"/>
    </row>
    <row r="316" spans="10:12" ht="15" customHeight="1" x14ac:dyDescent="0.25">
      <c r="J316" s="48"/>
      <c r="K316" s="17"/>
      <c r="L316" s="49"/>
    </row>
    <row r="317" spans="10:12" ht="15" customHeight="1" x14ac:dyDescent="0.25">
      <c r="J317" s="48"/>
      <c r="K317" s="17"/>
      <c r="L317" s="49"/>
    </row>
    <row r="318" spans="10:12" ht="15" customHeight="1" x14ac:dyDescent="0.25">
      <c r="J318" s="48"/>
      <c r="K318" s="17"/>
      <c r="L318" s="49"/>
    </row>
    <row r="319" spans="10:12" ht="15" customHeight="1" x14ac:dyDescent="0.25">
      <c r="J319" s="16"/>
      <c r="K319" s="17"/>
      <c r="L319" s="49"/>
    </row>
    <row r="320" spans="10:12" ht="15" customHeight="1" x14ac:dyDescent="0.25">
      <c r="J320" s="16"/>
      <c r="K320" s="17"/>
      <c r="L320" s="49"/>
    </row>
    <row r="321" spans="10:12" ht="15" customHeight="1" x14ac:dyDescent="0.25">
      <c r="J321" s="16"/>
      <c r="K321" s="17"/>
      <c r="L321" s="49"/>
    </row>
    <row r="322" spans="10:12" ht="15" customHeight="1" x14ac:dyDescent="0.25">
      <c r="J322" s="16"/>
      <c r="K322" s="17"/>
      <c r="L322" s="49"/>
    </row>
    <row r="323" spans="10:12" ht="15" customHeight="1" x14ac:dyDescent="0.25">
      <c r="J323" s="16"/>
      <c r="K323" s="17"/>
      <c r="L323" s="49"/>
    </row>
    <row r="324" spans="10:12" ht="15" customHeight="1" x14ac:dyDescent="0.25">
      <c r="J324" s="16"/>
      <c r="K324" s="17"/>
      <c r="L324" s="49"/>
    </row>
    <row r="325" spans="10:12" ht="15" customHeight="1" x14ac:dyDescent="0.25">
      <c r="J325" s="16"/>
      <c r="K325" s="17"/>
      <c r="L325" s="49"/>
    </row>
    <row r="326" spans="10:12" ht="15" customHeight="1" x14ac:dyDescent="0.25">
      <c r="J326" s="16"/>
      <c r="K326" s="17"/>
      <c r="L326" s="49"/>
    </row>
    <row r="327" spans="10:12" ht="15" customHeight="1" x14ac:dyDescent="0.25">
      <c r="J327" s="16"/>
      <c r="K327" s="17"/>
      <c r="L327" s="49"/>
    </row>
    <row r="328" spans="10:12" ht="15" customHeight="1" x14ac:dyDescent="0.25">
      <c r="J328" s="16"/>
      <c r="K328" s="17"/>
      <c r="L328" s="49"/>
    </row>
    <row r="329" spans="10:12" ht="15" customHeight="1" x14ac:dyDescent="0.25">
      <c r="J329" s="16"/>
      <c r="K329" s="17"/>
      <c r="L329" s="49"/>
    </row>
    <row r="330" spans="10:12" ht="15" customHeight="1" x14ac:dyDescent="0.25">
      <c r="J330" s="16"/>
      <c r="K330" s="17"/>
      <c r="L330" s="49"/>
    </row>
    <row r="331" spans="10:12" ht="15" customHeight="1" x14ac:dyDescent="0.25">
      <c r="J331" s="16"/>
      <c r="K331" s="17"/>
      <c r="L331" s="49"/>
    </row>
    <row r="332" spans="10:12" ht="15" customHeight="1" x14ac:dyDescent="0.25">
      <c r="J332" s="16"/>
      <c r="K332" s="17"/>
      <c r="L332" s="49"/>
    </row>
    <row r="333" spans="10:12" ht="15" customHeight="1" x14ac:dyDescent="0.25">
      <c r="J333" s="16"/>
      <c r="K333" s="17"/>
      <c r="L333" s="49"/>
    </row>
    <row r="334" spans="10:12" ht="15" customHeight="1" x14ac:dyDescent="0.25">
      <c r="J334" s="16"/>
      <c r="K334" s="17"/>
      <c r="L334" s="49"/>
    </row>
    <row r="335" spans="10:12" ht="15" customHeight="1" x14ac:dyDescent="0.25">
      <c r="J335" s="16"/>
      <c r="K335" s="17"/>
      <c r="L335" s="49"/>
    </row>
    <row r="336" spans="10:12" ht="15" customHeight="1" x14ac:dyDescent="0.25">
      <c r="J336" s="16"/>
      <c r="K336" s="17"/>
      <c r="L336" s="49"/>
    </row>
    <row r="337" spans="10:12" ht="15" customHeight="1" x14ac:dyDescent="0.25">
      <c r="J337" s="16"/>
      <c r="K337" s="17"/>
      <c r="L337" s="49"/>
    </row>
    <row r="338" spans="10:12" ht="15" customHeight="1" x14ac:dyDescent="0.25">
      <c r="J338" s="16"/>
      <c r="K338" s="17"/>
      <c r="L338" s="49"/>
    </row>
    <row r="339" spans="10:12" ht="15" customHeight="1" x14ac:dyDescent="0.25">
      <c r="J339" s="16"/>
      <c r="K339" s="17"/>
      <c r="L339" s="49"/>
    </row>
    <row r="340" spans="10:12" ht="15" customHeight="1" x14ac:dyDescent="0.25">
      <c r="J340" s="16"/>
      <c r="K340" s="17"/>
      <c r="L340" s="49"/>
    </row>
    <row r="341" spans="10:12" ht="15" customHeight="1" x14ac:dyDescent="0.25">
      <c r="J341" s="16"/>
      <c r="K341" s="17"/>
      <c r="L341" s="49"/>
    </row>
    <row r="342" spans="10:12" ht="15" customHeight="1" x14ac:dyDescent="0.25">
      <c r="J342" s="16"/>
      <c r="K342" s="17"/>
      <c r="L342" s="49"/>
    </row>
    <row r="343" spans="10:12" ht="15" customHeight="1" x14ac:dyDescent="0.25">
      <c r="J343" s="16"/>
      <c r="K343" s="17"/>
      <c r="L343" s="49"/>
    </row>
    <row r="344" spans="10:12" ht="15" customHeight="1" x14ac:dyDescent="0.25">
      <c r="J344" s="16"/>
      <c r="K344" s="17"/>
      <c r="L344" s="49"/>
    </row>
    <row r="345" spans="10:12" ht="15" customHeight="1" x14ac:dyDescent="0.25">
      <c r="J345" s="16"/>
      <c r="K345" s="17"/>
      <c r="L345" s="49"/>
    </row>
    <row r="346" spans="10:12" ht="15" customHeight="1" x14ac:dyDescent="0.25">
      <c r="J346" s="16"/>
      <c r="K346" s="17"/>
      <c r="L346" s="49"/>
    </row>
    <row r="347" spans="10:12" ht="15" customHeight="1" x14ac:dyDescent="0.25">
      <c r="J347" s="16"/>
      <c r="K347" s="17"/>
      <c r="L347" s="49"/>
    </row>
    <row r="348" spans="10:12" ht="15" customHeight="1" x14ac:dyDescent="0.25">
      <c r="J348" s="16"/>
      <c r="K348" s="17"/>
      <c r="L348" s="49"/>
    </row>
    <row r="349" spans="10:12" ht="15" customHeight="1" x14ac:dyDescent="0.25">
      <c r="J349" s="16"/>
      <c r="K349" s="17"/>
      <c r="L349" s="49"/>
    </row>
    <row r="350" spans="10:12" ht="15" customHeight="1" x14ac:dyDescent="0.25">
      <c r="J350" s="16"/>
      <c r="K350" s="17"/>
      <c r="L350" s="49"/>
    </row>
    <row r="351" spans="10:12" ht="15" customHeight="1" x14ac:dyDescent="0.25">
      <c r="J351" s="16"/>
      <c r="K351" s="17"/>
      <c r="L351" s="49"/>
    </row>
    <row r="352" spans="10:12" ht="15" customHeight="1" x14ac:dyDescent="0.25">
      <c r="J352" s="16"/>
      <c r="K352" s="17"/>
      <c r="L352" s="49"/>
    </row>
    <row r="353" spans="10:12" ht="15" customHeight="1" x14ac:dyDescent="0.25">
      <c r="J353" s="16"/>
      <c r="K353" s="17"/>
      <c r="L353" s="49"/>
    </row>
    <row r="354" spans="10:12" ht="15" customHeight="1" x14ac:dyDescent="0.25">
      <c r="J354" s="16"/>
      <c r="K354" s="17"/>
      <c r="L354" s="49"/>
    </row>
  </sheetData>
  <autoFilter ref="A5:R101" xr:uid="{00000000-0009-0000-0000-000016000000}">
    <filterColumn colId="11" showButton="0"/>
  </autoFilter>
  <mergeCells count="21">
    <mergeCell ref="A2:F3"/>
    <mergeCell ref="G2:I3"/>
    <mergeCell ref="J2:L3"/>
    <mergeCell ref="M2:N3"/>
    <mergeCell ref="A1:I1"/>
    <mergeCell ref="O1:P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M5"/>
    <mergeCell ref="O2:P3"/>
    <mergeCell ref="O4:P5"/>
    <mergeCell ref="N4:N5"/>
  </mergeCells>
  <conditionalFormatting sqref="A7:A58 C31:E58 K7:L32 C7:C30 G7:I44 C60:D60 G45:G58 H45:I94">
    <cfRule type="expression" dxfId="4213" priority="453">
      <formula>AND($A7&lt;&gt;"",MOD(ROW(),2))</formula>
    </cfRule>
  </conditionalFormatting>
  <conditionalFormatting sqref="D31:D58 D60">
    <cfRule type="cellIs" dxfId="4212" priority="450" operator="equal">
      <formula>$C31</formula>
    </cfRule>
    <cfRule type="cellIs" dxfId="4211" priority="451" operator="greaterThan">
      <formula>$C31</formula>
    </cfRule>
    <cfRule type="cellIs" dxfId="4210" priority="452" operator="lessThan">
      <formula>$C31</formula>
    </cfRule>
  </conditionalFormatting>
  <conditionalFormatting sqref="M7:M58">
    <cfRule type="expression" dxfId="4209" priority="446">
      <formula>AND($A7&lt;&gt;"",MOD(ROW(),2))</formula>
    </cfRule>
  </conditionalFormatting>
  <conditionalFormatting sqref="K33:L58">
    <cfRule type="expression" dxfId="4208" priority="429">
      <formula>AND($A33&lt;&gt;"",MOD(ROW(),2))</formula>
    </cfRule>
  </conditionalFormatting>
  <conditionalFormatting sqref="K7:K58">
    <cfRule type="cellIs" dxfId="4207" priority="426" operator="equal">
      <formula>$C7</formula>
    </cfRule>
    <cfRule type="cellIs" dxfId="4206" priority="427" operator="greaterThan">
      <formula>$C7</formula>
    </cfRule>
    <cfRule type="cellIs" dxfId="4205" priority="428" operator="lessThan">
      <formula>$C7</formula>
    </cfRule>
  </conditionalFormatting>
  <conditionalFormatting sqref="K59:L84">
    <cfRule type="expression" dxfId="4204" priority="425">
      <formula>AND($A59&lt;&gt;"",MOD(ROW(),2))</formula>
    </cfRule>
  </conditionalFormatting>
  <conditionalFormatting sqref="K59:K84">
    <cfRule type="cellIs" dxfId="4203" priority="422" operator="equal">
      <formula>$C59</formula>
    </cfRule>
    <cfRule type="cellIs" dxfId="4202" priority="423" operator="greaterThan">
      <formula>$C59</formula>
    </cfRule>
    <cfRule type="cellIs" dxfId="4201" priority="424" operator="lessThan">
      <formula>$C59</formula>
    </cfRule>
  </conditionalFormatting>
  <conditionalFormatting sqref="K85:L110">
    <cfRule type="expression" dxfId="4200" priority="421">
      <formula>AND($A85&lt;&gt;"",MOD(ROW(),2))</formula>
    </cfRule>
  </conditionalFormatting>
  <conditionalFormatting sqref="K85:K110">
    <cfRule type="cellIs" dxfId="4199" priority="418" operator="equal">
      <formula>$C85</formula>
    </cfRule>
    <cfRule type="cellIs" dxfId="4198" priority="419" operator="greaterThan">
      <formula>$C85</formula>
    </cfRule>
    <cfRule type="cellIs" dxfId="4197" priority="420" operator="lessThan">
      <formula>$C85</formula>
    </cfRule>
  </conditionalFormatting>
  <conditionalFormatting sqref="K111:L136">
    <cfRule type="expression" dxfId="4196" priority="417">
      <formula>AND($A111&lt;&gt;"",MOD(ROW(),2))</formula>
    </cfRule>
  </conditionalFormatting>
  <conditionalFormatting sqref="K111:K136">
    <cfRule type="cellIs" dxfId="4195" priority="414" operator="equal">
      <formula>$C111</formula>
    </cfRule>
    <cfRule type="cellIs" dxfId="4194" priority="415" operator="greaterThan">
      <formula>$C111</formula>
    </cfRule>
    <cfRule type="cellIs" dxfId="4193" priority="416" operator="lessThan">
      <formula>$C111</formula>
    </cfRule>
  </conditionalFormatting>
  <conditionalFormatting sqref="K137:L162">
    <cfRule type="expression" dxfId="4192" priority="413">
      <formula>AND($A137&lt;&gt;"",MOD(ROW(),2))</formula>
    </cfRule>
  </conditionalFormatting>
  <conditionalFormatting sqref="K137:K162">
    <cfRule type="cellIs" dxfId="4191" priority="410" operator="equal">
      <formula>$C137</formula>
    </cfRule>
    <cfRule type="cellIs" dxfId="4190" priority="411" operator="greaterThan">
      <formula>$C137</formula>
    </cfRule>
    <cfRule type="cellIs" dxfId="4189" priority="412" operator="lessThan">
      <formula>$C137</formula>
    </cfRule>
  </conditionalFormatting>
  <conditionalFormatting sqref="K163:L188">
    <cfRule type="expression" dxfId="4188" priority="409">
      <formula>AND($A163&lt;&gt;"",MOD(ROW(),2))</formula>
    </cfRule>
  </conditionalFormatting>
  <conditionalFormatting sqref="K163:K188">
    <cfRule type="cellIs" dxfId="4187" priority="406" operator="equal">
      <formula>$C163</formula>
    </cfRule>
    <cfRule type="cellIs" dxfId="4186" priority="407" operator="greaterThan">
      <formula>$C163</formula>
    </cfRule>
    <cfRule type="cellIs" dxfId="4185" priority="408" operator="lessThan">
      <formula>$C163</formula>
    </cfRule>
  </conditionalFormatting>
  <conditionalFormatting sqref="K189:L214">
    <cfRule type="expression" dxfId="4184" priority="405">
      <formula>AND($A189&lt;&gt;"",MOD(ROW(),2))</formula>
    </cfRule>
  </conditionalFormatting>
  <conditionalFormatting sqref="K189:K214">
    <cfRule type="cellIs" dxfId="4183" priority="402" operator="equal">
      <formula>$C189</formula>
    </cfRule>
    <cfRule type="cellIs" dxfId="4182" priority="403" operator="greaterThan">
      <formula>$C189</formula>
    </cfRule>
    <cfRule type="cellIs" dxfId="4181" priority="404" operator="lessThan">
      <formula>$C189</formula>
    </cfRule>
  </conditionalFormatting>
  <conditionalFormatting sqref="K215:L240">
    <cfRule type="expression" dxfId="4180" priority="401">
      <formula>AND($A215&lt;&gt;"",MOD(ROW(),2))</formula>
    </cfRule>
  </conditionalFormatting>
  <conditionalFormatting sqref="K215:K240">
    <cfRule type="cellIs" dxfId="4179" priority="398" operator="equal">
      <formula>$C215</formula>
    </cfRule>
    <cfRule type="cellIs" dxfId="4178" priority="399" operator="greaterThan">
      <formula>$C215</formula>
    </cfRule>
    <cfRule type="cellIs" dxfId="4177" priority="400" operator="lessThan">
      <formula>$C215</formula>
    </cfRule>
  </conditionalFormatting>
  <conditionalFormatting sqref="K241:L266">
    <cfRule type="expression" dxfId="4176" priority="397">
      <formula>AND($A241&lt;&gt;"",MOD(ROW(),2))</formula>
    </cfRule>
  </conditionalFormatting>
  <conditionalFormatting sqref="K241:K266">
    <cfRule type="cellIs" dxfId="4175" priority="394" operator="equal">
      <formula>$C241</formula>
    </cfRule>
    <cfRule type="cellIs" dxfId="4174" priority="395" operator="greaterThan">
      <formula>$C241</formula>
    </cfRule>
    <cfRule type="cellIs" dxfId="4173" priority="396" operator="lessThan">
      <formula>$C241</formula>
    </cfRule>
  </conditionalFormatting>
  <conditionalFormatting sqref="K267:L292">
    <cfRule type="expression" dxfId="4172" priority="393">
      <formula>AND($A267&lt;&gt;"",MOD(ROW(),2))</formula>
    </cfRule>
  </conditionalFormatting>
  <conditionalFormatting sqref="K267:K292">
    <cfRule type="cellIs" dxfId="4171" priority="390" operator="equal">
      <formula>$C267</formula>
    </cfRule>
    <cfRule type="cellIs" dxfId="4170" priority="391" operator="greaterThan">
      <formula>$C267</formula>
    </cfRule>
    <cfRule type="cellIs" dxfId="4169" priority="392" operator="lessThan">
      <formula>$C267</formula>
    </cfRule>
  </conditionalFormatting>
  <conditionalFormatting sqref="K293:L318">
    <cfRule type="expression" dxfId="4168" priority="389">
      <formula>AND($A293&lt;&gt;"",MOD(ROW(),2))</formula>
    </cfRule>
  </conditionalFormatting>
  <conditionalFormatting sqref="K293:K318">
    <cfRule type="cellIs" dxfId="4167" priority="386" operator="equal">
      <formula>$C293</formula>
    </cfRule>
    <cfRule type="cellIs" dxfId="4166" priority="387" operator="greaterThan">
      <formula>$C293</formula>
    </cfRule>
    <cfRule type="cellIs" dxfId="4165" priority="388" operator="lessThan">
      <formula>$C293</formula>
    </cfRule>
  </conditionalFormatting>
  <conditionalFormatting sqref="F31:F2989">
    <cfRule type="containsText" dxfId="4164" priority="385" operator="containsText" text="Unpaid Rent">
      <formula>NOT(ISERROR(SEARCH("Unpaid Rent",F31)))</formula>
    </cfRule>
    <cfRule type="containsText" dxfId="4163" priority="430" stopIfTrue="1" operator="containsText" text="Closed Account">
      <formula>NOT(ISERROR(SEARCH("Closed Account",F31)))</formula>
    </cfRule>
  </conditionalFormatting>
  <conditionalFormatting sqref="L7:M32 M33:M58 L33:L318">
    <cfRule type="expression" dxfId="4162" priority="448">
      <formula>AND(#REF!&lt;&gt;"",MOD(ROW(),2))</formula>
    </cfRule>
  </conditionalFormatting>
  <conditionalFormatting sqref="L7:M32 M33:M58 L33:L318">
    <cfRule type="expression" dxfId="4161" priority="447">
      <formula>AND(#REF!&lt;&gt;"",MOD(ROW(),2))</formula>
    </cfRule>
  </conditionalFormatting>
  <conditionalFormatting sqref="M7:M58">
    <cfRule type="cellIs" dxfId="4160" priority="443" operator="equal">
      <formula>#REF!</formula>
    </cfRule>
    <cfRule type="cellIs" dxfId="4159" priority="444" operator="greaterThan">
      <formula>#REF!</formula>
    </cfRule>
    <cfRule type="cellIs" dxfId="4158" priority="445" operator="lessThan">
      <formula>#REF!</formula>
    </cfRule>
  </conditionalFormatting>
  <conditionalFormatting sqref="K319:L321">
    <cfRule type="expression" dxfId="4157" priority="379">
      <formula>AND($A319&lt;&gt;"",MOD(ROW(),2))</formula>
    </cfRule>
  </conditionalFormatting>
  <conditionalFormatting sqref="K319:K321">
    <cfRule type="cellIs" dxfId="4156" priority="376" operator="equal">
      <formula>$C319</formula>
    </cfRule>
    <cfRule type="cellIs" dxfId="4155" priority="377" operator="greaterThan">
      <formula>$C319</formula>
    </cfRule>
    <cfRule type="cellIs" dxfId="4154" priority="378" operator="lessThan">
      <formula>$C319</formula>
    </cfRule>
  </conditionalFormatting>
  <conditionalFormatting sqref="L319:L321">
    <cfRule type="expression" dxfId="4153" priority="381">
      <formula>AND(#REF!&lt;&gt;"",MOD(ROW(),2))</formula>
    </cfRule>
  </conditionalFormatting>
  <conditionalFormatting sqref="L319:L321">
    <cfRule type="expression" dxfId="4152" priority="380">
      <formula>AND(#REF!&lt;&gt;"",MOD(ROW(),2))</formula>
    </cfRule>
  </conditionalFormatting>
  <conditionalFormatting sqref="K322:L324">
    <cfRule type="expression" dxfId="4151" priority="373">
      <formula>AND($A322&lt;&gt;"",MOD(ROW(),2))</formula>
    </cfRule>
  </conditionalFormatting>
  <conditionalFormatting sqref="K322:K324">
    <cfRule type="cellIs" dxfId="4150" priority="370" operator="equal">
      <formula>$C322</formula>
    </cfRule>
    <cfRule type="cellIs" dxfId="4149" priority="371" operator="greaterThan">
      <formula>$C322</formula>
    </cfRule>
    <cfRule type="cellIs" dxfId="4148" priority="372" operator="lessThan">
      <formula>$C322</formula>
    </cfRule>
  </conditionalFormatting>
  <conditionalFormatting sqref="L322:L324">
    <cfRule type="expression" dxfId="4147" priority="375">
      <formula>AND(#REF!&lt;&gt;"",MOD(ROW(),2))</formula>
    </cfRule>
  </conditionalFormatting>
  <conditionalFormatting sqref="L322:L324">
    <cfRule type="expression" dxfId="4146" priority="374">
      <formula>AND(#REF!&lt;&gt;"",MOD(ROW(),2))</formula>
    </cfRule>
  </conditionalFormatting>
  <conditionalFormatting sqref="K325:L327">
    <cfRule type="expression" dxfId="4145" priority="367">
      <formula>AND($A325&lt;&gt;"",MOD(ROW(),2))</formula>
    </cfRule>
  </conditionalFormatting>
  <conditionalFormatting sqref="K325:K327">
    <cfRule type="cellIs" dxfId="4144" priority="364" operator="equal">
      <formula>$C325</formula>
    </cfRule>
    <cfRule type="cellIs" dxfId="4143" priority="365" operator="greaterThan">
      <formula>$C325</formula>
    </cfRule>
    <cfRule type="cellIs" dxfId="4142" priority="366" operator="lessThan">
      <formula>$C325</formula>
    </cfRule>
  </conditionalFormatting>
  <conditionalFormatting sqref="L325:L327">
    <cfRule type="expression" dxfId="4141" priority="369">
      <formula>AND(#REF!&lt;&gt;"",MOD(ROW(),2))</formula>
    </cfRule>
  </conditionalFormatting>
  <conditionalFormatting sqref="L325:L327">
    <cfRule type="expression" dxfId="4140" priority="368">
      <formula>AND(#REF!&lt;&gt;"",MOD(ROW(),2))</formula>
    </cfRule>
  </conditionalFormatting>
  <conditionalFormatting sqref="K328:L330">
    <cfRule type="expression" dxfId="4139" priority="361">
      <formula>AND($A328&lt;&gt;"",MOD(ROW(),2))</formula>
    </cfRule>
  </conditionalFormatting>
  <conditionalFormatting sqref="K328:K330">
    <cfRule type="cellIs" dxfId="4138" priority="358" operator="equal">
      <formula>$C328</formula>
    </cfRule>
    <cfRule type="cellIs" dxfId="4137" priority="359" operator="greaterThan">
      <formula>$C328</formula>
    </cfRule>
    <cfRule type="cellIs" dxfId="4136" priority="360" operator="lessThan">
      <formula>$C328</formula>
    </cfRule>
  </conditionalFormatting>
  <conditionalFormatting sqref="L328:L330">
    <cfRule type="expression" dxfId="4135" priority="363">
      <formula>AND(#REF!&lt;&gt;"",MOD(ROW(),2))</formula>
    </cfRule>
  </conditionalFormatting>
  <conditionalFormatting sqref="L328:L330">
    <cfRule type="expression" dxfId="4134" priority="362">
      <formula>AND(#REF!&lt;&gt;"",MOD(ROW(),2))</formula>
    </cfRule>
  </conditionalFormatting>
  <conditionalFormatting sqref="K331:L333">
    <cfRule type="expression" dxfId="4133" priority="355">
      <formula>AND($A331&lt;&gt;"",MOD(ROW(),2))</formula>
    </cfRule>
  </conditionalFormatting>
  <conditionalFormatting sqref="K331:K333">
    <cfRule type="cellIs" dxfId="4132" priority="352" operator="equal">
      <formula>$C331</formula>
    </cfRule>
    <cfRule type="cellIs" dxfId="4131" priority="353" operator="greaterThan">
      <formula>$C331</formula>
    </cfRule>
    <cfRule type="cellIs" dxfId="4130" priority="354" operator="lessThan">
      <formula>$C331</formula>
    </cfRule>
  </conditionalFormatting>
  <conditionalFormatting sqref="L331:L333">
    <cfRule type="expression" dxfId="4129" priority="357">
      <formula>AND(#REF!&lt;&gt;"",MOD(ROW(),2))</formula>
    </cfRule>
  </conditionalFormatting>
  <conditionalFormatting sqref="L331:L333">
    <cfRule type="expression" dxfId="4128" priority="356">
      <formula>AND(#REF!&lt;&gt;"",MOD(ROW(),2))</formula>
    </cfRule>
  </conditionalFormatting>
  <conditionalFormatting sqref="K334:L336">
    <cfRule type="expression" dxfId="4127" priority="349">
      <formula>AND($A334&lt;&gt;"",MOD(ROW(),2))</formula>
    </cfRule>
  </conditionalFormatting>
  <conditionalFormatting sqref="K334:K336">
    <cfRule type="cellIs" dxfId="4126" priority="346" operator="equal">
      <formula>$C334</formula>
    </cfRule>
    <cfRule type="cellIs" dxfId="4125" priority="347" operator="greaterThan">
      <formula>$C334</formula>
    </cfRule>
    <cfRule type="cellIs" dxfId="4124" priority="348" operator="lessThan">
      <formula>$C334</formula>
    </cfRule>
  </conditionalFormatting>
  <conditionalFormatting sqref="L334:L336">
    <cfRule type="expression" dxfId="4123" priority="351">
      <formula>AND(#REF!&lt;&gt;"",MOD(ROW(),2))</formula>
    </cfRule>
  </conditionalFormatting>
  <conditionalFormatting sqref="L334:L336">
    <cfRule type="expression" dxfId="4122" priority="350">
      <formula>AND(#REF!&lt;&gt;"",MOD(ROW(),2))</formula>
    </cfRule>
  </conditionalFormatting>
  <conditionalFormatting sqref="K337:L339">
    <cfRule type="expression" dxfId="4121" priority="343">
      <formula>AND($A337&lt;&gt;"",MOD(ROW(),2))</formula>
    </cfRule>
  </conditionalFormatting>
  <conditionalFormatting sqref="K337:K339">
    <cfRule type="cellIs" dxfId="4120" priority="340" operator="equal">
      <formula>$C337</formula>
    </cfRule>
    <cfRule type="cellIs" dxfId="4119" priority="341" operator="greaterThan">
      <formula>$C337</formula>
    </cfRule>
    <cfRule type="cellIs" dxfId="4118" priority="342" operator="lessThan">
      <formula>$C337</formula>
    </cfRule>
  </conditionalFormatting>
  <conditionalFormatting sqref="L337:L339">
    <cfRule type="expression" dxfId="4117" priority="345">
      <formula>AND(#REF!&lt;&gt;"",MOD(ROW(),2))</formula>
    </cfRule>
  </conditionalFormatting>
  <conditionalFormatting sqref="L337:L339">
    <cfRule type="expression" dxfId="4116" priority="344">
      <formula>AND(#REF!&lt;&gt;"",MOD(ROW(),2))</formula>
    </cfRule>
  </conditionalFormatting>
  <conditionalFormatting sqref="K340:L342">
    <cfRule type="expression" dxfId="4115" priority="337">
      <formula>AND($A340&lt;&gt;"",MOD(ROW(),2))</formula>
    </cfRule>
  </conditionalFormatting>
  <conditionalFormatting sqref="K340:K342">
    <cfRule type="cellIs" dxfId="4114" priority="334" operator="equal">
      <formula>$C340</formula>
    </cfRule>
    <cfRule type="cellIs" dxfId="4113" priority="335" operator="greaterThan">
      <formula>$C340</formula>
    </cfRule>
    <cfRule type="cellIs" dxfId="4112" priority="336" operator="lessThan">
      <formula>$C340</formula>
    </cfRule>
  </conditionalFormatting>
  <conditionalFormatting sqref="L340:L342">
    <cfRule type="expression" dxfId="4111" priority="339">
      <formula>AND(#REF!&lt;&gt;"",MOD(ROW(),2))</formula>
    </cfRule>
  </conditionalFormatting>
  <conditionalFormatting sqref="L340:L342">
    <cfRule type="expression" dxfId="4110" priority="338">
      <formula>AND(#REF!&lt;&gt;"",MOD(ROW(),2))</formula>
    </cfRule>
  </conditionalFormatting>
  <conditionalFormatting sqref="K343:L345">
    <cfRule type="expression" dxfId="4109" priority="331">
      <formula>AND($A343&lt;&gt;"",MOD(ROW(),2))</formula>
    </cfRule>
  </conditionalFormatting>
  <conditionalFormatting sqref="K343:K345">
    <cfRule type="cellIs" dxfId="4108" priority="328" operator="equal">
      <formula>$C343</formula>
    </cfRule>
    <cfRule type="cellIs" dxfId="4107" priority="329" operator="greaterThan">
      <formula>$C343</formula>
    </cfRule>
    <cfRule type="cellIs" dxfId="4106" priority="330" operator="lessThan">
      <formula>$C343</formula>
    </cfRule>
  </conditionalFormatting>
  <conditionalFormatting sqref="L343:L345">
    <cfRule type="expression" dxfId="4105" priority="333">
      <formula>AND(#REF!&lt;&gt;"",MOD(ROW(),2))</formula>
    </cfRule>
  </conditionalFormatting>
  <conditionalFormatting sqref="L343:L345">
    <cfRule type="expression" dxfId="4104" priority="332">
      <formula>AND(#REF!&lt;&gt;"",MOD(ROW(),2))</formula>
    </cfRule>
  </conditionalFormatting>
  <conditionalFormatting sqref="K346:L348">
    <cfRule type="expression" dxfId="4103" priority="325">
      <formula>AND($A346&lt;&gt;"",MOD(ROW(),2))</formula>
    </cfRule>
  </conditionalFormatting>
  <conditionalFormatting sqref="K346:K348">
    <cfRule type="cellIs" dxfId="4102" priority="322" operator="equal">
      <formula>$C346</formula>
    </cfRule>
    <cfRule type="cellIs" dxfId="4101" priority="323" operator="greaterThan">
      <formula>$C346</formula>
    </cfRule>
    <cfRule type="cellIs" dxfId="4100" priority="324" operator="lessThan">
      <formula>$C346</formula>
    </cfRule>
  </conditionalFormatting>
  <conditionalFormatting sqref="L346:L348">
    <cfRule type="expression" dxfId="4099" priority="327">
      <formula>AND(#REF!&lt;&gt;"",MOD(ROW(),2))</formula>
    </cfRule>
  </conditionalFormatting>
  <conditionalFormatting sqref="L346:L348">
    <cfRule type="expression" dxfId="4098" priority="326">
      <formula>AND(#REF!&lt;&gt;"",MOD(ROW(),2))</formula>
    </cfRule>
  </conditionalFormatting>
  <conditionalFormatting sqref="K349:L351">
    <cfRule type="expression" dxfId="4097" priority="319">
      <formula>AND($A349&lt;&gt;"",MOD(ROW(),2))</formula>
    </cfRule>
  </conditionalFormatting>
  <conditionalFormatting sqref="K349:K351">
    <cfRule type="cellIs" dxfId="4096" priority="316" operator="equal">
      <formula>$C349</formula>
    </cfRule>
    <cfRule type="cellIs" dxfId="4095" priority="317" operator="greaterThan">
      <formula>$C349</formula>
    </cfRule>
    <cfRule type="cellIs" dxfId="4094" priority="318" operator="lessThan">
      <formula>$C349</formula>
    </cfRule>
  </conditionalFormatting>
  <conditionalFormatting sqref="L349:L351">
    <cfRule type="expression" dxfId="4093" priority="321">
      <formula>AND(#REF!&lt;&gt;"",MOD(ROW(),2))</formula>
    </cfRule>
  </conditionalFormatting>
  <conditionalFormatting sqref="L349:L351">
    <cfRule type="expression" dxfId="4092" priority="320">
      <formula>AND(#REF!&lt;&gt;"",MOD(ROW(),2))</formula>
    </cfRule>
  </conditionalFormatting>
  <conditionalFormatting sqref="K352:L354">
    <cfRule type="expression" dxfId="4091" priority="313">
      <formula>AND($A352&lt;&gt;"",MOD(ROW(),2))</formula>
    </cfRule>
  </conditionalFormatting>
  <conditionalFormatting sqref="K352:K354">
    <cfRule type="cellIs" dxfId="4090" priority="310" operator="equal">
      <formula>$C352</formula>
    </cfRule>
    <cfRule type="cellIs" dxfId="4089" priority="311" operator="greaterThan">
      <formula>$C352</formula>
    </cfRule>
    <cfRule type="cellIs" dxfId="4088" priority="312" operator="lessThan">
      <formula>$C352</formula>
    </cfRule>
  </conditionalFormatting>
  <conditionalFormatting sqref="L352:L354">
    <cfRule type="expression" dxfId="4087" priority="315">
      <formula>AND(#REF!&lt;&gt;"",MOD(ROW(),2))</formula>
    </cfRule>
  </conditionalFormatting>
  <conditionalFormatting sqref="L352:L354">
    <cfRule type="expression" dxfId="4086" priority="314">
      <formula>AND(#REF!&lt;&gt;"",MOD(ROW(),2))</formula>
    </cfRule>
  </conditionalFormatting>
  <conditionalFormatting sqref="D7:E7">
    <cfRule type="expression" dxfId="4085" priority="165">
      <formula>AND($A7&lt;&gt;"",MOD(ROW(),2))</formula>
    </cfRule>
  </conditionalFormatting>
  <conditionalFormatting sqref="D7">
    <cfRule type="cellIs" dxfId="4084" priority="162" operator="equal">
      <formula>$C7</formula>
    </cfRule>
    <cfRule type="cellIs" dxfId="4083" priority="163" operator="greaterThan">
      <formula>$C7</formula>
    </cfRule>
    <cfRule type="cellIs" dxfId="4082" priority="164" operator="lessThan">
      <formula>$C7</formula>
    </cfRule>
  </conditionalFormatting>
  <conditionalFormatting sqref="D8:E8">
    <cfRule type="expression" dxfId="4081" priority="159">
      <formula>AND($A8&lt;&gt;"",MOD(ROW(),2))</formula>
    </cfRule>
  </conditionalFormatting>
  <conditionalFormatting sqref="D8">
    <cfRule type="cellIs" dxfId="4080" priority="156" operator="equal">
      <formula>$C8</formula>
    </cfRule>
    <cfRule type="cellIs" dxfId="4079" priority="157" operator="greaterThan">
      <formula>$C8</formula>
    </cfRule>
    <cfRule type="cellIs" dxfId="4078" priority="158" operator="lessThan">
      <formula>$C8</formula>
    </cfRule>
  </conditionalFormatting>
  <conditionalFormatting sqref="D9:E9">
    <cfRule type="expression" dxfId="4077" priority="155">
      <formula>AND($A9&lt;&gt;"",MOD(ROW(),2))</formula>
    </cfRule>
  </conditionalFormatting>
  <conditionalFormatting sqref="D9">
    <cfRule type="cellIs" dxfId="4076" priority="152" operator="equal">
      <formula>$C9</formula>
    </cfRule>
    <cfRule type="cellIs" dxfId="4075" priority="153" operator="greaterThan">
      <formula>$C9</formula>
    </cfRule>
    <cfRule type="cellIs" dxfId="4074" priority="154" operator="lessThan">
      <formula>$C9</formula>
    </cfRule>
  </conditionalFormatting>
  <conditionalFormatting sqref="D10:E10">
    <cfRule type="expression" dxfId="4073" priority="151">
      <formula>AND($A10&lt;&gt;"",MOD(ROW(),2))</formula>
    </cfRule>
  </conditionalFormatting>
  <conditionalFormatting sqref="D10">
    <cfRule type="cellIs" dxfId="4072" priority="148" operator="equal">
      <formula>$C10</formula>
    </cfRule>
    <cfRule type="cellIs" dxfId="4071" priority="149" operator="greaterThan">
      <formula>$C10</formula>
    </cfRule>
    <cfRule type="cellIs" dxfId="4070" priority="150" operator="lessThan">
      <formula>$C10</formula>
    </cfRule>
  </conditionalFormatting>
  <conditionalFormatting sqref="D11:E11">
    <cfRule type="expression" dxfId="4069" priority="147">
      <formula>AND($A11&lt;&gt;"",MOD(ROW(),2))</formula>
    </cfRule>
  </conditionalFormatting>
  <conditionalFormatting sqref="D11">
    <cfRule type="cellIs" dxfId="4068" priority="144" operator="equal">
      <formula>$C11</formula>
    </cfRule>
    <cfRule type="cellIs" dxfId="4067" priority="145" operator="greaterThan">
      <formula>$C11</formula>
    </cfRule>
    <cfRule type="cellIs" dxfId="4066" priority="146" operator="lessThan">
      <formula>$C11</formula>
    </cfRule>
  </conditionalFormatting>
  <conditionalFormatting sqref="D12:E12">
    <cfRule type="expression" dxfId="4065" priority="143">
      <formula>AND($A12&lt;&gt;"",MOD(ROW(),2))</formula>
    </cfRule>
  </conditionalFormatting>
  <conditionalFormatting sqref="D12">
    <cfRule type="cellIs" dxfId="4064" priority="140" operator="equal">
      <formula>$C12</formula>
    </cfRule>
    <cfRule type="cellIs" dxfId="4063" priority="141" operator="greaterThan">
      <formula>$C12</formula>
    </cfRule>
    <cfRule type="cellIs" dxfId="4062" priority="142" operator="lessThan">
      <formula>$C12</formula>
    </cfRule>
  </conditionalFormatting>
  <conditionalFormatting sqref="D13:E13">
    <cfRule type="expression" dxfId="4061" priority="139">
      <formula>AND($A13&lt;&gt;"",MOD(ROW(),2))</formula>
    </cfRule>
  </conditionalFormatting>
  <conditionalFormatting sqref="D13">
    <cfRule type="cellIs" dxfId="4060" priority="136" operator="equal">
      <formula>$C13</formula>
    </cfRule>
    <cfRule type="cellIs" dxfId="4059" priority="137" operator="greaterThan">
      <formula>$C13</formula>
    </cfRule>
    <cfRule type="cellIs" dxfId="4058" priority="138" operator="lessThan">
      <formula>$C13</formula>
    </cfRule>
  </conditionalFormatting>
  <conditionalFormatting sqref="D14:E14">
    <cfRule type="expression" dxfId="4057" priority="135">
      <formula>AND($A14&lt;&gt;"",MOD(ROW(),2))</formula>
    </cfRule>
  </conditionalFormatting>
  <conditionalFormatting sqref="D14">
    <cfRule type="cellIs" dxfId="4056" priority="132" operator="equal">
      <formula>$C14</formula>
    </cfRule>
    <cfRule type="cellIs" dxfId="4055" priority="133" operator="greaterThan">
      <formula>$C14</formula>
    </cfRule>
    <cfRule type="cellIs" dxfId="4054" priority="134" operator="lessThan">
      <formula>$C14</formula>
    </cfRule>
  </conditionalFormatting>
  <conditionalFormatting sqref="D15:E15">
    <cfRule type="expression" dxfId="4053" priority="131">
      <formula>AND($A15&lt;&gt;"",MOD(ROW(),2))</formula>
    </cfRule>
  </conditionalFormatting>
  <conditionalFormatting sqref="D15">
    <cfRule type="cellIs" dxfId="4052" priority="128" operator="equal">
      <formula>$C15</formula>
    </cfRule>
    <cfRule type="cellIs" dxfId="4051" priority="129" operator="greaterThan">
      <formula>$C15</formula>
    </cfRule>
    <cfRule type="cellIs" dxfId="4050" priority="130" operator="lessThan">
      <formula>$C15</formula>
    </cfRule>
  </conditionalFormatting>
  <conditionalFormatting sqref="D16:E16">
    <cfRule type="expression" dxfId="4049" priority="127">
      <formula>AND($A16&lt;&gt;"",MOD(ROW(),2))</formula>
    </cfRule>
  </conditionalFormatting>
  <conditionalFormatting sqref="D16">
    <cfRule type="cellIs" dxfId="4048" priority="124" operator="equal">
      <formula>$C16</formula>
    </cfRule>
    <cfRule type="cellIs" dxfId="4047" priority="125" operator="greaterThan">
      <formula>$C16</formula>
    </cfRule>
    <cfRule type="cellIs" dxfId="4046" priority="126" operator="lessThan">
      <formula>$C16</formula>
    </cfRule>
  </conditionalFormatting>
  <conditionalFormatting sqref="D17:E17">
    <cfRule type="expression" dxfId="4045" priority="123">
      <formula>AND($A17&lt;&gt;"",MOD(ROW(),2))</formula>
    </cfRule>
  </conditionalFormatting>
  <conditionalFormatting sqref="D17">
    <cfRule type="cellIs" dxfId="4044" priority="120" operator="equal">
      <formula>$C17</formula>
    </cfRule>
    <cfRule type="cellIs" dxfId="4043" priority="121" operator="greaterThan">
      <formula>$C17</formula>
    </cfRule>
    <cfRule type="cellIs" dxfId="4042" priority="122" operator="lessThan">
      <formula>$C17</formula>
    </cfRule>
  </conditionalFormatting>
  <conditionalFormatting sqref="D18:E18">
    <cfRule type="expression" dxfId="4041" priority="119">
      <formula>AND($A18&lt;&gt;"",MOD(ROW(),2))</formula>
    </cfRule>
  </conditionalFormatting>
  <conditionalFormatting sqref="D18">
    <cfRule type="cellIs" dxfId="4040" priority="116" operator="equal">
      <formula>$C18</formula>
    </cfRule>
    <cfRule type="cellIs" dxfId="4039" priority="117" operator="greaterThan">
      <formula>$C18</formula>
    </cfRule>
    <cfRule type="cellIs" dxfId="4038" priority="118" operator="lessThan">
      <formula>$C18</formula>
    </cfRule>
  </conditionalFormatting>
  <conditionalFormatting sqref="F7:F18">
    <cfRule type="containsText" dxfId="4037" priority="92" operator="containsText" text="Unpaid Rent">
      <formula>NOT(ISERROR(SEARCH("Unpaid Rent",F7)))</formula>
    </cfRule>
    <cfRule type="containsText" dxfId="4036" priority="93" stopIfTrue="1" operator="containsText" text="Closed Account">
      <formula>NOT(ISERROR(SEARCH("Closed Account",F7)))</formula>
    </cfRule>
  </conditionalFormatting>
  <conditionalFormatting sqref="F19:F30">
    <cfRule type="containsText" dxfId="4035" priority="90" operator="containsText" text="Unpaid Rent">
      <formula>NOT(ISERROR(SEARCH("Unpaid Rent",F19)))</formula>
    </cfRule>
    <cfRule type="containsText" dxfId="4034" priority="91" stopIfTrue="1" operator="containsText" text="Closed Account">
      <formula>NOT(ISERROR(SEARCH("Closed Account",F19)))</formula>
    </cfRule>
  </conditionalFormatting>
  <conditionalFormatting sqref="D19:E19">
    <cfRule type="expression" dxfId="4033" priority="89">
      <formula>AND($A19&lt;&gt;"",MOD(ROW(),2))</formula>
    </cfRule>
  </conditionalFormatting>
  <conditionalFormatting sqref="D19">
    <cfRule type="cellIs" dxfId="4032" priority="86" operator="equal">
      <formula>$C19</formula>
    </cfRule>
    <cfRule type="cellIs" dxfId="4031" priority="87" operator="greaterThan">
      <formula>$C19</formula>
    </cfRule>
    <cfRule type="cellIs" dxfId="4030" priority="88" operator="lessThan">
      <formula>$C19</formula>
    </cfRule>
  </conditionalFormatting>
  <conditionalFormatting sqref="D20:E20">
    <cfRule type="expression" dxfId="4029" priority="85">
      <formula>AND($A20&lt;&gt;"",MOD(ROW(),2))</formula>
    </cfRule>
  </conditionalFormatting>
  <conditionalFormatting sqref="D20">
    <cfRule type="cellIs" dxfId="4028" priority="82" operator="equal">
      <formula>$C20</formula>
    </cfRule>
    <cfRule type="cellIs" dxfId="4027" priority="83" operator="greaterThan">
      <formula>$C20</formula>
    </cfRule>
    <cfRule type="cellIs" dxfId="4026" priority="84" operator="lessThan">
      <formula>$C20</formula>
    </cfRule>
  </conditionalFormatting>
  <conditionalFormatting sqref="D21:E21">
    <cfRule type="expression" dxfId="4025" priority="81">
      <formula>AND($A21&lt;&gt;"",MOD(ROW(),2))</formula>
    </cfRule>
  </conditionalFormatting>
  <conditionalFormatting sqref="D21">
    <cfRule type="cellIs" dxfId="4024" priority="78" operator="equal">
      <formula>$C21</formula>
    </cfRule>
    <cfRule type="cellIs" dxfId="4023" priority="79" operator="greaterThan">
      <formula>$C21</formula>
    </cfRule>
    <cfRule type="cellIs" dxfId="4022" priority="80" operator="lessThan">
      <formula>$C21</formula>
    </cfRule>
  </conditionalFormatting>
  <conditionalFormatting sqref="D22:E22">
    <cfRule type="expression" dxfId="4021" priority="77">
      <formula>AND($A22&lt;&gt;"",MOD(ROW(),2))</formula>
    </cfRule>
  </conditionalFormatting>
  <conditionalFormatting sqref="D22">
    <cfRule type="cellIs" dxfId="4020" priority="74" operator="equal">
      <formula>$C22</formula>
    </cfRule>
    <cfRule type="cellIs" dxfId="4019" priority="75" operator="greaterThan">
      <formula>$C22</formula>
    </cfRule>
    <cfRule type="cellIs" dxfId="4018" priority="76" operator="lessThan">
      <formula>$C22</formula>
    </cfRule>
  </conditionalFormatting>
  <conditionalFormatting sqref="D23:E23">
    <cfRule type="expression" dxfId="4017" priority="73">
      <formula>AND($A23&lt;&gt;"",MOD(ROW(),2))</formula>
    </cfRule>
  </conditionalFormatting>
  <conditionalFormatting sqref="D23">
    <cfRule type="cellIs" dxfId="4016" priority="70" operator="equal">
      <formula>$C23</formula>
    </cfRule>
    <cfRule type="cellIs" dxfId="4015" priority="71" operator="greaterThan">
      <formula>$C23</formula>
    </cfRule>
    <cfRule type="cellIs" dxfId="4014" priority="72" operator="lessThan">
      <formula>$C23</formula>
    </cfRule>
  </conditionalFormatting>
  <conditionalFormatting sqref="D24:E24">
    <cfRule type="expression" dxfId="4013" priority="69">
      <formula>AND($A24&lt;&gt;"",MOD(ROW(),2))</formula>
    </cfRule>
  </conditionalFormatting>
  <conditionalFormatting sqref="D24">
    <cfRule type="cellIs" dxfId="4012" priority="66" operator="equal">
      <formula>$C24</formula>
    </cfRule>
    <cfRule type="cellIs" dxfId="4011" priority="67" operator="greaterThan">
      <formula>$C24</formula>
    </cfRule>
    <cfRule type="cellIs" dxfId="4010" priority="68" operator="lessThan">
      <formula>$C24</formula>
    </cfRule>
  </conditionalFormatting>
  <conditionalFormatting sqref="D25:E25">
    <cfRule type="expression" dxfId="4009" priority="65">
      <formula>AND($A25&lt;&gt;"",MOD(ROW(),2))</formula>
    </cfRule>
  </conditionalFormatting>
  <conditionalFormatting sqref="D25">
    <cfRule type="cellIs" dxfId="4008" priority="62" operator="equal">
      <formula>$C25</formula>
    </cfRule>
    <cfRule type="cellIs" dxfId="4007" priority="63" operator="greaterThan">
      <formula>$C25</formula>
    </cfRule>
    <cfRule type="cellIs" dxfId="4006" priority="64" operator="lessThan">
      <formula>$C25</formula>
    </cfRule>
  </conditionalFormatting>
  <conditionalFormatting sqref="D26:E26">
    <cfRule type="expression" dxfId="4005" priority="61">
      <formula>AND($A26&lt;&gt;"",MOD(ROW(),2))</formula>
    </cfRule>
  </conditionalFormatting>
  <conditionalFormatting sqref="D26">
    <cfRule type="cellIs" dxfId="4004" priority="58" operator="equal">
      <formula>$C26</formula>
    </cfRule>
    <cfRule type="cellIs" dxfId="4003" priority="59" operator="greaterThan">
      <formula>$C26</formula>
    </cfRule>
    <cfRule type="cellIs" dxfId="4002" priority="60" operator="lessThan">
      <formula>$C26</formula>
    </cfRule>
  </conditionalFormatting>
  <conditionalFormatting sqref="D27:E27">
    <cfRule type="expression" dxfId="4001" priority="57">
      <formula>AND($A27&lt;&gt;"",MOD(ROW(),2))</formula>
    </cfRule>
  </conditionalFormatting>
  <conditionalFormatting sqref="D27">
    <cfRule type="cellIs" dxfId="4000" priority="54" operator="equal">
      <formula>$C27</formula>
    </cfRule>
    <cfRule type="cellIs" dxfId="3999" priority="55" operator="greaterThan">
      <formula>$C27</formula>
    </cfRule>
    <cfRule type="cellIs" dxfId="3998" priority="56" operator="lessThan">
      <formula>$C27</formula>
    </cfRule>
  </conditionalFormatting>
  <conditionalFormatting sqref="D28:E28">
    <cfRule type="expression" dxfId="3997" priority="53">
      <formula>AND($A28&lt;&gt;"",MOD(ROW(),2))</formula>
    </cfRule>
  </conditionalFormatting>
  <conditionalFormatting sqref="D28">
    <cfRule type="cellIs" dxfId="3996" priority="50" operator="equal">
      <formula>$C28</formula>
    </cfRule>
    <cfRule type="cellIs" dxfId="3995" priority="51" operator="greaterThan">
      <formula>$C28</formula>
    </cfRule>
    <cfRule type="cellIs" dxfId="3994" priority="52" operator="lessThan">
      <formula>$C28</formula>
    </cfRule>
  </conditionalFormatting>
  <conditionalFormatting sqref="D29:E29">
    <cfRule type="expression" dxfId="3993" priority="49">
      <formula>AND($A29&lt;&gt;"",MOD(ROW(),2))</formula>
    </cfRule>
  </conditionalFormatting>
  <conditionalFormatting sqref="D29">
    <cfRule type="cellIs" dxfId="3992" priority="46" operator="equal">
      <formula>$C29</formula>
    </cfRule>
    <cfRule type="cellIs" dxfId="3991" priority="47" operator="greaterThan">
      <formula>$C29</formula>
    </cfRule>
    <cfRule type="cellIs" dxfId="3990" priority="48" operator="lessThan">
      <formula>$C29</formula>
    </cfRule>
  </conditionalFormatting>
  <conditionalFormatting sqref="D30:E30">
    <cfRule type="expression" dxfId="3989" priority="45">
      <formula>AND($A30&lt;&gt;"",MOD(ROW(),2))</formula>
    </cfRule>
  </conditionalFormatting>
  <conditionalFormatting sqref="D30">
    <cfRule type="cellIs" dxfId="3988" priority="42" operator="equal">
      <formula>$C30</formula>
    </cfRule>
    <cfRule type="cellIs" dxfId="3987" priority="43" operator="greaterThan">
      <formula>$C30</formula>
    </cfRule>
    <cfRule type="cellIs" dxfId="3986" priority="44" operator="lessThan">
      <formula>$C30</formula>
    </cfRule>
  </conditionalFormatting>
  <conditionalFormatting sqref="C59:D59">
    <cfRule type="expression" dxfId="3985" priority="41">
      <formula>AND($A59&lt;&gt;"",MOD(ROW(),2))</formula>
    </cfRule>
  </conditionalFormatting>
  <conditionalFormatting sqref="D59">
    <cfRule type="cellIs" dxfId="3984" priority="38" operator="equal">
      <formula>$C59</formula>
    </cfRule>
    <cfRule type="cellIs" dxfId="3983" priority="39" operator="greaterThan">
      <formula>$C59</formula>
    </cfRule>
    <cfRule type="cellIs" dxfId="3982" priority="40" operator="lessThan">
      <formula>$C59</formula>
    </cfRule>
  </conditionalFormatting>
  <conditionalFormatting sqref="C61:D61">
    <cfRule type="expression" dxfId="3981" priority="37">
      <formula>AND($A61&lt;&gt;"",MOD(ROW(),2))</formula>
    </cfRule>
  </conditionalFormatting>
  <conditionalFormatting sqref="D61:D95 D97:D101">
    <cfRule type="cellIs" dxfId="3980" priority="34" operator="equal">
      <formula>$C61</formula>
    </cfRule>
    <cfRule type="cellIs" dxfId="3979" priority="35" operator="greaterThan">
      <formula>$C61</formula>
    </cfRule>
    <cfRule type="cellIs" dxfId="3978" priority="36" operator="lessThan">
      <formula>$C61</formula>
    </cfRule>
  </conditionalFormatting>
  <conditionalFormatting sqref="C62:D62">
    <cfRule type="expression" dxfId="3977" priority="33">
      <formula>AND($A62&lt;&gt;"",MOD(ROW(),2))</formula>
    </cfRule>
  </conditionalFormatting>
  <conditionalFormatting sqref="C63:D63">
    <cfRule type="expression" dxfId="3976" priority="32">
      <formula>AND($A63&lt;&gt;"",MOD(ROW(),2))</formula>
    </cfRule>
  </conditionalFormatting>
  <conditionalFormatting sqref="C64:D64">
    <cfRule type="expression" dxfId="3975" priority="30">
      <formula>AND($A64&lt;&gt;"",MOD(ROW(),2))</formula>
    </cfRule>
  </conditionalFormatting>
  <conditionalFormatting sqref="C65:D65">
    <cfRule type="expression" dxfId="3974" priority="29">
      <formula>AND($A65&lt;&gt;"",MOD(ROW(),2))</formula>
    </cfRule>
  </conditionalFormatting>
  <conditionalFormatting sqref="C66:D66">
    <cfRule type="expression" dxfId="3973" priority="28">
      <formula>AND($A66&lt;&gt;"",MOD(ROW(),2))</formula>
    </cfRule>
  </conditionalFormatting>
  <conditionalFormatting sqref="C67:D67">
    <cfRule type="expression" dxfId="3972" priority="27">
      <formula>AND($A67&lt;&gt;"",MOD(ROW(),2))</formula>
    </cfRule>
  </conditionalFormatting>
  <conditionalFormatting sqref="C68:D68">
    <cfRule type="expression" dxfId="3971" priority="26">
      <formula>AND($A68&lt;&gt;"",MOD(ROW(),2))</formula>
    </cfRule>
  </conditionalFormatting>
  <conditionalFormatting sqref="C69:D69">
    <cfRule type="expression" dxfId="3970" priority="25">
      <formula>AND($A69&lt;&gt;"",MOD(ROW(),2))</formula>
    </cfRule>
  </conditionalFormatting>
  <conditionalFormatting sqref="C70:D71">
    <cfRule type="expression" dxfId="3969" priority="24">
      <formula>AND($A70&lt;&gt;"",MOD(ROW(),2))</formula>
    </cfRule>
  </conditionalFormatting>
  <conditionalFormatting sqref="C72:D72">
    <cfRule type="expression" dxfId="3968" priority="23">
      <formula>AND($A72&lt;&gt;"",MOD(ROW(),2))</formula>
    </cfRule>
  </conditionalFormatting>
  <conditionalFormatting sqref="C73:D73">
    <cfRule type="expression" dxfId="3967" priority="22">
      <formula>AND($A73&lt;&gt;"",MOD(ROW(),2))</formula>
    </cfRule>
  </conditionalFormatting>
  <conditionalFormatting sqref="C74:D74">
    <cfRule type="expression" dxfId="3966" priority="21">
      <formula>AND($A74&lt;&gt;"",MOD(ROW(),2))</formula>
    </cfRule>
  </conditionalFormatting>
  <conditionalFormatting sqref="C75:D75">
    <cfRule type="expression" dxfId="3965" priority="20">
      <formula>AND($A75&lt;&gt;"",MOD(ROW(),2))</formula>
    </cfRule>
  </conditionalFormatting>
  <conditionalFormatting sqref="C76:D76">
    <cfRule type="expression" dxfId="3964" priority="19">
      <formula>AND($A76&lt;&gt;"",MOD(ROW(),2))</formula>
    </cfRule>
  </conditionalFormatting>
  <conditionalFormatting sqref="C77:D77">
    <cfRule type="expression" dxfId="3963" priority="18">
      <formula>AND($A77&lt;&gt;"",MOD(ROW(),2))</formula>
    </cfRule>
  </conditionalFormatting>
  <conditionalFormatting sqref="C78:D79">
    <cfRule type="expression" dxfId="3962" priority="17">
      <formula>AND($A78&lt;&gt;"",MOD(ROW(),2))</formula>
    </cfRule>
  </conditionalFormatting>
  <conditionalFormatting sqref="C80:D80">
    <cfRule type="expression" dxfId="3961" priority="16">
      <formula>AND($A80&lt;&gt;"",MOD(ROW(),2))</formula>
    </cfRule>
  </conditionalFormatting>
  <conditionalFormatting sqref="C81:D81">
    <cfRule type="expression" dxfId="3960" priority="15">
      <formula>AND($A81&lt;&gt;"",MOD(ROW(),2))</formula>
    </cfRule>
  </conditionalFormatting>
  <conditionalFormatting sqref="C82:D82">
    <cfRule type="expression" dxfId="3959" priority="14">
      <formula>AND($A82&lt;&gt;"",MOD(ROW(),2))</formula>
    </cfRule>
  </conditionalFormatting>
  <conditionalFormatting sqref="C83:D83">
    <cfRule type="expression" dxfId="3958" priority="13">
      <formula>AND($A83&lt;&gt;"",MOD(ROW(),2))</formula>
    </cfRule>
  </conditionalFormatting>
  <conditionalFormatting sqref="C84:D84">
    <cfRule type="expression" dxfId="3957" priority="12">
      <formula>AND($A84&lt;&gt;"",MOD(ROW(),2))</formula>
    </cfRule>
  </conditionalFormatting>
  <conditionalFormatting sqref="C85:D85">
    <cfRule type="expression" dxfId="3956" priority="11">
      <formula>AND($A85&lt;&gt;"",MOD(ROW(),2))</formula>
    </cfRule>
  </conditionalFormatting>
  <conditionalFormatting sqref="C86:D86">
    <cfRule type="expression" dxfId="3955" priority="10">
      <formula>AND($A86&lt;&gt;"",MOD(ROW(),2))</formula>
    </cfRule>
  </conditionalFormatting>
  <conditionalFormatting sqref="C87:D87">
    <cfRule type="expression" dxfId="3954" priority="9">
      <formula>AND($A87&lt;&gt;"",MOD(ROW(),2))</formula>
    </cfRule>
  </conditionalFormatting>
  <conditionalFormatting sqref="C88:D88">
    <cfRule type="expression" dxfId="3953" priority="8">
      <formula>AND($A88&lt;&gt;"",MOD(ROW(),2))</formula>
    </cfRule>
  </conditionalFormatting>
  <conditionalFormatting sqref="C89:D95 C96:C100 D97:D100 C101:D101">
    <cfRule type="expression" dxfId="3952" priority="7">
      <formula>AND($A89&lt;&gt;"",MOD(ROW(),2))</formula>
    </cfRule>
  </conditionalFormatting>
  <conditionalFormatting sqref="D86">
    <cfRule type="expression" dxfId="3951" priority="6">
      <formula>AND($A86&lt;&gt;"",MOD(ROW(),2))</formula>
    </cfRule>
  </conditionalFormatting>
  <conditionalFormatting sqref="D87">
    <cfRule type="expression" dxfId="3950" priority="5">
      <formula>AND($A87&lt;&gt;"",MOD(ROW(),2))</formula>
    </cfRule>
  </conditionalFormatting>
  <conditionalFormatting sqref="D88">
    <cfRule type="expression" dxfId="3949" priority="4">
      <formula>AND($A88&lt;&gt;"",MOD(ROW(),2))</formula>
    </cfRule>
  </conditionalFormatting>
  <conditionalFormatting sqref="H95:I99">
    <cfRule type="expression" dxfId="3948" priority="3">
      <formula>AND($A95&lt;&gt;"",MOD(ROW(),2))</formula>
    </cfRule>
  </conditionalFormatting>
  <conditionalFormatting sqref="H100:I100">
    <cfRule type="expression" dxfId="3947" priority="2">
      <formula>AND($A100&lt;&gt;"",MOD(ROW(),2))</formula>
    </cfRule>
  </conditionalFormatting>
  <conditionalFormatting sqref="H101:I101">
    <cfRule type="expression" dxfId="3946" priority="1">
      <formula>AND($A101&lt;&gt;"",MOD(ROW(),2))</formula>
    </cfRule>
  </conditionalFormatting>
  <pageMargins left="0.15748031496062992" right="0.15748031496062992" top="0.98425196850393704" bottom="0.98425196850393704" header="0.51181102362204722" footer="0.51181102362204722"/>
  <pageSetup paperSize="9" orientation="portrait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0000000}">
          <x14:formula1>
            <xm:f>PullDownValues!$F$2:$F$14</xm:f>
          </x14:formula1>
          <xm:sqref>L7:L354</xm:sqref>
        </x14:dataValidation>
        <x14:dataValidation type="list" allowBlank="1" showInputMessage="1" showErrorMessage="1" prompt="Payment Method" xr:uid="{00000000-0002-0000-1600-000001000000}">
          <x14:formula1>
            <xm:f>PullDownValues!$B$2:$B$12</xm:f>
          </x14:formula1>
          <xm:sqref>F7:F289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R354"/>
  <sheetViews>
    <sheetView zoomScaleNormal="100" workbookViewId="0">
      <pane ySplit="5" topLeftCell="A7" activePane="bottomLeft" state="frozen"/>
      <selection pane="bottomLeft" activeCell="J35" sqref="J35"/>
    </sheetView>
  </sheetViews>
  <sheetFormatPr defaultColWidth="8.85546875" defaultRowHeight="15" customHeight="1" x14ac:dyDescent="0.25"/>
  <cols>
    <col min="1" max="1" width="3.28515625" style="10" bestFit="1" customWidth="1"/>
    <col min="2" max="3" width="12.5703125" bestFit="1" customWidth="1"/>
    <col min="4" max="4" width="12.85546875" bestFit="1" customWidth="1"/>
    <col min="5" max="5" width="15.28515625" bestFit="1" customWidth="1"/>
    <col min="6" max="6" width="15.28515625" customWidth="1"/>
    <col min="7" max="7" width="9.42578125" style="31" bestFit="1" customWidth="1"/>
    <col min="8" max="8" width="11.5703125" bestFit="1" customWidth="1"/>
    <col min="9" max="9" width="12.7109375" bestFit="1" customWidth="1"/>
    <col min="10" max="10" width="15.140625" customWidth="1"/>
    <col min="11" max="11" width="10.85546875" customWidth="1"/>
    <col min="12" max="12" width="12.5703125" customWidth="1"/>
    <col min="13" max="13" width="10.7109375" customWidth="1"/>
    <col min="14" max="14" width="12.7109375" customWidth="1"/>
    <col min="15" max="15" width="8.85546875" customWidth="1"/>
    <col min="16" max="16" width="10.5703125" bestFit="1" customWidth="1"/>
    <col min="17" max="17" width="8.85546875" customWidth="1"/>
  </cols>
  <sheetData>
    <row r="1" spans="1:18" ht="35.1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338">
        <f>SUM(P6:P90)-O4</f>
        <v>0</v>
      </c>
      <c r="P1" s="255"/>
      <c r="Q1" s="114"/>
      <c r="R1" s="114"/>
    </row>
    <row r="2" spans="1:18" s="9" customFormat="1" ht="15.95" customHeight="1" x14ac:dyDescent="0.25">
      <c r="A2" s="340" t="s">
        <v>441</v>
      </c>
      <c r="B2" s="340"/>
      <c r="C2" s="340"/>
      <c r="D2" s="340"/>
      <c r="E2" s="340"/>
      <c r="F2" s="336">
        <f>SUM($D$6:$D$2990)-SUMIF($F$7:$F$290,"Bond Received",$D$7:$D$2990)-SUMIF($F$7:$F$290,"Unpaid Rent",$D$7:$D$2990)-(SUMIF($F$7:$F$290,"Discount Rent",$D$7:$D$2990)*2)-SUMIF($F$7:$F$290,"Bond Adjust",$D$7:$D$2990)</f>
        <v>15115</v>
      </c>
      <c r="G2" s="336"/>
      <c r="H2" s="336"/>
      <c r="I2" s="336"/>
      <c r="J2" s="260" t="s">
        <v>5</v>
      </c>
      <c r="K2" s="260"/>
      <c r="L2" s="260"/>
      <c r="M2" s="262">
        <f>SUM($K$6:$K$2989)-SUMIF($L$6:$L$2989,"Bond Return",$K$6:$K$2989)</f>
        <v>4819.9499999999944</v>
      </c>
      <c r="N2" s="263"/>
      <c r="O2" s="265"/>
      <c r="P2" s="265"/>
      <c r="Q2" s="35"/>
    </row>
    <row r="3" spans="1:18" s="9" customFormat="1" ht="15.95" customHeight="1" x14ac:dyDescent="0.25">
      <c r="A3" s="341"/>
      <c r="B3" s="341"/>
      <c r="C3" s="341"/>
      <c r="D3" s="341"/>
      <c r="E3" s="341"/>
      <c r="F3" s="337"/>
      <c r="G3" s="337"/>
      <c r="H3" s="337"/>
      <c r="I3" s="337"/>
      <c r="J3" s="261"/>
      <c r="K3" s="261"/>
      <c r="L3" s="261"/>
      <c r="M3" s="264"/>
      <c r="N3" s="264"/>
      <c r="O3" s="266"/>
      <c r="P3" s="266"/>
    </row>
    <row r="4" spans="1:18" s="9" customFormat="1" ht="15.95" customHeight="1" x14ac:dyDescent="0.25">
      <c r="A4" s="244" t="s">
        <v>6</v>
      </c>
      <c r="B4" s="244" t="s">
        <v>7</v>
      </c>
      <c r="C4" s="267" t="s">
        <v>8</v>
      </c>
      <c r="D4" s="269" t="s">
        <v>9</v>
      </c>
      <c r="E4" s="269" t="s">
        <v>10</v>
      </c>
      <c r="F4" s="252" t="s">
        <v>112</v>
      </c>
      <c r="G4" s="276" t="s">
        <v>11</v>
      </c>
      <c r="H4" s="244" t="s">
        <v>12</v>
      </c>
      <c r="I4" s="334" t="s">
        <v>113</v>
      </c>
      <c r="J4" s="246" t="s">
        <v>13</v>
      </c>
      <c r="K4" s="246" t="s">
        <v>14</v>
      </c>
      <c r="L4" s="248" t="s">
        <v>15</v>
      </c>
      <c r="M4" s="249"/>
      <c r="N4" s="271" t="s">
        <v>113</v>
      </c>
      <c r="O4" s="273">
        <f>F2-M2</f>
        <v>10295.050000000007</v>
      </c>
      <c r="P4" s="274">
        <f>SUM(P2:P3)</f>
        <v>0</v>
      </c>
      <c r="Q4" s="63">
        <f>SUM(Q2:Q3)</f>
        <v>0</v>
      </c>
    </row>
    <row r="5" spans="1:18" s="10" customFormat="1" x14ac:dyDescent="0.25">
      <c r="A5" s="245"/>
      <c r="B5" s="245"/>
      <c r="C5" s="268"/>
      <c r="D5" s="270"/>
      <c r="E5" s="270"/>
      <c r="F5" s="253"/>
      <c r="G5" s="277"/>
      <c r="H5" s="245"/>
      <c r="I5" s="335"/>
      <c r="J5" s="247"/>
      <c r="K5" s="247"/>
      <c r="L5" s="250"/>
      <c r="M5" s="251"/>
      <c r="N5" s="272"/>
      <c r="O5" s="275"/>
      <c r="P5" s="275"/>
      <c r="Q5" s="18"/>
      <c r="R5" s="64"/>
    </row>
    <row r="6" spans="1:18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1"/>
      <c r="K6" s="42"/>
      <c r="L6" s="43" t="s">
        <v>123</v>
      </c>
      <c r="M6" s="43"/>
      <c r="N6" s="43"/>
    </row>
    <row r="7" spans="1:18" ht="15" customHeight="1" x14ac:dyDescent="0.25">
      <c r="A7" s="10">
        <v>1</v>
      </c>
      <c r="B7" s="48">
        <v>44271</v>
      </c>
      <c r="C7" s="17">
        <v>200</v>
      </c>
      <c r="D7" s="17">
        <v>200</v>
      </c>
      <c r="E7" s="16">
        <v>44271</v>
      </c>
      <c r="F7" t="s">
        <v>181</v>
      </c>
      <c r="H7" s="17">
        <f t="shared" ref="H7:H14" si="0">IFERROR(IF(F6="Closed account",(IF(F7="Unpaid Rent",(C7),(C7-D7))),(IF(F7="Unpaid Rent",(C7+H6),(C7-D7+H6)))),"")</f>
        <v>0</v>
      </c>
      <c r="I7" s="17" t="s">
        <v>465</v>
      </c>
      <c r="J7" s="48">
        <v>44274</v>
      </c>
      <c r="K7" s="17">
        <v>123.87</v>
      </c>
      <c r="L7" s="49" t="s">
        <v>16</v>
      </c>
      <c r="N7" t="s">
        <v>465</v>
      </c>
      <c r="O7" t="s">
        <v>14</v>
      </c>
      <c r="P7" s="111">
        <f>SUMIF($I$6:$I$2992,O7,$D$6:$D$2992)-SUMIFS($D$6:$D$2992,$I$6:$I$2992,O7,$F$6:$F$2992,"Unpaid Rent")-(SUMIFS($D$6:$D$2992,$I$6:$I$2992,O7,$F$6:$F$2992,"Discount Rent")*2)-(SUMIFS($D$6:$D$2992,$I$6:$I$2992,O7,$F$6:$F$2992,"Bond Received"))-SUMIF($N$6:$N$2989,O7,$K$6:$K$2989)+SUMIFS($K$6:$K$2989,$N$6:$N$2989,O7,$L$6:$L$2989,"Bond Return")</f>
        <v>-2638.89</v>
      </c>
    </row>
    <row r="8" spans="1:18" ht="15" customHeight="1" x14ac:dyDescent="0.25">
      <c r="A8" s="10">
        <v>1</v>
      </c>
      <c r="B8" s="48">
        <v>44271</v>
      </c>
      <c r="C8" s="17">
        <v>200</v>
      </c>
      <c r="D8" s="17">
        <v>200</v>
      </c>
      <c r="E8" s="16">
        <v>44271</v>
      </c>
      <c r="F8" t="s">
        <v>114</v>
      </c>
      <c r="H8" s="17">
        <f t="shared" si="0"/>
        <v>0</v>
      </c>
      <c r="I8" s="17" t="s">
        <v>465</v>
      </c>
      <c r="J8" s="48">
        <v>44288</v>
      </c>
      <c r="K8" s="17">
        <v>198.52</v>
      </c>
      <c r="L8" s="49" t="s">
        <v>20</v>
      </c>
      <c r="N8" t="s">
        <v>465</v>
      </c>
      <c r="O8" t="s">
        <v>465</v>
      </c>
      <c r="P8" s="111">
        <f t="shared" ref="P8:P91" si="1">SUMIF($I$6:$I$2992,O8,$D$6:$D$2992)-SUMIFS($D$6:$D$2992,$I$6:$I$2992,O8,$F$6:$F$2992,"Unpaid Rent")-(SUMIFS($D$6:$D$2992,$I$6:$I$2992,O8,$F$6:$F$2992,"Discount Rent")*2)-(SUMIFS($D$6:$D$2992,$I$6:$I$2992,O8,$F$6:$F$2992,"Bond Received"))-SUMIF($N$6:$N$2989,O8,$K$6:$K$2989)+SUMIFS($K$6:$K$2989,$N$6:$N$2989,O8,$L$6:$L$2989,"Bond Return")</f>
        <v>77.610000000000014</v>
      </c>
    </row>
    <row r="9" spans="1:18" ht="15" customHeight="1" x14ac:dyDescent="0.25">
      <c r="A9" s="10">
        <v>2</v>
      </c>
      <c r="B9" s="48">
        <f>B8+7</f>
        <v>44278</v>
      </c>
      <c r="C9" s="17">
        <v>200</v>
      </c>
      <c r="D9" s="17">
        <v>200</v>
      </c>
      <c r="E9" s="16">
        <v>44285</v>
      </c>
      <c r="F9" t="s">
        <v>114</v>
      </c>
      <c r="H9" s="17">
        <f t="shared" si="0"/>
        <v>0</v>
      </c>
      <c r="I9" s="17" t="s">
        <v>465</v>
      </c>
      <c r="J9" s="48">
        <v>44285</v>
      </c>
      <c r="K9" s="17">
        <v>200</v>
      </c>
      <c r="L9" s="49" t="s">
        <v>45</v>
      </c>
      <c r="N9" t="s">
        <v>465</v>
      </c>
      <c r="O9" t="s">
        <v>93</v>
      </c>
      <c r="P9" s="111">
        <f t="shared" si="1"/>
        <v>-11</v>
      </c>
    </row>
    <row r="10" spans="1:18" ht="15" customHeight="1" x14ac:dyDescent="0.25">
      <c r="A10" s="10">
        <v>1</v>
      </c>
      <c r="B10" s="48">
        <v>44293</v>
      </c>
      <c r="C10" s="17">
        <v>220</v>
      </c>
      <c r="D10" s="17"/>
      <c r="E10" s="16">
        <v>44288</v>
      </c>
      <c r="H10" s="17">
        <f t="shared" si="0"/>
        <v>220</v>
      </c>
      <c r="I10" s="17" t="s">
        <v>93</v>
      </c>
      <c r="J10" s="48">
        <v>44293</v>
      </c>
      <c r="K10" s="17">
        <v>-123.87</v>
      </c>
      <c r="L10" s="49" t="s">
        <v>16</v>
      </c>
      <c r="M10" t="s">
        <v>466</v>
      </c>
      <c r="N10" t="s">
        <v>14</v>
      </c>
      <c r="O10" t="s">
        <v>615</v>
      </c>
      <c r="P10" s="111">
        <f t="shared" si="1"/>
        <v>393.51</v>
      </c>
    </row>
    <row r="11" spans="1:18" ht="15" customHeight="1" x14ac:dyDescent="0.25">
      <c r="A11" s="10">
        <v>2</v>
      </c>
      <c r="B11" s="48">
        <f>B10+7</f>
        <v>44300</v>
      </c>
      <c r="C11" s="17">
        <v>220</v>
      </c>
      <c r="D11" s="17">
        <v>220</v>
      </c>
      <c r="E11" s="16">
        <v>44292</v>
      </c>
      <c r="H11" s="17">
        <f t="shared" si="0"/>
        <v>220</v>
      </c>
      <c r="I11" s="17" t="s">
        <v>93</v>
      </c>
      <c r="J11" s="48">
        <v>44293</v>
      </c>
      <c r="K11" s="17">
        <v>55.1</v>
      </c>
      <c r="L11" s="49" t="s">
        <v>54</v>
      </c>
      <c r="N11" t="s">
        <v>14</v>
      </c>
      <c r="O11" t="s">
        <v>553</v>
      </c>
      <c r="P11" s="111">
        <f t="shared" si="1"/>
        <v>239</v>
      </c>
    </row>
    <row r="12" spans="1:18" ht="15" customHeight="1" x14ac:dyDescent="0.25">
      <c r="A12" s="10">
        <v>3</v>
      </c>
      <c r="B12" s="48">
        <f>B11+7</f>
        <v>44307</v>
      </c>
      <c r="C12" s="17">
        <v>220</v>
      </c>
      <c r="D12" s="17">
        <v>440</v>
      </c>
      <c r="E12" s="16">
        <v>44380</v>
      </c>
      <c r="F12" t="s">
        <v>117</v>
      </c>
      <c r="H12" s="17">
        <f t="shared" si="0"/>
        <v>0</v>
      </c>
      <c r="I12" s="17" t="s">
        <v>93</v>
      </c>
      <c r="J12" s="48">
        <v>44293</v>
      </c>
      <c r="K12" s="17">
        <v>67.36</v>
      </c>
      <c r="L12" s="49" t="s">
        <v>32</v>
      </c>
      <c r="N12" t="s">
        <v>14</v>
      </c>
      <c r="O12" t="s">
        <v>176</v>
      </c>
      <c r="P12" s="111">
        <f t="shared" si="1"/>
        <v>-41.690000000000055</v>
      </c>
    </row>
    <row r="13" spans="1:18" ht="15" customHeight="1" x14ac:dyDescent="0.25">
      <c r="A13" s="10">
        <v>4</v>
      </c>
      <c r="B13" s="48">
        <f>B12+7</f>
        <v>44314</v>
      </c>
      <c r="C13" s="17">
        <v>220</v>
      </c>
      <c r="D13" s="17"/>
      <c r="E13" s="16"/>
      <c r="H13" s="17">
        <f t="shared" si="0"/>
        <v>220</v>
      </c>
      <c r="I13" s="17" t="s">
        <v>93</v>
      </c>
      <c r="J13" s="48">
        <v>44293</v>
      </c>
      <c r="K13" s="17">
        <v>150</v>
      </c>
      <c r="L13" s="49" t="s">
        <v>17</v>
      </c>
      <c r="M13" t="s">
        <v>503</v>
      </c>
      <c r="N13" t="s">
        <v>14</v>
      </c>
      <c r="O13" t="s">
        <v>600</v>
      </c>
      <c r="P13" s="111">
        <f t="shared" si="1"/>
        <v>7889.2</v>
      </c>
    </row>
    <row r="14" spans="1:18" ht="15" customHeight="1" x14ac:dyDescent="0.25">
      <c r="A14" s="10">
        <v>5</v>
      </c>
      <c r="B14" s="48">
        <f>B13+7</f>
        <v>44321</v>
      </c>
      <c r="C14" s="17">
        <v>220</v>
      </c>
      <c r="D14" s="17"/>
      <c r="E14" s="16"/>
      <c r="F14" t="s">
        <v>124</v>
      </c>
      <c r="H14" s="17">
        <f t="shared" si="0"/>
        <v>440</v>
      </c>
      <c r="I14" s="17" t="s">
        <v>93</v>
      </c>
      <c r="J14" s="48">
        <v>44314</v>
      </c>
      <c r="K14" s="17">
        <v>101.75</v>
      </c>
      <c r="L14" s="49" t="s">
        <v>45</v>
      </c>
      <c r="N14" t="s">
        <v>93</v>
      </c>
      <c r="O14" t="s">
        <v>16</v>
      </c>
      <c r="P14" s="111">
        <f t="shared" si="1"/>
        <v>2115</v>
      </c>
    </row>
    <row r="15" spans="1:18" ht="15" customHeight="1" x14ac:dyDescent="0.25">
      <c r="A15" s="10">
        <v>1</v>
      </c>
      <c r="B15" s="48">
        <v>44343</v>
      </c>
      <c r="C15" s="17">
        <v>180</v>
      </c>
      <c r="D15" s="17">
        <f>80.1+14.2</f>
        <v>94.3</v>
      </c>
      <c r="E15" s="16">
        <v>44343</v>
      </c>
      <c r="F15" t="s">
        <v>114</v>
      </c>
      <c r="H15" s="17">
        <f t="shared" ref="H15:H33" si="2">IFERROR(IF(F14="Closed account",(IF(F15="Unpaid Rent",(C15),(C15-D15))),(IF(F15="Unpaid Rent",(C15+H14),(C15-D15+H14)))),"")</f>
        <v>85.7</v>
      </c>
      <c r="I15" s="17" t="s">
        <v>553</v>
      </c>
      <c r="J15" s="48">
        <v>44315</v>
      </c>
      <c r="K15" s="17">
        <v>671</v>
      </c>
      <c r="L15" s="49" t="s">
        <v>17</v>
      </c>
      <c r="N15" t="s">
        <v>93</v>
      </c>
      <c r="O15" t="s">
        <v>606</v>
      </c>
      <c r="P15" s="111">
        <f t="shared" si="1"/>
        <v>-327.69</v>
      </c>
    </row>
    <row r="16" spans="1:18" ht="15" customHeight="1" x14ac:dyDescent="0.25">
      <c r="A16" s="10">
        <v>2</v>
      </c>
      <c r="B16" s="48">
        <v>44350</v>
      </c>
      <c r="C16" s="17">
        <v>180</v>
      </c>
      <c r="D16" s="17"/>
      <c r="E16" s="16"/>
      <c r="H16" s="17">
        <f t="shared" si="2"/>
        <v>265.7</v>
      </c>
      <c r="I16" s="17" t="s">
        <v>553</v>
      </c>
      <c r="J16" s="48">
        <v>44343</v>
      </c>
      <c r="K16" s="17">
        <v>80.099999999999994</v>
      </c>
      <c r="L16" s="49" t="s">
        <v>32</v>
      </c>
      <c r="N16" t="s">
        <v>553</v>
      </c>
      <c r="O16" t="s">
        <v>993</v>
      </c>
      <c r="P16" s="111">
        <f t="shared" si="1"/>
        <v>800</v>
      </c>
    </row>
    <row r="17" spans="1:16" ht="15" customHeight="1" x14ac:dyDescent="0.25">
      <c r="A17" s="10">
        <v>3</v>
      </c>
      <c r="B17" s="48">
        <v>44357</v>
      </c>
      <c r="C17" s="17">
        <v>50</v>
      </c>
      <c r="D17" s="17">
        <f>400-84-0.3</f>
        <v>315.7</v>
      </c>
      <c r="E17" s="16">
        <v>44359</v>
      </c>
      <c r="F17" t="s">
        <v>124</v>
      </c>
      <c r="H17" s="17">
        <f t="shared" si="2"/>
        <v>0</v>
      </c>
      <c r="I17" s="17" t="s">
        <v>553</v>
      </c>
      <c r="J17" s="48">
        <v>44343</v>
      </c>
      <c r="K17" s="17">
        <v>14.2</v>
      </c>
      <c r="L17" s="49" t="s">
        <v>53</v>
      </c>
      <c r="N17" t="s">
        <v>553</v>
      </c>
      <c r="O17" t="s">
        <v>1006</v>
      </c>
      <c r="P17" s="111">
        <f t="shared" si="1"/>
        <v>1800</v>
      </c>
    </row>
    <row r="18" spans="1:16" ht="15" customHeight="1" x14ac:dyDescent="0.25">
      <c r="A18" s="10">
        <v>1</v>
      </c>
      <c r="B18" s="48">
        <v>44391</v>
      </c>
      <c r="C18" s="17">
        <v>400</v>
      </c>
      <c r="D18" s="17">
        <v>400</v>
      </c>
      <c r="E18" s="16">
        <v>44391</v>
      </c>
      <c r="F18" t="s">
        <v>181</v>
      </c>
      <c r="H18" s="17">
        <f t="shared" si="2"/>
        <v>0</v>
      </c>
      <c r="I18" s="17" t="s">
        <v>615</v>
      </c>
      <c r="J18" s="48">
        <v>44359</v>
      </c>
      <c r="K18" s="17">
        <v>400</v>
      </c>
      <c r="L18" s="49" t="s">
        <v>45</v>
      </c>
      <c r="N18" t="s">
        <v>553</v>
      </c>
      <c r="P18" s="111">
        <f t="shared" si="1"/>
        <v>0</v>
      </c>
    </row>
    <row r="19" spans="1:16" ht="15" customHeight="1" x14ac:dyDescent="0.25">
      <c r="A19" s="10">
        <v>1</v>
      </c>
      <c r="B19" s="48">
        <v>44391</v>
      </c>
      <c r="C19" s="17">
        <v>200</v>
      </c>
      <c r="D19" s="17">
        <v>200</v>
      </c>
      <c r="E19" s="16">
        <v>44391</v>
      </c>
      <c r="F19" t="s">
        <v>117</v>
      </c>
      <c r="H19" s="17">
        <f t="shared" si="2"/>
        <v>0</v>
      </c>
      <c r="I19" s="17" t="s">
        <v>615</v>
      </c>
      <c r="J19" s="48">
        <v>44359</v>
      </c>
      <c r="K19" s="17">
        <v>-0.3</v>
      </c>
      <c r="L19" s="49" t="s">
        <v>32</v>
      </c>
      <c r="N19" t="s">
        <v>553</v>
      </c>
      <c r="P19" s="111">
        <f t="shared" si="1"/>
        <v>0</v>
      </c>
    </row>
    <row r="20" spans="1:16" ht="15" customHeight="1" x14ac:dyDescent="0.25">
      <c r="A20" s="10">
        <v>2</v>
      </c>
      <c r="B20" s="48">
        <f>B19+7</f>
        <v>44398</v>
      </c>
      <c r="C20" s="17">
        <v>200</v>
      </c>
      <c r="D20" s="17">
        <v>200</v>
      </c>
      <c r="E20" s="16">
        <v>44406</v>
      </c>
      <c r="F20" t="s">
        <v>124</v>
      </c>
      <c r="H20" s="17">
        <f t="shared" si="2"/>
        <v>0</v>
      </c>
      <c r="I20" s="17" t="s">
        <v>615</v>
      </c>
      <c r="J20" s="48">
        <v>44360</v>
      </c>
      <c r="K20" s="17">
        <v>77</v>
      </c>
      <c r="L20" s="49" t="s">
        <v>17</v>
      </c>
      <c r="M20" t="s">
        <v>618</v>
      </c>
      <c r="N20" t="s">
        <v>553</v>
      </c>
      <c r="P20" s="111">
        <f t="shared" si="1"/>
        <v>0</v>
      </c>
    </row>
    <row r="21" spans="1:16" ht="15" customHeight="1" x14ac:dyDescent="0.25">
      <c r="A21" s="10">
        <v>1</v>
      </c>
      <c r="B21" s="48">
        <v>44427</v>
      </c>
      <c r="C21" s="17">
        <v>300</v>
      </c>
      <c r="D21" s="17">
        <v>300</v>
      </c>
      <c r="E21" s="16">
        <v>44427</v>
      </c>
      <c r="F21" t="s">
        <v>181</v>
      </c>
      <c r="H21" s="17">
        <f t="shared" si="2"/>
        <v>0</v>
      </c>
      <c r="I21" s="17" t="s">
        <v>176</v>
      </c>
      <c r="J21" s="48">
        <v>44368</v>
      </c>
      <c r="K21" s="17">
        <v>5.5</v>
      </c>
      <c r="L21" s="49" t="s">
        <v>22</v>
      </c>
      <c r="N21" t="s">
        <v>615</v>
      </c>
      <c r="P21" s="111">
        <f t="shared" si="1"/>
        <v>0</v>
      </c>
    </row>
    <row r="22" spans="1:16" ht="15" customHeight="1" x14ac:dyDescent="0.25">
      <c r="A22" s="10">
        <v>1</v>
      </c>
      <c r="B22" s="48">
        <v>44427</v>
      </c>
      <c r="C22" s="17">
        <v>180</v>
      </c>
      <c r="D22" s="17">
        <v>180</v>
      </c>
      <c r="E22" s="16">
        <v>44427</v>
      </c>
      <c r="F22" t="s">
        <v>124</v>
      </c>
      <c r="H22" s="17">
        <f t="shared" si="2"/>
        <v>0</v>
      </c>
      <c r="I22" s="17" t="s">
        <v>176</v>
      </c>
      <c r="J22" s="48">
        <v>44382</v>
      </c>
      <c r="K22" s="17">
        <v>19.5</v>
      </c>
      <c r="L22" s="49" t="s">
        <v>32</v>
      </c>
      <c r="N22" t="s">
        <v>14</v>
      </c>
      <c r="P22" s="111">
        <f t="shared" si="1"/>
        <v>0</v>
      </c>
    </row>
    <row r="23" spans="1:16" ht="15" customHeight="1" x14ac:dyDescent="0.25">
      <c r="A23" s="10">
        <v>1</v>
      </c>
      <c r="B23" s="48">
        <v>44414</v>
      </c>
      <c r="C23" s="17">
        <v>180</v>
      </c>
      <c r="D23" s="17"/>
      <c r="E23" s="16"/>
      <c r="H23" s="17">
        <f t="shared" si="2"/>
        <v>180</v>
      </c>
      <c r="I23" s="17" t="s">
        <v>600</v>
      </c>
      <c r="J23" s="48">
        <v>44395</v>
      </c>
      <c r="K23" s="17">
        <v>400</v>
      </c>
      <c r="L23" s="49" t="s">
        <v>45</v>
      </c>
      <c r="N23" t="s">
        <v>615</v>
      </c>
      <c r="P23" s="111">
        <f t="shared" si="1"/>
        <v>0</v>
      </c>
    </row>
    <row r="24" spans="1:16" ht="15" customHeight="1" x14ac:dyDescent="0.25">
      <c r="A24" s="10">
        <v>2</v>
      </c>
      <c r="B24" s="48">
        <f t="shared" ref="B24:B29" si="3">B23+7</f>
        <v>44421</v>
      </c>
      <c r="C24" s="17">
        <v>180</v>
      </c>
      <c r="D24" s="17"/>
      <c r="E24" s="16"/>
      <c r="H24" s="17">
        <f t="shared" si="2"/>
        <v>360</v>
      </c>
      <c r="I24" s="17" t="s">
        <v>600</v>
      </c>
      <c r="J24" s="48">
        <v>44396</v>
      </c>
      <c r="K24" s="17">
        <v>0.99</v>
      </c>
      <c r="L24" s="49" t="s">
        <v>22</v>
      </c>
      <c r="N24" t="s">
        <v>615</v>
      </c>
      <c r="P24" s="111">
        <f t="shared" si="1"/>
        <v>0</v>
      </c>
    </row>
    <row r="25" spans="1:16" ht="15" customHeight="1" x14ac:dyDescent="0.25">
      <c r="A25" s="10">
        <v>3</v>
      </c>
      <c r="B25" s="48">
        <f t="shared" si="3"/>
        <v>44428</v>
      </c>
      <c r="C25" s="17">
        <v>180</v>
      </c>
      <c r="D25" s="17">
        <v>180</v>
      </c>
      <c r="E25" s="16">
        <v>44428</v>
      </c>
      <c r="F25" t="s">
        <v>59</v>
      </c>
      <c r="H25" s="17">
        <f t="shared" si="2"/>
        <v>360</v>
      </c>
      <c r="I25" s="17" t="s">
        <v>600</v>
      </c>
      <c r="J25" s="48">
        <v>44415</v>
      </c>
      <c r="K25" s="17">
        <v>18.7</v>
      </c>
      <c r="L25" s="49" t="s">
        <v>22</v>
      </c>
      <c r="M25" t="s">
        <v>678</v>
      </c>
      <c r="N25" t="s">
        <v>14</v>
      </c>
      <c r="P25" s="111">
        <f t="shared" si="1"/>
        <v>0</v>
      </c>
    </row>
    <row r="26" spans="1:16" ht="15" customHeight="1" x14ac:dyDescent="0.25">
      <c r="A26" s="10">
        <v>4</v>
      </c>
      <c r="B26" s="48">
        <f t="shared" si="3"/>
        <v>44435</v>
      </c>
      <c r="C26" s="17">
        <v>180</v>
      </c>
      <c r="D26" s="17">
        <v>180</v>
      </c>
      <c r="E26" s="16">
        <v>44435</v>
      </c>
      <c r="F26" t="s">
        <v>59</v>
      </c>
      <c r="H26" s="17">
        <f t="shared" si="2"/>
        <v>360</v>
      </c>
      <c r="I26" s="17" t="s">
        <v>600</v>
      </c>
      <c r="J26" s="48">
        <v>44427</v>
      </c>
      <c r="K26" s="17">
        <v>78.69</v>
      </c>
      <c r="L26" s="49" t="s">
        <v>32</v>
      </c>
      <c r="N26" t="s">
        <v>176</v>
      </c>
      <c r="P26" s="111">
        <f t="shared" si="1"/>
        <v>0</v>
      </c>
    </row>
    <row r="27" spans="1:16" ht="15" customHeight="1" x14ac:dyDescent="0.25">
      <c r="A27" s="10">
        <v>5</v>
      </c>
      <c r="B27" s="48">
        <f t="shared" si="3"/>
        <v>44442</v>
      </c>
      <c r="C27" s="17">
        <v>180</v>
      </c>
      <c r="D27" s="17">
        <v>180</v>
      </c>
      <c r="E27" s="16">
        <v>44442</v>
      </c>
      <c r="F27" t="s">
        <v>59</v>
      </c>
      <c r="H27" s="17">
        <f t="shared" si="2"/>
        <v>360</v>
      </c>
      <c r="I27" s="17" t="s">
        <v>600</v>
      </c>
      <c r="J27" s="48">
        <v>44434</v>
      </c>
      <c r="K27" s="17">
        <v>300</v>
      </c>
      <c r="L27" s="49" t="s">
        <v>45</v>
      </c>
      <c r="N27" t="s">
        <v>176</v>
      </c>
      <c r="P27" s="111">
        <f t="shared" si="1"/>
        <v>0</v>
      </c>
    </row>
    <row r="28" spans="1:16" ht="15" customHeight="1" x14ac:dyDescent="0.25">
      <c r="A28" s="10">
        <v>6</v>
      </c>
      <c r="B28" s="48">
        <f t="shared" si="3"/>
        <v>44449</v>
      </c>
      <c r="C28" s="17">
        <v>180</v>
      </c>
      <c r="D28" s="17">
        <v>180</v>
      </c>
      <c r="E28" s="16">
        <v>44449</v>
      </c>
      <c r="F28" t="s">
        <v>59</v>
      </c>
      <c r="H28" s="17">
        <f t="shared" si="2"/>
        <v>360</v>
      </c>
      <c r="I28" s="17" t="s">
        <v>600</v>
      </c>
      <c r="J28" s="48">
        <v>44444</v>
      </c>
      <c r="K28" s="17">
        <v>143</v>
      </c>
      <c r="L28" s="49" t="s">
        <v>17</v>
      </c>
      <c r="N28" t="s">
        <v>176</v>
      </c>
      <c r="P28" s="111">
        <f t="shared" si="1"/>
        <v>0</v>
      </c>
    </row>
    <row r="29" spans="1:16" ht="15" customHeight="1" x14ac:dyDescent="0.25">
      <c r="A29" s="10">
        <v>7</v>
      </c>
      <c r="B29" s="48">
        <f t="shared" si="3"/>
        <v>44456</v>
      </c>
      <c r="C29" s="17">
        <v>180</v>
      </c>
      <c r="D29" s="17">
        <v>180</v>
      </c>
      <c r="E29" s="16">
        <v>44456</v>
      </c>
      <c r="F29" t="s">
        <v>59</v>
      </c>
      <c r="H29" s="17">
        <f t="shared" si="2"/>
        <v>360</v>
      </c>
      <c r="I29" s="17" t="s">
        <v>600</v>
      </c>
      <c r="J29" s="48">
        <v>44533</v>
      </c>
      <c r="K29" s="17">
        <v>0.99</v>
      </c>
      <c r="L29" s="49" t="s">
        <v>22</v>
      </c>
      <c r="N29" t="s">
        <v>600</v>
      </c>
      <c r="P29" s="111">
        <f t="shared" si="1"/>
        <v>0</v>
      </c>
    </row>
    <row r="30" spans="1:16" ht="15" customHeight="1" x14ac:dyDescent="0.25">
      <c r="A30" s="10">
        <v>8</v>
      </c>
      <c r="B30" s="48">
        <f t="shared" ref="B30:B38" si="4">B29+7</f>
        <v>44463</v>
      </c>
      <c r="C30" s="17">
        <v>180</v>
      </c>
      <c r="D30" s="17">
        <v>180</v>
      </c>
      <c r="E30" s="16">
        <v>44463</v>
      </c>
      <c r="F30" t="s">
        <v>59</v>
      </c>
      <c r="H30" s="17">
        <f t="shared" si="2"/>
        <v>360</v>
      </c>
      <c r="I30" s="17" t="s">
        <v>600</v>
      </c>
      <c r="J30" s="48">
        <v>44554</v>
      </c>
      <c r="K30" s="17">
        <v>0.99</v>
      </c>
      <c r="L30" s="49" t="s">
        <v>22</v>
      </c>
      <c r="N30" t="s">
        <v>600</v>
      </c>
      <c r="P30" s="111">
        <f t="shared" si="1"/>
        <v>0</v>
      </c>
    </row>
    <row r="31" spans="1:16" ht="15" customHeight="1" x14ac:dyDescent="0.25">
      <c r="A31" s="10">
        <v>9</v>
      </c>
      <c r="B31" s="48">
        <f t="shared" si="4"/>
        <v>44470</v>
      </c>
      <c r="C31" s="17">
        <v>180</v>
      </c>
      <c r="D31" s="17">
        <v>180</v>
      </c>
      <c r="E31" s="16">
        <v>44470</v>
      </c>
      <c r="F31" t="s">
        <v>59</v>
      </c>
      <c r="H31" s="17">
        <f t="shared" si="2"/>
        <v>360</v>
      </c>
      <c r="I31" s="17" t="s">
        <v>600</v>
      </c>
      <c r="J31" s="48">
        <v>44569</v>
      </c>
      <c r="K31" s="17">
        <v>451</v>
      </c>
      <c r="L31" s="49" t="s">
        <v>17</v>
      </c>
      <c r="M31" t="s">
        <v>675</v>
      </c>
      <c r="N31" t="s">
        <v>14</v>
      </c>
      <c r="P31" s="111">
        <f t="shared" si="1"/>
        <v>0</v>
      </c>
    </row>
    <row r="32" spans="1:16" ht="15" customHeight="1" x14ac:dyDescent="0.25">
      <c r="A32" s="10">
        <v>10</v>
      </c>
      <c r="B32" s="48">
        <f t="shared" si="4"/>
        <v>44477</v>
      </c>
      <c r="C32" s="17">
        <v>180</v>
      </c>
      <c r="D32" s="17">
        <v>180</v>
      </c>
      <c r="E32" s="16">
        <v>44477</v>
      </c>
      <c r="F32" t="s">
        <v>59</v>
      </c>
      <c r="H32" s="17">
        <f t="shared" si="2"/>
        <v>360</v>
      </c>
      <c r="I32" s="17" t="s">
        <v>600</v>
      </c>
      <c r="J32" s="48">
        <v>44561</v>
      </c>
      <c r="K32" s="17">
        <v>0.99</v>
      </c>
      <c r="L32" s="49" t="s">
        <v>22</v>
      </c>
      <c r="N32" t="s">
        <v>600</v>
      </c>
      <c r="P32" s="111">
        <f t="shared" si="1"/>
        <v>0</v>
      </c>
    </row>
    <row r="33" spans="1:16" ht="15" customHeight="1" x14ac:dyDescent="0.25">
      <c r="A33" s="10">
        <v>11</v>
      </c>
      <c r="B33" s="48">
        <f t="shared" si="4"/>
        <v>44484</v>
      </c>
      <c r="C33" s="17">
        <v>180</v>
      </c>
      <c r="D33" s="17">
        <v>180</v>
      </c>
      <c r="E33" s="16">
        <v>44484</v>
      </c>
      <c r="F33" t="s">
        <v>59</v>
      </c>
      <c r="H33" s="17">
        <f t="shared" si="2"/>
        <v>360</v>
      </c>
      <c r="I33" s="17" t="s">
        <v>600</v>
      </c>
      <c r="J33" s="48">
        <v>44574</v>
      </c>
      <c r="K33" s="17">
        <v>2.75</v>
      </c>
      <c r="L33" s="49" t="s">
        <v>22</v>
      </c>
      <c r="N33" t="s">
        <v>600</v>
      </c>
      <c r="P33" s="111">
        <f t="shared" si="1"/>
        <v>0</v>
      </c>
    </row>
    <row r="34" spans="1:16" ht="15" customHeight="1" x14ac:dyDescent="0.25">
      <c r="A34" s="10">
        <v>12</v>
      </c>
      <c r="B34" s="48">
        <f t="shared" si="4"/>
        <v>44491</v>
      </c>
      <c r="C34" s="17">
        <v>180</v>
      </c>
      <c r="D34" s="17">
        <v>180</v>
      </c>
      <c r="E34" s="16">
        <v>44491</v>
      </c>
      <c r="F34" t="s">
        <v>59</v>
      </c>
      <c r="H34" s="17">
        <f t="shared" ref="H34:H58" si="5">IFERROR((C34-D34+H33),"")</f>
        <v>360</v>
      </c>
      <c r="I34" s="17" t="s">
        <v>600</v>
      </c>
      <c r="J34" s="48">
        <v>44568</v>
      </c>
      <c r="K34" s="17">
        <v>2.75</v>
      </c>
      <c r="L34" s="49" t="s">
        <v>22</v>
      </c>
      <c r="N34" t="s">
        <v>600</v>
      </c>
      <c r="P34" s="111">
        <f t="shared" si="1"/>
        <v>0</v>
      </c>
    </row>
    <row r="35" spans="1:16" ht="15" customHeight="1" x14ac:dyDescent="0.25">
      <c r="A35" s="10">
        <v>13</v>
      </c>
      <c r="B35" s="48">
        <f t="shared" si="4"/>
        <v>44498</v>
      </c>
      <c r="C35" s="17">
        <v>180</v>
      </c>
      <c r="D35" s="17">
        <v>180</v>
      </c>
      <c r="E35" s="16">
        <v>44498</v>
      </c>
      <c r="F35" t="s">
        <v>59</v>
      </c>
      <c r="H35" s="17">
        <f t="shared" si="5"/>
        <v>360</v>
      </c>
      <c r="I35" s="17" t="s">
        <v>600</v>
      </c>
      <c r="J35" s="48">
        <v>44568</v>
      </c>
      <c r="K35" s="17">
        <v>0.99</v>
      </c>
      <c r="L35" s="49" t="s">
        <v>22</v>
      </c>
      <c r="N35" t="s">
        <v>600</v>
      </c>
      <c r="P35" s="111">
        <f t="shared" si="1"/>
        <v>0</v>
      </c>
    </row>
    <row r="36" spans="1:16" ht="15" customHeight="1" x14ac:dyDescent="0.25">
      <c r="A36" s="10">
        <v>14</v>
      </c>
      <c r="B36" s="48">
        <f t="shared" si="4"/>
        <v>44505</v>
      </c>
      <c r="C36" s="17">
        <v>180</v>
      </c>
      <c r="D36" s="17">
        <v>180</v>
      </c>
      <c r="E36" s="16">
        <v>44505</v>
      </c>
      <c r="F36" t="s">
        <v>59</v>
      </c>
      <c r="H36" s="17">
        <f t="shared" si="5"/>
        <v>360</v>
      </c>
      <c r="I36" s="17" t="s">
        <v>600</v>
      </c>
      <c r="J36" s="48">
        <v>44581</v>
      </c>
      <c r="K36" s="17">
        <v>2.75</v>
      </c>
      <c r="L36" s="49" t="s">
        <v>22</v>
      </c>
      <c r="N36" t="s">
        <v>600</v>
      </c>
      <c r="P36" s="111">
        <f t="shared" si="1"/>
        <v>0</v>
      </c>
    </row>
    <row r="37" spans="1:16" ht="15" customHeight="1" x14ac:dyDescent="0.25">
      <c r="A37" s="10">
        <v>15</v>
      </c>
      <c r="B37" s="48">
        <f t="shared" si="4"/>
        <v>44512</v>
      </c>
      <c r="C37" s="17">
        <v>180</v>
      </c>
      <c r="D37" s="17">
        <v>180</v>
      </c>
      <c r="E37" s="16">
        <v>44512</v>
      </c>
      <c r="F37" t="s">
        <v>59</v>
      </c>
      <c r="H37" s="17">
        <f t="shared" si="5"/>
        <v>360</v>
      </c>
      <c r="I37" s="17" t="s">
        <v>600</v>
      </c>
      <c r="J37" s="48">
        <v>44575</v>
      </c>
      <c r="K37" s="17">
        <v>0.99</v>
      </c>
      <c r="L37" s="49" t="s">
        <v>22</v>
      </c>
      <c r="N37" t="s">
        <v>600</v>
      </c>
      <c r="P37" s="111">
        <f t="shared" si="1"/>
        <v>0</v>
      </c>
    </row>
    <row r="38" spans="1:16" ht="15" customHeight="1" x14ac:dyDescent="0.25">
      <c r="A38" s="10">
        <v>16</v>
      </c>
      <c r="B38" s="48">
        <f t="shared" si="4"/>
        <v>44519</v>
      </c>
      <c r="C38" s="17">
        <v>180</v>
      </c>
      <c r="D38" s="17">
        <v>180</v>
      </c>
      <c r="E38" s="16">
        <v>44519</v>
      </c>
      <c r="F38" t="s">
        <v>59</v>
      </c>
      <c r="H38" s="17">
        <f t="shared" si="5"/>
        <v>360</v>
      </c>
      <c r="I38" s="17" t="s">
        <v>600</v>
      </c>
      <c r="J38" s="48">
        <v>44582</v>
      </c>
      <c r="K38" s="17">
        <v>0.99</v>
      </c>
      <c r="L38" s="49" t="s">
        <v>22</v>
      </c>
      <c r="N38" t="s">
        <v>600</v>
      </c>
      <c r="P38" s="111">
        <f t="shared" si="1"/>
        <v>0</v>
      </c>
    </row>
    <row r="39" spans="1:16" ht="15" customHeight="1" x14ac:dyDescent="0.25">
      <c r="A39" s="10">
        <v>17</v>
      </c>
      <c r="B39" s="48">
        <f t="shared" ref="B39:B46" si="6">B38+7</f>
        <v>44526</v>
      </c>
      <c r="C39" s="17">
        <v>180</v>
      </c>
      <c r="D39" s="17">
        <v>180</v>
      </c>
      <c r="E39" s="16">
        <v>44526</v>
      </c>
      <c r="F39" t="s">
        <v>59</v>
      </c>
      <c r="H39" s="17">
        <f t="shared" si="5"/>
        <v>360</v>
      </c>
      <c r="I39" s="17" t="s">
        <v>600</v>
      </c>
      <c r="J39" s="48">
        <v>44595</v>
      </c>
      <c r="K39" s="17">
        <v>2.75</v>
      </c>
      <c r="L39" s="49" t="s">
        <v>22</v>
      </c>
      <c r="N39" t="s">
        <v>600</v>
      </c>
      <c r="P39" s="111">
        <f t="shared" si="1"/>
        <v>0</v>
      </c>
    </row>
    <row r="40" spans="1:16" ht="15" customHeight="1" x14ac:dyDescent="0.25">
      <c r="A40" s="10">
        <v>18</v>
      </c>
      <c r="B40" s="48">
        <f t="shared" si="6"/>
        <v>44533</v>
      </c>
      <c r="C40" s="17">
        <v>180</v>
      </c>
      <c r="D40" s="17">
        <v>180</v>
      </c>
      <c r="E40" s="16">
        <v>44539</v>
      </c>
      <c r="F40" t="s">
        <v>59</v>
      </c>
      <c r="H40" s="17">
        <f t="shared" si="5"/>
        <v>360</v>
      </c>
      <c r="I40" s="17" t="s">
        <v>600</v>
      </c>
      <c r="J40" s="48">
        <v>44589</v>
      </c>
      <c r="K40" s="17">
        <v>0.99</v>
      </c>
      <c r="L40" s="49" t="s">
        <v>22</v>
      </c>
      <c r="N40" t="s">
        <v>600</v>
      </c>
      <c r="P40" s="111">
        <f t="shared" si="1"/>
        <v>0</v>
      </c>
    </row>
    <row r="41" spans="1:16" ht="15" customHeight="1" x14ac:dyDescent="0.25">
      <c r="A41" s="10">
        <v>19</v>
      </c>
      <c r="B41" s="48">
        <f t="shared" si="6"/>
        <v>44540</v>
      </c>
      <c r="C41" s="17">
        <v>180</v>
      </c>
      <c r="D41" s="17">
        <v>180</v>
      </c>
      <c r="E41" s="16">
        <v>44540</v>
      </c>
      <c r="F41" t="s">
        <v>59</v>
      </c>
      <c r="H41" s="17">
        <f t="shared" si="5"/>
        <v>360</v>
      </c>
      <c r="I41" s="17" t="s">
        <v>600</v>
      </c>
      <c r="J41" s="48">
        <v>44589</v>
      </c>
      <c r="K41" s="17">
        <v>2.75</v>
      </c>
      <c r="L41" s="49" t="s">
        <v>22</v>
      </c>
      <c r="N41" t="s">
        <v>600</v>
      </c>
      <c r="P41" s="111">
        <f t="shared" si="1"/>
        <v>0</v>
      </c>
    </row>
    <row r="42" spans="1:16" ht="15" customHeight="1" x14ac:dyDescent="0.25">
      <c r="A42" s="10">
        <v>20</v>
      </c>
      <c r="B42" s="48">
        <f t="shared" si="6"/>
        <v>44547</v>
      </c>
      <c r="C42" s="17">
        <v>180</v>
      </c>
      <c r="D42" s="17">
        <v>180</v>
      </c>
      <c r="E42" s="16">
        <v>44547</v>
      </c>
      <c r="F42" t="s">
        <v>59</v>
      </c>
      <c r="H42" s="17">
        <f t="shared" si="5"/>
        <v>360</v>
      </c>
      <c r="I42" s="17" t="s">
        <v>600</v>
      </c>
      <c r="J42" s="48">
        <v>44596</v>
      </c>
      <c r="K42" s="17">
        <v>0.99</v>
      </c>
      <c r="L42" s="49" t="s">
        <v>22</v>
      </c>
      <c r="N42" t="s">
        <v>600</v>
      </c>
      <c r="P42" s="111">
        <f t="shared" si="1"/>
        <v>0</v>
      </c>
    </row>
    <row r="43" spans="1:16" ht="15" customHeight="1" x14ac:dyDescent="0.25">
      <c r="A43" s="10">
        <v>21</v>
      </c>
      <c r="B43" s="48">
        <f t="shared" si="6"/>
        <v>44554</v>
      </c>
      <c r="C43" s="17">
        <v>180</v>
      </c>
      <c r="D43" s="17">
        <v>360</v>
      </c>
      <c r="E43" s="16">
        <v>44566</v>
      </c>
      <c r="F43" t="s">
        <v>59</v>
      </c>
      <c r="H43" s="17">
        <f t="shared" si="5"/>
        <v>180</v>
      </c>
      <c r="I43" s="17" t="s">
        <v>600</v>
      </c>
      <c r="J43" s="48">
        <v>44603</v>
      </c>
      <c r="K43" s="17">
        <v>0.99</v>
      </c>
      <c r="L43" s="49" t="s">
        <v>22</v>
      </c>
      <c r="N43" t="s">
        <v>600</v>
      </c>
      <c r="P43" s="111">
        <f t="shared" si="1"/>
        <v>0</v>
      </c>
    </row>
    <row r="44" spans="1:16" ht="15" customHeight="1" x14ac:dyDescent="0.25">
      <c r="A44" s="10">
        <v>22</v>
      </c>
      <c r="B44" s="48">
        <f t="shared" si="6"/>
        <v>44561</v>
      </c>
      <c r="C44" s="17">
        <v>180</v>
      </c>
      <c r="D44" s="17">
        <v>180</v>
      </c>
      <c r="E44" s="16">
        <v>44565</v>
      </c>
      <c r="F44" t="s">
        <v>59</v>
      </c>
      <c r="H44" s="17">
        <f t="shared" si="5"/>
        <v>180</v>
      </c>
      <c r="I44" s="17" t="s">
        <v>600</v>
      </c>
      <c r="J44" s="48">
        <v>44616</v>
      </c>
      <c r="K44" s="17">
        <v>2.75</v>
      </c>
      <c r="L44" s="49" t="s">
        <v>22</v>
      </c>
      <c r="N44" t="s">
        <v>600</v>
      </c>
      <c r="P44" s="111">
        <f t="shared" si="1"/>
        <v>0</v>
      </c>
    </row>
    <row r="45" spans="1:16" ht="15" customHeight="1" x14ac:dyDescent="0.25">
      <c r="A45" s="10">
        <v>23</v>
      </c>
      <c r="B45" s="48">
        <f t="shared" si="6"/>
        <v>44568</v>
      </c>
      <c r="C45" s="17">
        <v>180</v>
      </c>
      <c r="D45" s="17"/>
      <c r="H45" s="17">
        <f t="shared" si="5"/>
        <v>360</v>
      </c>
      <c r="I45" s="17" t="s">
        <v>600</v>
      </c>
      <c r="J45" s="48">
        <v>44610</v>
      </c>
      <c r="K45" s="17">
        <v>0.99</v>
      </c>
      <c r="L45" s="49" t="s">
        <v>22</v>
      </c>
      <c r="N45" t="s">
        <v>600</v>
      </c>
      <c r="P45" s="111">
        <f t="shared" si="1"/>
        <v>0</v>
      </c>
    </row>
    <row r="46" spans="1:16" ht="15" customHeight="1" x14ac:dyDescent="0.25">
      <c r="A46" s="10">
        <v>24</v>
      </c>
      <c r="B46" s="48">
        <f t="shared" si="6"/>
        <v>44575</v>
      </c>
      <c r="C46" s="17">
        <v>180</v>
      </c>
      <c r="D46" s="17">
        <v>360</v>
      </c>
      <c r="E46" s="16">
        <v>44603</v>
      </c>
      <c r="F46" t="s">
        <v>114</v>
      </c>
      <c r="G46" s="31" t="s">
        <v>793</v>
      </c>
      <c r="H46" s="17">
        <f t="shared" si="5"/>
        <v>180</v>
      </c>
      <c r="I46" s="17" t="s">
        <v>600</v>
      </c>
      <c r="J46" s="48">
        <v>44617</v>
      </c>
      <c r="K46" s="17">
        <v>0.99</v>
      </c>
      <c r="L46" s="49" t="s">
        <v>22</v>
      </c>
      <c r="N46" t="s">
        <v>600</v>
      </c>
      <c r="P46" s="111">
        <f t="shared" si="1"/>
        <v>0</v>
      </c>
    </row>
    <row r="47" spans="1:16" ht="15" customHeight="1" x14ac:dyDescent="0.25">
      <c r="A47" s="10">
        <v>25</v>
      </c>
      <c r="B47" s="48">
        <f>B46+7</f>
        <v>44582</v>
      </c>
      <c r="C47" s="17">
        <v>180</v>
      </c>
      <c r="D47" s="17"/>
      <c r="H47" s="17">
        <f t="shared" si="5"/>
        <v>360</v>
      </c>
      <c r="I47" s="17" t="s">
        <v>600</v>
      </c>
      <c r="J47" s="48">
        <v>44630</v>
      </c>
      <c r="K47" s="17">
        <v>2.75</v>
      </c>
      <c r="L47" s="49" t="s">
        <v>22</v>
      </c>
      <c r="N47" t="s">
        <v>600</v>
      </c>
      <c r="P47" s="111">
        <f t="shared" si="1"/>
        <v>0</v>
      </c>
    </row>
    <row r="48" spans="1:16" ht="15" customHeight="1" x14ac:dyDescent="0.25">
      <c r="A48" s="10">
        <v>1</v>
      </c>
      <c r="B48" s="48">
        <v>44587</v>
      </c>
      <c r="C48" s="17">
        <v>2115</v>
      </c>
      <c r="D48" s="17">
        <v>2115</v>
      </c>
      <c r="E48" s="16">
        <v>44587</v>
      </c>
      <c r="F48" t="s">
        <v>117</v>
      </c>
      <c r="H48" s="17">
        <f t="shared" si="5"/>
        <v>360</v>
      </c>
      <c r="I48" s="17" t="s">
        <v>16</v>
      </c>
      <c r="J48" s="48">
        <v>44624</v>
      </c>
      <c r="K48" s="17">
        <v>0.99</v>
      </c>
      <c r="L48" s="49" t="s">
        <v>22</v>
      </c>
      <c r="N48" t="s">
        <v>600</v>
      </c>
      <c r="P48" s="111">
        <f t="shared" si="1"/>
        <v>0</v>
      </c>
    </row>
    <row r="49" spans="1:16" ht="15" customHeight="1" x14ac:dyDescent="0.25">
      <c r="A49" s="10">
        <v>26</v>
      </c>
      <c r="B49" s="48">
        <f>B47+7</f>
        <v>44589</v>
      </c>
      <c r="C49" s="17">
        <v>180</v>
      </c>
      <c r="D49" s="17">
        <v>360</v>
      </c>
      <c r="E49" s="16">
        <v>44592</v>
      </c>
      <c r="F49" t="s">
        <v>114</v>
      </c>
      <c r="G49" s="31" t="s">
        <v>793</v>
      </c>
      <c r="H49" s="17">
        <f t="shared" si="5"/>
        <v>180</v>
      </c>
      <c r="I49" s="17" t="s">
        <v>600</v>
      </c>
      <c r="J49" s="48">
        <v>44631</v>
      </c>
      <c r="K49" s="17">
        <v>0.99</v>
      </c>
      <c r="L49" s="49" t="s">
        <v>22</v>
      </c>
      <c r="N49" t="s">
        <v>600</v>
      </c>
      <c r="P49" s="111">
        <f t="shared" si="1"/>
        <v>0</v>
      </c>
    </row>
    <row r="50" spans="1:16" ht="15" customHeight="1" x14ac:dyDescent="0.25">
      <c r="A50" s="10">
        <v>27</v>
      </c>
      <c r="B50" s="48">
        <f t="shared" ref="B50:B56" si="7">B49+7</f>
        <v>44596</v>
      </c>
      <c r="C50" s="17">
        <v>180</v>
      </c>
      <c r="D50" s="17">
        <v>180</v>
      </c>
      <c r="E50" s="16">
        <v>44602</v>
      </c>
      <c r="F50" t="s">
        <v>117</v>
      </c>
      <c r="H50" s="17">
        <f t="shared" si="5"/>
        <v>180</v>
      </c>
      <c r="I50" s="17" t="s">
        <v>600</v>
      </c>
      <c r="J50" s="48">
        <v>44644</v>
      </c>
      <c r="K50" s="17">
        <v>2.75</v>
      </c>
      <c r="L50" s="49" t="s">
        <v>22</v>
      </c>
      <c r="N50" t="s">
        <v>600</v>
      </c>
      <c r="P50" s="111">
        <f t="shared" si="1"/>
        <v>0</v>
      </c>
    </row>
    <row r="51" spans="1:16" ht="15" customHeight="1" x14ac:dyDescent="0.25">
      <c r="A51" s="10">
        <v>28</v>
      </c>
      <c r="B51" s="48">
        <f t="shared" si="7"/>
        <v>44603</v>
      </c>
      <c r="C51" s="17">
        <v>180</v>
      </c>
      <c r="D51" s="17"/>
      <c r="H51" s="17">
        <f t="shared" si="5"/>
        <v>360</v>
      </c>
      <c r="I51" s="17" t="s">
        <v>600</v>
      </c>
      <c r="J51" s="48">
        <v>44638</v>
      </c>
      <c r="K51" s="17">
        <v>0.99</v>
      </c>
      <c r="L51" s="49" t="s">
        <v>22</v>
      </c>
      <c r="N51" t="s">
        <v>600</v>
      </c>
      <c r="P51" s="111">
        <f t="shared" si="1"/>
        <v>0</v>
      </c>
    </row>
    <row r="52" spans="1:16" ht="15" customHeight="1" x14ac:dyDescent="0.25">
      <c r="A52" s="10">
        <v>29</v>
      </c>
      <c r="B52" s="48">
        <f t="shared" si="7"/>
        <v>44610</v>
      </c>
      <c r="C52" s="17">
        <v>180</v>
      </c>
      <c r="D52" s="17">
        <v>180</v>
      </c>
      <c r="E52" s="16">
        <v>44609</v>
      </c>
      <c r="F52" t="s">
        <v>59</v>
      </c>
      <c r="H52" s="17">
        <f t="shared" si="5"/>
        <v>360</v>
      </c>
      <c r="I52" s="17" t="s">
        <v>600</v>
      </c>
      <c r="J52" s="48">
        <v>44659</v>
      </c>
      <c r="K52" s="17">
        <v>0.99</v>
      </c>
      <c r="L52" s="49" t="s">
        <v>22</v>
      </c>
      <c r="N52" t="s">
        <v>600</v>
      </c>
      <c r="P52" s="111">
        <f t="shared" si="1"/>
        <v>0</v>
      </c>
    </row>
    <row r="53" spans="1:16" ht="15" customHeight="1" x14ac:dyDescent="0.25">
      <c r="A53" s="10">
        <v>30</v>
      </c>
      <c r="B53" s="48">
        <f t="shared" si="7"/>
        <v>44617</v>
      </c>
      <c r="C53" s="17">
        <v>180</v>
      </c>
      <c r="D53" s="17">
        <v>540</v>
      </c>
      <c r="E53" s="16">
        <v>44621</v>
      </c>
      <c r="F53" t="s">
        <v>117</v>
      </c>
      <c r="H53" s="17">
        <f t="shared" si="5"/>
        <v>0</v>
      </c>
      <c r="I53" s="17" t="s">
        <v>600</v>
      </c>
      <c r="J53" s="48">
        <v>44673</v>
      </c>
      <c r="K53" s="17">
        <v>201.31</v>
      </c>
      <c r="L53" s="49" t="s">
        <v>20</v>
      </c>
      <c r="N53" t="s">
        <v>600</v>
      </c>
      <c r="P53" s="111">
        <f t="shared" si="1"/>
        <v>0</v>
      </c>
    </row>
    <row r="54" spans="1:16" ht="15" customHeight="1" x14ac:dyDescent="0.25">
      <c r="A54" s="10">
        <v>31</v>
      </c>
      <c r="B54" s="48">
        <f t="shared" si="7"/>
        <v>44624</v>
      </c>
      <c r="C54" s="17">
        <v>180</v>
      </c>
      <c r="D54" s="17"/>
      <c r="H54" s="17">
        <f t="shared" si="5"/>
        <v>180</v>
      </c>
      <c r="I54" s="17" t="s">
        <v>600</v>
      </c>
      <c r="J54" s="48">
        <v>44672</v>
      </c>
      <c r="K54" s="17">
        <v>0.99</v>
      </c>
      <c r="L54" s="49" t="s">
        <v>22</v>
      </c>
      <c r="N54" t="s">
        <v>600</v>
      </c>
      <c r="P54" s="111">
        <f t="shared" si="1"/>
        <v>0</v>
      </c>
    </row>
    <row r="55" spans="1:16" ht="15" customHeight="1" x14ac:dyDescent="0.25">
      <c r="A55" s="10">
        <v>32</v>
      </c>
      <c r="B55" s="48">
        <f t="shared" si="7"/>
        <v>44631</v>
      </c>
      <c r="C55" s="17">
        <v>180</v>
      </c>
      <c r="D55" s="17">
        <v>180</v>
      </c>
      <c r="E55" s="16">
        <v>44637</v>
      </c>
      <c r="F55" t="s">
        <v>59</v>
      </c>
      <c r="H55" s="17">
        <f t="shared" si="5"/>
        <v>180</v>
      </c>
      <c r="I55" s="17" t="s">
        <v>600</v>
      </c>
      <c r="J55" s="48">
        <v>44665</v>
      </c>
      <c r="K55" s="17">
        <v>2.75</v>
      </c>
      <c r="L55" s="49" t="s">
        <v>22</v>
      </c>
      <c r="N55" t="s">
        <v>600</v>
      </c>
      <c r="P55" s="111">
        <f t="shared" si="1"/>
        <v>0</v>
      </c>
    </row>
    <row r="56" spans="1:16" ht="15" customHeight="1" x14ac:dyDescent="0.25">
      <c r="A56" s="10">
        <v>33</v>
      </c>
      <c r="B56" s="48">
        <f t="shared" si="7"/>
        <v>44638</v>
      </c>
      <c r="C56" s="17">
        <v>180</v>
      </c>
      <c r="D56" s="17"/>
      <c r="H56" s="17">
        <f t="shared" si="5"/>
        <v>360</v>
      </c>
      <c r="I56" s="17" t="s">
        <v>600</v>
      </c>
      <c r="J56" s="48">
        <v>44673</v>
      </c>
      <c r="K56" s="17">
        <v>0.99</v>
      </c>
      <c r="L56" s="49" t="s">
        <v>22</v>
      </c>
      <c r="N56" t="s">
        <v>600</v>
      </c>
      <c r="P56" s="111">
        <f t="shared" si="1"/>
        <v>0</v>
      </c>
    </row>
    <row r="57" spans="1:16" ht="15" customHeight="1" x14ac:dyDescent="0.25">
      <c r="A57" s="10">
        <v>34</v>
      </c>
      <c r="B57" s="48">
        <f t="shared" ref="B57:B65" si="8">B56+7</f>
        <v>44645</v>
      </c>
      <c r="C57" s="17">
        <v>180</v>
      </c>
      <c r="D57" s="17">
        <v>180</v>
      </c>
      <c r="E57" s="16">
        <v>44645</v>
      </c>
      <c r="F57" t="s">
        <v>59</v>
      </c>
      <c r="H57" s="17">
        <f t="shared" si="5"/>
        <v>360</v>
      </c>
      <c r="I57" s="17" t="s">
        <v>600</v>
      </c>
      <c r="J57" s="48">
        <v>44680</v>
      </c>
      <c r="K57" s="17">
        <v>2.75</v>
      </c>
      <c r="L57" s="49" t="s">
        <v>22</v>
      </c>
      <c r="N57" t="s">
        <v>600</v>
      </c>
      <c r="P57" s="111">
        <f t="shared" si="1"/>
        <v>0</v>
      </c>
    </row>
    <row r="58" spans="1:16" ht="15" customHeight="1" x14ac:dyDescent="0.25">
      <c r="A58" s="10">
        <v>35</v>
      </c>
      <c r="B58" s="48">
        <f t="shared" si="8"/>
        <v>44652</v>
      </c>
      <c r="C58" s="17">
        <v>180</v>
      </c>
      <c r="D58" s="17">
        <v>180</v>
      </c>
      <c r="E58" s="16">
        <v>44652</v>
      </c>
      <c r="F58" t="s">
        <v>59</v>
      </c>
      <c r="H58" s="17">
        <f t="shared" si="5"/>
        <v>360</v>
      </c>
      <c r="I58" s="17" t="s">
        <v>600</v>
      </c>
      <c r="J58" s="48">
        <v>44694</v>
      </c>
      <c r="K58" s="17">
        <v>0.99</v>
      </c>
      <c r="L58" s="49" t="s">
        <v>22</v>
      </c>
      <c r="N58" t="s">
        <v>600</v>
      </c>
      <c r="P58" s="111">
        <f t="shared" si="1"/>
        <v>0</v>
      </c>
    </row>
    <row r="59" spans="1:16" ht="15" customHeight="1" x14ac:dyDescent="0.25">
      <c r="A59" s="10">
        <v>36</v>
      </c>
      <c r="B59" s="48">
        <f t="shared" si="8"/>
        <v>44659</v>
      </c>
      <c r="C59" s="17">
        <v>180</v>
      </c>
      <c r="D59" s="17">
        <v>360</v>
      </c>
      <c r="E59" s="16">
        <v>44669</v>
      </c>
      <c r="F59" t="s">
        <v>117</v>
      </c>
      <c r="H59" s="17">
        <f t="shared" ref="H59:H91" si="9">IFERROR(IF(F58="Closed account",(IF(F59="Unpaid Rent",(C59),(C59-D59))),(IF(F59="Unpaid Rent",(C59+H58),(C59-D59+H58)))),"")</f>
        <v>180</v>
      </c>
      <c r="I59" s="17" t="s">
        <v>600</v>
      </c>
      <c r="J59" s="48">
        <v>44701</v>
      </c>
      <c r="K59" s="17">
        <v>0.99</v>
      </c>
      <c r="L59" s="49" t="s">
        <v>22</v>
      </c>
      <c r="N59" t="s">
        <v>600</v>
      </c>
      <c r="P59" s="111">
        <f t="shared" si="1"/>
        <v>0</v>
      </c>
    </row>
    <row r="60" spans="1:16" ht="15" customHeight="1" x14ac:dyDescent="0.25">
      <c r="A60" s="10">
        <v>37</v>
      </c>
      <c r="B60" s="48">
        <f t="shared" si="8"/>
        <v>44666</v>
      </c>
      <c r="C60" s="17">
        <v>180</v>
      </c>
      <c r="D60" s="17">
        <v>180</v>
      </c>
      <c r="E60" s="16">
        <v>44670</v>
      </c>
      <c r="F60" t="s">
        <v>59</v>
      </c>
      <c r="H60" s="17">
        <f t="shared" si="9"/>
        <v>180</v>
      </c>
      <c r="I60" s="17" t="s">
        <v>600</v>
      </c>
      <c r="J60" s="48">
        <v>44693</v>
      </c>
      <c r="K60" s="17">
        <v>2.75</v>
      </c>
      <c r="L60" s="49" t="s">
        <v>22</v>
      </c>
      <c r="N60" t="s">
        <v>600</v>
      </c>
      <c r="P60" s="111">
        <f t="shared" si="1"/>
        <v>0</v>
      </c>
    </row>
    <row r="61" spans="1:16" ht="15" customHeight="1" x14ac:dyDescent="0.25">
      <c r="A61" s="10">
        <v>38</v>
      </c>
      <c r="B61" s="48">
        <f t="shared" si="8"/>
        <v>44673</v>
      </c>
      <c r="C61" s="17">
        <v>180</v>
      </c>
      <c r="D61" s="17"/>
      <c r="H61" s="17">
        <f t="shared" si="9"/>
        <v>360</v>
      </c>
      <c r="I61" s="17" t="s">
        <v>600</v>
      </c>
      <c r="J61" s="48">
        <v>44687</v>
      </c>
      <c r="K61" s="17">
        <v>0.99</v>
      </c>
      <c r="L61" s="49" t="s">
        <v>22</v>
      </c>
      <c r="N61" t="s">
        <v>600</v>
      </c>
      <c r="P61" s="111">
        <f t="shared" si="1"/>
        <v>0</v>
      </c>
    </row>
    <row r="62" spans="1:16" ht="15" customHeight="1" x14ac:dyDescent="0.25">
      <c r="A62" s="10">
        <v>39</v>
      </c>
      <c r="B62" s="48">
        <f t="shared" si="8"/>
        <v>44680</v>
      </c>
      <c r="C62" s="17">
        <v>180</v>
      </c>
      <c r="D62" s="17">
        <v>180</v>
      </c>
      <c r="E62" s="16">
        <v>44680</v>
      </c>
      <c r="F62" t="s">
        <v>59</v>
      </c>
      <c r="H62" s="17">
        <f t="shared" si="9"/>
        <v>360</v>
      </c>
      <c r="I62" s="17" t="s">
        <v>600</v>
      </c>
      <c r="J62" s="48">
        <v>44721</v>
      </c>
      <c r="K62" s="17">
        <v>2.75</v>
      </c>
      <c r="L62" s="49" t="s">
        <v>22</v>
      </c>
      <c r="N62" t="s">
        <v>600</v>
      </c>
      <c r="P62" s="111">
        <f t="shared" si="1"/>
        <v>0</v>
      </c>
    </row>
    <row r="63" spans="1:16" ht="15" customHeight="1" x14ac:dyDescent="0.25">
      <c r="A63" s="10">
        <v>40</v>
      </c>
      <c r="B63" s="48">
        <f t="shared" si="8"/>
        <v>44687</v>
      </c>
      <c r="C63" s="17">
        <v>180</v>
      </c>
      <c r="D63" s="17"/>
      <c r="H63" s="17">
        <f t="shared" si="9"/>
        <v>540</v>
      </c>
      <c r="I63" s="17" t="s">
        <v>600</v>
      </c>
      <c r="J63" s="48">
        <v>44715</v>
      </c>
      <c r="K63" s="17">
        <v>0.99</v>
      </c>
      <c r="L63" s="49" t="s">
        <v>22</v>
      </c>
      <c r="N63" t="s">
        <v>600</v>
      </c>
      <c r="P63" s="111">
        <f t="shared" si="1"/>
        <v>0</v>
      </c>
    </row>
    <row r="64" spans="1:16" ht="15" customHeight="1" x14ac:dyDescent="0.25">
      <c r="A64" s="10">
        <v>41</v>
      </c>
      <c r="B64" s="48">
        <f t="shared" si="8"/>
        <v>44694</v>
      </c>
      <c r="C64" s="17">
        <v>180</v>
      </c>
      <c r="D64" s="17"/>
      <c r="E64" s="16"/>
      <c r="H64" s="17">
        <f t="shared" si="9"/>
        <v>720</v>
      </c>
      <c r="I64" s="17" t="s">
        <v>600</v>
      </c>
      <c r="J64" s="48">
        <v>44714</v>
      </c>
      <c r="K64" s="17">
        <v>2.75</v>
      </c>
      <c r="L64" s="49" t="s">
        <v>22</v>
      </c>
      <c r="N64" t="s">
        <v>600</v>
      </c>
      <c r="P64" s="111">
        <f t="shared" si="1"/>
        <v>0</v>
      </c>
    </row>
    <row r="65" spans="1:16" ht="15" customHeight="1" x14ac:dyDescent="0.25">
      <c r="A65" s="10">
        <v>42</v>
      </c>
      <c r="B65" s="48">
        <f t="shared" si="8"/>
        <v>44701</v>
      </c>
      <c r="C65" s="17">
        <v>180</v>
      </c>
      <c r="D65" s="17">
        <v>180</v>
      </c>
      <c r="E65" s="16">
        <v>44700</v>
      </c>
      <c r="F65" t="s">
        <v>59</v>
      </c>
      <c r="H65" s="17">
        <f t="shared" si="9"/>
        <v>720</v>
      </c>
      <c r="I65" s="17" t="s">
        <v>600</v>
      </c>
      <c r="J65" s="48">
        <v>44708</v>
      </c>
      <c r="K65" s="17">
        <v>0.99</v>
      </c>
      <c r="L65" s="49" t="s">
        <v>22</v>
      </c>
      <c r="N65" t="s">
        <v>600</v>
      </c>
      <c r="P65" s="111">
        <f t="shared" si="1"/>
        <v>0</v>
      </c>
    </row>
    <row r="66" spans="1:16" ht="15" customHeight="1" x14ac:dyDescent="0.25">
      <c r="A66" s="10">
        <v>43</v>
      </c>
      <c r="B66" s="48">
        <f t="shared" ref="B66:B72" si="10">B65+7</f>
        <v>44708</v>
      </c>
      <c r="C66" s="17">
        <v>180</v>
      </c>
      <c r="D66" s="17">
        <v>180</v>
      </c>
      <c r="E66" s="16">
        <v>44707</v>
      </c>
      <c r="F66" t="s">
        <v>59</v>
      </c>
      <c r="H66" s="17">
        <f t="shared" si="9"/>
        <v>720</v>
      </c>
      <c r="I66" s="17" t="s">
        <v>600</v>
      </c>
      <c r="J66" s="48">
        <v>44728</v>
      </c>
      <c r="K66" s="17">
        <v>2.75</v>
      </c>
      <c r="L66" s="49" t="s">
        <v>22</v>
      </c>
      <c r="N66" t="s">
        <v>600</v>
      </c>
      <c r="P66" s="111">
        <f t="shared" si="1"/>
        <v>0</v>
      </c>
    </row>
    <row r="67" spans="1:16" ht="15" customHeight="1" x14ac:dyDescent="0.25">
      <c r="A67" s="10">
        <v>44</v>
      </c>
      <c r="B67" s="48">
        <f t="shared" si="10"/>
        <v>44715</v>
      </c>
      <c r="C67" s="17">
        <v>180</v>
      </c>
      <c r="D67" s="17"/>
      <c r="E67" s="16"/>
      <c r="H67" s="17">
        <f t="shared" si="9"/>
        <v>900</v>
      </c>
      <c r="I67" s="17" t="s">
        <v>600</v>
      </c>
      <c r="J67" s="48">
        <v>44722</v>
      </c>
      <c r="K67" s="17">
        <v>0.99</v>
      </c>
      <c r="L67" s="49" t="s">
        <v>22</v>
      </c>
      <c r="N67" t="s">
        <v>600</v>
      </c>
      <c r="P67" s="111">
        <f t="shared" si="1"/>
        <v>0</v>
      </c>
    </row>
    <row r="68" spans="1:16" ht="15" customHeight="1" x14ac:dyDescent="0.25">
      <c r="A68" s="10">
        <v>45</v>
      </c>
      <c r="B68" s="48">
        <f t="shared" si="10"/>
        <v>44722</v>
      </c>
      <c r="C68" s="17">
        <v>180</v>
      </c>
      <c r="D68" s="17"/>
      <c r="E68" s="16"/>
      <c r="H68" s="17">
        <f t="shared" si="9"/>
        <v>1080</v>
      </c>
      <c r="I68" s="17" t="s">
        <v>600</v>
      </c>
      <c r="J68" s="48">
        <v>44735</v>
      </c>
      <c r="K68" s="17">
        <v>2.75</v>
      </c>
      <c r="L68" s="49" t="s">
        <v>22</v>
      </c>
      <c r="N68" t="s">
        <v>600</v>
      </c>
      <c r="P68" s="111">
        <f t="shared" si="1"/>
        <v>0</v>
      </c>
    </row>
    <row r="69" spans="1:16" ht="15" customHeight="1" x14ac:dyDescent="0.25">
      <c r="A69" s="10">
        <v>46</v>
      </c>
      <c r="B69" s="48">
        <f t="shared" si="10"/>
        <v>44729</v>
      </c>
      <c r="C69" s="17">
        <v>180</v>
      </c>
      <c r="D69" s="17"/>
      <c r="E69" s="16"/>
      <c r="H69" s="17">
        <f t="shared" si="9"/>
        <v>1260</v>
      </c>
      <c r="I69" s="17" t="s">
        <v>600</v>
      </c>
      <c r="J69" s="48">
        <v>44729</v>
      </c>
      <c r="K69" s="17">
        <v>0.99</v>
      </c>
      <c r="L69" s="49" t="s">
        <v>22</v>
      </c>
      <c r="N69" t="s">
        <v>600</v>
      </c>
      <c r="P69" s="111">
        <f t="shared" si="1"/>
        <v>0</v>
      </c>
    </row>
    <row r="70" spans="1:16" ht="15" customHeight="1" x14ac:dyDescent="0.25">
      <c r="A70" s="10">
        <v>47</v>
      </c>
      <c r="B70" s="48">
        <f t="shared" si="10"/>
        <v>44736</v>
      </c>
      <c r="C70" s="17">
        <v>180</v>
      </c>
      <c r="D70" s="17">
        <v>500</v>
      </c>
      <c r="E70" s="16">
        <v>44738</v>
      </c>
      <c r="F70" t="s">
        <v>117</v>
      </c>
      <c r="H70" s="17">
        <f t="shared" si="9"/>
        <v>940</v>
      </c>
      <c r="I70" s="17" t="s">
        <v>600</v>
      </c>
      <c r="J70" s="48">
        <v>44747</v>
      </c>
      <c r="K70" s="17">
        <v>187</v>
      </c>
      <c r="L70" s="49" t="s">
        <v>26</v>
      </c>
      <c r="M70" t="s">
        <v>675</v>
      </c>
      <c r="N70" t="s">
        <v>600</v>
      </c>
      <c r="P70" s="111">
        <f t="shared" si="1"/>
        <v>0</v>
      </c>
    </row>
    <row r="71" spans="1:16" ht="15" customHeight="1" x14ac:dyDescent="0.25">
      <c r="A71" s="10">
        <v>48</v>
      </c>
      <c r="B71" s="48">
        <f t="shared" si="10"/>
        <v>44743</v>
      </c>
      <c r="C71" s="17">
        <v>180</v>
      </c>
      <c r="D71" s="17"/>
      <c r="H71" s="17">
        <f t="shared" si="9"/>
        <v>1120</v>
      </c>
      <c r="I71" s="17" t="s">
        <v>600</v>
      </c>
      <c r="J71" s="48">
        <v>44742</v>
      </c>
      <c r="K71" s="17">
        <v>2.75</v>
      </c>
      <c r="L71" s="49" t="s">
        <v>22</v>
      </c>
      <c r="N71" t="s">
        <v>600</v>
      </c>
      <c r="P71" s="111">
        <f t="shared" si="1"/>
        <v>0</v>
      </c>
    </row>
    <row r="72" spans="1:16" ht="15" customHeight="1" x14ac:dyDescent="0.25">
      <c r="A72" s="10">
        <v>49</v>
      </c>
      <c r="B72" s="48">
        <f t="shared" si="10"/>
        <v>44750</v>
      </c>
      <c r="C72" s="17">
        <v>180</v>
      </c>
      <c r="D72" s="17">
        <v>180</v>
      </c>
      <c r="E72" s="16">
        <v>44750</v>
      </c>
      <c r="F72" t="s">
        <v>117</v>
      </c>
      <c r="H72" s="17">
        <f t="shared" si="9"/>
        <v>1120</v>
      </c>
      <c r="I72" s="17" t="s">
        <v>600</v>
      </c>
      <c r="J72" s="48">
        <v>44736</v>
      </c>
      <c r="K72" s="17">
        <v>0.99</v>
      </c>
      <c r="L72" s="49" t="s">
        <v>22</v>
      </c>
      <c r="N72" t="s">
        <v>600</v>
      </c>
      <c r="P72" s="111">
        <f t="shared" si="1"/>
        <v>0</v>
      </c>
    </row>
    <row r="73" spans="1:16" x14ac:dyDescent="0.25">
      <c r="A73" s="10">
        <v>50</v>
      </c>
      <c r="B73" s="48">
        <f>B72+7</f>
        <v>44757</v>
      </c>
      <c r="C73" s="17">
        <v>180</v>
      </c>
      <c r="D73" s="17">
        <v>450</v>
      </c>
      <c r="E73" s="16">
        <v>44753</v>
      </c>
      <c r="F73" t="s">
        <v>117</v>
      </c>
      <c r="H73" s="17">
        <f t="shared" si="9"/>
        <v>850</v>
      </c>
      <c r="I73" s="17" t="s">
        <v>600</v>
      </c>
      <c r="J73" s="48">
        <v>44749</v>
      </c>
      <c r="K73" s="17">
        <v>2.75</v>
      </c>
      <c r="L73" s="49" t="s">
        <v>22</v>
      </c>
      <c r="N73" t="s">
        <v>600</v>
      </c>
      <c r="P73" s="111">
        <f t="shared" si="1"/>
        <v>0</v>
      </c>
    </row>
    <row r="74" spans="1:16" x14ac:dyDescent="0.25">
      <c r="A74" s="10">
        <v>51</v>
      </c>
      <c r="B74" s="48">
        <f>B73+7</f>
        <v>44764</v>
      </c>
      <c r="C74" s="17">
        <v>200</v>
      </c>
      <c r="D74" s="17"/>
      <c r="H74" s="17">
        <f t="shared" si="9"/>
        <v>1050</v>
      </c>
      <c r="I74" s="17" t="s">
        <v>600</v>
      </c>
      <c r="J74" s="48">
        <v>44743</v>
      </c>
      <c r="K74" s="17">
        <v>0.99</v>
      </c>
      <c r="L74" s="49" t="s">
        <v>22</v>
      </c>
      <c r="N74" t="s">
        <v>600</v>
      </c>
      <c r="P74" s="111">
        <f t="shared" si="1"/>
        <v>0</v>
      </c>
    </row>
    <row r="75" spans="1:16" x14ac:dyDescent="0.25">
      <c r="A75" s="10">
        <v>52</v>
      </c>
      <c r="B75" s="48">
        <f>B74+7</f>
        <v>44771</v>
      </c>
      <c r="C75" s="17">
        <v>200</v>
      </c>
      <c r="D75" s="17">
        <v>200</v>
      </c>
      <c r="E75" s="16">
        <v>44771</v>
      </c>
      <c r="F75" t="s">
        <v>117</v>
      </c>
      <c r="H75" s="17">
        <f t="shared" si="9"/>
        <v>1050</v>
      </c>
      <c r="I75" s="17" t="s">
        <v>600</v>
      </c>
      <c r="J75" s="48">
        <v>44755</v>
      </c>
      <c r="K75" s="17">
        <v>106.67</v>
      </c>
      <c r="L75" s="49" t="s">
        <v>32</v>
      </c>
      <c r="N75" t="s">
        <v>606</v>
      </c>
      <c r="P75" s="111">
        <f t="shared" si="1"/>
        <v>0</v>
      </c>
    </row>
    <row r="76" spans="1:16" x14ac:dyDescent="0.25">
      <c r="A76" s="10">
        <v>53</v>
      </c>
      <c r="B76" s="48">
        <f>B75+7</f>
        <v>44778</v>
      </c>
      <c r="C76" s="17">
        <v>200</v>
      </c>
      <c r="D76" s="17"/>
      <c r="F76" t="s">
        <v>124</v>
      </c>
      <c r="H76" s="17">
        <f t="shared" si="9"/>
        <v>1250</v>
      </c>
      <c r="I76" s="17" t="s">
        <v>600</v>
      </c>
      <c r="J76" s="48">
        <v>44755</v>
      </c>
      <c r="K76" s="17">
        <v>15.34</v>
      </c>
      <c r="L76" s="49" t="s">
        <v>32</v>
      </c>
      <c r="N76" t="s">
        <v>606</v>
      </c>
      <c r="P76" s="111">
        <f t="shared" si="1"/>
        <v>0</v>
      </c>
    </row>
    <row r="77" spans="1:16" x14ac:dyDescent="0.25">
      <c r="A77" s="10">
        <v>1</v>
      </c>
      <c r="B77" s="48">
        <v>44967</v>
      </c>
      <c r="C77" s="17">
        <v>300</v>
      </c>
      <c r="D77" s="17">
        <v>300</v>
      </c>
      <c r="E77" s="16">
        <v>44967</v>
      </c>
      <c r="F77" t="s">
        <v>181</v>
      </c>
      <c r="H77" s="17">
        <f t="shared" si="9"/>
        <v>0</v>
      </c>
      <c r="I77" s="17" t="s">
        <v>993</v>
      </c>
      <c r="J77" s="48">
        <v>44762</v>
      </c>
      <c r="K77" s="17">
        <v>205.68</v>
      </c>
      <c r="L77" s="49" t="s">
        <v>20</v>
      </c>
      <c r="N77" t="s">
        <v>606</v>
      </c>
      <c r="P77" s="111">
        <f t="shared" si="1"/>
        <v>0</v>
      </c>
    </row>
    <row r="78" spans="1:16" x14ac:dyDescent="0.25">
      <c r="A78" s="10">
        <v>1</v>
      </c>
      <c r="B78" s="48">
        <v>44967</v>
      </c>
      <c r="C78" s="17">
        <v>200</v>
      </c>
      <c r="D78" s="17">
        <v>200</v>
      </c>
      <c r="E78" s="16">
        <v>44967</v>
      </c>
      <c r="F78" t="s">
        <v>117</v>
      </c>
      <c r="H78" s="17">
        <f t="shared" si="9"/>
        <v>0</v>
      </c>
      <c r="I78" s="17" t="s">
        <v>993</v>
      </c>
      <c r="J78" s="48">
        <v>44770</v>
      </c>
      <c r="K78" s="17">
        <v>80</v>
      </c>
      <c r="L78" s="49" t="s">
        <v>98</v>
      </c>
      <c r="N78" t="s">
        <v>14</v>
      </c>
      <c r="P78" s="111">
        <f t="shared" si="1"/>
        <v>0</v>
      </c>
    </row>
    <row r="79" spans="1:16" x14ac:dyDescent="0.25">
      <c r="A79" s="10">
        <v>2</v>
      </c>
      <c r="B79" s="48">
        <f>B78+7</f>
        <v>44974</v>
      </c>
      <c r="C79" s="17">
        <v>200</v>
      </c>
      <c r="D79" s="17">
        <v>200</v>
      </c>
      <c r="E79" s="16">
        <v>44977</v>
      </c>
      <c r="F79" t="s">
        <v>117</v>
      </c>
      <c r="H79" s="17">
        <f t="shared" si="9"/>
        <v>0</v>
      </c>
      <c r="I79" s="17" t="s">
        <v>993</v>
      </c>
      <c r="J79" s="48">
        <v>44775</v>
      </c>
      <c r="K79" s="17">
        <v>1000</v>
      </c>
      <c r="L79" s="49" t="s">
        <v>16</v>
      </c>
      <c r="M79" t="s">
        <v>839</v>
      </c>
      <c r="N79" t="s">
        <v>14</v>
      </c>
      <c r="P79" s="111">
        <f t="shared" si="1"/>
        <v>0</v>
      </c>
    </row>
    <row r="80" spans="1:16" x14ac:dyDescent="0.25">
      <c r="A80" s="10">
        <v>3</v>
      </c>
      <c r="B80" s="48">
        <f>B79+7</f>
        <v>44981</v>
      </c>
      <c r="C80" s="17">
        <v>200</v>
      </c>
      <c r="D80" s="17">
        <v>200</v>
      </c>
      <c r="E80" s="16">
        <v>44982</v>
      </c>
      <c r="F80" t="s">
        <v>117</v>
      </c>
      <c r="H80" s="17">
        <f t="shared" si="9"/>
        <v>0</v>
      </c>
      <c r="I80" s="17" t="s">
        <v>993</v>
      </c>
      <c r="J80" s="48">
        <v>44813</v>
      </c>
      <c r="K80" s="17">
        <v>24.92</v>
      </c>
      <c r="L80" s="49" t="s">
        <v>133</v>
      </c>
      <c r="N80" t="s">
        <v>14</v>
      </c>
      <c r="P80" s="111">
        <f t="shared" si="1"/>
        <v>0</v>
      </c>
    </row>
    <row r="81" spans="1:16" x14ac:dyDescent="0.25">
      <c r="A81" s="10">
        <v>4</v>
      </c>
      <c r="B81" s="48">
        <f>B80+7</f>
        <v>44988</v>
      </c>
      <c r="C81" s="17">
        <v>200</v>
      </c>
      <c r="D81" s="17">
        <v>200</v>
      </c>
      <c r="E81" s="16">
        <v>44990</v>
      </c>
      <c r="F81" t="s">
        <v>124</v>
      </c>
      <c r="H81" s="17">
        <f t="shared" si="9"/>
        <v>0</v>
      </c>
      <c r="I81" s="17" t="s">
        <v>993</v>
      </c>
      <c r="J81" s="48">
        <v>44855</v>
      </c>
      <c r="K81" s="17">
        <v>25</v>
      </c>
      <c r="L81" s="49" t="s">
        <v>17</v>
      </c>
      <c r="M81" t="s">
        <v>470</v>
      </c>
      <c r="N81" t="s">
        <v>14</v>
      </c>
      <c r="P81" s="111">
        <f t="shared" si="1"/>
        <v>0</v>
      </c>
    </row>
    <row r="82" spans="1:16" x14ac:dyDescent="0.25">
      <c r="A82" s="10">
        <v>1</v>
      </c>
      <c r="B82" s="48">
        <v>45014</v>
      </c>
      <c r="C82" s="17">
        <v>200</v>
      </c>
      <c r="D82" s="17">
        <v>200</v>
      </c>
      <c r="E82" s="16">
        <v>45008</v>
      </c>
      <c r="F82" t="s">
        <v>181</v>
      </c>
      <c r="H82" s="17">
        <f t="shared" si="9"/>
        <v>0</v>
      </c>
      <c r="I82" s="17" t="s">
        <v>1006</v>
      </c>
      <c r="J82" s="48">
        <v>44860</v>
      </c>
      <c r="K82" s="17">
        <v>665.5</v>
      </c>
      <c r="L82" s="49" t="s">
        <v>17</v>
      </c>
      <c r="M82" t="s">
        <v>675</v>
      </c>
      <c r="N82" t="s">
        <v>14</v>
      </c>
      <c r="P82" s="111">
        <f t="shared" si="1"/>
        <v>0</v>
      </c>
    </row>
    <row r="83" spans="1:16" x14ac:dyDescent="0.25">
      <c r="A83" s="10">
        <v>1</v>
      </c>
      <c r="B83" s="48">
        <v>45013</v>
      </c>
      <c r="C83" s="17">
        <v>200</v>
      </c>
      <c r="D83" s="17">
        <v>200</v>
      </c>
      <c r="E83" s="16">
        <v>45014</v>
      </c>
      <c r="F83" t="s">
        <v>117</v>
      </c>
      <c r="H83" s="17">
        <f t="shared" si="9"/>
        <v>0</v>
      </c>
      <c r="I83" s="17" t="s">
        <v>1006</v>
      </c>
      <c r="J83" s="48">
        <v>44875</v>
      </c>
      <c r="K83" s="17">
        <v>205.68</v>
      </c>
      <c r="L83" s="49" t="s">
        <v>20</v>
      </c>
      <c r="N83" t="s">
        <v>14</v>
      </c>
      <c r="P83" s="111">
        <f t="shared" si="1"/>
        <v>0</v>
      </c>
    </row>
    <row r="84" spans="1:16" x14ac:dyDescent="0.25">
      <c r="A84" s="10">
        <v>2</v>
      </c>
      <c r="B84" s="48">
        <f t="shared" ref="B84:B89" si="11">B83+7</f>
        <v>45020</v>
      </c>
      <c r="C84" s="17">
        <v>200</v>
      </c>
      <c r="D84" s="17">
        <v>200</v>
      </c>
      <c r="E84" s="16">
        <v>45022</v>
      </c>
      <c r="F84" t="s">
        <v>117</v>
      </c>
      <c r="H84" s="17">
        <f t="shared" si="9"/>
        <v>0</v>
      </c>
      <c r="I84" s="17" t="s">
        <v>1006</v>
      </c>
      <c r="J84" s="48">
        <v>45002</v>
      </c>
      <c r="K84" s="17">
        <v>300</v>
      </c>
      <c r="L84" s="49" t="s">
        <v>45</v>
      </c>
      <c r="N84" t="s">
        <v>993</v>
      </c>
      <c r="P84" s="111">
        <f t="shared" si="1"/>
        <v>0</v>
      </c>
    </row>
    <row r="85" spans="1:16" x14ac:dyDescent="0.25">
      <c r="A85" s="10">
        <v>3</v>
      </c>
      <c r="B85" s="48">
        <f t="shared" si="11"/>
        <v>45027</v>
      </c>
      <c r="C85" s="17">
        <v>200</v>
      </c>
      <c r="D85" s="17">
        <v>200</v>
      </c>
      <c r="E85" s="16">
        <v>45029</v>
      </c>
      <c r="F85" t="s">
        <v>117</v>
      </c>
      <c r="H85" s="17">
        <f t="shared" si="9"/>
        <v>0</v>
      </c>
      <c r="I85" s="17" t="s">
        <v>1006</v>
      </c>
      <c r="J85" s="48"/>
      <c r="K85" s="17"/>
      <c r="L85" s="49"/>
      <c r="P85" s="111">
        <f t="shared" si="1"/>
        <v>0</v>
      </c>
    </row>
    <row r="86" spans="1:16" x14ac:dyDescent="0.25">
      <c r="A86" s="10">
        <v>4</v>
      </c>
      <c r="B86" s="48">
        <f t="shared" si="11"/>
        <v>45034</v>
      </c>
      <c r="C86" s="17">
        <v>200</v>
      </c>
      <c r="D86" s="17">
        <v>200</v>
      </c>
      <c r="E86" s="16">
        <v>45036</v>
      </c>
      <c r="F86" t="s">
        <v>117</v>
      </c>
      <c r="H86" s="17">
        <f t="shared" si="9"/>
        <v>0</v>
      </c>
      <c r="I86" s="17" t="s">
        <v>1006</v>
      </c>
      <c r="J86" s="48"/>
      <c r="K86" s="17"/>
      <c r="L86" s="49"/>
      <c r="P86" s="111">
        <f t="shared" si="1"/>
        <v>0</v>
      </c>
    </row>
    <row r="87" spans="1:16" x14ac:dyDescent="0.25">
      <c r="A87" s="10">
        <v>5</v>
      </c>
      <c r="B87" s="48">
        <f t="shared" si="11"/>
        <v>45041</v>
      </c>
      <c r="C87" s="17">
        <v>200</v>
      </c>
      <c r="D87" s="17">
        <v>200</v>
      </c>
      <c r="E87" s="16">
        <v>45043</v>
      </c>
      <c r="F87" t="s">
        <v>117</v>
      </c>
      <c r="H87" s="17">
        <f t="shared" si="9"/>
        <v>0</v>
      </c>
      <c r="I87" s="17" t="s">
        <v>1006</v>
      </c>
      <c r="J87" s="48"/>
      <c r="K87" s="17"/>
      <c r="L87" s="49"/>
      <c r="P87" s="111">
        <f t="shared" si="1"/>
        <v>0</v>
      </c>
    </row>
    <row r="88" spans="1:16" x14ac:dyDescent="0.25">
      <c r="A88" s="10">
        <v>6</v>
      </c>
      <c r="B88" s="48">
        <f t="shared" si="11"/>
        <v>45048</v>
      </c>
      <c r="C88" s="17">
        <v>200</v>
      </c>
      <c r="D88" s="17">
        <v>200</v>
      </c>
      <c r="E88" s="16">
        <v>45049</v>
      </c>
      <c r="F88" t="s">
        <v>117</v>
      </c>
      <c r="H88" s="17">
        <f t="shared" si="9"/>
        <v>0</v>
      </c>
      <c r="I88" s="17" t="s">
        <v>1006</v>
      </c>
      <c r="J88" s="48"/>
      <c r="K88" s="17"/>
      <c r="L88" s="49"/>
      <c r="P88" s="111">
        <f t="shared" si="1"/>
        <v>0</v>
      </c>
    </row>
    <row r="89" spans="1:16" x14ac:dyDescent="0.25">
      <c r="A89" s="10">
        <v>7</v>
      </c>
      <c r="B89" s="48">
        <f t="shared" si="11"/>
        <v>45055</v>
      </c>
      <c r="C89" s="17">
        <v>200</v>
      </c>
      <c r="D89" s="17">
        <v>200</v>
      </c>
      <c r="E89" s="16">
        <v>45056</v>
      </c>
      <c r="F89" t="s">
        <v>117</v>
      </c>
      <c r="H89" s="17">
        <f t="shared" si="9"/>
        <v>0</v>
      </c>
      <c r="I89" s="17" t="s">
        <v>1006</v>
      </c>
      <c r="J89" s="48"/>
      <c r="K89" s="17"/>
      <c r="L89" s="49"/>
      <c r="P89" s="111">
        <f t="shared" si="1"/>
        <v>0</v>
      </c>
    </row>
    <row r="90" spans="1:16" x14ac:dyDescent="0.25">
      <c r="A90" s="10">
        <v>8</v>
      </c>
      <c r="B90" s="48">
        <f>B89+7</f>
        <v>45062</v>
      </c>
      <c r="C90" s="17">
        <v>200</v>
      </c>
      <c r="D90" s="17">
        <v>200</v>
      </c>
      <c r="E90" s="16">
        <v>45064</v>
      </c>
      <c r="F90" t="s">
        <v>117</v>
      </c>
      <c r="H90" s="17">
        <f t="shared" si="9"/>
        <v>0</v>
      </c>
      <c r="I90" s="17" t="s">
        <v>1006</v>
      </c>
      <c r="J90" s="48"/>
      <c r="K90" s="17"/>
      <c r="L90" s="49"/>
      <c r="P90" s="111">
        <f t="shared" si="1"/>
        <v>0</v>
      </c>
    </row>
    <row r="91" spans="1:16" x14ac:dyDescent="0.25">
      <c r="A91" s="10">
        <v>9</v>
      </c>
      <c r="B91" s="48">
        <f>B90+7</f>
        <v>45069</v>
      </c>
      <c r="C91" s="17">
        <v>200</v>
      </c>
      <c r="D91" s="17">
        <v>200</v>
      </c>
      <c r="E91" s="16">
        <v>45070</v>
      </c>
      <c r="F91" t="s">
        <v>117</v>
      </c>
      <c r="H91" s="17">
        <f t="shared" si="9"/>
        <v>0</v>
      </c>
      <c r="I91" s="17" t="s">
        <v>1006</v>
      </c>
      <c r="J91" s="48"/>
      <c r="K91" s="17"/>
      <c r="L91" s="49"/>
      <c r="P91" s="111">
        <f t="shared" si="1"/>
        <v>0</v>
      </c>
    </row>
    <row r="92" spans="1:16" x14ac:dyDescent="0.25">
      <c r="A92"/>
      <c r="B92" s="50"/>
      <c r="J92" s="48"/>
      <c r="K92" s="17"/>
      <c r="L92" s="49"/>
    </row>
    <row r="93" spans="1:16" x14ac:dyDescent="0.25">
      <c r="A93"/>
      <c r="B93" s="50"/>
      <c r="J93" s="48"/>
      <c r="K93" s="17"/>
      <c r="L93" s="49"/>
    </row>
    <row r="94" spans="1:16" x14ac:dyDescent="0.25">
      <c r="A94"/>
      <c r="B94" s="50"/>
      <c r="J94" s="48"/>
      <c r="K94" s="17"/>
      <c r="L94" s="49"/>
    </row>
    <row r="95" spans="1:16" x14ac:dyDescent="0.25">
      <c r="A95"/>
      <c r="B95" s="50"/>
      <c r="J95" s="48"/>
      <c r="K95" s="17"/>
      <c r="L95" s="49"/>
    </row>
    <row r="96" spans="1:16" x14ac:dyDescent="0.25">
      <c r="A96"/>
      <c r="B96" s="50"/>
      <c r="J96" s="48"/>
      <c r="K96" s="17"/>
      <c r="L96" s="49"/>
    </row>
    <row r="97" spans="1:12" x14ac:dyDescent="0.25">
      <c r="A97"/>
      <c r="B97" s="50"/>
      <c r="J97" s="48"/>
      <c r="K97" s="17"/>
      <c r="L97" s="49"/>
    </row>
    <row r="98" spans="1:12" x14ac:dyDescent="0.25">
      <c r="A98"/>
      <c r="B98" s="50"/>
      <c r="J98" s="48"/>
      <c r="K98" s="17"/>
      <c r="L98" s="49"/>
    </row>
    <row r="99" spans="1:12" x14ac:dyDescent="0.25">
      <c r="A99"/>
      <c r="B99" s="50"/>
      <c r="J99" s="48"/>
      <c r="K99" s="17"/>
      <c r="L99" s="49"/>
    </row>
    <row r="100" spans="1:12" x14ac:dyDescent="0.25">
      <c r="A100"/>
      <c r="B100" s="50"/>
      <c r="J100" s="48"/>
      <c r="K100" s="17"/>
      <c r="L100" s="49"/>
    </row>
    <row r="101" spans="1:12" x14ac:dyDescent="0.25">
      <c r="A101"/>
      <c r="B101" s="50"/>
      <c r="J101" s="48"/>
      <c r="K101" s="17"/>
      <c r="L101" s="49"/>
    </row>
    <row r="102" spans="1:12" x14ac:dyDescent="0.25">
      <c r="A102"/>
      <c r="B102" s="50"/>
      <c r="J102" s="48"/>
      <c r="K102" s="17"/>
      <c r="L102" s="49"/>
    </row>
    <row r="103" spans="1:12" x14ac:dyDescent="0.25">
      <c r="A103"/>
      <c r="B103" s="50"/>
      <c r="J103" s="48"/>
      <c r="K103" s="17"/>
      <c r="L103" s="49"/>
    </row>
    <row r="104" spans="1:12" x14ac:dyDescent="0.25">
      <c r="A104"/>
      <c r="B104" s="50"/>
      <c r="J104" s="48"/>
      <c r="K104" s="17"/>
      <c r="L104" s="49"/>
    </row>
    <row r="105" spans="1:12" x14ac:dyDescent="0.25">
      <c r="A105"/>
      <c r="B105" s="50"/>
      <c r="J105" s="48"/>
      <c r="K105" s="17"/>
      <c r="L105" s="49"/>
    </row>
    <row r="106" spans="1:12" x14ac:dyDescent="0.25">
      <c r="A106"/>
      <c r="B106" s="50"/>
      <c r="J106" s="48"/>
      <c r="K106" s="17"/>
      <c r="L106" s="49"/>
    </row>
    <row r="107" spans="1:12" x14ac:dyDescent="0.25">
      <c r="A107"/>
      <c r="B107" s="50"/>
      <c r="J107" s="48"/>
      <c r="K107" s="17"/>
      <c r="L107" s="49"/>
    </row>
    <row r="108" spans="1:12" x14ac:dyDescent="0.25">
      <c r="A108"/>
      <c r="B108" s="50"/>
      <c r="J108" s="48"/>
      <c r="K108" s="17"/>
      <c r="L108" s="49"/>
    </row>
    <row r="109" spans="1:12" x14ac:dyDescent="0.25">
      <c r="A109"/>
      <c r="B109" s="50"/>
      <c r="J109" s="48"/>
      <c r="K109" s="17"/>
      <c r="L109" s="49"/>
    </row>
    <row r="110" spans="1:12" x14ac:dyDescent="0.25">
      <c r="A110"/>
      <c r="B110" s="50"/>
      <c r="J110" s="48"/>
      <c r="K110" s="17"/>
      <c r="L110" s="49"/>
    </row>
    <row r="111" spans="1:12" x14ac:dyDescent="0.25">
      <c r="A111"/>
      <c r="B111" s="50"/>
      <c r="J111" s="48"/>
      <c r="K111" s="17"/>
      <c r="L111" s="49"/>
    </row>
    <row r="112" spans="1:12" x14ac:dyDescent="0.25">
      <c r="A112"/>
      <c r="B112" s="50"/>
      <c r="J112" s="48"/>
      <c r="K112" s="17"/>
      <c r="L112" s="49"/>
    </row>
    <row r="113" spans="1:12" x14ac:dyDescent="0.25">
      <c r="A113"/>
      <c r="B113" s="50"/>
      <c r="J113" s="48"/>
      <c r="K113" s="17"/>
      <c r="L113" s="49"/>
    </row>
    <row r="114" spans="1:12" x14ac:dyDescent="0.25">
      <c r="A114"/>
      <c r="B114" s="50"/>
      <c r="J114" s="48"/>
      <c r="K114" s="17"/>
      <c r="L114" s="49"/>
    </row>
    <row r="115" spans="1:12" x14ac:dyDescent="0.25">
      <c r="A115"/>
      <c r="B115" s="50"/>
      <c r="J115" s="48"/>
      <c r="K115" s="17"/>
      <c r="L115" s="49"/>
    </row>
    <row r="116" spans="1:12" x14ac:dyDescent="0.25">
      <c r="A116"/>
      <c r="B116" s="50"/>
      <c r="J116" s="48"/>
      <c r="K116" s="17"/>
      <c r="L116" s="49"/>
    </row>
    <row r="117" spans="1:12" x14ac:dyDescent="0.25">
      <c r="A117"/>
      <c r="B117" s="50"/>
      <c r="J117" s="48"/>
      <c r="K117" s="17"/>
      <c r="L117" s="49"/>
    </row>
    <row r="118" spans="1:12" x14ac:dyDescent="0.25">
      <c r="A118"/>
      <c r="B118" s="50"/>
      <c r="J118" s="48"/>
      <c r="K118" s="17"/>
      <c r="L118" s="49"/>
    </row>
    <row r="119" spans="1:12" x14ac:dyDescent="0.25">
      <c r="A119"/>
      <c r="B119" s="50"/>
      <c r="J119" s="48"/>
      <c r="K119" s="17"/>
      <c r="L119" s="49"/>
    </row>
    <row r="120" spans="1:12" x14ac:dyDescent="0.25">
      <c r="A120"/>
      <c r="B120" s="50"/>
      <c r="J120" s="48"/>
      <c r="K120" s="17"/>
      <c r="L120" s="49"/>
    </row>
    <row r="121" spans="1:12" x14ac:dyDescent="0.25">
      <c r="B121" s="50"/>
      <c r="J121" s="48"/>
      <c r="K121" s="17"/>
      <c r="L121" s="49"/>
    </row>
    <row r="122" spans="1:12" x14ac:dyDescent="0.25">
      <c r="B122" s="50"/>
      <c r="J122" s="48"/>
      <c r="K122" s="17"/>
      <c r="L122" s="49"/>
    </row>
    <row r="123" spans="1:12" x14ac:dyDescent="0.25">
      <c r="B123" s="50"/>
      <c r="J123" s="48"/>
      <c r="K123" s="17"/>
      <c r="L123" s="49"/>
    </row>
    <row r="124" spans="1:12" x14ac:dyDescent="0.25">
      <c r="B124" s="50"/>
      <c r="J124" s="48"/>
      <c r="K124" s="17"/>
      <c r="L124" s="49"/>
    </row>
    <row r="125" spans="1:12" x14ac:dyDescent="0.25">
      <c r="B125" s="50"/>
      <c r="J125" s="48"/>
      <c r="K125" s="17"/>
      <c r="L125" s="49"/>
    </row>
    <row r="126" spans="1:12" x14ac:dyDescent="0.25">
      <c r="B126" s="50"/>
      <c r="J126" s="48"/>
      <c r="K126" s="17"/>
      <c r="L126" s="49"/>
    </row>
    <row r="127" spans="1:12" x14ac:dyDescent="0.25">
      <c r="B127" s="50"/>
      <c r="J127" s="48"/>
      <c r="K127" s="17"/>
      <c r="L127" s="49"/>
    </row>
    <row r="128" spans="1:12" x14ac:dyDescent="0.25">
      <c r="B128" s="50"/>
      <c r="J128" s="48"/>
      <c r="K128" s="17"/>
      <c r="L128" s="49"/>
    </row>
    <row r="129" spans="1:12" x14ac:dyDescent="0.25">
      <c r="B129" s="50"/>
      <c r="J129" s="48"/>
      <c r="K129" s="17"/>
      <c r="L129" s="49"/>
    </row>
    <row r="130" spans="1:12" x14ac:dyDescent="0.25">
      <c r="B130" s="50"/>
      <c r="J130" s="48"/>
      <c r="K130" s="17"/>
      <c r="L130" s="49"/>
    </row>
    <row r="131" spans="1:12" x14ac:dyDescent="0.25">
      <c r="B131" s="50"/>
      <c r="J131" s="48"/>
      <c r="K131" s="17"/>
      <c r="L131" s="49"/>
    </row>
    <row r="132" spans="1:12" x14ac:dyDescent="0.25">
      <c r="B132" s="50"/>
      <c r="J132" s="48"/>
      <c r="K132" s="17"/>
      <c r="L132" s="49"/>
    </row>
    <row r="133" spans="1:12" x14ac:dyDescent="0.25">
      <c r="B133" s="50"/>
      <c r="J133" s="48"/>
      <c r="K133" s="17"/>
      <c r="L133" s="49"/>
    </row>
    <row r="134" spans="1:12" x14ac:dyDescent="0.25">
      <c r="B134" s="50"/>
      <c r="J134" s="48"/>
      <c r="K134" s="17"/>
      <c r="L134" s="49"/>
    </row>
    <row r="135" spans="1:12" x14ac:dyDescent="0.25">
      <c r="B135" s="50"/>
      <c r="J135" s="48"/>
      <c r="K135" s="17"/>
      <c r="L135" s="49"/>
    </row>
    <row r="136" spans="1:12" x14ac:dyDescent="0.25">
      <c r="A136" s="10" t="s">
        <v>18</v>
      </c>
      <c r="B136" s="50" t="str">
        <f>IF($A136&lt;&gt;"",IF(_term=26,IF(A136=1,first_payment,B135+14),IF(_term=52,IF(A136=1,first_payment,B135+7),DATE(YEAR(first_payment),MONTH(first_payment)+(A136-1)*per_year,IF(_term=24,IF(1-MOD(A136,2)=1,DAY(first_payment)+14,DAY(first_payment)),DAY(first_payment))))),"")</f>
        <v/>
      </c>
      <c r="H136" t="str">
        <f>IF($A136&lt;&gt;"",$H135-$D136,"")</f>
        <v/>
      </c>
      <c r="J136" s="48"/>
      <c r="K136" s="17"/>
      <c r="L136" s="49"/>
    </row>
    <row r="137" spans="1:12" x14ac:dyDescent="0.25">
      <c r="A137" s="10" t="s">
        <v>18</v>
      </c>
      <c r="B137" s="50" t="str">
        <f>IF($A137&lt;&gt;"",IF(_term=26,IF(A137=1,first_payment,B136+14),IF(_term=52,IF(A137=1,first_payment,B136+7),DATE(YEAR(first_payment),MONTH(first_payment)+(A137-1)*per_year,IF(_term=24,IF(1-MOD(A137,2)=1,DAY(first_payment)+14,DAY(first_payment)),DAY(first_payment))))),"")</f>
        <v/>
      </c>
      <c r="H137" t="str">
        <f>IF($A137&lt;&gt;"",$H136-$D137,"")</f>
        <v/>
      </c>
      <c r="J137" s="48"/>
      <c r="K137" s="17"/>
      <c r="L137" s="49"/>
    </row>
    <row r="138" spans="1:12" x14ac:dyDescent="0.25">
      <c r="A138" s="10" t="s">
        <v>18</v>
      </c>
      <c r="B138" s="50" t="str">
        <f>IF($A138&lt;&gt;"",IF(_term=26,IF(A138=1,first_payment,B137+14),IF(_term=52,IF(A138=1,first_payment,B137+7),DATE(YEAR(first_payment),MONTH(first_payment)+(A138-1)*per_year,IF(_term=24,IF(1-MOD(A138,2)=1,DAY(first_payment)+14,DAY(first_payment)),DAY(first_payment))))),"")</f>
        <v/>
      </c>
      <c r="H138" t="str">
        <f>IF($A138&lt;&gt;"",$H137-$D138,"")</f>
        <v/>
      </c>
      <c r="J138" s="48"/>
      <c r="K138" s="17"/>
      <c r="L138" s="49"/>
    </row>
    <row r="139" spans="1:12" x14ac:dyDescent="0.25">
      <c r="A139" s="10" t="s">
        <v>18</v>
      </c>
      <c r="B139" s="50" t="str">
        <f>IF($A139&lt;&gt;"",IF(_term=26,IF(A139=1,first_payment,B138+14),IF(_term=52,IF(A139=1,first_payment,B138+7),DATE(YEAR(first_payment),MONTH(first_payment)+(A139-1)*per_year,IF(_term=24,IF(1-MOD(A139,2)=1,DAY(first_payment)+14,DAY(first_payment)),DAY(first_payment))))),"")</f>
        <v/>
      </c>
      <c r="H139" t="str">
        <f>IF($A139&lt;&gt;"",$H138-$D139,"")</f>
        <v/>
      </c>
      <c r="J139" s="48"/>
      <c r="K139" s="17"/>
      <c r="L139" s="49"/>
    </row>
    <row r="140" spans="1:12" ht="15" customHeight="1" x14ac:dyDescent="0.25">
      <c r="J140" s="48"/>
      <c r="K140" s="17"/>
      <c r="L140" s="49"/>
    </row>
    <row r="141" spans="1:12" ht="15" customHeight="1" x14ac:dyDescent="0.25">
      <c r="J141" s="48"/>
      <c r="K141" s="17"/>
      <c r="L141" s="49"/>
    </row>
    <row r="142" spans="1:12" ht="15" customHeight="1" x14ac:dyDescent="0.25">
      <c r="J142" s="48"/>
      <c r="K142" s="17"/>
      <c r="L142" s="49"/>
    </row>
    <row r="143" spans="1:12" ht="15" customHeight="1" x14ac:dyDescent="0.25">
      <c r="J143" s="48"/>
      <c r="K143" s="17"/>
      <c r="L143" s="49"/>
    </row>
    <row r="144" spans="1:12" ht="15" customHeight="1" x14ac:dyDescent="0.25">
      <c r="J144" s="48"/>
      <c r="K144" s="17"/>
      <c r="L144" s="49"/>
    </row>
    <row r="145" spans="10:12" ht="15" customHeight="1" x14ac:dyDescent="0.25">
      <c r="J145" s="48"/>
      <c r="K145" s="17"/>
      <c r="L145" s="49"/>
    </row>
    <row r="146" spans="10:12" ht="15" customHeight="1" x14ac:dyDescent="0.25">
      <c r="J146" s="48"/>
      <c r="K146" s="17"/>
      <c r="L146" s="49"/>
    </row>
    <row r="147" spans="10:12" ht="15" customHeight="1" x14ac:dyDescent="0.25">
      <c r="J147" s="48"/>
      <c r="K147" s="17"/>
      <c r="L147" s="49"/>
    </row>
    <row r="148" spans="10:12" ht="15" customHeight="1" x14ac:dyDescent="0.25">
      <c r="J148" s="48"/>
      <c r="K148" s="17"/>
      <c r="L148" s="49"/>
    </row>
    <row r="149" spans="10:12" ht="15" customHeight="1" x14ac:dyDescent="0.25">
      <c r="J149" s="48"/>
      <c r="K149" s="17"/>
      <c r="L149" s="49"/>
    </row>
    <row r="150" spans="10:12" ht="15" customHeight="1" x14ac:dyDescent="0.25">
      <c r="J150" s="48"/>
      <c r="K150" s="17"/>
      <c r="L150" s="49"/>
    </row>
    <row r="151" spans="10:12" ht="15" customHeight="1" x14ac:dyDescent="0.25">
      <c r="J151" s="48"/>
      <c r="K151" s="17"/>
      <c r="L151" s="49"/>
    </row>
    <row r="152" spans="10:12" ht="15" customHeight="1" x14ac:dyDescent="0.25">
      <c r="J152" s="48"/>
      <c r="K152" s="17"/>
      <c r="L152" s="49"/>
    </row>
    <row r="153" spans="10:12" ht="15" customHeight="1" x14ac:dyDescent="0.25">
      <c r="J153" s="48"/>
      <c r="K153" s="17"/>
      <c r="L153" s="49"/>
    </row>
    <row r="154" spans="10:12" ht="15" customHeight="1" x14ac:dyDescent="0.25">
      <c r="J154" s="48"/>
      <c r="K154" s="17"/>
      <c r="L154" s="49"/>
    </row>
    <row r="155" spans="10:12" ht="15" customHeight="1" x14ac:dyDescent="0.25">
      <c r="J155" s="48"/>
      <c r="K155" s="17"/>
      <c r="L155" s="49"/>
    </row>
    <row r="156" spans="10:12" ht="15" customHeight="1" x14ac:dyDescent="0.25">
      <c r="J156" s="48"/>
      <c r="K156" s="17"/>
      <c r="L156" s="49"/>
    </row>
    <row r="157" spans="10:12" ht="15" customHeight="1" x14ac:dyDescent="0.25">
      <c r="J157" s="48"/>
      <c r="K157" s="17"/>
      <c r="L157" s="49"/>
    </row>
    <row r="158" spans="10:12" ht="15" customHeight="1" x14ac:dyDescent="0.25">
      <c r="J158" s="48"/>
      <c r="K158" s="17"/>
      <c r="L158" s="49"/>
    </row>
    <row r="159" spans="10:12" ht="15" customHeight="1" x14ac:dyDescent="0.25">
      <c r="J159" s="48"/>
      <c r="K159" s="17"/>
      <c r="L159" s="49"/>
    </row>
    <row r="160" spans="10:12" ht="15" customHeight="1" x14ac:dyDescent="0.25">
      <c r="J160" s="48"/>
      <c r="K160" s="17"/>
      <c r="L160" s="49"/>
    </row>
    <row r="161" spans="10:12" ht="15" customHeight="1" x14ac:dyDescent="0.25">
      <c r="J161" s="48"/>
      <c r="K161" s="17"/>
      <c r="L161" s="49"/>
    </row>
    <row r="162" spans="10:12" ht="15" customHeight="1" x14ac:dyDescent="0.25">
      <c r="J162" s="48"/>
      <c r="K162" s="17"/>
      <c r="L162" s="49"/>
    </row>
    <row r="163" spans="10:12" ht="15" customHeight="1" x14ac:dyDescent="0.25">
      <c r="J163" s="48"/>
      <c r="K163" s="17"/>
      <c r="L163" s="49"/>
    </row>
    <row r="164" spans="10:12" ht="15" customHeight="1" x14ac:dyDescent="0.25">
      <c r="J164" s="48"/>
      <c r="K164" s="17"/>
      <c r="L164" s="49"/>
    </row>
    <row r="165" spans="10:12" ht="15" customHeight="1" x14ac:dyDescent="0.25">
      <c r="J165" s="48"/>
      <c r="K165" s="17"/>
      <c r="L165" s="49"/>
    </row>
    <row r="166" spans="10:12" ht="15" customHeight="1" x14ac:dyDescent="0.25">
      <c r="J166" s="48"/>
      <c r="K166" s="17"/>
      <c r="L166" s="49"/>
    </row>
    <row r="167" spans="10:12" ht="15" customHeight="1" x14ac:dyDescent="0.25">
      <c r="J167" s="48"/>
      <c r="K167" s="17"/>
      <c r="L167" s="49"/>
    </row>
    <row r="168" spans="10:12" ht="15" customHeight="1" x14ac:dyDescent="0.25">
      <c r="J168" s="48"/>
      <c r="K168" s="17"/>
      <c r="L168" s="49"/>
    </row>
    <row r="169" spans="10:12" ht="15" customHeight="1" x14ac:dyDescent="0.25">
      <c r="J169" s="48"/>
      <c r="K169" s="17"/>
      <c r="L169" s="49"/>
    </row>
    <row r="170" spans="10:12" ht="15" customHeight="1" x14ac:dyDescent="0.25">
      <c r="J170" s="48"/>
      <c r="K170" s="17"/>
      <c r="L170" s="49"/>
    </row>
    <row r="171" spans="10:12" ht="15" customHeight="1" x14ac:dyDescent="0.25">
      <c r="J171" s="48"/>
      <c r="K171" s="17"/>
      <c r="L171" s="49"/>
    </row>
    <row r="172" spans="10:12" ht="15" customHeight="1" x14ac:dyDescent="0.25">
      <c r="J172" s="48"/>
      <c r="K172" s="17"/>
      <c r="L172" s="49"/>
    </row>
    <row r="173" spans="10:12" ht="15" customHeight="1" x14ac:dyDescent="0.25">
      <c r="J173" s="48"/>
      <c r="K173" s="17"/>
      <c r="L173" s="49"/>
    </row>
    <row r="174" spans="10:12" ht="15" customHeight="1" x14ac:dyDescent="0.25">
      <c r="J174" s="48"/>
      <c r="K174" s="17"/>
      <c r="L174" s="49"/>
    </row>
    <row r="175" spans="10:12" ht="15" customHeight="1" x14ac:dyDescent="0.25">
      <c r="J175" s="48"/>
      <c r="K175" s="17"/>
      <c r="L175" s="49"/>
    </row>
    <row r="176" spans="10:12" ht="15" customHeight="1" x14ac:dyDescent="0.25">
      <c r="J176" s="48"/>
      <c r="K176" s="17"/>
      <c r="L176" s="49"/>
    </row>
    <row r="177" spans="10:12" ht="15" customHeight="1" x14ac:dyDescent="0.25">
      <c r="J177" s="48"/>
      <c r="K177" s="17"/>
      <c r="L177" s="49"/>
    </row>
    <row r="178" spans="10:12" ht="15" customHeight="1" x14ac:dyDescent="0.25">
      <c r="J178" s="48"/>
      <c r="K178" s="17"/>
      <c r="L178" s="49"/>
    </row>
    <row r="179" spans="10:12" ht="15" customHeight="1" x14ac:dyDescent="0.25">
      <c r="J179" s="48"/>
      <c r="K179" s="17"/>
      <c r="L179" s="49"/>
    </row>
    <row r="180" spans="10:12" ht="15" customHeight="1" x14ac:dyDescent="0.25">
      <c r="J180" s="48"/>
      <c r="K180" s="17"/>
      <c r="L180" s="49"/>
    </row>
    <row r="181" spans="10:12" ht="15" customHeight="1" x14ac:dyDescent="0.25">
      <c r="J181" s="48"/>
      <c r="K181" s="17"/>
      <c r="L181" s="49"/>
    </row>
    <row r="182" spans="10:12" ht="15" customHeight="1" x14ac:dyDescent="0.25">
      <c r="J182" s="48"/>
      <c r="K182" s="17"/>
      <c r="L182" s="49"/>
    </row>
    <row r="183" spans="10:12" ht="15" customHeight="1" x14ac:dyDescent="0.25">
      <c r="J183" s="48"/>
      <c r="K183" s="17"/>
      <c r="L183" s="49"/>
    </row>
    <row r="184" spans="10:12" ht="15" customHeight="1" x14ac:dyDescent="0.25">
      <c r="J184" s="48"/>
      <c r="K184" s="17"/>
      <c r="L184" s="49"/>
    </row>
    <row r="185" spans="10:12" ht="15" customHeight="1" x14ac:dyDescent="0.25">
      <c r="J185" s="48"/>
      <c r="K185" s="17"/>
      <c r="L185" s="49"/>
    </row>
    <row r="186" spans="10:12" ht="15" customHeight="1" x14ac:dyDescent="0.25">
      <c r="J186" s="48"/>
      <c r="K186" s="17"/>
      <c r="L186" s="49"/>
    </row>
    <row r="187" spans="10:12" ht="15" customHeight="1" x14ac:dyDescent="0.25">
      <c r="J187" s="48"/>
      <c r="K187" s="17"/>
      <c r="L187" s="49"/>
    </row>
    <row r="188" spans="10:12" ht="15" customHeight="1" x14ac:dyDescent="0.25">
      <c r="J188" s="48"/>
      <c r="K188" s="17"/>
      <c r="L188" s="49"/>
    </row>
    <row r="189" spans="10:12" ht="15" customHeight="1" x14ac:dyDescent="0.25">
      <c r="J189" s="48"/>
      <c r="K189" s="17"/>
      <c r="L189" s="49"/>
    </row>
    <row r="190" spans="10:12" ht="15" customHeight="1" x14ac:dyDescent="0.25">
      <c r="J190" s="48"/>
      <c r="K190" s="17"/>
      <c r="L190" s="49"/>
    </row>
    <row r="191" spans="10:12" ht="15" customHeight="1" x14ac:dyDescent="0.25">
      <c r="J191" s="48"/>
      <c r="K191" s="17"/>
      <c r="L191" s="49"/>
    </row>
    <row r="192" spans="10:12" ht="15" customHeight="1" x14ac:dyDescent="0.25">
      <c r="J192" s="48"/>
      <c r="K192" s="17"/>
      <c r="L192" s="49"/>
    </row>
    <row r="193" spans="10:12" ht="15" customHeight="1" x14ac:dyDescent="0.25">
      <c r="J193" s="48"/>
      <c r="K193" s="17"/>
      <c r="L193" s="49"/>
    </row>
    <row r="194" spans="10:12" ht="15" customHeight="1" x14ac:dyDescent="0.25">
      <c r="J194" s="48"/>
      <c r="K194" s="17"/>
      <c r="L194" s="49"/>
    </row>
    <row r="195" spans="10:12" ht="15" customHeight="1" x14ac:dyDescent="0.25">
      <c r="J195" s="48"/>
      <c r="K195" s="17"/>
      <c r="L195" s="49"/>
    </row>
    <row r="196" spans="10:12" ht="15" customHeight="1" x14ac:dyDescent="0.25">
      <c r="J196" s="48"/>
      <c r="K196" s="17"/>
      <c r="L196" s="49"/>
    </row>
    <row r="197" spans="10:12" ht="15" customHeight="1" x14ac:dyDescent="0.25">
      <c r="J197" s="48"/>
      <c r="K197" s="17"/>
      <c r="L197" s="49"/>
    </row>
    <row r="198" spans="10:12" ht="15" customHeight="1" x14ac:dyDescent="0.25">
      <c r="J198" s="48"/>
      <c r="K198" s="17"/>
      <c r="L198" s="49"/>
    </row>
    <row r="199" spans="10:12" ht="15" customHeight="1" x14ac:dyDescent="0.25">
      <c r="J199" s="48"/>
      <c r="K199" s="17"/>
      <c r="L199" s="49"/>
    </row>
    <row r="200" spans="10:12" ht="15" customHeight="1" x14ac:dyDescent="0.25">
      <c r="J200" s="48"/>
      <c r="K200" s="17"/>
      <c r="L200" s="49"/>
    </row>
    <row r="201" spans="10:12" ht="15" customHeight="1" x14ac:dyDescent="0.25">
      <c r="J201" s="48"/>
      <c r="K201" s="17"/>
      <c r="L201" s="49"/>
    </row>
    <row r="202" spans="10:12" ht="15" customHeight="1" x14ac:dyDescent="0.25">
      <c r="J202" s="48"/>
      <c r="K202" s="17"/>
      <c r="L202" s="49"/>
    </row>
    <row r="203" spans="10:12" ht="15" customHeight="1" x14ac:dyDescent="0.25">
      <c r="J203" s="48"/>
      <c r="K203" s="17"/>
      <c r="L203" s="49"/>
    </row>
    <row r="204" spans="10:12" ht="15" customHeight="1" x14ac:dyDescent="0.25">
      <c r="J204" s="48"/>
      <c r="K204" s="17"/>
      <c r="L204" s="49"/>
    </row>
    <row r="205" spans="10:12" ht="15" customHeight="1" x14ac:dyDescent="0.25">
      <c r="J205" s="48"/>
      <c r="K205" s="17"/>
      <c r="L205" s="49"/>
    </row>
    <row r="206" spans="10:12" ht="15" customHeight="1" x14ac:dyDescent="0.25">
      <c r="J206" s="48"/>
      <c r="K206" s="17"/>
      <c r="L206" s="49"/>
    </row>
    <row r="207" spans="10:12" ht="15" customHeight="1" x14ac:dyDescent="0.25">
      <c r="J207" s="48"/>
      <c r="K207" s="17"/>
      <c r="L207" s="49"/>
    </row>
    <row r="208" spans="10:12" ht="15" customHeight="1" x14ac:dyDescent="0.25">
      <c r="J208" s="48"/>
      <c r="K208" s="17"/>
      <c r="L208" s="49"/>
    </row>
    <row r="209" spans="10:12" ht="15" customHeight="1" x14ac:dyDescent="0.25">
      <c r="J209" s="48"/>
      <c r="K209" s="17"/>
      <c r="L209" s="49"/>
    </row>
    <row r="210" spans="10:12" ht="15" customHeight="1" x14ac:dyDescent="0.25">
      <c r="J210" s="48"/>
      <c r="K210" s="17"/>
      <c r="L210" s="49"/>
    </row>
    <row r="211" spans="10:12" ht="15" customHeight="1" x14ac:dyDescent="0.25">
      <c r="J211" s="48"/>
      <c r="K211" s="17"/>
      <c r="L211" s="49"/>
    </row>
    <row r="212" spans="10:12" ht="15" customHeight="1" x14ac:dyDescent="0.25">
      <c r="J212" s="48"/>
      <c r="K212" s="17"/>
      <c r="L212" s="49"/>
    </row>
    <row r="213" spans="10:12" ht="15" customHeight="1" x14ac:dyDescent="0.25">
      <c r="J213" s="48"/>
      <c r="K213" s="17"/>
      <c r="L213" s="49"/>
    </row>
    <row r="214" spans="10:12" ht="15" customHeight="1" x14ac:dyDescent="0.25">
      <c r="J214" s="48"/>
      <c r="K214" s="17"/>
      <c r="L214" s="49"/>
    </row>
    <row r="215" spans="10:12" ht="15" customHeight="1" x14ac:dyDescent="0.25">
      <c r="J215" s="48"/>
      <c r="K215" s="17"/>
      <c r="L215" s="49"/>
    </row>
    <row r="216" spans="10:12" ht="15" customHeight="1" x14ac:dyDescent="0.25">
      <c r="J216" s="48"/>
      <c r="K216" s="17"/>
      <c r="L216" s="49"/>
    </row>
    <row r="217" spans="10:12" ht="15" customHeight="1" x14ac:dyDescent="0.25">
      <c r="J217" s="48"/>
      <c r="K217" s="17"/>
      <c r="L217" s="49"/>
    </row>
    <row r="218" spans="10:12" ht="15" customHeight="1" x14ac:dyDescent="0.25">
      <c r="J218" s="48"/>
      <c r="K218" s="17"/>
      <c r="L218" s="49"/>
    </row>
    <row r="219" spans="10:12" ht="15" customHeight="1" x14ac:dyDescent="0.25">
      <c r="J219" s="48"/>
      <c r="K219" s="17"/>
      <c r="L219" s="49"/>
    </row>
    <row r="220" spans="10:12" ht="15" customHeight="1" x14ac:dyDescent="0.25">
      <c r="J220" s="48"/>
      <c r="K220" s="17"/>
      <c r="L220" s="49"/>
    </row>
    <row r="221" spans="10:12" ht="15" customHeight="1" x14ac:dyDescent="0.25">
      <c r="J221" s="48"/>
      <c r="K221" s="17"/>
      <c r="L221" s="49"/>
    </row>
    <row r="222" spans="10:12" ht="15" customHeight="1" x14ac:dyDescent="0.25">
      <c r="J222" s="48"/>
      <c r="K222" s="17"/>
      <c r="L222" s="49"/>
    </row>
    <row r="223" spans="10:12" ht="15" customHeight="1" x14ac:dyDescent="0.25">
      <c r="J223" s="48"/>
      <c r="K223" s="17"/>
      <c r="L223" s="49"/>
    </row>
    <row r="224" spans="10:12" ht="15" customHeight="1" x14ac:dyDescent="0.25">
      <c r="J224" s="48"/>
      <c r="K224" s="17"/>
      <c r="L224" s="49"/>
    </row>
    <row r="225" spans="10:12" ht="15" customHeight="1" x14ac:dyDescent="0.25">
      <c r="J225" s="48"/>
      <c r="K225" s="17"/>
      <c r="L225" s="49"/>
    </row>
    <row r="226" spans="10:12" ht="15" customHeight="1" x14ac:dyDescent="0.25">
      <c r="J226" s="48"/>
      <c r="K226" s="17"/>
      <c r="L226" s="49"/>
    </row>
    <row r="227" spans="10:12" ht="15" customHeight="1" x14ac:dyDescent="0.25">
      <c r="J227" s="48"/>
      <c r="K227" s="17"/>
      <c r="L227" s="49"/>
    </row>
    <row r="228" spans="10:12" ht="15" customHeight="1" x14ac:dyDescent="0.25">
      <c r="J228" s="48"/>
      <c r="K228" s="17"/>
      <c r="L228" s="49"/>
    </row>
    <row r="229" spans="10:12" ht="15" customHeight="1" x14ac:dyDescent="0.25">
      <c r="J229" s="48"/>
      <c r="K229" s="17"/>
      <c r="L229" s="49"/>
    </row>
    <row r="230" spans="10:12" ht="15" customHeight="1" x14ac:dyDescent="0.25">
      <c r="J230" s="48"/>
      <c r="K230" s="17"/>
      <c r="L230" s="49"/>
    </row>
    <row r="231" spans="10:12" ht="15" customHeight="1" x14ac:dyDescent="0.25">
      <c r="J231" s="48"/>
      <c r="K231" s="17"/>
      <c r="L231" s="49"/>
    </row>
    <row r="232" spans="10:12" ht="15" customHeight="1" x14ac:dyDescent="0.25">
      <c r="J232" s="48"/>
      <c r="K232" s="17"/>
      <c r="L232" s="49"/>
    </row>
    <row r="233" spans="10:12" ht="15" customHeight="1" x14ac:dyDescent="0.25">
      <c r="J233" s="48"/>
      <c r="K233" s="17"/>
      <c r="L233" s="49"/>
    </row>
    <row r="234" spans="10:12" ht="15" customHeight="1" x14ac:dyDescent="0.25">
      <c r="J234" s="48"/>
      <c r="K234" s="17"/>
      <c r="L234" s="49"/>
    </row>
    <row r="235" spans="10:12" ht="15" customHeight="1" x14ac:dyDescent="0.25">
      <c r="J235" s="48"/>
      <c r="K235" s="17"/>
      <c r="L235" s="49"/>
    </row>
    <row r="236" spans="10:12" ht="15" customHeight="1" x14ac:dyDescent="0.25">
      <c r="J236" s="48"/>
      <c r="K236" s="17"/>
      <c r="L236" s="49"/>
    </row>
    <row r="237" spans="10:12" ht="15" customHeight="1" x14ac:dyDescent="0.25">
      <c r="J237" s="48"/>
      <c r="K237" s="17"/>
      <c r="L237" s="49"/>
    </row>
    <row r="238" spans="10:12" ht="15" customHeight="1" x14ac:dyDescent="0.25">
      <c r="J238" s="48"/>
      <c r="K238" s="17"/>
      <c r="L238" s="49"/>
    </row>
    <row r="239" spans="10:12" ht="15" customHeight="1" x14ac:dyDescent="0.25">
      <c r="J239" s="48"/>
      <c r="K239" s="17"/>
      <c r="L239" s="49"/>
    </row>
    <row r="240" spans="10:12" ht="15" customHeight="1" x14ac:dyDescent="0.25">
      <c r="J240" s="48"/>
      <c r="K240" s="17"/>
      <c r="L240" s="49"/>
    </row>
    <row r="241" spans="10:12" ht="15" customHeight="1" x14ac:dyDescent="0.25">
      <c r="J241" s="48"/>
      <c r="K241" s="17"/>
      <c r="L241" s="49"/>
    </row>
    <row r="242" spans="10:12" ht="15" customHeight="1" x14ac:dyDescent="0.25">
      <c r="J242" s="48"/>
      <c r="K242" s="17"/>
      <c r="L242" s="49"/>
    </row>
    <row r="243" spans="10:12" ht="15" customHeight="1" x14ac:dyDescent="0.25">
      <c r="J243" s="48"/>
      <c r="K243" s="17"/>
      <c r="L243" s="49"/>
    </row>
    <row r="244" spans="10:12" ht="15" customHeight="1" x14ac:dyDescent="0.25">
      <c r="J244" s="48"/>
      <c r="K244" s="17"/>
      <c r="L244" s="49"/>
    </row>
    <row r="245" spans="10:12" ht="15" customHeight="1" x14ac:dyDescent="0.25">
      <c r="J245" s="48"/>
      <c r="K245" s="17"/>
      <c r="L245" s="49"/>
    </row>
    <row r="246" spans="10:12" ht="15" customHeight="1" x14ac:dyDescent="0.25">
      <c r="J246" s="48"/>
      <c r="K246" s="17"/>
      <c r="L246" s="49"/>
    </row>
    <row r="247" spans="10:12" ht="15" customHeight="1" x14ac:dyDescent="0.25">
      <c r="J247" s="48"/>
      <c r="K247" s="17"/>
      <c r="L247" s="49"/>
    </row>
    <row r="248" spans="10:12" ht="15" customHeight="1" x14ac:dyDescent="0.25">
      <c r="J248" s="48"/>
      <c r="K248" s="17"/>
      <c r="L248" s="49"/>
    </row>
    <row r="249" spans="10:12" ht="15" customHeight="1" x14ac:dyDescent="0.25">
      <c r="J249" s="48"/>
      <c r="K249" s="17"/>
      <c r="L249" s="49"/>
    </row>
    <row r="250" spans="10:12" ht="15" customHeight="1" x14ac:dyDescent="0.25">
      <c r="J250" s="48"/>
      <c r="K250" s="17"/>
      <c r="L250" s="49"/>
    </row>
    <row r="251" spans="10:12" ht="15" customHeight="1" x14ac:dyDescent="0.25">
      <c r="J251" s="48"/>
      <c r="K251" s="17"/>
      <c r="L251" s="49"/>
    </row>
    <row r="252" spans="10:12" ht="15" customHeight="1" x14ac:dyDescent="0.25">
      <c r="J252" s="48"/>
      <c r="K252" s="17"/>
      <c r="L252" s="49"/>
    </row>
    <row r="253" spans="10:12" ht="15" customHeight="1" x14ac:dyDescent="0.25">
      <c r="J253" s="48"/>
      <c r="K253" s="17"/>
      <c r="L253" s="49"/>
    </row>
    <row r="254" spans="10:12" ht="15" customHeight="1" x14ac:dyDescent="0.25">
      <c r="J254" s="48"/>
      <c r="K254" s="17"/>
      <c r="L254" s="49"/>
    </row>
    <row r="255" spans="10:12" ht="15" customHeight="1" x14ac:dyDescent="0.25">
      <c r="J255" s="48"/>
      <c r="K255" s="17"/>
      <c r="L255" s="49"/>
    </row>
    <row r="256" spans="10:12" ht="15" customHeight="1" x14ac:dyDescent="0.25">
      <c r="J256" s="48"/>
      <c r="K256" s="17"/>
      <c r="L256" s="49"/>
    </row>
    <row r="257" spans="10:12" ht="15" customHeight="1" x14ac:dyDescent="0.25">
      <c r="J257" s="48"/>
      <c r="K257" s="17"/>
      <c r="L257" s="49"/>
    </row>
    <row r="258" spans="10:12" ht="15" customHeight="1" x14ac:dyDescent="0.25">
      <c r="J258" s="48"/>
      <c r="K258" s="17"/>
      <c r="L258" s="49"/>
    </row>
    <row r="259" spans="10:12" ht="15" customHeight="1" x14ac:dyDescent="0.25">
      <c r="J259" s="48"/>
      <c r="K259" s="17"/>
      <c r="L259" s="49"/>
    </row>
    <row r="260" spans="10:12" ht="15" customHeight="1" x14ac:dyDescent="0.25">
      <c r="J260" s="48"/>
      <c r="K260" s="17"/>
      <c r="L260" s="49"/>
    </row>
    <row r="261" spans="10:12" ht="15" customHeight="1" x14ac:dyDescent="0.25">
      <c r="J261" s="48"/>
      <c r="K261" s="17"/>
      <c r="L261" s="49"/>
    </row>
    <row r="262" spans="10:12" ht="15" customHeight="1" x14ac:dyDescent="0.25">
      <c r="J262" s="48"/>
      <c r="K262" s="17"/>
      <c r="L262" s="49"/>
    </row>
    <row r="263" spans="10:12" ht="15" customHeight="1" x14ac:dyDescent="0.25">
      <c r="J263" s="48"/>
      <c r="K263" s="17"/>
      <c r="L263" s="49"/>
    </row>
    <row r="264" spans="10:12" ht="15" customHeight="1" x14ac:dyDescent="0.25">
      <c r="J264" s="48"/>
      <c r="K264" s="17"/>
      <c r="L264" s="49"/>
    </row>
    <row r="265" spans="10:12" ht="15" customHeight="1" x14ac:dyDescent="0.25">
      <c r="J265" s="48"/>
      <c r="K265" s="17"/>
      <c r="L265" s="49"/>
    </row>
    <row r="266" spans="10:12" ht="15" customHeight="1" x14ac:dyDescent="0.25">
      <c r="J266" s="48"/>
      <c r="K266" s="17"/>
      <c r="L266" s="49"/>
    </row>
    <row r="267" spans="10:12" ht="15" customHeight="1" x14ac:dyDescent="0.25">
      <c r="J267" s="48"/>
      <c r="K267" s="17"/>
      <c r="L267" s="49"/>
    </row>
    <row r="268" spans="10:12" ht="15" customHeight="1" x14ac:dyDescent="0.25">
      <c r="J268" s="48"/>
      <c r="K268" s="17"/>
      <c r="L268" s="49"/>
    </row>
    <row r="269" spans="10:12" ht="15" customHeight="1" x14ac:dyDescent="0.25">
      <c r="J269" s="48"/>
      <c r="K269" s="17"/>
      <c r="L269" s="49"/>
    </row>
    <row r="270" spans="10:12" ht="15" customHeight="1" x14ac:dyDescent="0.25">
      <c r="J270" s="48"/>
      <c r="K270" s="17"/>
      <c r="L270" s="49"/>
    </row>
    <row r="271" spans="10:12" ht="15" customHeight="1" x14ac:dyDescent="0.25">
      <c r="J271" s="48"/>
      <c r="K271" s="17"/>
      <c r="L271" s="49"/>
    </row>
    <row r="272" spans="10:12" ht="15" customHeight="1" x14ac:dyDescent="0.25">
      <c r="J272" s="48"/>
      <c r="K272" s="17"/>
      <c r="L272" s="49"/>
    </row>
    <row r="273" spans="10:12" ht="15" customHeight="1" x14ac:dyDescent="0.25">
      <c r="J273" s="48"/>
      <c r="K273" s="17"/>
      <c r="L273" s="49"/>
    </row>
    <row r="274" spans="10:12" ht="15" customHeight="1" x14ac:dyDescent="0.25">
      <c r="J274" s="48"/>
      <c r="K274" s="17"/>
      <c r="L274" s="49"/>
    </row>
    <row r="275" spans="10:12" ht="15" customHeight="1" x14ac:dyDescent="0.25">
      <c r="J275" s="48"/>
      <c r="K275" s="17"/>
      <c r="L275" s="49"/>
    </row>
    <row r="276" spans="10:12" ht="15" customHeight="1" x14ac:dyDescent="0.25">
      <c r="J276" s="48"/>
      <c r="K276" s="17"/>
      <c r="L276" s="49"/>
    </row>
    <row r="277" spans="10:12" ht="15" customHeight="1" x14ac:dyDescent="0.25">
      <c r="J277" s="48"/>
      <c r="K277" s="17"/>
      <c r="L277" s="49"/>
    </row>
    <row r="278" spans="10:12" ht="15" customHeight="1" x14ac:dyDescent="0.25">
      <c r="J278" s="48"/>
      <c r="K278" s="17"/>
      <c r="L278" s="49"/>
    </row>
    <row r="279" spans="10:12" ht="15" customHeight="1" x14ac:dyDescent="0.25">
      <c r="J279" s="48"/>
      <c r="K279" s="17"/>
      <c r="L279" s="49"/>
    </row>
    <row r="280" spans="10:12" ht="15" customHeight="1" x14ac:dyDescent="0.25">
      <c r="J280" s="48"/>
      <c r="K280" s="17"/>
      <c r="L280" s="49"/>
    </row>
    <row r="281" spans="10:12" ht="15" customHeight="1" x14ac:dyDescent="0.25">
      <c r="J281" s="48"/>
      <c r="K281" s="17"/>
      <c r="L281" s="49"/>
    </row>
    <row r="282" spans="10:12" ht="15" customHeight="1" x14ac:dyDescent="0.25">
      <c r="J282" s="48"/>
      <c r="K282" s="17"/>
      <c r="L282" s="49"/>
    </row>
    <row r="283" spans="10:12" ht="15" customHeight="1" x14ac:dyDescent="0.25">
      <c r="J283" s="48"/>
      <c r="K283" s="17"/>
      <c r="L283" s="49"/>
    </row>
    <row r="284" spans="10:12" ht="15" customHeight="1" x14ac:dyDescent="0.25">
      <c r="J284" s="48"/>
      <c r="K284" s="17"/>
      <c r="L284" s="49"/>
    </row>
    <row r="285" spans="10:12" ht="15" customHeight="1" x14ac:dyDescent="0.25">
      <c r="J285" s="48"/>
      <c r="K285" s="17"/>
      <c r="L285" s="49"/>
    </row>
    <row r="286" spans="10:12" ht="15" customHeight="1" x14ac:dyDescent="0.25">
      <c r="J286" s="48"/>
      <c r="K286" s="17"/>
      <c r="L286" s="49"/>
    </row>
    <row r="287" spans="10:12" ht="15" customHeight="1" x14ac:dyDescent="0.25">
      <c r="J287" s="48"/>
      <c r="K287" s="17"/>
      <c r="L287" s="49"/>
    </row>
    <row r="288" spans="10:12" ht="15" customHeight="1" x14ac:dyDescent="0.25">
      <c r="J288" s="48"/>
      <c r="K288" s="17"/>
      <c r="L288" s="49"/>
    </row>
    <row r="289" spans="10:12" ht="15" customHeight="1" x14ac:dyDescent="0.25">
      <c r="J289" s="48"/>
      <c r="K289" s="17"/>
      <c r="L289" s="49"/>
    </row>
    <row r="290" spans="10:12" ht="15" customHeight="1" x14ac:dyDescent="0.25">
      <c r="J290" s="48"/>
      <c r="K290" s="17"/>
      <c r="L290" s="49"/>
    </row>
    <row r="291" spans="10:12" ht="15" customHeight="1" x14ac:dyDescent="0.25">
      <c r="J291" s="48"/>
      <c r="K291" s="17"/>
      <c r="L291" s="49"/>
    </row>
    <row r="292" spans="10:12" ht="15" customHeight="1" x14ac:dyDescent="0.25">
      <c r="J292" s="48"/>
      <c r="K292" s="17"/>
      <c r="L292" s="49"/>
    </row>
    <row r="293" spans="10:12" ht="15" customHeight="1" x14ac:dyDescent="0.25">
      <c r="J293" s="48"/>
      <c r="K293" s="17"/>
      <c r="L293" s="49"/>
    </row>
    <row r="294" spans="10:12" ht="15" customHeight="1" x14ac:dyDescent="0.25">
      <c r="J294" s="48"/>
      <c r="K294" s="17"/>
      <c r="L294" s="49"/>
    </row>
    <row r="295" spans="10:12" ht="15" customHeight="1" x14ac:dyDescent="0.25">
      <c r="J295" s="48"/>
      <c r="K295" s="17"/>
      <c r="L295" s="49"/>
    </row>
    <row r="296" spans="10:12" ht="15" customHeight="1" x14ac:dyDescent="0.25">
      <c r="J296" s="48"/>
      <c r="K296" s="17"/>
      <c r="L296" s="49"/>
    </row>
    <row r="297" spans="10:12" ht="15" customHeight="1" x14ac:dyDescent="0.25">
      <c r="J297" s="48"/>
      <c r="K297" s="17"/>
      <c r="L297" s="49"/>
    </row>
    <row r="298" spans="10:12" ht="15" customHeight="1" x14ac:dyDescent="0.25">
      <c r="J298" s="48"/>
      <c r="K298" s="17"/>
      <c r="L298" s="49"/>
    </row>
    <row r="299" spans="10:12" ht="15" customHeight="1" x14ac:dyDescent="0.25">
      <c r="J299" s="48"/>
      <c r="K299" s="17"/>
      <c r="L299" s="49"/>
    </row>
    <row r="300" spans="10:12" ht="15" customHeight="1" x14ac:dyDescent="0.25">
      <c r="J300" s="48"/>
      <c r="K300" s="17"/>
      <c r="L300" s="49"/>
    </row>
    <row r="301" spans="10:12" ht="15" customHeight="1" x14ac:dyDescent="0.25">
      <c r="J301" s="48"/>
      <c r="K301" s="17"/>
      <c r="L301" s="49"/>
    </row>
    <row r="302" spans="10:12" ht="15" customHeight="1" x14ac:dyDescent="0.25">
      <c r="J302" s="48"/>
      <c r="K302" s="17"/>
      <c r="L302" s="49"/>
    </row>
    <row r="303" spans="10:12" ht="15" customHeight="1" x14ac:dyDescent="0.25">
      <c r="J303" s="48"/>
      <c r="K303" s="17"/>
      <c r="L303" s="49"/>
    </row>
    <row r="304" spans="10:12" ht="15" customHeight="1" x14ac:dyDescent="0.25">
      <c r="J304" s="48"/>
      <c r="K304" s="17"/>
      <c r="L304" s="49"/>
    </row>
    <row r="305" spans="10:12" ht="15" customHeight="1" x14ac:dyDescent="0.25">
      <c r="J305" s="48"/>
      <c r="K305" s="17"/>
      <c r="L305" s="49"/>
    </row>
    <row r="306" spans="10:12" ht="15" customHeight="1" x14ac:dyDescent="0.25">
      <c r="J306" s="48"/>
      <c r="K306" s="17"/>
      <c r="L306" s="49"/>
    </row>
    <row r="307" spans="10:12" ht="15" customHeight="1" x14ac:dyDescent="0.25">
      <c r="J307" s="48"/>
      <c r="K307" s="17"/>
      <c r="L307" s="49"/>
    </row>
    <row r="308" spans="10:12" ht="15" customHeight="1" x14ac:dyDescent="0.25">
      <c r="J308" s="48"/>
      <c r="K308" s="17"/>
      <c r="L308" s="49"/>
    </row>
    <row r="309" spans="10:12" ht="15" customHeight="1" x14ac:dyDescent="0.25">
      <c r="J309" s="48"/>
      <c r="K309" s="17"/>
      <c r="L309" s="49"/>
    </row>
    <row r="310" spans="10:12" ht="15" customHeight="1" x14ac:dyDescent="0.25">
      <c r="J310" s="48"/>
      <c r="K310" s="17"/>
      <c r="L310" s="49"/>
    </row>
    <row r="311" spans="10:12" ht="15" customHeight="1" x14ac:dyDescent="0.25">
      <c r="J311" s="48"/>
      <c r="K311" s="17"/>
      <c r="L311" s="49"/>
    </row>
    <row r="312" spans="10:12" ht="15" customHeight="1" x14ac:dyDescent="0.25">
      <c r="J312" s="48"/>
      <c r="K312" s="17"/>
      <c r="L312" s="49"/>
    </row>
    <row r="313" spans="10:12" ht="15" customHeight="1" x14ac:dyDescent="0.25">
      <c r="J313" s="48"/>
      <c r="K313" s="17"/>
      <c r="L313" s="49"/>
    </row>
    <row r="314" spans="10:12" ht="15" customHeight="1" x14ac:dyDescent="0.25">
      <c r="J314" s="48"/>
      <c r="K314" s="17"/>
      <c r="L314" s="49"/>
    </row>
    <row r="315" spans="10:12" ht="15" customHeight="1" x14ac:dyDescent="0.25">
      <c r="J315" s="48"/>
      <c r="K315" s="17"/>
      <c r="L315" s="49"/>
    </row>
    <row r="316" spans="10:12" ht="15" customHeight="1" x14ac:dyDescent="0.25">
      <c r="J316" s="48"/>
      <c r="K316" s="17"/>
      <c r="L316" s="49"/>
    </row>
    <row r="317" spans="10:12" ht="15" customHeight="1" x14ac:dyDescent="0.25">
      <c r="J317" s="48"/>
      <c r="K317" s="17"/>
      <c r="L317" s="49"/>
    </row>
    <row r="318" spans="10:12" ht="15" customHeight="1" x14ac:dyDescent="0.25">
      <c r="J318" s="48"/>
      <c r="K318" s="17"/>
      <c r="L318" s="49"/>
    </row>
    <row r="319" spans="10:12" ht="15" customHeight="1" x14ac:dyDescent="0.25">
      <c r="J319" s="16"/>
      <c r="K319" s="17"/>
      <c r="L319" s="49"/>
    </row>
    <row r="320" spans="10:12" ht="15" customHeight="1" x14ac:dyDescent="0.25">
      <c r="J320" s="16"/>
      <c r="K320" s="17"/>
      <c r="L320" s="49"/>
    </row>
    <row r="321" spans="10:12" ht="15" customHeight="1" x14ac:dyDescent="0.25">
      <c r="J321" s="16"/>
      <c r="K321" s="17"/>
      <c r="L321" s="49"/>
    </row>
    <row r="322" spans="10:12" ht="15" customHeight="1" x14ac:dyDescent="0.25">
      <c r="J322" s="16"/>
      <c r="K322" s="17"/>
      <c r="L322" s="49"/>
    </row>
    <row r="323" spans="10:12" ht="15" customHeight="1" x14ac:dyDescent="0.25">
      <c r="J323" s="16"/>
      <c r="K323" s="17"/>
      <c r="L323" s="49"/>
    </row>
    <row r="324" spans="10:12" ht="15" customHeight="1" x14ac:dyDescent="0.25">
      <c r="J324" s="16"/>
      <c r="K324" s="17"/>
      <c r="L324" s="49"/>
    </row>
    <row r="325" spans="10:12" ht="15" customHeight="1" x14ac:dyDescent="0.25">
      <c r="J325" s="16"/>
      <c r="K325" s="17"/>
      <c r="L325" s="49"/>
    </row>
    <row r="326" spans="10:12" ht="15" customHeight="1" x14ac:dyDescent="0.25">
      <c r="J326" s="16"/>
      <c r="K326" s="17"/>
      <c r="L326" s="49"/>
    </row>
    <row r="327" spans="10:12" ht="15" customHeight="1" x14ac:dyDescent="0.25">
      <c r="J327" s="16"/>
      <c r="K327" s="17"/>
      <c r="L327" s="49"/>
    </row>
    <row r="328" spans="10:12" ht="15" customHeight="1" x14ac:dyDescent="0.25">
      <c r="J328" s="16"/>
      <c r="K328" s="17"/>
      <c r="L328" s="49"/>
    </row>
    <row r="329" spans="10:12" ht="15" customHeight="1" x14ac:dyDescent="0.25">
      <c r="J329" s="16"/>
      <c r="K329" s="17"/>
      <c r="L329" s="49"/>
    </row>
    <row r="330" spans="10:12" ht="15" customHeight="1" x14ac:dyDescent="0.25">
      <c r="J330" s="16"/>
      <c r="K330" s="17"/>
      <c r="L330" s="49"/>
    </row>
    <row r="331" spans="10:12" ht="15" customHeight="1" x14ac:dyDescent="0.25">
      <c r="J331" s="16"/>
      <c r="K331" s="17"/>
      <c r="L331" s="49"/>
    </row>
    <row r="332" spans="10:12" ht="15" customHeight="1" x14ac:dyDescent="0.25">
      <c r="J332" s="16"/>
      <c r="K332" s="17"/>
      <c r="L332" s="49"/>
    </row>
    <row r="333" spans="10:12" ht="15" customHeight="1" x14ac:dyDescent="0.25">
      <c r="J333" s="16"/>
      <c r="K333" s="17"/>
      <c r="L333" s="49"/>
    </row>
    <row r="334" spans="10:12" ht="15" customHeight="1" x14ac:dyDescent="0.25">
      <c r="J334" s="16"/>
      <c r="K334" s="17"/>
      <c r="L334" s="49"/>
    </row>
    <row r="335" spans="10:12" ht="15" customHeight="1" x14ac:dyDescent="0.25">
      <c r="J335" s="16"/>
      <c r="K335" s="17"/>
      <c r="L335" s="49"/>
    </row>
    <row r="336" spans="10:12" ht="15" customHeight="1" x14ac:dyDescent="0.25">
      <c r="J336" s="16"/>
      <c r="K336" s="17"/>
      <c r="L336" s="49"/>
    </row>
    <row r="337" spans="10:12" ht="15" customHeight="1" x14ac:dyDescent="0.25">
      <c r="J337" s="16"/>
      <c r="K337" s="17"/>
      <c r="L337" s="49"/>
    </row>
    <row r="338" spans="10:12" ht="15" customHeight="1" x14ac:dyDescent="0.25">
      <c r="J338" s="16"/>
      <c r="K338" s="17"/>
      <c r="L338" s="49"/>
    </row>
    <row r="339" spans="10:12" ht="15" customHeight="1" x14ac:dyDescent="0.25">
      <c r="J339" s="16"/>
      <c r="K339" s="17"/>
      <c r="L339" s="49"/>
    </row>
    <row r="340" spans="10:12" ht="15" customHeight="1" x14ac:dyDescent="0.25">
      <c r="J340" s="16"/>
      <c r="K340" s="17"/>
      <c r="L340" s="49"/>
    </row>
    <row r="341" spans="10:12" ht="15" customHeight="1" x14ac:dyDescent="0.25">
      <c r="J341" s="16"/>
      <c r="K341" s="17"/>
      <c r="L341" s="49"/>
    </row>
    <row r="342" spans="10:12" ht="15" customHeight="1" x14ac:dyDescent="0.25">
      <c r="J342" s="16"/>
      <c r="K342" s="17"/>
      <c r="L342" s="49"/>
    </row>
    <row r="343" spans="10:12" ht="15" customHeight="1" x14ac:dyDescent="0.25">
      <c r="J343" s="16"/>
      <c r="K343" s="17"/>
      <c r="L343" s="49"/>
    </row>
    <row r="344" spans="10:12" ht="15" customHeight="1" x14ac:dyDescent="0.25">
      <c r="J344" s="16"/>
      <c r="K344" s="17"/>
      <c r="L344" s="49"/>
    </row>
    <row r="345" spans="10:12" ht="15" customHeight="1" x14ac:dyDescent="0.25">
      <c r="J345" s="16"/>
      <c r="K345" s="17"/>
      <c r="L345" s="49"/>
    </row>
    <row r="346" spans="10:12" ht="15" customHeight="1" x14ac:dyDescent="0.25">
      <c r="J346" s="16"/>
      <c r="K346" s="17"/>
      <c r="L346" s="49"/>
    </row>
    <row r="347" spans="10:12" ht="15" customHeight="1" x14ac:dyDescent="0.25">
      <c r="J347" s="16"/>
      <c r="K347" s="17"/>
      <c r="L347" s="49"/>
    </row>
    <row r="348" spans="10:12" ht="15" customHeight="1" x14ac:dyDescent="0.25">
      <c r="J348" s="16"/>
      <c r="K348" s="17"/>
      <c r="L348" s="49"/>
    </row>
    <row r="349" spans="10:12" ht="15" customHeight="1" x14ac:dyDescent="0.25">
      <c r="J349" s="16"/>
      <c r="K349" s="17"/>
      <c r="L349" s="49"/>
    </row>
    <row r="350" spans="10:12" ht="15" customHeight="1" x14ac:dyDescent="0.25">
      <c r="J350" s="16"/>
      <c r="K350" s="17"/>
      <c r="L350" s="49"/>
    </row>
    <row r="351" spans="10:12" ht="15" customHeight="1" x14ac:dyDescent="0.25">
      <c r="J351" s="16"/>
      <c r="K351" s="17"/>
      <c r="L351" s="49"/>
    </row>
    <row r="352" spans="10:12" ht="15" customHeight="1" x14ac:dyDescent="0.25">
      <c r="J352" s="16"/>
      <c r="K352" s="17"/>
      <c r="L352" s="49"/>
    </row>
    <row r="353" spans="10:12" ht="15" customHeight="1" x14ac:dyDescent="0.25">
      <c r="J353" s="16"/>
      <c r="K353" s="17"/>
      <c r="L353" s="49"/>
    </row>
    <row r="354" spans="10:12" ht="15" customHeight="1" x14ac:dyDescent="0.25">
      <c r="J354" s="16"/>
      <c r="K354" s="17"/>
      <c r="L354" s="49"/>
    </row>
  </sheetData>
  <autoFilter ref="A5:R91" xr:uid="{00000000-0009-0000-0000-000017000000}">
    <filterColumn colId="11" showButton="0"/>
  </autoFilter>
  <mergeCells count="21">
    <mergeCell ref="J2:L3"/>
    <mergeCell ref="M2:N3"/>
    <mergeCell ref="A1:N1"/>
    <mergeCell ref="F2:I3"/>
    <mergeCell ref="A2:E3"/>
    <mergeCell ref="O1:P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M5"/>
    <mergeCell ref="O2:P3"/>
    <mergeCell ref="O4:P5"/>
    <mergeCell ref="N4:N5"/>
  </mergeCells>
  <conditionalFormatting sqref="A7:A58 C32:E58 K7:L9 C7:C22 K11:L32 G7:I58 D31:E31 H59:I76 C59:C91">
    <cfRule type="expression" dxfId="3945" priority="482">
      <formula>AND($A7&lt;&gt;"",MOD(ROW(),2))</formula>
    </cfRule>
  </conditionalFormatting>
  <conditionalFormatting sqref="D31:D58">
    <cfRule type="cellIs" dxfId="3944" priority="479" operator="equal">
      <formula>$C31</formula>
    </cfRule>
    <cfRule type="cellIs" dxfId="3943" priority="480" operator="greaterThan">
      <formula>$C31</formula>
    </cfRule>
    <cfRule type="cellIs" dxfId="3942" priority="481" operator="lessThan">
      <formula>$C31</formula>
    </cfRule>
  </conditionalFormatting>
  <conditionalFormatting sqref="M7:M9 M11:M58">
    <cfRule type="expression" dxfId="3941" priority="475">
      <formula>AND($A7&lt;&gt;"",MOD(ROW(),2))</formula>
    </cfRule>
  </conditionalFormatting>
  <conditionalFormatting sqref="K33:L58">
    <cfRule type="expression" dxfId="3940" priority="458">
      <formula>AND($A33&lt;&gt;"",MOD(ROW(),2))</formula>
    </cfRule>
  </conditionalFormatting>
  <conditionalFormatting sqref="K7:K9 K11:K58">
    <cfRule type="cellIs" dxfId="3939" priority="455" operator="equal">
      <formula>$C7</formula>
    </cfRule>
    <cfRule type="cellIs" dxfId="3938" priority="456" operator="greaterThan">
      <formula>$C7</formula>
    </cfRule>
    <cfRule type="cellIs" dxfId="3937" priority="457" operator="lessThan">
      <formula>$C7</formula>
    </cfRule>
  </conditionalFormatting>
  <conditionalFormatting sqref="K59:L84">
    <cfRule type="expression" dxfId="3936" priority="454">
      <formula>AND($A59&lt;&gt;"",MOD(ROW(),2))</formula>
    </cfRule>
  </conditionalFormatting>
  <conditionalFormatting sqref="K59:K84">
    <cfRule type="cellIs" dxfId="3935" priority="451" operator="equal">
      <formula>$C59</formula>
    </cfRule>
    <cfRule type="cellIs" dxfId="3934" priority="452" operator="greaterThan">
      <formula>$C59</formula>
    </cfRule>
    <cfRule type="cellIs" dxfId="3933" priority="453" operator="lessThan">
      <formula>$C59</formula>
    </cfRule>
  </conditionalFormatting>
  <conditionalFormatting sqref="K85:L110">
    <cfRule type="expression" dxfId="3932" priority="450">
      <formula>AND($A85&lt;&gt;"",MOD(ROW(),2))</formula>
    </cfRule>
  </conditionalFormatting>
  <conditionalFormatting sqref="K85:K110">
    <cfRule type="cellIs" dxfId="3931" priority="447" operator="equal">
      <formula>$C85</formula>
    </cfRule>
    <cfRule type="cellIs" dxfId="3930" priority="448" operator="greaterThan">
      <formula>$C85</formula>
    </cfRule>
    <cfRule type="cellIs" dxfId="3929" priority="449" operator="lessThan">
      <formula>$C85</formula>
    </cfRule>
  </conditionalFormatting>
  <conditionalFormatting sqref="K111:L136">
    <cfRule type="expression" dxfId="3928" priority="446">
      <formula>AND($A111&lt;&gt;"",MOD(ROW(),2))</formula>
    </cfRule>
  </conditionalFormatting>
  <conditionalFormatting sqref="K111:K136">
    <cfRule type="cellIs" dxfId="3927" priority="443" operator="equal">
      <formula>$C111</formula>
    </cfRule>
    <cfRule type="cellIs" dxfId="3926" priority="444" operator="greaterThan">
      <formula>$C111</formula>
    </cfRule>
    <cfRule type="cellIs" dxfId="3925" priority="445" operator="lessThan">
      <formula>$C111</formula>
    </cfRule>
  </conditionalFormatting>
  <conditionalFormatting sqref="K137:L162">
    <cfRule type="expression" dxfId="3924" priority="442">
      <formula>AND($A137&lt;&gt;"",MOD(ROW(),2))</formula>
    </cfRule>
  </conditionalFormatting>
  <conditionalFormatting sqref="K137:K162">
    <cfRule type="cellIs" dxfId="3923" priority="439" operator="equal">
      <formula>$C137</formula>
    </cfRule>
    <cfRule type="cellIs" dxfId="3922" priority="440" operator="greaterThan">
      <formula>$C137</formula>
    </cfRule>
    <cfRule type="cellIs" dxfId="3921" priority="441" operator="lessThan">
      <formula>$C137</formula>
    </cfRule>
  </conditionalFormatting>
  <conditionalFormatting sqref="K163:L188">
    <cfRule type="expression" dxfId="3920" priority="438">
      <formula>AND($A163&lt;&gt;"",MOD(ROW(),2))</formula>
    </cfRule>
  </conditionalFormatting>
  <conditionalFormatting sqref="K163:K188">
    <cfRule type="cellIs" dxfId="3919" priority="435" operator="equal">
      <formula>$C163</formula>
    </cfRule>
    <cfRule type="cellIs" dxfId="3918" priority="436" operator="greaterThan">
      <formula>$C163</formula>
    </cfRule>
    <cfRule type="cellIs" dxfId="3917" priority="437" operator="lessThan">
      <formula>$C163</formula>
    </cfRule>
  </conditionalFormatting>
  <conditionalFormatting sqref="K189:L214">
    <cfRule type="expression" dxfId="3916" priority="434">
      <formula>AND($A189&lt;&gt;"",MOD(ROW(),2))</formula>
    </cfRule>
  </conditionalFormatting>
  <conditionalFormatting sqref="K189:K214">
    <cfRule type="cellIs" dxfId="3915" priority="431" operator="equal">
      <formula>$C189</formula>
    </cfRule>
    <cfRule type="cellIs" dxfId="3914" priority="432" operator="greaterThan">
      <formula>$C189</formula>
    </cfRule>
    <cfRule type="cellIs" dxfId="3913" priority="433" operator="lessThan">
      <formula>$C189</formula>
    </cfRule>
  </conditionalFormatting>
  <conditionalFormatting sqref="K215:L240">
    <cfRule type="expression" dxfId="3912" priority="430">
      <formula>AND($A215&lt;&gt;"",MOD(ROW(),2))</formula>
    </cfRule>
  </conditionalFormatting>
  <conditionalFormatting sqref="K215:K240">
    <cfRule type="cellIs" dxfId="3911" priority="427" operator="equal">
      <formula>$C215</formula>
    </cfRule>
    <cfRule type="cellIs" dxfId="3910" priority="428" operator="greaterThan">
      <formula>$C215</formula>
    </cfRule>
    <cfRule type="cellIs" dxfId="3909" priority="429" operator="lessThan">
      <formula>$C215</formula>
    </cfRule>
  </conditionalFormatting>
  <conditionalFormatting sqref="K241:L266">
    <cfRule type="expression" dxfId="3908" priority="426">
      <formula>AND($A241&lt;&gt;"",MOD(ROW(),2))</formula>
    </cfRule>
  </conditionalFormatting>
  <conditionalFormatting sqref="K241:K266">
    <cfRule type="cellIs" dxfId="3907" priority="423" operator="equal">
      <formula>$C241</formula>
    </cfRule>
    <cfRule type="cellIs" dxfId="3906" priority="424" operator="greaterThan">
      <formula>$C241</formula>
    </cfRule>
    <cfRule type="cellIs" dxfId="3905" priority="425" operator="lessThan">
      <formula>$C241</formula>
    </cfRule>
  </conditionalFormatting>
  <conditionalFormatting sqref="K267:L292">
    <cfRule type="expression" dxfId="3904" priority="422">
      <formula>AND($A267&lt;&gt;"",MOD(ROW(),2))</formula>
    </cfRule>
  </conditionalFormatting>
  <conditionalFormatting sqref="K267:K292">
    <cfRule type="cellIs" dxfId="3903" priority="419" operator="equal">
      <formula>$C267</formula>
    </cfRule>
    <cfRule type="cellIs" dxfId="3902" priority="420" operator="greaterThan">
      <formula>$C267</formula>
    </cfRule>
    <cfRule type="cellIs" dxfId="3901" priority="421" operator="lessThan">
      <formula>$C267</formula>
    </cfRule>
  </conditionalFormatting>
  <conditionalFormatting sqref="K293:L318">
    <cfRule type="expression" dxfId="3900" priority="418">
      <formula>AND($A293&lt;&gt;"",MOD(ROW(),2))</formula>
    </cfRule>
  </conditionalFormatting>
  <conditionalFormatting sqref="K293:K318">
    <cfRule type="cellIs" dxfId="3899" priority="415" operator="equal">
      <formula>$C293</formula>
    </cfRule>
    <cfRule type="cellIs" dxfId="3898" priority="416" operator="greaterThan">
      <formula>$C293</formula>
    </cfRule>
    <cfRule type="cellIs" dxfId="3897" priority="417" operator="lessThan">
      <formula>$C293</formula>
    </cfRule>
  </conditionalFormatting>
  <conditionalFormatting sqref="F31:F2989">
    <cfRule type="containsText" dxfId="3896" priority="414" operator="containsText" text="Unpaid Rent">
      <formula>NOT(ISERROR(SEARCH("Unpaid Rent",F31)))</formula>
    </cfRule>
    <cfRule type="containsText" dxfId="3895" priority="459" stopIfTrue="1" operator="containsText" text="Closed Account">
      <formula>NOT(ISERROR(SEARCH("Closed Account",F31)))</formula>
    </cfRule>
  </conditionalFormatting>
  <conditionalFormatting sqref="L7:M9 M33:M58 L33:L318 L11:M32">
    <cfRule type="expression" dxfId="3894" priority="477">
      <formula>AND(#REF!&lt;&gt;"",MOD(ROW(),2))</formula>
    </cfRule>
  </conditionalFormatting>
  <conditionalFormatting sqref="L7:M9 M33:M58 L33:L318 L11:M32">
    <cfRule type="expression" dxfId="3893" priority="476">
      <formula>AND(#REF!&lt;&gt;"",MOD(ROW(),2))</formula>
    </cfRule>
  </conditionalFormatting>
  <conditionalFormatting sqref="M7:M9 M11:M58">
    <cfRule type="cellIs" dxfId="3892" priority="472" operator="equal">
      <formula>#REF!</formula>
    </cfRule>
    <cfRule type="cellIs" dxfId="3891" priority="473" operator="greaterThan">
      <formula>#REF!</formula>
    </cfRule>
    <cfRule type="cellIs" dxfId="3890" priority="474" operator="lessThan">
      <formula>#REF!</formula>
    </cfRule>
  </conditionalFormatting>
  <conditionalFormatting sqref="K319:L321">
    <cfRule type="expression" dxfId="3889" priority="408">
      <formula>AND($A319&lt;&gt;"",MOD(ROW(),2))</formula>
    </cfRule>
  </conditionalFormatting>
  <conditionalFormatting sqref="K319:K321">
    <cfRule type="cellIs" dxfId="3888" priority="405" operator="equal">
      <formula>$C319</formula>
    </cfRule>
    <cfRule type="cellIs" dxfId="3887" priority="406" operator="greaterThan">
      <formula>$C319</formula>
    </cfRule>
    <cfRule type="cellIs" dxfId="3886" priority="407" operator="lessThan">
      <formula>$C319</formula>
    </cfRule>
  </conditionalFormatting>
  <conditionalFormatting sqref="L319:L321">
    <cfRule type="expression" dxfId="3885" priority="410">
      <formula>AND(#REF!&lt;&gt;"",MOD(ROW(),2))</formula>
    </cfRule>
  </conditionalFormatting>
  <conditionalFormatting sqref="L319:L321">
    <cfRule type="expression" dxfId="3884" priority="409">
      <formula>AND(#REF!&lt;&gt;"",MOD(ROW(),2))</formula>
    </cfRule>
  </conditionalFormatting>
  <conditionalFormatting sqref="K322:L324">
    <cfRule type="expression" dxfId="3883" priority="402">
      <formula>AND($A322&lt;&gt;"",MOD(ROW(),2))</formula>
    </cfRule>
  </conditionalFormatting>
  <conditionalFormatting sqref="K322:K324">
    <cfRule type="cellIs" dxfId="3882" priority="399" operator="equal">
      <formula>$C322</formula>
    </cfRule>
    <cfRule type="cellIs" dxfId="3881" priority="400" operator="greaterThan">
      <formula>$C322</formula>
    </cfRule>
    <cfRule type="cellIs" dxfId="3880" priority="401" operator="lessThan">
      <formula>$C322</formula>
    </cfRule>
  </conditionalFormatting>
  <conditionalFormatting sqref="L322:L324">
    <cfRule type="expression" dxfId="3879" priority="404">
      <formula>AND(#REF!&lt;&gt;"",MOD(ROW(),2))</formula>
    </cfRule>
  </conditionalFormatting>
  <conditionalFormatting sqref="L322:L324">
    <cfRule type="expression" dxfId="3878" priority="403">
      <formula>AND(#REF!&lt;&gt;"",MOD(ROW(),2))</formula>
    </cfRule>
  </conditionalFormatting>
  <conditionalFormatting sqref="K325:L327">
    <cfRule type="expression" dxfId="3877" priority="396">
      <formula>AND($A325&lt;&gt;"",MOD(ROW(),2))</formula>
    </cfRule>
  </conditionalFormatting>
  <conditionalFormatting sqref="K325:K327">
    <cfRule type="cellIs" dxfId="3876" priority="393" operator="equal">
      <formula>$C325</formula>
    </cfRule>
    <cfRule type="cellIs" dxfId="3875" priority="394" operator="greaterThan">
      <formula>$C325</formula>
    </cfRule>
    <cfRule type="cellIs" dxfId="3874" priority="395" operator="lessThan">
      <formula>$C325</formula>
    </cfRule>
  </conditionalFormatting>
  <conditionalFormatting sqref="L325:L327">
    <cfRule type="expression" dxfId="3873" priority="398">
      <formula>AND(#REF!&lt;&gt;"",MOD(ROW(),2))</formula>
    </cfRule>
  </conditionalFormatting>
  <conditionalFormatting sqref="L325:L327">
    <cfRule type="expression" dxfId="3872" priority="397">
      <formula>AND(#REF!&lt;&gt;"",MOD(ROW(),2))</formula>
    </cfRule>
  </conditionalFormatting>
  <conditionalFormatting sqref="K328:L330">
    <cfRule type="expression" dxfId="3871" priority="390">
      <formula>AND($A328&lt;&gt;"",MOD(ROW(),2))</formula>
    </cfRule>
  </conditionalFormatting>
  <conditionalFormatting sqref="K328:K330">
    <cfRule type="cellIs" dxfId="3870" priority="387" operator="equal">
      <formula>$C328</formula>
    </cfRule>
    <cfRule type="cellIs" dxfId="3869" priority="388" operator="greaterThan">
      <formula>$C328</formula>
    </cfRule>
    <cfRule type="cellIs" dxfId="3868" priority="389" operator="lessThan">
      <formula>$C328</formula>
    </cfRule>
  </conditionalFormatting>
  <conditionalFormatting sqref="L328:L330">
    <cfRule type="expression" dxfId="3867" priority="392">
      <formula>AND(#REF!&lt;&gt;"",MOD(ROW(),2))</formula>
    </cfRule>
  </conditionalFormatting>
  <conditionalFormatting sqref="L328:L330">
    <cfRule type="expression" dxfId="3866" priority="391">
      <formula>AND(#REF!&lt;&gt;"",MOD(ROW(),2))</formula>
    </cfRule>
  </conditionalFormatting>
  <conditionalFormatting sqref="K331:L333">
    <cfRule type="expression" dxfId="3865" priority="384">
      <formula>AND($A331&lt;&gt;"",MOD(ROW(),2))</formula>
    </cfRule>
  </conditionalFormatting>
  <conditionalFormatting sqref="K331:K333">
    <cfRule type="cellIs" dxfId="3864" priority="381" operator="equal">
      <formula>$C331</formula>
    </cfRule>
    <cfRule type="cellIs" dxfId="3863" priority="382" operator="greaterThan">
      <formula>$C331</formula>
    </cfRule>
    <cfRule type="cellIs" dxfId="3862" priority="383" operator="lessThan">
      <formula>$C331</formula>
    </cfRule>
  </conditionalFormatting>
  <conditionalFormatting sqref="L331:L333">
    <cfRule type="expression" dxfId="3861" priority="386">
      <formula>AND(#REF!&lt;&gt;"",MOD(ROW(),2))</formula>
    </cfRule>
  </conditionalFormatting>
  <conditionalFormatting sqref="L331:L333">
    <cfRule type="expression" dxfId="3860" priority="385">
      <formula>AND(#REF!&lt;&gt;"",MOD(ROW(),2))</formula>
    </cfRule>
  </conditionalFormatting>
  <conditionalFormatting sqref="K334:L336">
    <cfRule type="expression" dxfId="3859" priority="378">
      <formula>AND($A334&lt;&gt;"",MOD(ROW(),2))</formula>
    </cfRule>
  </conditionalFormatting>
  <conditionalFormatting sqref="K334:K336">
    <cfRule type="cellIs" dxfId="3858" priority="375" operator="equal">
      <formula>$C334</formula>
    </cfRule>
    <cfRule type="cellIs" dxfId="3857" priority="376" operator="greaterThan">
      <formula>$C334</formula>
    </cfRule>
    <cfRule type="cellIs" dxfId="3856" priority="377" operator="lessThan">
      <formula>$C334</formula>
    </cfRule>
  </conditionalFormatting>
  <conditionalFormatting sqref="L334:L336">
    <cfRule type="expression" dxfId="3855" priority="380">
      <formula>AND(#REF!&lt;&gt;"",MOD(ROW(),2))</formula>
    </cfRule>
  </conditionalFormatting>
  <conditionalFormatting sqref="L334:L336">
    <cfRule type="expression" dxfId="3854" priority="379">
      <formula>AND(#REF!&lt;&gt;"",MOD(ROW(),2))</formula>
    </cfRule>
  </conditionalFormatting>
  <conditionalFormatting sqref="K337:L339">
    <cfRule type="expression" dxfId="3853" priority="372">
      <formula>AND($A337&lt;&gt;"",MOD(ROW(),2))</formula>
    </cfRule>
  </conditionalFormatting>
  <conditionalFormatting sqref="K337:K339">
    <cfRule type="cellIs" dxfId="3852" priority="369" operator="equal">
      <formula>$C337</formula>
    </cfRule>
    <cfRule type="cellIs" dxfId="3851" priority="370" operator="greaterThan">
      <formula>$C337</formula>
    </cfRule>
    <cfRule type="cellIs" dxfId="3850" priority="371" operator="lessThan">
      <formula>$C337</formula>
    </cfRule>
  </conditionalFormatting>
  <conditionalFormatting sqref="L337:L339">
    <cfRule type="expression" dxfId="3849" priority="374">
      <formula>AND(#REF!&lt;&gt;"",MOD(ROW(),2))</formula>
    </cfRule>
  </conditionalFormatting>
  <conditionalFormatting sqref="L337:L339">
    <cfRule type="expression" dxfId="3848" priority="373">
      <formula>AND(#REF!&lt;&gt;"",MOD(ROW(),2))</formula>
    </cfRule>
  </conditionalFormatting>
  <conditionalFormatting sqref="K340:L342">
    <cfRule type="expression" dxfId="3847" priority="366">
      <formula>AND($A340&lt;&gt;"",MOD(ROW(),2))</formula>
    </cfRule>
  </conditionalFormatting>
  <conditionalFormatting sqref="K340:K342">
    <cfRule type="cellIs" dxfId="3846" priority="363" operator="equal">
      <formula>$C340</formula>
    </cfRule>
    <cfRule type="cellIs" dxfId="3845" priority="364" operator="greaterThan">
      <formula>$C340</formula>
    </cfRule>
    <cfRule type="cellIs" dxfId="3844" priority="365" operator="lessThan">
      <formula>$C340</formula>
    </cfRule>
  </conditionalFormatting>
  <conditionalFormatting sqref="L340:L342">
    <cfRule type="expression" dxfId="3843" priority="368">
      <formula>AND(#REF!&lt;&gt;"",MOD(ROW(),2))</formula>
    </cfRule>
  </conditionalFormatting>
  <conditionalFormatting sqref="L340:L342">
    <cfRule type="expression" dxfId="3842" priority="367">
      <formula>AND(#REF!&lt;&gt;"",MOD(ROW(),2))</formula>
    </cfRule>
  </conditionalFormatting>
  <conditionalFormatting sqref="K343:L345">
    <cfRule type="expression" dxfId="3841" priority="360">
      <formula>AND($A343&lt;&gt;"",MOD(ROW(),2))</formula>
    </cfRule>
  </conditionalFormatting>
  <conditionalFormatting sqref="K343:K345">
    <cfRule type="cellIs" dxfId="3840" priority="357" operator="equal">
      <formula>$C343</formula>
    </cfRule>
    <cfRule type="cellIs" dxfId="3839" priority="358" operator="greaterThan">
      <formula>$C343</formula>
    </cfRule>
    <cfRule type="cellIs" dxfId="3838" priority="359" operator="lessThan">
      <formula>$C343</formula>
    </cfRule>
  </conditionalFormatting>
  <conditionalFormatting sqref="L343:L345">
    <cfRule type="expression" dxfId="3837" priority="362">
      <formula>AND(#REF!&lt;&gt;"",MOD(ROW(),2))</formula>
    </cfRule>
  </conditionalFormatting>
  <conditionalFormatting sqref="L343:L345">
    <cfRule type="expression" dxfId="3836" priority="361">
      <formula>AND(#REF!&lt;&gt;"",MOD(ROW(),2))</formula>
    </cfRule>
  </conditionalFormatting>
  <conditionalFormatting sqref="K346:L348">
    <cfRule type="expression" dxfId="3835" priority="354">
      <formula>AND($A346&lt;&gt;"",MOD(ROW(),2))</formula>
    </cfRule>
  </conditionalFormatting>
  <conditionalFormatting sqref="K346:K348">
    <cfRule type="cellIs" dxfId="3834" priority="351" operator="equal">
      <formula>$C346</formula>
    </cfRule>
    <cfRule type="cellIs" dxfId="3833" priority="352" operator="greaterThan">
      <formula>$C346</formula>
    </cfRule>
    <cfRule type="cellIs" dxfId="3832" priority="353" operator="lessThan">
      <formula>$C346</formula>
    </cfRule>
  </conditionalFormatting>
  <conditionalFormatting sqref="L346:L348">
    <cfRule type="expression" dxfId="3831" priority="356">
      <formula>AND(#REF!&lt;&gt;"",MOD(ROW(),2))</formula>
    </cfRule>
  </conditionalFormatting>
  <conditionalFormatting sqref="L346:L348">
    <cfRule type="expression" dxfId="3830" priority="355">
      <formula>AND(#REF!&lt;&gt;"",MOD(ROW(),2))</formula>
    </cfRule>
  </conditionalFormatting>
  <conditionalFormatting sqref="K349:L351">
    <cfRule type="expression" dxfId="3829" priority="348">
      <formula>AND($A349&lt;&gt;"",MOD(ROW(),2))</formula>
    </cfRule>
  </conditionalFormatting>
  <conditionalFormatting sqref="K349:K351">
    <cfRule type="cellIs" dxfId="3828" priority="345" operator="equal">
      <formula>$C349</formula>
    </cfRule>
    <cfRule type="cellIs" dxfId="3827" priority="346" operator="greaterThan">
      <formula>$C349</formula>
    </cfRule>
    <cfRule type="cellIs" dxfId="3826" priority="347" operator="lessThan">
      <formula>$C349</formula>
    </cfRule>
  </conditionalFormatting>
  <conditionalFormatting sqref="L349:L351">
    <cfRule type="expression" dxfId="3825" priority="350">
      <formula>AND(#REF!&lt;&gt;"",MOD(ROW(),2))</formula>
    </cfRule>
  </conditionalFormatting>
  <conditionalFormatting sqref="L349:L351">
    <cfRule type="expression" dxfId="3824" priority="349">
      <formula>AND(#REF!&lt;&gt;"",MOD(ROW(),2))</formula>
    </cfRule>
  </conditionalFormatting>
  <conditionalFormatting sqref="K352:L354">
    <cfRule type="expression" dxfId="3823" priority="342">
      <formula>AND($A352&lt;&gt;"",MOD(ROW(),2))</formula>
    </cfRule>
  </conditionalFormatting>
  <conditionalFormatting sqref="K352:K354">
    <cfRule type="cellIs" dxfId="3822" priority="339" operator="equal">
      <formula>$C352</formula>
    </cfRule>
    <cfRule type="cellIs" dxfId="3821" priority="340" operator="greaterThan">
      <formula>$C352</formula>
    </cfRule>
    <cfRule type="cellIs" dxfId="3820" priority="341" operator="lessThan">
      <formula>$C352</formula>
    </cfRule>
  </conditionalFormatting>
  <conditionalFormatting sqref="L352:L354">
    <cfRule type="expression" dxfId="3819" priority="344">
      <formula>AND(#REF!&lt;&gt;"",MOD(ROW(),2))</formula>
    </cfRule>
  </conditionalFormatting>
  <conditionalFormatting sqref="L352:L354">
    <cfRule type="expression" dxfId="3818" priority="343">
      <formula>AND(#REF!&lt;&gt;"",MOD(ROW(),2))</formula>
    </cfRule>
  </conditionalFormatting>
  <conditionalFormatting sqref="D7:E7">
    <cfRule type="expression" dxfId="3817" priority="194">
      <formula>AND($A7&lt;&gt;"",MOD(ROW(),2))</formula>
    </cfRule>
  </conditionalFormatting>
  <conditionalFormatting sqref="D7">
    <cfRule type="cellIs" dxfId="3816" priority="191" operator="equal">
      <formula>$C7</formula>
    </cfRule>
    <cfRule type="cellIs" dxfId="3815" priority="192" operator="greaterThan">
      <formula>$C7</formula>
    </cfRule>
    <cfRule type="cellIs" dxfId="3814" priority="193" operator="lessThan">
      <formula>$C7</formula>
    </cfRule>
  </conditionalFormatting>
  <conditionalFormatting sqref="D8:E8">
    <cfRule type="expression" dxfId="3813" priority="188">
      <formula>AND($A8&lt;&gt;"",MOD(ROW(),2))</formula>
    </cfRule>
  </conditionalFormatting>
  <conditionalFormatting sqref="D8">
    <cfRule type="cellIs" dxfId="3812" priority="185" operator="equal">
      <formula>$C8</formula>
    </cfRule>
    <cfRule type="cellIs" dxfId="3811" priority="186" operator="greaterThan">
      <formula>$C8</formula>
    </cfRule>
    <cfRule type="cellIs" dxfId="3810" priority="187" operator="lessThan">
      <formula>$C8</formula>
    </cfRule>
  </conditionalFormatting>
  <conditionalFormatting sqref="D9:E9">
    <cfRule type="expression" dxfId="3809" priority="184">
      <formula>AND($A9&lt;&gt;"",MOD(ROW(),2))</formula>
    </cfRule>
  </conditionalFormatting>
  <conditionalFormatting sqref="D9">
    <cfRule type="cellIs" dxfId="3808" priority="181" operator="equal">
      <formula>$C9</formula>
    </cfRule>
    <cfRule type="cellIs" dxfId="3807" priority="182" operator="greaterThan">
      <formula>$C9</formula>
    </cfRule>
    <cfRule type="cellIs" dxfId="3806" priority="183" operator="lessThan">
      <formula>$C9</formula>
    </cfRule>
  </conditionalFormatting>
  <conditionalFormatting sqref="D10:E10">
    <cfRule type="expression" dxfId="3805" priority="180">
      <formula>AND($A10&lt;&gt;"",MOD(ROW(),2))</formula>
    </cfRule>
  </conditionalFormatting>
  <conditionalFormatting sqref="D10">
    <cfRule type="cellIs" dxfId="3804" priority="177" operator="equal">
      <formula>$C10</formula>
    </cfRule>
    <cfRule type="cellIs" dxfId="3803" priority="178" operator="greaterThan">
      <formula>$C10</formula>
    </cfRule>
    <cfRule type="cellIs" dxfId="3802" priority="179" operator="lessThan">
      <formula>$C10</formula>
    </cfRule>
  </conditionalFormatting>
  <conditionalFormatting sqref="D11:E11">
    <cfRule type="expression" dxfId="3801" priority="176">
      <formula>AND($A11&lt;&gt;"",MOD(ROW(),2))</formula>
    </cfRule>
  </conditionalFormatting>
  <conditionalFormatting sqref="D11">
    <cfRule type="cellIs" dxfId="3800" priority="173" operator="equal">
      <formula>$C11</formula>
    </cfRule>
    <cfRule type="cellIs" dxfId="3799" priority="174" operator="greaterThan">
      <formula>$C11</formula>
    </cfRule>
    <cfRule type="cellIs" dxfId="3798" priority="175" operator="lessThan">
      <formula>$C11</formula>
    </cfRule>
  </conditionalFormatting>
  <conditionalFormatting sqref="E12">
    <cfRule type="expression" dxfId="3797" priority="172">
      <formula>AND($A12&lt;&gt;"",MOD(ROW(),2))</formula>
    </cfRule>
  </conditionalFormatting>
  <conditionalFormatting sqref="E13">
    <cfRule type="expression" dxfId="3796" priority="168">
      <formula>AND($A13&lt;&gt;"",MOD(ROW(),2))</formula>
    </cfRule>
  </conditionalFormatting>
  <conditionalFormatting sqref="E14">
    <cfRule type="expression" dxfId="3795" priority="164">
      <formula>AND($A14&lt;&gt;"",MOD(ROW(),2))</formula>
    </cfRule>
  </conditionalFormatting>
  <conditionalFormatting sqref="D15:E15">
    <cfRule type="expression" dxfId="3794" priority="160">
      <formula>AND($A15&lt;&gt;"",MOD(ROW(),2))</formula>
    </cfRule>
  </conditionalFormatting>
  <conditionalFormatting sqref="D15">
    <cfRule type="cellIs" dxfId="3793" priority="157" operator="equal">
      <formula>$C15</formula>
    </cfRule>
    <cfRule type="cellIs" dxfId="3792" priority="158" operator="greaterThan">
      <formula>$C15</formula>
    </cfRule>
    <cfRule type="cellIs" dxfId="3791" priority="159" operator="lessThan">
      <formula>$C15</formula>
    </cfRule>
  </conditionalFormatting>
  <conditionalFormatting sqref="D16:E16">
    <cfRule type="expression" dxfId="3790" priority="156">
      <formula>AND($A16&lt;&gt;"",MOD(ROW(),2))</formula>
    </cfRule>
  </conditionalFormatting>
  <conditionalFormatting sqref="D16">
    <cfRule type="cellIs" dxfId="3789" priority="153" operator="equal">
      <formula>$C16</formula>
    </cfRule>
    <cfRule type="cellIs" dxfId="3788" priority="154" operator="greaterThan">
      <formula>$C16</formula>
    </cfRule>
    <cfRule type="cellIs" dxfId="3787" priority="155" operator="lessThan">
      <formula>$C16</formula>
    </cfRule>
  </conditionalFormatting>
  <conditionalFormatting sqref="D17:E17">
    <cfRule type="expression" dxfId="3786" priority="152">
      <formula>AND($A17&lt;&gt;"",MOD(ROW(),2))</formula>
    </cfRule>
  </conditionalFormatting>
  <conditionalFormatting sqref="D17">
    <cfRule type="cellIs" dxfId="3785" priority="149" operator="equal">
      <formula>$C17</formula>
    </cfRule>
    <cfRule type="cellIs" dxfId="3784" priority="150" operator="greaterThan">
      <formula>$C17</formula>
    </cfRule>
    <cfRule type="cellIs" dxfId="3783" priority="151" operator="lessThan">
      <formula>$C17</formula>
    </cfRule>
  </conditionalFormatting>
  <conditionalFormatting sqref="D18:E18">
    <cfRule type="expression" dxfId="3782" priority="148">
      <formula>AND($A18&lt;&gt;"",MOD(ROW(),2))</formula>
    </cfRule>
  </conditionalFormatting>
  <conditionalFormatting sqref="D18">
    <cfRule type="cellIs" dxfId="3781" priority="145" operator="equal">
      <formula>$C18</formula>
    </cfRule>
    <cfRule type="cellIs" dxfId="3780" priority="146" operator="greaterThan">
      <formula>$C18</formula>
    </cfRule>
    <cfRule type="cellIs" dxfId="3779" priority="147" operator="lessThan">
      <formula>$C18</formula>
    </cfRule>
  </conditionalFormatting>
  <conditionalFormatting sqref="F7:F18">
    <cfRule type="containsText" dxfId="3778" priority="121" operator="containsText" text="Unpaid Rent">
      <formula>NOT(ISERROR(SEARCH("Unpaid Rent",F7)))</formula>
    </cfRule>
    <cfRule type="containsText" dxfId="3777" priority="122" stopIfTrue="1" operator="containsText" text="Closed Account">
      <formula>NOT(ISERROR(SEARCH("Closed Account",F7)))</formula>
    </cfRule>
  </conditionalFormatting>
  <conditionalFormatting sqref="F19:F30">
    <cfRule type="containsText" dxfId="3776" priority="119" operator="containsText" text="Unpaid Rent">
      <formula>NOT(ISERROR(SEARCH("Unpaid Rent",F19)))</formula>
    </cfRule>
    <cfRule type="containsText" dxfId="3775" priority="120" stopIfTrue="1" operator="containsText" text="Closed Account">
      <formula>NOT(ISERROR(SEARCH("Closed Account",F19)))</formula>
    </cfRule>
  </conditionalFormatting>
  <conditionalFormatting sqref="D19:E19">
    <cfRule type="expression" dxfId="3774" priority="118">
      <formula>AND($A19&lt;&gt;"",MOD(ROW(),2))</formula>
    </cfRule>
  </conditionalFormatting>
  <conditionalFormatting sqref="D19">
    <cfRule type="cellIs" dxfId="3773" priority="115" operator="equal">
      <formula>$C19</formula>
    </cfRule>
    <cfRule type="cellIs" dxfId="3772" priority="116" operator="greaterThan">
      <formula>$C19</formula>
    </cfRule>
    <cfRule type="cellIs" dxfId="3771" priority="117" operator="lessThan">
      <formula>$C19</formula>
    </cfRule>
  </conditionalFormatting>
  <conditionalFormatting sqref="D20:E20">
    <cfRule type="expression" dxfId="3770" priority="114">
      <formula>AND($A20&lt;&gt;"",MOD(ROW(),2))</formula>
    </cfRule>
  </conditionalFormatting>
  <conditionalFormatting sqref="D20">
    <cfRule type="cellIs" dxfId="3769" priority="111" operator="equal">
      <formula>$C20</formula>
    </cfRule>
    <cfRule type="cellIs" dxfId="3768" priority="112" operator="greaterThan">
      <formula>$C20</formula>
    </cfRule>
    <cfRule type="cellIs" dxfId="3767" priority="113" operator="lessThan">
      <formula>$C20</formula>
    </cfRule>
  </conditionalFormatting>
  <conditionalFormatting sqref="D21:E21">
    <cfRule type="expression" dxfId="3766" priority="110">
      <formula>AND($A21&lt;&gt;"",MOD(ROW(),2))</formula>
    </cfRule>
  </conditionalFormatting>
  <conditionalFormatting sqref="D21">
    <cfRule type="cellIs" dxfId="3765" priority="107" operator="equal">
      <formula>$C21</formula>
    </cfRule>
    <cfRule type="cellIs" dxfId="3764" priority="108" operator="greaterThan">
      <formula>$C21</formula>
    </cfRule>
    <cfRule type="cellIs" dxfId="3763" priority="109" operator="lessThan">
      <formula>$C21</formula>
    </cfRule>
  </conditionalFormatting>
  <conditionalFormatting sqref="D22:E22">
    <cfRule type="expression" dxfId="3762" priority="106">
      <formula>AND($A22&lt;&gt;"",MOD(ROW(),2))</formula>
    </cfRule>
  </conditionalFormatting>
  <conditionalFormatting sqref="D22">
    <cfRule type="cellIs" dxfId="3761" priority="103" operator="equal">
      <formula>$C22</formula>
    </cfRule>
    <cfRule type="cellIs" dxfId="3760" priority="104" operator="greaterThan">
      <formula>$C22</formula>
    </cfRule>
    <cfRule type="cellIs" dxfId="3759" priority="105" operator="lessThan">
      <formula>$C22</formula>
    </cfRule>
  </conditionalFormatting>
  <conditionalFormatting sqref="D30:E30">
    <cfRule type="expression" dxfId="3758" priority="74">
      <formula>AND($A30&lt;&gt;"",MOD(ROW(),2))</formula>
    </cfRule>
  </conditionalFormatting>
  <conditionalFormatting sqref="D30">
    <cfRule type="cellIs" dxfId="3757" priority="71" operator="equal">
      <formula>$C30</formula>
    </cfRule>
    <cfRule type="cellIs" dxfId="3756" priority="72" operator="greaterThan">
      <formula>$C30</formula>
    </cfRule>
    <cfRule type="cellIs" dxfId="3755" priority="73" operator="lessThan">
      <formula>$C30</formula>
    </cfRule>
  </conditionalFormatting>
  <conditionalFormatting sqref="K10:L10">
    <cfRule type="expression" dxfId="3754" priority="70">
      <formula>AND($A10&lt;&gt;"",MOD(ROW(),2))</formula>
    </cfRule>
  </conditionalFormatting>
  <conditionalFormatting sqref="M10">
    <cfRule type="expression" dxfId="3753" priority="67">
      <formula>AND($A10&lt;&gt;"",MOD(ROW(),2))</formula>
    </cfRule>
  </conditionalFormatting>
  <conditionalFormatting sqref="K10">
    <cfRule type="cellIs" dxfId="3752" priority="61" operator="equal">
      <formula>$C10</formula>
    </cfRule>
    <cfRule type="cellIs" dxfId="3751" priority="62" operator="greaterThan">
      <formula>$C10</formula>
    </cfRule>
    <cfRule type="cellIs" dxfId="3750" priority="63" operator="lessThan">
      <formula>$C10</formula>
    </cfRule>
  </conditionalFormatting>
  <conditionalFormatting sqref="L10:M10">
    <cfRule type="expression" dxfId="3749" priority="69">
      <formula>AND(#REF!&lt;&gt;"",MOD(ROW(),2))</formula>
    </cfRule>
  </conditionalFormatting>
  <conditionalFormatting sqref="L10:M10">
    <cfRule type="expression" dxfId="3748" priority="68">
      <formula>AND(#REF!&lt;&gt;"",MOD(ROW(),2))</formula>
    </cfRule>
  </conditionalFormatting>
  <conditionalFormatting sqref="M10">
    <cfRule type="cellIs" dxfId="3747" priority="64" operator="equal">
      <formula>#REF!</formula>
    </cfRule>
    <cfRule type="cellIs" dxfId="3746" priority="65" operator="greaterThan">
      <formula>#REF!</formula>
    </cfRule>
    <cfRule type="cellIs" dxfId="3745" priority="66" operator="lessThan">
      <formula>#REF!</formula>
    </cfRule>
  </conditionalFormatting>
  <conditionalFormatting sqref="D12">
    <cfRule type="expression" dxfId="3744" priority="60">
      <formula>AND($A12&lt;&gt;"",MOD(ROW(),2))</formula>
    </cfRule>
  </conditionalFormatting>
  <conditionalFormatting sqref="D12">
    <cfRule type="cellIs" dxfId="3743" priority="57" operator="equal">
      <formula>$C12</formula>
    </cfRule>
    <cfRule type="cellIs" dxfId="3742" priority="58" operator="greaterThan">
      <formula>$C12</formula>
    </cfRule>
    <cfRule type="cellIs" dxfId="3741" priority="59" operator="lessThan">
      <formula>$C12</formula>
    </cfRule>
  </conditionalFormatting>
  <conditionalFormatting sqref="D13">
    <cfRule type="expression" dxfId="3740" priority="56">
      <formula>AND($A13&lt;&gt;"",MOD(ROW(),2))</formula>
    </cfRule>
  </conditionalFormatting>
  <conditionalFormatting sqref="D13">
    <cfRule type="cellIs" dxfId="3739" priority="53" operator="equal">
      <formula>$C13</formula>
    </cfRule>
    <cfRule type="cellIs" dxfId="3738" priority="54" operator="greaterThan">
      <formula>$C13</formula>
    </cfRule>
    <cfRule type="cellIs" dxfId="3737" priority="55" operator="lessThan">
      <formula>$C13</formula>
    </cfRule>
  </conditionalFormatting>
  <conditionalFormatting sqref="D14">
    <cfRule type="expression" dxfId="3736" priority="52">
      <formula>AND($A14&lt;&gt;"",MOD(ROW(),2))</formula>
    </cfRule>
  </conditionalFormatting>
  <conditionalFormatting sqref="D14">
    <cfRule type="cellIs" dxfId="3735" priority="49" operator="equal">
      <formula>$C14</formula>
    </cfRule>
    <cfRule type="cellIs" dxfId="3734" priority="50" operator="greaterThan">
      <formula>$C14</formula>
    </cfRule>
    <cfRule type="cellIs" dxfId="3733" priority="51" operator="lessThan">
      <formula>$C14</formula>
    </cfRule>
  </conditionalFormatting>
  <conditionalFormatting sqref="D59">
    <cfRule type="expression" dxfId="3732" priority="48">
      <formula>AND($A59&lt;&gt;"",MOD(ROW(),2))</formula>
    </cfRule>
  </conditionalFormatting>
  <conditionalFormatting sqref="D59">
    <cfRule type="cellIs" dxfId="3731" priority="45" operator="equal">
      <formula>$C59</formula>
    </cfRule>
    <cfRule type="cellIs" dxfId="3730" priority="46" operator="greaterThan">
      <formula>$C59</formula>
    </cfRule>
    <cfRule type="cellIs" dxfId="3729" priority="47" operator="lessThan">
      <formula>$C59</formula>
    </cfRule>
  </conditionalFormatting>
  <conditionalFormatting sqref="D60:D91">
    <cfRule type="expression" dxfId="3728" priority="44">
      <formula>AND($A60&lt;&gt;"",MOD(ROW(),2))</formula>
    </cfRule>
  </conditionalFormatting>
  <conditionalFormatting sqref="D60:D91">
    <cfRule type="cellIs" dxfId="3727" priority="41" operator="equal">
      <formula>$C60</formula>
    </cfRule>
    <cfRule type="cellIs" dxfId="3726" priority="42" operator="greaterThan">
      <formula>$C60</formula>
    </cfRule>
    <cfRule type="cellIs" dxfId="3725" priority="43" operator="lessThan">
      <formula>$C60</formula>
    </cfRule>
  </conditionalFormatting>
  <conditionalFormatting sqref="C23:C26">
    <cfRule type="expression" dxfId="3724" priority="36">
      <formula>AND($A23&lt;&gt;"",MOD(ROW(),2))</formula>
    </cfRule>
  </conditionalFormatting>
  <conditionalFormatting sqref="C27">
    <cfRule type="expression" dxfId="3723" priority="35">
      <formula>AND($A27&lt;&gt;"",MOD(ROW(),2))</formula>
    </cfRule>
  </conditionalFormatting>
  <conditionalFormatting sqref="C28">
    <cfRule type="expression" dxfId="3722" priority="34">
      <formula>AND($A28&lt;&gt;"",MOD(ROW(),2))</formula>
    </cfRule>
  </conditionalFormatting>
  <conditionalFormatting sqref="C29">
    <cfRule type="expression" dxfId="3721" priority="33">
      <formula>AND($A29&lt;&gt;"",MOD(ROW(),2))</formula>
    </cfRule>
  </conditionalFormatting>
  <conditionalFormatting sqref="C30">
    <cfRule type="expression" dxfId="3720" priority="32">
      <formula>AND($A30&lt;&gt;"",MOD(ROW(),2))</formula>
    </cfRule>
  </conditionalFormatting>
  <conditionalFormatting sqref="C31">
    <cfRule type="expression" dxfId="3719" priority="31">
      <formula>AND($A31&lt;&gt;"",MOD(ROW(),2))</formula>
    </cfRule>
  </conditionalFormatting>
  <conditionalFormatting sqref="D24:D26">
    <cfRule type="expression" dxfId="3718" priority="30">
      <formula>AND($A24&lt;&gt;"",MOD(ROW(),2))</formula>
    </cfRule>
  </conditionalFormatting>
  <conditionalFormatting sqref="D24:D26">
    <cfRule type="cellIs" dxfId="3717" priority="27" operator="equal">
      <formula>$C24</formula>
    </cfRule>
    <cfRule type="cellIs" dxfId="3716" priority="28" operator="greaterThan">
      <formula>$C24</formula>
    </cfRule>
    <cfRule type="cellIs" dxfId="3715" priority="29" operator="lessThan">
      <formula>$C24</formula>
    </cfRule>
  </conditionalFormatting>
  <conditionalFormatting sqref="D27">
    <cfRule type="expression" dxfId="3714" priority="26">
      <formula>AND($A27&lt;&gt;"",MOD(ROW(),2))</formula>
    </cfRule>
  </conditionalFormatting>
  <conditionalFormatting sqref="D27">
    <cfRule type="cellIs" dxfId="3713" priority="23" operator="equal">
      <formula>$C27</formula>
    </cfRule>
    <cfRule type="cellIs" dxfId="3712" priority="24" operator="greaterThan">
      <formula>$C27</formula>
    </cfRule>
    <cfRule type="cellIs" dxfId="3711" priority="25" operator="lessThan">
      <formula>$C27</formula>
    </cfRule>
  </conditionalFormatting>
  <conditionalFormatting sqref="D28">
    <cfRule type="expression" dxfId="3710" priority="22">
      <formula>AND($A28&lt;&gt;"",MOD(ROW(),2))</formula>
    </cfRule>
  </conditionalFormatting>
  <conditionalFormatting sqref="D28">
    <cfRule type="cellIs" dxfId="3709" priority="19" operator="equal">
      <formula>$C28</formula>
    </cfRule>
    <cfRule type="cellIs" dxfId="3708" priority="20" operator="greaterThan">
      <formula>$C28</formula>
    </cfRule>
    <cfRule type="cellIs" dxfId="3707" priority="21" operator="lessThan">
      <formula>$C28</formula>
    </cfRule>
  </conditionalFormatting>
  <conditionalFormatting sqref="D29">
    <cfRule type="expression" dxfId="3706" priority="18">
      <formula>AND($A29&lt;&gt;"",MOD(ROW(),2))</formula>
    </cfRule>
  </conditionalFormatting>
  <conditionalFormatting sqref="D29">
    <cfRule type="cellIs" dxfId="3705" priority="15" operator="equal">
      <formula>$C29</formula>
    </cfRule>
    <cfRule type="cellIs" dxfId="3704" priority="16" operator="greaterThan">
      <formula>$C29</formula>
    </cfRule>
    <cfRule type="cellIs" dxfId="3703" priority="17" operator="lessThan">
      <formula>$C29</formula>
    </cfRule>
  </conditionalFormatting>
  <conditionalFormatting sqref="D23">
    <cfRule type="expression" dxfId="3702" priority="14">
      <formula>AND($A23&lt;&gt;"",MOD(ROW(),2))</formula>
    </cfRule>
  </conditionalFormatting>
  <conditionalFormatting sqref="D23">
    <cfRule type="cellIs" dxfId="3701" priority="11" operator="equal">
      <formula>$C23</formula>
    </cfRule>
    <cfRule type="cellIs" dxfId="3700" priority="12" operator="greaterThan">
      <formula>$C23</formula>
    </cfRule>
    <cfRule type="cellIs" dxfId="3699" priority="13" operator="lessThan">
      <formula>$C23</formula>
    </cfRule>
  </conditionalFormatting>
  <conditionalFormatting sqref="H77:I77">
    <cfRule type="expression" dxfId="3698" priority="10">
      <formula>AND($A77&lt;&gt;"",MOD(ROW(),2))</formula>
    </cfRule>
  </conditionalFormatting>
  <conditionalFormatting sqref="H78:I85">
    <cfRule type="expression" dxfId="3697" priority="9">
      <formula>AND($A78&lt;&gt;"",MOD(ROW(),2))</formula>
    </cfRule>
  </conditionalFormatting>
  <conditionalFormatting sqref="H86:I86">
    <cfRule type="expression" dxfId="3696" priority="6">
      <formula>AND($A86&lt;&gt;"",MOD(ROW(),2))</formula>
    </cfRule>
  </conditionalFormatting>
  <conditionalFormatting sqref="H87:I87">
    <cfRule type="expression" dxfId="3695" priority="5">
      <formula>AND($A87&lt;&gt;"",MOD(ROW(),2))</formula>
    </cfRule>
  </conditionalFormatting>
  <conditionalFormatting sqref="H88:I88">
    <cfRule type="expression" dxfId="3694" priority="4">
      <formula>AND($A88&lt;&gt;"",MOD(ROW(),2))</formula>
    </cfRule>
  </conditionalFormatting>
  <conditionalFormatting sqref="H89:I89">
    <cfRule type="expression" dxfId="3693" priority="3">
      <formula>AND($A89&lt;&gt;"",MOD(ROW(),2))</formula>
    </cfRule>
  </conditionalFormatting>
  <conditionalFormatting sqref="H90:I90">
    <cfRule type="expression" dxfId="3692" priority="2">
      <formula>AND($A90&lt;&gt;"",MOD(ROW(),2))</formula>
    </cfRule>
  </conditionalFormatting>
  <conditionalFormatting sqref="H91:I91">
    <cfRule type="expression" dxfId="3691" priority="1">
      <formula>AND($A91&lt;&gt;"",MOD(ROW(),2))</formula>
    </cfRule>
  </conditionalFormatting>
  <pageMargins left="0.75" right="0.75" top="1" bottom="1" header="0.5" footer="0.5"/>
  <pageSetup paperSize="9" orientation="landscape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700-000000000000}">
          <x14:formula1>
            <xm:f>PullDownValues!$F$2:$F$14</xm:f>
          </x14:formula1>
          <xm:sqref>L7:L354</xm:sqref>
        </x14:dataValidation>
        <x14:dataValidation type="list" allowBlank="1" showInputMessage="1" showErrorMessage="1" prompt="Payment Method" xr:uid="{00000000-0002-0000-1700-000001000000}">
          <x14:formula1>
            <xm:f>PullDownValues!$B$2:$B$12</xm:f>
          </x14:formula1>
          <xm:sqref>F7:F289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0.59999389629810485"/>
  </sheetPr>
  <dimension ref="A1:AR354"/>
  <sheetViews>
    <sheetView topLeftCell="Z1" zoomScaleNormal="100" workbookViewId="0">
      <pane ySplit="5" topLeftCell="A6" activePane="bottomLeft" state="frozen"/>
      <selection pane="bottomLeft" activeCell="U14" sqref="U14"/>
    </sheetView>
  </sheetViews>
  <sheetFormatPr defaultColWidth="8.85546875" defaultRowHeight="15" customHeight="1" x14ac:dyDescent="0.25"/>
  <cols>
    <col min="1" max="1" width="3.28515625" style="10" bestFit="1" customWidth="1"/>
    <col min="2" max="3" width="12.5703125" bestFit="1" customWidth="1"/>
    <col min="4" max="4" width="12.85546875" bestFit="1" customWidth="1"/>
    <col min="5" max="5" width="15.28515625" bestFit="1" customWidth="1"/>
    <col min="6" max="6" width="15.28515625" customWidth="1"/>
    <col min="7" max="7" width="9.42578125" style="31" bestFit="1" customWidth="1"/>
    <col min="8" max="8" width="11.5703125" bestFit="1" customWidth="1"/>
    <col min="9" max="9" width="11.5703125" customWidth="1"/>
    <col min="10" max="10" width="12.7109375" bestFit="1" customWidth="1"/>
    <col min="11" max="11" width="12.7109375" customWidth="1"/>
    <col min="12" max="12" width="8.5703125" customWidth="1"/>
    <col min="13" max="13" width="12" bestFit="1" customWidth="1"/>
    <col min="14" max="14" width="12.5703125" bestFit="1" customWidth="1"/>
    <col min="15" max="15" width="10.7109375" bestFit="1" customWidth="1"/>
    <col min="16" max="16" width="12.7109375" bestFit="1" customWidth="1"/>
    <col min="18" max="18" width="9.5703125" bestFit="1" customWidth="1"/>
    <col min="22" max="22" width="10.5703125" bestFit="1" customWidth="1"/>
    <col min="24" max="24" width="12" style="184" bestFit="1" customWidth="1"/>
    <col min="25" max="25" width="11.7109375" customWidth="1"/>
    <col min="26" max="26" width="10.5703125" customWidth="1"/>
    <col min="27" max="27" width="10.7109375" style="181" bestFit="1" customWidth="1"/>
    <col min="30" max="30" width="10.85546875" customWidth="1"/>
    <col min="33" max="33" width="12.140625" bestFit="1" customWidth="1"/>
    <col min="35" max="35" width="12" bestFit="1" customWidth="1"/>
    <col min="36" max="36" width="10.5703125" bestFit="1" customWidth="1"/>
    <col min="37" max="37" width="11.28515625" customWidth="1"/>
    <col min="38" max="38" width="10.7109375" bestFit="1" customWidth="1"/>
    <col min="40" max="40" width="10.7109375" bestFit="1" customWidth="1"/>
    <col min="41" max="41" width="11.42578125" customWidth="1"/>
    <col min="44" max="44" width="10.5703125" bestFit="1" customWidth="1"/>
  </cols>
  <sheetData>
    <row r="1" spans="1:44" ht="35.1" customHeight="1" x14ac:dyDescent="0.25">
      <c r="A1" s="254" t="s">
        <v>569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338">
        <f>G2+R2+AC2+AN2</f>
        <v>8551.1</v>
      </c>
      <c r="R1" s="255"/>
      <c r="S1" s="114"/>
      <c r="T1" s="114"/>
      <c r="AG1" s="17"/>
      <c r="AR1" s="17"/>
    </row>
    <row r="2" spans="1:44" s="9" customFormat="1" ht="15.95" customHeight="1" x14ac:dyDescent="0.25">
      <c r="A2" s="287" t="s">
        <v>611</v>
      </c>
      <c r="B2" s="287"/>
      <c r="C2" s="287"/>
      <c r="D2" s="287"/>
      <c r="E2" s="287"/>
      <c r="F2" s="287"/>
      <c r="G2" s="336">
        <f>SUM(D7:D3000)</f>
        <v>1055.2499999999995</v>
      </c>
      <c r="H2" s="336"/>
      <c r="I2" s="336"/>
      <c r="J2" s="336"/>
      <c r="K2" s="35">
        <f>SUM(C7:C3000)</f>
        <v>1055.2499999999995</v>
      </c>
      <c r="L2" s="256" t="s">
        <v>574</v>
      </c>
      <c r="M2" s="256"/>
      <c r="N2" s="256"/>
      <c r="O2" s="256"/>
      <c r="P2" s="256"/>
      <c r="Q2" s="256"/>
      <c r="R2" s="258">
        <f>SUM(O7:O3000)</f>
        <v>1169.33</v>
      </c>
      <c r="S2" s="258"/>
      <c r="T2" s="258"/>
      <c r="U2" s="258"/>
      <c r="V2" s="35">
        <f>SUM(N7:N3000)</f>
        <v>1169.33</v>
      </c>
      <c r="W2" s="256" t="s">
        <v>610</v>
      </c>
      <c r="X2" s="256"/>
      <c r="Y2" s="256"/>
      <c r="Z2" s="256"/>
      <c r="AA2" s="256"/>
      <c r="AB2" s="256"/>
      <c r="AC2" s="258">
        <f>SUM(Z7:Z3000)</f>
        <v>6325.550000000002</v>
      </c>
      <c r="AD2" s="258"/>
      <c r="AE2" s="258"/>
      <c r="AF2" s="258"/>
      <c r="AG2" s="35">
        <f>SUM(Y7:Y3000)-360</f>
        <v>8911.8300000000054</v>
      </c>
      <c r="AH2" s="256" t="s">
        <v>685</v>
      </c>
      <c r="AI2" s="256"/>
      <c r="AJ2" s="256"/>
      <c r="AK2" s="256"/>
      <c r="AL2" s="256"/>
      <c r="AM2" s="256"/>
      <c r="AN2" s="258">
        <f>SUM(AK7:AK2998)</f>
        <v>0.96999999999968622</v>
      </c>
      <c r="AO2" s="258"/>
      <c r="AP2" s="258"/>
      <c r="AQ2" s="258"/>
      <c r="AR2" s="35">
        <f>SUM(AJ7:AJ2998)</f>
        <v>1702.9699999999993</v>
      </c>
    </row>
    <row r="3" spans="1:44" s="9" customFormat="1" ht="15.95" customHeight="1" x14ac:dyDescent="0.25">
      <c r="A3" s="288"/>
      <c r="B3" s="288"/>
      <c r="C3" s="288"/>
      <c r="D3" s="288"/>
      <c r="E3" s="288"/>
      <c r="F3" s="288"/>
      <c r="G3" s="337"/>
      <c r="H3" s="337"/>
      <c r="I3" s="337"/>
      <c r="J3" s="337"/>
      <c r="K3" s="9" t="b">
        <f>G2=K2</f>
        <v>1</v>
      </c>
      <c r="L3" s="257"/>
      <c r="M3" s="257"/>
      <c r="N3" s="257"/>
      <c r="O3" s="257"/>
      <c r="P3" s="257"/>
      <c r="Q3" s="257"/>
      <c r="R3" s="259"/>
      <c r="S3" s="259"/>
      <c r="T3" s="259"/>
      <c r="U3" s="259"/>
      <c r="V3" s="9" t="b">
        <f>R2=V2</f>
        <v>1</v>
      </c>
      <c r="W3" s="257"/>
      <c r="X3" s="257"/>
      <c r="Y3" s="257"/>
      <c r="Z3" s="257"/>
      <c r="AA3" s="257"/>
      <c r="AB3" s="257"/>
      <c r="AC3" s="259"/>
      <c r="AD3" s="259"/>
      <c r="AE3" s="259"/>
      <c r="AF3" s="259"/>
      <c r="AG3" s="9" t="b">
        <f>AC2=AG2</f>
        <v>0</v>
      </c>
      <c r="AH3" s="257"/>
      <c r="AI3" s="257"/>
      <c r="AJ3" s="257"/>
      <c r="AK3" s="257"/>
      <c r="AL3" s="257"/>
      <c r="AM3" s="257"/>
      <c r="AN3" s="259"/>
      <c r="AO3" s="259"/>
      <c r="AP3" s="259"/>
      <c r="AQ3" s="259"/>
      <c r="AR3" s="9" t="b">
        <f>AN2=AR2</f>
        <v>0</v>
      </c>
    </row>
    <row r="4" spans="1:44" s="9" customFormat="1" ht="15.95" customHeight="1" x14ac:dyDescent="0.25">
      <c r="A4" s="244" t="s">
        <v>6</v>
      </c>
      <c r="B4" s="244" t="s">
        <v>7</v>
      </c>
      <c r="C4" s="267" t="s">
        <v>8</v>
      </c>
      <c r="D4" s="269" t="s">
        <v>9</v>
      </c>
      <c r="E4" s="269" t="s">
        <v>10</v>
      </c>
      <c r="F4" s="252" t="s">
        <v>112</v>
      </c>
      <c r="G4" s="276" t="s">
        <v>11</v>
      </c>
      <c r="H4" s="244" t="s">
        <v>12</v>
      </c>
      <c r="I4" s="291" t="s">
        <v>563</v>
      </c>
      <c r="J4" s="334" t="s">
        <v>113</v>
      </c>
      <c r="K4" s="40" t="b">
        <f>(SUM(K7,K8,K9,-K10)+300)=G2</f>
        <v>0</v>
      </c>
      <c r="L4" s="244" t="s">
        <v>6</v>
      </c>
      <c r="M4" s="244" t="s">
        <v>7</v>
      </c>
      <c r="N4" s="267" t="s">
        <v>8</v>
      </c>
      <c r="O4" s="269" t="s">
        <v>9</v>
      </c>
      <c r="P4" s="269" t="s">
        <v>10</v>
      </c>
      <c r="Q4" s="291" t="s">
        <v>571</v>
      </c>
      <c r="R4" s="276" t="s">
        <v>11</v>
      </c>
      <c r="S4" s="244" t="s">
        <v>12</v>
      </c>
      <c r="T4" s="291" t="s">
        <v>563</v>
      </c>
      <c r="U4" s="244" t="s">
        <v>113</v>
      </c>
      <c r="V4" s="40" t="b">
        <f>(SUM(V7,V8,V9,-V10)+300)=R2</f>
        <v>1</v>
      </c>
      <c r="W4" s="244" t="s">
        <v>6</v>
      </c>
      <c r="X4" s="342" t="s">
        <v>7</v>
      </c>
      <c r="Y4" s="267" t="s">
        <v>8</v>
      </c>
      <c r="Z4" s="269" t="s">
        <v>9</v>
      </c>
      <c r="AA4" s="344" t="s">
        <v>10</v>
      </c>
      <c r="AB4" s="291" t="s">
        <v>571</v>
      </c>
      <c r="AC4" s="276" t="s">
        <v>11</v>
      </c>
      <c r="AD4" s="244" t="s">
        <v>12</v>
      </c>
      <c r="AE4" s="291" t="s">
        <v>563</v>
      </c>
      <c r="AF4" s="244" t="s">
        <v>113</v>
      </c>
      <c r="AG4" s="40" t="b">
        <f>(SUM(AG7,AG8,AG9,-AG10)+400)-360=AC2</f>
        <v>0</v>
      </c>
      <c r="AH4" s="244" t="s">
        <v>6</v>
      </c>
      <c r="AI4" s="244" t="s">
        <v>7</v>
      </c>
      <c r="AJ4" s="267" t="s">
        <v>8</v>
      </c>
      <c r="AK4" s="269" t="s">
        <v>9</v>
      </c>
      <c r="AL4" s="269" t="s">
        <v>10</v>
      </c>
      <c r="AM4" s="291" t="s">
        <v>571</v>
      </c>
      <c r="AN4" s="276" t="s">
        <v>11</v>
      </c>
      <c r="AO4" s="244" t="s">
        <v>12</v>
      </c>
      <c r="AP4" s="291" t="s">
        <v>563</v>
      </c>
      <c r="AQ4" s="244" t="s">
        <v>113</v>
      </c>
      <c r="AR4" s="40" t="b">
        <f>(SUM(AR7,AR8,AR9,-AR10))=AN2</f>
        <v>0</v>
      </c>
    </row>
    <row r="5" spans="1:44" s="10" customFormat="1" ht="15.75" customHeight="1" x14ac:dyDescent="0.25">
      <c r="A5" s="245"/>
      <c r="B5" s="245"/>
      <c r="C5" s="268"/>
      <c r="D5" s="270"/>
      <c r="E5" s="270"/>
      <c r="F5" s="253"/>
      <c r="G5" s="277"/>
      <c r="H5" s="245"/>
      <c r="I5" s="253"/>
      <c r="J5" s="335"/>
      <c r="K5" s="64"/>
      <c r="L5" s="245"/>
      <c r="M5" s="245"/>
      <c r="N5" s="268"/>
      <c r="O5" s="270"/>
      <c r="P5" s="270"/>
      <c r="Q5" s="253"/>
      <c r="R5" s="277"/>
      <c r="S5" s="245"/>
      <c r="T5" s="253"/>
      <c r="U5" s="245"/>
      <c r="V5" s="64"/>
      <c r="W5" s="245"/>
      <c r="X5" s="343"/>
      <c r="Y5" s="268"/>
      <c r="Z5" s="270"/>
      <c r="AA5" s="345"/>
      <c r="AB5" s="253"/>
      <c r="AC5" s="277"/>
      <c r="AD5" s="245"/>
      <c r="AE5" s="253"/>
      <c r="AF5" s="245"/>
      <c r="AG5" s="64"/>
      <c r="AH5" s="245"/>
      <c r="AI5" s="245"/>
      <c r="AJ5" s="268"/>
      <c r="AK5" s="270"/>
      <c r="AL5" s="270"/>
      <c r="AM5" s="253"/>
      <c r="AN5" s="277"/>
      <c r="AO5" s="245"/>
      <c r="AP5" s="253"/>
      <c r="AQ5" s="245"/>
      <c r="AR5" s="64"/>
    </row>
    <row r="6" spans="1:44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7"/>
      <c r="K6" s="47"/>
      <c r="L6" s="44"/>
      <c r="M6" s="44"/>
      <c r="N6" s="45" t="s">
        <v>123</v>
      </c>
      <c r="O6" s="45"/>
      <c r="P6" s="44"/>
      <c r="Q6" s="44"/>
      <c r="R6" s="46"/>
      <c r="S6" s="47"/>
      <c r="T6" s="47"/>
      <c r="U6" s="47"/>
      <c r="V6" s="47"/>
      <c r="W6" s="44"/>
      <c r="X6" s="185"/>
      <c r="Y6" s="45" t="s">
        <v>123</v>
      </c>
      <c r="Z6" s="45"/>
      <c r="AA6" s="182"/>
      <c r="AB6" s="44"/>
      <c r="AC6" s="46"/>
      <c r="AD6" s="47"/>
      <c r="AE6" s="47"/>
      <c r="AF6" s="47"/>
      <c r="AG6" s="47"/>
      <c r="AH6" s="44"/>
      <c r="AI6" s="44"/>
      <c r="AJ6" s="45" t="s">
        <v>123</v>
      </c>
      <c r="AK6" s="45"/>
      <c r="AL6" s="44"/>
      <c r="AM6" s="44"/>
      <c r="AN6" s="46"/>
      <c r="AO6" s="47"/>
      <c r="AP6" s="47"/>
      <c r="AQ6" s="47"/>
      <c r="AR6" s="47"/>
    </row>
    <row r="7" spans="1:44" ht="15" customHeight="1" x14ac:dyDescent="0.25">
      <c r="A7" s="10">
        <v>1</v>
      </c>
      <c r="B7" s="48">
        <v>44198</v>
      </c>
      <c r="C7" s="17">
        <v>300</v>
      </c>
      <c r="D7" s="17">
        <v>300</v>
      </c>
      <c r="E7" s="16">
        <v>44194</v>
      </c>
      <c r="F7" t="s">
        <v>181</v>
      </c>
      <c r="H7" s="17">
        <f>IFERROR(IF(F6="Closed account",(IF(F7="Unpaid Rent",(C7),(C7-D7))),(IF(F7="Unpaid Rent",(C7+H6),(C7-D7+H6)))),"")</f>
        <v>0</v>
      </c>
      <c r="I7" s="17" t="s">
        <v>609</v>
      </c>
      <c r="J7" s="199" t="s">
        <v>483</v>
      </c>
      <c r="K7" s="199">
        <f>SUM(D8:D18,D21:D22,D24,D37,D41,D44:D45,D48,D51,D54:D56,D58,D59,D62:D64,D66)</f>
        <v>4526</v>
      </c>
      <c r="L7" s="10">
        <v>1</v>
      </c>
      <c r="M7" s="48">
        <v>44297</v>
      </c>
      <c r="N7" s="17">
        <v>300</v>
      </c>
      <c r="O7" s="17">
        <v>300</v>
      </c>
      <c r="P7" s="16">
        <v>44296</v>
      </c>
      <c r="Q7" t="s">
        <v>181</v>
      </c>
      <c r="R7" s="31"/>
      <c r="S7" s="17">
        <f>IFERROR(IF(Q6="Closed account",(IF(Q7="Unpaid Rent",(N7),(N7-O7))),(IF(Q7="Unpaid Rent",(N7+S6),(N7-O7+S6)))),"")</f>
        <v>0</v>
      </c>
      <c r="T7" s="17"/>
      <c r="U7" s="17"/>
      <c r="V7" s="199">
        <f>SUM(O8,O10,O12,O17:O20,O25,O28:O29,O31,O33)</f>
        <v>2311</v>
      </c>
      <c r="W7" s="10"/>
      <c r="X7" s="183"/>
      <c r="Y7" s="17"/>
      <c r="Z7" s="17"/>
      <c r="AC7" s="31"/>
      <c r="AD7" s="17">
        <f>IFERROR(IF(AB6="Closed account",(IF(AB7="Unpaid Rent",(Y7),(Y7-Z7))),(IF(AB7="Unpaid Rent",(Y7+AD6),(Y7-Z7+AD6)))),"")</f>
        <v>0</v>
      </c>
      <c r="AE7" s="17"/>
      <c r="AF7" s="17"/>
      <c r="AG7" s="199">
        <f>SUM(Z9:Z16,Z24:Z25,Z28,Z33,Z36,Z38:Z39,Z45,Z48,Z53)</f>
        <v>3890</v>
      </c>
      <c r="AH7" s="10">
        <v>1</v>
      </c>
      <c r="AI7" s="48">
        <v>44209</v>
      </c>
      <c r="AJ7" s="17">
        <v>0</v>
      </c>
      <c r="AK7" s="17"/>
      <c r="AL7" s="16"/>
      <c r="AN7" s="31"/>
      <c r="AO7" s="17">
        <f>IFERROR(IF(AM6="Closed account",(IF(AM7="Unpaid Rent",(AJ7),(AJ7-AK7))),(IF(AM7="Unpaid Rent",(AJ7+AO6),(AJ7-AK7+AO6)))),"")</f>
        <v>0</v>
      </c>
      <c r="AP7" s="17"/>
      <c r="AQ7" s="17" t="s">
        <v>93</v>
      </c>
      <c r="AR7" s="199">
        <f>SUM(AK9:AK12)</f>
        <v>1040</v>
      </c>
    </row>
    <row r="8" spans="1:44" ht="15" customHeight="1" x14ac:dyDescent="0.25">
      <c r="A8" s="10">
        <v>1</v>
      </c>
      <c r="B8" s="48">
        <v>44198</v>
      </c>
      <c r="C8" s="17">
        <v>150</v>
      </c>
      <c r="D8" s="17">
        <v>150</v>
      </c>
      <c r="E8" s="16">
        <v>44198</v>
      </c>
      <c r="F8" t="s">
        <v>117</v>
      </c>
      <c r="H8" s="17">
        <f t="shared" ref="H8:H71" si="0">IFERROR(IF(F7="Closed account",(IF(F8="Unpaid Rent",(C8),(C8-D8))),(IF(F8="Unpaid Rent",(C8+H7),(C8-D8+H7)))),"")</f>
        <v>0</v>
      </c>
      <c r="I8" s="17" t="s">
        <v>609</v>
      </c>
      <c r="J8" s="199" t="s">
        <v>483</v>
      </c>
      <c r="K8" s="199">
        <f>SUM(D25,D26,D28,D31,D32,D49,D50,D60,D65,D67)</f>
        <v>-604.65</v>
      </c>
      <c r="L8" s="10">
        <v>1</v>
      </c>
      <c r="M8" s="48">
        <v>44297</v>
      </c>
      <c r="N8" s="17">
        <v>180</v>
      </c>
      <c r="O8" s="17">
        <v>180</v>
      </c>
      <c r="P8" s="16">
        <v>44296</v>
      </c>
      <c r="Q8" t="s">
        <v>117</v>
      </c>
      <c r="R8" s="31"/>
      <c r="S8" s="17">
        <f t="shared" ref="S8:S52" si="1">IFERROR(IF(Q7="Closed account",(IF(Q8="Unpaid Rent",(N8),(N8-O8))),(IF(Q8="Unpaid Rent",(N8+S7),(N8-O8+S7)))),"")</f>
        <v>0</v>
      </c>
      <c r="T8" s="17"/>
      <c r="U8" s="17"/>
      <c r="V8" s="199">
        <f>SUM(O11,O15,O21,O26,O34)</f>
        <v>-480.3</v>
      </c>
      <c r="W8" s="10"/>
      <c r="X8" s="183"/>
      <c r="Y8" s="17"/>
      <c r="Z8" s="17"/>
      <c r="AC8" s="31"/>
      <c r="AD8" s="17">
        <f t="shared" ref="AD8:AD25" si="2">IFERROR(IF(AB7="Closed account",(IF(AB8="Unpaid Rent",(Y8),(Y8-Z8))),(IF(AB8="Unpaid Rent",(Y8+AD7),(Y8-Z8+AD7)))),"")</f>
        <v>0</v>
      </c>
      <c r="AE8" s="17"/>
      <c r="AF8" s="17"/>
      <c r="AG8" s="199">
        <f>SUM(Z17:Z23,Z26,Z44,Z46,Z57)</f>
        <v>-1419.1299999999999</v>
      </c>
      <c r="AH8" s="10">
        <v>1</v>
      </c>
      <c r="AI8" s="48">
        <v>44209</v>
      </c>
      <c r="AJ8" s="17">
        <v>260</v>
      </c>
      <c r="AK8" s="17"/>
      <c r="AL8" s="16"/>
      <c r="AN8" s="31"/>
      <c r="AO8" s="17">
        <f t="shared" ref="AO8:AO38" si="3">IFERROR(IF(AM7="Closed account",(IF(AM8="Unpaid Rent",(AJ8),(AJ8-AK8))),(IF(AM8="Unpaid Rent",(AJ8+AO7),(AJ8-AK8+AO7)))),"")</f>
        <v>260</v>
      </c>
      <c r="AP8" s="17"/>
      <c r="AQ8" s="17" t="s">
        <v>93</v>
      </c>
      <c r="AR8" s="199">
        <f>SUM(AK13:AK15,AK19)</f>
        <v>-306.10000000000002</v>
      </c>
    </row>
    <row r="9" spans="1:44" ht="15" customHeight="1" x14ac:dyDescent="0.25">
      <c r="A9" s="10">
        <v>2</v>
      </c>
      <c r="B9" s="48">
        <v>44205</v>
      </c>
      <c r="C9" s="17">
        <v>150</v>
      </c>
      <c r="D9" s="17">
        <v>150</v>
      </c>
      <c r="E9" s="16">
        <v>44205</v>
      </c>
      <c r="F9" t="s">
        <v>117</v>
      </c>
      <c r="H9" s="17">
        <f t="shared" si="0"/>
        <v>0</v>
      </c>
      <c r="I9" s="17" t="s">
        <v>609</v>
      </c>
      <c r="J9" s="199" t="s">
        <v>483</v>
      </c>
      <c r="K9" s="17">
        <f>SUM(D52,D57)</f>
        <v>-275.5</v>
      </c>
      <c r="L9" s="10">
        <v>1</v>
      </c>
      <c r="M9" s="48">
        <v>44308</v>
      </c>
      <c r="N9" s="17">
        <v>300</v>
      </c>
      <c r="O9" s="17">
        <v>300</v>
      </c>
      <c r="P9" s="16">
        <v>44308</v>
      </c>
      <c r="Q9" t="s">
        <v>181</v>
      </c>
      <c r="S9" s="17">
        <f t="shared" si="1"/>
        <v>0</v>
      </c>
      <c r="U9" s="17" t="s">
        <v>575</v>
      </c>
      <c r="V9" s="17">
        <f>SUM(O30,O36)</f>
        <v>-105.5</v>
      </c>
      <c r="W9" s="10">
        <v>1</v>
      </c>
      <c r="X9" s="183">
        <v>44237</v>
      </c>
      <c r="Y9" s="17">
        <v>220</v>
      </c>
      <c r="Z9" s="17">
        <v>220</v>
      </c>
      <c r="AA9" s="181">
        <v>44239</v>
      </c>
      <c r="AB9" t="s">
        <v>117</v>
      </c>
      <c r="AC9" s="31"/>
      <c r="AD9" s="17">
        <f t="shared" si="2"/>
        <v>0</v>
      </c>
      <c r="AE9" s="17" t="s">
        <v>593</v>
      </c>
      <c r="AF9" s="17" t="s">
        <v>93</v>
      </c>
      <c r="AG9" s="17">
        <f>SUM(Z27,Z29,Z30:Z35,Z40:Z43,Z49:Z52,Z56)</f>
        <v>167.42999999999998</v>
      </c>
      <c r="AH9" s="10">
        <v>2</v>
      </c>
      <c r="AI9" s="48">
        <v>44216</v>
      </c>
      <c r="AJ9" s="17">
        <v>260</v>
      </c>
      <c r="AK9" s="17">
        <v>260</v>
      </c>
      <c r="AL9" s="16">
        <v>44218</v>
      </c>
      <c r="AM9" t="s">
        <v>117</v>
      </c>
      <c r="AN9" s="31" t="s">
        <v>536</v>
      </c>
      <c r="AO9" s="17">
        <f t="shared" si="3"/>
        <v>260</v>
      </c>
      <c r="AP9" s="17"/>
      <c r="AQ9" s="17" t="s">
        <v>93</v>
      </c>
      <c r="AR9" s="17">
        <f>SUM(AK20,AK21)</f>
        <v>-420.98</v>
      </c>
    </row>
    <row r="10" spans="1:44" ht="15" customHeight="1" x14ac:dyDescent="0.25">
      <c r="A10" s="10">
        <v>3</v>
      </c>
      <c r="B10" s="48">
        <v>44212</v>
      </c>
      <c r="C10" s="17">
        <v>150</v>
      </c>
      <c r="D10" s="17">
        <v>150</v>
      </c>
      <c r="E10" s="16">
        <v>44212</v>
      </c>
      <c r="F10" t="s">
        <v>117</v>
      </c>
      <c r="H10" s="17">
        <f t="shared" si="0"/>
        <v>0</v>
      </c>
      <c r="I10" s="17" t="s">
        <v>609</v>
      </c>
      <c r="J10" s="199" t="s">
        <v>483</v>
      </c>
      <c r="K10" s="77">
        <f>-SUM(D27,D30,D33,D39,D53,D61,D68)</f>
        <v>2728.43</v>
      </c>
      <c r="L10" s="10">
        <v>1</v>
      </c>
      <c r="M10" s="48">
        <v>44308</v>
      </c>
      <c r="N10" s="17">
        <v>170</v>
      </c>
      <c r="O10" s="17">
        <v>680</v>
      </c>
      <c r="P10" s="16">
        <v>44308</v>
      </c>
      <c r="Q10" t="s">
        <v>114</v>
      </c>
      <c r="S10" s="17">
        <f t="shared" si="1"/>
        <v>-510</v>
      </c>
      <c r="U10" s="17" t="s">
        <v>575</v>
      </c>
      <c r="V10" s="77">
        <f>-SUM(O16,O22,O27,O35)</f>
        <v>855.87</v>
      </c>
      <c r="W10" s="10">
        <v>2</v>
      </c>
      <c r="X10" s="183">
        <f t="shared" ref="X10:X16" si="4">X9+7</f>
        <v>44244</v>
      </c>
      <c r="Y10" s="17">
        <v>150</v>
      </c>
      <c r="Z10" s="17">
        <v>150</v>
      </c>
      <c r="AA10" s="181">
        <v>44249</v>
      </c>
      <c r="AB10" t="s">
        <v>117</v>
      </c>
      <c r="AC10" s="31"/>
      <c r="AD10" s="17">
        <f t="shared" si="2"/>
        <v>0</v>
      </c>
      <c r="AE10" s="17" t="s">
        <v>593</v>
      </c>
      <c r="AF10" s="17" t="s">
        <v>93</v>
      </c>
      <c r="AG10" s="77">
        <f>-SUM(Z47,Z58,Z83,Z121,Z137,Z167,Z202)</f>
        <v>5433.6</v>
      </c>
      <c r="AH10" s="10">
        <v>3</v>
      </c>
      <c r="AI10" s="48">
        <v>44223</v>
      </c>
      <c r="AJ10" s="17">
        <v>260</v>
      </c>
      <c r="AK10" s="17">
        <v>260</v>
      </c>
      <c r="AL10" s="16">
        <v>44224</v>
      </c>
      <c r="AM10" t="s">
        <v>117</v>
      </c>
      <c r="AN10" s="31" t="s">
        <v>536</v>
      </c>
      <c r="AO10" s="17">
        <f t="shared" si="3"/>
        <v>260</v>
      </c>
      <c r="AP10" s="17"/>
      <c r="AQ10" s="17" t="s">
        <v>93</v>
      </c>
      <c r="AR10" s="77">
        <f>-SUM(AK16:AK18)</f>
        <v>1531.5</v>
      </c>
    </row>
    <row r="11" spans="1:44" ht="15" customHeight="1" x14ac:dyDescent="0.25">
      <c r="A11" s="10">
        <v>4</v>
      </c>
      <c r="B11" s="48">
        <v>44219</v>
      </c>
      <c r="C11" s="17">
        <v>150</v>
      </c>
      <c r="D11" s="17">
        <v>150</v>
      </c>
      <c r="E11" s="16">
        <v>44219</v>
      </c>
      <c r="F11" t="s">
        <v>117</v>
      </c>
      <c r="H11" s="17">
        <f t="shared" si="0"/>
        <v>0</v>
      </c>
      <c r="I11" s="17" t="s">
        <v>609</v>
      </c>
      <c r="J11" s="199" t="s">
        <v>483</v>
      </c>
      <c r="K11" s="17">
        <f>SUM(K7,K8,K9,-K10)</f>
        <v>917.42000000000007</v>
      </c>
      <c r="L11" s="10" t="s">
        <v>562</v>
      </c>
      <c r="M11" s="48">
        <v>44309</v>
      </c>
      <c r="N11" s="17">
        <v>-200.3</v>
      </c>
      <c r="O11" s="17">
        <v>-200.3</v>
      </c>
      <c r="P11" s="16">
        <v>44309</v>
      </c>
      <c r="Q11" t="s">
        <v>117</v>
      </c>
      <c r="S11" s="17">
        <f t="shared" si="1"/>
        <v>-510</v>
      </c>
      <c r="T11" s="17" t="s">
        <v>33</v>
      </c>
      <c r="U11" s="17" t="s">
        <v>575</v>
      </c>
      <c r="V11" s="17">
        <f>SUM(V7,V8,V9,-V10)</f>
        <v>869.33</v>
      </c>
      <c r="W11" s="10">
        <v>3</v>
      </c>
      <c r="X11" s="183">
        <f t="shared" si="4"/>
        <v>44251</v>
      </c>
      <c r="Y11" s="17">
        <v>220</v>
      </c>
      <c r="Z11" s="17">
        <v>220</v>
      </c>
      <c r="AA11" s="181">
        <v>44256</v>
      </c>
      <c r="AB11" t="s">
        <v>117</v>
      </c>
      <c r="AC11" s="31"/>
      <c r="AD11" s="17">
        <f t="shared" si="2"/>
        <v>0</v>
      </c>
      <c r="AE11" s="17" t="s">
        <v>593</v>
      </c>
      <c r="AF11" s="17" t="s">
        <v>93</v>
      </c>
      <c r="AG11" s="17">
        <f>SUM(AG7,AG8,AG9,-AG10)</f>
        <v>-2795.3000000000006</v>
      </c>
      <c r="AH11" s="10">
        <v>4</v>
      </c>
      <c r="AI11" s="48">
        <v>44230</v>
      </c>
      <c r="AJ11" s="17">
        <v>186</v>
      </c>
      <c r="AK11" s="17">
        <v>260</v>
      </c>
      <c r="AL11" s="16">
        <v>44234</v>
      </c>
      <c r="AM11" t="s">
        <v>117</v>
      </c>
      <c r="AN11" s="31"/>
      <c r="AO11" s="17">
        <f t="shared" si="3"/>
        <v>186</v>
      </c>
      <c r="AP11" s="17"/>
      <c r="AQ11" s="17" t="s">
        <v>93</v>
      </c>
      <c r="AR11" s="17">
        <f>SUM(AR7,AR8,AR9,-AR10)</f>
        <v>-1218.58</v>
      </c>
    </row>
    <row r="12" spans="1:44" ht="15" customHeight="1" x14ac:dyDescent="0.25">
      <c r="A12" s="10">
        <v>5</v>
      </c>
      <c r="B12" s="48">
        <v>44226</v>
      </c>
      <c r="C12" s="17">
        <v>150</v>
      </c>
      <c r="D12" s="17">
        <v>150</v>
      </c>
      <c r="E12" s="16">
        <v>44226</v>
      </c>
      <c r="F12" t="s">
        <v>117</v>
      </c>
      <c r="H12" s="17">
        <f t="shared" si="0"/>
        <v>0</v>
      </c>
      <c r="I12" s="17" t="s">
        <v>609</v>
      </c>
      <c r="J12" s="199" t="s">
        <v>483</v>
      </c>
      <c r="K12" s="77">
        <f>-((K7*75%)+K8-K10)</f>
        <v>-61.420000000000073</v>
      </c>
      <c r="L12" s="10">
        <v>2</v>
      </c>
      <c r="M12" s="48">
        <f>M10+7</f>
        <v>44315</v>
      </c>
      <c r="N12" s="17">
        <v>170</v>
      </c>
      <c r="O12" s="17">
        <v>50</v>
      </c>
      <c r="P12" s="16">
        <v>44302</v>
      </c>
      <c r="Q12" t="s">
        <v>117</v>
      </c>
      <c r="R12" s="31"/>
      <c r="S12" s="17">
        <f t="shared" si="1"/>
        <v>-390</v>
      </c>
      <c r="T12" s="17"/>
      <c r="U12" s="17" t="s">
        <v>575</v>
      </c>
      <c r="V12" s="77">
        <f>-((V7*75%)+V8-V10)</f>
        <v>-397.08000000000004</v>
      </c>
      <c r="W12" s="10">
        <v>4</v>
      </c>
      <c r="X12" s="183">
        <f t="shared" si="4"/>
        <v>44258</v>
      </c>
      <c r="Y12" s="17">
        <v>220</v>
      </c>
      <c r="Z12" s="17">
        <v>220</v>
      </c>
      <c r="AA12" s="181">
        <v>44263</v>
      </c>
      <c r="AB12" t="s">
        <v>117</v>
      </c>
      <c r="AD12" s="17">
        <f t="shared" si="2"/>
        <v>0</v>
      </c>
      <c r="AE12" s="17" t="s">
        <v>593</v>
      </c>
      <c r="AF12" s="17" t="s">
        <v>93</v>
      </c>
      <c r="AG12" s="77">
        <f>-((AG7*75%)+AG8-AG10)</f>
        <v>3935.2300000000005</v>
      </c>
      <c r="AH12" s="10">
        <v>5</v>
      </c>
      <c r="AI12" s="48">
        <v>44230</v>
      </c>
      <c r="AJ12" s="17">
        <v>74</v>
      </c>
      <c r="AK12" s="17">
        <v>260</v>
      </c>
      <c r="AL12" s="16">
        <v>44233</v>
      </c>
      <c r="AM12" t="s">
        <v>117</v>
      </c>
      <c r="AN12" s="31"/>
      <c r="AO12" s="17">
        <f t="shared" si="3"/>
        <v>0</v>
      </c>
      <c r="AP12" s="17"/>
      <c r="AQ12" s="17" t="s">
        <v>93</v>
      </c>
      <c r="AR12" s="77">
        <f>-((AR7*75%)+AR8-AR10)</f>
        <v>1057.5999999999999</v>
      </c>
    </row>
    <row r="13" spans="1:44" ht="15" customHeight="1" x14ac:dyDescent="0.25">
      <c r="A13" s="10">
        <v>6</v>
      </c>
      <c r="B13" s="48">
        <v>44233</v>
      </c>
      <c r="C13" s="17">
        <v>150</v>
      </c>
      <c r="D13" s="17">
        <v>150</v>
      </c>
      <c r="E13" s="16">
        <v>44234</v>
      </c>
      <c r="F13" t="s">
        <v>117</v>
      </c>
      <c r="H13" s="17">
        <f t="shared" si="0"/>
        <v>0</v>
      </c>
      <c r="I13" s="17" t="s">
        <v>609</v>
      </c>
      <c r="J13" s="199" t="s">
        <v>483</v>
      </c>
      <c r="K13" s="17">
        <f>-((K7*25%)+K9-K11)</f>
        <v>61.420000000000073</v>
      </c>
      <c r="L13" s="10">
        <v>3</v>
      </c>
      <c r="M13" s="48">
        <f>M12+7</f>
        <v>44322</v>
      </c>
      <c r="N13" s="17">
        <v>170</v>
      </c>
      <c r="R13" s="31"/>
      <c r="S13" s="17">
        <f t="shared" si="1"/>
        <v>-220</v>
      </c>
      <c r="T13" s="17"/>
      <c r="U13" s="17" t="s">
        <v>575</v>
      </c>
      <c r="V13" s="17">
        <f>-((V7*25%)+V9-V11)</f>
        <v>397.08000000000004</v>
      </c>
      <c r="W13" s="10">
        <v>5</v>
      </c>
      <c r="X13" s="183">
        <f t="shared" si="4"/>
        <v>44265</v>
      </c>
      <c r="Y13" s="17">
        <v>220</v>
      </c>
      <c r="Z13" s="17">
        <v>220</v>
      </c>
      <c r="AA13" s="181">
        <v>44277</v>
      </c>
      <c r="AB13" t="s">
        <v>117</v>
      </c>
      <c r="AD13" s="17">
        <f t="shared" si="2"/>
        <v>0</v>
      </c>
      <c r="AE13" s="17" t="s">
        <v>593</v>
      </c>
      <c r="AF13" s="17" t="s">
        <v>93</v>
      </c>
      <c r="AG13" s="17">
        <f>-((AG7*25%)+AG9-AG11)</f>
        <v>-3935.2300000000005</v>
      </c>
      <c r="AH13" s="10" t="s">
        <v>562</v>
      </c>
      <c r="AI13" s="48">
        <v>44209</v>
      </c>
      <c r="AJ13" s="17">
        <v>-66</v>
      </c>
      <c r="AK13" s="17">
        <v>-66</v>
      </c>
      <c r="AL13" s="16"/>
      <c r="AN13" s="31" t="s">
        <v>564</v>
      </c>
      <c r="AO13" s="17" t="str">
        <f>IFERROR(IF(#REF!="Closed account",(IF(AM13="Unpaid Rent",(AJ13),(AJ13-AK13))),(IF(AM13="Unpaid Rent",(AJ13+#REF!),(AJ13-AK13+#REF!)))),"")</f>
        <v/>
      </c>
      <c r="AP13" s="17"/>
      <c r="AQ13" s="17" t="s">
        <v>93</v>
      </c>
      <c r="AR13" s="17">
        <f>-((AR7*25%)+AR9-AR11)</f>
        <v>-1057.5999999999999</v>
      </c>
    </row>
    <row r="14" spans="1:44" ht="15" customHeight="1" x14ac:dyDescent="0.25">
      <c r="A14" s="10">
        <v>7</v>
      </c>
      <c r="B14" s="48">
        <v>44240</v>
      </c>
      <c r="C14" s="17">
        <v>150</v>
      </c>
      <c r="D14" s="17">
        <v>150</v>
      </c>
      <c r="E14" s="16">
        <v>44241</v>
      </c>
      <c r="F14" t="s">
        <v>117</v>
      </c>
      <c r="H14" s="17">
        <f t="shared" si="0"/>
        <v>0</v>
      </c>
      <c r="I14" s="17" t="s">
        <v>609</v>
      </c>
      <c r="J14" s="199" t="s">
        <v>483</v>
      </c>
      <c r="K14" s="17"/>
      <c r="L14" s="10">
        <v>4</v>
      </c>
      <c r="M14" s="48">
        <f>M13+7</f>
        <v>44329</v>
      </c>
      <c r="N14" s="17">
        <v>170</v>
      </c>
      <c r="R14" s="31"/>
      <c r="S14" s="17">
        <f t="shared" si="1"/>
        <v>-50</v>
      </c>
      <c r="T14" s="17"/>
      <c r="U14" s="17" t="s">
        <v>575</v>
      </c>
      <c r="W14" s="10">
        <v>6</v>
      </c>
      <c r="X14" s="183">
        <f t="shared" si="4"/>
        <v>44272</v>
      </c>
      <c r="Y14" s="17">
        <v>220</v>
      </c>
      <c r="Z14" s="17">
        <v>440</v>
      </c>
      <c r="AA14" s="181">
        <v>44306</v>
      </c>
      <c r="AB14" t="s">
        <v>117</v>
      </c>
      <c r="AD14" s="17">
        <f t="shared" si="2"/>
        <v>-220</v>
      </c>
      <c r="AE14" s="17" t="s">
        <v>593</v>
      </c>
      <c r="AF14" s="17" t="s">
        <v>93</v>
      </c>
      <c r="AH14" s="10" t="s">
        <v>562</v>
      </c>
      <c r="AI14" s="48">
        <v>44212</v>
      </c>
      <c r="AJ14" s="17">
        <v>-55.1</v>
      </c>
      <c r="AK14" s="17">
        <v>-55.1</v>
      </c>
      <c r="AL14" s="16"/>
      <c r="AN14" s="31" t="s">
        <v>565</v>
      </c>
      <c r="AO14" s="17" t="str">
        <f t="shared" si="3"/>
        <v/>
      </c>
      <c r="AP14" s="17"/>
      <c r="AQ14" s="17" t="s">
        <v>93</v>
      </c>
    </row>
    <row r="15" spans="1:44" ht="15" customHeight="1" x14ac:dyDescent="0.25">
      <c r="A15" s="10">
        <v>8</v>
      </c>
      <c r="B15" s="48">
        <v>44247</v>
      </c>
      <c r="C15" s="17">
        <v>150</v>
      </c>
      <c r="D15" s="17">
        <v>150</v>
      </c>
      <c r="E15" s="16">
        <v>44249</v>
      </c>
      <c r="F15" t="s">
        <v>117</v>
      </c>
      <c r="H15" s="17">
        <f t="shared" si="0"/>
        <v>0</v>
      </c>
      <c r="I15" s="17" t="s">
        <v>609</v>
      </c>
      <c r="J15" s="199" t="s">
        <v>483</v>
      </c>
      <c r="K15" s="17"/>
      <c r="L15" s="10" t="s">
        <v>562</v>
      </c>
      <c r="M15" s="48">
        <v>44329</v>
      </c>
      <c r="N15" s="17">
        <v>-70</v>
      </c>
      <c r="O15" s="17">
        <v>-70</v>
      </c>
      <c r="P15" s="16">
        <v>44329</v>
      </c>
      <c r="R15" t="s">
        <v>16</v>
      </c>
      <c r="S15" s="17">
        <f t="shared" si="1"/>
        <v>-50</v>
      </c>
      <c r="T15" s="17"/>
      <c r="U15" s="17" t="s">
        <v>575</v>
      </c>
      <c r="W15" s="10">
        <v>7</v>
      </c>
      <c r="X15" s="183">
        <f t="shared" si="4"/>
        <v>44279</v>
      </c>
      <c r="Y15" s="17">
        <v>220</v>
      </c>
      <c r="Z15" s="17">
        <v>220</v>
      </c>
      <c r="AA15" s="181">
        <v>44284</v>
      </c>
      <c r="AB15" t="s">
        <v>117</v>
      </c>
      <c r="AD15" s="17">
        <f t="shared" si="2"/>
        <v>-220</v>
      </c>
      <c r="AE15" s="17" t="s">
        <v>593</v>
      </c>
      <c r="AF15" s="17" t="s">
        <v>93</v>
      </c>
      <c r="AH15" s="10" t="s">
        <v>562</v>
      </c>
      <c r="AI15" s="48">
        <v>44212</v>
      </c>
      <c r="AJ15" s="17">
        <v>-115</v>
      </c>
      <c r="AK15" s="17">
        <v>-115</v>
      </c>
      <c r="AL15" s="16"/>
      <c r="AN15" s="31" t="s">
        <v>566</v>
      </c>
      <c r="AO15" s="17" t="str">
        <f t="shared" si="3"/>
        <v/>
      </c>
      <c r="AP15" s="17"/>
      <c r="AQ15" s="17" t="s">
        <v>93</v>
      </c>
    </row>
    <row r="16" spans="1:44" ht="15" customHeight="1" x14ac:dyDescent="0.25">
      <c r="A16" s="10">
        <v>9</v>
      </c>
      <c r="B16" s="48">
        <v>44254</v>
      </c>
      <c r="C16" s="17">
        <v>150</v>
      </c>
      <c r="D16" s="17">
        <v>150</v>
      </c>
      <c r="E16" s="16">
        <v>44261</v>
      </c>
      <c r="F16" t="s">
        <v>124</v>
      </c>
      <c r="H16" s="17">
        <f t="shared" si="0"/>
        <v>0</v>
      </c>
      <c r="I16" s="17" t="s">
        <v>609</v>
      </c>
      <c r="J16" s="199" t="s">
        <v>483</v>
      </c>
      <c r="K16" s="17"/>
      <c r="L16" s="10" t="s">
        <v>562</v>
      </c>
      <c r="M16" s="48">
        <v>44333</v>
      </c>
      <c r="N16" s="17">
        <v>80</v>
      </c>
      <c r="O16" s="17">
        <v>80</v>
      </c>
      <c r="P16" s="16">
        <v>44333</v>
      </c>
      <c r="R16" t="s">
        <v>502</v>
      </c>
      <c r="S16" s="17">
        <f t="shared" si="1"/>
        <v>-50</v>
      </c>
      <c r="T16" s="17"/>
      <c r="U16" s="17" t="s">
        <v>502</v>
      </c>
      <c r="V16" s="17"/>
      <c r="W16" s="10">
        <v>8</v>
      </c>
      <c r="X16" s="183">
        <f t="shared" si="4"/>
        <v>44286</v>
      </c>
      <c r="Y16" s="17">
        <v>220</v>
      </c>
      <c r="Z16" s="17"/>
      <c r="AA16" s="181">
        <v>44292</v>
      </c>
      <c r="AB16" t="s">
        <v>124</v>
      </c>
      <c r="AD16" s="17">
        <f t="shared" si="2"/>
        <v>0</v>
      </c>
      <c r="AE16" s="17" t="s">
        <v>593</v>
      </c>
      <c r="AF16" s="17" t="s">
        <v>93</v>
      </c>
      <c r="AH16" s="10" t="s">
        <v>562</v>
      </c>
      <c r="AI16" s="48">
        <v>44235</v>
      </c>
      <c r="AJ16" s="17">
        <v>-401</v>
      </c>
      <c r="AK16" s="17">
        <v>-401</v>
      </c>
      <c r="AL16" s="16"/>
      <c r="AN16" s="31" t="s">
        <v>502</v>
      </c>
      <c r="AO16" s="17" t="str">
        <f t="shared" si="3"/>
        <v/>
      </c>
      <c r="AP16" s="17"/>
      <c r="AQ16" s="17" t="s">
        <v>93</v>
      </c>
    </row>
    <row r="17" spans="1:43" ht="15" customHeight="1" x14ac:dyDescent="0.25">
      <c r="A17" s="10">
        <v>1</v>
      </c>
      <c r="B17" s="48">
        <v>44271</v>
      </c>
      <c r="C17" s="17">
        <v>150</v>
      </c>
      <c r="D17" s="17"/>
      <c r="E17" s="16"/>
      <c r="H17" s="17">
        <f t="shared" si="0"/>
        <v>150</v>
      </c>
      <c r="I17" s="17" t="s">
        <v>609</v>
      </c>
      <c r="J17" s="199" t="s">
        <v>478</v>
      </c>
      <c r="K17" s="17"/>
      <c r="L17" s="10">
        <v>5</v>
      </c>
      <c r="M17" s="48">
        <f>M14+7</f>
        <v>44336</v>
      </c>
      <c r="N17" s="17">
        <v>170</v>
      </c>
      <c r="O17" s="17">
        <v>120</v>
      </c>
      <c r="P17" s="16">
        <v>44341</v>
      </c>
      <c r="S17" s="17">
        <f t="shared" si="1"/>
        <v>0</v>
      </c>
      <c r="T17" s="17"/>
      <c r="U17" s="17" t="s">
        <v>575</v>
      </c>
      <c r="W17" s="10" t="s">
        <v>562</v>
      </c>
      <c r="X17" s="183">
        <v>44237</v>
      </c>
      <c r="Y17" s="17">
        <v>-66</v>
      </c>
      <c r="Z17" s="17">
        <v>-66</v>
      </c>
      <c r="AA17" s="181">
        <v>44237</v>
      </c>
      <c r="AC17" t="s">
        <v>98</v>
      </c>
      <c r="AD17" s="17">
        <f t="shared" si="2"/>
        <v>0</v>
      </c>
      <c r="AE17" s="17" t="s">
        <v>593</v>
      </c>
      <c r="AF17" s="17" t="s">
        <v>93</v>
      </c>
      <c r="AH17" s="10" t="s">
        <v>562</v>
      </c>
      <c r="AI17" s="48">
        <v>44266</v>
      </c>
      <c r="AJ17" s="17">
        <v>-692.5</v>
      </c>
      <c r="AK17" s="17">
        <v>-692.5</v>
      </c>
      <c r="AL17" s="16"/>
      <c r="AN17" s="31" t="s">
        <v>502</v>
      </c>
      <c r="AO17" s="17" t="str">
        <f t="shared" si="3"/>
        <v/>
      </c>
      <c r="AP17" s="17"/>
      <c r="AQ17" s="17" t="s">
        <v>93</v>
      </c>
    </row>
    <row r="18" spans="1:43" ht="15" customHeight="1" x14ac:dyDescent="0.25">
      <c r="A18" s="10">
        <v>2</v>
      </c>
      <c r="B18" s="48">
        <v>44278</v>
      </c>
      <c r="C18" s="17">
        <v>150</v>
      </c>
      <c r="D18" s="17">
        <v>450</v>
      </c>
      <c r="E18" s="16">
        <v>44301</v>
      </c>
      <c r="F18" t="s">
        <v>117</v>
      </c>
      <c r="H18" s="17">
        <f t="shared" si="0"/>
        <v>-150</v>
      </c>
      <c r="I18" s="17" t="s">
        <v>609</v>
      </c>
      <c r="J18" s="199" t="s">
        <v>478</v>
      </c>
      <c r="K18" s="17"/>
      <c r="L18" s="10">
        <v>6</v>
      </c>
      <c r="M18" s="48">
        <f>M17+7</f>
        <v>44343</v>
      </c>
      <c r="N18" s="17">
        <v>170</v>
      </c>
      <c r="O18" s="17">
        <v>170</v>
      </c>
      <c r="P18" s="16">
        <v>44344</v>
      </c>
      <c r="S18" s="17">
        <f t="shared" si="1"/>
        <v>0</v>
      </c>
      <c r="T18" s="17"/>
      <c r="U18" s="17" t="s">
        <v>575</v>
      </c>
      <c r="W18" s="10" t="s">
        <v>562</v>
      </c>
      <c r="X18" s="183">
        <v>44238</v>
      </c>
      <c r="Y18" s="17">
        <v>-55.1</v>
      </c>
      <c r="Z18" s="17">
        <v>-55.1</v>
      </c>
      <c r="AA18" s="181">
        <v>44238</v>
      </c>
      <c r="AC18" t="s">
        <v>54</v>
      </c>
      <c r="AD18" s="17">
        <f t="shared" si="2"/>
        <v>0</v>
      </c>
      <c r="AE18" s="17" t="s">
        <v>593</v>
      </c>
      <c r="AF18" s="17" t="s">
        <v>93</v>
      </c>
      <c r="AH18" s="10" t="s">
        <v>562</v>
      </c>
      <c r="AI18" s="48">
        <v>44296</v>
      </c>
      <c r="AJ18" s="17">
        <v>-438</v>
      </c>
      <c r="AK18" s="17">
        <v>-438</v>
      </c>
      <c r="AL18" s="16"/>
      <c r="AN18" s="31" t="s">
        <v>502</v>
      </c>
      <c r="AO18" s="17" t="str">
        <f t="shared" si="3"/>
        <v/>
      </c>
      <c r="AP18" s="17"/>
      <c r="AQ18" s="17" t="s">
        <v>93</v>
      </c>
    </row>
    <row r="19" spans="1:43" ht="15" customHeight="1" x14ac:dyDescent="0.25">
      <c r="A19" s="10">
        <v>3</v>
      </c>
      <c r="B19" s="48">
        <v>44285</v>
      </c>
      <c r="C19" s="17">
        <v>150</v>
      </c>
      <c r="D19" s="17"/>
      <c r="E19" s="16">
        <v>44288</v>
      </c>
      <c r="F19" t="s">
        <v>124</v>
      </c>
      <c r="H19" s="17">
        <f t="shared" si="0"/>
        <v>0</v>
      </c>
      <c r="I19" s="17" t="s">
        <v>609</v>
      </c>
      <c r="J19" s="199" t="s">
        <v>478</v>
      </c>
      <c r="K19" s="17"/>
      <c r="L19" s="10">
        <v>7</v>
      </c>
      <c r="M19" s="48">
        <f>M18+7</f>
        <v>44350</v>
      </c>
      <c r="N19" s="17">
        <v>170</v>
      </c>
      <c r="O19" s="17">
        <v>170</v>
      </c>
      <c r="P19" s="16">
        <v>44354</v>
      </c>
      <c r="S19" s="17">
        <f t="shared" si="1"/>
        <v>0</v>
      </c>
      <c r="T19" s="17"/>
      <c r="U19" s="17" t="s">
        <v>575</v>
      </c>
      <c r="W19" s="10" t="s">
        <v>562</v>
      </c>
      <c r="X19" s="183">
        <v>44238</v>
      </c>
      <c r="Y19" s="17">
        <v>-128.4</v>
      </c>
      <c r="Z19" s="17">
        <v>-128.4</v>
      </c>
      <c r="AA19" s="181">
        <v>44238</v>
      </c>
      <c r="AC19" t="s">
        <v>16</v>
      </c>
      <c r="AD19" s="17">
        <f t="shared" si="2"/>
        <v>0</v>
      </c>
      <c r="AE19" s="17" t="s">
        <v>593</v>
      </c>
      <c r="AF19" s="17" t="s">
        <v>93</v>
      </c>
      <c r="AH19" s="10" t="s">
        <v>562</v>
      </c>
      <c r="AI19" s="48">
        <v>44299</v>
      </c>
      <c r="AJ19" s="17">
        <v>-70</v>
      </c>
      <c r="AK19" s="17">
        <v>-70</v>
      </c>
      <c r="AL19" s="16"/>
      <c r="AN19" s="31" t="s">
        <v>16</v>
      </c>
      <c r="AO19" s="17" t="str">
        <f t="shared" si="3"/>
        <v/>
      </c>
      <c r="AP19" s="17"/>
      <c r="AQ19" s="17" t="s">
        <v>502</v>
      </c>
    </row>
    <row r="20" spans="1:43" ht="15" customHeight="1" x14ac:dyDescent="0.25">
      <c r="A20" s="10">
        <v>1</v>
      </c>
      <c r="B20" s="48">
        <v>44291</v>
      </c>
      <c r="C20" s="17">
        <v>300</v>
      </c>
      <c r="D20" s="17">
        <v>300</v>
      </c>
      <c r="E20" s="16">
        <v>44292</v>
      </c>
      <c r="F20" t="s">
        <v>181</v>
      </c>
      <c r="H20" s="17">
        <f t="shared" si="0"/>
        <v>0</v>
      </c>
      <c r="I20" s="17" t="s">
        <v>609</v>
      </c>
      <c r="J20" s="199" t="s">
        <v>554</v>
      </c>
      <c r="K20" s="17"/>
      <c r="L20" s="10">
        <v>8</v>
      </c>
      <c r="M20" s="48">
        <f>M19+7</f>
        <v>44357</v>
      </c>
      <c r="N20" s="17">
        <v>170</v>
      </c>
      <c r="O20" s="17">
        <v>170</v>
      </c>
      <c r="P20" s="16">
        <v>44361</v>
      </c>
      <c r="Q20" t="s">
        <v>124</v>
      </c>
      <c r="S20" s="17">
        <f t="shared" si="1"/>
        <v>0</v>
      </c>
      <c r="U20" s="17" t="s">
        <v>575</v>
      </c>
      <c r="W20" s="10" t="s">
        <v>562</v>
      </c>
      <c r="X20" s="183">
        <v>44266</v>
      </c>
      <c r="Y20" s="17">
        <v>-128.30000000000001</v>
      </c>
      <c r="Z20" s="17">
        <v>-128.30000000000001</v>
      </c>
      <c r="AA20" s="181">
        <v>44266</v>
      </c>
      <c r="AC20" t="s">
        <v>16</v>
      </c>
      <c r="AD20" s="17">
        <f t="shared" si="2"/>
        <v>0</v>
      </c>
      <c r="AE20" s="17" t="s">
        <v>593</v>
      </c>
      <c r="AF20" s="17" t="s">
        <v>93</v>
      </c>
      <c r="AH20" s="10" t="s">
        <v>562</v>
      </c>
      <c r="AI20" s="48">
        <v>44303</v>
      </c>
      <c r="AJ20" s="17">
        <v>-300</v>
      </c>
      <c r="AK20" s="17">
        <v>-300</v>
      </c>
      <c r="AL20" s="16"/>
      <c r="AN20" t="s">
        <v>45</v>
      </c>
      <c r="AO20" s="17" t="str">
        <f t="shared" si="3"/>
        <v/>
      </c>
      <c r="AP20" s="17"/>
      <c r="AQ20" s="17" t="s">
        <v>93</v>
      </c>
    </row>
    <row r="21" spans="1:43" ht="15" customHeight="1" x14ac:dyDescent="0.25">
      <c r="A21" s="10">
        <v>1</v>
      </c>
      <c r="B21" s="48">
        <v>44291</v>
      </c>
      <c r="C21" s="17">
        <v>130</v>
      </c>
      <c r="D21" s="17">
        <v>130</v>
      </c>
      <c r="E21" s="16">
        <v>44292</v>
      </c>
      <c r="F21" t="s">
        <v>117</v>
      </c>
      <c r="H21" s="17">
        <f t="shared" si="0"/>
        <v>0</v>
      </c>
      <c r="I21" s="17" t="s">
        <v>609</v>
      </c>
      <c r="J21" s="199" t="s">
        <v>554</v>
      </c>
      <c r="K21" s="17"/>
      <c r="L21" s="10" t="s">
        <v>562</v>
      </c>
      <c r="M21" s="48">
        <v>44356</v>
      </c>
      <c r="N21" s="17">
        <v>-70</v>
      </c>
      <c r="O21" s="17">
        <v>-70</v>
      </c>
      <c r="P21" s="16">
        <v>44356</v>
      </c>
      <c r="R21" t="s">
        <v>16</v>
      </c>
      <c r="S21" s="17">
        <f t="shared" si="1"/>
        <v>0</v>
      </c>
      <c r="U21" s="17" t="s">
        <v>575</v>
      </c>
      <c r="W21" s="10" t="s">
        <v>562</v>
      </c>
      <c r="X21" s="184">
        <v>44299</v>
      </c>
      <c r="Y21" s="17">
        <v>-128.30000000000001</v>
      </c>
      <c r="Z21" s="17">
        <v>-128.30000000000001</v>
      </c>
      <c r="AA21" s="181">
        <v>44299</v>
      </c>
      <c r="AC21" t="s">
        <v>16</v>
      </c>
      <c r="AD21" s="17">
        <f t="shared" si="2"/>
        <v>0</v>
      </c>
      <c r="AE21" s="17" t="s">
        <v>593</v>
      </c>
      <c r="AF21" s="17" t="s">
        <v>93</v>
      </c>
      <c r="AH21" s="10" t="s">
        <v>562</v>
      </c>
      <c r="AI21" s="48">
        <v>44300</v>
      </c>
      <c r="AJ21" s="17">
        <v>-120.98</v>
      </c>
      <c r="AK21" s="17">
        <v>-120.98</v>
      </c>
      <c r="AL21" s="16"/>
      <c r="AN21" t="s">
        <v>45</v>
      </c>
      <c r="AO21" s="17" t="str">
        <f>IFERROR(IF(AM20="Closed account",(IF(AM21="Unpaid Rent",(AJ21),(AJ21-AK21))),(IF(AM21="Unpaid Rent",(AJ21+AO20),(AJ21-AK21+AO20)))),"")</f>
        <v/>
      </c>
      <c r="AQ21" s="17" t="s">
        <v>93</v>
      </c>
    </row>
    <row r="22" spans="1:43" ht="15" customHeight="1" x14ac:dyDescent="0.25">
      <c r="A22" s="66">
        <v>2</v>
      </c>
      <c r="B22" s="48">
        <v>44298</v>
      </c>
      <c r="C22" s="17">
        <v>130</v>
      </c>
      <c r="D22" s="17">
        <v>130</v>
      </c>
      <c r="E22" s="16">
        <v>44300</v>
      </c>
      <c r="F22" t="s">
        <v>124</v>
      </c>
      <c r="H22" s="17">
        <f t="shared" si="0"/>
        <v>0</v>
      </c>
      <c r="I22" s="17" t="s">
        <v>609</v>
      </c>
      <c r="J22" s="199" t="s">
        <v>554</v>
      </c>
      <c r="K22" s="17"/>
      <c r="L22" s="10" t="s">
        <v>562</v>
      </c>
      <c r="M22" s="48">
        <v>44361</v>
      </c>
      <c r="N22" s="17">
        <v>-440</v>
      </c>
      <c r="O22" s="17">
        <v>-440</v>
      </c>
      <c r="P22" s="16">
        <v>44361</v>
      </c>
      <c r="R22" t="s">
        <v>502</v>
      </c>
      <c r="S22" s="17">
        <f t="shared" si="1"/>
        <v>0</v>
      </c>
      <c r="U22" s="17" t="s">
        <v>502</v>
      </c>
      <c r="W22" s="10" t="s">
        <v>562</v>
      </c>
      <c r="X22" s="184">
        <v>44301</v>
      </c>
      <c r="Y22" s="17">
        <v>-198.52</v>
      </c>
      <c r="Z22" s="17">
        <v>-198.52</v>
      </c>
      <c r="AA22" s="181">
        <v>44301</v>
      </c>
      <c r="AC22" t="s">
        <v>20</v>
      </c>
      <c r="AD22" s="17">
        <f t="shared" si="2"/>
        <v>0</v>
      </c>
      <c r="AE22" s="17" t="s">
        <v>593</v>
      </c>
      <c r="AF22" s="17" t="s">
        <v>93</v>
      </c>
      <c r="AH22" s="10"/>
      <c r="AI22" s="48"/>
      <c r="AJ22" s="17"/>
      <c r="AK22" s="17"/>
      <c r="AL22" s="16"/>
      <c r="AO22" s="17" t="str">
        <f t="shared" si="3"/>
        <v/>
      </c>
    </row>
    <row r="23" spans="1:43" ht="15" customHeight="1" x14ac:dyDescent="0.25">
      <c r="A23" s="10">
        <v>1</v>
      </c>
      <c r="B23" s="48">
        <v>44304</v>
      </c>
      <c r="C23" s="17">
        <v>300</v>
      </c>
      <c r="D23" s="17">
        <v>300</v>
      </c>
      <c r="E23" s="16">
        <v>44304</v>
      </c>
      <c r="F23" t="s">
        <v>181</v>
      </c>
      <c r="H23" s="17">
        <f t="shared" si="0"/>
        <v>0</v>
      </c>
      <c r="I23" s="17" t="s">
        <v>609</v>
      </c>
      <c r="J23" s="199" t="s">
        <v>548</v>
      </c>
      <c r="K23" s="17"/>
      <c r="L23" s="10" t="s">
        <v>562</v>
      </c>
      <c r="M23" s="48">
        <v>44382</v>
      </c>
      <c r="N23" s="17">
        <v>-300</v>
      </c>
      <c r="O23" s="17">
        <v>-300</v>
      </c>
      <c r="P23" s="16">
        <v>44382</v>
      </c>
      <c r="R23" t="s">
        <v>45</v>
      </c>
      <c r="S23" s="17">
        <f t="shared" si="1"/>
        <v>0</v>
      </c>
      <c r="U23" s="17" t="s">
        <v>575</v>
      </c>
      <c r="W23" s="10" t="s">
        <v>562</v>
      </c>
      <c r="X23" s="184">
        <v>44329</v>
      </c>
      <c r="Y23" s="17">
        <v>-128.30000000000001</v>
      </c>
      <c r="Z23" s="17">
        <v>-128.30000000000001</v>
      </c>
      <c r="AA23" s="181">
        <v>44329</v>
      </c>
      <c r="AC23" t="s">
        <v>16</v>
      </c>
      <c r="AD23" s="17">
        <f t="shared" si="2"/>
        <v>0</v>
      </c>
      <c r="AE23" s="17" t="s">
        <v>593</v>
      </c>
      <c r="AF23" s="17" t="s">
        <v>502</v>
      </c>
      <c r="AH23" s="10"/>
      <c r="AI23" s="48"/>
      <c r="AJ23" s="17"/>
      <c r="AK23" s="17"/>
      <c r="AL23" s="16"/>
      <c r="AO23" s="17" t="str">
        <f>IFERROR(IF(AM22="Closed account",(IF(AM23="Unpaid Rent",(AJ23),(AJ23-AK23))),(IF(AM23="Unpaid Rent",(AJ23+AO22),(AJ23-AK23+AO22)))),"")</f>
        <v/>
      </c>
    </row>
    <row r="24" spans="1:43" ht="15" customHeight="1" x14ac:dyDescent="0.25">
      <c r="A24" s="66">
        <v>1</v>
      </c>
      <c r="B24" s="48">
        <v>44304</v>
      </c>
      <c r="C24" s="17">
        <v>150</v>
      </c>
      <c r="D24" s="17">
        <v>150</v>
      </c>
      <c r="E24" s="16">
        <v>44304</v>
      </c>
      <c r="F24" t="s">
        <v>124</v>
      </c>
      <c r="H24" s="17">
        <f t="shared" si="0"/>
        <v>0</v>
      </c>
      <c r="I24" s="17" t="s">
        <v>609</v>
      </c>
      <c r="J24" s="199" t="s">
        <v>548</v>
      </c>
      <c r="K24" s="17"/>
      <c r="L24" s="10">
        <v>1</v>
      </c>
      <c r="M24" s="48">
        <v>44388</v>
      </c>
      <c r="N24" s="17">
        <v>300</v>
      </c>
      <c r="O24" s="17">
        <v>300</v>
      </c>
      <c r="P24" s="16">
        <v>44388</v>
      </c>
      <c r="Q24" t="s">
        <v>181</v>
      </c>
      <c r="S24" s="17">
        <f t="shared" si="1"/>
        <v>0</v>
      </c>
      <c r="U24" s="17" t="s">
        <v>664</v>
      </c>
      <c r="W24" s="10">
        <v>1</v>
      </c>
      <c r="X24" s="184">
        <v>44352</v>
      </c>
      <c r="Y24" s="17">
        <v>400</v>
      </c>
      <c r="Z24" s="17">
        <v>400</v>
      </c>
      <c r="AA24" s="181">
        <v>44351</v>
      </c>
      <c r="AB24" t="s">
        <v>181</v>
      </c>
      <c r="AD24" s="17">
        <f t="shared" si="2"/>
        <v>0</v>
      </c>
      <c r="AE24" s="17" t="s">
        <v>593</v>
      </c>
      <c r="AF24" s="17" t="s">
        <v>619</v>
      </c>
      <c r="AH24" s="10"/>
      <c r="AI24" s="48"/>
      <c r="AJ24" s="17"/>
      <c r="AK24" s="17"/>
      <c r="AL24" s="16"/>
      <c r="AO24" s="17"/>
    </row>
    <row r="25" spans="1:43" ht="15" customHeight="1" x14ac:dyDescent="0.25">
      <c r="A25" s="10" t="s">
        <v>562</v>
      </c>
      <c r="B25" s="48">
        <v>44204</v>
      </c>
      <c r="C25" s="17">
        <v>-65.63</v>
      </c>
      <c r="D25" s="17">
        <v>-65.63</v>
      </c>
      <c r="E25" s="16"/>
      <c r="G25" s="31" t="s">
        <v>495</v>
      </c>
      <c r="H25" s="17">
        <f t="shared" si="0"/>
        <v>0</v>
      </c>
      <c r="I25" s="17" t="s">
        <v>609</v>
      </c>
      <c r="J25" s="199" t="s">
        <v>483</v>
      </c>
      <c r="K25" s="17"/>
      <c r="L25" s="10">
        <v>1</v>
      </c>
      <c r="M25" s="48">
        <v>44392</v>
      </c>
      <c r="N25" s="17">
        <v>180</v>
      </c>
      <c r="O25" s="17">
        <v>180</v>
      </c>
      <c r="P25" s="16">
        <v>44392</v>
      </c>
      <c r="Q25" t="s">
        <v>117</v>
      </c>
      <c r="S25" s="17">
        <f t="shared" si="1"/>
        <v>0</v>
      </c>
      <c r="U25" s="17" t="s">
        <v>664</v>
      </c>
      <c r="W25" s="10">
        <v>1</v>
      </c>
      <c r="X25" s="184">
        <v>44352</v>
      </c>
      <c r="Y25" s="17">
        <v>180</v>
      </c>
      <c r="Z25" s="17">
        <v>180</v>
      </c>
      <c r="AA25" s="181">
        <v>44351</v>
      </c>
      <c r="AB25" t="s">
        <v>117</v>
      </c>
      <c r="AD25" s="17">
        <f t="shared" si="2"/>
        <v>0</v>
      </c>
      <c r="AE25" s="17" t="s">
        <v>593</v>
      </c>
      <c r="AF25" s="17" t="s">
        <v>619</v>
      </c>
      <c r="AL25" s="16"/>
      <c r="AO25" s="17">
        <f t="shared" si="3"/>
        <v>0</v>
      </c>
    </row>
    <row r="26" spans="1:43" ht="15" customHeight="1" x14ac:dyDescent="0.25">
      <c r="A26" s="10" t="s">
        <v>562</v>
      </c>
      <c r="B26" s="48">
        <v>44233</v>
      </c>
      <c r="C26" s="17">
        <v>-65.63</v>
      </c>
      <c r="D26" s="17">
        <v>-65.63</v>
      </c>
      <c r="E26" s="16"/>
      <c r="G26" s="31" t="s">
        <v>495</v>
      </c>
      <c r="H26" s="17">
        <f t="shared" si="0"/>
        <v>0</v>
      </c>
      <c r="I26" s="17" t="s">
        <v>609</v>
      </c>
      <c r="J26" s="199" t="s">
        <v>483</v>
      </c>
      <c r="K26" s="17"/>
      <c r="L26" s="10" t="s">
        <v>562</v>
      </c>
      <c r="M26" s="48">
        <v>44390</v>
      </c>
      <c r="N26" s="17">
        <v>-70</v>
      </c>
      <c r="O26" s="17">
        <v>-70</v>
      </c>
      <c r="P26" s="16">
        <v>44390</v>
      </c>
      <c r="R26" t="s">
        <v>16</v>
      </c>
      <c r="S26" s="17">
        <f t="shared" si="1"/>
        <v>0</v>
      </c>
      <c r="U26" s="17" t="s">
        <v>664</v>
      </c>
      <c r="W26" s="10" t="s">
        <v>562</v>
      </c>
      <c r="X26" s="184">
        <v>44358</v>
      </c>
      <c r="Y26" s="17">
        <v>-128.30000000000001</v>
      </c>
      <c r="Z26" s="17">
        <v>-128.30000000000001</v>
      </c>
      <c r="AA26" s="181">
        <v>44358</v>
      </c>
      <c r="AC26" t="s">
        <v>16</v>
      </c>
      <c r="AD26" s="17">
        <f t="shared" ref="AD26:AD92" si="5">IFERROR(IF(AB25="Closed account",(IF(AB26="Unpaid Rent",(Y26),(Y26-Z26))),(IF(AB26="Unpaid Rent",(Y26+AD25),(Y26-Z26+AD25)))),"")</f>
        <v>0</v>
      </c>
      <c r="AE26" s="17" t="s">
        <v>593</v>
      </c>
      <c r="AF26" s="17" t="s">
        <v>619</v>
      </c>
      <c r="AH26" s="10">
        <v>1</v>
      </c>
      <c r="AI26" s="48">
        <v>44867</v>
      </c>
      <c r="AJ26" s="17">
        <v>400</v>
      </c>
      <c r="AK26" s="17">
        <v>400</v>
      </c>
      <c r="AL26" s="16">
        <v>44867</v>
      </c>
      <c r="AM26" t="s">
        <v>117</v>
      </c>
      <c r="AN26" t="s">
        <v>534</v>
      </c>
      <c r="AO26" s="17">
        <f t="shared" si="3"/>
        <v>0</v>
      </c>
      <c r="AP26" t="s">
        <v>593</v>
      </c>
      <c r="AQ26" t="s">
        <v>1018</v>
      </c>
    </row>
    <row r="27" spans="1:43" ht="15" customHeight="1" x14ac:dyDescent="0.25">
      <c r="A27" s="10" t="s">
        <v>562</v>
      </c>
      <c r="B27" s="48">
        <v>44235</v>
      </c>
      <c r="C27" s="17">
        <v>-213</v>
      </c>
      <c r="D27" s="17">
        <v>-213</v>
      </c>
      <c r="E27" s="16"/>
      <c r="G27" s="31" t="s">
        <v>502</v>
      </c>
      <c r="H27" s="17">
        <f t="shared" si="0"/>
        <v>0</v>
      </c>
      <c r="I27" s="17" t="s">
        <v>609</v>
      </c>
      <c r="J27" s="242" t="s">
        <v>502</v>
      </c>
      <c r="K27" s="17"/>
      <c r="L27" s="10" t="s">
        <v>562</v>
      </c>
      <c r="M27" s="48">
        <v>44401</v>
      </c>
      <c r="N27" s="17">
        <v>-122.5</v>
      </c>
      <c r="O27" s="17">
        <v>-122.5</v>
      </c>
      <c r="P27" s="16">
        <v>44401</v>
      </c>
      <c r="R27" t="s">
        <v>502</v>
      </c>
      <c r="S27" s="17">
        <f t="shared" si="1"/>
        <v>0</v>
      </c>
      <c r="U27" s="17" t="s">
        <v>502</v>
      </c>
      <c r="W27" s="10" t="s">
        <v>562</v>
      </c>
      <c r="X27" s="184">
        <v>44362</v>
      </c>
      <c r="Y27" s="17">
        <v>375</v>
      </c>
      <c r="Z27" s="17">
        <v>375</v>
      </c>
      <c r="AA27" s="181">
        <v>44362</v>
      </c>
      <c r="AC27" t="s">
        <v>620</v>
      </c>
      <c r="AD27" s="17">
        <f t="shared" si="5"/>
        <v>0</v>
      </c>
      <c r="AE27" s="17" t="s">
        <v>593</v>
      </c>
      <c r="AF27" s="17" t="s">
        <v>619</v>
      </c>
      <c r="AH27" s="10">
        <v>1</v>
      </c>
      <c r="AI27" s="48">
        <v>44867</v>
      </c>
      <c r="AJ27" s="17">
        <v>250</v>
      </c>
      <c r="AK27" s="17">
        <v>250</v>
      </c>
      <c r="AL27" s="16">
        <v>44867</v>
      </c>
      <c r="AM27" t="s">
        <v>117</v>
      </c>
      <c r="AN27" t="s">
        <v>534</v>
      </c>
      <c r="AO27" s="17">
        <f t="shared" si="3"/>
        <v>0</v>
      </c>
      <c r="AP27" t="s">
        <v>593</v>
      </c>
      <c r="AQ27" t="s">
        <v>1018</v>
      </c>
    </row>
    <row r="28" spans="1:43" ht="15" customHeight="1" x14ac:dyDescent="0.25">
      <c r="A28" s="10" t="s">
        <v>562</v>
      </c>
      <c r="B28" s="48">
        <v>44261</v>
      </c>
      <c r="C28" s="17">
        <v>-65.63</v>
      </c>
      <c r="D28" s="17">
        <v>-65.63</v>
      </c>
      <c r="E28" s="16"/>
      <c r="G28" s="31" t="s">
        <v>495</v>
      </c>
      <c r="H28" s="17">
        <f t="shared" si="0"/>
        <v>0</v>
      </c>
      <c r="I28" s="17" t="s">
        <v>609</v>
      </c>
      <c r="J28" s="199" t="s">
        <v>483</v>
      </c>
      <c r="K28" s="17"/>
      <c r="L28" s="10">
        <v>2</v>
      </c>
      <c r="M28" s="48">
        <f>M25+7</f>
        <v>44399</v>
      </c>
      <c r="N28" s="17">
        <v>180</v>
      </c>
      <c r="O28" s="17">
        <v>180</v>
      </c>
      <c r="P28" s="16">
        <v>44400</v>
      </c>
      <c r="Q28" t="s">
        <v>58</v>
      </c>
      <c r="S28" s="17">
        <f t="shared" si="1"/>
        <v>0</v>
      </c>
      <c r="U28" s="17" t="s">
        <v>664</v>
      </c>
      <c r="W28" s="10">
        <v>2</v>
      </c>
      <c r="X28" s="184">
        <f>X25+7</f>
        <v>44359</v>
      </c>
      <c r="Y28" s="17">
        <v>180</v>
      </c>
      <c r="Z28" s="17">
        <v>180</v>
      </c>
      <c r="AA28" s="181">
        <v>44358</v>
      </c>
      <c r="AB28" t="s">
        <v>58</v>
      </c>
      <c r="AD28" s="17">
        <f t="shared" si="5"/>
        <v>0</v>
      </c>
      <c r="AE28" s="17" t="s">
        <v>593</v>
      </c>
      <c r="AF28" s="17" t="s">
        <v>619</v>
      </c>
      <c r="AH28" s="10">
        <v>2</v>
      </c>
      <c r="AI28" s="48">
        <f t="shared" ref="AI28:AI36" si="6">AI27+7</f>
        <v>44874</v>
      </c>
      <c r="AJ28" s="17">
        <v>250</v>
      </c>
      <c r="AK28" s="17">
        <v>250</v>
      </c>
      <c r="AL28" s="16">
        <v>44874</v>
      </c>
      <c r="AM28" t="s">
        <v>117</v>
      </c>
      <c r="AN28" s="16">
        <v>44876</v>
      </c>
      <c r="AO28" s="17">
        <f t="shared" si="3"/>
        <v>0</v>
      </c>
      <c r="AP28" t="s">
        <v>593</v>
      </c>
      <c r="AQ28" t="s">
        <v>1018</v>
      </c>
    </row>
    <row r="29" spans="1:43" ht="15" customHeight="1" x14ac:dyDescent="0.25">
      <c r="A29" s="10" t="s">
        <v>562</v>
      </c>
      <c r="B29" s="48">
        <v>44261</v>
      </c>
      <c r="C29" s="17">
        <v>-300</v>
      </c>
      <c r="D29" s="17">
        <v>-300</v>
      </c>
      <c r="E29" s="16"/>
      <c r="G29" s="31" t="s">
        <v>45</v>
      </c>
      <c r="H29" s="17">
        <f t="shared" si="0"/>
        <v>0</v>
      </c>
      <c r="I29" s="17" t="s">
        <v>609</v>
      </c>
      <c r="J29" s="199" t="s">
        <v>483</v>
      </c>
      <c r="K29" s="17"/>
      <c r="L29" s="10">
        <v>3</v>
      </c>
      <c r="M29" s="48">
        <f>M28+7</f>
        <v>44406</v>
      </c>
      <c r="N29" s="17">
        <v>180</v>
      </c>
      <c r="O29" s="17">
        <v>180</v>
      </c>
      <c r="P29" s="16">
        <v>44406</v>
      </c>
      <c r="Q29" t="s">
        <v>58</v>
      </c>
      <c r="S29" s="17">
        <f t="shared" si="1"/>
        <v>0</v>
      </c>
      <c r="U29" s="17" t="s">
        <v>664</v>
      </c>
      <c r="W29" s="10" t="s">
        <v>562</v>
      </c>
      <c r="X29" s="184">
        <v>44363</v>
      </c>
      <c r="Y29" s="17">
        <v>-2.75</v>
      </c>
      <c r="Z29" s="17">
        <v>-2.75</v>
      </c>
      <c r="AA29" s="181">
        <v>44363</v>
      </c>
      <c r="AC29" t="s">
        <v>22</v>
      </c>
      <c r="AD29" s="17">
        <f t="shared" si="5"/>
        <v>0</v>
      </c>
      <c r="AE29" s="17" t="s">
        <v>593</v>
      </c>
      <c r="AF29" s="17" t="s">
        <v>619</v>
      </c>
      <c r="AH29" s="10">
        <v>3</v>
      </c>
      <c r="AI29" s="16">
        <f t="shared" si="6"/>
        <v>44881</v>
      </c>
      <c r="AJ29" s="17">
        <v>250</v>
      </c>
      <c r="AK29" s="17">
        <v>250</v>
      </c>
      <c r="AL29" s="16">
        <v>44882</v>
      </c>
      <c r="AM29" t="s">
        <v>117</v>
      </c>
      <c r="AN29" s="16">
        <v>44887</v>
      </c>
      <c r="AO29" s="17">
        <f t="shared" si="3"/>
        <v>0</v>
      </c>
      <c r="AP29" t="s">
        <v>593</v>
      </c>
      <c r="AQ29" t="s">
        <v>1018</v>
      </c>
    </row>
    <row r="30" spans="1:43" ht="15" customHeight="1" x14ac:dyDescent="0.25">
      <c r="A30" s="10" t="s">
        <v>562</v>
      </c>
      <c r="B30" s="48">
        <v>44265</v>
      </c>
      <c r="C30" s="17">
        <v>-497.5</v>
      </c>
      <c r="D30" s="17">
        <v>-497.5</v>
      </c>
      <c r="E30" s="16"/>
      <c r="G30" s="31" t="s">
        <v>502</v>
      </c>
      <c r="H30" s="17">
        <f t="shared" si="0"/>
        <v>0</v>
      </c>
      <c r="I30" s="17" t="s">
        <v>609</v>
      </c>
      <c r="J30" s="242" t="s">
        <v>502</v>
      </c>
      <c r="K30" s="17"/>
      <c r="L30" s="10" t="s">
        <v>562</v>
      </c>
      <c r="M30" s="48">
        <v>44400</v>
      </c>
      <c r="N30" s="17">
        <v>-5.5</v>
      </c>
      <c r="O30" s="17">
        <v>-5.5</v>
      </c>
      <c r="P30" s="16">
        <v>44400</v>
      </c>
      <c r="R30" t="s">
        <v>22</v>
      </c>
      <c r="S30" s="17">
        <f t="shared" si="1"/>
        <v>0</v>
      </c>
      <c r="U30" s="17" t="s">
        <v>664</v>
      </c>
      <c r="W30" s="10" t="s">
        <v>562</v>
      </c>
      <c r="X30" s="184">
        <v>44358</v>
      </c>
      <c r="Y30" s="17">
        <v>-0.44</v>
      </c>
      <c r="Z30" s="17">
        <v>-0.44</v>
      </c>
      <c r="AA30" s="181">
        <v>44358</v>
      </c>
      <c r="AB30" t="s">
        <v>58</v>
      </c>
      <c r="AC30" t="s">
        <v>22</v>
      </c>
      <c r="AD30" s="17">
        <f t="shared" si="5"/>
        <v>0</v>
      </c>
      <c r="AE30" s="17" t="s">
        <v>593</v>
      </c>
      <c r="AF30" s="17" t="s">
        <v>619</v>
      </c>
      <c r="AH30" s="10">
        <v>4</v>
      </c>
      <c r="AI30" s="16">
        <f t="shared" si="6"/>
        <v>44888</v>
      </c>
      <c r="AJ30" s="17">
        <v>250</v>
      </c>
      <c r="AK30" s="17">
        <v>250</v>
      </c>
      <c r="AL30" s="16">
        <v>44889</v>
      </c>
      <c r="AM30" t="s">
        <v>117</v>
      </c>
      <c r="AN30" s="16">
        <v>44889</v>
      </c>
      <c r="AO30" s="17">
        <f t="shared" si="3"/>
        <v>0</v>
      </c>
      <c r="AP30" t="s">
        <v>593</v>
      </c>
      <c r="AQ30" t="s">
        <v>1018</v>
      </c>
    </row>
    <row r="31" spans="1:43" ht="15" customHeight="1" x14ac:dyDescent="0.25">
      <c r="A31" s="10" t="s">
        <v>562</v>
      </c>
      <c r="B31" s="48">
        <v>44271</v>
      </c>
      <c r="C31" s="17">
        <v>-48.39</v>
      </c>
      <c r="D31" s="17">
        <v>-48.39</v>
      </c>
      <c r="G31" s="31" t="s">
        <v>32</v>
      </c>
      <c r="H31" s="17">
        <f t="shared" si="0"/>
        <v>0</v>
      </c>
      <c r="I31" s="17" t="s">
        <v>609</v>
      </c>
      <c r="J31" s="199" t="s">
        <v>483</v>
      </c>
      <c r="K31" s="17"/>
      <c r="L31" s="10">
        <v>4</v>
      </c>
      <c r="M31" s="48">
        <f>M29+7</f>
        <v>44413</v>
      </c>
      <c r="N31" s="17">
        <f>180</f>
        <v>180</v>
      </c>
      <c r="O31" s="17">
        <f>180</f>
        <v>180</v>
      </c>
      <c r="P31" s="16">
        <v>44413</v>
      </c>
      <c r="Q31" t="s">
        <v>58</v>
      </c>
      <c r="S31" s="17">
        <f t="shared" si="1"/>
        <v>0</v>
      </c>
      <c r="U31" s="17" t="s">
        <v>664</v>
      </c>
      <c r="W31" s="10" t="s">
        <v>562</v>
      </c>
      <c r="X31" s="184">
        <v>44358</v>
      </c>
      <c r="Y31" s="17">
        <v>-0.99</v>
      </c>
      <c r="Z31" s="17">
        <v>-0.99</v>
      </c>
      <c r="AA31" s="181">
        <v>44358</v>
      </c>
      <c r="AB31" t="s">
        <v>58</v>
      </c>
      <c r="AC31" t="s">
        <v>22</v>
      </c>
      <c r="AD31" s="17">
        <f t="shared" si="5"/>
        <v>0</v>
      </c>
      <c r="AE31" s="17" t="s">
        <v>593</v>
      </c>
      <c r="AF31" s="17" t="s">
        <v>619</v>
      </c>
      <c r="AH31" s="10">
        <v>5</v>
      </c>
      <c r="AI31" s="16">
        <f t="shared" si="6"/>
        <v>44895</v>
      </c>
      <c r="AJ31" s="17">
        <v>250</v>
      </c>
      <c r="AK31" s="17"/>
      <c r="AO31" s="17">
        <f t="shared" si="3"/>
        <v>250</v>
      </c>
      <c r="AP31" t="s">
        <v>593</v>
      </c>
      <c r="AQ31" t="s">
        <v>1018</v>
      </c>
    </row>
    <row r="32" spans="1:43" ht="15" customHeight="1" x14ac:dyDescent="0.25">
      <c r="A32" s="10" t="s">
        <v>562</v>
      </c>
      <c r="B32" s="48">
        <v>44296</v>
      </c>
      <c r="C32" s="17">
        <v>-75.489999999999995</v>
      </c>
      <c r="D32" s="17">
        <v>-75.489999999999995</v>
      </c>
      <c r="G32" s="31" t="s">
        <v>495</v>
      </c>
      <c r="H32" s="17">
        <f t="shared" si="0"/>
        <v>0</v>
      </c>
      <c r="I32" s="17" t="s">
        <v>609</v>
      </c>
      <c r="J32" s="199" t="s">
        <v>483</v>
      </c>
      <c r="K32" s="17"/>
      <c r="L32" s="10" t="s">
        <v>562</v>
      </c>
      <c r="M32" s="48">
        <v>44426</v>
      </c>
      <c r="N32" s="17">
        <v>-300</v>
      </c>
      <c r="O32" s="17">
        <v>-300</v>
      </c>
      <c r="P32" s="16">
        <v>44426</v>
      </c>
      <c r="R32" t="s">
        <v>45</v>
      </c>
      <c r="S32" s="17">
        <f t="shared" si="1"/>
        <v>0</v>
      </c>
      <c r="U32" s="17" t="s">
        <v>664</v>
      </c>
      <c r="W32" s="10" t="s">
        <v>562</v>
      </c>
      <c r="X32" s="184">
        <v>44372</v>
      </c>
      <c r="Y32" s="17">
        <v>-190.8</v>
      </c>
      <c r="Z32" s="17">
        <v>-190.8</v>
      </c>
      <c r="AA32" s="181">
        <v>44464</v>
      </c>
      <c r="AC32" t="s">
        <v>555</v>
      </c>
      <c r="AD32" s="17">
        <f t="shared" si="5"/>
        <v>0</v>
      </c>
      <c r="AE32" s="17" t="s">
        <v>593</v>
      </c>
      <c r="AF32" s="17" t="s">
        <v>93</v>
      </c>
      <c r="AH32" s="10">
        <v>6</v>
      </c>
      <c r="AI32" s="16">
        <f t="shared" si="6"/>
        <v>44902</v>
      </c>
      <c r="AJ32" s="17">
        <v>250</v>
      </c>
      <c r="AK32" s="17">
        <v>250</v>
      </c>
      <c r="AL32" s="16">
        <v>44902</v>
      </c>
      <c r="AM32" t="s">
        <v>117</v>
      </c>
      <c r="AO32" s="17">
        <f t="shared" si="3"/>
        <v>250</v>
      </c>
      <c r="AP32" t="s">
        <v>593</v>
      </c>
      <c r="AQ32" t="s">
        <v>1018</v>
      </c>
    </row>
    <row r="33" spans="1:43" ht="15" customHeight="1" x14ac:dyDescent="0.25">
      <c r="A33" s="10" t="s">
        <v>562</v>
      </c>
      <c r="B33" s="48">
        <v>44296</v>
      </c>
      <c r="C33" s="17">
        <v>-262</v>
      </c>
      <c r="D33" s="17">
        <v>-262</v>
      </c>
      <c r="G33" s="31" t="s">
        <v>502</v>
      </c>
      <c r="H33" s="17">
        <f t="shared" si="0"/>
        <v>0</v>
      </c>
      <c r="I33" s="17" t="s">
        <v>609</v>
      </c>
      <c r="J33" s="242" t="s">
        <v>502</v>
      </c>
      <c r="K33" s="17"/>
      <c r="L33" s="10">
        <v>5</v>
      </c>
      <c r="M33" s="48">
        <f>M31+7</f>
        <v>44420</v>
      </c>
      <c r="N33" s="17">
        <f>180-129</f>
        <v>51</v>
      </c>
      <c r="O33" s="17">
        <f>180-129</f>
        <v>51</v>
      </c>
      <c r="P33" s="16">
        <v>44420</v>
      </c>
      <c r="Q33" t="s">
        <v>124</v>
      </c>
      <c r="S33" s="17">
        <f t="shared" si="1"/>
        <v>0</v>
      </c>
      <c r="U33" s="17" t="s">
        <v>664</v>
      </c>
      <c r="W33" s="10">
        <v>3</v>
      </c>
      <c r="X33" s="184">
        <f>X28+7</f>
        <v>44366</v>
      </c>
      <c r="Y33" s="17">
        <v>180</v>
      </c>
      <c r="Z33" s="17">
        <v>180</v>
      </c>
      <c r="AA33" s="16">
        <v>44365</v>
      </c>
      <c r="AB33" t="s">
        <v>58</v>
      </c>
      <c r="AD33" s="17">
        <f t="shared" si="5"/>
        <v>0</v>
      </c>
      <c r="AE33" s="17" t="s">
        <v>593</v>
      </c>
      <c r="AF33" s="17" t="s">
        <v>619</v>
      </c>
      <c r="AH33" s="10">
        <v>7</v>
      </c>
      <c r="AI33" s="16">
        <f t="shared" si="6"/>
        <v>44909</v>
      </c>
      <c r="AJ33" s="17">
        <v>250</v>
      </c>
      <c r="AK33" s="17">
        <v>250</v>
      </c>
      <c r="AL33" s="16">
        <v>44910</v>
      </c>
      <c r="AM33" t="s">
        <v>117</v>
      </c>
      <c r="AO33" s="17">
        <f t="shared" si="3"/>
        <v>250</v>
      </c>
      <c r="AP33" t="s">
        <v>593</v>
      </c>
      <c r="AQ33" t="s">
        <v>1018</v>
      </c>
    </row>
    <row r="34" spans="1:43" ht="15" customHeight="1" x14ac:dyDescent="0.25">
      <c r="A34" s="10" t="s">
        <v>562</v>
      </c>
      <c r="B34" s="48">
        <v>44303</v>
      </c>
      <c r="C34" s="17">
        <v>-300</v>
      </c>
      <c r="D34" s="17">
        <v>-300</v>
      </c>
      <c r="G34" s="31" t="s">
        <v>45</v>
      </c>
      <c r="H34" s="17">
        <f t="shared" si="0"/>
        <v>0</v>
      </c>
      <c r="I34" s="17" t="s">
        <v>609</v>
      </c>
      <c r="J34" s="199" t="s">
        <v>554</v>
      </c>
      <c r="K34" s="17"/>
      <c r="L34" s="10" t="s">
        <v>562</v>
      </c>
      <c r="M34" s="48">
        <v>44421</v>
      </c>
      <c r="N34" s="17">
        <v>-70</v>
      </c>
      <c r="O34" s="17">
        <v>-70</v>
      </c>
      <c r="P34" s="16">
        <v>44421</v>
      </c>
      <c r="R34" t="s">
        <v>16</v>
      </c>
      <c r="S34" s="17">
        <f t="shared" si="1"/>
        <v>0</v>
      </c>
      <c r="U34" s="17" t="s">
        <v>664</v>
      </c>
      <c r="W34" s="10" t="s">
        <v>562</v>
      </c>
      <c r="X34" s="184">
        <v>44365</v>
      </c>
      <c r="Y34" s="17">
        <v>-0.44</v>
      </c>
      <c r="Z34" s="17">
        <v>-0.44</v>
      </c>
      <c r="AA34" s="16">
        <v>44365</v>
      </c>
      <c r="AC34" t="s">
        <v>22</v>
      </c>
      <c r="AD34" s="17">
        <f t="shared" si="5"/>
        <v>0</v>
      </c>
      <c r="AE34" s="17" t="s">
        <v>593</v>
      </c>
      <c r="AF34" s="17" t="s">
        <v>619</v>
      </c>
      <c r="AH34" s="10">
        <v>8</v>
      </c>
      <c r="AI34" s="16">
        <f t="shared" si="6"/>
        <v>44916</v>
      </c>
      <c r="AJ34" s="17">
        <v>250</v>
      </c>
      <c r="AK34" s="17">
        <v>250</v>
      </c>
      <c r="AL34" s="16">
        <v>44917</v>
      </c>
      <c r="AM34" t="s">
        <v>117</v>
      </c>
      <c r="AO34" s="17">
        <f t="shared" si="3"/>
        <v>250</v>
      </c>
      <c r="AP34" t="s">
        <v>593</v>
      </c>
      <c r="AQ34" t="s">
        <v>1018</v>
      </c>
    </row>
    <row r="35" spans="1:43" ht="15" customHeight="1" x14ac:dyDescent="0.25">
      <c r="A35" s="10" t="s">
        <v>562</v>
      </c>
      <c r="B35" s="48">
        <v>44311</v>
      </c>
      <c r="C35" s="17">
        <v>-300</v>
      </c>
      <c r="D35" s="17">
        <v>-300</v>
      </c>
      <c r="E35" s="16">
        <v>44341</v>
      </c>
      <c r="F35" t="s">
        <v>117</v>
      </c>
      <c r="G35" s="31" t="s">
        <v>45</v>
      </c>
      <c r="H35" s="17">
        <f t="shared" si="0"/>
        <v>0</v>
      </c>
      <c r="I35" s="17" t="s">
        <v>609</v>
      </c>
      <c r="J35" s="199" t="s">
        <v>548</v>
      </c>
      <c r="K35" s="17"/>
      <c r="L35" s="10" t="s">
        <v>562</v>
      </c>
      <c r="M35" s="48">
        <v>44430</v>
      </c>
      <c r="N35" s="17">
        <v>-373.37</v>
      </c>
      <c r="O35" s="17">
        <v>-373.37</v>
      </c>
      <c r="P35" s="16">
        <v>44433</v>
      </c>
      <c r="R35" t="s">
        <v>502</v>
      </c>
      <c r="S35" s="17">
        <f t="shared" si="1"/>
        <v>0</v>
      </c>
      <c r="U35" s="17" t="s">
        <v>502</v>
      </c>
      <c r="W35" s="10" t="s">
        <v>562</v>
      </c>
      <c r="X35" s="184">
        <v>44379</v>
      </c>
      <c r="Y35" s="17">
        <v>-184.23</v>
      </c>
      <c r="Z35" s="17">
        <v>-184.23</v>
      </c>
      <c r="AA35" s="16">
        <v>44379</v>
      </c>
      <c r="AC35" t="s">
        <v>555</v>
      </c>
      <c r="AD35" s="17">
        <f t="shared" si="5"/>
        <v>0</v>
      </c>
      <c r="AE35" s="17" t="s">
        <v>593</v>
      </c>
      <c r="AF35" s="17" t="s">
        <v>619</v>
      </c>
      <c r="AH35" s="10">
        <v>9</v>
      </c>
      <c r="AI35" s="16">
        <f t="shared" si="6"/>
        <v>44923</v>
      </c>
      <c r="AJ35" s="17">
        <v>250</v>
      </c>
      <c r="AK35" s="17">
        <v>250</v>
      </c>
      <c r="AL35" s="16">
        <v>44925</v>
      </c>
      <c r="AM35" t="s">
        <v>117</v>
      </c>
      <c r="AN35" s="16">
        <v>44927</v>
      </c>
      <c r="AO35" s="17">
        <f t="shared" si="3"/>
        <v>250</v>
      </c>
      <c r="AP35" t="s">
        <v>593</v>
      </c>
      <c r="AQ35" t="s">
        <v>1018</v>
      </c>
    </row>
    <row r="36" spans="1:43" ht="15" customHeight="1" x14ac:dyDescent="0.25">
      <c r="A36" s="10">
        <v>1</v>
      </c>
      <c r="B36" s="48">
        <v>44313</v>
      </c>
      <c r="C36" s="17">
        <v>300</v>
      </c>
      <c r="D36" s="17">
        <v>300</v>
      </c>
      <c r="E36" s="16">
        <v>44313</v>
      </c>
      <c r="F36" t="s">
        <v>181</v>
      </c>
      <c r="H36" s="17">
        <f t="shared" si="0"/>
        <v>0</v>
      </c>
      <c r="I36" s="17" t="s">
        <v>609</v>
      </c>
      <c r="J36" s="199" t="s">
        <v>580</v>
      </c>
      <c r="K36" s="17"/>
      <c r="L36" s="10" t="s">
        <v>562</v>
      </c>
      <c r="M36" s="48">
        <v>44382</v>
      </c>
      <c r="N36" s="17">
        <v>-100</v>
      </c>
      <c r="O36" s="17">
        <v>-100</v>
      </c>
      <c r="P36" s="16">
        <v>44382</v>
      </c>
      <c r="R36" t="s">
        <v>26</v>
      </c>
      <c r="S36" s="17">
        <f t="shared" si="1"/>
        <v>0</v>
      </c>
      <c r="U36" s="17" t="s">
        <v>575</v>
      </c>
      <c r="W36" s="10">
        <v>4</v>
      </c>
      <c r="X36" s="184">
        <f>X33+7</f>
        <v>44373</v>
      </c>
      <c r="Y36" s="17">
        <v>180</v>
      </c>
      <c r="Z36" s="17">
        <f>180*2</f>
        <v>360</v>
      </c>
      <c r="AA36" s="16">
        <v>44372</v>
      </c>
      <c r="AB36" t="s">
        <v>58</v>
      </c>
      <c r="AD36" s="17">
        <f t="shared" si="5"/>
        <v>-180</v>
      </c>
      <c r="AE36" s="17" t="s">
        <v>593</v>
      </c>
      <c r="AF36" s="17" t="s">
        <v>619</v>
      </c>
      <c r="AH36" s="10">
        <v>10</v>
      </c>
      <c r="AI36" s="16">
        <f t="shared" si="6"/>
        <v>44930</v>
      </c>
      <c r="AJ36" s="17">
        <v>250</v>
      </c>
      <c r="AK36" s="17">
        <v>250</v>
      </c>
      <c r="AL36" s="16">
        <v>44931</v>
      </c>
      <c r="AM36" t="s">
        <v>117</v>
      </c>
      <c r="AN36" t="s">
        <v>793</v>
      </c>
      <c r="AO36" s="17">
        <f t="shared" si="3"/>
        <v>250</v>
      </c>
      <c r="AP36" t="s">
        <v>593</v>
      </c>
      <c r="AQ36" t="s">
        <v>1018</v>
      </c>
    </row>
    <row r="37" spans="1:43" ht="15" customHeight="1" x14ac:dyDescent="0.25">
      <c r="A37" s="66">
        <v>1</v>
      </c>
      <c r="B37" s="48">
        <v>44313</v>
      </c>
      <c r="C37" s="17">
        <v>130</v>
      </c>
      <c r="D37" s="17">
        <v>130</v>
      </c>
      <c r="E37" s="16">
        <v>44313</v>
      </c>
      <c r="F37" t="s">
        <v>117</v>
      </c>
      <c r="H37" s="17">
        <f t="shared" si="0"/>
        <v>0</v>
      </c>
      <c r="I37" s="17" t="s">
        <v>609</v>
      </c>
      <c r="J37" s="199" t="s">
        <v>580</v>
      </c>
      <c r="K37" s="17"/>
      <c r="L37" s="10"/>
      <c r="M37" s="48"/>
      <c r="N37" s="17"/>
      <c r="O37" s="17"/>
      <c r="P37" s="16"/>
      <c r="S37" s="17">
        <f t="shared" si="1"/>
        <v>0</v>
      </c>
      <c r="U37" s="17"/>
      <c r="W37" s="10" t="s">
        <v>562</v>
      </c>
      <c r="X37" s="184">
        <v>44372</v>
      </c>
      <c r="Y37" s="17">
        <f>-0.44*2</f>
        <v>-0.88</v>
      </c>
      <c r="Z37" s="17">
        <f>-0.44*2</f>
        <v>-0.88</v>
      </c>
      <c r="AA37" s="16">
        <v>44372</v>
      </c>
      <c r="AC37" t="s">
        <v>22</v>
      </c>
      <c r="AD37" s="17">
        <f t="shared" si="5"/>
        <v>-180</v>
      </c>
      <c r="AE37" s="17" t="s">
        <v>593</v>
      </c>
      <c r="AF37" s="17" t="s">
        <v>619</v>
      </c>
      <c r="AH37" s="10">
        <v>11</v>
      </c>
      <c r="AI37" s="16">
        <f>AI36+7</f>
        <v>44937</v>
      </c>
      <c r="AJ37" s="17">
        <v>250</v>
      </c>
      <c r="AK37" s="17">
        <v>298</v>
      </c>
      <c r="AL37" s="16">
        <v>44938</v>
      </c>
      <c r="AM37" t="s">
        <v>117</v>
      </c>
      <c r="AN37" t="s">
        <v>534</v>
      </c>
      <c r="AO37" s="17">
        <f t="shared" si="3"/>
        <v>202</v>
      </c>
      <c r="AP37" t="s">
        <v>593</v>
      </c>
      <c r="AQ37" t="s">
        <v>1018</v>
      </c>
    </row>
    <row r="38" spans="1:43" ht="15" customHeight="1" x14ac:dyDescent="0.25">
      <c r="A38" s="66">
        <v>2</v>
      </c>
      <c r="B38" s="48">
        <f>B37+7</f>
        <v>44320</v>
      </c>
      <c r="C38" s="17">
        <v>130</v>
      </c>
      <c r="D38" s="17"/>
      <c r="H38" s="17">
        <f t="shared" si="0"/>
        <v>130</v>
      </c>
      <c r="I38" s="17" t="s">
        <v>609</v>
      </c>
      <c r="J38" s="199" t="s">
        <v>580</v>
      </c>
      <c r="K38" s="17"/>
      <c r="L38" s="10"/>
      <c r="M38" s="48"/>
      <c r="N38" s="17"/>
      <c r="O38" s="17"/>
      <c r="P38" s="16"/>
      <c r="S38" s="17">
        <f t="shared" si="1"/>
        <v>0</v>
      </c>
      <c r="W38" s="10">
        <v>5</v>
      </c>
      <c r="X38" s="184">
        <f>X36+7</f>
        <v>44380</v>
      </c>
      <c r="Y38" s="17">
        <v>180</v>
      </c>
      <c r="Z38" s="17">
        <v>180</v>
      </c>
      <c r="AA38" s="181">
        <v>44384</v>
      </c>
      <c r="AB38" t="s">
        <v>58</v>
      </c>
      <c r="AD38" s="17">
        <f t="shared" si="5"/>
        <v>-180</v>
      </c>
      <c r="AE38" t="s">
        <v>593</v>
      </c>
      <c r="AF38" t="s">
        <v>619</v>
      </c>
      <c r="AH38" s="225" t="s">
        <v>562</v>
      </c>
      <c r="AI38" s="16">
        <v>44938</v>
      </c>
      <c r="AJ38" s="17">
        <v>-205.68</v>
      </c>
      <c r="AK38" s="17">
        <v>-205.68</v>
      </c>
      <c r="AL38" s="16">
        <v>44938</v>
      </c>
      <c r="AM38" t="s">
        <v>20</v>
      </c>
      <c r="AN38" t="s">
        <v>534</v>
      </c>
      <c r="AO38" s="17">
        <f t="shared" si="3"/>
        <v>202</v>
      </c>
      <c r="AP38" t="s">
        <v>593</v>
      </c>
      <c r="AQ38" t="s">
        <v>1018</v>
      </c>
    </row>
    <row r="39" spans="1:43" ht="15" customHeight="1" x14ac:dyDescent="0.25">
      <c r="A39" s="10" t="s">
        <v>562</v>
      </c>
      <c r="B39" s="48">
        <v>44333</v>
      </c>
      <c r="C39" s="17">
        <v>-390</v>
      </c>
      <c r="D39" s="17">
        <v>-390</v>
      </c>
      <c r="E39" s="16">
        <v>44333</v>
      </c>
      <c r="F39" t="s">
        <v>117</v>
      </c>
      <c r="G39" s="31" t="s">
        <v>502</v>
      </c>
      <c r="H39" s="17">
        <f t="shared" si="0"/>
        <v>130</v>
      </c>
      <c r="I39" s="17" t="s">
        <v>609</v>
      </c>
      <c r="J39" s="242" t="s">
        <v>502</v>
      </c>
      <c r="K39" s="17"/>
      <c r="L39" s="10"/>
      <c r="M39" s="48"/>
      <c r="N39" s="17"/>
      <c r="O39" s="17"/>
      <c r="P39" s="16"/>
      <c r="S39" s="17">
        <f t="shared" si="1"/>
        <v>0</v>
      </c>
      <c r="W39" s="10">
        <v>6</v>
      </c>
      <c r="X39" s="184">
        <f>X38+7</f>
        <v>44387</v>
      </c>
      <c r="Y39" s="17">
        <v>180</v>
      </c>
      <c r="Z39" s="17">
        <v>180</v>
      </c>
      <c r="AA39" s="181">
        <v>44391</v>
      </c>
      <c r="AB39" t="s">
        <v>58</v>
      </c>
      <c r="AD39" s="17">
        <f t="shared" si="5"/>
        <v>-180</v>
      </c>
      <c r="AE39" t="s">
        <v>593</v>
      </c>
      <c r="AF39" t="s">
        <v>619</v>
      </c>
      <c r="AH39" s="10">
        <v>12</v>
      </c>
      <c r="AI39" s="16">
        <f>AI37+7</f>
        <v>44944</v>
      </c>
      <c r="AJ39" s="17">
        <v>250</v>
      </c>
      <c r="AK39" s="17"/>
      <c r="AL39" s="16"/>
      <c r="AO39" s="17">
        <f t="shared" ref="AO39:AO52" si="7">IFERROR(IF(AM38="Closed account",(IF(AM39="Unpaid Rent",(AJ39),(AJ39-AK39))),(IF(AM39="Unpaid Rent",(AJ39+AO38),(AJ39-AK39+AO38)))),"")</f>
        <v>452</v>
      </c>
      <c r="AP39" t="s">
        <v>593</v>
      </c>
      <c r="AQ39" t="s">
        <v>1018</v>
      </c>
    </row>
    <row r="40" spans="1:43" ht="15" customHeight="1" x14ac:dyDescent="0.25">
      <c r="A40" s="10">
        <v>3</v>
      </c>
      <c r="B40" s="48">
        <f>B38+7</f>
        <v>44327</v>
      </c>
      <c r="C40" s="17">
        <v>130</v>
      </c>
      <c r="D40" s="17"/>
      <c r="F40" t="s">
        <v>124</v>
      </c>
      <c r="H40" s="17">
        <f t="shared" si="0"/>
        <v>260</v>
      </c>
      <c r="I40" s="17" t="s">
        <v>609</v>
      </c>
      <c r="J40" s="199" t="s">
        <v>580</v>
      </c>
      <c r="K40" s="17"/>
      <c r="L40" s="10"/>
      <c r="M40" s="48"/>
      <c r="N40" s="17"/>
      <c r="O40" s="17"/>
      <c r="P40" s="16"/>
      <c r="S40" s="17">
        <f t="shared" si="1"/>
        <v>0</v>
      </c>
      <c r="W40" s="10" t="s">
        <v>562</v>
      </c>
      <c r="X40" s="184">
        <v>44384</v>
      </c>
      <c r="Y40" s="17">
        <v>-0.44</v>
      </c>
      <c r="Z40" s="17">
        <v>-0.44</v>
      </c>
      <c r="AA40" s="181">
        <v>44384</v>
      </c>
      <c r="AC40" t="s">
        <v>22</v>
      </c>
      <c r="AD40" s="17">
        <f t="shared" si="5"/>
        <v>-180</v>
      </c>
      <c r="AE40" t="s">
        <v>593</v>
      </c>
      <c r="AF40" t="s">
        <v>619</v>
      </c>
      <c r="AH40" s="10">
        <v>13</v>
      </c>
      <c r="AI40" s="16">
        <f>AI39+7</f>
        <v>44951</v>
      </c>
      <c r="AJ40" s="17">
        <v>250</v>
      </c>
      <c r="AK40" s="17"/>
      <c r="AL40" s="16"/>
      <c r="AO40" s="17">
        <f t="shared" si="7"/>
        <v>702</v>
      </c>
      <c r="AP40" t="s">
        <v>593</v>
      </c>
      <c r="AQ40" t="s">
        <v>1018</v>
      </c>
    </row>
    <row r="41" spans="1:43" ht="15" customHeight="1" x14ac:dyDescent="0.25">
      <c r="A41" s="10">
        <v>4</v>
      </c>
      <c r="B41" s="48">
        <f>B40+7</f>
        <v>44334</v>
      </c>
      <c r="C41" s="17">
        <v>130</v>
      </c>
      <c r="D41" s="17">
        <v>300</v>
      </c>
      <c r="E41" s="16">
        <v>44334</v>
      </c>
      <c r="F41" t="s">
        <v>117</v>
      </c>
      <c r="H41" s="17">
        <f t="shared" si="0"/>
        <v>-170</v>
      </c>
      <c r="I41" s="17" t="s">
        <v>609</v>
      </c>
      <c r="J41" s="199" t="s">
        <v>580</v>
      </c>
      <c r="K41" s="17"/>
      <c r="L41" s="10"/>
      <c r="M41" s="48"/>
      <c r="N41" s="17"/>
      <c r="O41" s="17"/>
      <c r="P41" s="16"/>
      <c r="S41" s="17">
        <f t="shared" si="1"/>
        <v>0</v>
      </c>
      <c r="W41" s="10" t="s">
        <v>562</v>
      </c>
      <c r="X41" s="184">
        <v>44379</v>
      </c>
      <c r="Y41" s="17">
        <v>-0.99</v>
      </c>
      <c r="Z41" s="17">
        <v>-0.99</v>
      </c>
      <c r="AA41" s="181">
        <v>44379</v>
      </c>
      <c r="AC41" t="s">
        <v>22</v>
      </c>
      <c r="AD41" s="17">
        <f t="shared" si="5"/>
        <v>-180</v>
      </c>
      <c r="AE41" t="s">
        <v>593</v>
      </c>
      <c r="AF41" t="s">
        <v>619</v>
      </c>
      <c r="AH41" s="10">
        <v>14</v>
      </c>
      <c r="AI41" s="16">
        <f>AI40+7</f>
        <v>44958</v>
      </c>
      <c r="AJ41" s="17">
        <v>250</v>
      </c>
      <c r="AK41" s="17"/>
      <c r="AL41" s="16"/>
      <c r="AO41" s="17">
        <f t="shared" si="7"/>
        <v>952</v>
      </c>
      <c r="AP41" t="s">
        <v>593</v>
      </c>
      <c r="AQ41" t="s">
        <v>1018</v>
      </c>
    </row>
    <row r="42" spans="1:43" ht="15" customHeight="1" x14ac:dyDescent="0.25">
      <c r="A42" s="10" t="s">
        <v>562</v>
      </c>
      <c r="B42" s="48">
        <v>44334</v>
      </c>
      <c r="C42" s="17">
        <v>-300</v>
      </c>
      <c r="D42" s="17">
        <v>-300</v>
      </c>
      <c r="E42" s="16">
        <v>44334</v>
      </c>
      <c r="G42" s="31" t="s">
        <v>45</v>
      </c>
      <c r="H42" s="17">
        <f t="shared" si="0"/>
        <v>-170</v>
      </c>
      <c r="I42" s="17" t="s">
        <v>609</v>
      </c>
      <c r="J42" s="199" t="s">
        <v>580</v>
      </c>
      <c r="K42" s="17"/>
      <c r="L42" s="10"/>
      <c r="M42" s="48"/>
      <c r="N42" s="17"/>
      <c r="O42" s="17"/>
      <c r="P42" s="16"/>
      <c r="S42" s="17">
        <f t="shared" si="1"/>
        <v>0</v>
      </c>
      <c r="W42" s="10" t="s">
        <v>562</v>
      </c>
      <c r="X42" s="184">
        <v>44391</v>
      </c>
      <c r="Y42" s="17">
        <v>-0.44</v>
      </c>
      <c r="Z42" s="17">
        <v>-0.44</v>
      </c>
      <c r="AA42" s="181">
        <v>44391</v>
      </c>
      <c r="AC42" t="s">
        <v>22</v>
      </c>
      <c r="AD42" s="17">
        <f t="shared" si="5"/>
        <v>-180</v>
      </c>
      <c r="AE42" t="s">
        <v>593</v>
      </c>
      <c r="AF42" t="s">
        <v>619</v>
      </c>
      <c r="AH42" s="10">
        <v>15</v>
      </c>
      <c r="AI42" s="16">
        <f>AI41+7</f>
        <v>44965</v>
      </c>
      <c r="AJ42" s="17">
        <v>250</v>
      </c>
      <c r="AK42" s="17">
        <v>250</v>
      </c>
      <c r="AL42" s="16">
        <v>44965</v>
      </c>
      <c r="AM42" t="s">
        <v>117</v>
      </c>
      <c r="AO42" s="17">
        <f t="shared" si="7"/>
        <v>952</v>
      </c>
      <c r="AP42" t="s">
        <v>593</v>
      </c>
      <c r="AQ42" t="s">
        <v>1018</v>
      </c>
    </row>
    <row r="43" spans="1:43" ht="15" customHeight="1" x14ac:dyDescent="0.25">
      <c r="A43" s="10">
        <v>1</v>
      </c>
      <c r="B43" s="48">
        <v>44335</v>
      </c>
      <c r="C43" s="17">
        <v>300</v>
      </c>
      <c r="D43" s="17">
        <v>300</v>
      </c>
      <c r="E43" s="16">
        <v>44335</v>
      </c>
      <c r="F43" t="s">
        <v>181</v>
      </c>
      <c r="H43" s="17">
        <f t="shared" si="0"/>
        <v>-170</v>
      </c>
      <c r="I43" s="17" t="s">
        <v>609</v>
      </c>
      <c r="J43" s="199" t="s">
        <v>580</v>
      </c>
      <c r="K43" s="17"/>
      <c r="L43" s="10"/>
      <c r="M43" s="48"/>
      <c r="N43" s="17"/>
      <c r="O43" s="17"/>
      <c r="P43" s="16"/>
      <c r="S43" s="17">
        <f t="shared" si="1"/>
        <v>0</v>
      </c>
      <c r="U43" s="17"/>
      <c r="W43" s="10" t="s">
        <v>562</v>
      </c>
      <c r="X43" s="184">
        <v>44386</v>
      </c>
      <c r="Y43" s="17">
        <v>-0.99</v>
      </c>
      <c r="Z43" s="17">
        <v>-0.99</v>
      </c>
      <c r="AA43" s="181">
        <v>44386</v>
      </c>
      <c r="AC43" t="s">
        <v>22</v>
      </c>
      <c r="AD43" s="17">
        <f t="shared" si="5"/>
        <v>-180</v>
      </c>
      <c r="AE43" t="s">
        <v>593</v>
      </c>
      <c r="AF43" t="s">
        <v>619</v>
      </c>
      <c r="AH43" s="10">
        <v>16</v>
      </c>
      <c r="AI43" s="16">
        <f>AI42+7</f>
        <v>44972</v>
      </c>
      <c r="AJ43" s="17">
        <v>250</v>
      </c>
      <c r="AK43" s="17"/>
      <c r="AL43" s="16"/>
      <c r="AO43" s="17">
        <f t="shared" si="7"/>
        <v>1202</v>
      </c>
      <c r="AP43" t="s">
        <v>593</v>
      </c>
      <c r="AQ43" t="s">
        <v>1018</v>
      </c>
    </row>
    <row r="44" spans="1:43" ht="15" customHeight="1" x14ac:dyDescent="0.25">
      <c r="A44" s="10">
        <v>2</v>
      </c>
      <c r="B44" s="48">
        <f>B41+7</f>
        <v>44341</v>
      </c>
      <c r="C44" s="17">
        <f>150-4</f>
        <v>146</v>
      </c>
      <c r="D44" s="17">
        <v>150</v>
      </c>
      <c r="E44" s="16">
        <v>44335</v>
      </c>
      <c r="F44" t="s">
        <v>117</v>
      </c>
      <c r="H44" s="17">
        <f t="shared" si="0"/>
        <v>-174</v>
      </c>
      <c r="I44" s="17" t="s">
        <v>609</v>
      </c>
      <c r="J44" s="199" t="s">
        <v>580</v>
      </c>
      <c r="K44" s="17"/>
      <c r="L44" s="10"/>
      <c r="M44" s="48"/>
      <c r="N44" s="17"/>
      <c r="O44" s="17"/>
      <c r="P44" s="16"/>
      <c r="S44" s="17">
        <f t="shared" si="1"/>
        <v>0</v>
      </c>
      <c r="U44" s="17"/>
      <c r="W44" s="10" t="s">
        <v>562</v>
      </c>
      <c r="X44" s="184">
        <v>44397</v>
      </c>
      <c r="Y44" s="17">
        <v>-201.31</v>
      </c>
      <c r="Z44" s="17">
        <v>-201.31</v>
      </c>
      <c r="AA44" s="181">
        <v>44397</v>
      </c>
      <c r="AC44" t="s">
        <v>20</v>
      </c>
      <c r="AD44" s="17">
        <f t="shared" si="5"/>
        <v>-180</v>
      </c>
      <c r="AE44" t="s">
        <v>593</v>
      </c>
      <c r="AF44" t="s">
        <v>619</v>
      </c>
      <c r="AH44" s="225" t="s">
        <v>562</v>
      </c>
      <c r="AI44" s="16">
        <v>44982</v>
      </c>
      <c r="AJ44" s="17">
        <v>-1000</v>
      </c>
      <c r="AK44" s="17">
        <v>-1000</v>
      </c>
      <c r="AL44" s="16">
        <v>44982</v>
      </c>
      <c r="AM44" t="s">
        <v>1000</v>
      </c>
      <c r="AN44" t="s">
        <v>1001</v>
      </c>
      <c r="AO44" s="17">
        <f t="shared" si="7"/>
        <v>1202</v>
      </c>
      <c r="AP44" t="s">
        <v>593</v>
      </c>
      <c r="AQ44" t="s">
        <v>1018</v>
      </c>
    </row>
    <row r="45" spans="1:43" ht="15" customHeight="1" x14ac:dyDescent="0.25">
      <c r="A45" s="10">
        <v>3</v>
      </c>
      <c r="B45" s="48">
        <f>B44+7</f>
        <v>44348</v>
      </c>
      <c r="C45" s="17"/>
      <c r="D45" s="17">
        <f>86</f>
        <v>86</v>
      </c>
      <c r="E45" s="16">
        <v>44348</v>
      </c>
      <c r="F45" t="s">
        <v>124</v>
      </c>
      <c r="H45" s="17">
        <f t="shared" si="0"/>
        <v>-260</v>
      </c>
      <c r="I45" s="17" t="s">
        <v>609</v>
      </c>
      <c r="J45" s="199" t="s">
        <v>580</v>
      </c>
      <c r="K45" s="17"/>
      <c r="L45" s="10"/>
      <c r="M45" s="48"/>
      <c r="N45" s="17"/>
      <c r="O45" s="17"/>
      <c r="P45" s="16"/>
      <c r="S45" s="17">
        <f t="shared" si="1"/>
        <v>0</v>
      </c>
      <c r="U45" s="17"/>
      <c r="W45" s="10">
        <v>7</v>
      </c>
      <c r="X45" s="184">
        <f>X39+7</f>
        <v>44394</v>
      </c>
      <c r="Y45" s="17">
        <v>180</v>
      </c>
      <c r="Z45" s="17">
        <v>180</v>
      </c>
      <c r="AA45" s="181">
        <v>44400</v>
      </c>
      <c r="AB45" t="s">
        <v>58</v>
      </c>
      <c r="AD45" s="17">
        <f t="shared" si="5"/>
        <v>-180</v>
      </c>
      <c r="AE45" t="s">
        <v>593</v>
      </c>
      <c r="AF45" t="s">
        <v>619</v>
      </c>
      <c r="AH45" s="10">
        <v>17</v>
      </c>
      <c r="AI45" s="16">
        <f>AI43+7</f>
        <v>44979</v>
      </c>
      <c r="AJ45" s="17">
        <v>250</v>
      </c>
      <c r="AK45" s="17"/>
      <c r="AL45" s="16"/>
      <c r="AO45" s="17">
        <f t="shared" si="7"/>
        <v>1452</v>
      </c>
      <c r="AP45" t="s">
        <v>593</v>
      </c>
      <c r="AQ45" t="s">
        <v>1018</v>
      </c>
    </row>
    <row r="46" spans="1:43" ht="15" customHeight="1" x14ac:dyDescent="0.25">
      <c r="A46" s="10" t="s">
        <v>562</v>
      </c>
      <c r="B46" s="48">
        <v>44347</v>
      </c>
      <c r="C46" s="17">
        <v>-300</v>
      </c>
      <c r="D46" s="17">
        <v>-300</v>
      </c>
      <c r="E46" s="16">
        <v>44348</v>
      </c>
      <c r="F46" t="s">
        <v>117</v>
      </c>
      <c r="G46" s="31" t="s">
        <v>45</v>
      </c>
      <c r="H46" s="17">
        <f t="shared" si="0"/>
        <v>0</v>
      </c>
      <c r="I46" s="17" t="s">
        <v>609</v>
      </c>
      <c r="J46" s="199" t="s">
        <v>580</v>
      </c>
      <c r="K46" s="17"/>
      <c r="L46" s="10"/>
      <c r="M46" s="48"/>
      <c r="N46" s="17"/>
      <c r="O46" s="17"/>
      <c r="P46" s="16"/>
      <c r="S46" s="17">
        <f t="shared" si="1"/>
        <v>0</v>
      </c>
      <c r="U46" s="17"/>
      <c r="W46" s="10" t="s">
        <v>562</v>
      </c>
      <c r="X46" s="184">
        <v>44390</v>
      </c>
      <c r="Y46" s="17">
        <v>-128.30000000000001</v>
      </c>
      <c r="Z46" s="17">
        <v>-128.30000000000001</v>
      </c>
      <c r="AA46" s="181">
        <v>44390</v>
      </c>
      <c r="AC46" t="s">
        <v>16</v>
      </c>
      <c r="AD46" s="17">
        <f t="shared" si="5"/>
        <v>-180</v>
      </c>
      <c r="AE46" t="s">
        <v>593</v>
      </c>
      <c r="AF46" t="s">
        <v>619</v>
      </c>
      <c r="AH46" s="10">
        <v>18</v>
      </c>
      <c r="AI46" s="16">
        <f>AI45+7</f>
        <v>44986</v>
      </c>
      <c r="AJ46" s="17">
        <v>250</v>
      </c>
      <c r="AK46" s="17"/>
      <c r="AO46" s="17">
        <f t="shared" si="7"/>
        <v>1702</v>
      </c>
      <c r="AP46" t="s">
        <v>593</v>
      </c>
      <c r="AQ46" t="s">
        <v>1018</v>
      </c>
    </row>
    <row r="47" spans="1:43" ht="15" customHeight="1" x14ac:dyDescent="0.25">
      <c r="A47" s="10">
        <v>1</v>
      </c>
      <c r="B47" s="48">
        <v>44350</v>
      </c>
      <c r="C47" s="17">
        <v>300</v>
      </c>
      <c r="D47" s="17">
        <v>300</v>
      </c>
      <c r="E47" s="16">
        <v>44349</v>
      </c>
      <c r="F47" t="s">
        <v>181</v>
      </c>
      <c r="H47" s="17">
        <f t="shared" si="0"/>
        <v>0</v>
      </c>
      <c r="I47" s="17" t="s">
        <v>609</v>
      </c>
      <c r="J47" s="199" t="s">
        <v>608</v>
      </c>
      <c r="K47" s="17"/>
      <c r="L47" s="10"/>
      <c r="M47" s="48"/>
      <c r="N47" s="17"/>
      <c r="O47" s="17"/>
      <c r="P47" s="16"/>
      <c r="S47" s="17">
        <f t="shared" si="1"/>
        <v>0</v>
      </c>
      <c r="U47" s="17"/>
      <c r="W47" s="10" t="s">
        <v>562</v>
      </c>
      <c r="X47" s="184">
        <v>44401</v>
      </c>
      <c r="Y47" s="17">
        <v>-358.5</v>
      </c>
      <c r="Z47" s="17">
        <v>-358.5</v>
      </c>
      <c r="AA47" s="181">
        <v>44401</v>
      </c>
      <c r="AC47" t="s">
        <v>502</v>
      </c>
      <c r="AD47" s="17">
        <f t="shared" si="5"/>
        <v>-180</v>
      </c>
      <c r="AE47" t="s">
        <v>593</v>
      </c>
      <c r="AF47" t="s">
        <v>502</v>
      </c>
      <c r="AH47" s="10">
        <v>19</v>
      </c>
      <c r="AI47" s="16">
        <f>AI46+7</f>
        <v>44993</v>
      </c>
      <c r="AJ47" s="17">
        <v>250</v>
      </c>
      <c r="AK47" s="17">
        <v>500</v>
      </c>
      <c r="AL47" s="16">
        <v>45000</v>
      </c>
      <c r="AM47" t="s">
        <v>117</v>
      </c>
      <c r="AO47" s="17">
        <f t="shared" si="7"/>
        <v>1452</v>
      </c>
      <c r="AP47" t="s">
        <v>593</v>
      </c>
      <c r="AQ47" t="s">
        <v>1018</v>
      </c>
    </row>
    <row r="48" spans="1:43" ht="15" customHeight="1" x14ac:dyDescent="0.25">
      <c r="A48" s="10">
        <v>1</v>
      </c>
      <c r="B48" s="48">
        <v>44350</v>
      </c>
      <c r="C48" s="17">
        <v>150</v>
      </c>
      <c r="D48" s="17">
        <v>150</v>
      </c>
      <c r="E48" s="16">
        <v>44349</v>
      </c>
      <c r="F48" t="s">
        <v>117</v>
      </c>
      <c r="H48" s="17">
        <f t="shared" si="0"/>
        <v>0</v>
      </c>
      <c r="I48" s="17" t="s">
        <v>609</v>
      </c>
      <c r="J48" s="199" t="s">
        <v>608</v>
      </c>
      <c r="K48" s="17"/>
      <c r="L48" s="10"/>
      <c r="M48" s="48"/>
      <c r="N48" s="17"/>
      <c r="O48" s="17"/>
      <c r="P48" s="16"/>
      <c r="S48" s="17">
        <f t="shared" si="1"/>
        <v>0</v>
      </c>
      <c r="U48" s="17"/>
      <c r="W48" s="10">
        <v>8</v>
      </c>
      <c r="X48" s="184">
        <f>X45+7</f>
        <v>44401</v>
      </c>
      <c r="Y48" s="17">
        <v>180</v>
      </c>
      <c r="Z48" s="17">
        <v>180</v>
      </c>
      <c r="AA48" s="181">
        <v>44407</v>
      </c>
      <c r="AB48" t="s">
        <v>58</v>
      </c>
      <c r="AD48" s="17">
        <f t="shared" si="5"/>
        <v>-180</v>
      </c>
      <c r="AE48" t="s">
        <v>593</v>
      </c>
      <c r="AF48" t="s">
        <v>619</v>
      </c>
      <c r="AH48" s="225" t="s">
        <v>562</v>
      </c>
      <c r="AI48" s="16">
        <v>45000</v>
      </c>
      <c r="AJ48" s="17">
        <v>-350</v>
      </c>
      <c r="AK48" s="17">
        <v>-350</v>
      </c>
      <c r="AL48" s="16">
        <v>45000</v>
      </c>
      <c r="AM48" t="s">
        <v>1000</v>
      </c>
      <c r="AN48" t="s">
        <v>1001</v>
      </c>
      <c r="AO48" s="17">
        <f t="shared" si="7"/>
        <v>1452</v>
      </c>
      <c r="AP48" t="s">
        <v>593</v>
      </c>
      <c r="AQ48" t="s">
        <v>1018</v>
      </c>
    </row>
    <row r="49" spans="1:43" ht="15" customHeight="1" x14ac:dyDescent="0.25">
      <c r="A49" s="10" t="s">
        <v>562</v>
      </c>
      <c r="B49" s="48">
        <v>44355</v>
      </c>
      <c r="C49" s="17">
        <v>-58.27</v>
      </c>
      <c r="D49" s="17">
        <v>-58.27</v>
      </c>
      <c r="E49" s="16">
        <v>44355</v>
      </c>
      <c r="F49" t="s">
        <v>117</v>
      </c>
      <c r="G49" s="31" t="s">
        <v>16</v>
      </c>
      <c r="H49" s="17">
        <f t="shared" si="0"/>
        <v>0</v>
      </c>
      <c r="I49" s="17" t="s">
        <v>609</v>
      </c>
      <c r="J49" s="199" t="s">
        <v>608</v>
      </c>
      <c r="K49" s="17"/>
      <c r="L49" s="10"/>
      <c r="M49" s="48"/>
      <c r="N49" s="17"/>
      <c r="O49" s="17"/>
      <c r="P49" s="16"/>
      <c r="S49" s="17">
        <f t="shared" si="1"/>
        <v>0</v>
      </c>
      <c r="U49" s="17"/>
      <c r="W49" s="10" t="s">
        <v>562</v>
      </c>
      <c r="X49" s="184">
        <v>44398</v>
      </c>
      <c r="Y49" s="17">
        <v>-2.75</v>
      </c>
      <c r="Z49" s="17">
        <v>-2.75</v>
      </c>
      <c r="AA49" s="181">
        <v>44398</v>
      </c>
      <c r="AC49" t="s">
        <v>22</v>
      </c>
      <c r="AD49" s="17">
        <f t="shared" si="5"/>
        <v>-180</v>
      </c>
      <c r="AE49" t="s">
        <v>593</v>
      </c>
      <c r="AF49" t="s">
        <v>619</v>
      </c>
      <c r="AH49" s="10">
        <v>20</v>
      </c>
      <c r="AI49" s="16">
        <f>AI47+7</f>
        <v>45000</v>
      </c>
      <c r="AJ49" s="17">
        <v>250</v>
      </c>
      <c r="AK49" s="17"/>
      <c r="AO49" s="17">
        <f t="shared" si="7"/>
        <v>1702</v>
      </c>
      <c r="AP49" t="s">
        <v>593</v>
      </c>
      <c r="AQ49" t="s">
        <v>1018</v>
      </c>
    </row>
    <row r="50" spans="1:43" ht="15" customHeight="1" x14ac:dyDescent="0.25">
      <c r="A50" s="10" t="s">
        <v>562</v>
      </c>
      <c r="B50" s="48">
        <v>44323</v>
      </c>
      <c r="C50" s="17">
        <v>-58.27</v>
      </c>
      <c r="D50" s="17">
        <v>-58.27</v>
      </c>
      <c r="E50" s="16">
        <v>44323</v>
      </c>
      <c r="F50" t="s">
        <v>117</v>
      </c>
      <c r="G50" s="31" t="s">
        <v>16</v>
      </c>
      <c r="H50" s="17">
        <f t="shared" si="0"/>
        <v>0</v>
      </c>
      <c r="I50" s="17" t="s">
        <v>609</v>
      </c>
      <c r="J50" s="199" t="s">
        <v>580</v>
      </c>
      <c r="K50" s="17"/>
      <c r="L50" s="10"/>
      <c r="M50" s="48"/>
      <c r="N50" s="17"/>
      <c r="O50" s="17"/>
      <c r="P50" s="16"/>
      <c r="S50" s="17">
        <f t="shared" si="1"/>
        <v>0</v>
      </c>
      <c r="U50" s="17"/>
      <c r="W50" s="10" t="s">
        <v>562</v>
      </c>
      <c r="X50" s="184">
        <v>44393</v>
      </c>
      <c r="Y50" s="17">
        <v>-0.99</v>
      </c>
      <c r="Z50" s="17">
        <v>-0.99</v>
      </c>
      <c r="AA50" s="181">
        <v>44393</v>
      </c>
      <c r="AC50" t="s">
        <v>22</v>
      </c>
      <c r="AD50" s="17">
        <f t="shared" si="5"/>
        <v>-180</v>
      </c>
      <c r="AE50" t="s">
        <v>593</v>
      </c>
      <c r="AF50" t="s">
        <v>619</v>
      </c>
      <c r="AH50" s="10">
        <v>21</v>
      </c>
      <c r="AI50" s="16">
        <f>AI49+7</f>
        <v>45007</v>
      </c>
      <c r="AJ50" s="17">
        <v>250</v>
      </c>
      <c r="AK50" s="17">
        <v>250</v>
      </c>
      <c r="AL50" s="16">
        <v>45008</v>
      </c>
      <c r="AM50" t="s">
        <v>117</v>
      </c>
      <c r="AO50" s="17">
        <f t="shared" si="7"/>
        <v>1702</v>
      </c>
      <c r="AP50" t="s">
        <v>593</v>
      </c>
      <c r="AQ50" t="s">
        <v>1018</v>
      </c>
    </row>
    <row r="51" spans="1:43" ht="15" customHeight="1" x14ac:dyDescent="0.25">
      <c r="A51" s="10">
        <v>2</v>
      </c>
      <c r="B51" s="48">
        <f>B48+7</f>
        <v>44357</v>
      </c>
      <c r="C51" s="17">
        <v>150</v>
      </c>
      <c r="D51" s="17">
        <v>150</v>
      </c>
      <c r="E51" s="16">
        <v>44356</v>
      </c>
      <c r="F51" t="s">
        <v>58</v>
      </c>
      <c r="H51" s="17">
        <f t="shared" si="0"/>
        <v>0</v>
      </c>
      <c r="I51" s="17" t="s">
        <v>609</v>
      </c>
      <c r="J51" s="199" t="s">
        <v>608</v>
      </c>
      <c r="K51" s="17"/>
      <c r="L51" s="10"/>
      <c r="M51" s="48"/>
      <c r="N51" s="17"/>
      <c r="O51" s="17"/>
      <c r="P51" s="16"/>
      <c r="S51" s="17">
        <f t="shared" si="1"/>
        <v>0</v>
      </c>
      <c r="U51" s="17"/>
      <c r="W51" s="10" t="s">
        <v>562</v>
      </c>
      <c r="X51" s="184">
        <v>44400</v>
      </c>
      <c r="Y51" s="17">
        <v>-0.44</v>
      </c>
      <c r="Z51" s="17">
        <v>-0.44</v>
      </c>
      <c r="AA51" s="181">
        <v>44400</v>
      </c>
      <c r="AC51" t="s">
        <v>22</v>
      </c>
      <c r="AD51" s="17">
        <f t="shared" si="5"/>
        <v>-180</v>
      </c>
      <c r="AE51" t="s">
        <v>593</v>
      </c>
      <c r="AF51" t="s">
        <v>619</v>
      </c>
      <c r="AH51" s="10">
        <v>22</v>
      </c>
      <c r="AI51" s="16">
        <f>AI50+7</f>
        <v>45014</v>
      </c>
      <c r="AJ51" s="17">
        <v>250</v>
      </c>
      <c r="AK51" s="17">
        <v>250</v>
      </c>
      <c r="AL51" s="16">
        <v>45015</v>
      </c>
      <c r="AM51" t="s">
        <v>117</v>
      </c>
      <c r="AO51" s="17">
        <f t="shared" si="7"/>
        <v>1702</v>
      </c>
      <c r="AP51" t="s">
        <v>593</v>
      </c>
      <c r="AQ51" t="s">
        <v>1018</v>
      </c>
    </row>
    <row r="52" spans="1:43" ht="15" customHeight="1" x14ac:dyDescent="0.25">
      <c r="A52" s="10" t="s">
        <v>562</v>
      </c>
      <c r="B52" s="48">
        <v>44357</v>
      </c>
      <c r="C52" s="17">
        <v>-5.5</v>
      </c>
      <c r="D52" s="17">
        <v>-5.5</v>
      </c>
      <c r="E52" s="16">
        <v>44356</v>
      </c>
      <c r="F52" t="s">
        <v>58</v>
      </c>
      <c r="G52" s="31" t="s">
        <v>22</v>
      </c>
      <c r="H52" s="17">
        <f t="shared" si="0"/>
        <v>0</v>
      </c>
      <c r="I52" s="17" t="s">
        <v>609</v>
      </c>
      <c r="J52" s="199" t="s">
        <v>608</v>
      </c>
      <c r="K52" s="17"/>
      <c r="L52" s="10"/>
      <c r="M52" s="48"/>
      <c r="N52" s="17"/>
      <c r="O52" s="17"/>
      <c r="P52" s="16"/>
      <c r="S52" s="17">
        <f t="shared" si="1"/>
        <v>0</v>
      </c>
      <c r="U52" s="17"/>
      <c r="W52" s="10" t="s">
        <v>562</v>
      </c>
      <c r="X52" s="184">
        <v>44407</v>
      </c>
      <c r="Y52" s="17">
        <v>-0.44</v>
      </c>
      <c r="Z52" s="17">
        <v>-0.44</v>
      </c>
      <c r="AA52" s="181">
        <v>44407</v>
      </c>
      <c r="AC52" t="s">
        <v>22</v>
      </c>
      <c r="AD52" s="17">
        <f t="shared" si="5"/>
        <v>-180</v>
      </c>
      <c r="AE52" t="s">
        <v>593</v>
      </c>
      <c r="AF52" t="s">
        <v>619</v>
      </c>
      <c r="AH52" s="10">
        <v>23</v>
      </c>
      <c r="AI52" s="16">
        <f>AI51+7</f>
        <v>45021</v>
      </c>
      <c r="AJ52" s="17">
        <v>250</v>
      </c>
      <c r="AK52" s="17">
        <v>250</v>
      </c>
      <c r="AL52" s="16">
        <v>45024</v>
      </c>
      <c r="AM52" t="s">
        <v>117</v>
      </c>
      <c r="AO52" s="17">
        <f t="shared" si="7"/>
        <v>1702</v>
      </c>
      <c r="AP52" t="s">
        <v>593</v>
      </c>
      <c r="AQ52" t="s">
        <v>1018</v>
      </c>
    </row>
    <row r="53" spans="1:43" ht="15" customHeight="1" x14ac:dyDescent="0.25">
      <c r="A53" s="10" t="s">
        <v>562</v>
      </c>
      <c r="B53" s="48">
        <v>44361</v>
      </c>
      <c r="C53" s="17">
        <v>-360</v>
      </c>
      <c r="D53" s="17">
        <v>-360</v>
      </c>
      <c r="E53" s="16">
        <v>44361</v>
      </c>
      <c r="G53" s="31" t="s">
        <v>502</v>
      </c>
      <c r="H53" s="17">
        <f t="shared" si="0"/>
        <v>0</v>
      </c>
      <c r="I53" s="17" t="s">
        <v>609</v>
      </c>
      <c r="J53" s="242" t="s">
        <v>502</v>
      </c>
      <c r="K53" s="17"/>
      <c r="L53" s="10"/>
      <c r="M53" s="48"/>
      <c r="W53" s="10">
        <v>9</v>
      </c>
      <c r="X53" s="184">
        <f>X48+7</f>
        <v>44408</v>
      </c>
      <c r="Y53" s="17">
        <v>180</v>
      </c>
      <c r="Z53" s="17">
        <v>180</v>
      </c>
      <c r="AA53" s="181">
        <v>44414</v>
      </c>
      <c r="AB53" t="s">
        <v>58</v>
      </c>
      <c r="AD53" s="17">
        <f t="shared" si="5"/>
        <v>-180</v>
      </c>
      <c r="AE53" t="s">
        <v>593</v>
      </c>
      <c r="AF53" t="s">
        <v>619</v>
      </c>
      <c r="AH53" s="10" t="s">
        <v>562</v>
      </c>
      <c r="AI53" s="16">
        <v>44814</v>
      </c>
      <c r="AJ53" s="17">
        <v>-143.19</v>
      </c>
      <c r="AK53" s="17">
        <v>-143.19</v>
      </c>
      <c r="AL53" s="16">
        <v>44814</v>
      </c>
      <c r="AM53" t="s">
        <v>665</v>
      </c>
      <c r="AO53" s="17">
        <f t="shared" ref="AO53:AO60" si="8">IFERROR(IF(AM52="Closed account",(IF(AM53="Unpaid Rent",(AJ53),(AJ53-AK53))),(IF(AM53="Unpaid Rent",(AJ53+AO52),(AJ53-AK53+AO52)))),"")</f>
        <v>1702</v>
      </c>
      <c r="AP53" t="s">
        <v>593</v>
      </c>
      <c r="AQ53" t="s">
        <v>1018</v>
      </c>
    </row>
    <row r="54" spans="1:43" ht="15" customHeight="1" x14ac:dyDescent="0.25">
      <c r="A54" s="10">
        <v>3</v>
      </c>
      <c r="B54" s="48">
        <f>B51+7</f>
        <v>44364</v>
      </c>
      <c r="C54" s="17">
        <v>150</v>
      </c>
      <c r="D54" s="17">
        <v>150</v>
      </c>
      <c r="E54" s="16">
        <v>44363</v>
      </c>
      <c r="F54" t="s">
        <v>58</v>
      </c>
      <c r="H54" s="17">
        <f t="shared" si="0"/>
        <v>0</v>
      </c>
      <c r="I54" s="17" t="s">
        <v>609</v>
      </c>
      <c r="J54" s="199" t="s">
        <v>608</v>
      </c>
      <c r="K54" s="17"/>
      <c r="L54" s="48"/>
      <c r="M54" s="17"/>
      <c r="W54" s="66">
        <v>10</v>
      </c>
      <c r="X54" s="184">
        <f>X53+7</f>
        <v>44415</v>
      </c>
      <c r="Y54" s="17">
        <v>180</v>
      </c>
      <c r="Z54" s="17"/>
      <c r="AA54" s="181">
        <v>44421</v>
      </c>
      <c r="AD54" s="17">
        <f t="shared" si="5"/>
        <v>0</v>
      </c>
      <c r="AE54" t="s">
        <v>593</v>
      </c>
      <c r="AF54" t="s">
        <v>619</v>
      </c>
      <c r="AH54" s="10" t="s">
        <v>562</v>
      </c>
      <c r="AI54" s="16">
        <v>44853</v>
      </c>
      <c r="AJ54" s="17">
        <v>-143.19</v>
      </c>
      <c r="AK54" s="17">
        <v>-143.19</v>
      </c>
      <c r="AL54" s="16">
        <v>44853</v>
      </c>
      <c r="AM54" t="s">
        <v>665</v>
      </c>
      <c r="AO54" s="17">
        <f t="shared" si="8"/>
        <v>1702</v>
      </c>
      <c r="AP54" t="s">
        <v>593</v>
      </c>
      <c r="AQ54" t="s">
        <v>1018</v>
      </c>
    </row>
    <row r="55" spans="1:43" ht="15" customHeight="1" x14ac:dyDescent="0.25">
      <c r="A55" s="10">
        <v>4</v>
      </c>
      <c r="B55" s="48">
        <f>B54+7</f>
        <v>44371</v>
      </c>
      <c r="C55" s="17">
        <v>150</v>
      </c>
      <c r="D55" s="17">
        <v>150</v>
      </c>
      <c r="E55" s="16">
        <v>44370</v>
      </c>
      <c r="F55" t="s">
        <v>58</v>
      </c>
      <c r="H55" s="17">
        <f t="shared" si="0"/>
        <v>0</v>
      </c>
      <c r="I55" s="17" t="s">
        <v>609</v>
      </c>
      <c r="J55" s="199" t="s">
        <v>608</v>
      </c>
      <c r="K55" s="17"/>
      <c r="L55" s="48"/>
      <c r="M55" s="17"/>
      <c r="W55" s="10">
        <v>11</v>
      </c>
      <c r="X55" s="184">
        <f>X54+7</f>
        <v>44422</v>
      </c>
      <c r="Y55" s="17">
        <v>180</v>
      </c>
      <c r="Z55" s="17"/>
      <c r="AB55" t="s">
        <v>58</v>
      </c>
      <c r="AD55" s="17">
        <f t="shared" si="5"/>
        <v>180</v>
      </c>
      <c r="AE55" t="s">
        <v>593</v>
      </c>
      <c r="AF55" t="s">
        <v>619</v>
      </c>
      <c r="AH55" s="10" t="s">
        <v>562</v>
      </c>
      <c r="AI55" s="16">
        <v>44873</v>
      </c>
      <c r="AJ55" s="17">
        <v>-143.19</v>
      </c>
      <c r="AK55" s="17">
        <v>-143.19</v>
      </c>
      <c r="AL55" s="16">
        <v>44873</v>
      </c>
      <c r="AM55" t="s">
        <v>665</v>
      </c>
      <c r="AO55" s="17">
        <f t="shared" si="8"/>
        <v>1702</v>
      </c>
      <c r="AP55" t="s">
        <v>593</v>
      </c>
      <c r="AQ55" t="s">
        <v>1018</v>
      </c>
    </row>
    <row r="56" spans="1:43" ht="15" customHeight="1" x14ac:dyDescent="0.25">
      <c r="A56" s="10">
        <v>5</v>
      </c>
      <c r="B56" s="48">
        <f>B55+7</f>
        <v>44378</v>
      </c>
      <c r="C56" s="17">
        <v>150</v>
      </c>
      <c r="D56" s="17">
        <v>150</v>
      </c>
      <c r="E56" s="16">
        <v>44377</v>
      </c>
      <c r="F56" t="s">
        <v>58</v>
      </c>
      <c r="H56" s="17">
        <f t="shared" si="0"/>
        <v>0</v>
      </c>
      <c r="I56" s="17" t="s">
        <v>609</v>
      </c>
      <c r="J56" s="199" t="s">
        <v>608</v>
      </c>
      <c r="K56" s="17"/>
      <c r="L56" s="48"/>
      <c r="M56" s="17"/>
      <c r="W56" s="10" t="s">
        <v>562</v>
      </c>
      <c r="X56" s="184">
        <v>44414</v>
      </c>
      <c r="Y56" s="17">
        <v>-0.44</v>
      </c>
      <c r="Z56" s="17">
        <v>-0.44</v>
      </c>
      <c r="AA56" s="181">
        <v>44414</v>
      </c>
      <c r="AC56" t="s">
        <v>22</v>
      </c>
      <c r="AD56" s="17">
        <f t="shared" si="5"/>
        <v>180</v>
      </c>
      <c r="AE56" t="s">
        <v>593</v>
      </c>
      <c r="AF56" t="s">
        <v>619</v>
      </c>
      <c r="AH56" s="10" t="s">
        <v>562</v>
      </c>
      <c r="AI56" s="16">
        <v>44903</v>
      </c>
      <c r="AJ56" s="17">
        <v>-143.19</v>
      </c>
      <c r="AK56" s="17">
        <v>-143.19</v>
      </c>
      <c r="AL56" s="16">
        <v>44903</v>
      </c>
      <c r="AM56" t="s">
        <v>665</v>
      </c>
      <c r="AO56" s="17">
        <f t="shared" si="8"/>
        <v>1702</v>
      </c>
      <c r="AP56" t="s">
        <v>593</v>
      </c>
      <c r="AQ56" t="s">
        <v>1018</v>
      </c>
    </row>
    <row r="57" spans="1:43" ht="15" customHeight="1" x14ac:dyDescent="0.25">
      <c r="A57" s="10" t="s">
        <v>562</v>
      </c>
      <c r="B57" s="48">
        <v>44382</v>
      </c>
      <c r="C57" s="17">
        <v>-270</v>
      </c>
      <c r="D57" s="17">
        <v>-270</v>
      </c>
      <c r="E57" s="16">
        <v>44382</v>
      </c>
      <c r="G57" s="31" t="s">
        <v>26</v>
      </c>
      <c r="H57" s="17">
        <f t="shared" si="0"/>
        <v>0</v>
      </c>
      <c r="I57" s="17" t="s">
        <v>609</v>
      </c>
      <c r="J57" s="199" t="s">
        <v>608</v>
      </c>
      <c r="K57" s="17"/>
      <c r="L57" s="48"/>
      <c r="M57" s="17"/>
      <c r="W57" s="10" t="s">
        <v>562</v>
      </c>
      <c r="X57" s="184">
        <v>44421</v>
      </c>
      <c r="Y57" s="17">
        <v>-128.30000000000001</v>
      </c>
      <c r="Z57" s="17">
        <v>-128.30000000000001</v>
      </c>
      <c r="AA57" s="181">
        <v>44421</v>
      </c>
      <c r="AC57" t="s">
        <v>16</v>
      </c>
      <c r="AD57" s="17">
        <f t="shared" si="5"/>
        <v>180</v>
      </c>
      <c r="AE57" t="s">
        <v>593</v>
      </c>
      <c r="AF57" t="s">
        <v>619</v>
      </c>
      <c r="AH57" s="10" t="s">
        <v>562</v>
      </c>
      <c r="AI57" s="16">
        <v>44935</v>
      </c>
      <c r="AJ57" s="17">
        <v>-143.19</v>
      </c>
      <c r="AK57" s="17">
        <v>-143.19</v>
      </c>
      <c r="AL57" s="16">
        <v>44935</v>
      </c>
      <c r="AM57" t="s">
        <v>665</v>
      </c>
      <c r="AO57" s="17">
        <f t="shared" si="8"/>
        <v>1702</v>
      </c>
      <c r="AP57" t="s">
        <v>593</v>
      </c>
      <c r="AQ57" t="s">
        <v>1018</v>
      </c>
    </row>
    <row r="58" spans="1:43" ht="15" customHeight="1" x14ac:dyDescent="0.25">
      <c r="A58" s="10">
        <v>6</v>
      </c>
      <c r="B58" s="48">
        <f>B56+7</f>
        <v>44385</v>
      </c>
      <c r="C58" s="17">
        <v>150</v>
      </c>
      <c r="D58" s="17">
        <v>150</v>
      </c>
      <c r="E58" s="16">
        <v>44384</v>
      </c>
      <c r="F58" t="s">
        <v>58</v>
      </c>
      <c r="H58" s="17">
        <f t="shared" si="0"/>
        <v>0</v>
      </c>
      <c r="I58" s="17" t="s">
        <v>609</v>
      </c>
      <c r="J58" s="199" t="s">
        <v>608</v>
      </c>
      <c r="K58" s="17"/>
      <c r="L58" s="48"/>
      <c r="M58" s="17"/>
      <c r="W58" s="10" t="s">
        <v>562</v>
      </c>
      <c r="X58" s="184">
        <v>44430</v>
      </c>
      <c r="Y58" s="17">
        <v>-411.7</v>
      </c>
      <c r="Z58" s="17">
        <v>-411.7</v>
      </c>
      <c r="AA58" s="181">
        <v>44433</v>
      </c>
      <c r="AC58" t="s">
        <v>502</v>
      </c>
      <c r="AD58" s="17">
        <f t="shared" si="5"/>
        <v>180</v>
      </c>
      <c r="AE58" t="s">
        <v>593</v>
      </c>
      <c r="AF58" t="s">
        <v>502</v>
      </c>
      <c r="AH58" s="10" t="s">
        <v>562</v>
      </c>
      <c r="AI58" s="16">
        <v>44965</v>
      </c>
      <c r="AJ58" s="17">
        <v>-164.75</v>
      </c>
      <c r="AK58" s="17">
        <v>-164.75</v>
      </c>
      <c r="AL58" s="16">
        <v>44965</v>
      </c>
      <c r="AM58" t="s">
        <v>665</v>
      </c>
      <c r="AO58" s="17">
        <f t="shared" si="8"/>
        <v>1702</v>
      </c>
      <c r="AP58" t="s">
        <v>593</v>
      </c>
      <c r="AQ58" t="s">
        <v>1018</v>
      </c>
    </row>
    <row r="59" spans="1:43" ht="15" customHeight="1" x14ac:dyDescent="0.25">
      <c r="A59" s="10">
        <v>7</v>
      </c>
      <c r="B59" s="48">
        <f>B58+7</f>
        <v>44392</v>
      </c>
      <c r="C59" s="17">
        <v>150</v>
      </c>
      <c r="D59" s="17">
        <v>150</v>
      </c>
      <c r="E59" s="16">
        <v>44391</v>
      </c>
      <c r="F59" t="s">
        <v>58</v>
      </c>
      <c r="H59" s="17">
        <f t="shared" si="0"/>
        <v>0</v>
      </c>
      <c r="I59" s="17" t="s">
        <v>609</v>
      </c>
      <c r="J59" s="199" t="s">
        <v>608</v>
      </c>
      <c r="L59" s="48"/>
      <c r="M59" s="17"/>
      <c r="W59" s="10" t="s">
        <v>562</v>
      </c>
      <c r="X59" s="184">
        <v>44426</v>
      </c>
      <c r="Y59" s="17">
        <v>-2.75</v>
      </c>
      <c r="Z59" s="17">
        <v>-2.75</v>
      </c>
      <c r="AA59" s="181">
        <v>44426</v>
      </c>
      <c r="AC59" t="s">
        <v>22</v>
      </c>
      <c r="AD59" s="17">
        <f t="shared" si="5"/>
        <v>180</v>
      </c>
      <c r="AE59" t="s">
        <v>593</v>
      </c>
      <c r="AF59" t="s">
        <v>619</v>
      </c>
      <c r="AH59" s="10" t="s">
        <v>562</v>
      </c>
      <c r="AI59" s="16">
        <v>44993</v>
      </c>
      <c r="AJ59" s="17">
        <v>-164.69</v>
      </c>
      <c r="AK59" s="17">
        <v>-164.69</v>
      </c>
      <c r="AL59" s="16">
        <v>44993</v>
      </c>
      <c r="AM59" t="s">
        <v>665</v>
      </c>
      <c r="AO59" s="17">
        <f t="shared" si="8"/>
        <v>1702</v>
      </c>
      <c r="AP59" t="s">
        <v>593</v>
      </c>
      <c r="AQ59" t="s">
        <v>1018</v>
      </c>
    </row>
    <row r="60" spans="1:43" ht="15" customHeight="1" x14ac:dyDescent="0.25">
      <c r="A60" s="10" t="s">
        <v>562</v>
      </c>
      <c r="B60" s="48">
        <v>44393</v>
      </c>
      <c r="C60" s="17">
        <v>-58.27</v>
      </c>
      <c r="D60" s="17">
        <v>-58.27</v>
      </c>
      <c r="E60" s="16">
        <v>44393</v>
      </c>
      <c r="G60" s="31" t="s">
        <v>16</v>
      </c>
      <c r="H60" s="17">
        <f t="shared" si="0"/>
        <v>0</v>
      </c>
      <c r="I60" s="17" t="s">
        <v>609</v>
      </c>
      <c r="J60" s="199" t="s">
        <v>608</v>
      </c>
      <c r="L60" s="48"/>
      <c r="M60" s="17"/>
      <c r="W60" s="10" t="s">
        <v>562</v>
      </c>
      <c r="X60" s="184">
        <v>44421</v>
      </c>
      <c r="Y60" s="17">
        <v>-0.99</v>
      </c>
      <c r="Z60" s="17">
        <v>-0.99</v>
      </c>
      <c r="AA60" s="181">
        <v>44421</v>
      </c>
      <c r="AC60" t="s">
        <v>22</v>
      </c>
      <c r="AD60" s="17">
        <f t="shared" si="5"/>
        <v>180</v>
      </c>
      <c r="AE60" t="s">
        <v>593</v>
      </c>
      <c r="AF60" t="s">
        <v>619</v>
      </c>
      <c r="AH60" s="10" t="s">
        <v>562</v>
      </c>
      <c r="AI60" s="16">
        <v>45027</v>
      </c>
      <c r="AJ60" s="17">
        <v>-164.69</v>
      </c>
      <c r="AK60" s="17">
        <v>-164.69</v>
      </c>
      <c r="AL60" s="16">
        <v>45027</v>
      </c>
      <c r="AM60" t="s">
        <v>665</v>
      </c>
      <c r="AO60" s="17">
        <f t="shared" si="8"/>
        <v>1702</v>
      </c>
      <c r="AP60" t="s">
        <v>593</v>
      </c>
      <c r="AQ60" t="s">
        <v>1018</v>
      </c>
    </row>
    <row r="61" spans="1:43" ht="15" customHeight="1" x14ac:dyDescent="0.25">
      <c r="A61" s="10" t="s">
        <v>562</v>
      </c>
      <c r="B61" s="48">
        <v>44401</v>
      </c>
      <c r="C61" s="17">
        <v>-671</v>
      </c>
      <c r="D61" s="17">
        <v>-671</v>
      </c>
      <c r="E61" s="16">
        <v>44401</v>
      </c>
      <c r="G61" s="31" t="s">
        <v>502</v>
      </c>
      <c r="H61" s="17">
        <f t="shared" si="0"/>
        <v>0</v>
      </c>
      <c r="I61" s="17" t="s">
        <v>609</v>
      </c>
      <c r="J61" s="242" t="s">
        <v>502</v>
      </c>
      <c r="L61" s="48"/>
      <c r="M61" s="17"/>
      <c r="W61" s="10">
        <v>12</v>
      </c>
      <c r="X61" s="184">
        <f>X55+7</f>
        <v>44429</v>
      </c>
      <c r="Y61" s="17">
        <v>180</v>
      </c>
      <c r="Z61" s="17">
        <v>180</v>
      </c>
      <c r="AA61" s="181">
        <v>44428</v>
      </c>
      <c r="AB61" t="s">
        <v>58</v>
      </c>
      <c r="AD61" s="17">
        <f t="shared" si="5"/>
        <v>180</v>
      </c>
      <c r="AE61" t="s">
        <v>593</v>
      </c>
      <c r="AF61" t="s">
        <v>619</v>
      </c>
      <c r="AH61" s="10" t="s">
        <v>562</v>
      </c>
      <c r="AI61" s="16">
        <v>44891</v>
      </c>
      <c r="AJ61" s="17">
        <v>-205.68</v>
      </c>
      <c r="AK61" s="17">
        <v>-205.68</v>
      </c>
      <c r="AL61" s="16">
        <v>44846</v>
      </c>
      <c r="AM61" t="s">
        <v>20</v>
      </c>
      <c r="AO61" s="17">
        <f>IFERROR(IF(AM60="Closed account",(IF(AM61="Unpaid Rent",(AJ61),(AJ61-AK61))),(IF(AM61="Unpaid Rent",(AJ61+AO60),(AJ61-AK61+AO60)))),"")</f>
        <v>1702</v>
      </c>
      <c r="AP61" t="s">
        <v>593</v>
      </c>
      <c r="AQ61" t="s">
        <v>1018</v>
      </c>
    </row>
    <row r="62" spans="1:43" ht="15" customHeight="1" x14ac:dyDescent="0.25">
      <c r="A62" s="10">
        <v>8</v>
      </c>
      <c r="B62" s="48">
        <f>B59+7</f>
        <v>44399</v>
      </c>
      <c r="C62" s="17">
        <v>150</v>
      </c>
      <c r="D62" s="17">
        <v>150</v>
      </c>
      <c r="E62" s="16">
        <v>44398</v>
      </c>
      <c r="F62" t="s">
        <v>58</v>
      </c>
      <c r="H62" s="17">
        <f t="shared" si="0"/>
        <v>0</v>
      </c>
      <c r="I62" s="17" t="s">
        <v>609</v>
      </c>
      <c r="J62" s="199" t="s">
        <v>608</v>
      </c>
      <c r="L62" s="48"/>
      <c r="M62" s="17"/>
      <c r="W62" s="10" t="s">
        <v>562</v>
      </c>
      <c r="X62" s="184">
        <v>44428</v>
      </c>
      <c r="Y62" s="17">
        <v>-0.44</v>
      </c>
      <c r="Z62" s="17">
        <v>-0.44</v>
      </c>
      <c r="AA62" s="181">
        <v>44428</v>
      </c>
      <c r="AC62" t="s">
        <v>22</v>
      </c>
      <c r="AD62" s="17">
        <f t="shared" si="5"/>
        <v>180</v>
      </c>
      <c r="AE62" t="s">
        <v>593</v>
      </c>
      <c r="AF62" t="s">
        <v>619</v>
      </c>
      <c r="AH62" s="10" t="s">
        <v>562</v>
      </c>
      <c r="AI62" s="16">
        <v>44938</v>
      </c>
      <c r="AJ62" s="17">
        <v>-92.32</v>
      </c>
      <c r="AK62" s="17">
        <v>-92.32</v>
      </c>
      <c r="AL62" s="16">
        <v>44938</v>
      </c>
      <c r="AM62" t="s">
        <v>526</v>
      </c>
      <c r="AO62" s="17">
        <f>IFERROR(IF(AM61="Closed account",(IF(AM62="Unpaid Rent",(AJ62),(AJ62-AK62))),(IF(AM62="Unpaid Rent",(AJ62+AO61),(AJ62-AK62+AO61)))),"")</f>
        <v>1702</v>
      </c>
      <c r="AP62" t="s">
        <v>593</v>
      </c>
      <c r="AQ62" t="s">
        <v>1018</v>
      </c>
    </row>
    <row r="63" spans="1:43" ht="15" customHeight="1" x14ac:dyDescent="0.25">
      <c r="A63" s="10">
        <v>9</v>
      </c>
      <c r="B63" s="48">
        <f>B62+7</f>
        <v>44406</v>
      </c>
      <c r="C63" s="17">
        <v>150</v>
      </c>
      <c r="D63" s="17">
        <v>150</v>
      </c>
      <c r="E63" s="16">
        <v>44405</v>
      </c>
      <c r="F63" t="s">
        <v>58</v>
      </c>
      <c r="H63" s="17">
        <f t="shared" si="0"/>
        <v>0</v>
      </c>
      <c r="I63" s="17" t="s">
        <v>609</v>
      </c>
      <c r="J63" s="199" t="s">
        <v>608</v>
      </c>
      <c r="L63" s="48"/>
      <c r="M63" s="17"/>
      <c r="W63" s="10">
        <v>13</v>
      </c>
      <c r="X63" s="184">
        <f>X61+7</f>
        <v>44436</v>
      </c>
      <c r="Y63" s="17">
        <v>180</v>
      </c>
      <c r="Z63" s="17">
        <v>180</v>
      </c>
      <c r="AA63" s="181">
        <v>44435</v>
      </c>
      <c r="AB63" t="s">
        <v>58</v>
      </c>
      <c r="AD63" s="17">
        <f t="shared" si="5"/>
        <v>180</v>
      </c>
      <c r="AE63" t="s">
        <v>593</v>
      </c>
      <c r="AF63" t="s">
        <v>619</v>
      </c>
      <c r="AH63" s="10" t="s">
        <v>562</v>
      </c>
      <c r="AI63" s="16">
        <v>45054</v>
      </c>
      <c r="AJ63" s="17">
        <v>-164.69</v>
      </c>
      <c r="AK63" s="17">
        <v>-164.69</v>
      </c>
      <c r="AL63" s="16">
        <v>45054</v>
      </c>
      <c r="AM63" t="s">
        <v>665</v>
      </c>
      <c r="AO63" s="17">
        <f>IFERROR(IF(AM62="Closed account",(IF(AM63="Unpaid Rent",(AJ63),(AJ63-AK63))),(IF(AM63="Unpaid Rent",(AJ63+AO62),(AJ63-AK63+AO62)))),"")</f>
        <v>1702</v>
      </c>
      <c r="AP63" t="s">
        <v>593</v>
      </c>
      <c r="AQ63" t="s">
        <v>1018</v>
      </c>
    </row>
    <row r="64" spans="1:43" ht="15" customHeight="1" x14ac:dyDescent="0.25">
      <c r="A64" s="10">
        <v>10</v>
      </c>
      <c r="B64" s="48">
        <f>B63+7</f>
        <v>44413</v>
      </c>
      <c r="C64" s="17">
        <v>150</v>
      </c>
      <c r="D64" s="17">
        <v>150</v>
      </c>
      <c r="E64" s="16">
        <v>44412</v>
      </c>
      <c r="F64" t="s">
        <v>58</v>
      </c>
      <c r="H64" s="17">
        <f t="shared" si="0"/>
        <v>0</v>
      </c>
      <c r="I64" s="17" t="s">
        <v>609</v>
      </c>
      <c r="J64" s="199" t="s">
        <v>608</v>
      </c>
      <c r="L64" s="48"/>
      <c r="M64" s="17"/>
      <c r="W64" s="10" t="s">
        <v>562</v>
      </c>
      <c r="X64" s="184">
        <v>44435</v>
      </c>
      <c r="Y64" s="17">
        <v>-0.44</v>
      </c>
      <c r="Z64" s="17">
        <v>-0.44</v>
      </c>
      <c r="AA64" s="181">
        <v>44435</v>
      </c>
      <c r="AC64" t="s">
        <v>22</v>
      </c>
      <c r="AD64" s="17">
        <f t="shared" si="5"/>
        <v>180</v>
      </c>
      <c r="AE64" t="s">
        <v>593</v>
      </c>
      <c r="AF64" t="s">
        <v>619</v>
      </c>
    </row>
    <row r="65" spans="1:32" ht="15" customHeight="1" x14ac:dyDescent="0.25">
      <c r="A65" s="10" t="s">
        <v>562</v>
      </c>
      <c r="B65" s="48">
        <v>44420</v>
      </c>
      <c r="C65" s="17">
        <v>-50</v>
      </c>
      <c r="D65" s="17">
        <v>-50</v>
      </c>
      <c r="E65" s="16">
        <v>44420</v>
      </c>
      <c r="G65" s="31" t="s">
        <v>156</v>
      </c>
      <c r="H65" s="17">
        <f t="shared" si="0"/>
        <v>0</v>
      </c>
      <c r="I65" s="17" t="s">
        <v>609</v>
      </c>
      <c r="J65" s="199" t="s">
        <v>608</v>
      </c>
      <c r="L65" s="48"/>
      <c r="M65" s="17"/>
      <c r="W65" s="10">
        <v>14</v>
      </c>
      <c r="X65" s="184">
        <f>X63+7</f>
        <v>44443</v>
      </c>
      <c r="Y65" s="17">
        <v>180</v>
      </c>
      <c r="Z65" s="17">
        <v>180</v>
      </c>
      <c r="AA65" s="181">
        <v>44442</v>
      </c>
      <c r="AB65" t="s">
        <v>58</v>
      </c>
      <c r="AD65" s="17">
        <f t="shared" si="5"/>
        <v>180</v>
      </c>
      <c r="AE65" t="s">
        <v>593</v>
      </c>
      <c r="AF65" t="s">
        <v>619</v>
      </c>
    </row>
    <row r="66" spans="1:32" ht="15" customHeight="1" x14ac:dyDescent="0.25">
      <c r="A66" s="10">
        <v>11</v>
      </c>
      <c r="B66" s="48">
        <f>B64+7</f>
        <v>44420</v>
      </c>
      <c r="C66" s="17">
        <v>150</v>
      </c>
      <c r="D66" s="17">
        <v>150</v>
      </c>
      <c r="E66" s="16">
        <v>44419</v>
      </c>
      <c r="F66" t="s">
        <v>58</v>
      </c>
      <c r="H66" s="17">
        <f t="shared" si="0"/>
        <v>0</v>
      </c>
      <c r="I66" s="17" t="s">
        <v>609</v>
      </c>
      <c r="J66" s="199" t="s">
        <v>608</v>
      </c>
      <c r="L66" s="48"/>
      <c r="M66" s="17"/>
      <c r="W66" s="10" t="s">
        <v>562</v>
      </c>
      <c r="X66" s="184">
        <v>44442</v>
      </c>
      <c r="Y66" s="17">
        <v>-0.44</v>
      </c>
      <c r="Z66" s="17">
        <v>-0.44</v>
      </c>
      <c r="AA66" s="181">
        <v>44442</v>
      </c>
      <c r="AC66" t="s">
        <v>22</v>
      </c>
      <c r="AD66" s="17">
        <f t="shared" si="5"/>
        <v>180</v>
      </c>
      <c r="AE66" t="s">
        <v>593</v>
      </c>
      <c r="AF66" t="s">
        <v>619</v>
      </c>
    </row>
    <row r="67" spans="1:32" ht="15" customHeight="1" x14ac:dyDescent="0.25">
      <c r="A67" s="10" t="s">
        <v>562</v>
      </c>
      <c r="B67" s="48">
        <v>44414</v>
      </c>
      <c r="C67" s="17">
        <v>-59.07</v>
      </c>
      <c r="D67" s="17">
        <v>-59.07</v>
      </c>
      <c r="E67" s="16">
        <v>44414</v>
      </c>
      <c r="G67" s="31" t="s">
        <v>16</v>
      </c>
      <c r="H67" s="17">
        <f t="shared" si="0"/>
        <v>0</v>
      </c>
      <c r="I67" s="17" t="s">
        <v>609</v>
      </c>
      <c r="J67" s="199" t="s">
        <v>608</v>
      </c>
      <c r="L67" s="48"/>
      <c r="M67" s="17"/>
      <c r="W67" s="10">
        <v>15</v>
      </c>
      <c r="X67" s="184">
        <f>X65+7</f>
        <v>44450</v>
      </c>
      <c r="Y67" s="17">
        <v>180</v>
      </c>
      <c r="Z67" s="17">
        <v>180</v>
      </c>
      <c r="AA67" s="181">
        <v>44449</v>
      </c>
      <c r="AB67" t="s">
        <v>58</v>
      </c>
      <c r="AD67" s="17">
        <f t="shared" si="5"/>
        <v>180</v>
      </c>
      <c r="AE67" t="s">
        <v>593</v>
      </c>
      <c r="AF67" t="s">
        <v>619</v>
      </c>
    </row>
    <row r="68" spans="1:32" ht="15" customHeight="1" x14ac:dyDescent="0.25">
      <c r="A68" s="10" t="s">
        <v>562</v>
      </c>
      <c r="B68" s="48">
        <v>44430</v>
      </c>
      <c r="C68" s="17">
        <v>-334.93</v>
      </c>
      <c r="D68" s="17">
        <v>-334.93</v>
      </c>
      <c r="E68" s="16">
        <v>44433</v>
      </c>
      <c r="G68" s="31" t="s">
        <v>502</v>
      </c>
      <c r="H68" s="17">
        <f t="shared" si="0"/>
        <v>0</v>
      </c>
      <c r="I68" s="17" t="s">
        <v>609</v>
      </c>
      <c r="J68" s="242" t="s">
        <v>502</v>
      </c>
      <c r="L68" s="48"/>
      <c r="M68" s="17"/>
      <c r="W68" s="10" t="s">
        <v>562</v>
      </c>
      <c r="X68" s="184">
        <v>44449</v>
      </c>
      <c r="Y68" s="17">
        <v>-0.44</v>
      </c>
      <c r="Z68" s="17">
        <v>-0.44</v>
      </c>
      <c r="AA68" s="181">
        <v>44449</v>
      </c>
      <c r="AC68" t="s">
        <v>22</v>
      </c>
      <c r="AD68" s="17">
        <f t="shared" si="5"/>
        <v>180</v>
      </c>
      <c r="AE68" t="s">
        <v>593</v>
      </c>
      <c r="AF68" t="s">
        <v>619</v>
      </c>
    </row>
    <row r="69" spans="1:32" ht="15" customHeight="1" x14ac:dyDescent="0.25">
      <c r="A69" s="10">
        <v>12</v>
      </c>
      <c r="B69" s="48">
        <f>B66+7</f>
        <v>44427</v>
      </c>
      <c r="C69" s="17">
        <v>150</v>
      </c>
      <c r="D69" s="17">
        <v>150</v>
      </c>
      <c r="E69" s="16">
        <v>44426</v>
      </c>
      <c r="F69" t="s">
        <v>124</v>
      </c>
      <c r="H69" s="17">
        <f t="shared" si="0"/>
        <v>0</v>
      </c>
      <c r="I69" s="17" t="s">
        <v>609</v>
      </c>
      <c r="J69" s="199" t="s">
        <v>608</v>
      </c>
      <c r="L69" s="48"/>
      <c r="M69" s="17"/>
      <c r="W69" s="10">
        <v>16</v>
      </c>
      <c r="X69" s="184">
        <f>X67+7</f>
        <v>44457</v>
      </c>
      <c r="Y69" s="17">
        <v>180</v>
      </c>
      <c r="Z69" s="17">
        <v>180</v>
      </c>
      <c r="AA69" s="181">
        <v>44456</v>
      </c>
      <c r="AB69" t="s">
        <v>58</v>
      </c>
      <c r="AD69" s="17">
        <f t="shared" si="5"/>
        <v>180</v>
      </c>
      <c r="AE69" t="s">
        <v>593</v>
      </c>
      <c r="AF69" t="s">
        <v>619</v>
      </c>
    </row>
    <row r="70" spans="1:32" ht="15" customHeight="1" x14ac:dyDescent="0.25">
      <c r="A70" s="10" t="s">
        <v>562</v>
      </c>
      <c r="B70" s="48">
        <v>44446</v>
      </c>
      <c r="C70" s="17">
        <v>-59.07</v>
      </c>
      <c r="D70" s="17">
        <v>-59.07</v>
      </c>
      <c r="E70" s="16">
        <v>44446</v>
      </c>
      <c r="G70" s="31" t="s">
        <v>16</v>
      </c>
      <c r="H70" s="17">
        <f t="shared" si="0"/>
        <v>0</v>
      </c>
      <c r="I70" s="17" t="s">
        <v>609</v>
      </c>
      <c r="J70" s="199" t="s">
        <v>608</v>
      </c>
      <c r="L70" s="48"/>
      <c r="M70" s="17"/>
      <c r="W70" s="10" t="s">
        <v>562</v>
      </c>
      <c r="X70" s="184">
        <v>44456</v>
      </c>
      <c r="Y70" s="17">
        <v>-0.44</v>
      </c>
      <c r="Z70" s="17">
        <v>-0.44</v>
      </c>
      <c r="AA70" s="181">
        <v>44456</v>
      </c>
      <c r="AC70" t="s">
        <v>22</v>
      </c>
      <c r="AD70" s="17">
        <f t="shared" si="5"/>
        <v>180</v>
      </c>
      <c r="AE70" t="s">
        <v>593</v>
      </c>
      <c r="AF70" t="s">
        <v>619</v>
      </c>
    </row>
    <row r="71" spans="1:32" ht="15" customHeight="1" x14ac:dyDescent="0.25">
      <c r="A71" s="10" t="s">
        <v>562</v>
      </c>
      <c r="B71" s="48">
        <v>44477</v>
      </c>
      <c r="C71" s="17">
        <v>-59.07</v>
      </c>
      <c r="D71" s="17">
        <v>-59.07</v>
      </c>
      <c r="E71" s="16">
        <v>44477</v>
      </c>
      <c r="G71" s="31" t="s">
        <v>16</v>
      </c>
      <c r="H71" s="17">
        <f t="shared" si="0"/>
        <v>0</v>
      </c>
      <c r="I71" s="17" t="s">
        <v>609</v>
      </c>
      <c r="J71" s="199" t="s">
        <v>608</v>
      </c>
      <c r="L71" s="48"/>
      <c r="M71" s="17"/>
      <c r="W71" s="10">
        <v>17</v>
      </c>
      <c r="X71" s="184">
        <f>X69+7</f>
        <v>44464</v>
      </c>
      <c r="Y71" s="17">
        <v>180</v>
      </c>
      <c r="Z71" s="17">
        <v>180</v>
      </c>
      <c r="AA71" s="181">
        <v>44463</v>
      </c>
      <c r="AB71" t="s">
        <v>58</v>
      </c>
      <c r="AD71" s="17">
        <f t="shared" si="5"/>
        <v>180</v>
      </c>
      <c r="AE71" t="s">
        <v>593</v>
      </c>
      <c r="AF71" t="s">
        <v>619</v>
      </c>
    </row>
    <row r="72" spans="1:32" ht="15" customHeight="1" x14ac:dyDescent="0.25">
      <c r="A72" s="10" t="s">
        <v>562</v>
      </c>
      <c r="B72" s="48">
        <v>44507</v>
      </c>
      <c r="C72" s="17">
        <v>200.64</v>
      </c>
      <c r="D72" s="17">
        <v>200.64</v>
      </c>
      <c r="E72" s="16">
        <v>44507</v>
      </c>
      <c r="G72" s="31" t="s">
        <v>502</v>
      </c>
      <c r="H72" s="17">
        <f t="shared" ref="H72:H78" si="9">IFERROR(IF(F71="Closed account",(IF(F72="Unpaid Rent",(C72),(C72-D72))),(IF(F72="Unpaid Rent",(C72+H71),(C72-D72+H71)))),"")</f>
        <v>0</v>
      </c>
      <c r="I72" s="17" t="s">
        <v>609</v>
      </c>
      <c r="J72" s="242" t="s">
        <v>502</v>
      </c>
      <c r="L72" s="48"/>
      <c r="M72" s="17"/>
      <c r="W72" s="10" t="s">
        <v>562</v>
      </c>
      <c r="X72" s="184">
        <v>44463</v>
      </c>
      <c r="Y72" s="17">
        <v>-0.44</v>
      </c>
      <c r="Z72" s="17">
        <v>-0.44</v>
      </c>
      <c r="AA72" s="181">
        <v>44463</v>
      </c>
      <c r="AC72" t="s">
        <v>22</v>
      </c>
      <c r="AD72" s="17">
        <f t="shared" si="5"/>
        <v>180</v>
      </c>
      <c r="AE72" t="s">
        <v>593</v>
      </c>
      <c r="AF72" t="s">
        <v>619</v>
      </c>
    </row>
    <row r="73" spans="1:32" x14ac:dyDescent="0.25">
      <c r="A73" s="10">
        <v>1</v>
      </c>
      <c r="B73" s="48">
        <v>44558</v>
      </c>
      <c r="C73" s="17">
        <v>300</v>
      </c>
      <c r="D73" s="17">
        <v>300</v>
      </c>
      <c r="E73" s="16">
        <v>44558</v>
      </c>
      <c r="F73" t="s">
        <v>181</v>
      </c>
      <c r="H73" s="17">
        <f t="shared" si="9"/>
        <v>0</v>
      </c>
      <c r="I73" s="17" t="s">
        <v>609</v>
      </c>
      <c r="J73" s="241" t="s">
        <v>768</v>
      </c>
      <c r="L73" s="48"/>
      <c r="M73" s="17"/>
      <c r="W73" s="10">
        <v>18</v>
      </c>
      <c r="X73" s="184">
        <f>X71+7</f>
        <v>44471</v>
      </c>
      <c r="Y73" s="17">
        <v>180</v>
      </c>
      <c r="Z73" s="17">
        <v>180</v>
      </c>
      <c r="AA73" s="181">
        <v>44470</v>
      </c>
      <c r="AB73" t="s">
        <v>58</v>
      </c>
      <c r="AD73" s="17">
        <f t="shared" si="5"/>
        <v>180</v>
      </c>
      <c r="AE73" t="s">
        <v>593</v>
      </c>
      <c r="AF73" t="s">
        <v>619</v>
      </c>
    </row>
    <row r="74" spans="1:32" x14ac:dyDescent="0.25">
      <c r="A74" s="10">
        <v>1</v>
      </c>
      <c r="B74" s="48">
        <v>44558</v>
      </c>
      <c r="C74" s="17">
        <v>150</v>
      </c>
      <c r="D74" s="17">
        <v>150</v>
      </c>
      <c r="E74" s="16">
        <v>44558</v>
      </c>
      <c r="F74" t="s">
        <v>114</v>
      </c>
      <c r="H74" s="17">
        <f t="shared" si="9"/>
        <v>0</v>
      </c>
      <c r="I74" s="17" t="s">
        <v>609</v>
      </c>
      <c r="J74" s="241" t="s">
        <v>768</v>
      </c>
      <c r="L74" s="48"/>
      <c r="M74" s="17"/>
      <c r="W74" s="10" t="s">
        <v>562</v>
      </c>
      <c r="X74" s="184">
        <v>44470</v>
      </c>
      <c r="Y74" s="17">
        <v>-0.44</v>
      </c>
      <c r="Z74" s="17">
        <v>-0.44</v>
      </c>
      <c r="AA74" s="181">
        <v>44470</v>
      </c>
      <c r="AC74" t="s">
        <v>22</v>
      </c>
      <c r="AD74" s="17">
        <f t="shared" si="5"/>
        <v>180</v>
      </c>
      <c r="AE74" t="s">
        <v>593</v>
      </c>
      <c r="AF74" t="s">
        <v>619</v>
      </c>
    </row>
    <row r="75" spans="1:32" x14ac:dyDescent="0.25">
      <c r="A75" s="10" t="s">
        <v>562</v>
      </c>
      <c r="B75" s="48">
        <v>44558</v>
      </c>
      <c r="C75" s="17">
        <v>-14</v>
      </c>
      <c r="D75" s="17">
        <v>-14</v>
      </c>
      <c r="E75" s="16">
        <v>44558</v>
      </c>
      <c r="F75" t="s">
        <v>117</v>
      </c>
      <c r="G75" s="31" t="s">
        <v>53</v>
      </c>
      <c r="H75" s="17">
        <f t="shared" si="9"/>
        <v>0</v>
      </c>
      <c r="I75" s="17" t="s">
        <v>609</v>
      </c>
      <c r="J75" s="241" t="s">
        <v>768</v>
      </c>
      <c r="L75" s="48"/>
      <c r="M75" s="17"/>
      <c r="W75" s="10">
        <v>19</v>
      </c>
      <c r="X75" s="184">
        <f>X73+7</f>
        <v>44478</v>
      </c>
      <c r="Y75" s="17">
        <v>180</v>
      </c>
      <c r="Z75" s="17">
        <v>180</v>
      </c>
      <c r="AA75" s="181">
        <v>44477</v>
      </c>
      <c r="AB75" t="s">
        <v>58</v>
      </c>
      <c r="AD75" s="17">
        <f t="shared" si="5"/>
        <v>180</v>
      </c>
      <c r="AE75" t="s">
        <v>593</v>
      </c>
      <c r="AF75" t="s">
        <v>619</v>
      </c>
    </row>
    <row r="76" spans="1:32" x14ac:dyDescent="0.25">
      <c r="A76" s="10" t="s">
        <v>562</v>
      </c>
      <c r="B76" s="48">
        <v>44569</v>
      </c>
      <c r="C76" s="17">
        <v>-335.5</v>
      </c>
      <c r="D76" s="17">
        <v>-335.5</v>
      </c>
      <c r="E76" s="16">
        <v>44569</v>
      </c>
      <c r="G76" s="31" t="s">
        <v>17</v>
      </c>
      <c r="H76" s="17">
        <f t="shared" si="9"/>
        <v>0</v>
      </c>
      <c r="I76" s="17" t="s">
        <v>609</v>
      </c>
      <c r="J76" s="200" t="s">
        <v>608</v>
      </c>
      <c r="L76" s="48"/>
      <c r="M76" s="17"/>
      <c r="W76" s="10" t="s">
        <v>562</v>
      </c>
      <c r="X76" s="184">
        <v>44477</v>
      </c>
      <c r="Y76" s="17">
        <v>-0.44</v>
      </c>
      <c r="Z76" s="17">
        <v>-0.44</v>
      </c>
      <c r="AA76" s="181">
        <v>44477</v>
      </c>
      <c r="AC76" t="s">
        <v>22</v>
      </c>
      <c r="AD76" s="17">
        <f t="shared" si="5"/>
        <v>180</v>
      </c>
      <c r="AE76" t="s">
        <v>593</v>
      </c>
      <c r="AF76" t="s">
        <v>619</v>
      </c>
    </row>
    <row r="77" spans="1:32" x14ac:dyDescent="0.25">
      <c r="A77" s="10">
        <v>2</v>
      </c>
      <c r="B77" s="48">
        <f>B74+7</f>
        <v>44565</v>
      </c>
      <c r="C77" s="17">
        <v>150</v>
      </c>
      <c r="D77" s="17">
        <v>150</v>
      </c>
      <c r="E77" s="16">
        <v>44569</v>
      </c>
      <c r="F77" t="s">
        <v>114</v>
      </c>
      <c r="H77" s="17">
        <f t="shared" si="9"/>
        <v>0</v>
      </c>
      <c r="I77" s="17" t="s">
        <v>609</v>
      </c>
      <c r="J77" s="241" t="s">
        <v>768</v>
      </c>
      <c r="L77" s="48"/>
      <c r="M77" s="17"/>
      <c r="W77" s="10">
        <v>20</v>
      </c>
      <c r="X77" s="184">
        <f>X75+7</f>
        <v>44485</v>
      </c>
      <c r="Y77" s="17">
        <v>180</v>
      </c>
      <c r="Z77" s="17">
        <v>180</v>
      </c>
      <c r="AA77" s="181">
        <v>44484</v>
      </c>
      <c r="AB77" t="s">
        <v>58</v>
      </c>
      <c r="AD77" s="17">
        <f t="shared" si="5"/>
        <v>180</v>
      </c>
      <c r="AE77" t="s">
        <v>593</v>
      </c>
      <c r="AF77" t="s">
        <v>619</v>
      </c>
    </row>
    <row r="78" spans="1:32" x14ac:dyDescent="0.25">
      <c r="A78" s="10">
        <v>3</v>
      </c>
      <c r="B78" s="48">
        <v>44569</v>
      </c>
      <c r="C78" s="17">
        <v>-300</v>
      </c>
      <c r="D78" s="17">
        <v>-300</v>
      </c>
      <c r="E78" s="16">
        <v>44569</v>
      </c>
      <c r="G78" s="31" t="s">
        <v>45</v>
      </c>
      <c r="H78" s="17">
        <f t="shared" si="9"/>
        <v>0</v>
      </c>
      <c r="I78" s="17" t="s">
        <v>609</v>
      </c>
      <c r="J78" s="241" t="s">
        <v>768</v>
      </c>
      <c r="L78" s="48"/>
      <c r="M78" s="17"/>
      <c r="W78" s="10" t="s">
        <v>562</v>
      </c>
      <c r="X78" s="184">
        <v>44484</v>
      </c>
      <c r="Y78" s="17">
        <v>-0.44</v>
      </c>
      <c r="Z78" s="17">
        <v>-0.44</v>
      </c>
      <c r="AA78" s="181">
        <v>44484</v>
      </c>
      <c r="AC78" t="s">
        <v>22</v>
      </c>
      <c r="AD78" s="17">
        <f t="shared" si="5"/>
        <v>180</v>
      </c>
      <c r="AE78" t="s">
        <v>593</v>
      </c>
      <c r="AF78" t="s">
        <v>619</v>
      </c>
    </row>
    <row r="79" spans="1:32" x14ac:dyDescent="0.25">
      <c r="A79" s="10" t="s">
        <v>562</v>
      </c>
      <c r="B79" s="48">
        <v>44589</v>
      </c>
      <c r="C79" s="17">
        <v>-345.17</v>
      </c>
      <c r="D79" s="17">
        <v>-345.17</v>
      </c>
      <c r="E79" s="16">
        <v>44589</v>
      </c>
      <c r="F79" t="s">
        <v>117</v>
      </c>
      <c r="H79" s="17">
        <f>IFERROR(IF(F78="Closed account",(IF(F79="Unpaid Rent",(C79),(C79-D79))),(IF(F79="Unpaid Rent",(C79+H78),(C79-D79+H78)))),"")</f>
        <v>0</v>
      </c>
      <c r="I79" s="17" t="s">
        <v>609</v>
      </c>
      <c r="J79" s="241" t="s">
        <v>768</v>
      </c>
      <c r="L79" s="48"/>
      <c r="M79" s="17"/>
      <c r="W79" s="10">
        <v>21</v>
      </c>
      <c r="X79" s="184">
        <f>X77+7</f>
        <v>44492</v>
      </c>
      <c r="Y79" s="17">
        <v>180</v>
      </c>
      <c r="Z79" s="17">
        <v>180</v>
      </c>
      <c r="AA79" s="181">
        <v>44491</v>
      </c>
      <c r="AB79" t="s">
        <v>58</v>
      </c>
      <c r="AD79" s="17">
        <f t="shared" si="5"/>
        <v>180</v>
      </c>
      <c r="AE79" t="s">
        <v>593</v>
      </c>
      <c r="AF79" t="s">
        <v>619</v>
      </c>
    </row>
    <row r="80" spans="1:32" x14ac:dyDescent="0.25">
      <c r="A80"/>
      <c r="B80" s="50"/>
      <c r="J80" s="200"/>
      <c r="L80" s="48"/>
      <c r="M80" s="17"/>
      <c r="W80" s="10" t="s">
        <v>562</v>
      </c>
      <c r="X80" s="184">
        <v>44491</v>
      </c>
      <c r="Y80" s="17">
        <v>-0.44</v>
      </c>
      <c r="Z80" s="17">
        <v>-0.44</v>
      </c>
      <c r="AA80" s="181">
        <v>44491</v>
      </c>
      <c r="AC80" t="s">
        <v>22</v>
      </c>
      <c r="AD80" s="17">
        <f t="shared" si="5"/>
        <v>180</v>
      </c>
      <c r="AE80" t="s">
        <v>593</v>
      </c>
      <c r="AF80" t="s">
        <v>619</v>
      </c>
    </row>
    <row r="81" spans="1:32" x14ac:dyDescent="0.25">
      <c r="A81"/>
      <c r="B81" s="50"/>
      <c r="J81" s="200"/>
      <c r="L81" s="48"/>
      <c r="M81" s="17"/>
      <c r="W81" s="10" t="s">
        <v>562</v>
      </c>
      <c r="X81" s="184">
        <v>44450</v>
      </c>
      <c r="Y81" s="17">
        <v>-128.30000000000001</v>
      </c>
      <c r="Z81" s="17">
        <v>-128.30000000000001</v>
      </c>
      <c r="AA81" s="181">
        <v>44450</v>
      </c>
      <c r="AC81" t="s">
        <v>16</v>
      </c>
      <c r="AD81" s="17">
        <f t="shared" si="5"/>
        <v>180</v>
      </c>
      <c r="AE81" t="s">
        <v>593</v>
      </c>
      <c r="AF81" t="s">
        <v>619</v>
      </c>
    </row>
    <row r="82" spans="1:32" x14ac:dyDescent="0.25">
      <c r="A82"/>
      <c r="B82" s="50"/>
      <c r="L82" s="48"/>
      <c r="M82" s="17"/>
      <c r="W82" s="10" t="s">
        <v>562</v>
      </c>
      <c r="X82" s="184">
        <v>44481</v>
      </c>
      <c r="Y82" s="17">
        <v>-128.30000000000001</v>
      </c>
      <c r="Z82" s="17">
        <v>-128.30000000000001</v>
      </c>
      <c r="AA82" s="181">
        <v>44481</v>
      </c>
      <c r="AC82" t="s">
        <v>16</v>
      </c>
      <c r="AD82" s="17">
        <f t="shared" si="5"/>
        <v>180</v>
      </c>
      <c r="AE82" t="s">
        <v>593</v>
      </c>
      <c r="AF82" t="s">
        <v>619</v>
      </c>
    </row>
    <row r="83" spans="1:32" x14ac:dyDescent="0.25">
      <c r="A83"/>
      <c r="B83" s="50"/>
      <c r="L83" s="48"/>
      <c r="M83" s="17"/>
      <c r="W83" s="10" t="s">
        <v>562</v>
      </c>
      <c r="X83" s="184">
        <v>44507</v>
      </c>
      <c r="Y83" s="17">
        <v>-1093.4000000000001</v>
      </c>
      <c r="Z83" s="17">
        <v>-1093.4000000000001</v>
      </c>
      <c r="AA83" s="181">
        <v>44507</v>
      </c>
      <c r="AC83" t="s">
        <v>502</v>
      </c>
      <c r="AD83" s="17">
        <f t="shared" si="5"/>
        <v>180</v>
      </c>
      <c r="AE83" t="s">
        <v>593</v>
      </c>
      <c r="AF83" t="s">
        <v>619</v>
      </c>
    </row>
    <row r="84" spans="1:32" x14ac:dyDescent="0.25">
      <c r="A84"/>
      <c r="B84" s="50"/>
      <c r="L84" s="48"/>
      <c r="M84" s="17"/>
      <c r="W84" s="10">
        <v>22</v>
      </c>
      <c r="X84" s="184">
        <f>X79+7</f>
        <v>44499</v>
      </c>
      <c r="Y84" s="17">
        <v>180</v>
      </c>
      <c r="Z84" s="17">
        <v>180</v>
      </c>
      <c r="AA84" s="181">
        <v>44498</v>
      </c>
      <c r="AB84" t="s">
        <v>58</v>
      </c>
      <c r="AD84" s="17">
        <f t="shared" si="5"/>
        <v>180</v>
      </c>
      <c r="AE84" t="s">
        <v>593</v>
      </c>
      <c r="AF84" t="s">
        <v>619</v>
      </c>
    </row>
    <row r="85" spans="1:32" x14ac:dyDescent="0.25">
      <c r="A85"/>
      <c r="B85" s="50"/>
      <c r="L85" s="48"/>
      <c r="M85" s="17"/>
      <c r="W85" s="10" t="s">
        <v>562</v>
      </c>
      <c r="X85" s="184">
        <v>44498</v>
      </c>
      <c r="Y85" s="17">
        <v>-0.44</v>
      </c>
      <c r="Z85" s="17">
        <v>-0.44</v>
      </c>
      <c r="AA85" s="181">
        <v>44498</v>
      </c>
      <c r="AB85" t="s">
        <v>58</v>
      </c>
      <c r="AC85" t="s">
        <v>22</v>
      </c>
      <c r="AD85" s="17">
        <f t="shared" si="5"/>
        <v>180</v>
      </c>
      <c r="AE85" t="s">
        <v>593</v>
      </c>
      <c r="AF85" t="s">
        <v>619</v>
      </c>
    </row>
    <row r="86" spans="1:32" x14ac:dyDescent="0.25">
      <c r="A86"/>
      <c r="B86" s="50"/>
      <c r="L86" s="48"/>
      <c r="M86" s="17"/>
      <c r="W86" s="10">
        <v>23</v>
      </c>
      <c r="X86" s="184">
        <f>X84+7</f>
        <v>44506</v>
      </c>
      <c r="Y86" s="17">
        <v>180</v>
      </c>
      <c r="Z86" s="17">
        <v>180</v>
      </c>
      <c r="AA86" s="181">
        <v>44505</v>
      </c>
      <c r="AB86" t="s">
        <v>58</v>
      </c>
      <c r="AD86" s="17">
        <f t="shared" si="5"/>
        <v>180</v>
      </c>
      <c r="AE86" t="s">
        <v>593</v>
      </c>
      <c r="AF86" t="s">
        <v>619</v>
      </c>
    </row>
    <row r="87" spans="1:32" x14ac:dyDescent="0.25">
      <c r="A87"/>
      <c r="B87" s="50"/>
      <c r="L87" s="48"/>
      <c r="M87" s="17"/>
      <c r="W87" s="10" t="s">
        <v>562</v>
      </c>
      <c r="X87" s="184">
        <v>44505</v>
      </c>
      <c r="Y87" s="17">
        <v>-0.44</v>
      </c>
      <c r="Z87" s="17">
        <v>-0.44</v>
      </c>
      <c r="AA87" s="181">
        <v>44505</v>
      </c>
      <c r="AB87" t="s">
        <v>58</v>
      </c>
      <c r="AC87" t="s">
        <v>22</v>
      </c>
      <c r="AD87" s="17">
        <f t="shared" si="5"/>
        <v>180</v>
      </c>
      <c r="AE87" t="s">
        <v>593</v>
      </c>
      <c r="AF87" t="s">
        <v>619</v>
      </c>
    </row>
    <row r="88" spans="1:32" x14ac:dyDescent="0.25">
      <c r="A88"/>
      <c r="B88" s="50"/>
      <c r="L88" s="48"/>
      <c r="M88" s="17"/>
      <c r="W88" s="10">
        <v>24</v>
      </c>
      <c r="X88" s="184">
        <f>X86+7</f>
        <v>44513</v>
      </c>
      <c r="Y88" s="17">
        <v>180</v>
      </c>
      <c r="Z88" s="17">
        <v>180</v>
      </c>
      <c r="AA88" s="181">
        <v>44512</v>
      </c>
      <c r="AB88" t="s">
        <v>58</v>
      </c>
      <c r="AD88" s="17">
        <f t="shared" si="5"/>
        <v>180</v>
      </c>
      <c r="AE88" t="s">
        <v>593</v>
      </c>
      <c r="AF88" t="s">
        <v>619</v>
      </c>
    </row>
    <row r="89" spans="1:32" x14ac:dyDescent="0.25">
      <c r="A89"/>
      <c r="B89" s="50"/>
      <c r="L89" s="48"/>
      <c r="M89" s="17"/>
      <c r="W89" s="10" t="s">
        <v>562</v>
      </c>
      <c r="X89" s="184">
        <v>44512</v>
      </c>
      <c r="Y89" s="17">
        <v>-0.44</v>
      </c>
      <c r="Z89" s="17">
        <v>-0.44</v>
      </c>
      <c r="AA89" s="181">
        <v>44512</v>
      </c>
      <c r="AB89" t="s">
        <v>58</v>
      </c>
      <c r="AC89" t="s">
        <v>22</v>
      </c>
      <c r="AD89" s="17">
        <f t="shared" si="5"/>
        <v>180</v>
      </c>
      <c r="AE89" t="s">
        <v>593</v>
      </c>
      <c r="AF89" t="s">
        <v>619</v>
      </c>
    </row>
    <row r="90" spans="1:32" x14ac:dyDescent="0.25">
      <c r="A90"/>
      <c r="B90" s="50"/>
      <c r="L90" s="48"/>
      <c r="M90" s="17"/>
      <c r="W90" s="10">
        <v>25</v>
      </c>
      <c r="X90" s="184">
        <f>X88+7</f>
        <v>44520</v>
      </c>
      <c r="Y90" s="17">
        <v>180</v>
      </c>
      <c r="Z90" s="17">
        <v>180</v>
      </c>
      <c r="AA90" s="181">
        <v>44519</v>
      </c>
      <c r="AB90" t="s">
        <v>58</v>
      </c>
      <c r="AD90" s="17">
        <f t="shared" si="5"/>
        <v>180</v>
      </c>
      <c r="AE90" t="s">
        <v>593</v>
      </c>
      <c r="AF90" t="s">
        <v>619</v>
      </c>
    </row>
    <row r="91" spans="1:32" x14ac:dyDescent="0.25">
      <c r="A91"/>
      <c r="B91" s="50"/>
      <c r="L91" s="48"/>
      <c r="M91" s="17"/>
      <c r="W91" s="10" t="s">
        <v>562</v>
      </c>
      <c r="X91" s="184">
        <v>44519</v>
      </c>
      <c r="Y91" s="17">
        <v>-0.44</v>
      </c>
      <c r="Z91" s="17">
        <v>-0.44</v>
      </c>
      <c r="AA91" s="181">
        <v>44519</v>
      </c>
      <c r="AC91" t="s">
        <v>22</v>
      </c>
      <c r="AD91" s="17">
        <f t="shared" si="5"/>
        <v>180</v>
      </c>
      <c r="AE91" t="s">
        <v>593</v>
      </c>
      <c r="AF91" t="s">
        <v>619</v>
      </c>
    </row>
    <row r="92" spans="1:32" x14ac:dyDescent="0.25">
      <c r="A92"/>
      <c r="B92" s="50"/>
      <c r="L92" s="48"/>
      <c r="M92" s="17"/>
      <c r="W92" s="10">
        <v>26</v>
      </c>
      <c r="X92" s="184">
        <f>X90+7</f>
        <v>44527</v>
      </c>
      <c r="Y92" s="17">
        <v>180</v>
      </c>
      <c r="Z92" s="17">
        <v>180</v>
      </c>
      <c r="AA92" s="181">
        <v>44526</v>
      </c>
      <c r="AB92" t="s">
        <v>58</v>
      </c>
      <c r="AD92" s="17">
        <f t="shared" si="5"/>
        <v>180</v>
      </c>
      <c r="AE92" t="s">
        <v>593</v>
      </c>
      <c r="AF92" t="s">
        <v>619</v>
      </c>
    </row>
    <row r="93" spans="1:32" x14ac:dyDescent="0.25">
      <c r="A93"/>
      <c r="B93" s="50"/>
      <c r="L93" s="48"/>
      <c r="M93" s="17"/>
      <c r="W93" s="10" t="s">
        <v>562</v>
      </c>
      <c r="X93" s="184">
        <v>44526</v>
      </c>
      <c r="Y93" s="17">
        <v>-0.44</v>
      </c>
      <c r="Z93" s="17">
        <v>-0.44</v>
      </c>
      <c r="AA93" s="181">
        <v>44526</v>
      </c>
      <c r="AC93" t="s">
        <v>22</v>
      </c>
      <c r="AD93" s="17">
        <f t="shared" ref="AD93:AD102" si="10">IFERROR(IF(AB92="Closed account",(IF(AB93="Unpaid Rent",(Y93),(Y93-Z93))),(IF(AB93="Unpaid Rent",(Y93+AD92),(Y93-Z93+AD92)))),"")</f>
        <v>180</v>
      </c>
      <c r="AE93" t="s">
        <v>593</v>
      </c>
      <c r="AF93" t="s">
        <v>619</v>
      </c>
    </row>
    <row r="94" spans="1:32" x14ac:dyDescent="0.25">
      <c r="A94"/>
      <c r="B94" s="50"/>
      <c r="L94" s="48"/>
      <c r="M94" s="17"/>
      <c r="W94" s="10">
        <v>27</v>
      </c>
      <c r="X94" s="184">
        <f>X92+7</f>
        <v>44534</v>
      </c>
      <c r="Y94" s="17">
        <v>180</v>
      </c>
      <c r="Z94" s="17">
        <v>180</v>
      </c>
      <c r="AA94" s="181">
        <v>44533</v>
      </c>
      <c r="AB94" t="s">
        <v>58</v>
      </c>
      <c r="AD94" s="17">
        <f t="shared" si="10"/>
        <v>180</v>
      </c>
      <c r="AE94" t="s">
        <v>593</v>
      </c>
      <c r="AF94" t="s">
        <v>619</v>
      </c>
    </row>
    <row r="95" spans="1:32" x14ac:dyDescent="0.25">
      <c r="A95"/>
      <c r="B95" s="50"/>
      <c r="L95" s="48"/>
      <c r="M95" s="17"/>
      <c r="W95" s="10" t="s">
        <v>562</v>
      </c>
      <c r="X95" s="184">
        <v>44533</v>
      </c>
      <c r="Y95" s="17">
        <v>-0.44</v>
      </c>
      <c r="Z95" s="17">
        <v>-0.44</v>
      </c>
      <c r="AA95" s="181">
        <v>44533</v>
      </c>
      <c r="AC95" t="s">
        <v>22</v>
      </c>
      <c r="AD95" s="17">
        <f t="shared" si="10"/>
        <v>180</v>
      </c>
      <c r="AE95" t="s">
        <v>593</v>
      </c>
      <c r="AF95" t="s">
        <v>619</v>
      </c>
    </row>
    <row r="96" spans="1:32" x14ac:dyDescent="0.25">
      <c r="A96"/>
      <c r="B96" s="50"/>
      <c r="L96" s="48"/>
      <c r="M96" s="17"/>
      <c r="W96" s="10" t="s">
        <v>562</v>
      </c>
      <c r="X96" s="184">
        <v>44511</v>
      </c>
      <c r="Y96" s="17">
        <v>-128.30000000000001</v>
      </c>
      <c r="Z96" s="17">
        <v>-128.30000000000001</v>
      </c>
      <c r="AA96" s="181">
        <v>44511</v>
      </c>
      <c r="AC96" t="s">
        <v>16</v>
      </c>
      <c r="AD96" s="17">
        <f t="shared" si="10"/>
        <v>180</v>
      </c>
      <c r="AE96" t="s">
        <v>593</v>
      </c>
      <c r="AF96" t="s">
        <v>619</v>
      </c>
    </row>
    <row r="97" spans="1:32" x14ac:dyDescent="0.25">
      <c r="A97"/>
      <c r="B97" s="50"/>
      <c r="L97" s="48"/>
      <c r="M97" s="17"/>
      <c r="W97" s="10" t="s">
        <v>562</v>
      </c>
      <c r="X97" s="184">
        <v>44541</v>
      </c>
      <c r="Y97" s="17">
        <v>-128.30000000000001</v>
      </c>
      <c r="Z97" s="17">
        <v>-128.30000000000001</v>
      </c>
      <c r="AA97" s="181">
        <v>44541</v>
      </c>
      <c r="AC97" t="s">
        <v>16</v>
      </c>
      <c r="AD97" s="17">
        <f t="shared" si="10"/>
        <v>180</v>
      </c>
      <c r="AE97" t="s">
        <v>593</v>
      </c>
      <c r="AF97" t="s">
        <v>619</v>
      </c>
    </row>
    <row r="98" spans="1:32" x14ac:dyDescent="0.25">
      <c r="A98"/>
      <c r="B98" s="50"/>
      <c r="L98" s="48"/>
      <c r="M98" s="17"/>
      <c r="W98" s="10">
        <v>28</v>
      </c>
      <c r="X98" s="184">
        <f>X94+7</f>
        <v>44541</v>
      </c>
      <c r="Y98" s="17">
        <v>180</v>
      </c>
      <c r="Z98" s="17">
        <v>180</v>
      </c>
      <c r="AA98" s="181">
        <v>44561</v>
      </c>
      <c r="AB98" t="s">
        <v>117</v>
      </c>
      <c r="AD98" s="17">
        <f t="shared" si="10"/>
        <v>180</v>
      </c>
      <c r="AE98" t="s">
        <v>593</v>
      </c>
      <c r="AF98" t="s">
        <v>619</v>
      </c>
    </row>
    <row r="99" spans="1:32" x14ac:dyDescent="0.25">
      <c r="A99"/>
      <c r="B99" s="50"/>
      <c r="L99" s="48"/>
      <c r="M99" s="17"/>
      <c r="W99" s="10" t="s">
        <v>562</v>
      </c>
      <c r="X99" s="184">
        <v>44546</v>
      </c>
      <c r="Y99" s="17">
        <v>-2.75</v>
      </c>
      <c r="Z99" s="17">
        <v>-2.75</v>
      </c>
      <c r="AA99" s="181">
        <v>44545</v>
      </c>
      <c r="AC99" t="s">
        <v>22</v>
      </c>
      <c r="AD99" s="17">
        <f t="shared" si="10"/>
        <v>180</v>
      </c>
      <c r="AE99" t="s">
        <v>593</v>
      </c>
      <c r="AF99" t="s">
        <v>619</v>
      </c>
    </row>
    <row r="100" spans="1:32" x14ac:dyDescent="0.25">
      <c r="A100"/>
      <c r="B100" s="50"/>
      <c r="L100" s="48"/>
      <c r="M100" s="17"/>
      <c r="W100" s="10" t="s">
        <v>562</v>
      </c>
      <c r="X100" s="184">
        <v>44540</v>
      </c>
      <c r="Y100" s="17">
        <v>-0.99</v>
      </c>
      <c r="Z100" s="17">
        <v>-0.99</v>
      </c>
      <c r="AA100" s="181">
        <v>44540</v>
      </c>
      <c r="AC100" t="s">
        <v>22</v>
      </c>
      <c r="AD100" s="17">
        <f t="shared" si="10"/>
        <v>180</v>
      </c>
      <c r="AE100" t="s">
        <v>593</v>
      </c>
      <c r="AF100" t="s">
        <v>619</v>
      </c>
    </row>
    <row r="101" spans="1:32" x14ac:dyDescent="0.25">
      <c r="A101"/>
      <c r="B101" s="50"/>
      <c r="L101" s="48"/>
      <c r="M101" s="17"/>
      <c r="W101" s="10">
        <v>29</v>
      </c>
      <c r="X101" s="184">
        <f>X98+7</f>
        <v>44548</v>
      </c>
      <c r="Y101" s="17">
        <v>180</v>
      </c>
      <c r="Z101" s="17">
        <v>180</v>
      </c>
      <c r="AA101" s="181">
        <v>44547</v>
      </c>
      <c r="AB101" t="s">
        <v>58</v>
      </c>
      <c r="AD101" s="17">
        <f t="shared" si="10"/>
        <v>180</v>
      </c>
      <c r="AE101" t="s">
        <v>593</v>
      </c>
      <c r="AF101" t="s">
        <v>619</v>
      </c>
    </row>
    <row r="102" spans="1:32" x14ac:dyDescent="0.25">
      <c r="A102"/>
      <c r="B102" s="50"/>
      <c r="L102" s="48"/>
      <c r="M102" s="17"/>
      <c r="W102" s="10" t="s">
        <v>562</v>
      </c>
      <c r="X102" s="184">
        <v>44547</v>
      </c>
      <c r="Y102" s="17">
        <v>-0.44</v>
      </c>
      <c r="Z102" s="17">
        <v>-0.44</v>
      </c>
      <c r="AA102" s="181">
        <v>44547</v>
      </c>
      <c r="AC102" t="s">
        <v>22</v>
      </c>
      <c r="AD102" s="17">
        <f t="shared" si="10"/>
        <v>180</v>
      </c>
      <c r="AE102" t="s">
        <v>593</v>
      </c>
      <c r="AF102" t="s">
        <v>619</v>
      </c>
    </row>
    <row r="103" spans="1:32" x14ac:dyDescent="0.25">
      <c r="A103"/>
      <c r="B103" s="50"/>
      <c r="L103" s="48"/>
      <c r="M103" s="17"/>
      <c r="W103" s="10">
        <v>30</v>
      </c>
      <c r="X103" s="184">
        <f>X101+7</f>
        <v>44555</v>
      </c>
      <c r="Y103" s="17">
        <v>180</v>
      </c>
      <c r="Z103" s="17">
        <v>180</v>
      </c>
      <c r="AA103" s="181">
        <v>44554</v>
      </c>
      <c r="AB103" t="s">
        <v>58</v>
      </c>
      <c r="AD103" s="17">
        <f t="shared" ref="AD103:AD134" si="11">IFERROR(IF(AB102="Closed account",(IF(AB103="Unpaid Rent",(Y103),(Y103-Z103))),(IF(AB103="Unpaid Rent",(Y103+AD102),(Y103-Z103+AD102)))),"")</f>
        <v>180</v>
      </c>
      <c r="AE103" t="s">
        <v>593</v>
      </c>
      <c r="AF103" t="s">
        <v>619</v>
      </c>
    </row>
    <row r="104" spans="1:32" x14ac:dyDescent="0.25">
      <c r="A104"/>
      <c r="B104" s="50"/>
      <c r="L104" s="48"/>
      <c r="M104" s="17"/>
      <c r="W104" s="10" t="s">
        <v>562</v>
      </c>
      <c r="X104" s="184">
        <v>44554</v>
      </c>
      <c r="Y104" s="17">
        <v>-0.44</v>
      </c>
      <c r="Z104" s="17">
        <v>-0.44</v>
      </c>
      <c r="AA104" s="181">
        <v>44554</v>
      </c>
      <c r="AC104" t="s">
        <v>22</v>
      </c>
      <c r="AD104" s="17">
        <f t="shared" si="11"/>
        <v>180</v>
      </c>
      <c r="AE104" t="s">
        <v>593</v>
      </c>
      <c r="AF104" t="s">
        <v>619</v>
      </c>
    </row>
    <row r="105" spans="1:32" x14ac:dyDescent="0.25">
      <c r="A105"/>
      <c r="B105" s="50"/>
      <c r="L105" s="48"/>
      <c r="M105" s="17"/>
      <c r="W105" s="10">
        <v>31</v>
      </c>
      <c r="X105" s="184">
        <f>X103+7</f>
        <v>44562</v>
      </c>
      <c r="Y105" s="17">
        <v>180</v>
      </c>
      <c r="Z105" s="17">
        <v>180</v>
      </c>
      <c r="AA105" s="181">
        <v>44561</v>
      </c>
      <c r="AB105" t="s">
        <v>58</v>
      </c>
      <c r="AD105" s="17">
        <f t="shared" si="11"/>
        <v>180</v>
      </c>
      <c r="AE105" t="s">
        <v>593</v>
      </c>
      <c r="AF105" t="s">
        <v>619</v>
      </c>
    </row>
    <row r="106" spans="1:32" x14ac:dyDescent="0.25">
      <c r="A106"/>
      <c r="B106" s="50"/>
      <c r="L106" s="48"/>
      <c r="M106" s="17"/>
      <c r="W106" s="10" t="s">
        <v>562</v>
      </c>
      <c r="X106" s="184">
        <v>44926</v>
      </c>
      <c r="Y106" s="17">
        <v>-0.44</v>
      </c>
      <c r="Z106" s="17">
        <v>-0.44</v>
      </c>
      <c r="AA106" s="181">
        <v>44561</v>
      </c>
      <c r="AC106" t="s">
        <v>22</v>
      </c>
      <c r="AD106" s="17">
        <f t="shared" si="11"/>
        <v>180</v>
      </c>
      <c r="AE106" t="s">
        <v>593</v>
      </c>
      <c r="AF106" t="s">
        <v>619</v>
      </c>
    </row>
    <row r="107" spans="1:32" x14ac:dyDescent="0.25">
      <c r="A107"/>
      <c r="B107" s="50"/>
      <c r="L107" s="48"/>
      <c r="M107" s="17"/>
      <c r="W107" s="10" t="s">
        <v>562</v>
      </c>
      <c r="X107" s="184">
        <v>44573</v>
      </c>
      <c r="Y107" s="17">
        <v>-169</v>
      </c>
      <c r="Z107" s="17">
        <v>-169</v>
      </c>
      <c r="AA107" s="181">
        <v>44573</v>
      </c>
      <c r="AC107" t="s">
        <v>782</v>
      </c>
      <c r="AD107" s="17">
        <f t="shared" si="11"/>
        <v>180</v>
      </c>
      <c r="AE107" t="s">
        <v>593</v>
      </c>
      <c r="AF107" t="s">
        <v>619</v>
      </c>
    </row>
    <row r="108" spans="1:32" x14ac:dyDescent="0.25">
      <c r="A108"/>
      <c r="B108" s="50"/>
      <c r="L108" s="48"/>
      <c r="M108" s="17"/>
      <c r="W108" s="10" t="s">
        <v>562</v>
      </c>
      <c r="X108" s="184">
        <v>44574</v>
      </c>
      <c r="Y108" s="17">
        <v>-128.30000000000001</v>
      </c>
      <c r="Z108" s="17">
        <v>-128.30000000000001</v>
      </c>
      <c r="AA108" s="181">
        <v>44574</v>
      </c>
      <c r="AC108" t="s">
        <v>16</v>
      </c>
      <c r="AD108" s="17">
        <f t="shared" si="11"/>
        <v>180</v>
      </c>
      <c r="AE108" t="s">
        <v>593</v>
      </c>
      <c r="AF108" t="s">
        <v>619</v>
      </c>
    </row>
    <row r="109" spans="1:32" x14ac:dyDescent="0.25">
      <c r="A109"/>
      <c r="B109" s="50"/>
      <c r="L109" s="48"/>
      <c r="M109" s="17"/>
      <c r="W109" s="10">
        <v>32</v>
      </c>
      <c r="X109" s="184">
        <f>X105+7</f>
        <v>44569</v>
      </c>
      <c r="Y109" s="17">
        <v>180</v>
      </c>
      <c r="Z109" s="17">
        <v>180</v>
      </c>
      <c r="AA109" s="181">
        <v>44568</v>
      </c>
      <c r="AB109" t="s">
        <v>58</v>
      </c>
      <c r="AD109" s="17">
        <f t="shared" si="11"/>
        <v>180</v>
      </c>
      <c r="AE109" t="s">
        <v>593</v>
      </c>
      <c r="AF109" t="s">
        <v>619</v>
      </c>
    </row>
    <row r="110" spans="1:32" x14ac:dyDescent="0.25">
      <c r="A110"/>
      <c r="B110" s="50"/>
      <c r="L110" s="48"/>
      <c r="M110" s="17"/>
      <c r="W110" s="10" t="s">
        <v>562</v>
      </c>
      <c r="X110" s="184">
        <v>44568</v>
      </c>
      <c r="Y110" s="17">
        <v>-0.44</v>
      </c>
      <c r="Z110" s="17">
        <v>-0.44</v>
      </c>
      <c r="AA110" s="181">
        <v>44568</v>
      </c>
      <c r="AC110" t="s">
        <v>22</v>
      </c>
      <c r="AD110" s="17">
        <f t="shared" si="11"/>
        <v>180</v>
      </c>
      <c r="AE110" t="s">
        <v>593</v>
      </c>
      <c r="AF110" t="s">
        <v>619</v>
      </c>
    </row>
    <row r="111" spans="1:32" x14ac:dyDescent="0.25">
      <c r="A111"/>
      <c r="B111" s="50"/>
      <c r="L111" s="48"/>
      <c r="M111" s="17"/>
      <c r="W111" s="10">
        <v>33</v>
      </c>
      <c r="X111" s="184">
        <f>X109+7</f>
        <v>44576</v>
      </c>
      <c r="Y111" s="17">
        <v>180</v>
      </c>
      <c r="Z111" s="17">
        <v>180</v>
      </c>
      <c r="AA111" s="181">
        <v>44575</v>
      </c>
      <c r="AB111" t="s">
        <v>58</v>
      </c>
      <c r="AD111" s="17">
        <f t="shared" si="11"/>
        <v>180</v>
      </c>
      <c r="AE111" t="s">
        <v>593</v>
      </c>
      <c r="AF111" t="s">
        <v>619</v>
      </c>
    </row>
    <row r="112" spans="1:32" x14ac:dyDescent="0.25">
      <c r="A112"/>
      <c r="B112" s="50"/>
      <c r="L112" s="48"/>
      <c r="M112" s="17"/>
      <c r="W112" s="10" t="s">
        <v>562</v>
      </c>
      <c r="X112" s="184">
        <v>44575</v>
      </c>
      <c r="Y112" s="17">
        <v>-0.44</v>
      </c>
      <c r="Z112" s="17">
        <v>-0.44</v>
      </c>
      <c r="AA112" s="181">
        <v>44575</v>
      </c>
      <c r="AC112" t="s">
        <v>22</v>
      </c>
      <c r="AD112" s="17">
        <f t="shared" si="11"/>
        <v>180</v>
      </c>
      <c r="AE112" t="s">
        <v>593</v>
      </c>
      <c r="AF112" t="s">
        <v>619</v>
      </c>
    </row>
    <row r="113" spans="1:32" x14ac:dyDescent="0.25">
      <c r="A113"/>
      <c r="B113" s="50"/>
      <c r="L113" s="48"/>
      <c r="M113" s="17"/>
      <c r="W113" s="10">
        <v>34</v>
      </c>
      <c r="X113" s="184">
        <f>X111+7</f>
        <v>44583</v>
      </c>
      <c r="Y113" s="17">
        <v>200</v>
      </c>
      <c r="Z113" s="17">
        <v>200</v>
      </c>
      <c r="AA113" s="181">
        <v>44588</v>
      </c>
      <c r="AB113" t="s">
        <v>58</v>
      </c>
      <c r="AD113" s="17">
        <f t="shared" si="11"/>
        <v>180</v>
      </c>
      <c r="AE113" t="s">
        <v>593</v>
      </c>
      <c r="AF113" t="s">
        <v>619</v>
      </c>
    </row>
    <row r="114" spans="1:32" x14ac:dyDescent="0.25">
      <c r="A114"/>
      <c r="B114" s="50"/>
      <c r="L114" s="48"/>
      <c r="M114" s="17"/>
      <c r="W114" s="10">
        <v>35</v>
      </c>
      <c r="X114" s="184">
        <f>X113+7</f>
        <v>44590</v>
      </c>
      <c r="Y114" s="17">
        <v>200</v>
      </c>
      <c r="Z114" s="17">
        <v>200</v>
      </c>
      <c r="AA114" s="181">
        <v>44596</v>
      </c>
      <c r="AB114" t="s">
        <v>58</v>
      </c>
      <c r="AD114" s="17">
        <f t="shared" si="11"/>
        <v>180</v>
      </c>
      <c r="AE114" t="s">
        <v>593</v>
      </c>
      <c r="AF114" t="s">
        <v>619</v>
      </c>
    </row>
    <row r="115" spans="1:32" x14ac:dyDescent="0.25">
      <c r="A115"/>
      <c r="B115" s="50"/>
      <c r="L115" s="48"/>
      <c r="M115" s="17"/>
      <c r="W115" s="10" t="s">
        <v>562</v>
      </c>
      <c r="X115" s="184">
        <v>44588</v>
      </c>
      <c r="Y115" s="17">
        <v>-0.44</v>
      </c>
      <c r="Z115" s="17">
        <v>-0.44</v>
      </c>
      <c r="AA115" s="181">
        <v>44588</v>
      </c>
      <c r="AC115" t="s">
        <v>22</v>
      </c>
      <c r="AD115" s="17">
        <f t="shared" si="11"/>
        <v>180</v>
      </c>
      <c r="AE115" t="s">
        <v>593</v>
      </c>
      <c r="AF115" t="s">
        <v>619</v>
      </c>
    </row>
    <row r="116" spans="1:32" x14ac:dyDescent="0.25">
      <c r="A116"/>
      <c r="B116" s="50"/>
      <c r="L116" s="48"/>
      <c r="M116" s="17"/>
      <c r="W116" s="10" t="s">
        <v>562</v>
      </c>
      <c r="X116" s="184">
        <v>44582</v>
      </c>
      <c r="Y116" s="17">
        <v>-0.99</v>
      </c>
      <c r="Z116" s="17">
        <v>-0.99</v>
      </c>
      <c r="AA116" s="181">
        <v>44582</v>
      </c>
      <c r="AC116" t="s">
        <v>22</v>
      </c>
      <c r="AD116" s="17">
        <f t="shared" si="11"/>
        <v>180</v>
      </c>
      <c r="AE116" t="s">
        <v>593</v>
      </c>
      <c r="AF116" t="s">
        <v>619</v>
      </c>
    </row>
    <row r="117" spans="1:32" x14ac:dyDescent="0.25">
      <c r="A117"/>
      <c r="B117" s="50"/>
      <c r="L117" s="48"/>
      <c r="M117" s="17"/>
      <c r="W117" s="10" t="s">
        <v>562</v>
      </c>
      <c r="X117" s="184">
        <v>44597</v>
      </c>
      <c r="Y117" s="17">
        <v>-250</v>
      </c>
      <c r="Z117" s="17">
        <v>-250</v>
      </c>
      <c r="AA117" s="181">
        <v>44597</v>
      </c>
      <c r="AC117" t="s">
        <v>26</v>
      </c>
      <c r="AD117" s="17">
        <f t="shared" si="11"/>
        <v>180</v>
      </c>
      <c r="AE117" t="s">
        <v>593</v>
      </c>
      <c r="AF117" t="s">
        <v>619</v>
      </c>
    </row>
    <row r="118" spans="1:32" x14ac:dyDescent="0.25">
      <c r="A118"/>
      <c r="B118" s="50"/>
      <c r="L118" s="48"/>
      <c r="M118" s="17"/>
      <c r="W118" s="10" t="s">
        <v>562</v>
      </c>
      <c r="X118" s="184">
        <v>44594</v>
      </c>
      <c r="Y118" s="17">
        <v>-2.75</v>
      </c>
      <c r="Z118" s="17">
        <v>-2.75</v>
      </c>
      <c r="AA118" s="181">
        <v>44594</v>
      </c>
      <c r="AC118" t="s">
        <v>22</v>
      </c>
      <c r="AD118" s="17">
        <f t="shared" si="11"/>
        <v>180</v>
      </c>
      <c r="AE118" t="s">
        <v>593</v>
      </c>
      <c r="AF118" t="s">
        <v>619</v>
      </c>
    </row>
    <row r="119" spans="1:32" x14ac:dyDescent="0.25">
      <c r="A119"/>
      <c r="B119" s="50"/>
      <c r="L119" s="48"/>
      <c r="M119" s="17"/>
      <c r="W119" s="10" t="s">
        <v>562</v>
      </c>
      <c r="X119" s="184">
        <v>44620</v>
      </c>
      <c r="Y119" s="17">
        <v>-0.99</v>
      </c>
      <c r="Z119" s="17">
        <v>-0.99</v>
      </c>
      <c r="AA119" s="181">
        <v>44620</v>
      </c>
      <c r="AC119" t="s">
        <v>22</v>
      </c>
      <c r="AD119" s="17">
        <f t="shared" si="11"/>
        <v>180</v>
      </c>
      <c r="AE119" t="s">
        <v>593</v>
      </c>
      <c r="AF119" t="s">
        <v>619</v>
      </c>
    </row>
    <row r="120" spans="1:32" x14ac:dyDescent="0.25">
      <c r="A120"/>
      <c r="B120" s="50"/>
      <c r="L120" s="48"/>
      <c r="M120" s="17"/>
      <c r="W120" s="10" t="s">
        <v>562</v>
      </c>
      <c r="X120" s="184">
        <v>44596</v>
      </c>
      <c r="Y120" s="17">
        <v>-0.44</v>
      </c>
      <c r="Z120" s="17">
        <v>-0.44</v>
      </c>
      <c r="AA120" s="181">
        <v>44596</v>
      </c>
      <c r="AC120" t="s">
        <v>22</v>
      </c>
      <c r="AD120" s="17">
        <f t="shared" si="11"/>
        <v>180</v>
      </c>
      <c r="AE120" t="s">
        <v>593</v>
      </c>
      <c r="AF120" t="s">
        <v>619</v>
      </c>
    </row>
    <row r="121" spans="1:32" x14ac:dyDescent="0.25">
      <c r="B121" s="50"/>
      <c r="L121" s="48"/>
      <c r="M121" s="17"/>
      <c r="W121" s="10" t="s">
        <v>562</v>
      </c>
      <c r="X121" s="184">
        <v>44593</v>
      </c>
      <c r="Y121" s="17">
        <v>-700</v>
      </c>
      <c r="Z121" s="17">
        <v>-700</v>
      </c>
      <c r="AA121" s="181">
        <v>44593</v>
      </c>
      <c r="AC121" t="s">
        <v>502</v>
      </c>
      <c r="AD121" s="17">
        <f t="shared" si="11"/>
        <v>180</v>
      </c>
      <c r="AE121" t="s">
        <v>593</v>
      </c>
      <c r="AF121" t="s">
        <v>619</v>
      </c>
    </row>
    <row r="122" spans="1:32" x14ac:dyDescent="0.25">
      <c r="B122" s="50"/>
      <c r="L122" s="48"/>
      <c r="M122" s="17"/>
      <c r="W122" s="10">
        <v>36</v>
      </c>
      <c r="X122" s="184">
        <f>X114+7</f>
        <v>44597</v>
      </c>
      <c r="Y122" s="17">
        <v>200</v>
      </c>
      <c r="Z122" s="17"/>
      <c r="AD122" s="17">
        <f t="shared" si="11"/>
        <v>380</v>
      </c>
      <c r="AE122" t="s">
        <v>593</v>
      </c>
      <c r="AF122" t="s">
        <v>619</v>
      </c>
    </row>
    <row r="123" spans="1:32" x14ac:dyDescent="0.25">
      <c r="B123" s="50"/>
      <c r="L123" s="48"/>
      <c r="M123" s="17"/>
      <c r="W123" s="10">
        <v>37</v>
      </c>
      <c r="X123" s="184">
        <f>X122+7</f>
        <v>44604</v>
      </c>
      <c r="Y123" s="17">
        <v>200</v>
      </c>
      <c r="Z123" s="17">
        <v>200</v>
      </c>
      <c r="AA123" s="181">
        <v>44603</v>
      </c>
      <c r="AB123" t="s">
        <v>58</v>
      </c>
      <c r="AD123" s="17">
        <f t="shared" si="11"/>
        <v>380</v>
      </c>
      <c r="AE123" t="s">
        <v>593</v>
      </c>
      <c r="AF123" t="s">
        <v>619</v>
      </c>
    </row>
    <row r="124" spans="1:32" x14ac:dyDescent="0.25">
      <c r="B124" s="50"/>
      <c r="L124" s="48"/>
      <c r="M124" s="17"/>
      <c r="W124" s="10" t="s">
        <v>562</v>
      </c>
      <c r="X124" s="184">
        <v>44603</v>
      </c>
      <c r="Y124" s="17">
        <v>-0.44</v>
      </c>
      <c r="Z124" s="17">
        <v>-0.44</v>
      </c>
      <c r="AA124" s="181">
        <v>44603</v>
      </c>
      <c r="AC124" t="s">
        <v>22</v>
      </c>
      <c r="AD124" s="17">
        <f t="shared" si="11"/>
        <v>380</v>
      </c>
      <c r="AE124" t="s">
        <v>593</v>
      </c>
      <c r="AF124" t="s">
        <v>619</v>
      </c>
    </row>
    <row r="125" spans="1:32" x14ac:dyDescent="0.25">
      <c r="B125" s="50"/>
      <c r="L125" s="48"/>
      <c r="M125" s="17"/>
      <c r="W125" s="10" t="s">
        <v>562</v>
      </c>
      <c r="X125" s="184">
        <v>44616</v>
      </c>
      <c r="Y125" s="17">
        <v>-201.31</v>
      </c>
      <c r="Z125" s="17">
        <v>-201.31</v>
      </c>
      <c r="AA125" s="181">
        <v>44616</v>
      </c>
      <c r="AC125" t="s">
        <v>20</v>
      </c>
      <c r="AD125" s="17">
        <f t="shared" si="11"/>
        <v>380</v>
      </c>
      <c r="AE125" t="s">
        <v>593</v>
      </c>
      <c r="AF125" t="s">
        <v>619</v>
      </c>
    </row>
    <row r="126" spans="1:32" x14ac:dyDescent="0.25">
      <c r="B126" s="50"/>
      <c r="L126" s="48"/>
      <c r="M126" s="17"/>
      <c r="W126" s="10">
        <v>38</v>
      </c>
      <c r="X126" s="184">
        <f>X123+7</f>
        <v>44611</v>
      </c>
      <c r="Y126" s="17">
        <v>200</v>
      </c>
      <c r="Z126" s="17">
        <v>200</v>
      </c>
      <c r="AA126" s="181">
        <v>44610</v>
      </c>
      <c r="AB126" t="s">
        <v>58</v>
      </c>
      <c r="AD126" s="17">
        <f t="shared" si="11"/>
        <v>380</v>
      </c>
      <c r="AE126" t="s">
        <v>593</v>
      </c>
      <c r="AF126" t="s">
        <v>619</v>
      </c>
    </row>
    <row r="127" spans="1:32" x14ac:dyDescent="0.25">
      <c r="B127" s="50"/>
      <c r="L127" s="48"/>
      <c r="M127" s="17"/>
      <c r="W127" s="10" t="s">
        <v>562</v>
      </c>
      <c r="X127" s="184">
        <v>44610</v>
      </c>
      <c r="Y127" s="17">
        <v>-0.44</v>
      </c>
      <c r="Z127" s="17">
        <v>-0.44</v>
      </c>
      <c r="AA127" s="181">
        <v>44610</v>
      </c>
      <c r="AC127" t="s">
        <v>22</v>
      </c>
      <c r="AD127" s="17">
        <f t="shared" si="11"/>
        <v>380</v>
      </c>
      <c r="AE127" t="s">
        <v>593</v>
      </c>
      <c r="AF127" t="s">
        <v>619</v>
      </c>
    </row>
    <row r="128" spans="1:32" x14ac:dyDescent="0.25">
      <c r="B128" s="50"/>
      <c r="L128" s="48"/>
      <c r="M128" s="17"/>
      <c r="W128" s="10">
        <v>39</v>
      </c>
      <c r="X128" s="184">
        <f>X126+7</f>
        <v>44618</v>
      </c>
      <c r="Y128" s="17">
        <v>200</v>
      </c>
      <c r="Z128" s="17">
        <v>200</v>
      </c>
      <c r="AA128" s="181">
        <v>44617</v>
      </c>
      <c r="AB128" t="s">
        <v>58</v>
      </c>
      <c r="AD128" s="17">
        <f t="shared" si="11"/>
        <v>380</v>
      </c>
      <c r="AE128" t="s">
        <v>593</v>
      </c>
      <c r="AF128" t="s">
        <v>619</v>
      </c>
    </row>
    <row r="129" spans="1:32" x14ac:dyDescent="0.25">
      <c r="B129" s="50"/>
      <c r="L129" s="48"/>
      <c r="M129" s="17"/>
      <c r="W129" s="10" t="s">
        <v>562</v>
      </c>
      <c r="X129" s="184">
        <v>44617</v>
      </c>
      <c r="Y129" s="17">
        <v>-0.44</v>
      </c>
      <c r="Z129" s="17">
        <v>-0.44</v>
      </c>
      <c r="AA129" s="181">
        <v>44617</v>
      </c>
      <c r="AC129" t="s">
        <v>22</v>
      </c>
      <c r="AD129" s="17">
        <f t="shared" si="11"/>
        <v>380</v>
      </c>
      <c r="AE129" t="s">
        <v>593</v>
      </c>
      <c r="AF129" t="s">
        <v>619</v>
      </c>
    </row>
    <row r="130" spans="1:32" x14ac:dyDescent="0.25">
      <c r="B130" s="50"/>
      <c r="L130" s="48"/>
      <c r="M130" s="17"/>
      <c r="W130" s="10" t="s">
        <v>562</v>
      </c>
      <c r="X130" s="184">
        <v>44629</v>
      </c>
      <c r="Y130" s="17">
        <v>-2.75</v>
      </c>
      <c r="Z130" s="17">
        <v>-2.75</v>
      </c>
      <c r="AA130" s="181">
        <v>44629</v>
      </c>
      <c r="AC130" t="s">
        <v>22</v>
      </c>
      <c r="AD130" s="17">
        <f t="shared" si="11"/>
        <v>380</v>
      </c>
      <c r="AE130" t="s">
        <v>593</v>
      </c>
      <c r="AF130" t="s">
        <v>619</v>
      </c>
    </row>
    <row r="131" spans="1:32" x14ac:dyDescent="0.25">
      <c r="B131" s="50"/>
      <c r="L131" s="48"/>
      <c r="M131" s="17"/>
      <c r="W131" s="10" t="s">
        <v>562</v>
      </c>
      <c r="X131" s="184">
        <v>44624</v>
      </c>
      <c r="Y131" s="17">
        <v>-0.99</v>
      </c>
      <c r="Z131" s="17">
        <v>-0.99</v>
      </c>
      <c r="AA131" s="181">
        <v>44624</v>
      </c>
      <c r="AC131" t="s">
        <v>22</v>
      </c>
      <c r="AD131" s="17">
        <f t="shared" si="11"/>
        <v>380</v>
      </c>
      <c r="AE131" t="s">
        <v>593</v>
      </c>
      <c r="AF131" t="s">
        <v>619</v>
      </c>
    </row>
    <row r="132" spans="1:32" x14ac:dyDescent="0.25">
      <c r="B132" s="50"/>
      <c r="L132" s="48"/>
      <c r="M132" s="17"/>
      <c r="W132" s="10" t="s">
        <v>562</v>
      </c>
      <c r="X132" s="184">
        <v>44603</v>
      </c>
      <c r="Y132" s="17">
        <v>-143.47</v>
      </c>
      <c r="Z132" s="17">
        <v>-143.47</v>
      </c>
      <c r="AA132" s="181">
        <v>44603</v>
      </c>
      <c r="AC132" t="s">
        <v>16</v>
      </c>
      <c r="AD132" s="17">
        <f t="shared" si="11"/>
        <v>380</v>
      </c>
      <c r="AE132" t="s">
        <v>593</v>
      </c>
      <c r="AF132" t="s">
        <v>619</v>
      </c>
    </row>
    <row r="133" spans="1:32" x14ac:dyDescent="0.25">
      <c r="B133" s="50"/>
      <c r="L133" s="48"/>
      <c r="M133" s="17"/>
      <c r="W133" s="10" t="s">
        <v>562</v>
      </c>
      <c r="X133" s="184">
        <v>44631</v>
      </c>
      <c r="Y133" s="17">
        <v>-143.19</v>
      </c>
      <c r="Z133" s="17">
        <v>-143.19</v>
      </c>
      <c r="AA133" s="181">
        <v>44631</v>
      </c>
      <c r="AC133" t="s">
        <v>16</v>
      </c>
      <c r="AD133" s="17">
        <f t="shared" si="11"/>
        <v>380</v>
      </c>
      <c r="AE133" t="s">
        <v>593</v>
      </c>
      <c r="AF133" t="s">
        <v>619</v>
      </c>
    </row>
    <row r="134" spans="1:32" x14ac:dyDescent="0.25">
      <c r="B134" s="50"/>
      <c r="L134" s="48"/>
      <c r="M134" s="17"/>
      <c r="W134" s="10" t="s">
        <v>562</v>
      </c>
      <c r="X134" s="184">
        <v>44850</v>
      </c>
      <c r="Y134" s="17">
        <v>-201.31</v>
      </c>
      <c r="Z134" s="17">
        <v>-201.31</v>
      </c>
      <c r="AA134" s="181">
        <v>44850</v>
      </c>
      <c r="AC134" t="s">
        <v>20</v>
      </c>
      <c r="AD134" s="17">
        <f t="shared" si="11"/>
        <v>380</v>
      </c>
      <c r="AE134" t="s">
        <v>593</v>
      </c>
      <c r="AF134" t="s">
        <v>619</v>
      </c>
    </row>
    <row r="135" spans="1:32" x14ac:dyDescent="0.25">
      <c r="B135" s="50"/>
      <c r="L135" s="48"/>
      <c r="M135" s="17"/>
      <c r="W135" s="10" t="s">
        <v>562</v>
      </c>
      <c r="X135" s="184">
        <v>44636</v>
      </c>
      <c r="Y135" s="17">
        <v>-2.75</v>
      </c>
      <c r="Z135" s="17">
        <v>-2.75</v>
      </c>
      <c r="AA135" s="181">
        <v>44636</v>
      </c>
      <c r="AC135" t="s">
        <v>22</v>
      </c>
      <c r="AD135" s="17">
        <f t="shared" ref="AD135:AD166" si="12">IFERROR(IF(AB134="Closed account",(IF(AB135="Unpaid Rent",(Y135),(Y135-Z135))),(IF(AB135="Unpaid Rent",(Y135+AD134),(Y135-Z135+AD134)))),"")</f>
        <v>380</v>
      </c>
      <c r="AE135" t="s">
        <v>593</v>
      </c>
      <c r="AF135" t="s">
        <v>619</v>
      </c>
    </row>
    <row r="136" spans="1:32" x14ac:dyDescent="0.25">
      <c r="A136" s="10" t="s">
        <v>18</v>
      </c>
      <c r="B136" s="50" t="str">
        <f>IF($A136&lt;&gt;"",IF(_term=26,IF(A136=1,first_payment,B135+14),IF(_term=52,IF(A136=1,first_payment,B135+7),DATE(YEAR(first_payment),MONTH(first_payment)+(A136-1)*per_year,IF(_term=24,IF(1-MOD(A136,2)=1,DAY(first_payment)+14,DAY(first_payment)),DAY(first_payment))))),"")</f>
        <v/>
      </c>
      <c r="H136" t="str">
        <f>IF($A136&lt;&gt;"",$H135-$D136,"")</f>
        <v/>
      </c>
      <c r="L136" s="48"/>
      <c r="M136" s="17"/>
      <c r="W136" s="10" t="s">
        <v>562</v>
      </c>
      <c r="X136" s="184">
        <v>44631</v>
      </c>
      <c r="Y136" s="17">
        <v>-0.99</v>
      </c>
      <c r="Z136" s="17">
        <v>-0.99</v>
      </c>
      <c r="AA136" s="181">
        <v>44631</v>
      </c>
      <c r="AC136" t="s">
        <v>22</v>
      </c>
      <c r="AD136" s="17">
        <f t="shared" si="12"/>
        <v>380</v>
      </c>
      <c r="AE136" t="s">
        <v>593</v>
      </c>
      <c r="AF136" t="s">
        <v>619</v>
      </c>
    </row>
    <row r="137" spans="1:32" x14ac:dyDescent="0.25">
      <c r="A137" s="10" t="s">
        <v>18</v>
      </c>
      <c r="B137" s="50" t="str">
        <f>IF($A137&lt;&gt;"",IF(_term=26,IF(A137=1,first_payment,B136+14),IF(_term=52,IF(A137=1,first_payment,B136+7),DATE(YEAR(first_payment),MONTH(first_payment)+(A137-1)*per_year,IF(_term=24,IF(1-MOD(A137,2)=1,DAY(first_payment)+14,DAY(first_payment)),DAY(first_payment))))),"")</f>
        <v/>
      </c>
      <c r="H137" t="str">
        <f>IF($A137&lt;&gt;"",$H136-$D137,"")</f>
        <v/>
      </c>
      <c r="L137" s="48"/>
      <c r="M137" s="17"/>
      <c r="W137" s="10" t="s">
        <v>562</v>
      </c>
      <c r="X137" s="184">
        <v>44644</v>
      </c>
      <c r="Y137" s="17">
        <v>-1200</v>
      </c>
      <c r="Z137" s="17">
        <v>-1200</v>
      </c>
      <c r="AA137" s="181">
        <v>44644</v>
      </c>
      <c r="AC137" t="s">
        <v>502</v>
      </c>
      <c r="AD137" s="17">
        <f t="shared" si="12"/>
        <v>380</v>
      </c>
      <c r="AE137" t="s">
        <v>593</v>
      </c>
      <c r="AF137" t="s">
        <v>619</v>
      </c>
    </row>
    <row r="138" spans="1:32" x14ac:dyDescent="0.25">
      <c r="A138" s="10" t="s">
        <v>18</v>
      </c>
      <c r="B138" s="50" t="str">
        <f>IF($A138&lt;&gt;"",IF(_term=26,IF(A138=1,first_payment,B137+14),IF(_term=52,IF(A138=1,first_payment,B137+7),DATE(YEAR(first_payment),MONTH(first_payment)+(A138-1)*per_year,IF(_term=24,IF(1-MOD(A138,2)=1,DAY(first_payment)+14,DAY(first_payment)),DAY(first_payment))))),"")</f>
        <v/>
      </c>
      <c r="H138" t="str">
        <f>IF($A138&lt;&gt;"",$H137-$D138,"")</f>
        <v/>
      </c>
      <c r="L138" s="48"/>
      <c r="M138" s="17"/>
      <c r="W138" s="10">
        <v>40</v>
      </c>
      <c r="X138" s="184">
        <f>X128+7</f>
        <v>44625</v>
      </c>
      <c r="Y138" s="17">
        <v>200</v>
      </c>
      <c r="Z138" s="17"/>
      <c r="AD138" s="17">
        <f t="shared" si="12"/>
        <v>580</v>
      </c>
      <c r="AE138" t="s">
        <v>593</v>
      </c>
      <c r="AF138" t="s">
        <v>619</v>
      </c>
    </row>
    <row r="139" spans="1:32" x14ac:dyDescent="0.25">
      <c r="A139" s="10" t="s">
        <v>18</v>
      </c>
      <c r="B139" s="50" t="str">
        <f>IF($A139&lt;&gt;"",IF(_term=26,IF(A139=1,first_payment,B138+14),IF(_term=52,IF(A139=1,first_payment,B138+7),DATE(YEAR(first_payment),MONTH(first_payment)+(A139-1)*per_year,IF(_term=24,IF(1-MOD(A139,2)=1,DAY(first_payment)+14,DAY(first_payment)),DAY(first_payment))))),"")</f>
        <v/>
      </c>
      <c r="H139" t="str">
        <f>IF($A139&lt;&gt;"",$H138-$D139,"")</f>
        <v/>
      </c>
      <c r="L139" s="48"/>
      <c r="M139" s="17"/>
      <c r="W139" s="10">
        <v>41</v>
      </c>
      <c r="X139" s="184">
        <f>X138+7</f>
        <v>44632</v>
      </c>
      <c r="Y139" s="17">
        <v>200</v>
      </c>
      <c r="Z139" s="17"/>
      <c r="AD139" s="17">
        <f t="shared" si="12"/>
        <v>780</v>
      </c>
      <c r="AE139" t="s">
        <v>593</v>
      </c>
      <c r="AF139" t="s">
        <v>619</v>
      </c>
    </row>
    <row r="140" spans="1:32" ht="15" customHeight="1" x14ac:dyDescent="0.25">
      <c r="L140" s="48"/>
      <c r="M140" s="17"/>
      <c r="W140" s="10">
        <v>42</v>
      </c>
      <c r="X140" s="184">
        <f>X139+7</f>
        <v>44639</v>
      </c>
      <c r="Y140" s="17">
        <v>200</v>
      </c>
      <c r="Z140" s="17">
        <v>200</v>
      </c>
      <c r="AA140" s="181">
        <v>44650</v>
      </c>
      <c r="AB140" t="s">
        <v>58</v>
      </c>
      <c r="AD140" s="17">
        <f t="shared" si="12"/>
        <v>780</v>
      </c>
      <c r="AE140" t="s">
        <v>593</v>
      </c>
      <c r="AF140" t="s">
        <v>619</v>
      </c>
    </row>
    <row r="141" spans="1:32" ht="15" customHeight="1" x14ac:dyDescent="0.25">
      <c r="L141" s="48"/>
      <c r="M141" s="17"/>
      <c r="W141" s="10">
        <v>43</v>
      </c>
      <c r="X141" s="184">
        <f>X140+7</f>
        <v>44646</v>
      </c>
      <c r="Y141" s="17">
        <v>200</v>
      </c>
      <c r="Z141" s="17">
        <v>200</v>
      </c>
      <c r="AA141" s="181">
        <v>44643</v>
      </c>
      <c r="AB141" t="s">
        <v>58</v>
      </c>
      <c r="AD141" s="17">
        <f t="shared" si="12"/>
        <v>780</v>
      </c>
      <c r="AE141" t="s">
        <v>593</v>
      </c>
      <c r="AF141" t="s">
        <v>619</v>
      </c>
    </row>
    <row r="142" spans="1:32" ht="15" customHeight="1" x14ac:dyDescent="0.25">
      <c r="L142" s="48"/>
      <c r="M142" s="17"/>
      <c r="W142" s="10" t="s">
        <v>562</v>
      </c>
      <c r="X142" s="184">
        <v>44643</v>
      </c>
      <c r="Y142" s="17">
        <v>-0.44</v>
      </c>
      <c r="Z142" s="17">
        <v>-0.44</v>
      </c>
      <c r="AA142" s="181">
        <v>44643</v>
      </c>
      <c r="AC142" t="s">
        <v>22</v>
      </c>
      <c r="AD142" s="17">
        <f t="shared" si="12"/>
        <v>780</v>
      </c>
      <c r="AE142" t="s">
        <v>593</v>
      </c>
      <c r="AF142" t="s">
        <v>619</v>
      </c>
    </row>
    <row r="143" spans="1:32" ht="15" customHeight="1" x14ac:dyDescent="0.25">
      <c r="L143" s="48"/>
      <c r="M143" s="17"/>
      <c r="W143" s="10" t="s">
        <v>562</v>
      </c>
      <c r="X143" s="184">
        <v>44638</v>
      </c>
      <c r="Y143" s="17">
        <v>-0.99</v>
      </c>
      <c r="Z143" s="17">
        <v>-0.99</v>
      </c>
      <c r="AA143" s="181">
        <v>44638</v>
      </c>
      <c r="AC143" t="s">
        <v>22</v>
      </c>
      <c r="AD143" s="17">
        <f t="shared" si="12"/>
        <v>780</v>
      </c>
      <c r="AE143" t="s">
        <v>593</v>
      </c>
      <c r="AF143" t="s">
        <v>619</v>
      </c>
    </row>
    <row r="144" spans="1:32" ht="15" customHeight="1" x14ac:dyDescent="0.25">
      <c r="L144" s="48"/>
      <c r="M144" s="17"/>
      <c r="W144" s="10">
        <v>44</v>
      </c>
      <c r="X144" s="184">
        <f>X141+7</f>
        <v>44653</v>
      </c>
      <c r="Y144" s="17">
        <v>200</v>
      </c>
      <c r="Z144" s="17">
        <v>200</v>
      </c>
      <c r="AA144" s="181">
        <v>44652</v>
      </c>
      <c r="AD144" s="17">
        <f t="shared" si="12"/>
        <v>780</v>
      </c>
      <c r="AE144" t="s">
        <v>593</v>
      </c>
      <c r="AF144" t="s">
        <v>619</v>
      </c>
    </row>
    <row r="145" spans="12:32" ht="15" customHeight="1" x14ac:dyDescent="0.25">
      <c r="L145" s="48"/>
      <c r="M145" s="17"/>
      <c r="W145" s="10" t="s">
        <v>562</v>
      </c>
      <c r="X145" s="184">
        <v>44650</v>
      </c>
      <c r="Y145" s="17">
        <v>-0.44</v>
      </c>
      <c r="Z145" s="17">
        <v>-0.44</v>
      </c>
      <c r="AA145" s="181">
        <v>44650</v>
      </c>
      <c r="AC145" t="s">
        <v>22</v>
      </c>
      <c r="AD145" s="17">
        <f t="shared" si="12"/>
        <v>780</v>
      </c>
      <c r="AE145" t="s">
        <v>593</v>
      </c>
      <c r="AF145" t="s">
        <v>619</v>
      </c>
    </row>
    <row r="146" spans="12:32" ht="15" customHeight="1" x14ac:dyDescent="0.25">
      <c r="L146" s="48"/>
      <c r="M146" s="17"/>
      <c r="W146" s="10" t="s">
        <v>562</v>
      </c>
      <c r="X146" s="184">
        <v>44645</v>
      </c>
      <c r="Y146" s="17">
        <v>-0.99</v>
      </c>
      <c r="Z146" s="17">
        <v>-0.99</v>
      </c>
      <c r="AA146" s="181">
        <v>44645</v>
      </c>
      <c r="AC146" t="s">
        <v>22</v>
      </c>
      <c r="AD146" s="17">
        <f t="shared" si="12"/>
        <v>780</v>
      </c>
      <c r="AE146" t="s">
        <v>593</v>
      </c>
      <c r="AF146" t="s">
        <v>619</v>
      </c>
    </row>
    <row r="147" spans="12:32" ht="15" customHeight="1" x14ac:dyDescent="0.25">
      <c r="L147" s="48"/>
      <c r="M147" s="17"/>
      <c r="W147" s="10" t="s">
        <v>562</v>
      </c>
      <c r="X147" s="184">
        <v>44652</v>
      </c>
      <c r="Y147" s="17">
        <v>-0.44</v>
      </c>
      <c r="Z147" s="17">
        <v>-0.44</v>
      </c>
      <c r="AA147" s="181">
        <v>44652</v>
      </c>
      <c r="AC147" t="s">
        <v>22</v>
      </c>
      <c r="AD147" s="17">
        <f t="shared" si="12"/>
        <v>780</v>
      </c>
      <c r="AE147" t="s">
        <v>593</v>
      </c>
      <c r="AF147" t="s">
        <v>619</v>
      </c>
    </row>
    <row r="148" spans="12:32" ht="15" customHeight="1" x14ac:dyDescent="0.25">
      <c r="L148" s="48"/>
      <c r="M148" s="17"/>
      <c r="W148" s="10">
        <v>45</v>
      </c>
      <c r="X148" s="184">
        <f>X144+7</f>
        <v>44660</v>
      </c>
      <c r="Y148" s="17">
        <v>200</v>
      </c>
      <c r="Z148" s="17">
        <v>200</v>
      </c>
      <c r="AA148" s="181">
        <v>44659</v>
      </c>
      <c r="AB148" t="s">
        <v>58</v>
      </c>
      <c r="AD148" s="17">
        <f t="shared" si="12"/>
        <v>780</v>
      </c>
      <c r="AE148" t="s">
        <v>593</v>
      </c>
      <c r="AF148" t="s">
        <v>619</v>
      </c>
    </row>
    <row r="149" spans="12:32" ht="15" customHeight="1" x14ac:dyDescent="0.25">
      <c r="L149" s="48"/>
      <c r="M149" s="17"/>
      <c r="W149" s="10" t="s">
        <v>562</v>
      </c>
      <c r="X149" s="184">
        <v>44659</v>
      </c>
      <c r="Y149" s="17">
        <f>-0.44</f>
        <v>-0.44</v>
      </c>
      <c r="Z149" s="17">
        <v>-0.44</v>
      </c>
      <c r="AA149" s="181">
        <v>44659</v>
      </c>
      <c r="AC149" t="s">
        <v>22</v>
      </c>
      <c r="AD149" s="17">
        <f t="shared" si="12"/>
        <v>780</v>
      </c>
      <c r="AE149" t="s">
        <v>593</v>
      </c>
      <c r="AF149" t="s">
        <v>619</v>
      </c>
    </row>
    <row r="150" spans="12:32" ht="15" customHeight="1" x14ac:dyDescent="0.25">
      <c r="L150" s="48"/>
      <c r="M150" s="17"/>
      <c r="W150" s="10" t="s">
        <v>562</v>
      </c>
      <c r="X150" s="184">
        <v>44673</v>
      </c>
      <c r="Y150" s="17">
        <v>-201.31</v>
      </c>
      <c r="Z150" s="17">
        <v>-201.31</v>
      </c>
      <c r="AA150" s="181">
        <v>44673</v>
      </c>
      <c r="AC150" t="s">
        <v>20</v>
      </c>
      <c r="AD150" s="17">
        <f t="shared" si="12"/>
        <v>780</v>
      </c>
      <c r="AE150" t="s">
        <v>593</v>
      </c>
      <c r="AF150" t="s">
        <v>619</v>
      </c>
    </row>
    <row r="151" spans="12:32" ht="15" customHeight="1" x14ac:dyDescent="0.25">
      <c r="L151" s="48"/>
      <c r="M151" s="17"/>
      <c r="W151" s="10" t="s">
        <v>562</v>
      </c>
      <c r="X151" s="184">
        <v>44670</v>
      </c>
      <c r="Y151" s="17">
        <v>-0.99</v>
      </c>
      <c r="Z151" s="17">
        <v>-0.99</v>
      </c>
      <c r="AA151" s="181">
        <v>44670</v>
      </c>
      <c r="AC151" t="s">
        <v>22</v>
      </c>
      <c r="AD151" s="17">
        <f t="shared" si="12"/>
        <v>780</v>
      </c>
      <c r="AE151" t="s">
        <v>593</v>
      </c>
      <c r="AF151" t="s">
        <v>619</v>
      </c>
    </row>
    <row r="152" spans="12:32" ht="15" customHeight="1" x14ac:dyDescent="0.25">
      <c r="L152" s="48"/>
      <c r="M152" s="17"/>
      <c r="W152" s="10">
        <v>46</v>
      </c>
      <c r="X152" s="184">
        <f>X148+7</f>
        <v>44667</v>
      </c>
      <c r="Y152" s="17">
        <v>200</v>
      </c>
      <c r="Z152" s="17">
        <v>200</v>
      </c>
      <c r="AA152" s="181">
        <v>44673</v>
      </c>
      <c r="AB152" t="s">
        <v>58</v>
      </c>
      <c r="AD152" s="17">
        <f t="shared" si="12"/>
        <v>780</v>
      </c>
      <c r="AE152" t="s">
        <v>593</v>
      </c>
      <c r="AF152" t="s">
        <v>619</v>
      </c>
    </row>
    <row r="153" spans="12:32" ht="15" customHeight="1" x14ac:dyDescent="0.25">
      <c r="L153" s="48"/>
      <c r="M153" s="17"/>
      <c r="W153" s="10" t="s">
        <v>562</v>
      </c>
      <c r="X153" s="184">
        <v>44679</v>
      </c>
      <c r="Y153" s="17">
        <v>-0.44</v>
      </c>
      <c r="Z153" s="17">
        <v>-0.44</v>
      </c>
      <c r="AC153" t="s">
        <v>22</v>
      </c>
      <c r="AD153" s="17">
        <f t="shared" si="12"/>
        <v>780</v>
      </c>
      <c r="AE153" t="s">
        <v>593</v>
      </c>
      <c r="AF153" t="s">
        <v>619</v>
      </c>
    </row>
    <row r="154" spans="12:32" ht="15" customHeight="1" x14ac:dyDescent="0.25">
      <c r="L154" s="48"/>
      <c r="M154" s="17"/>
      <c r="W154" s="10">
        <v>47</v>
      </c>
      <c r="X154" s="184">
        <f>X152+7</f>
        <v>44674</v>
      </c>
      <c r="Y154" s="17">
        <v>200</v>
      </c>
      <c r="Z154" s="17">
        <v>200</v>
      </c>
      <c r="AA154" s="181">
        <v>44679</v>
      </c>
      <c r="AB154" t="s">
        <v>58</v>
      </c>
      <c r="AD154" s="17">
        <f t="shared" si="12"/>
        <v>780</v>
      </c>
      <c r="AE154" t="s">
        <v>593</v>
      </c>
      <c r="AF154" t="s">
        <v>619</v>
      </c>
    </row>
    <row r="155" spans="12:32" ht="15" customHeight="1" x14ac:dyDescent="0.25">
      <c r="L155" s="48"/>
      <c r="M155" s="17"/>
      <c r="W155" s="10">
        <v>48</v>
      </c>
      <c r="X155" s="184">
        <f>X154+7</f>
        <v>44681</v>
      </c>
      <c r="Y155" s="17">
        <v>200</v>
      </c>
      <c r="Z155" s="17"/>
      <c r="AD155" s="17">
        <f t="shared" si="12"/>
        <v>980</v>
      </c>
      <c r="AE155" t="s">
        <v>593</v>
      </c>
      <c r="AF155" t="s">
        <v>619</v>
      </c>
    </row>
    <row r="156" spans="12:32" ht="15" customHeight="1" x14ac:dyDescent="0.25">
      <c r="L156" s="48"/>
      <c r="M156" s="17"/>
      <c r="W156" s="10">
        <v>49</v>
      </c>
      <c r="X156" s="184">
        <f>X155+7</f>
        <v>44688</v>
      </c>
      <c r="Y156" s="17">
        <v>200</v>
      </c>
      <c r="Z156" s="17"/>
      <c r="AD156" s="17">
        <f t="shared" si="12"/>
        <v>1180</v>
      </c>
      <c r="AE156" t="s">
        <v>593</v>
      </c>
      <c r="AF156" t="s">
        <v>619</v>
      </c>
    </row>
    <row r="157" spans="12:32" ht="15" customHeight="1" x14ac:dyDescent="0.25">
      <c r="L157" s="48"/>
      <c r="M157" s="17"/>
      <c r="W157" s="10">
        <v>50</v>
      </c>
      <c r="X157" s="184">
        <f>X156+7</f>
        <v>44695</v>
      </c>
      <c r="Y157" s="17">
        <v>200</v>
      </c>
      <c r="Z157" s="17">
        <v>200</v>
      </c>
      <c r="AA157" s="181">
        <v>44694</v>
      </c>
      <c r="AB157" t="s">
        <v>58</v>
      </c>
      <c r="AD157" s="17">
        <f t="shared" si="12"/>
        <v>1180</v>
      </c>
      <c r="AE157" t="s">
        <v>593</v>
      </c>
      <c r="AF157" t="s">
        <v>619</v>
      </c>
    </row>
    <row r="158" spans="12:32" ht="15" customHeight="1" x14ac:dyDescent="0.25">
      <c r="L158" s="48"/>
      <c r="M158" s="17"/>
      <c r="W158" s="10" t="s">
        <v>562</v>
      </c>
      <c r="X158" s="184">
        <v>44673</v>
      </c>
      <c r="Y158" s="17">
        <v>-0.44</v>
      </c>
      <c r="Z158" s="17">
        <v>-0.44</v>
      </c>
      <c r="AA158" s="181">
        <v>44673</v>
      </c>
      <c r="AC158" t="s">
        <v>22</v>
      </c>
      <c r="AD158" s="17">
        <f t="shared" si="12"/>
        <v>1180</v>
      </c>
      <c r="AE158" t="s">
        <v>593</v>
      </c>
      <c r="AF158" t="s">
        <v>619</v>
      </c>
    </row>
    <row r="159" spans="12:32" ht="15" customHeight="1" x14ac:dyDescent="0.25">
      <c r="L159" s="48"/>
      <c r="M159" s="17"/>
      <c r="W159" s="10" t="s">
        <v>562</v>
      </c>
      <c r="X159" s="184">
        <v>44673</v>
      </c>
      <c r="Y159" s="17">
        <v>-0.99</v>
      </c>
      <c r="Z159" s="17">
        <v>-0.99</v>
      </c>
      <c r="AA159" s="181">
        <v>44673</v>
      </c>
      <c r="AC159" t="s">
        <v>22</v>
      </c>
      <c r="AD159" s="17">
        <f t="shared" si="12"/>
        <v>1180</v>
      </c>
      <c r="AE159" t="s">
        <v>593</v>
      </c>
      <c r="AF159" t="s">
        <v>619</v>
      </c>
    </row>
    <row r="160" spans="12:32" ht="15" customHeight="1" x14ac:dyDescent="0.25">
      <c r="L160" s="48"/>
      <c r="M160" s="17"/>
      <c r="W160" s="10" t="s">
        <v>562</v>
      </c>
      <c r="X160" s="184">
        <v>44685</v>
      </c>
      <c r="Y160" s="17">
        <v>-2.75</v>
      </c>
      <c r="Z160" s="17">
        <v>-2.75</v>
      </c>
      <c r="AA160" s="181">
        <v>44686</v>
      </c>
      <c r="AC160" t="s">
        <v>22</v>
      </c>
      <c r="AD160" s="17">
        <f t="shared" si="12"/>
        <v>1180</v>
      </c>
      <c r="AE160" t="s">
        <v>593</v>
      </c>
      <c r="AF160" t="s">
        <v>619</v>
      </c>
    </row>
    <row r="161" spans="12:32" ht="15" customHeight="1" x14ac:dyDescent="0.25">
      <c r="L161" s="48"/>
      <c r="M161" s="17"/>
      <c r="W161" s="10" t="s">
        <v>562</v>
      </c>
      <c r="X161" s="184">
        <v>44680</v>
      </c>
      <c r="Y161" s="17">
        <v>-0.99</v>
      </c>
      <c r="Z161" s="17">
        <v>-0.99</v>
      </c>
      <c r="AA161" s="181">
        <v>44680</v>
      </c>
      <c r="AC161" t="s">
        <v>22</v>
      </c>
      <c r="AD161" s="17">
        <f t="shared" si="12"/>
        <v>1180</v>
      </c>
      <c r="AE161" t="s">
        <v>593</v>
      </c>
      <c r="AF161" t="s">
        <v>619</v>
      </c>
    </row>
    <row r="162" spans="12:32" ht="15" customHeight="1" x14ac:dyDescent="0.25">
      <c r="L162" s="48"/>
      <c r="M162" s="17"/>
      <c r="W162" s="10">
        <v>51</v>
      </c>
      <c r="X162" s="184">
        <f>X157+7</f>
        <v>44702</v>
      </c>
      <c r="Y162" s="17">
        <v>200</v>
      </c>
      <c r="Z162" s="17">
        <v>200</v>
      </c>
      <c r="AA162" s="181">
        <v>44701</v>
      </c>
      <c r="AB162" t="s">
        <v>58</v>
      </c>
      <c r="AD162" s="17">
        <f t="shared" si="12"/>
        <v>1180</v>
      </c>
      <c r="AE162" t="s">
        <v>593</v>
      </c>
      <c r="AF162" t="s">
        <v>619</v>
      </c>
    </row>
    <row r="163" spans="12:32" ht="15" customHeight="1" x14ac:dyDescent="0.25">
      <c r="L163" s="48"/>
      <c r="M163" s="17"/>
      <c r="W163" s="10">
        <v>52</v>
      </c>
      <c r="X163" s="184">
        <f>X162+7</f>
        <v>44709</v>
      </c>
      <c r="Y163" s="17">
        <v>200</v>
      </c>
      <c r="Z163" s="17"/>
      <c r="AD163" s="17">
        <f t="shared" si="12"/>
        <v>1380</v>
      </c>
      <c r="AE163" t="s">
        <v>593</v>
      </c>
      <c r="AF163" t="s">
        <v>619</v>
      </c>
    </row>
    <row r="164" spans="12:32" ht="15" customHeight="1" x14ac:dyDescent="0.25">
      <c r="L164" s="48"/>
      <c r="M164" s="17"/>
      <c r="W164" s="10" t="s">
        <v>562</v>
      </c>
      <c r="X164" s="184">
        <v>44663</v>
      </c>
      <c r="Y164" s="17">
        <v>-143.19</v>
      </c>
      <c r="Z164" s="17">
        <v>-143.19</v>
      </c>
      <c r="AA164" s="181">
        <v>44663</v>
      </c>
      <c r="AC164" t="s">
        <v>16</v>
      </c>
      <c r="AD164" s="17">
        <f t="shared" si="12"/>
        <v>1380</v>
      </c>
      <c r="AE164" t="s">
        <v>593</v>
      </c>
      <c r="AF164" t="s">
        <v>619</v>
      </c>
    </row>
    <row r="165" spans="12:32" ht="15" customHeight="1" x14ac:dyDescent="0.25">
      <c r="L165" s="48"/>
      <c r="M165" s="17"/>
      <c r="W165" s="10" t="s">
        <v>562</v>
      </c>
      <c r="X165" s="184">
        <v>44692</v>
      </c>
      <c r="Y165" s="17">
        <v>-143.19</v>
      </c>
      <c r="Z165" s="17">
        <v>-143.19</v>
      </c>
      <c r="AA165" s="181">
        <v>44692</v>
      </c>
      <c r="AC165" t="s">
        <v>16</v>
      </c>
      <c r="AD165" s="17">
        <f t="shared" si="12"/>
        <v>1380</v>
      </c>
      <c r="AE165" t="s">
        <v>593</v>
      </c>
      <c r="AF165" t="s">
        <v>619</v>
      </c>
    </row>
    <row r="166" spans="12:32" ht="15" customHeight="1" x14ac:dyDescent="0.25">
      <c r="L166" s="48"/>
      <c r="M166" s="17"/>
      <c r="W166" s="10" t="s">
        <v>562</v>
      </c>
      <c r="X166" s="184">
        <v>44694</v>
      </c>
      <c r="Y166" s="17">
        <v>-0.44</v>
      </c>
      <c r="Z166" s="17">
        <v>-0.44</v>
      </c>
      <c r="AA166" s="181">
        <v>44694</v>
      </c>
      <c r="AC166" t="s">
        <v>22</v>
      </c>
      <c r="AD166" s="17">
        <f t="shared" si="12"/>
        <v>1380</v>
      </c>
      <c r="AE166" t="s">
        <v>593</v>
      </c>
      <c r="AF166" t="s">
        <v>619</v>
      </c>
    </row>
    <row r="167" spans="12:32" ht="15" customHeight="1" x14ac:dyDescent="0.25">
      <c r="L167" s="48"/>
      <c r="M167" s="17"/>
      <c r="W167" s="10" t="s">
        <v>562</v>
      </c>
      <c r="X167" s="184">
        <v>44714</v>
      </c>
      <c r="Y167" s="17">
        <v>-870</v>
      </c>
      <c r="Z167" s="17">
        <v>-870</v>
      </c>
      <c r="AA167" s="181">
        <v>44744</v>
      </c>
      <c r="AC167" t="s">
        <v>502</v>
      </c>
      <c r="AD167" s="17">
        <f t="shared" ref="AD167:AD198" si="13">IFERROR(IF(AB166="Closed account",(IF(AB167="Unpaid Rent",(Y167),(Y167-Z167))),(IF(AB167="Unpaid Rent",(Y167+AD166),(Y167-Z167+AD166)))),"")</f>
        <v>1380</v>
      </c>
      <c r="AE167" t="s">
        <v>593</v>
      </c>
      <c r="AF167" t="s">
        <v>619</v>
      </c>
    </row>
    <row r="168" spans="12:32" ht="15" customHeight="1" x14ac:dyDescent="0.25">
      <c r="L168" s="48"/>
      <c r="M168" s="17"/>
      <c r="W168" s="10" t="s">
        <v>562</v>
      </c>
      <c r="X168" s="184">
        <v>44701</v>
      </c>
      <c r="Y168" s="17">
        <v>-0.44</v>
      </c>
      <c r="Z168" s="17">
        <v>-0.44</v>
      </c>
      <c r="AA168" s="181">
        <v>44701</v>
      </c>
      <c r="AC168" t="s">
        <v>22</v>
      </c>
      <c r="AD168" s="17">
        <f t="shared" si="13"/>
        <v>1380</v>
      </c>
      <c r="AE168" t="s">
        <v>593</v>
      </c>
      <c r="AF168" t="s">
        <v>619</v>
      </c>
    </row>
    <row r="169" spans="12:32" ht="15" customHeight="1" x14ac:dyDescent="0.25">
      <c r="L169" s="48"/>
      <c r="M169" s="17"/>
      <c r="W169" s="10" t="s">
        <v>562</v>
      </c>
      <c r="X169" s="184">
        <v>44692</v>
      </c>
      <c r="Y169" s="17">
        <v>-2.75</v>
      </c>
      <c r="Z169" s="17">
        <v>-2.75</v>
      </c>
      <c r="AA169" s="181">
        <v>44692</v>
      </c>
      <c r="AC169" t="s">
        <v>22</v>
      </c>
      <c r="AD169" s="17">
        <f t="shared" si="13"/>
        <v>1380</v>
      </c>
      <c r="AE169" t="s">
        <v>593</v>
      </c>
      <c r="AF169" t="s">
        <v>619</v>
      </c>
    </row>
    <row r="170" spans="12:32" ht="15" customHeight="1" x14ac:dyDescent="0.25">
      <c r="L170" s="48"/>
      <c r="M170" s="17"/>
      <c r="W170" s="10" t="s">
        <v>562</v>
      </c>
      <c r="X170" s="184">
        <v>44687</v>
      </c>
      <c r="Y170" s="17">
        <v>-0.99</v>
      </c>
      <c r="Z170" s="17">
        <v>-0.99</v>
      </c>
      <c r="AA170" s="181">
        <v>44687</v>
      </c>
      <c r="AC170" t="s">
        <v>22</v>
      </c>
      <c r="AD170" s="17">
        <f t="shared" si="13"/>
        <v>1380</v>
      </c>
      <c r="AE170" t="s">
        <v>593</v>
      </c>
      <c r="AF170" t="s">
        <v>619</v>
      </c>
    </row>
    <row r="171" spans="12:32" ht="15" customHeight="1" x14ac:dyDescent="0.25">
      <c r="L171" s="48"/>
      <c r="M171" s="17"/>
      <c r="W171" s="10" t="s">
        <v>562</v>
      </c>
      <c r="X171" s="184">
        <v>44720</v>
      </c>
      <c r="Y171" s="17">
        <v>-2.75</v>
      </c>
      <c r="Z171" s="17">
        <v>-2.75</v>
      </c>
      <c r="AA171" s="181">
        <v>44720</v>
      </c>
      <c r="AC171" t="s">
        <v>22</v>
      </c>
      <c r="AD171" s="17">
        <f t="shared" si="13"/>
        <v>1380</v>
      </c>
      <c r="AE171" t="s">
        <v>593</v>
      </c>
      <c r="AF171" t="s">
        <v>619</v>
      </c>
    </row>
    <row r="172" spans="12:32" ht="15" customHeight="1" x14ac:dyDescent="0.25">
      <c r="L172" s="48"/>
      <c r="M172" s="17"/>
      <c r="W172" s="10" t="s">
        <v>562</v>
      </c>
      <c r="X172" s="184">
        <v>44715</v>
      </c>
      <c r="Y172" s="17">
        <v>-0.99</v>
      </c>
      <c r="Z172" s="17">
        <v>-0.99</v>
      </c>
      <c r="AA172" s="181">
        <v>44715</v>
      </c>
      <c r="AC172" t="s">
        <v>22</v>
      </c>
      <c r="AD172" s="17">
        <f t="shared" si="13"/>
        <v>1380</v>
      </c>
      <c r="AE172" t="s">
        <v>593</v>
      </c>
      <c r="AF172" t="s">
        <v>619</v>
      </c>
    </row>
    <row r="173" spans="12:32" ht="15" customHeight="1" x14ac:dyDescent="0.25">
      <c r="L173" s="48"/>
      <c r="M173" s="17"/>
      <c r="W173" s="10" t="s">
        <v>562</v>
      </c>
      <c r="X173" s="184">
        <v>44713</v>
      </c>
      <c r="Y173" s="17">
        <v>-2.75</v>
      </c>
      <c r="Z173" s="17">
        <v>-2.75</v>
      </c>
      <c r="AA173" s="181">
        <v>44713</v>
      </c>
      <c r="AC173" t="s">
        <v>22</v>
      </c>
      <c r="AD173" s="17">
        <f t="shared" si="13"/>
        <v>1380</v>
      </c>
      <c r="AE173" t="s">
        <v>593</v>
      </c>
      <c r="AF173" t="s">
        <v>619</v>
      </c>
    </row>
    <row r="174" spans="12:32" ht="15" customHeight="1" x14ac:dyDescent="0.25">
      <c r="L174" s="48"/>
      <c r="M174" s="17"/>
      <c r="W174" s="10" t="s">
        <v>562</v>
      </c>
      <c r="X174" s="184">
        <v>44708</v>
      </c>
      <c r="Y174" s="17">
        <v>-0.99</v>
      </c>
      <c r="Z174" s="17">
        <v>-0.99</v>
      </c>
      <c r="AA174" s="181">
        <v>44708</v>
      </c>
      <c r="AC174" t="s">
        <v>22</v>
      </c>
      <c r="AD174" s="17">
        <f t="shared" si="13"/>
        <v>1380</v>
      </c>
      <c r="AE174" t="s">
        <v>593</v>
      </c>
      <c r="AF174" t="s">
        <v>619</v>
      </c>
    </row>
    <row r="175" spans="12:32" ht="15" customHeight="1" x14ac:dyDescent="0.25">
      <c r="L175" s="48"/>
      <c r="M175" s="17"/>
      <c r="W175" s="10" t="s">
        <v>562</v>
      </c>
      <c r="X175" s="184">
        <v>44727</v>
      </c>
      <c r="Y175" s="17">
        <v>-2.75</v>
      </c>
      <c r="Z175" s="17">
        <v>-2.75</v>
      </c>
      <c r="AA175" s="181">
        <v>44727</v>
      </c>
      <c r="AC175" t="s">
        <v>22</v>
      </c>
      <c r="AD175" s="17">
        <f t="shared" si="13"/>
        <v>1380</v>
      </c>
      <c r="AE175" t="s">
        <v>593</v>
      </c>
      <c r="AF175" t="s">
        <v>619</v>
      </c>
    </row>
    <row r="176" spans="12:32" ht="15" customHeight="1" x14ac:dyDescent="0.25">
      <c r="L176" s="48"/>
      <c r="M176" s="17"/>
      <c r="W176" s="10" t="s">
        <v>562</v>
      </c>
      <c r="X176" s="184">
        <v>44722</v>
      </c>
      <c r="Y176" s="17">
        <v>-0.99</v>
      </c>
      <c r="Z176" s="17">
        <v>-0.99</v>
      </c>
      <c r="AA176" s="181">
        <v>44722</v>
      </c>
      <c r="AC176" t="s">
        <v>22</v>
      </c>
      <c r="AD176" s="17">
        <f t="shared" si="13"/>
        <v>1380</v>
      </c>
      <c r="AE176" t="s">
        <v>593</v>
      </c>
      <c r="AF176" t="s">
        <v>619</v>
      </c>
    </row>
    <row r="177" spans="12:32" ht="15" customHeight="1" x14ac:dyDescent="0.25">
      <c r="L177" s="48"/>
      <c r="M177" s="17"/>
      <c r="W177" s="10">
        <v>53</v>
      </c>
      <c r="X177" s="184">
        <f>X163+7</f>
        <v>44716</v>
      </c>
      <c r="Y177" s="17">
        <v>200</v>
      </c>
      <c r="Z177" s="17"/>
      <c r="AD177" s="17">
        <f t="shared" si="13"/>
        <v>1580</v>
      </c>
      <c r="AE177" t="s">
        <v>593</v>
      </c>
      <c r="AF177" t="s">
        <v>619</v>
      </c>
    </row>
    <row r="178" spans="12:32" ht="15" customHeight="1" x14ac:dyDescent="0.25">
      <c r="L178" s="48"/>
      <c r="M178" s="17"/>
      <c r="W178" s="10">
        <v>54</v>
      </c>
      <c r="X178" s="184">
        <f>X177+7</f>
        <v>44723</v>
      </c>
      <c r="Y178" s="17">
        <v>200</v>
      </c>
      <c r="Z178" s="17"/>
      <c r="AD178" s="17">
        <f t="shared" si="13"/>
        <v>1780</v>
      </c>
      <c r="AE178" t="s">
        <v>593</v>
      </c>
      <c r="AF178" t="s">
        <v>619</v>
      </c>
    </row>
    <row r="179" spans="12:32" ht="15" customHeight="1" x14ac:dyDescent="0.25">
      <c r="L179" s="48"/>
      <c r="M179" s="17"/>
      <c r="W179" s="10">
        <v>55</v>
      </c>
      <c r="X179" s="184">
        <f>X178+7</f>
        <v>44730</v>
      </c>
      <c r="Y179" s="17">
        <v>200</v>
      </c>
      <c r="Z179" s="17"/>
      <c r="AD179" s="17">
        <f t="shared" si="13"/>
        <v>1980</v>
      </c>
      <c r="AE179" t="s">
        <v>593</v>
      </c>
      <c r="AF179" t="s">
        <v>619</v>
      </c>
    </row>
    <row r="180" spans="12:32" ht="15" customHeight="1" x14ac:dyDescent="0.25">
      <c r="L180" s="48"/>
      <c r="M180" s="17"/>
      <c r="W180" s="10">
        <v>56</v>
      </c>
      <c r="X180" s="184">
        <f>X179+7</f>
        <v>44737</v>
      </c>
      <c r="Y180" s="17">
        <v>200</v>
      </c>
      <c r="Z180" s="17"/>
      <c r="AD180" s="17">
        <f t="shared" si="13"/>
        <v>2180</v>
      </c>
      <c r="AE180" t="s">
        <v>593</v>
      </c>
      <c r="AF180" t="s">
        <v>619</v>
      </c>
    </row>
    <row r="181" spans="12:32" ht="15" customHeight="1" x14ac:dyDescent="0.25">
      <c r="L181" s="48"/>
      <c r="M181" s="17"/>
      <c r="W181" s="10" t="s">
        <v>562</v>
      </c>
      <c r="X181" s="184">
        <v>44734</v>
      </c>
      <c r="Y181" s="17">
        <v>-2.75</v>
      </c>
      <c r="Z181" s="17">
        <v>-2.75</v>
      </c>
      <c r="AA181" s="181">
        <v>44734</v>
      </c>
      <c r="AC181" t="s">
        <v>22</v>
      </c>
      <c r="AD181" s="17">
        <f t="shared" si="13"/>
        <v>2180</v>
      </c>
      <c r="AE181" t="s">
        <v>593</v>
      </c>
      <c r="AF181" t="s">
        <v>619</v>
      </c>
    </row>
    <row r="182" spans="12:32" ht="15" customHeight="1" x14ac:dyDescent="0.25">
      <c r="L182" s="48"/>
      <c r="M182" s="17"/>
      <c r="W182" s="10" t="s">
        <v>562</v>
      </c>
      <c r="X182" s="184">
        <v>44729</v>
      </c>
      <c r="Y182" s="17">
        <v>-0.99</v>
      </c>
      <c r="Z182" s="17">
        <v>-0.99</v>
      </c>
      <c r="AA182" s="181">
        <v>44729</v>
      </c>
      <c r="AC182" t="s">
        <v>22</v>
      </c>
      <c r="AD182" s="17">
        <f t="shared" si="13"/>
        <v>2180</v>
      </c>
      <c r="AE182" t="s">
        <v>593</v>
      </c>
      <c r="AF182" t="s">
        <v>619</v>
      </c>
    </row>
    <row r="183" spans="12:32" ht="15" customHeight="1" x14ac:dyDescent="0.25">
      <c r="L183" s="48"/>
      <c r="M183" s="17"/>
      <c r="W183" s="10">
        <v>57</v>
      </c>
      <c r="X183" s="184">
        <f>X180+7</f>
        <v>44744</v>
      </c>
      <c r="Y183" s="17">
        <v>200</v>
      </c>
      <c r="Z183" s="17">
        <v>800</v>
      </c>
      <c r="AA183" s="181">
        <v>44747</v>
      </c>
      <c r="AC183" t="s">
        <v>22</v>
      </c>
      <c r="AD183" s="17">
        <f t="shared" si="13"/>
        <v>1580</v>
      </c>
      <c r="AE183" t="s">
        <v>593</v>
      </c>
      <c r="AF183" t="s">
        <v>619</v>
      </c>
    </row>
    <row r="184" spans="12:32" ht="15" customHeight="1" x14ac:dyDescent="0.25">
      <c r="L184" s="48"/>
      <c r="M184" s="17"/>
      <c r="W184" s="10" t="s">
        <v>562</v>
      </c>
      <c r="X184" s="184">
        <v>44741</v>
      </c>
      <c r="Y184" s="17">
        <v>-2.75</v>
      </c>
      <c r="Z184" s="17">
        <v>-2.75</v>
      </c>
      <c r="AA184" s="181">
        <v>44741</v>
      </c>
      <c r="AC184" t="s">
        <v>22</v>
      </c>
      <c r="AD184" s="17">
        <f t="shared" si="13"/>
        <v>1580</v>
      </c>
      <c r="AE184" t="s">
        <v>593</v>
      </c>
      <c r="AF184" t="s">
        <v>619</v>
      </c>
    </row>
    <row r="185" spans="12:32" ht="15" customHeight="1" x14ac:dyDescent="0.25">
      <c r="L185" s="48"/>
      <c r="M185" s="17"/>
      <c r="W185" s="10" t="s">
        <v>562</v>
      </c>
      <c r="X185" s="184">
        <v>44736</v>
      </c>
      <c r="Y185" s="17">
        <v>-0.99</v>
      </c>
      <c r="Z185" s="17">
        <v>-0.99</v>
      </c>
      <c r="AA185" s="181">
        <v>44736</v>
      </c>
      <c r="AC185" t="s">
        <v>22</v>
      </c>
      <c r="AD185" s="17">
        <f t="shared" si="13"/>
        <v>1580</v>
      </c>
      <c r="AE185" t="s">
        <v>593</v>
      </c>
      <c r="AF185" t="s">
        <v>619</v>
      </c>
    </row>
    <row r="186" spans="12:32" ht="15" customHeight="1" x14ac:dyDescent="0.25">
      <c r="L186" s="48"/>
      <c r="M186" s="17"/>
      <c r="W186" s="10" t="s">
        <v>562</v>
      </c>
      <c r="X186" s="184">
        <v>44748</v>
      </c>
      <c r="Y186" s="17">
        <v>-2.75</v>
      </c>
      <c r="Z186" s="17">
        <v>-2.75</v>
      </c>
      <c r="AA186" s="181">
        <v>44748</v>
      </c>
      <c r="AC186" t="s">
        <v>22</v>
      </c>
      <c r="AD186" s="17">
        <f t="shared" si="13"/>
        <v>1580</v>
      </c>
      <c r="AE186" t="s">
        <v>593</v>
      </c>
      <c r="AF186" t="s">
        <v>619</v>
      </c>
    </row>
    <row r="187" spans="12:32" ht="15" customHeight="1" x14ac:dyDescent="0.25">
      <c r="L187" s="48"/>
      <c r="M187" s="17"/>
      <c r="W187" s="10" t="s">
        <v>562</v>
      </c>
      <c r="X187" s="184">
        <v>44743</v>
      </c>
      <c r="Y187" s="17">
        <v>-0.99</v>
      </c>
      <c r="Z187" s="17">
        <v>-0.99</v>
      </c>
      <c r="AA187" s="181">
        <v>44743</v>
      </c>
      <c r="AC187" t="s">
        <v>22</v>
      </c>
      <c r="AD187" s="17">
        <f t="shared" si="13"/>
        <v>1580</v>
      </c>
      <c r="AE187" t="s">
        <v>593</v>
      </c>
      <c r="AF187" t="s">
        <v>619</v>
      </c>
    </row>
    <row r="188" spans="12:32" ht="15" customHeight="1" x14ac:dyDescent="0.25">
      <c r="L188" s="48"/>
      <c r="M188" s="17"/>
      <c r="W188" s="10" t="s">
        <v>562</v>
      </c>
      <c r="X188" s="184">
        <v>44750</v>
      </c>
      <c r="Y188" s="17">
        <v>-0.99</v>
      </c>
      <c r="Z188" s="17">
        <v>-0.99</v>
      </c>
      <c r="AA188" s="181">
        <v>44750</v>
      </c>
      <c r="AC188" t="s">
        <v>22</v>
      </c>
      <c r="AD188" s="17">
        <f t="shared" si="13"/>
        <v>1580</v>
      </c>
      <c r="AE188" t="s">
        <v>593</v>
      </c>
      <c r="AF188" t="s">
        <v>619</v>
      </c>
    </row>
    <row r="189" spans="12:32" ht="15" customHeight="1" x14ac:dyDescent="0.25">
      <c r="L189" s="48"/>
      <c r="M189" s="17"/>
      <c r="W189" s="10">
        <v>58</v>
      </c>
      <c r="X189" s="184">
        <f>X183+7</f>
        <v>44751</v>
      </c>
      <c r="Y189" s="17">
        <v>200</v>
      </c>
      <c r="Z189" s="17"/>
      <c r="AD189" s="17">
        <f t="shared" si="13"/>
        <v>1780</v>
      </c>
      <c r="AE189" t="s">
        <v>593</v>
      </c>
      <c r="AF189" t="s">
        <v>619</v>
      </c>
    </row>
    <row r="190" spans="12:32" ht="15" customHeight="1" x14ac:dyDescent="0.25">
      <c r="L190" s="48"/>
      <c r="M190" s="17"/>
      <c r="W190" s="10">
        <v>59</v>
      </c>
      <c r="X190" s="184">
        <f>X189+7</f>
        <v>44758</v>
      </c>
      <c r="Y190" s="17">
        <v>200</v>
      </c>
      <c r="Z190" s="17"/>
      <c r="AD190" s="17">
        <f t="shared" si="13"/>
        <v>1980</v>
      </c>
      <c r="AE190" t="s">
        <v>593</v>
      </c>
      <c r="AF190" t="s">
        <v>619</v>
      </c>
    </row>
    <row r="191" spans="12:32" ht="15" customHeight="1" x14ac:dyDescent="0.25">
      <c r="L191" s="48"/>
      <c r="M191" s="17"/>
      <c r="W191" s="10">
        <v>60</v>
      </c>
      <c r="X191" s="184">
        <f>X190+7</f>
        <v>44765</v>
      </c>
      <c r="Y191" s="17">
        <v>200</v>
      </c>
      <c r="Z191" s="17">
        <v>500</v>
      </c>
      <c r="AA191" s="181">
        <v>44769</v>
      </c>
      <c r="AB191" t="s">
        <v>117</v>
      </c>
      <c r="AD191" s="17">
        <f t="shared" si="13"/>
        <v>1680</v>
      </c>
      <c r="AE191" t="s">
        <v>593</v>
      </c>
      <c r="AF191" t="s">
        <v>619</v>
      </c>
    </row>
    <row r="192" spans="12:32" ht="15" customHeight="1" x14ac:dyDescent="0.25">
      <c r="L192" s="48"/>
      <c r="M192" s="17"/>
      <c r="W192" s="10">
        <v>61</v>
      </c>
      <c r="X192" s="184">
        <f>X191+7</f>
        <v>44772</v>
      </c>
      <c r="Y192" s="17">
        <v>200</v>
      </c>
      <c r="Z192" s="17"/>
      <c r="AD192" s="17">
        <f t="shared" si="13"/>
        <v>1880</v>
      </c>
      <c r="AE192" t="s">
        <v>593</v>
      </c>
      <c r="AF192" t="s">
        <v>619</v>
      </c>
    </row>
    <row r="193" spans="12:32" ht="15" customHeight="1" x14ac:dyDescent="0.25">
      <c r="L193" s="48"/>
      <c r="M193" s="17"/>
      <c r="W193" s="10" t="s">
        <v>562</v>
      </c>
      <c r="X193" s="184">
        <v>44722</v>
      </c>
      <c r="Y193" s="17">
        <v>-143.19</v>
      </c>
      <c r="Z193" s="17">
        <v>-143.19</v>
      </c>
      <c r="AA193" s="181">
        <v>44722</v>
      </c>
      <c r="AC193" t="s">
        <v>16</v>
      </c>
      <c r="AD193" s="17">
        <f t="shared" si="13"/>
        <v>1880</v>
      </c>
      <c r="AE193" t="s">
        <v>593</v>
      </c>
      <c r="AF193" t="s">
        <v>619</v>
      </c>
    </row>
    <row r="194" spans="12:32" ht="15" customHeight="1" x14ac:dyDescent="0.25">
      <c r="L194" s="48"/>
      <c r="M194" s="17"/>
      <c r="W194" s="10" t="s">
        <v>562</v>
      </c>
      <c r="X194" s="184">
        <v>44754</v>
      </c>
      <c r="Y194" s="17">
        <v>-143.19</v>
      </c>
      <c r="Z194" s="17">
        <v>-143.19</v>
      </c>
      <c r="AA194" s="181">
        <v>44754</v>
      </c>
      <c r="AC194" t="s">
        <v>16</v>
      </c>
      <c r="AD194" s="17">
        <f t="shared" si="13"/>
        <v>1880</v>
      </c>
      <c r="AE194" t="s">
        <v>593</v>
      </c>
      <c r="AF194" t="s">
        <v>619</v>
      </c>
    </row>
    <row r="195" spans="12:32" ht="15" customHeight="1" x14ac:dyDescent="0.25">
      <c r="L195" s="48"/>
      <c r="M195" s="17"/>
      <c r="W195" s="10" t="s">
        <v>562</v>
      </c>
      <c r="X195" s="184">
        <v>44770</v>
      </c>
      <c r="Y195" s="17">
        <v>-80</v>
      </c>
      <c r="Z195" s="17">
        <v>-80</v>
      </c>
      <c r="AA195" s="181">
        <v>44770</v>
      </c>
      <c r="AC195" t="s">
        <v>98</v>
      </c>
      <c r="AD195" s="17">
        <f t="shared" si="13"/>
        <v>1880</v>
      </c>
      <c r="AE195" t="s">
        <v>593</v>
      </c>
      <c r="AF195" t="s">
        <v>619</v>
      </c>
    </row>
    <row r="196" spans="12:32" ht="15" customHeight="1" x14ac:dyDescent="0.25">
      <c r="L196" s="48"/>
      <c r="M196" s="17"/>
      <c r="W196" s="10" t="s">
        <v>562</v>
      </c>
      <c r="X196" s="184">
        <v>44771</v>
      </c>
      <c r="Y196" s="17">
        <v>-205.68</v>
      </c>
      <c r="Z196" s="17">
        <v>-205.68</v>
      </c>
      <c r="AA196" s="181">
        <v>44771</v>
      </c>
      <c r="AC196" t="s">
        <v>20</v>
      </c>
      <c r="AD196" s="17">
        <f t="shared" si="13"/>
        <v>1880</v>
      </c>
      <c r="AE196" t="s">
        <v>593</v>
      </c>
      <c r="AF196" t="s">
        <v>619</v>
      </c>
    </row>
    <row r="197" spans="12:32" ht="15" customHeight="1" x14ac:dyDescent="0.25">
      <c r="L197" s="48"/>
      <c r="M197" s="17"/>
      <c r="W197" s="10" t="s">
        <v>562</v>
      </c>
      <c r="X197" s="184">
        <v>44771</v>
      </c>
      <c r="Y197" s="17">
        <v>-68.930000000000007</v>
      </c>
      <c r="Z197" s="17">
        <v>-68.930000000000007</v>
      </c>
      <c r="AA197" s="181">
        <v>44771</v>
      </c>
      <c r="AC197" t="s">
        <v>32</v>
      </c>
      <c r="AD197" s="17">
        <f t="shared" si="13"/>
        <v>1880</v>
      </c>
      <c r="AE197" t="s">
        <v>593</v>
      </c>
      <c r="AF197" t="s">
        <v>619</v>
      </c>
    </row>
    <row r="198" spans="12:32" ht="15" customHeight="1" x14ac:dyDescent="0.25">
      <c r="L198" s="48"/>
      <c r="M198" s="17"/>
      <c r="W198" s="10">
        <v>62</v>
      </c>
      <c r="X198" s="184">
        <f>X192+7</f>
        <v>44779</v>
      </c>
      <c r="Y198" s="17">
        <v>200</v>
      </c>
      <c r="Z198" s="17">
        <v>500</v>
      </c>
      <c r="AA198" s="181">
        <v>44782</v>
      </c>
      <c r="AB198" t="s">
        <v>117</v>
      </c>
      <c r="AD198" s="17">
        <f t="shared" si="13"/>
        <v>1580</v>
      </c>
      <c r="AE198" t="s">
        <v>593</v>
      </c>
      <c r="AF198" t="s">
        <v>619</v>
      </c>
    </row>
    <row r="199" spans="12:32" ht="15" customHeight="1" x14ac:dyDescent="0.25">
      <c r="L199" s="48"/>
      <c r="M199" s="17"/>
      <c r="W199" s="10" t="s">
        <v>562</v>
      </c>
      <c r="X199" s="184">
        <v>44783</v>
      </c>
      <c r="Y199" s="17">
        <v>-143.19</v>
      </c>
      <c r="Z199" s="17">
        <v>-143.19</v>
      </c>
      <c r="AA199" s="181">
        <v>44783</v>
      </c>
      <c r="AC199" t="s">
        <v>16</v>
      </c>
      <c r="AD199" s="17">
        <f t="shared" ref="AD199:AD228" si="14">IFERROR(IF(AB198="Closed account",(IF(AB199="Unpaid Rent",(Y199),(Y199-Z199))),(IF(AB199="Unpaid Rent",(Y199+AD198),(Y199-Z199+AD198)))),"")</f>
        <v>1580</v>
      </c>
      <c r="AE199" t="s">
        <v>593</v>
      </c>
      <c r="AF199" t="s">
        <v>619</v>
      </c>
    </row>
    <row r="200" spans="12:32" ht="15" customHeight="1" x14ac:dyDescent="0.25">
      <c r="L200" s="48"/>
      <c r="M200" s="17"/>
      <c r="W200" s="10">
        <v>63</v>
      </c>
      <c r="X200" s="184">
        <f>X198+7</f>
        <v>44786</v>
      </c>
      <c r="Y200" s="17">
        <v>200</v>
      </c>
      <c r="Z200" s="17"/>
      <c r="AD200" s="17">
        <f t="shared" si="14"/>
        <v>1780</v>
      </c>
      <c r="AE200" t="s">
        <v>593</v>
      </c>
      <c r="AF200" t="s">
        <v>619</v>
      </c>
    </row>
    <row r="201" spans="12:32" ht="15" customHeight="1" x14ac:dyDescent="0.25">
      <c r="L201" s="48"/>
      <c r="M201" s="17"/>
      <c r="W201" s="10">
        <v>64</v>
      </c>
      <c r="X201" s="184">
        <f>X200+7</f>
        <v>44793</v>
      </c>
      <c r="Y201" s="17">
        <v>200</v>
      </c>
      <c r="Z201" s="17">
        <v>500</v>
      </c>
      <c r="AA201" s="181">
        <v>44735</v>
      </c>
      <c r="AB201" t="s">
        <v>117</v>
      </c>
      <c r="AD201" s="17">
        <f t="shared" si="14"/>
        <v>1480</v>
      </c>
      <c r="AE201" t="s">
        <v>593</v>
      </c>
      <c r="AF201" t="s">
        <v>619</v>
      </c>
    </row>
    <row r="202" spans="12:32" ht="15" customHeight="1" x14ac:dyDescent="0.25">
      <c r="L202" s="48"/>
      <c r="M202" s="17"/>
      <c r="W202" s="10" t="s">
        <v>562</v>
      </c>
      <c r="X202" s="184">
        <v>44735</v>
      </c>
      <c r="Y202" s="17">
        <v>-800</v>
      </c>
      <c r="Z202" s="17">
        <v>-800</v>
      </c>
      <c r="AA202" s="181">
        <v>44735</v>
      </c>
      <c r="AC202" t="s">
        <v>502</v>
      </c>
      <c r="AD202" s="17">
        <f t="shared" si="14"/>
        <v>1480</v>
      </c>
      <c r="AE202" t="s">
        <v>593</v>
      </c>
      <c r="AF202" t="s">
        <v>619</v>
      </c>
    </row>
    <row r="203" spans="12:32" ht="15" customHeight="1" x14ac:dyDescent="0.25">
      <c r="L203" s="48"/>
      <c r="M203" s="17"/>
      <c r="W203" s="10">
        <v>65</v>
      </c>
      <c r="X203" s="184">
        <f>X201+7</f>
        <v>44800</v>
      </c>
      <c r="Y203" s="17">
        <v>200</v>
      </c>
      <c r="Z203" s="17">
        <v>1000</v>
      </c>
      <c r="AA203" s="181">
        <v>44804</v>
      </c>
      <c r="AB203" t="s">
        <v>117</v>
      </c>
      <c r="AD203" s="17">
        <f t="shared" si="14"/>
        <v>680</v>
      </c>
      <c r="AE203" t="s">
        <v>593</v>
      </c>
      <c r="AF203" t="s">
        <v>619</v>
      </c>
    </row>
    <row r="204" spans="12:32" ht="15" customHeight="1" x14ac:dyDescent="0.25">
      <c r="L204" s="48"/>
      <c r="M204" s="17"/>
      <c r="W204" s="10">
        <v>66</v>
      </c>
      <c r="X204" s="184">
        <f>X203+7</f>
        <v>44807</v>
      </c>
      <c r="Y204" s="17">
        <v>200</v>
      </c>
      <c r="Z204" s="17"/>
      <c r="AD204" s="17">
        <f t="shared" si="14"/>
        <v>880</v>
      </c>
      <c r="AE204" t="s">
        <v>593</v>
      </c>
      <c r="AF204" t="s">
        <v>619</v>
      </c>
    </row>
    <row r="205" spans="12:32" ht="15" customHeight="1" x14ac:dyDescent="0.25">
      <c r="L205" s="48"/>
      <c r="M205" s="17"/>
      <c r="W205" s="10" t="s">
        <v>562</v>
      </c>
      <c r="X205" s="184">
        <v>44813</v>
      </c>
      <c r="Y205" s="17">
        <v>46.6</v>
      </c>
      <c r="Z205" s="17"/>
      <c r="AB205" t="s">
        <v>206</v>
      </c>
      <c r="AD205" s="17">
        <f t="shared" si="14"/>
        <v>926.6</v>
      </c>
      <c r="AE205" t="s">
        <v>593</v>
      </c>
      <c r="AF205" t="s">
        <v>619</v>
      </c>
    </row>
    <row r="206" spans="12:32" ht="15" customHeight="1" x14ac:dyDescent="0.25">
      <c r="L206" s="48"/>
      <c r="M206" s="17"/>
      <c r="W206" s="10">
        <v>67</v>
      </c>
      <c r="X206" s="184">
        <f>X204+7</f>
        <v>44814</v>
      </c>
      <c r="Y206" s="17">
        <v>200</v>
      </c>
      <c r="Z206" s="17">
        <v>500</v>
      </c>
      <c r="AA206" s="181">
        <v>44818</v>
      </c>
      <c r="AB206" t="s">
        <v>117</v>
      </c>
      <c r="AD206" s="17">
        <f t="shared" si="14"/>
        <v>626.6</v>
      </c>
      <c r="AE206" t="s">
        <v>593</v>
      </c>
      <c r="AF206" t="s">
        <v>619</v>
      </c>
    </row>
    <row r="207" spans="12:32" ht="15" customHeight="1" x14ac:dyDescent="0.25">
      <c r="L207" s="48"/>
      <c r="M207" s="17"/>
      <c r="W207" s="10">
        <v>68</v>
      </c>
      <c r="X207" s="184">
        <f>X206+7</f>
        <v>44821</v>
      </c>
      <c r="Y207" s="17">
        <v>200</v>
      </c>
      <c r="Z207" s="17"/>
      <c r="AD207" s="17">
        <f t="shared" si="14"/>
        <v>826.6</v>
      </c>
      <c r="AE207" t="s">
        <v>593</v>
      </c>
      <c r="AF207" t="s">
        <v>619</v>
      </c>
    </row>
    <row r="208" spans="12:32" ht="15" customHeight="1" x14ac:dyDescent="0.25">
      <c r="L208" s="48"/>
      <c r="M208" s="17"/>
      <c r="W208" s="10">
        <v>69</v>
      </c>
      <c r="X208" s="184">
        <f>X207+7</f>
        <v>44828</v>
      </c>
      <c r="Y208" s="17">
        <v>200</v>
      </c>
      <c r="Z208" s="17">
        <v>200</v>
      </c>
      <c r="AA208" s="181">
        <v>44833</v>
      </c>
      <c r="AB208" t="s">
        <v>117</v>
      </c>
      <c r="AD208" s="17">
        <f t="shared" si="14"/>
        <v>826.6</v>
      </c>
      <c r="AE208" t="s">
        <v>593</v>
      </c>
      <c r="AF208" t="s">
        <v>619</v>
      </c>
    </row>
    <row r="209" spans="12:32" ht="15" customHeight="1" x14ac:dyDescent="0.25">
      <c r="L209" s="48"/>
      <c r="M209" s="17"/>
      <c r="W209" s="10">
        <v>70</v>
      </c>
      <c r="X209" s="184">
        <f>X208+7</f>
        <v>44835</v>
      </c>
      <c r="Y209" s="17"/>
      <c r="Z209" s="17"/>
      <c r="AD209" s="17">
        <f t="shared" si="14"/>
        <v>826.6</v>
      </c>
      <c r="AE209" t="s">
        <v>593</v>
      </c>
      <c r="AF209" t="s">
        <v>619</v>
      </c>
    </row>
    <row r="210" spans="12:32" ht="15" customHeight="1" x14ac:dyDescent="0.25">
      <c r="L210" s="48"/>
      <c r="M210" s="17"/>
      <c r="W210" s="10" t="s">
        <v>562</v>
      </c>
      <c r="X210" s="184">
        <v>44845</v>
      </c>
      <c r="Y210" s="17">
        <v>137.6</v>
      </c>
      <c r="Z210" s="17"/>
      <c r="AA210" s="181">
        <v>44845</v>
      </c>
      <c r="AC210" t="s">
        <v>555</v>
      </c>
      <c r="AD210" s="17">
        <f t="shared" si="14"/>
        <v>964.2</v>
      </c>
      <c r="AE210" t="s">
        <v>593</v>
      </c>
      <c r="AF210" t="s">
        <v>619</v>
      </c>
    </row>
    <row r="211" spans="12:32" ht="15" customHeight="1" x14ac:dyDescent="0.25">
      <c r="L211" s="48"/>
      <c r="M211" s="17"/>
      <c r="W211" s="10" t="s">
        <v>562</v>
      </c>
      <c r="X211" s="184">
        <v>44860</v>
      </c>
      <c r="Y211" s="17">
        <v>-2750</v>
      </c>
      <c r="Z211" s="17">
        <v>-2750</v>
      </c>
      <c r="AA211" s="181">
        <v>44860</v>
      </c>
      <c r="AC211" t="s">
        <v>912</v>
      </c>
      <c r="AD211" s="17">
        <f t="shared" si="14"/>
        <v>964.2</v>
      </c>
      <c r="AE211" t="s">
        <v>593</v>
      </c>
      <c r="AF211" t="s">
        <v>619</v>
      </c>
    </row>
    <row r="212" spans="12:32" ht="15" customHeight="1" x14ac:dyDescent="0.25">
      <c r="L212" s="48"/>
      <c r="M212" s="17"/>
      <c r="W212" s="10" t="s">
        <v>562</v>
      </c>
      <c r="X212" s="184">
        <v>44860</v>
      </c>
      <c r="Y212" s="17">
        <v>-456.5</v>
      </c>
      <c r="Z212" s="17">
        <v>-456.5</v>
      </c>
      <c r="AA212" s="181">
        <v>44860</v>
      </c>
      <c r="AC212" t="s">
        <v>675</v>
      </c>
      <c r="AD212" s="17">
        <f t="shared" si="14"/>
        <v>964.2</v>
      </c>
      <c r="AE212" t="s">
        <v>593</v>
      </c>
      <c r="AF212" t="s">
        <v>619</v>
      </c>
    </row>
    <row r="213" spans="12:32" ht="15" customHeight="1" x14ac:dyDescent="0.25">
      <c r="L213" s="48"/>
      <c r="M213" s="17"/>
      <c r="W213" s="10">
        <v>71</v>
      </c>
      <c r="X213" s="184">
        <f>X209+7</f>
        <v>44842</v>
      </c>
      <c r="Y213" s="17">
        <v>210</v>
      </c>
      <c r="Z213" s="17"/>
      <c r="AD213" s="17">
        <f t="shared" si="14"/>
        <v>1174.2</v>
      </c>
      <c r="AE213" t="s">
        <v>593</v>
      </c>
      <c r="AF213" t="s">
        <v>619</v>
      </c>
    </row>
    <row r="214" spans="12:32" ht="15" customHeight="1" x14ac:dyDescent="0.25">
      <c r="L214" s="48"/>
      <c r="M214" s="17"/>
      <c r="W214" s="10">
        <v>72</v>
      </c>
      <c r="X214" s="184">
        <f>X213+7</f>
        <v>44849</v>
      </c>
      <c r="Y214" s="17">
        <v>210</v>
      </c>
      <c r="Z214" s="17"/>
      <c r="AD214" s="17">
        <f t="shared" si="14"/>
        <v>1384.2</v>
      </c>
      <c r="AE214" t="s">
        <v>593</v>
      </c>
      <c r="AF214" t="s">
        <v>619</v>
      </c>
    </row>
    <row r="215" spans="12:32" ht="15" customHeight="1" x14ac:dyDescent="0.25">
      <c r="L215" s="48"/>
      <c r="M215" s="17"/>
      <c r="W215" s="10">
        <v>73</v>
      </c>
      <c r="X215" s="184">
        <f>X214+7</f>
        <v>44856</v>
      </c>
      <c r="Y215" s="17">
        <v>210</v>
      </c>
      <c r="Z215" s="17"/>
      <c r="AD215" s="17">
        <f t="shared" si="14"/>
        <v>1594.2</v>
      </c>
      <c r="AE215" t="s">
        <v>593</v>
      </c>
      <c r="AF215" t="s">
        <v>619</v>
      </c>
    </row>
    <row r="216" spans="12:32" ht="15" customHeight="1" x14ac:dyDescent="0.25">
      <c r="L216" s="48"/>
      <c r="M216" s="17"/>
      <c r="W216" s="10">
        <v>74</v>
      </c>
      <c r="X216" s="184">
        <f>X215+7</f>
        <v>44863</v>
      </c>
      <c r="Y216" s="17">
        <v>210</v>
      </c>
      <c r="Z216" s="17"/>
      <c r="AD216" s="17">
        <f t="shared" si="14"/>
        <v>1804.2</v>
      </c>
      <c r="AE216" t="s">
        <v>593</v>
      </c>
      <c r="AF216" t="s">
        <v>619</v>
      </c>
    </row>
    <row r="217" spans="12:32" ht="15" customHeight="1" x14ac:dyDescent="0.25">
      <c r="L217" s="48"/>
      <c r="M217" s="17"/>
      <c r="W217" s="10">
        <v>75</v>
      </c>
      <c r="X217" s="184">
        <f>X216+7</f>
        <v>44870</v>
      </c>
      <c r="Y217" s="17">
        <v>210</v>
      </c>
      <c r="Z217" s="17">
        <v>500</v>
      </c>
      <c r="AA217" s="181">
        <v>44874</v>
      </c>
      <c r="AB217" t="s">
        <v>117</v>
      </c>
      <c r="AD217" s="17">
        <f t="shared" si="14"/>
        <v>1514.2</v>
      </c>
      <c r="AE217" t="s">
        <v>593</v>
      </c>
      <c r="AF217" t="s">
        <v>619</v>
      </c>
    </row>
    <row r="218" spans="12:32" ht="15" customHeight="1" x14ac:dyDescent="0.25">
      <c r="L218" s="48"/>
      <c r="M218" s="17"/>
      <c r="W218" s="10">
        <v>76</v>
      </c>
      <c r="X218" s="184">
        <f>X217+7</f>
        <v>44877</v>
      </c>
      <c r="Y218" s="17">
        <v>210</v>
      </c>
      <c r="Z218" s="17">
        <v>500</v>
      </c>
      <c r="AA218" s="181">
        <v>44881</v>
      </c>
      <c r="AB218" t="s">
        <v>117</v>
      </c>
      <c r="AD218" s="17">
        <f t="shared" si="14"/>
        <v>1224.2</v>
      </c>
      <c r="AE218" t="s">
        <v>593</v>
      </c>
      <c r="AF218" t="s">
        <v>619</v>
      </c>
    </row>
    <row r="219" spans="12:32" ht="15" customHeight="1" x14ac:dyDescent="0.25">
      <c r="L219" s="48"/>
      <c r="M219" s="17"/>
      <c r="W219" s="10" t="s">
        <v>937</v>
      </c>
      <c r="X219" s="184">
        <v>44888</v>
      </c>
      <c r="Y219" s="17">
        <v>91.48</v>
      </c>
      <c r="Z219" s="17"/>
      <c r="AD219" s="17">
        <f t="shared" si="14"/>
        <v>1315.68</v>
      </c>
      <c r="AE219" t="s">
        <v>593</v>
      </c>
      <c r="AF219" t="s">
        <v>619</v>
      </c>
    </row>
    <row r="220" spans="12:32" ht="15" customHeight="1" x14ac:dyDescent="0.25">
      <c r="L220" s="48"/>
      <c r="M220" s="17"/>
      <c r="W220" s="10">
        <v>77</v>
      </c>
      <c r="X220" s="184">
        <f>X218+7</f>
        <v>44884</v>
      </c>
      <c r="Y220" s="17">
        <v>210</v>
      </c>
      <c r="Z220" s="17"/>
      <c r="AD220" s="17">
        <f t="shared" si="14"/>
        <v>1525.68</v>
      </c>
      <c r="AE220" t="s">
        <v>593</v>
      </c>
      <c r="AF220" t="s">
        <v>619</v>
      </c>
    </row>
    <row r="221" spans="12:32" ht="15" customHeight="1" x14ac:dyDescent="0.25">
      <c r="L221" s="48"/>
      <c r="M221" s="17"/>
      <c r="W221" s="10">
        <v>78</v>
      </c>
      <c r="X221" s="184">
        <f t="shared" ref="X221:X228" si="15">X220+7</f>
        <v>44891</v>
      </c>
      <c r="Y221" s="17">
        <v>210</v>
      </c>
      <c r="Z221" s="17">
        <v>500</v>
      </c>
      <c r="AA221" s="181">
        <v>44895</v>
      </c>
      <c r="AB221" t="s">
        <v>117</v>
      </c>
      <c r="AD221" s="17">
        <f t="shared" si="14"/>
        <v>1235.68</v>
      </c>
      <c r="AE221" t="s">
        <v>593</v>
      </c>
      <c r="AF221" t="s">
        <v>619</v>
      </c>
    </row>
    <row r="222" spans="12:32" ht="15" customHeight="1" x14ac:dyDescent="0.25">
      <c r="L222" s="48"/>
      <c r="M222" s="17"/>
      <c r="W222" s="10">
        <v>79</v>
      </c>
      <c r="X222" s="184">
        <f t="shared" si="15"/>
        <v>44898</v>
      </c>
      <c r="Y222" s="17">
        <v>210</v>
      </c>
      <c r="Z222" s="17"/>
      <c r="AD222" s="17">
        <f t="shared" si="14"/>
        <v>1445.68</v>
      </c>
      <c r="AE222" t="s">
        <v>593</v>
      </c>
      <c r="AF222" t="s">
        <v>619</v>
      </c>
    </row>
    <row r="223" spans="12:32" ht="15" customHeight="1" x14ac:dyDescent="0.25">
      <c r="L223" s="48"/>
      <c r="M223" s="17"/>
      <c r="W223" s="10">
        <v>80</v>
      </c>
      <c r="X223" s="184">
        <f t="shared" si="15"/>
        <v>44905</v>
      </c>
      <c r="Y223" s="17">
        <v>210</v>
      </c>
      <c r="Z223" s="17">
        <v>400</v>
      </c>
      <c r="AA223" s="181">
        <v>44909</v>
      </c>
      <c r="AB223" t="s">
        <v>117</v>
      </c>
      <c r="AD223" s="17">
        <f t="shared" si="14"/>
        <v>1255.68</v>
      </c>
      <c r="AE223" t="s">
        <v>593</v>
      </c>
      <c r="AF223" t="s">
        <v>619</v>
      </c>
    </row>
    <row r="224" spans="12:32" ht="15" customHeight="1" x14ac:dyDescent="0.25">
      <c r="L224" s="48"/>
      <c r="M224" s="17"/>
      <c r="W224" s="10">
        <v>81</v>
      </c>
      <c r="X224" s="184">
        <f t="shared" si="15"/>
        <v>44912</v>
      </c>
      <c r="Y224" s="17">
        <v>210</v>
      </c>
      <c r="Z224" s="17"/>
      <c r="AD224" s="17">
        <f t="shared" si="14"/>
        <v>1465.68</v>
      </c>
      <c r="AE224" t="s">
        <v>593</v>
      </c>
      <c r="AF224" t="s">
        <v>619</v>
      </c>
    </row>
    <row r="225" spans="12:32" ht="15" customHeight="1" x14ac:dyDescent="0.25">
      <c r="L225" s="48"/>
      <c r="M225" s="17"/>
      <c r="W225" s="10">
        <v>82</v>
      </c>
      <c r="X225" s="184">
        <f t="shared" si="15"/>
        <v>44919</v>
      </c>
      <c r="Y225" s="17">
        <v>210</v>
      </c>
      <c r="Z225" s="17"/>
      <c r="AD225" s="17">
        <f t="shared" si="14"/>
        <v>1675.68</v>
      </c>
      <c r="AE225" t="s">
        <v>593</v>
      </c>
      <c r="AF225" t="s">
        <v>619</v>
      </c>
    </row>
    <row r="226" spans="12:32" ht="15" customHeight="1" x14ac:dyDescent="0.25">
      <c r="L226" s="48"/>
      <c r="M226" s="17"/>
      <c r="W226" s="10">
        <v>83</v>
      </c>
      <c r="X226" s="184">
        <f t="shared" si="15"/>
        <v>44926</v>
      </c>
      <c r="Y226" s="17">
        <v>210</v>
      </c>
      <c r="Z226" s="17"/>
      <c r="AD226" s="17">
        <f t="shared" si="14"/>
        <v>1885.68</v>
      </c>
      <c r="AE226" t="s">
        <v>593</v>
      </c>
      <c r="AF226" t="s">
        <v>619</v>
      </c>
    </row>
    <row r="227" spans="12:32" ht="15" customHeight="1" x14ac:dyDescent="0.25">
      <c r="L227" s="48"/>
      <c r="M227" s="17"/>
      <c r="W227" s="10">
        <v>84</v>
      </c>
      <c r="X227" s="184">
        <f t="shared" si="15"/>
        <v>44933</v>
      </c>
      <c r="Y227" s="17">
        <v>210</v>
      </c>
      <c r="Z227" s="17"/>
      <c r="AD227" s="17">
        <f t="shared" si="14"/>
        <v>2095.6800000000003</v>
      </c>
      <c r="AE227" t="s">
        <v>593</v>
      </c>
      <c r="AF227" t="s">
        <v>619</v>
      </c>
    </row>
    <row r="228" spans="12:32" ht="15" customHeight="1" x14ac:dyDescent="0.25">
      <c r="L228" s="48"/>
      <c r="M228" s="17"/>
      <c r="W228" s="10">
        <f>W227+1</f>
        <v>85</v>
      </c>
      <c r="X228" s="184">
        <f t="shared" si="15"/>
        <v>44940</v>
      </c>
      <c r="Y228" s="17">
        <v>210</v>
      </c>
      <c r="Z228" s="17"/>
      <c r="AD228" s="17">
        <f t="shared" si="14"/>
        <v>2305.6800000000003</v>
      </c>
      <c r="AE228" t="s">
        <v>593</v>
      </c>
      <c r="AF228" t="s">
        <v>619</v>
      </c>
    </row>
    <row r="229" spans="12:32" ht="15" customHeight="1" x14ac:dyDescent="0.25">
      <c r="L229" s="48"/>
      <c r="M229" s="17"/>
      <c r="W229" s="10">
        <f t="shared" ref="W229:W234" si="16">W228+1</f>
        <v>86</v>
      </c>
      <c r="X229" s="184">
        <f t="shared" ref="X229:X234" si="17">X228+7</f>
        <v>44947</v>
      </c>
      <c r="Y229" s="17">
        <v>210</v>
      </c>
      <c r="Z229" s="17"/>
      <c r="AD229" s="17">
        <f t="shared" ref="AD229:AD234" si="18">IFERROR(IF(AB228="Closed account",(IF(AB229="Unpaid Rent",(Y229),(Y229-Z229))),(IF(AB229="Unpaid Rent",(Y229+AD228),(Y229-Z229+AD228)))),"")</f>
        <v>2515.6800000000003</v>
      </c>
      <c r="AE229" t="s">
        <v>593</v>
      </c>
      <c r="AF229" t="s">
        <v>619</v>
      </c>
    </row>
    <row r="230" spans="12:32" ht="15" customHeight="1" x14ac:dyDescent="0.25">
      <c r="L230" s="48"/>
      <c r="M230" s="17"/>
      <c r="W230" s="10">
        <f t="shared" si="16"/>
        <v>87</v>
      </c>
      <c r="X230" s="184">
        <f t="shared" si="17"/>
        <v>44954</v>
      </c>
      <c r="Y230" s="17">
        <v>210</v>
      </c>
      <c r="Z230" s="17"/>
      <c r="AD230" s="17">
        <f t="shared" si="18"/>
        <v>2725.6800000000003</v>
      </c>
      <c r="AE230" t="s">
        <v>593</v>
      </c>
      <c r="AF230" t="s">
        <v>619</v>
      </c>
    </row>
    <row r="231" spans="12:32" ht="15" customHeight="1" x14ac:dyDescent="0.25">
      <c r="L231" s="48"/>
      <c r="M231" s="17"/>
      <c r="W231" s="10">
        <f t="shared" si="16"/>
        <v>88</v>
      </c>
      <c r="X231" s="184">
        <f t="shared" si="17"/>
        <v>44961</v>
      </c>
      <c r="Y231" s="17">
        <v>210</v>
      </c>
      <c r="Z231" s="17"/>
      <c r="AD231" s="17">
        <f t="shared" si="18"/>
        <v>2935.6800000000003</v>
      </c>
      <c r="AE231" t="s">
        <v>593</v>
      </c>
      <c r="AF231" t="s">
        <v>619</v>
      </c>
    </row>
    <row r="232" spans="12:32" ht="15" customHeight="1" x14ac:dyDescent="0.25">
      <c r="L232" s="48"/>
      <c r="M232" s="17"/>
      <c r="W232" s="10">
        <f t="shared" si="16"/>
        <v>89</v>
      </c>
      <c r="X232" s="184">
        <f t="shared" si="17"/>
        <v>44968</v>
      </c>
      <c r="Y232" s="17">
        <v>210</v>
      </c>
      <c r="Z232" s="17">
        <v>500</v>
      </c>
      <c r="AA232" s="181">
        <v>44972</v>
      </c>
      <c r="AB232" t="s">
        <v>117</v>
      </c>
      <c r="AD232" s="17">
        <f t="shared" si="18"/>
        <v>2645.6800000000003</v>
      </c>
      <c r="AE232" t="s">
        <v>593</v>
      </c>
      <c r="AF232" t="s">
        <v>619</v>
      </c>
    </row>
    <row r="233" spans="12:32" ht="15" customHeight="1" x14ac:dyDescent="0.25">
      <c r="L233" s="48"/>
      <c r="M233" s="17"/>
      <c r="W233" s="10">
        <f t="shared" si="16"/>
        <v>90</v>
      </c>
      <c r="X233" s="184">
        <f t="shared" si="17"/>
        <v>44975</v>
      </c>
      <c r="Y233" s="17">
        <v>210</v>
      </c>
      <c r="Z233" s="17">
        <v>250</v>
      </c>
      <c r="AA233" s="181">
        <v>44976</v>
      </c>
      <c r="AB233" t="s">
        <v>117</v>
      </c>
      <c r="AD233" s="17">
        <f t="shared" si="18"/>
        <v>2605.6800000000003</v>
      </c>
      <c r="AE233" t="s">
        <v>593</v>
      </c>
      <c r="AF233" t="s">
        <v>619</v>
      </c>
    </row>
    <row r="234" spans="12:32" ht="15" customHeight="1" x14ac:dyDescent="0.25">
      <c r="L234" s="48"/>
      <c r="M234" s="17"/>
      <c r="W234" s="10">
        <f t="shared" si="16"/>
        <v>91</v>
      </c>
      <c r="X234" s="184">
        <f t="shared" si="17"/>
        <v>44982</v>
      </c>
      <c r="Y234" s="17">
        <v>210</v>
      </c>
      <c r="Z234" s="17">
        <v>500</v>
      </c>
      <c r="AA234" s="181">
        <v>44986</v>
      </c>
      <c r="AB234" t="s">
        <v>117</v>
      </c>
      <c r="AD234" s="17">
        <f t="shared" si="18"/>
        <v>2315.6800000000003</v>
      </c>
      <c r="AE234" t="s">
        <v>593</v>
      </c>
      <c r="AF234" t="s">
        <v>619</v>
      </c>
    </row>
    <row r="235" spans="12:32" ht="15" customHeight="1" x14ac:dyDescent="0.25">
      <c r="L235" s="48"/>
      <c r="M235" s="17"/>
      <c r="W235" s="10">
        <v>92</v>
      </c>
      <c r="X235" s="184">
        <f>X234+7</f>
        <v>44989</v>
      </c>
      <c r="Y235" s="17">
        <v>210</v>
      </c>
      <c r="Z235" s="17"/>
      <c r="AD235" s="17">
        <f t="shared" ref="AD235:AD248" si="19">IFERROR(IF(AB234="Closed account",(IF(AB235="Unpaid Rent",(Y235),(Y235-Z235))),(IF(AB235="Unpaid Rent",(Y235+AD234),(Y235-Z235+AD234)))),"")</f>
        <v>2525.6800000000003</v>
      </c>
      <c r="AE235" t="s">
        <v>593</v>
      </c>
      <c r="AF235" t="s">
        <v>619</v>
      </c>
    </row>
    <row r="236" spans="12:32" ht="15" customHeight="1" x14ac:dyDescent="0.25">
      <c r="L236" s="48"/>
      <c r="M236" s="17"/>
      <c r="W236" s="10">
        <v>93</v>
      </c>
      <c r="X236" s="184">
        <f>X235+7</f>
        <v>44996</v>
      </c>
      <c r="Y236" s="17">
        <v>210</v>
      </c>
      <c r="Z236" s="17">
        <v>390</v>
      </c>
      <c r="AA236" s="181">
        <v>45000</v>
      </c>
      <c r="AB236" t="s">
        <v>117</v>
      </c>
      <c r="AD236" s="17">
        <f t="shared" si="19"/>
        <v>2345.6800000000003</v>
      </c>
      <c r="AE236" t="s">
        <v>593</v>
      </c>
      <c r="AF236" t="s">
        <v>619</v>
      </c>
    </row>
    <row r="237" spans="12:32" ht="15" customHeight="1" x14ac:dyDescent="0.25">
      <c r="L237" s="48"/>
      <c r="M237" s="17"/>
      <c r="W237" s="10">
        <v>94</v>
      </c>
      <c r="X237" s="184">
        <f>X236+7</f>
        <v>45003</v>
      </c>
      <c r="Y237" s="17">
        <v>210</v>
      </c>
      <c r="Z237" s="17">
        <v>300</v>
      </c>
      <c r="AA237" s="181">
        <v>45008</v>
      </c>
      <c r="AB237" t="s">
        <v>117</v>
      </c>
      <c r="AD237" s="17">
        <f t="shared" si="19"/>
        <v>2255.6800000000003</v>
      </c>
      <c r="AE237" t="s">
        <v>593</v>
      </c>
      <c r="AF237" t="s">
        <v>619</v>
      </c>
    </row>
    <row r="238" spans="12:32" ht="15" customHeight="1" x14ac:dyDescent="0.25">
      <c r="L238" s="48"/>
      <c r="M238" s="17"/>
      <c r="W238" s="10">
        <v>95</v>
      </c>
      <c r="X238" s="184">
        <f>X237+7</f>
        <v>45010</v>
      </c>
      <c r="Y238" s="17">
        <v>210</v>
      </c>
      <c r="Z238" s="17">
        <v>511</v>
      </c>
      <c r="AA238" s="181">
        <v>45015</v>
      </c>
      <c r="AB238" t="s">
        <v>117</v>
      </c>
      <c r="AD238" s="17">
        <f t="shared" si="19"/>
        <v>1954.6800000000003</v>
      </c>
      <c r="AE238" t="s">
        <v>593</v>
      </c>
      <c r="AF238" t="s">
        <v>619</v>
      </c>
    </row>
    <row r="239" spans="12:32" ht="15" customHeight="1" x14ac:dyDescent="0.25">
      <c r="L239" s="48"/>
      <c r="M239" s="17"/>
      <c r="W239" s="10">
        <v>96</v>
      </c>
      <c r="X239" s="184">
        <v>45010</v>
      </c>
      <c r="Y239" s="17">
        <v>211.6</v>
      </c>
      <c r="Z239" s="17"/>
      <c r="AB239" t="s">
        <v>758</v>
      </c>
      <c r="AD239" s="17">
        <f t="shared" si="19"/>
        <v>2166.2800000000002</v>
      </c>
      <c r="AE239" t="s">
        <v>593</v>
      </c>
      <c r="AF239" t="s">
        <v>619</v>
      </c>
    </row>
    <row r="240" spans="12:32" ht="15" customHeight="1" x14ac:dyDescent="0.25">
      <c r="L240" s="48"/>
      <c r="M240" s="17"/>
      <c r="W240" s="10" t="s">
        <v>562</v>
      </c>
      <c r="X240" s="184">
        <v>45013</v>
      </c>
      <c r="Y240" s="17">
        <v>-211.6</v>
      </c>
      <c r="Z240" s="17">
        <v>-211.6</v>
      </c>
      <c r="AA240" s="181">
        <v>45013</v>
      </c>
      <c r="AB240" t="s">
        <v>117</v>
      </c>
      <c r="AD240" s="17">
        <f t="shared" si="19"/>
        <v>2166.2800000000002</v>
      </c>
      <c r="AE240" t="s">
        <v>593</v>
      </c>
      <c r="AF240" t="s">
        <v>619</v>
      </c>
    </row>
    <row r="241" spans="12:32" ht="15" customHeight="1" x14ac:dyDescent="0.25">
      <c r="L241" s="48"/>
      <c r="M241" s="17"/>
      <c r="W241" s="10">
        <v>97</v>
      </c>
      <c r="X241" s="184">
        <f>X239+7</f>
        <v>45017</v>
      </c>
      <c r="Y241" s="17">
        <v>210</v>
      </c>
      <c r="Z241" s="17"/>
      <c r="AD241" s="17">
        <f t="shared" si="19"/>
        <v>2376.2800000000002</v>
      </c>
      <c r="AE241" t="s">
        <v>593</v>
      </c>
      <c r="AF241" t="s">
        <v>619</v>
      </c>
    </row>
    <row r="242" spans="12:32" ht="15" customHeight="1" x14ac:dyDescent="0.25">
      <c r="L242" s="48"/>
      <c r="M242" s="17"/>
      <c r="W242" s="10">
        <v>98</v>
      </c>
      <c r="X242" s="184">
        <f t="shared" ref="X242:X248" si="20">X241+7</f>
        <v>45024</v>
      </c>
      <c r="Y242" s="17">
        <v>210</v>
      </c>
      <c r="Z242" s="17">
        <v>500</v>
      </c>
      <c r="AA242" s="181">
        <v>45028</v>
      </c>
      <c r="AB242" t="s">
        <v>117</v>
      </c>
      <c r="AD242" s="17">
        <f t="shared" si="19"/>
        <v>2086.2800000000002</v>
      </c>
      <c r="AE242" t="s">
        <v>593</v>
      </c>
      <c r="AF242" t="s">
        <v>619</v>
      </c>
    </row>
    <row r="243" spans="12:32" ht="15" customHeight="1" x14ac:dyDescent="0.25">
      <c r="L243" s="48"/>
      <c r="M243" s="17"/>
      <c r="W243" s="10">
        <v>99</v>
      </c>
      <c r="X243" s="184">
        <f t="shared" si="20"/>
        <v>45031</v>
      </c>
      <c r="Y243" s="17">
        <v>210</v>
      </c>
      <c r="Z243" s="17"/>
      <c r="AD243" s="17">
        <f t="shared" si="19"/>
        <v>2296.2800000000002</v>
      </c>
      <c r="AE243" t="s">
        <v>593</v>
      </c>
      <c r="AF243" t="s">
        <v>619</v>
      </c>
    </row>
    <row r="244" spans="12:32" ht="15" customHeight="1" x14ac:dyDescent="0.25">
      <c r="L244" s="48"/>
      <c r="M244" s="17"/>
      <c r="W244" s="10">
        <v>100</v>
      </c>
      <c r="X244" s="184">
        <f t="shared" si="20"/>
        <v>45038</v>
      </c>
      <c r="Y244" s="17">
        <v>210</v>
      </c>
      <c r="Z244" s="17">
        <v>400</v>
      </c>
      <c r="AA244" s="181">
        <v>45044</v>
      </c>
      <c r="AB244" t="s">
        <v>117</v>
      </c>
      <c r="AD244" s="17">
        <f t="shared" si="19"/>
        <v>2106.2800000000002</v>
      </c>
      <c r="AE244" t="s">
        <v>593</v>
      </c>
      <c r="AF244" t="s">
        <v>619</v>
      </c>
    </row>
    <row r="245" spans="12:32" ht="15" customHeight="1" x14ac:dyDescent="0.25">
      <c r="L245" s="48"/>
      <c r="M245" s="17"/>
      <c r="W245" s="10">
        <v>101</v>
      </c>
      <c r="X245" s="184">
        <f t="shared" si="20"/>
        <v>45045</v>
      </c>
      <c r="Y245" s="17">
        <v>210</v>
      </c>
      <c r="Z245" s="17"/>
      <c r="AD245" s="17">
        <f t="shared" si="19"/>
        <v>2316.2800000000002</v>
      </c>
      <c r="AE245" t="s">
        <v>593</v>
      </c>
      <c r="AF245" t="s">
        <v>619</v>
      </c>
    </row>
    <row r="246" spans="12:32" ht="15" customHeight="1" x14ac:dyDescent="0.25">
      <c r="L246" s="48"/>
      <c r="M246" s="17"/>
      <c r="W246" s="10">
        <v>102</v>
      </c>
      <c r="X246" s="184">
        <f t="shared" si="20"/>
        <v>45052</v>
      </c>
      <c r="Y246" s="17">
        <v>210</v>
      </c>
      <c r="Z246" s="17"/>
      <c r="AD246" s="17">
        <f t="shared" si="19"/>
        <v>2526.2800000000002</v>
      </c>
      <c r="AE246" t="s">
        <v>593</v>
      </c>
      <c r="AF246" t="s">
        <v>619</v>
      </c>
    </row>
    <row r="247" spans="12:32" ht="15" customHeight="1" x14ac:dyDescent="0.25">
      <c r="L247" s="48"/>
      <c r="M247" s="17"/>
      <c r="W247" s="10">
        <v>103</v>
      </c>
      <c r="X247" s="184">
        <f t="shared" si="20"/>
        <v>45059</v>
      </c>
      <c r="Y247" s="17">
        <v>210</v>
      </c>
      <c r="Z247" s="17"/>
      <c r="AD247" s="17">
        <f t="shared" si="19"/>
        <v>2736.28</v>
      </c>
      <c r="AE247" t="s">
        <v>593</v>
      </c>
      <c r="AF247" t="s">
        <v>619</v>
      </c>
    </row>
    <row r="248" spans="12:32" ht="15" customHeight="1" x14ac:dyDescent="0.25">
      <c r="L248" s="48"/>
      <c r="M248" s="17"/>
      <c r="W248" s="10">
        <v>104</v>
      </c>
      <c r="X248" s="184">
        <f t="shared" si="20"/>
        <v>45066</v>
      </c>
      <c r="Y248" s="17">
        <v>210</v>
      </c>
      <c r="Z248" s="17"/>
      <c r="AD248" s="17">
        <f t="shared" si="19"/>
        <v>2946.28</v>
      </c>
      <c r="AE248" t="s">
        <v>593</v>
      </c>
      <c r="AF248" t="s">
        <v>619</v>
      </c>
    </row>
    <row r="249" spans="12:32" ht="15" customHeight="1" x14ac:dyDescent="0.25">
      <c r="L249" s="48"/>
      <c r="M249" s="17"/>
    </row>
    <row r="250" spans="12:32" ht="15" customHeight="1" x14ac:dyDescent="0.25">
      <c r="L250" s="48"/>
      <c r="M250" s="17"/>
    </row>
    <row r="251" spans="12:32" ht="15" customHeight="1" x14ac:dyDescent="0.25">
      <c r="L251" s="48"/>
      <c r="M251" s="17"/>
    </row>
    <row r="252" spans="12:32" ht="15" customHeight="1" x14ac:dyDescent="0.25">
      <c r="L252" s="48"/>
      <c r="M252" s="17"/>
    </row>
    <row r="253" spans="12:32" ht="15" customHeight="1" x14ac:dyDescent="0.25">
      <c r="L253" s="48"/>
      <c r="M253" s="17"/>
    </row>
    <row r="254" spans="12:32" ht="15" customHeight="1" x14ac:dyDescent="0.25">
      <c r="L254" s="48"/>
      <c r="M254" s="17"/>
    </row>
    <row r="255" spans="12:32" ht="15" customHeight="1" x14ac:dyDescent="0.25">
      <c r="L255" s="48"/>
      <c r="M255" s="17"/>
    </row>
    <row r="256" spans="12:32" ht="15" customHeight="1" x14ac:dyDescent="0.25">
      <c r="L256" s="48"/>
      <c r="M256" s="17"/>
    </row>
    <row r="257" spans="12:13" ht="15" customHeight="1" x14ac:dyDescent="0.25">
      <c r="L257" s="48"/>
      <c r="M257" s="17"/>
    </row>
    <row r="258" spans="12:13" ht="15" customHeight="1" x14ac:dyDescent="0.25">
      <c r="L258" s="48"/>
      <c r="M258" s="17"/>
    </row>
    <row r="259" spans="12:13" ht="15" customHeight="1" x14ac:dyDescent="0.25">
      <c r="L259" s="48"/>
      <c r="M259" s="17"/>
    </row>
    <row r="260" spans="12:13" ht="15" customHeight="1" x14ac:dyDescent="0.25">
      <c r="L260" s="48"/>
      <c r="M260" s="17"/>
    </row>
    <row r="261" spans="12:13" ht="15" customHeight="1" x14ac:dyDescent="0.25">
      <c r="L261" s="48"/>
      <c r="M261" s="17"/>
    </row>
    <row r="262" spans="12:13" ht="15" customHeight="1" x14ac:dyDescent="0.25">
      <c r="L262" s="48"/>
      <c r="M262" s="17"/>
    </row>
    <row r="263" spans="12:13" ht="15" customHeight="1" x14ac:dyDescent="0.25">
      <c r="L263" s="48"/>
      <c r="M263" s="17"/>
    </row>
    <row r="264" spans="12:13" ht="15" customHeight="1" x14ac:dyDescent="0.25">
      <c r="L264" s="48"/>
      <c r="M264" s="17"/>
    </row>
    <row r="265" spans="12:13" ht="15" customHeight="1" x14ac:dyDescent="0.25">
      <c r="L265" s="48"/>
      <c r="M265" s="17"/>
    </row>
    <row r="266" spans="12:13" ht="15" customHeight="1" x14ac:dyDescent="0.25">
      <c r="L266" s="48"/>
      <c r="M266" s="17"/>
    </row>
    <row r="267" spans="12:13" ht="15" customHeight="1" x14ac:dyDescent="0.25">
      <c r="L267" s="48"/>
      <c r="M267" s="17"/>
    </row>
    <row r="268" spans="12:13" ht="15" customHeight="1" x14ac:dyDescent="0.25">
      <c r="L268" s="48"/>
      <c r="M268" s="17"/>
    </row>
    <row r="269" spans="12:13" ht="15" customHeight="1" x14ac:dyDescent="0.25">
      <c r="L269" s="48"/>
      <c r="M269" s="17"/>
    </row>
    <row r="270" spans="12:13" ht="15" customHeight="1" x14ac:dyDescent="0.25">
      <c r="L270" s="48"/>
      <c r="M270" s="17"/>
    </row>
    <row r="271" spans="12:13" ht="15" customHeight="1" x14ac:dyDescent="0.25">
      <c r="L271" s="48"/>
      <c r="M271" s="17"/>
    </row>
    <row r="272" spans="12:13" ht="15" customHeight="1" x14ac:dyDescent="0.25">
      <c r="L272" s="48"/>
      <c r="M272" s="17"/>
    </row>
    <row r="273" spans="12:13" ht="15" customHeight="1" x14ac:dyDescent="0.25">
      <c r="L273" s="48"/>
      <c r="M273" s="17"/>
    </row>
    <row r="274" spans="12:13" ht="15" customHeight="1" x14ac:dyDescent="0.25">
      <c r="L274" s="48"/>
      <c r="M274" s="17"/>
    </row>
    <row r="275" spans="12:13" ht="15" customHeight="1" x14ac:dyDescent="0.25">
      <c r="L275" s="48"/>
      <c r="M275" s="17"/>
    </row>
    <row r="276" spans="12:13" ht="15" customHeight="1" x14ac:dyDescent="0.25">
      <c r="L276" s="48"/>
      <c r="M276" s="17"/>
    </row>
    <row r="277" spans="12:13" ht="15" customHeight="1" x14ac:dyDescent="0.25">
      <c r="L277" s="48"/>
      <c r="M277" s="17"/>
    </row>
    <row r="278" spans="12:13" ht="15" customHeight="1" x14ac:dyDescent="0.25">
      <c r="L278" s="48"/>
      <c r="M278" s="17"/>
    </row>
    <row r="279" spans="12:13" ht="15" customHeight="1" x14ac:dyDescent="0.25">
      <c r="L279" s="48"/>
      <c r="M279" s="17"/>
    </row>
    <row r="280" spans="12:13" ht="15" customHeight="1" x14ac:dyDescent="0.25">
      <c r="L280" s="48"/>
      <c r="M280" s="17"/>
    </row>
    <row r="281" spans="12:13" ht="15" customHeight="1" x14ac:dyDescent="0.25">
      <c r="L281" s="48"/>
      <c r="M281" s="17"/>
    </row>
    <row r="282" spans="12:13" ht="15" customHeight="1" x14ac:dyDescent="0.25">
      <c r="L282" s="48"/>
      <c r="M282" s="17"/>
    </row>
    <row r="283" spans="12:13" ht="15" customHeight="1" x14ac:dyDescent="0.25">
      <c r="L283" s="48"/>
      <c r="M283" s="17"/>
    </row>
    <row r="284" spans="12:13" ht="15" customHeight="1" x14ac:dyDescent="0.25">
      <c r="L284" s="48"/>
      <c r="M284" s="17"/>
    </row>
    <row r="285" spans="12:13" ht="15" customHeight="1" x14ac:dyDescent="0.25">
      <c r="L285" s="48"/>
      <c r="M285" s="17"/>
    </row>
    <row r="286" spans="12:13" ht="15" customHeight="1" x14ac:dyDescent="0.25">
      <c r="L286" s="48"/>
      <c r="M286" s="17"/>
    </row>
    <row r="287" spans="12:13" ht="15" customHeight="1" x14ac:dyDescent="0.25">
      <c r="L287" s="48"/>
      <c r="M287" s="17"/>
    </row>
    <row r="288" spans="12:13" ht="15" customHeight="1" x14ac:dyDescent="0.25">
      <c r="L288" s="48"/>
      <c r="M288" s="17"/>
    </row>
    <row r="289" spans="12:13" ht="15" customHeight="1" x14ac:dyDescent="0.25">
      <c r="L289" s="48"/>
      <c r="M289" s="17"/>
    </row>
    <row r="290" spans="12:13" ht="15" customHeight="1" x14ac:dyDescent="0.25">
      <c r="L290" s="48"/>
      <c r="M290" s="17"/>
    </row>
    <row r="291" spans="12:13" ht="15" customHeight="1" x14ac:dyDescent="0.25">
      <c r="L291" s="48"/>
      <c r="M291" s="17"/>
    </row>
    <row r="292" spans="12:13" ht="15" customHeight="1" x14ac:dyDescent="0.25">
      <c r="L292" s="48"/>
      <c r="M292" s="17"/>
    </row>
    <row r="293" spans="12:13" ht="15" customHeight="1" x14ac:dyDescent="0.25">
      <c r="L293" s="48"/>
      <c r="M293" s="17"/>
    </row>
    <row r="294" spans="12:13" ht="15" customHeight="1" x14ac:dyDescent="0.25">
      <c r="L294" s="48"/>
      <c r="M294" s="17"/>
    </row>
    <row r="295" spans="12:13" ht="15" customHeight="1" x14ac:dyDescent="0.25">
      <c r="L295" s="48"/>
      <c r="M295" s="17"/>
    </row>
    <row r="296" spans="12:13" ht="15" customHeight="1" x14ac:dyDescent="0.25">
      <c r="L296" s="48"/>
      <c r="M296" s="17"/>
    </row>
    <row r="297" spans="12:13" ht="15" customHeight="1" x14ac:dyDescent="0.25">
      <c r="L297" s="48"/>
      <c r="M297" s="17"/>
    </row>
    <row r="298" spans="12:13" ht="15" customHeight="1" x14ac:dyDescent="0.25">
      <c r="L298" s="48"/>
      <c r="M298" s="17"/>
    </row>
    <row r="299" spans="12:13" ht="15" customHeight="1" x14ac:dyDescent="0.25">
      <c r="L299" s="48"/>
      <c r="M299" s="17"/>
    </row>
    <row r="300" spans="12:13" ht="15" customHeight="1" x14ac:dyDescent="0.25">
      <c r="L300" s="48"/>
      <c r="M300" s="17"/>
    </row>
    <row r="301" spans="12:13" ht="15" customHeight="1" x14ac:dyDescent="0.25">
      <c r="L301" s="48"/>
      <c r="M301" s="17"/>
    </row>
    <row r="302" spans="12:13" ht="15" customHeight="1" x14ac:dyDescent="0.25">
      <c r="L302" s="48"/>
      <c r="M302" s="17"/>
    </row>
    <row r="303" spans="12:13" ht="15" customHeight="1" x14ac:dyDescent="0.25">
      <c r="L303" s="48"/>
      <c r="M303" s="17"/>
    </row>
    <row r="304" spans="12:13" ht="15" customHeight="1" x14ac:dyDescent="0.25">
      <c r="L304" s="48"/>
      <c r="M304" s="17"/>
    </row>
    <row r="305" spans="12:13" ht="15" customHeight="1" x14ac:dyDescent="0.25">
      <c r="L305" s="48"/>
      <c r="M305" s="17"/>
    </row>
    <row r="306" spans="12:13" ht="15" customHeight="1" x14ac:dyDescent="0.25">
      <c r="L306" s="48"/>
      <c r="M306" s="17"/>
    </row>
    <row r="307" spans="12:13" ht="15" customHeight="1" x14ac:dyDescent="0.25">
      <c r="L307" s="48"/>
      <c r="M307" s="17"/>
    </row>
    <row r="308" spans="12:13" ht="15" customHeight="1" x14ac:dyDescent="0.25">
      <c r="L308" s="48"/>
      <c r="M308" s="17"/>
    </row>
    <row r="309" spans="12:13" ht="15" customHeight="1" x14ac:dyDescent="0.25">
      <c r="L309" s="48"/>
      <c r="M309" s="17"/>
    </row>
    <row r="310" spans="12:13" ht="15" customHeight="1" x14ac:dyDescent="0.25">
      <c r="L310" s="48"/>
      <c r="M310" s="17"/>
    </row>
    <row r="311" spans="12:13" ht="15" customHeight="1" x14ac:dyDescent="0.25">
      <c r="L311" s="48"/>
      <c r="M311" s="17"/>
    </row>
    <row r="312" spans="12:13" ht="15" customHeight="1" x14ac:dyDescent="0.25">
      <c r="L312" s="48"/>
      <c r="M312" s="17"/>
    </row>
    <row r="313" spans="12:13" ht="15" customHeight="1" x14ac:dyDescent="0.25">
      <c r="L313" s="48"/>
      <c r="M313" s="17"/>
    </row>
    <row r="314" spans="12:13" ht="15" customHeight="1" x14ac:dyDescent="0.25">
      <c r="L314" s="48"/>
      <c r="M314" s="17"/>
    </row>
    <row r="315" spans="12:13" ht="15" customHeight="1" x14ac:dyDescent="0.25">
      <c r="L315" s="48"/>
      <c r="M315" s="17"/>
    </row>
    <row r="316" spans="12:13" ht="15" customHeight="1" x14ac:dyDescent="0.25">
      <c r="L316" s="48"/>
      <c r="M316" s="17"/>
    </row>
    <row r="317" spans="12:13" ht="15" customHeight="1" x14ac:dyDescent="0.25">
      <c r="L317" s="48"/>
      <c r="M317" s="17"/>
    </row>
    <row r="318" spans="12:13" ht="15" customHeight="1" x14ac:dyDescent="0.25">
      <c r="L318" s="48"/>
      <c r="M318" s="17"/>
    </row>
    <row r="319" spans="12:13" ht="15" customHeight="1" x14ac:dyDescent="0.25">
      <c r="L319" s="16"/>
      <c r="M319" s="17"/>
    </row>
    <row r="320" spans="12:13" ht="15" customHeight="1" x14ac:dyDescent="0.25">
      <c r="L320" s="16"/>
      <c r="M320" s="17"/>
    </row>
    <row r="321" spans="12:13" ht="15" customHeight="1" x14ac:dyDescent="0.25">
      <c r="L321" s="16"/>
      <c r="M321" s="17"/>
    </row>
    <row r="322" spans="12:13" ht="15" customHeight="1" x14ac:dyDescent="0.25">
      <c r="L322" s="16"/>
      <c r="M322" s="17"/>
    </row>
    <row r="323" spans="12:13" ht="15" customHeight="1" x14ac:dyDescent="0.25">
      <c r="L323" s="16"/>
      <c r="M323" s="17"/>
    </row>
    <row r="324" spans="12:13" ht="15" customHeight="1" x14ac:dyDescent="0.25">
      <c r="L324" s="16"/>
      <c r="M324" s="17"/>
    </row>
    <row r="325" spans="12:13" ht="15" customHeight="1" x14ac:dyDescent="0.25">
      <c r="L325" s="16"/>
      <c r="M325" s="17"/>
    </row>
    <row r="326" spans="12:13" ht="15" customHeight="1" x14ac:dyDescent="0.25">
      <c r="L326" s="16"/>
      <c r="M326" s="17"/>
    </row>
    <row r="327" spans="12:13" ht="15" customHeight="1" x14ac:dyDescent="0.25">
      <c r="L327" s="16"/>
      <c r="M327" s="17"/>
    </row>
    <row r="328" spans="12:13" ht="15" customHeight="1" x14ac:dyDescent="0.25">
      <c r="L328" s="16"/>
      <c r="M328" s="17"/>
    </row>
    <row r="329" spans="12:13" ht="15" customHeight="1" x14ac:dyDescent="0.25">
      <c r="L329" s="16"/>
      <c r="M329" s="17"/>
    </row>
    <row r="330" spans="12:13" ht="15" customHeight="1" x14ac:dyDescent="0.25">
      <c r="L330" s="16"/>
      <c r="M330" s="17"/>
    </row>
    <row r="331" spans="12:13" ht="15" customHeight="1" x14ac:dyDescent="0.25">
      <c r="L331" s="16"/>
      <c r="M331" s="17"/>
    </row>
    <row r="332" spans="12:13" ht="15" customHeight="1" x14ac:dyDescent="0.25">
      <c r="L332" s="16"/>
      <c r="M332" s="17"/>
    </row>
    <row r="333" spans="12:13" ht="15" customHeight="1" x14ac:dyDescent="0.25">
      <c r="L333" s="16"/>
      <c r="M333" s="17"/>
    </row>
    <row r="334" spans="12:13" ht="15" customHeight="1" x14ac:dyDescent="0.25">
      <c r="L334" s="16"/>
      <c r="M334" s="17"/>
    </row>
    <row r="335" spans="12:13" ht="15" customHeight="1" x14ac:dyDescent="0.25">
      <c r="L335" s="16"/>
      <c r="M335" s="17"/>
    </row>
    <row r="336" spans="12:13" ht="15" customHeight="1" x14ac:dyDescent="0.25">
      <c r="L336" s="16"/>
      <c r="M336" s="17"/>
    </row>
    <row r="337" spans="12:13" ht="15" customHeight="1" x14ac:dyDescent="0.25">
      <c r="L337" s="16"/>
      <c r="M337" s="17"/>
    </row>
    <row r="338" spans="12:13" ht="15" customHeight="1" x14ac:dyDescent="0.25">
      <c r="L338" s="16"/>
      <c r="M338" s="17"/>
    </row>
    <row r="339" spans="12:13" ht="15" customHeight="1" x14ac:dyDescent="0.25">
      <c r="L339" s="16"/>
      <c r="M339" s="17"/>
    </row>
    <row r="340" spans="12:13" ht="15" customHeight="1" x14ac:dyDescent="0.25">
      <c r="L340" s="16"/>
      <c r="M340" s="17"/>
    </row>
    <row r="341" spans="12:13" ht="15" customHeight="1" x14ac:dyDescent="0.25">
      <c r="L341" s="16"/>
      <c r="M341" s="17"/>
    </row>
    <row r="342" spans="12:13" ht="15" customHeight="1" x14ac:dyDescent="0.25">
      <c r="L342" s="16"/>
      <c r="M342" s="17"/>
    </row>
    <row r="343" spans="12:13" ht="15" customHeight="1" x14ac:dyDescent="0.25">
      <c r="L343" s="16"/>
      <c r="M343" s="17"/>
    </row>
    <row r="344" spans="12:13" ht="15" customHeight="1" x14ac:dyDescent="0.25">
      <c r="L344" s="16"/>
      <c r="M344" s="17"/>
    </row>
    <row r="345" spans="12:13" ht="15" customHeight="1" x14ac:dyDescent="0.25">
      <c r="L345" s="16"/>
      <c r="M345" s="17"/>
    </row>
    <row r="346" spans="12:13" ht="15" customHeight="1" x14ac:dyDescent="0.25">
      <c r="L346" s="16"/>
      <c r="M346" s="17"/>
    </row>
    <row r="347" spans="12:13" ht="15" customHeight="1" x14ac:dyDescent="0.25">
      <c r="L347" s="16"/>
      <c r="M347" s="17"/>
    </row>
    <row r="348" spans="12:13" ht="15" customHeight="1" x14ac:dyDescent="0.25">
      <c r="L348" s="16"/>
      <c r="M348" s="17"/>
    </row>
    <row r="349" spans="12:13" ht="15" customHeight="1" x14ac:dyDescent="0.25">
      <c r="L349" s="16"/>
      <c r="M349" s="17"/>
    </row>
    <row r="350" spans="12:13" ht="15" customHeight="1" x14ac:dyDescent="0.25">
      <c r="L350" s="16"/>
      <c r="M350" s="17"/>
    </row>
    <row r="351" spans="12:13" ht="15" customHeight="1" x14ac:dyDescent="0.25">
      <c r="L351" s="16"/>
      <c r="M351" s="17"/>
    </row>
    <row r="352" spans="12:13" ht="15" customHeight="1" x14ac:dyDescent="0.25">
      <c r="L352" s="16"/>
      <c r="M352" s="17"/>
    </row>
    <row r="353" spans="12:13" ht="15" customHeight="1" x14ac:dyDescent="0.25">
      <c r="L353" s="16"/>
      <c r="M353" s="17"/>
    </row>
    <row r="354" spans="12:13" ht="15" customHeight="1" x14ac:dyDescent="0.25">
      <c r="L354" s="16"/>
      <c r="M354" s="17"/>
    </row>
  </sheetData>
  <autoFilter ref="A4:AQ106" xr:uid="{00000000-0009-0000-0000-000019000000}"/>
  <mergeCells count="50">
    <mergeCell ref="AH2:AM3"/>
    <mergeCell ref="AN2:AQ3"/>
    <mergeCell ref="AH4:AH5"/>
    <mergeCell ref="AI4:AI5"/>
    <mergeCell ref="AJ4:AJ5"/>
    <mergeCell ref="AK4:AK5"/>
    <mergeCell ref="AL4:AL5"/>
    <mergeCell ref="AM4:AM5"/>
    <mergeCell ref="AN4:AN5"/>
    <mergeCell ref="AO4:AO5"/>
    <mergeCell ref="AP4:AP5"/>
    <mergeCell ref="AQ4:AQ5"/>
    <mergeCell ref="W2:AB3"/>
    <mergeCell ref="AC2:AF3"/>
    <mergeCell ref="W4:W5"/>
    <mergeCell ref="X4:X5"/>
    <mergeCell ref="Y4:Y5"/>
    <mergeCell ref="Z4:Z5"/>
    <mergeCell ref="AA4:AA5"/>
    <mergeCell ref="AB4:AB5"/>
    <mergeCell ref="AC4:AC5"/>
    <mergeCell ref="AD4:AD5"/>
    <mergeCell ref="AE4:AE5"/>
    <mergeCell ref="AF4:AF5"/>
    <mergeCell ref="A1:P1"/>
    <mergeCell ref="Q1:R1"/>
    <mergeCell ref="A2:F3"/>
    <mergeCell ref="G2:J3"/>
    <mergeCell ref="I4:I5"/>
    <mergeCell ref="L2:Q3"/>
    <mergeCell ref="R2:U3"/>
    <mergeCell ref="L4:L5"/>
    <mergeCell ref="M4:M5"/>
    <mergeCell ref="N4:N5"/>
    <mergeCell ref="O4:O5"/>
    <mergeCell ref="P4:P5"/>
    <mergeCell ref="A4:A5"/>
    <mergeCell ref="B4:B5"/>
    <mergeCell ref="C4:C5"/>
    <mergeCell ref="D4:D5"/>
    <mergeCell ref="E4:E5"/>
    <mergeCell ref="G4:G5"/>
    <mergeCell ref="H4:H5"/>
    <mergeCell ref="J4:J5"/>
    <mergeCell ref="F4:F5"/>
    <mergeCell ref="Q4:Q5"/>
    <mergeCell ref="R4:R5"/>
    <mergeCell ref="S4:S5"/>
    <mergeCell ref="T4:T5"/>
    <mergeCell ref="U4:U5"/>
  </mergeCells>
  <conditionalFormatting sqref="A7:A58 C35:E58 C7:C34 E31:E34 M85:M354 M54:N58 N39:N53 I59:J68 AH7:AH12 G7:K52 G53:G58 I53:K58 H53:H74 C59:D76 I69:I76">
    <cfRule type="expression" dxfId="3690" priority="1840">
      <formula>AND($A7&lt;&gt;"",MOD(ROW(),2))</formula>
    </cfRule>
  </conditionalFormatting>
  <conditionalFormatting sqref="M54:M58 D35:D76">
    <cfRule type="cellIs" dxfId="3689" priority="1837" operator="equal">
      <formula>$C35</formula>
    </cfRule>
    <cfRule type="cellIs" dxfId="3688" priority="1838" operator="greaterThan">
      <formula>$C35</formula>
    </cfRule>
    <cfRule type="cellIs" dxfId="3687" priority="1839" operator="lessThan">
      <formula>$C35</formula>
    </cfRule>
  </conditionalFormatting>
  <conditionalFormatting sqref="M59:M84">
    <cfRule type="expression" dxfId="3686" priority="1825">
      <formula>AND($A59&lt;&gt;"",MOD(ROW(),2))</formula>
    </cfRule>
  </conditionalFormatting>
  <conditionalFormatting sqref="M59:M84">
    <cfRule type="cellIs" dxfId="3685" priority="1822" operator="equal">
      <formula>$C59</formula>
    </cfRule>
    <cfRule type="cellIs" dxfId="3684" priority="1823" operator="greaterThan">
      <formula>$C59</formula>
    </cfRule>
    <cfRule type="cellIs" dxfId="3683" priority="1824" operator="lessThan">
      <formula>$C59</formula>
    </cfRule>
  </conditionalFormatting>
  <conditionalFormatting sqref="M85:M110">
    <cfRule type="cellIs" dxfId="3682" priority="1818" operator="equal">
      <formula>$C85</formula>
    </cfRule>
    <cfRule type="cellIs" dxfId="3681" priority="1819" operator="greaterThan">
      <formula>$C85</formula>
    </cfRule>
    <cfRule type="cellIs" dxfId="3680" priority="1820" operator="lessThan">
      <formula>$C85</formula>
    </cfRule>
  </conditionalFormatting>
  <conditionalFormatting sqref="M111:M136">
    <cfRule type="cellIs" dxfId="3679" priority="1814" operator="equal">
      <formula>$C111</formula>
    </cfRule>
    <cfRule type="cellIs" dxfId="3678" priority="1815" operator="greaterThan">
      <formula>$C111</formula>
    </cfRule>
    <cfRule type="cellIs" dxfId="3677" priority="1816" operator="lessThan">
      <formula>$C111</formula>
    </cfRule>
  </conditionalFormatting>
  <conditionalFormatting sqref="M137:M162">
    <cfRule type="cellIs" dxfId="3676" priority="1810" operator="equal">
      <formula>$C137</formula>
    </cfRule>
    <cfRule type="cellIs" dxfId="3675" priority="1811" operator="greaterThan">
      <formula>$C137</formula>
    </cfRule>
    <cfRule type="cellIs" dxfId="3674" priority="1812" operator="lessThan">
      <formula>$C137</formula>
    </cfRule>
  </conditionalFormatting>
  <conditionalFormatting sqref="M163:M188">
    <cfRule type="cellIs" dxfId="3673" priority="1806" operator="equal">
      <formula>$C163</formula>
    </cfRule>
    <cfRule type="cellIs" dxfId="3672" priority="1807" operator="greaterThan">
      <formula>$C163</formula>
    </cfRule>
    <cfRule type="cellIs" dxfId="3671" priority="1808" operator="lessThan">
      <formula>$C163</formula>
    </cfRule>
  </conditionalFormatting>
  <conditionalFormatting sqref="M189:M214">
    <cfRule type="cellIs" dxfId="3670" priority="1802" operator="equal">
      <formula>$C189</formula>
    </cfRule>
    <cfRule type="cellIs" dxfId="3669" priority="1803" operator="greaterThan">
      <formula>$C189</formula>
    </cfRule>
    <cfRule type="cellIs" dxfId="3668" priority="1804" operator="lessThan">
      <formula>$C189</formula>
    </cfRule>
  </conditionalFormatting>
  <conditionalFormatting sqref="M215:M240">
    <cfRule type="cellIs" dxfId="3667" priority="1798" operator="equal">
      <formula>$C215</formula>
    </cfRule>
    <cfRule type="cellIs" dxfId="3666" priority="1799" operator="greaterThan">
      <formula>$C215</formula>
    </cfRule>
    <cfRule type="cellIs" dxfId="3665" priority="1800" operator="lessThan">
      <formula>$C215</formula>
    </cfRule>
  </conditionalFormatting>
  <conditionalFormatting sqref="M241:M266">
    <cfRule type="cellIs" dxfId="3664" priority="1794" operator="equal">
      <formula>$C241</formula>
    </cfRule>
    <cfRule type="cellIs" dxfId="3663" priority="1795" operator="greaterThan">
      <formula>$C241</formula>
    </cfRule>
    <cfRule type="cellIs" dxfId="3662" priority="1796" operator="lessThan">
      <formula>$C241</formula>
    </cfRule>
  </conditionalFormatting>
  <conditionalFormatting sqref="M267:M292">
    <cfRule type="cellIs" dxfId="3661" priority="1790" operator="equal">
      <formula>$C267</formula>
    </cfRule>
    <cfRule type="cellIs" dxfId="3660" priority="1791" operator="greaterThan">
      <formula>$C267</formula>
    </cfRule>
    <cfRule type="cellIs" dxfId="3659" priority="1792" operator="lessThan">
      <formula>$C267</formula>
    </cfRule>
  </conditionalFormatting>
  <conditionalFormatting sqref="M293:M318">
    <cfRule type="cellIs" dxfId="3658" priority="1786" operator="equal">
      <formula>$C293</formula>
    </cfRule>
    <cfRule type="cellIs" dxfId="3657" priority="1787" operator="greaterThan">
      <formula>$C293</formula>
    </cfRule>
    <cfRule type="cellIs" dxfId="3656" priority="1788" operator="lessThan">
      <formula>$C293</formula>
    </cfRule>
  </conditionalFormatting>
  <conditionalFormatting sqref="F31:F2989 AM13:AM16">
    <cfRule type="containsText" dxfId="3655" priority="1785" operator="containsText" text="Unpaid Rent">
      <formula>NOT(ISERROR(SEARCH("Unpaid Rent",F13)))</formula>
    </cfRule>
    <cfRule type="containsText" dxfId="3654" priority="1830" stopIfTrue="1" operator="containsText" text="Closed Account">
      <formula>NOT(ISERROR(SEARCH("Closed Account",F13)))</formula>
    </cfRule>
  </conditionalFormatting>
  <conditionalFormatting sqref="N39:N58">
    <cfRule type="expression" dxfId="3653" priority="1836">
      <formula>AND(#REF!&lt;&gt;"",MOD(ROW(),2))</formula>
    </cfRule>
  </conditionalFormatting>
  <conditionalFormatting sqref="N39:N58">
    <cfRule type="expression" dxfId="3652" priority="1835">
      <formula>AND(#REF!&lt;&gt;"",MOD(ROW(),2))</formula>
    </cfRule>
  </conditionalFormatting>
  <conditionalFormatting sqref="N39:N58">
    <cfRule type="cellIs" dxfId="3651" priority="1831" operator="equal">
      <formula>#REF!</formula>
    </cfRule>
    <cfRule type="cellIs" dxfId="3650" priority="1832" operator="greaterThan">
      <formula>#REF!</formula>
    </cfRule>
    <cfRule type="cellIs" dxfId="3649" priority="1833" operator="lessThan">
      <formula>#REF!</formula>
    </cfRule>
  </conditionalFormatting>
  <conditionalFormatting sqref="M319:M321">
    <cfRule type="cellIs" dxfId="3648" priority="1779" operator="equal">
      <formula>$C319</formula>
    </cfRule>
    <cfRule type="cellIs" dxfId="3647" priority="1780" operator="greaterThan">
      <formula>$C319</formula>
    </cfRule>
    <cfRule type="cellIs" dxfId="3646" priority="1781" operator="lessThan">
      <formula>$C319</formula>
    </cfRule>
  </conditionalFormatting>
  <conditionalFormatting sqref="M322:M324">
    <cfRule type="cellIs" dxfId="3645" priority="1773" operator="equal">
      <formula>$C322</formula>
    </cfRule>
    <cfRule type="cellIs" dxfId="3644" priority="1774" operator="greaterThan">
      <formula>$C322</formula>
    </cfRule>
    <cfRule type="cellIs" dxfId="3643" priority="1775" operator="lessThan">
      <formula>$C322</formula>
    </cfRule>
  </conditionalFormatting>
  <conditionalFormatting sqref="M325:M327">
    <cfRule type="cellIs" dxfId="3642" priority="1767" operator="equal">
      <formula>$C325</formula>
    </cfRule>
    <cfRule type="cellIs" dxfId="3641" priority="1768" operator="greaterThan">
      <formula>$C325</formula>
    </cfRule>
    <cfRule type="cellIs" dxfId="3640" priority="1769" operator="lessThan">
      <formula>$C325</formula>
    </cfRule>
  </conditionalFormatting>
  <conditionalFormatting sqref="M328:M330">
    <cfRule type="cellIs" dxfId="3639" priority="1761" operator="equal">
      <formula>$C328</formula>
    </cfRule>
    <cfRule type="cellIs" dxfId="3638" priority="1762" operator="greaterThan">
      <formula>$C328</formula>
    </cfRule>
    <cfRule type="cellIs" dxfId="3637" priority="1763" operator="lessThan">
      <formula>$C328</formula>
    </cfRule>
  </conditionalFormatting>
  <conditionalFormatting sqref="M331:M333">
    <cfRule type="cellIs" dxfId="3636" priority="1755" operator="equal">
      <formula>$C331</formula>
    </cfRule>
    <cfRule type="cellIs" dxfId="3635" priority="1756" operator="greaterThan">
      <formula>$C331</formula>
    </cfRule>
    <cfRule type="cellIs" dxfId="3634" priority="1757" operator="lessThan">
      <formula>$C331</formula>
    </cfRule>
  </conditionalFormatting>
  <conditionalFormatting sqref="M334:M336">
    <cfRule type="cellIs" dxfId="3633" priority="1749" operator="equal">
      <formula>$C334</formula>
    </cfRule>
    <cfRule type="cellIs" dxfId="3632" priority="1750" operator="greaterThan">
      <formula>$C334</formula>
    </cfRule>
    <cfRule type="cellIs" dxfId="3631" priority="1751" operator="lessThan">
      <formula>$C334</formula>
    </cfRule>
  </conditionalFormatting>
  <conditionalFormatting sqref="M337:M339">
    <cfRule type="cellIs" dxfId="3630" priority="1743" operator="equal">
      <formula>$C337</formula>
    </cfRule>
    <cfRule type="cellIs" dxfId="3629" priority="1744" operator="greaterThan">
      <formula>$C337</formula>
    </cfRule>
    <cfRule type="cellIs" dxfId="3628" priority="1745" operator="lessThan">
      <formula>$C337</formula>
    </cfRule>
  </conditionalFormatting>
  <conditionalFormatting sqref="M340:M342">
    <cfRule type="cellIs" dxfId="3627" priority="1737" operator="equal">
      <formula>$C340</formula>
    </cfRule>
    <cfRule type="cellIs" dxfId="3626" priority="1738" operator="greaterThan">
      <formula>$C340</formula>
    </cfRule>
    <cfRule type="cellIs" dxfId="3625" priority="1739" operator="lessThan">
      <formula>$C340</formula>
    </cfRule>
  </conditionalFormatting>
  <conditionalFormatting sqref="M343:M345">
    <cfRule type="cellIs" dxfId="3624" priority="1731" operator="equal">
      <formula>$C343</formula>
    </cfRule>
    <cfRule type="cellIs" dxfId="3623" priority="1732" operator="greaterThan">
      <formula>$C343</formula>
    </cfRule>
    <cfRule type="cellIs" dxfId="3622" priority="1733" operator="lessThan">
      <formula>$C343</formula>
    </cfRule>
  </conditionalFormatting>
  <conditionalFormatting sqref="M346:M348">
    <cfRule type="cellIs" dxfId="3621" priority="1725" operator="equal">
      <formula>$C346</formula>
    </cfRule>
    <cfRule type="cellIs" dxfId="3620" priority="1726" operator="greaterThan">
      <formula>$C346</formula>
    </cfRule>
    <cfRule type="cellIs" dxfId="3619" priority="1727" operator="lessThan">
      <formula>$C346</formula>
    </cfRule>
  </conditionalFormatting>
  <conditionalFormatting sqref="M349:M351">
    <cfRule type="cellIs" dxfId="3618" priority="1719" operator="equal">
      <formula>$C349</formula>
    </cfRule>
    <cfRule type="cellIs" dxfId="3617" priority="1720" operator="greaterThan">
      <formula>$C349</formula>
    </cfRule>
    <cfRule type="cellIs" dxfId="3616" priority="1721" operator="lessThan">
      <formula>$C349</formula>
    </cfRule>
  </conditionalFormatting>
  <conditionalFormatting sqref="M352:M354">
    <cfRule type="cellIs" dxfId="3615" priority="1713" operator="equal">
      <formula>$C352</formula>
    </cfRule>
    <cfRule type="cellIs" dxfId="3614" priority="1714" operator="greaterThan">
      <formula>$C352</formula>
    </cfRule>
    <cfRule type="cellIs" dxfId="3613" priority="1715" operator="lessThan">
      <formula>$C352</formula>
    </cfRule>
  </conditionalFormatting>
  <conditionalFormatting sqref="D7:E7">
    <cfRule type="expression" dxfId="3612" priority="1712">
      <formula>AND($A7&lt;&gt;"",MOD(ROW(),2))</formula>
    </cfRule>
  </conditionalFormatting>
  <conditionalFormatting sqref="D7">
    <cfRule type="cellIs" dxfId="3611" priority="1709" operator="equal">
      <formula>$C7</formula>
    </cfRule>
    <cfRule type="cellIs" dxfId="3610" priority="1710" operator="greaterThan">
      <formula>$C7</formula>
    </cfRule>
    <cfRule type="cellIs" dxfId="3609" priority="1711" operator="lessThan">
      <formula>$C7</formula>
    </cfRule>
  </conditionalFormatting>
  <conditionalFormatting sqref="D8:E8">
    <cfRule type="expression" dxfId="3608" priority="1708">
      <formula>AND($A8&lt;&gt;"",MOD(ROW(),2))</formula>
    </cfRule>
  </conditionalFormatting>
  <conditionalFormatting sqref="D8">
    <cfRule type="cellIs" dxfId="3607" priority="1705" operator="equal">
      <formula>$C8</formula>
    </cfRule>
    <cfRule type="cellIs" dxfId="3606" priority="1706" operator="greaterThan">
      <formula>$C8</formula>
    </cfRule>
    <cfRule type="cellIs" dxfId="3605" priority="1707" operator="lessThan">
      <formula>$C8</formula>
    </cfRule>
  </conditionalFormatting>
  <conditionalFormatting sqref="D9:E9">
    <cfRule type="expression" dxfId="3604" priority="1704">
      <formula>AND($A9&lt;&gt;"",MOD(ROW(),2))</formula>
    </cfRule>
  </conditionalFormatting>
  <conditionalFormatting sqref="D9">
    <cfRule type="cellIs" dxfId="3603" priority="1701" operator="equal">
      <formula>$C9</formula>
    </cfRule>
    <cfRule type="cellIs" dxfId="3602" priority="1702" operator="greaterThan">
      <formula>$C9</formula>
    </cfRule>
    <cfRule type="cellIs" dxfId="3601" priority="1703" operator="lessThan">
      <formula>$C9</formula>
    </cfRule>
  </conditionalFormatting>
  <conditionalFormatting sqref="D10:E10">
    <cfRule type="expression" dxfId="3600" priority="1700">
      <formula>AND($A10&lt;&gt;"",MOD(ROW(),2))</formula>
    </cfRule>
  </conditionalFormatting>
  <conditionalFormatting sqref="D10">
    <cfRule type="cellIs" dxfId="3599" priority="1697" operator="equal">
      <formula>$C10</formula>
    </cfRule>
    <cfRule type="cellIs" dxfId="3598" priority="1698" operator="greaterThan">
      <formula>$C10</formula>
    </cfRule>
    <cfRule type="cellIs" dxfId="3597" priority="1699" operator="lessThan">
      <formula>$C10</formula>
    </cfRule>
  </conditionalFormatting>
  <conditionalFormatting sqref="D11:E11">
    <cfRule type="expression" dxfId="3596" priority="1696">
      <formula>AND($A11&lt;&gt;"",MOD(ROW(),2))</formula>
    </cfRule>
  </conditionalFormatting>
  <conditionalFormatting sqref="D11">
    <cfRule type="cellIs" dxfId="3595" priority="1693" operator="equal">
      <formula>$C11</formula>
    </cfRule>
    <cfRule type="cellIs" dxfId="3594" priority="1694" operator="greaterThan">
      <formula>$C11</formula>
    </cfRule>
    <cfRule type="cellIs" dxfId="3593" priority="1695" operator="lessThan">
      <formula>$C11</formula>
    </cfRule>
  </conditionalFormatting>
  <conditionalFormatting sqref="D12:E12">
    <cfRule type="expression" dxfId="3592" priority="1692">
      <formula>AND($A12&lt;&gt;"",MOD(ROW(),2))</formula>
    </cfRule>
  </conditionalFormatting>
  <conditionalFormatting sqref="D12">
    <cfRule type="cellIs" dxfId="3591" priority="1689" operator="equal">
      <formula>$C12</formula>
    </cfRule>
    <cfRule type="cellIs" dxfId="3590" priority="1690" operator="greaterThan">
      <formula>$C12</formula>
    </cfRule>
    <cfRule type="cellIs" dxfId="3589" priority="1691" operator="lessThan">
      <formula>$C12</formula>
    </cfRule>
  </conditionalFormatting>
  <conditionalFormatting sqref="D13:E13">
    <cfRule type="expression" dxfId="3588" priority="1688">
      <formula>AND($A13&lt;&gt;"",MOD(ROW(),2))</formula>
    </cfRule>
  </conditionalFormatting>
  <conditionalFormatting sqref="D13">
    <cfRule type="cellIs" dxfId="3587" priority="1685" operator="equal">
      <formula>$C13</formula>
    </cfRule>
    <cfRule type="cellIs" dxfId="3586" priority="1686" operator="greaterThan">
      <formula>$C13</formula>
    </cfRule>
    <cfRule type="cellIs" dxfId="3585" priority="1687" operator="lessThan">
      <formula>$C13</formula>
    </cfRule>
  </conditionalFormatting>
  <conditionalFormatting sqref="D14:E14">
    <cfRule type="expression" dxfId="3584" priority="1684">
      <formula>AND($A14&lt;&gt;"",MOD(ROW(),2))</formula>
    </cfRule>
  </conditionalFormatting>
  <conditionalFormatting sqref="D14">
    <cfRule type="cellIs" dxfId="3583" priority="1681" operator="equal">
      <formula>$C14</formula>
    </cfRule>
    <cfRule type="cellIs" dxfId="3582" priority="1682" operator="greaterThan">
      <formula>$C14</formula>
    </cfRule>
    <cfRule type="cellIs" dxfId="3581" priority="1683" operator="lessThan">
      <formula>$C14</formula>
    </cfRule>
  </conditionalFormatting>
  <conditionalFormatting sqref="D15:E15">
    <cfRule type="expression" dxfId="3580" priority="1680">
      <formula>AND($A15&lt;&gt;"",MOD(ROW(),2))</formula>
    </cfRule>
  </conditionalFormatting>
  <conditionalFormatting sqref="D15">
    <cfRule type="cellIs" dxfId="3579" priority="1677" operator="equal">
      <formula>$C15</formula>
    </cfRule>
    <cfRule type="cellIs" dxfId="3578" priority="1678" operator="greaterThan">
      <formula>$C15</formula>
    </cfRule>
    <cfRule type="cellIs" dxfId="3577" priority="1679" operator="lessThan">
      <formula>$C15</formula>
    </cfRule>
  </conditionalFormatting>
  <conditionalFormatting sqref="D16:E16">
    <cfRule type="expression" dxfId="3576" priority="1676">
      <formula>AND($A16&lt;&gt;"",MOD(ROW(),2))</formula>
    </cfRule>
  </conditionalFormatting>
  <conditionalFormatting sqref="D16">
    <cfRule type="cellIs" dxfId="3575" priority="1673" operator="equal">
      <formula>$C16</formula>
    </cfRule>
    <cfRule type="cellIs" dxfId="3574" priority="1674" operator="greaterThan">
      <formula>$C16</formula>
    </cfRule>
    <cfRule type="cellIs" dxfId="3573" priority="1675" operator="lessThan">
      <formula>$C16</formula>
    </cfRule>
  </conditionalFormatting>
  <conditionalFormatting sqref="D17:E17">
    <cfRule type="expression" dxfId="3572" priority="1672">
      <formula>AND($A17&lt;&gt;"",MOD(ROW(),2))</formula>
    </cfRule>
  </conditionalFormatting>
  <conditionalFormatting sqref="D17">
    <cfRule type="cellIs" dxfId="3571" priority="1669" operator="equal">
      <formula>$C17</formula>
    </cfRule>
    <cfRule type="cellIs" dxfId="3570" priority="1670" operator="greaterThan">
      <formula>$C17</formula>
    </cfRule>
    <cfRule type="cellIs" dxfId="3569" priority="1671" operator="lessThan">
      <formula>$C17</formula>
    </cfRule>
  </conditionalFormatting>
  <conditionalFormatting sqref="D18:E18">
    <cfRule type="expression" dxfId="3568" priority="1668">
      <formula>AND($A18&lt;&gt;"",MOD(ROW(),2))</formula>
    </cfRule>
  </conditionalFormatting>
  <conditionalFormatting sqref="D18">
    <cfRule type="cellIs" dxfId="3567" priority="1665" operator="equal">
      <formula>$C18</formula>
    </cfRule>
    <cfRule type="cellIs" dxfId="3566" priority="1666" operator="greaterThan">
      <formula>$C18</formula>
    </cfRule>
    <cfRule type="cellIs" dxfId="3565" priority="1667" operator="lessThan">
      <formula>$C18</formula>
    </cfRule>
  </conditionalFormatting>
  <conditionalFormatting sqref="F7:F18">
    <cfRule type="containsText" dxfId="3564" priority="1663" operator="containsText" text="Unpaid Rent">
      <formula>NOT(ISERROR(SEARCH("Unpaid Rent",F7)))</formula>
    </cfRule>
    <cfRule type="containsText" dxfId="3563" priority="1664" stopIfTrue="1" operator="containsText" text="Closed Account">
      <formula>NOT(ISERROR(SEARCH("Closed Account",F7)))</formula>
    </cfRule>
  </conditionalFormatting>
  <conditionalFormatting sqref="F19:F30">
    <cfRule type="containsText" dxfId="3562" priority="1661" operator="containsText" text="Unpaid Rent">
      <formula>NOT(ISERROR(SEARCH("Unpaid Rent",F19)))</formula>
    </cfRule>
    <cfRule type="containsText" dxfId="3561" priority="1662" stopIfTrue="1" operator="containsText" text="Closed Account">
      <formula>NOT(ISERROR(SEARCH("Closed Account",F19)))</formula>
    </cfRule>
  </conditionalFormatting>
  <conditionalFormatting sqref="D19:E19">
    <cfRule type="expression" dxfId="3560" priority="1660">
      <formula>AND($A19&lt;&gt;"",MOD(ROW(),2))</formula>
    </cfRule>
  </conditionalFormatting>
  <conditionalFormatting sqref="D19">
    <cfRule type="cellIs" dxfId="3559" priority="1657" operator="equal">
      <formula>$C19</formula>
    </cfRule>
    <cfRule type="cellIs" dxfId="3558" priority="1658" operator="greaterThan">
      <formula>$C19</formula>
    </cfRule>
    <cfRule type="cellIs" dxfId="3557" priority="1659" operator="lessThan">
      <formula>$C19</formula>
    </cfRule>
  </conditionalFormatting>
  <conditionalFormatting sqref="D20:E20">
    <cfRule type="expression" dxfId="3556" priority="1656">
      <formula>AND($A20&lt;&gt;"",MOD(ROW(),2))</formula>
    </cfRule>
  </conditionalFormatting>
  <conditionalFormatting sqref="D20">
    <cfRule type="cellIs" dxfId="3555" priority="1653" operator="equal">
      <formula>$C20</formula>
    </cfRule>
    <cfRule type="cellIs" dxfId="3554" priority="1654" operator="greaterThan">
      <formula>$C20</formula>
    </cfRule>
    <cfRule type="cellIs" dxfId="3553" priority="1655" operator="lessThan">
      <formula>$C20</formula>
    </cfRule>
  </conditionalFormatting>
  <conditionalFormatting sqref="D21:E21">
    <cfRule type="expression" dxfId="3552" priority="1652">
      <formula>AND($A21&lt;&gt;"",MOD(ROW(),2))</formula>
    </cfRule>
  </conditionalFormatting>
  <conditionalFormatting sqref="D21">
    <cfRule type="cellIs" dxfId="3551" priority="1649" operator="equal">
      <formula>$C21</formula>
    </cfRule>
    <cfRule type="cellIs" dxfId="3550" priority="1650" operator="greaterThan">
      <formula>$C21</formula>
    </cfRule>
    <cfRule type="cellIs" dxfId="3549" priority="1651" operator="lessThan">
      <formula>$C21</formula>
    </cfRule>
  </conditionalFormatting>
  <conditionalFormatting sqref="D22:E22">
    <cfRule type="expression" dxfId="3548" priority="1648">
      <formula>AND($A22&lt;&gt;"",MOD(ROW(),2))</formula>
    </cfRule>
  </conditionalFormatting>
  <conditionalFormatting sqref="D22">
    <cfRule type="cellIs" dxfId="3547" priority="1645" operator="equal">
      <formula>$C22</formula>
    </cfRule>
    <cfRule type="cellIs" dxfId="3546" priority="1646" operator="greaterThan">
      <formula>$C22</formula>
    </cfRule>
    <cfRule type="cellIs" dxfId="3545" priority="1647" operator="lessThan">
      <formula>$C22</formula>
    </cfRule>
  </conditionalFormatting>
  <conditionalFormatting sqref="D23:E23">
    <cfRule type="expression" dxfId="3544" priority="1644">
      <formula>AND($A23&lt;&gt;"",MOD(ROW(),2))</formula>
    </cfRule>
  </conditionalFormatting>
  <conditionalFormatting sqref="D23">
    <cfRule type="cellIs" dxfId="3543" priority="1641" operator="equal">
      <formula>$C23</formula>
    </cfRule>
    <cfRule type="cellIs" dxfId="3542" priority="1642" operator="greaterThan">
      <formula>$C23</formula>
    </cfRule>
    <cfRule type="cellIs" dxfId="3541" priority="1643" operator="lessThan">
      <formula>$C23</formula>
    </cfRule>
  </conditionalFormatting>
  <conditionalFormatting sqref="D24:E24">
    <cfRule type="expression" dxfId="3540" priority="1640">
      <formula>AND($A24&lt;&gt;"",MOD(ROW(),2))</formula>
    </cfRule>
  </conditionalFormatting>
  <conditionalFormatting sqref="D24">
    <cfRule type="cellIs" dxfId="3539" priority="1637" operator="equal">
      <formula>$C24</formula>
    </cfRule>
    <cfRule type="cellIs" dxfId="3538" priority="1638" operator="greaterThan">
      <formula>$C24</formula>
    </cfRule>
    <cfRule type="cellIs" dxfId="3537" priority="1639" operator="lessThan">
      <formula>$C24</formula>
    </cfRule>
  </conditionalFormatting>
  <conditionalFormatting sqref="E25">
    <cfRule type="expression" dxfId="3536" priority="1636">
      <formula>AND($A25&lt;&gt;"",MOD(ROW(),2))</formula>
    </cfRule>
  </conditionalFormatting>
  <conditionalFormatting sqref="E26">
    <cfRule type="expression" dxfId="3535" priority="1632">
      <formula>AND($A26&lt;&gt;"",MOD(ROW(),2))</formula>
    </cfRule>
  </conditionalFormatting>
  <conditionalFormatting sqref="E27">
    <cfRule type="expression" dxfId="3534" priority="1628">
      <formula>AND($A27&lt;&gt;"",MOD(ROW(),2))</formula>
    </cfRule>
  </conditionalFormatting>
  <conditionalFormatting sqref="E28">
    <cfRule type="expression" dxfId="3533" priority="1624">
      <formula>AND($A28&lt;&gt;"",MOD(ROW(),2))</formula>
    </cfRule>
  </conditionalFormatting>
  <conditionalFormatting sqref="E29">
    <cfRule type="expression" dxfId="3532" priority="1620">
      <formula>AND($A29&lt;&gt;"",MOD(ROW(),2))</formula>
    </cfRule>
  </conditionalFormatting>
  <conditionalFormatting sqref="E30">
    <cfRule type="expression" dxfId="3531" priority="1616">
      <formula>AND($A30&lt;&gt;"",MOD(ROW(),2))</formula>
    </cfRule>
  </conditionalFormatting>
  <conditionalFormatting sqref="D25:D34">
    <cfRule type="expression" dxfId="3530" priority="1612">
      <formula>AND($A25&lt;&gt;"",MOD(ROW(),2))</formula>
    </cfRule>
  </conditionalFormatting>
  <conditionalFormatting sqref="N9:N12 T32:T34 S32:S45 L9:L18 S13:U18 S19:T20 S21:U21 S22:T22 S26:T26 S23:S25 R27:U29 S30:T31 S7:U8 R12:R14 U23:U52 R9:U12 T12:U14 T15:T19">
    <cfRule type="expression" dxfId="3529" priority="1611">
      <formula>AND($A7&lt;&gt;"",MOD(ROW(),2))</formula>
    </cfRule>
  </conditionalFormatting>
  <conditionalFormatting sqref="Q45:Q46">
    <cfRule type="containsText" dxfId="3528" priority="1609" operator="containsText" text="Unpaid Rent">
      <formula>NOT(ISERROR(SEARCH("Unpaid Rent",Q45)))</formula>
    </cfRule>
    <cfRule type="containsText" dxfId="3527" priority="1610" stopIfTrue="1" operator="containsText" text="Closed Account">
      <formula>NOT(ISERROR(SEARCH("Closed Account",Q45)))</formula>
    </cfRule>
  </conditionalFormatting>
  <conditionalFormatting sqref="O9:P9">
    <cfRule type="expression" dxfId="3526" priority="1600">
      <formula>AND($A9&lt;&gt;"",MOD(ROW(),2))</formula>
    </cfRule>
  </conditionalFormatting>
  <conditionalFormatting sqref="O9">
    <cfRule type="cellIs" dxfId="3525" priority="1597" operator="equal">
      <formula>$C9</formula>
    </cfRule>
    <cfRule type="cellIs" dxfId="3524" priority="1598" operator="greaterThan">
      <formula>$C9</formula>
    </cfRule>
    <cfRule type="cellIs" dxfId="3523" priority="1599" operator="lessThan">
      <formula>$C9</formula>
    </cfRule>
  </conditionalFormatting>
  <conditionalFormatting sqref="O10:P10">
    <cfRule type="expression" dxfId="3522" priority="1596">
      <formula>AND($A10&lt;&gt;"",MOD(ROW(),2))</formula>
    </cfRule>
  </conditionalFormatting>
  <conditionalFormatting sqref="O10">
    <cfRule type="cellIs" dxfId="3521" priority="1593" operator="equal">
      <formula>$C10</formula>
    </cfRule>
    <cfRule type="cellIs" dxfId="3520" priority="1594" operator="greaterThan">
      <formula>$C10</formula>
    </cfRule>
    <cfRule type="cellIs" dxfId="3519" priority="1595" operator="lessThan">
      <formula>$C10</formula>
    </cfRule>
  </conditionalFormatting>
  <conditionalFormatting sqref="O11:P11">
    <cfRule type="expression" dxfId="3518" priority="1592">
      <formula>AND($A11&lt;&gt;"",MOD(ROW(),2))</formula>
    </cfRule>
  </conditionalFormatting>
  <conditionalFormatting sqref="O11">
    <cfRule type="cellIs" dxfId="3517" priority="1589" operator="equal">
      <formula>$C11</formula>
    </cfRule>
    <cfRule type="cellIs" dxfId="3516" priority="1590" operator="greaterThan">
      <formula>$C11</formula>
    </cfRule>
    <cfRule type="cellIs" dxfId="3515" priority="1591" operator="lessThan">
      <formula>$C11</formula>
    </cfRule>
  </conditionalFormatting>
  <conditionalFormatting sqref="O12:P12">
    <cfRule type="expression" dxfId="3514" priority="1588">
      <formula>AND($A12&lt;&gt;"",MOD(ROW(),2))</formula>
    </cfRule>
  </conditionalFormatting>
  <conditionalFormatting sqref="O12">
    <cfRule type="cellIs" dxfId="3513" priority="1585" operator="equal">
      <formula>$C12</formula>
    </cfRule>
    <cfRule type="cellIs" dxfId="3512" priority="1586" operator="greaterThan">
      <formula>$C12</formula>
    </cfRule>
    <cfRule type="cellIs" dxfId="3511" priority="1587" operator="lessThan">
      <formula>$C12</formula>
    </cfRule>
  </conditionalFormatting>
  <conditionalFormatting sqref="Q9:Q12">
    <cfRule type="containsText" dxfId="3510" priority="1559" operator="containsText" text="Unpaid Rent">
      <formula>NOT(ISERROR(SEARCH("Unpaid Rent",Q9)))</formula>
    </cfRule>
    <cfRule type="containsText" dxfId="3509" priority="1560" stopIfTrue="1" operator="containsText" text="Closed Account">
      <formula>NOT(ISERROR(SEARCH("Closed Account",Q9)))</formula>
    </cfRule>
  </conditionalFormatting>
  <conditionalFormatting sqref="O39:O52">
    <cfRule type="expression" dxfId="3508" priority="1521">
      <formula>AND($A39&lt;&gt;"",MOD(ROW(),2))</formula>
    </cfRule>
  </conditionalFormatting>
  <conditionalFormatting sqref="L39">
    <cfRule type="expression" dxfId="3507" priority="1516">
      <formula>AND($A39&lt;&gt;"",MOD(ROW(),2))</formula>
    </cfRule>
  </conditionalFormatting>
  <conditionalFormatting sqref="L40">
    <cfRule type="expression" dxfId="3506" priority="1515">
      <formula>AND($A40&lt;&gt;"",MOD(ROW(),2))</formula>
    </cfRule>
  </conditionalFormatting>
  <conditionalFormatting sqref="L41">
    <cfRule type="expression" dxfId="3505" priority="1514">
      <formula>AND($A41&lt;&gt;"",MOD(ROW(),2))</formula>
    </cfRule>
  </conditionalFormatting>
  <conditionalFormatting sqref="L42">
    <cfRule type="expression" dxfId="3504" priority="1513">
      <formula>AND($A42&lt;&gt;"",MOD(ROW(),2))</formula>
    </cfRule>
  </conditionalFormatting>
  <conditionalFormatting sqref="L39">
    <cfRule type="expression" dxfId="3503" priority="1504">
      <formula>AND($A39&lt;&gt;"",MOD(ROW(),2))</formula>
    </cfRule>
  </conditionalFormatting>
  <conditionalFormatting sqref="L40">
    <cfRule type="expression" dxfId="3502" priority="1503">
      <formula>AND($A40&lt;&gt;"",MOD(ROW(),2))</formula>
    </cfRule>
  </conditionalFormatting>
  <conditionalFormatting sqref="L41">
    <cfRule type="expression" dxfId="3501" priority="1502">
      <formula>AND($A41&lt;&gt;"",MOD(ROW(),2))</formula>
    </cfRule>
  </conditionalFormatting>
  <conditionalFormatting sqref="L42">
    <cfRule type="expression" dxfId="3500" priority="1501">
      <formula>AND($A42&lt;&gt;"",MOD(ROW(),2))</formula>
    </cfRule>
  </conditionalFormatting>
  <conditionalFormatting sqref="L43">
    <cfRule type="expression" dxfId="3499" priority="1500">
      <formula>AND($A43&lt;&gt;"",MOD(ROW(),2))</formula>
    </cfRule>
  </conditionalFormatting>
  <conditionalFormatting sqref="L44">
    <cfRule type="expression" dxfId="3498" priority="1499">
      <formula>AND($A44&lt;&gt;"",MOD(ROW(),2))</formula>
    </cfRule>
  </conditionalFormatting>
  <conditionalFormatting sqref="L45">
    <cfRule type="expression" dxfId="3497" priority="1498">
      <formula>AND($A45&lt;&gt;"",MOD(ROW(),2))</formula>
    </cfRule>
  </conditionalFormatting>
  <conditionalFormatting sqref="L46">
    <cfRule type="expression" dxfId="3496" priority="1497">
      <formula>AND($A46&lt;&gt;"",MOD(ROW(),2))</formula>
    </cfRule>
  </conditionalFormatting>
  <conditionalFormatting sqref="S46">
    <cfRule type="expression" dxfId="3495" priority="1496">
      <formula>AND($A46&lt;&gt;"",MOD(ROW(),2))</formula>
    </cfRule>
  </conditionalFormatting>
  <conditionalFormatting sqref="L47">
    <cfRule type="expression" dxfId="3494" priority="1495">
      <formula>AND($A47&lt;&gt;"",MOD(ROW(),2))</formula>
    </cfRule>
  </conditionalFormatting>
  <conditionalFormatting sqref="L47">
    <cfRule type="expression" dxfId="3493" priority="1494">
      <formula>AND($A47&lt;&gt;"",MOD(ROW(),2))</formula>
    </cfRule>
  </conditionalFormatting>
  <conditionalFormatting sqref="S47">
    <cfRule type="expression" dxfId="3492" priority="1493">
      <formula>AND($A47&lt;&gt;"",MOD(ROW(),2))</formula>
    </cfRule>
  </conditionalFormatting>
  <conditionalFormatting sqref="L48">
    <cfRule type="expression" dxfId="3491" priority="1492">
      <formula>AND($A48&lt;&gt;"",MOD(ROW(),2))</formula>
    </cfRule>
  </conditionalFormatting>
  <conditionalFormatting sqref="L48">
    <cfRule type="expression" dxfId="3490" priority="1491">
      <formula>AND($A48&lt;&gt;"",MOD(ROW(),2))</formula>
    </cfRule>
  </conditionalFormatting>
  <conditionalFormatting sqref="L49">
    <cfRule type="expression" dxfId="3489" priority="1490">
      <formula>AND($A49&lt;&gt;"",MOD(ROW(),2))</formula>
    </cfRule>
  </conditionalFormatting>
  <conditionalFormatting sqref="L49">
    <cfRule type="expression" dxfId="3488" priority="1489">
      <formula>AND($A49&lt;&gt;"",MOD(ROW(),2))</formula>
    </cfRule>
  </conditionalFormatting>
  <conditionalFormatting sqref="L50">
    <cfRule type="expression" dxfId="3487" priority="1488">
      <formula>AND($A50&lt;&gt;"",MOD(ROW(),2))</formula>
    </cfRule>
  </conditionalFormatting>
  <conditionalFormatting sqref="L50">
    <cfRule type="expression" dxfId="3486" priority="1487">
      <formula>AND($A50&lt;&gt;"",MOD(ROW(),2))</formula>
    </cfRule>
  </conditionalFormatting>
  <conditionalFormatting sqref="L51">
    <cfRule type="expression" dxfId="3485" priority="1486">
      <formula>AND($A51&lt;&gt;"",MOD(ROW(),2))</formula>
    </cfRule>
  </conditionalFormatting>
  <conditionalFormatting sqref="L51">
    <cfRule type="expression" dxfId="3484" priority="1485">
      <formula>AND($A51&lt;&gt;"",MOD(ROW(),2))</formula>
    </cfRule>
  </conditionalFormatting>
  <conditionalFormatting sqref="L52">
    <cfRule type="expression" dxfId="3483" priority="1484">
      <formula>AND($A52&lt;&gt;"",MOD(ROW(),2))</formula>
    </cfRule>
  </conditionalFormatting>
  <conditionalFormatting sqref="L52">
    <cfRule type="expression" dxfId="3482" priority="1483">
      <formula>AND($A52&lt;&gt;"",MOD(ROW(),2))</formula>
    </cfRule>
  </conditionalFormatting>
  <conditionalFormatting sqref="S48">
    <cfRule type="expression" dxfId="3481" priority="1482">
      <formula>AND($A48&lt;&gt;"",MOD(ROW(),2))</formula>
    </cfRule>
  </conditionalFormatting>
  <conditionalFormatting sqref="S49">
    <cfRule type="expression" dxfId="3480" priority="1480">
      <formula>AND($A49&lt;&gt;"",MOD(ROW(),2))</formula>
    </cfRule>
  </conditionalFormatting>
  <conditionalFormatting sqref="S50">
    <cfRule type="expression" dxfId="3479" priority="1479">
      <formula>AND($A50&lt;&gt;"",MOD(ROW(),2))</formula>
    </cfRule>
  </conditionalFormatting>
  <conditionalFormatting sqref="S51">
    <cfRule type="expression" dxfId="3478" priority="1478">
      <formula>AND($A51&lt;&gt;"",MOD(ROW(),2))</formula>
    </cfRule>
  </conditionalFormatting>
  <conditionalFormatting sqref="S52">
    <cfRule type="expression" dxfId="3477" priority="1477">
      <formula>AND($A52&lt;&gt;"",MOD(ROW(),2))</formula>
    </cfRule>
  </conditionalFormatting>
  <conditionalFormatting sqref="AC7:AF11 Y7:Y11 AD12:AF26 W7:W27 W30:W32 AE27:AF37">
    <cfRule type="expression" dxfId="3476" priority="1476">
      <formula>AND($A7&lt;&gt;"",MOD(ROW(),2))</formula>
    </cfRule>
  </conditionalFormatting>
  <conditionalFormatting sqref="Z7:AA7">
    <cfRule type="expression" dxfId="3475" priority="1475">
      <formula>AND($A7&lt;&gt;"",MOD(ROW(),2))</formula>
    </cfRule>
  </conditionalFormatting>
  <conditionalFormatting sqref="Z7">
    <cfRule type="cellIs" dxfId="3474" priority="1472" operator="equal">
      <formula>$C7</formula>
    </cfRule>
    <cfRule type="cellIs" dxfId="3473" priority="1473" operator="greaterThan">
      <formula>$C7</formula>
    </cfRule>
    <cfRule type="cellIs" dxfId="3472" priority="1474" operator="lessThan">
      <formula>$C7</formula>
    </cfRule>
  </conditionalFormatting>
  <conditionalFormatting sqref="Z8:AA8">
    <cfRule type="expression" dxfId="3471" priority="1471">
      <formula>AND($A8&lt;&gt;"",MOD(ROW(),2))</formula>
    </cfRule>
  </conditionalFormatting>
  <conditionalFormatting sqref="Z8">
    <cfRule type="cellIs" dxfId="3470" priority="1468" operator="equal">
      <formula>$C8</formula>
    </cfRule>
    <cfRule type="cellIs" dxfId="3469" priority="1469" operator="greaterThan">
      <formula>$C8</formula>
    </cfRule>
    <cfRule type="cellIs" dxfId="3468" priority="1470" operator="lessThan">
      <formula>$C8</formula>
    </cfRule>
  </conditionalFormatting>
  <conditionalFormatting sqref="Z9:AA9">
    <cfRule type="expression" dxfId="3467" priority="1467">
      <formula>AND($A9&lt;&gt;"",MOD(ROW(),2))</formula>
    </cfRule>
  </conditionalFormatting>
  <conditionalFormatting sqref="Z9">
    <cfRule type="cellIs" dxfId="3466" priority="1464" operator="equal">
      <formula>$C9</formula>
    </cfRule>
    <cfRule type="cellIs" dxfId="3465" priority="1465" operator="greaterThan">
      <formula>$C9</formula>
    </cfRule>
    <cfRule type="cellIs" dxfId="3464" priority="1466" operator="lessThan">
      <formula>$C9</formula>
    </cfRule>
  </conditionalFormatting>
  <conditionalFormatting sqref="Z10:AA10">
    <cfRule type="expression" dxfId="3463" priority="1463">
      <formula>AND($A10&lt;&gt;"",MOD(ROW(),2))</formula>
    </cfRule>
  </conditionalFormatting>
  <conditionalFormatting sqref="Z10">
    <cfRule type="cellIs" dxfId="3462" priority="1460" operator="equal">
      <formula>$C10</formula>
    </cfRule>
    <cfRule type="cellIs" dxfId="3461" priority="1461" operator="greaterThan">
      <formula>$C10</formula>
    </cfRule>
    <cfRule type="cellIs" dxfId="3460" priority="1462" operator="lessThan">
      <formula>$C10</formula>
    </cfRule>
  </conditionalFormatting>
  <conditionalFormatting sqref="Z11:AA11">
    <cfRule type="expression" dxfId="3459" priority="1459">
      <formula>AND($A11&lt;&gt;"",MOD(ROW(),2))</formula>
    </cfRule>
  </conditionalFormatting>
  <conditionalFormatting sqref="Z11">
    <cfRule type="cellIs" dxfId="3458" priority="1456" operator="equal">
      <formula>$C11</formula>
    </cfRule>
    <cfRule type="cellIs" dxfId="3457" priority="1457" operator="greaterThan">
      <formula>$C11</formula>
    </cfRule>
    <cfRule type="cellIs" dxfId="3456" priority="1458" operator="lessThan">
      <formula>$C11</formula>
    </cfRule>
  </conditionalFormatting>
  <conditionalFormatting sqref="AB7:AB16">
    <cfRule type="containsText" dxfId="3455" priority="1454" operator="containsText" text="Unpaid Rent">
      <formula>NOT(ISERROR(SEARCH("Unpaid Rent",AB7)))</formula>
    </cfRule>
    <cfRule type="containsText" dxfId="3454" priority="1455" stopIfTrue="1" operator="containsText" text="Closed Account">
      <formula>NOT(ISERROR(SEARCH("Closed Account",AB7)))</formula>
    </cfRule>
  </conditionalFormatting>
  <conditionalFormatting sqref="AA12">
    <cfRule type="expression" dxfId="3453" priority="1453">
      <formula>AND($A12&lt;&gt;"",MOD(ROW(),2))</formula>
    </cfRule>
  </conditionalFormatting>
  <conditionalFormatting sqref="AA13">
    <cfRule type="expression" dxfId="3452" priority="1452">
      <formula>AND($A13&lt;&gt;"",MOD(ROW(),2))</formula>
    </cfRule>
  </conditionalFormatting>
  <conditionalFormatting sqref="Z12">
    <cfRule type="expression" dxfId="3451" priority="1451">
      <formula>AND($A12&lt;&gt;"",MOD(ROW(),2))</formula>
    </cfRule>
  </conditionalFormatting>
  <conditionalFormatting sqref="Z12">
    <cfRule type="cellIs" dxfId="3450" priority="1448" operator="equal">
      <formula>$C12</formula>
    </cfRule>
    <cfRule type="cellIs" dxfId="3449" priority="1449" operator="greaterThan">
      <formula>$C12</formula>
    </cfRule>
    <cfRule type="cellIs" dxfId="3448" priority="1450" operator="lessThan">
      <formula>$C12</formula>
    </cfRule>
  </conditionalFormatting>
  <conditionalFormatting sqref="Z13">
    <cfRule type="expression" dxfId="3447" priority="1447">
      <formula>AND($A13&lt;&gt;"",MOD(ROW(),2))</formula>
    </cfRule>
  </conditionalFormatting>
  <conditionalFormatting sqref="Z13">
    <cfRule type="cellIs" dxfId="3446" priority="1444" operator="equal">
      <formula>$C13</formula>
    </cfRule>
    <cfRule type="cellIs" dxfId="3445" priority="1445" operator="greaterThan">
      <formula>$C13</formula>
    </cfRule>
    <cfRule type="cellIs" dxfId="3444" priority="1446" operator="lessThan">
      <formula>$C13</formula>
    </cfRule>
  </conditionalFormatting>
  <conditionalFormatting sqref="Z14">
    <cfRule type="expression" dxfId="3443" priority="1443">
      <formula>AND($A14&lt;&gt;"",MOD(ROW(),2))</formula>
    </cfRule>
  </conditionalFormatting>
  <conditionalFormatting sqref="Z14">
    <cfRule type="cellIs" dxfId="3442" priority="1440" operator="equal">
      <formula>$C14</formula>
    </cfRule>
    <cfRule type="cellIs" dxfId="3441" priority="1441" operator="greaterThan">
      <formula>$C14</formula>
    </cfRule>
    <cfRule type="cellIs" dxfId="3440" priority="1442" operator="lessThan">
      <formula>$C14</formula>
    </cfRule>
  </conditionalFormatting>
  <conditionalFormatting sqref="Z15">
    <cfRule type="expression" dxfId="3439" priority="1439">
      <formula>AND($A15&lt;&gt;"",MOD(ROW(),2))</formula>
    </cfRule>
  </conditionalFormatting>
  <conditionalFormatting sqref="Z15">
    <cfRule type="cellIs" dxfId="3438" priority="1436" operator="equal">
      <formula>$C15</formula>
    </cfRule>
    <cfRule type="cellIs" dxfId="3437" priority="1437" operator="greaterThan">
      <formula>$C15</formula>
    </cfRule>
    <cfRule type="cellIs" dxfId="3436" priority="1438" operator="lessThan">
      <formula>$C15</formula>
    </cfRule>
  </conditionalFormatting>
  <conditionalFormatting sqref="Y12">
    <cfRule type="expression" dxfId="3435" priority="1431">
      <formula>AND($A12&lt;&gt;"",MOD(ROW(),2))</formula>
    </cfRule>
  </conditionalFormatting>
  <conditionalFormatting sqref="Y13">
    <cfRule type="expression" dxfId="3434" priority="1430">
      <formula>AND($A13&lt;&gt;"",MOD(ROW(),2))</formula>
    </cfRule>
  </conditionalFormatting>
  <conditionalFormatting sqref="Y14">
    <cfRule type="expression" dxfId="3433" priority="1429">
      <formula>AND($A14&lt;&gt;"",MOD(ROW(),2))</formula>
    </cfRule>
  </conditionalFormatting>
  <conditionalFormatting sqref="Y15">
    <cfRule type="expression" dxfId="3432" priority="1428">
      <formula>AND($A15&lt;&gt;"",MOD(ROW(),2))</formula>
    </cfRule>
  </conditionalFormatting>
  <conditionalFormatting sqref="Y16">
    <cfRule type="expression" dxfId="3431" priority="1427">
      <formula>AND($A16&lt;&gt;"",MOD(ROW(),2))</formula>
    </cfRule>
  </conditionalFormatting>
  <conditionalFormatting sqref="Y17">
    <cfRule type="expression" dxfId="3430" priority="1426">
      <formula>AND($A17&lt;&gt;"",MOD(ROW(),2))</formula>
    </cfRule>
  </conditionalFormatting>
  <conditionalFormatting sqref="Y18">
    <cfRule type="expression" dxfId="3429" priority="1425">
      <formula>AND($A18&lt;&gt;"",MOD(ROW(),2))</formula>
    </cfRule>
  </conditionalFormatting>
  <conditionalFormatting sqref="Y19">
    <cfRule type="expression" dxfId="3428" priority="1424">
      <formula>AND($A19&lt;&gt;"",MOD(ROW(),2))</formula>
    </cfRule>
  </conditionalFormatting>
  <conditionalFormatting sqref="Y20">
    <cfRule type="expression" dxfId="3427" priority="1423">
      <formula>AND($A20&lt;&gt;"",MOD(ROW(),2))</formula>
    </cfRule>
  </conditionalFormatting>
  <conditionalFormatting sqref="Z16">
    <cfRule type="expression" dxfId="3426" priority="1422">
      <formula>AND($A16&lt;&gt;"",MOD(ROW(),2))</formula>
    </cfRule>
  </conditionalFormatting>
  <conditionalFormatting sqref="Z16">
    <cfRule type="cellIs" dxfId="3425" priority="1419" operator="equal">
      <formula>$C16</formula>
    </cfRule>
    <cfRule type="cellIs" dxfId="3424" priority="1420" operator="greaterThan">
      <formula>$C16</formula>
    </cfRule>
    <cfRule type="cellIs" dxfId="3423" priority="1421" operator="lessThan">
      <formula>$C16</formula>
    </cfRule>
  </conditionalFormatting>
  <conditionalFormatting sqref="Z17">
    <cfRule type="expression" dxfId="3422" priority="1418">
      <formula>AND($A17&lt;&gt;"",MOD(ROW(),2))</formula>
    </cfRule>
  </conditionalFormatting>
  <conditionalFormatting sqref="Z17">
    <cfRule type="cellIs" dxfId="3421" priority="1415" operator="equal">
      <formula>$C17</formula>
    </cfRule>
    <cfRule type="cellIs" dxfId="3420" priority="1416" operator="greaterThan">
      <formula>$C17</formula>
    </cfRule>
    <cfRule type="cellIs" dxfId="3419" priority="1417" operator="lessThan">
      <formula>$C17</formula>
    </cfRule>
  </conditionalFormatting>
  <conditionalFormatting sqref="Z18">
    <cfRule type="expression" dxfId="3418" priority="1414">
      <formula>AND($A18&lt;&gt;"",MOD(ROW(),2))</formula>
    </cfRule>
  </conditionalFormatting>
  <conditionalFormatting sqref="Z18">
    <cfRule type="cellIs" dxfId="3417" priority="1411" operator="equal">
      <formula>$C18</formula>
    </cfRule>
    <cfRule type="cellIs" dxfId="3416" priority="1412" operator="greaterThan">
      <formula>$C18</formula>
    </cfRule>
    <cfRule type="cellIs" dxfId="3415" priority="1413" operator="lessThan">
      <formula>$C18</formula>
    </cfRule>
  </conditionalFormatting>
  <conditionalFormatting sqref="Z19">
    <cfRule type="expression" dxfId="3414" priority="1410">
      <formula>AND($A19&lt;&gt;"",MOD(ROW(),2))</formula>
    </cfRule>
  </conditionalFormatting>
  <conditionalFormatting sqref="Z19">
    <cfRule type="cellIs" dxfId="3413" priority="1407" operator="equal">
      <formula>$C19</formula>
    </cfRule>
    <cfRule type="cellIs" dxfId="3412" priority="1408" operator="greaterThan">
      <formula>$C19</formula>
    </cfRule>
    <cfRule type="cellIs" dxfId="3411" priority="1409" operator="lessThan">
      <formula>$C19</formula>
    </cfRule>
  </conditionalFormatting>
  <conditionalFormatting sqref="Z20">
    <cfRule type="expression" dxfId="3410" priority="1406">
      <formula>AND($A20&lt;&gt;"",MOD(ROW(),2))</formula>
    </cfRule>
  </conditionalFormatting>
  <conditionalFormatting sqref="Z20">
    <cfRule type="cellIs" dxfId="3409" priority="1403" operator="equal">
      <formula>$C20</formula>
    </cfRule>
    <cfRule type="cellIs" dxfId="3408" priority="1404" operator="greaterThan">
      <formula>$C20</formula>
    </cfRule>
    <cfRule type="cellIs" dxfId="3407" priority="1405" operator="lessThan">
      <formula>$C20</formula>
    </cfRule>
  </conditionalFormatting>
  <conditionalFormatting sqref="Y21">
    <cfRule type="expression" dxfId="3406" priority="1402">
      <formula>AND($A21&lt;&gt;"",MOD(ROW(),2))</formula>
    </cfRule>
  </conditionalFormatting>
  <conditionalFormatting sqref="Y22">
    <cfRule type="expression" dxfId="3405" priority="1401">
      <formula>AND($A22&lt;&gt;"",MOD(ROW(),2))</formula>
    </cfRule>
  </conditionalFormatting>
  <conditionalFormatting sqref="Z21">
    <cfRule type="expression" dxfId="3404" priority="1400">
      <formula>AND($A21&lt;&gt;"",MOD(ROW(),2))</formula>
    </cfRule>
  </conditionalFormatting>
  <conditionalFormatting sqref="Z21">
    <cfRule type="cellIs" dxfId="3403" priority="1397" operator="equal">
      <formula>$C21</formula>
    </cfRule>
    <cfRule type="cellIs" dxfId="3402" priority="1398" operator="greaterThan">
      <formula>$C21</formula>
    </cfRule>
    <cfRule type="cellIs" dxfId="3401" priority="1399" operator="lessThan">
      <formula>$C21</formula>
    </cfRule>
  </conditionalFormatting>
  <conditionalFormatting sqref="Z22">
    <cfRule type="expression" dxfId="3400" priority="1396">
      <formula>AND($A22&lt;&gt;"",MOD(ROW(),2))</formula>
    </cfRule>
  </conditionalFormatting>
  <conditionalFormatting sqref="Z22">
    <cfRule type="cellIs" dxfId="3399" priority="1393" operator="equal">
      <formula>$C22</formula>
    </cfRule>
    <cfRule type="cellIs" dxfId="3398" priority="1394" operator="greaterThan">
      <formula>$C22</formula>
    </cfRule>
    <cfRule type="cellIs" dxfId="3397" priority="1395" operator="lessThan">
      <formula>$C22</formula>
    </cfRule>
  </conditionalFormatting>
  <conditionalFormatting sqref="Y23">
    <cfRule type="expression" dxfId="3396" priority="1392">
      <formula>AND($A23&lt;&gt;"",MOD(ROW(),2))</formula>
    </cfRule>
  </conditionalFormatting>
  <conditionalFormatting sqref="Z23">
    <cfRule type="expression" dxfId="3395" priority="1391">
      <formula>AND($A23&lt;&gt;"",MOD(ROW(),2))</formula>
    </cfRule>
  </conditionalFormatting>
  <conditionalFormatting sqref="Z23">
    <cfRule type="cellIs" dxfId="3394" priority="1388" operator="equal">
      <formula>$C23</formula>
    </cfRule>
    <cfRule type="cellIs" dxfId="3393" priority="1389" operator="greaterThan">
      <formula>$C23</formula>
    </cfRule>
    <cfRule type="cellIs" dxfId="3392" priority="1390" operator="lessThan">
      <formula>$C23</formula>
    </cfRule>
  </conditionalFormatting>
  <conditionalFormatting sqref="Y24">
    <cfRule type="expression" dxfId="3391" priority="1387">
      <formula>AND($A24&lt;&gt;"",MOD(ROW(),2))</formula>
    </cfRule>
  </conditionalFormatting>
  <conditionalFormatting sqref="Z24">
    <cfRule type="expression" dxfId="3390" priority="1386">
      <formula>AND($A24&lt;&gt;"",MOD(ROW(),2))</formula>
    </cfRule>
  </conditionalFormatting>
  <conditionalFormatting sqref="Z24">
    <cfRule type="cellIs" dxfId="3389" priority="1383" operator="equal">
      <formula>$C24</formula>
    </cfRule>
    <cfRule type="cellIs" dxfId="3388" priority="1384" operator="greaterThan">
      <formula>$C24</formula>
    </cfRule>
    <cfRule type="cellIs" dxfId="3387" priority="1385" operator="lessThan">
      <formula>$C24</formula>
    </cfRule>
  </conditionalFormatting>
  <conditionalFormatting sqref="Y25">
    <cfRule type="expression" dxfId="3386" priority="1382">
      <formula>AND($A25&lt;&gt;"",MOD(ROW(),2))</formula>
    </cfRule>
  </conditionalFormatting>
  <conditionalFormatting sqref="Z25">
    <cfRule type="expression" dxfId="3385" priority="1381">
      <formula>AND($A25&lt;&gt;"",MOD(ROW(),2))</formula>
    </cfRule>
  </conditionalFormatting>
  <conditionalFormatting sqref="Z25">
    <cfRule type="cellIs" dxfId="3384" priority="1378" operator="equal">
      <formula>$C25</formula>
    </cfRule>
    <cfRule type="cellIs" dxfId="3383" priority="1379" operator="greaterThan">
      <formula>$C25</formula>
    </cfRule>
    <cfRule type="cellIs" dxfId="3382" priority="1380" operator="lessThan">
      <formula>$C25</formula>
    </cfRule>
  </conditionalFormatting>
  <conditionalFormatting sqref="Y26">
    <cfRule type="expression" dxfId="3381" priority="1377">
      <formula>AND($A26&lt;&gt;"",MOD(ROW(),2))</formula>
    </cfRule>
  </conditionalFormatting>
  <conditionalFormatting sqref="Z26">
    <cfRule type="expression" dxfId="3380" priority="1376">
      <formula>AND($A26&lt;&gt;"",MOD(ROW(),2))</formula>
    </cfRule>
  </conditionalFormatting>
  <conditionalFormatting sqref="Z26">
    <cfRule type="cellIs" dxfId="3379" priority="1373" operator="equal">
      <formula>$C26</formula>
    </cfRule>
    <cfRule type="cellIs" dxfId="3378" priority="1374" operator="greaterThan">
      <formula>$C26</formula>
    </cfRule>
    <cfRule type="cellIs" dxfId="3377" priority="1375" operator="lessThan">
      <formula>$C26</formula>
    </cfRule>
  </conditionalFormatting>
  <conditionalFormatting sqref="L53">
    <cfRule type="expression" dxfId="3376" priority="1372">
      <formula>AND($A53&lt;&gt;"",MOD(ROW(),2))</formula>
    </cfRule>
  </conditionalFormatting>
  <conditionalFormatting sqref="L53">
    <cfRule type="expression" dxfId="3375" priority="1371">
      <formula>AND($A53&lt;&gt;"",MOD(ROW(),2))</formula>
    </cfRule>
  </conditionalFormatting>
  <conditionalFormatting sqref="N13:N18 R13:R18">
    <cfRule type="expression" dxfId="3374" priority="1370">
      <formula>AND($A13&lt;&gt;"",MOD(ROW(),2))</formula>
    </cfRule>
  </conditionalFormatting>
  <conditionalFormatting sqref="Q13:Q18">
    <cfRule type="containsText" dxfId="3373" priority="1368" operator="containsText" text="Unpaid Rent">
      <formula>NOT(ISERROR(SEARCH("Unpaid Rent",Q13)))</formula>
    </cfRule>
    <cfRule type="containsText" dxfId="3372" priority="1369" stopIfTrue="1" operator="containsText" text="Closed Account">
      <formula>NOT(ISERROR(SEARCH("Closed Account",Q13)))</formula>
    </cfRule>
  </conditionalFormatting>
  <conditionalFormatting sqref="O13:P13">
    <cfRule type="expression" dxfId="3371" priority="1367">
      <formula>AND($A13&lt;&gt;"",MOD(ROW(),2))</formula>
    </cfRule>
  </conditionalFormatting>
  <conditionalFormatting sqref="O13">
    <cfRule type="cellIs" dxfId="3370" priority="1364" operator="equal">
      <formula>$C13</formula>
    </cfRule>
    <cfRule type="cellIs" dxfId="3369" priority="1365" operator="greaterThan">
      <formula>$C13</formula>
    </cfRule>
    <cfRule type="cellIs" dxfId="3368" priority="1366" operator="lessThan">
      <formula>$C13</formula>
    </cfRule>
  </conditionalFormatting>
  <conditionalFormatting sqref="O14:P14">
    <cfRule type="expression" dxfId="3367" priority="1363">
      <formula>AND($A14&lt;&gt;"",MOD(ROW(),2))</formula>
    </cfRule>
  </conditionalFormatting>
  <conditionalFormatting sqref="O14">
    <cfRule type="cellIs" dxfId="3366" priority="1360" operator="equal">
      <formula>$C14</formula>
    </cfRule>
    <cfRule type="cellIs" dxfId="3365" priority="1361" operator="greaterThan">
      <formula>$C14</formula>
    </cfRule>
    <cfRule type="cellIs" dxfId="3364" priority="1362" operator="lessThan">
      <formula>$C14</formula>
    </cfRule>
  </conditionalFormatting>
  <conditionalFormatting sqref="P15">
    <cfRule type="expression" dxfId="3363" priority="1359">
      <formula>AND($A15&lt;&gt;"",MOD(ROW(),2))</formula>
    </cfRule>
  </conditionalFormatting>
  <conditionalFormatting sqref="P16">
    <cfRule type="expression" dxfId="3362" priority="1358">
      <formula>AND($A16&lt;&gt;"",MOD(ROW(),2))</formula>
    </cfRule>
  </conditionalFormatting>
  <conditionalFormatting sqref="P17">
    <cfRule type="expression" dxfId="3361" priority="1357">
      <formula>AND($A17&lt;&gt;"",MOD(ROW(),2))</formula>
    </cfRule>
  </conditionalFormatting>
  <conditionalFormatting sqref="P18">
    <cfRule type="expression" dxfId="3360" priority="1356">
      <formula>AND($A18&lt;&gt;"",MOD(ROW(),2))</formula>
    </cfRule>
  </conditionalFormatting>
  <conditionalFormatting sqref="O15:O18">
    <cfRule type="expression" dxfId="3359" priority="1355">
      <formula>AND($A15&lt;&gt;"",MOD(ROW(),2))</formula>
    </cfRule>
  </conditionalFormatting>
  <conditionalFormatting sqref="P19:P20 N19:N20 R19:R20 L19:L20">
    <cfRule type="expression" dxfId="3358" priority="1354">
      <formula>AND($A19&lt;&gt;"",MOD(ROW(),2))</formula>
    </cfRule>
  </conditionalFormatting>
  <conditionalFormatting sqref="Q19:Q20">
    <cfRule type="containsText" dxfId="3357" priority="1352" operator="containsText" text="Unpaid Rent">
      <formula>NOT(ISERROR(SEARCH("Unpaid Rent",Q19)))</formula>
    </cfRule>
    <cfRule type="containsText" dxfId="3356" priority="1353" stopIfTrue="1" operator="containsText" text="Closed Account">
      <formula>NOT(ISERROR(SEARCH("Closed Account",Q19)))</formula>
    </cfRule>
  </conditionalFormatting>
  <conditionalFormatting sqref="O19:O20">
    <cfRule type="expression" dxfId="3355" priority="1351">
      <formula>AND($A19&lt;&gt;"",MOD(ROW(),2))</formula>
    </cfRule>
  </conditionalFormatting>
  <conditionalFormatting sqref="U19:U20">
    <cfRule type="expression" dxfId="3354" priority="1350">
      <formula>AND($A19&lt;&gt;"",MOD(ROW(),2))</formula>
    </cfRule>
  </conditionalFormatting>
  <conditionalFormatting sqref="P21 R21 N21 L21">
    <cfRule type="expression" dxfId="3353" priority="1349">
      <formula>AND($A21&lt;&gt;"",MOD(ROW(),2))</formula>
    </cfRule>
  </conditionalFormatting>
  <conditionalFormatting sqref="Q21">
    <cfRule type="containsText" dxfId="3352" priority="1347" operator="containsText" text="Unpaid Rent">
      <formula>NOT(ISERROR(SEARCH("Unpaid Rent",Q21)))</formula>
    </cfRule>
    <cfRule type="containsText" dxfId="3351" priority="1348" stopIfTrue="1" operator="containsText" text="Closed Account">
      <formula>NOT(ISERROR(SEARCH("Closed Account",Q21)))</formula>
    </cfRule>
  </conditionalFormatting>
  <conditionalFormatting sqref="O21">
    <cfRule type="expression" dxfId="3350" priority="1346">
      <formula>AND($A21&lt;&gt;"",MOD(ROW(),2))</formula>
    </cfRule>
  </conditionalFormatting>
  <conditionalFormatting sqref="N23:N26">
    <cfRule type="expression" dxfId="3349" priority="1345">
      <formula>AND($A23&lt;&gt;"",MOD(ROW(),2))</formula>
    </cfRule>
  </conditionalFormatting>
  <conditionalFormatting sqref="N23:N26">
    <cfRule type="expression" dxfId="3348" priority="1344">
      <formula>AND(#REF!&lt;&gt;"",MOD(ROW(),2))</formula>
    </cfRule>
  </conditionalFormatting>
  <conditionalFormatting sqref="N23:N26">
    <cfRule type="expression" dxfId="3347" priority="1343">
      <formula>AND(#REF!&lt;&gt;"",MOD(ROW(),2))</formula>
    </cfRule>
  </conditionalFormatting>
  <conditionalFormatting sqref="N23:N26">
    <cfRule type="cellIs" dxfId="3346" priority="1340" operator="equal">
      <formula>#REF!</formula>
    </cfRule>
    <cfRule type="cellIs" dxfId="3345" priority="1341" operator="greaterThan">
      <formula>#REF!</formula>
    </cfRule>
    <cfRule type="cellIs" dxfId="3344" priority="1342" operator="lessThan">
      <formula>#REF!</formula>
    </cfRule>
  </conditionalFormatting>
  <conditionalFormatting sqref="Q22:Q26">
    <cfRule type="containsText" dxfId="3343" priority="1338" operator="containsText" text="Unpaid Rent">
      <formula>NOT(ISERROR(SEARCH("Unpaid Rent",Q22)))</formula>
    </cfRule>
    <cfRule type="containsText" dxfId="3342" priority="1339" stopIfTrue="1" operator="containsText" text="Closed Account">
      <formula>NOT(ISERROR(SEARCH("Closed Account",Q22)))</formula>
    </cfRule>
  </conditionalFormatting>
  <conditionalFormatting sqref="L22">
    <cfRule type="expression" dxfId="3341" priority="1337">
      <formula>AND($A22&lt;&gt;"",MOD(ROW(),2))</formula>
    </cfRule>
  </conditionalFormatting>
  <conditionalFormatting sqref="N22">
    <cfRule type="expression" dxfId="3340" priority="1336">
      <formula>AND($A22&lt;&gt;"",MOD(ROW(),2))</formula>
    </cfRule>
  </conditionalFormatting>
  <conditionalFormatting sqref="O23:O26">
    <cfRule type="expression" dxfId="3339" priority="1335">
      <formula>AND($A23&lt;&gt;"",MOD(ROW(),2))</formula>
    </cfRule>
  </conditionalFormatting>
  <conditionalFormatting sqref="O22">
    <cfRule type="expression" dxfId="3338" priority="1334">
      <formula>AND($A22&lt;&gt;"",MOD(ROW(),2))</formula>
    </cfRule>
  </conditionalFormatting>
  <conditionalFormatting sqref="L23">
    <cfRule type="expression" dxfId="3337" priority="1333">
      <formula>AND($A23&lt;&gt;"",MOD(ROW(),2))</formula>
    </cfRule>
  </conditionalFormatting>
  <conditionalFormatting sqref="L24">
    <cfRule type="expression" dxfId="3336" priority="1332">
      <formula>AND($A24&lt;&gt;"",MOD(ROW(),2))</formula>
    </cfRule>
  </conditionalFormatting>
  <conditionalFormatting sqref="L25">
    <cfRule type="expression" dxfId="3335" priority="1331">
      <formula>AND($A25&lt;&gt;"",MOD(ROW(),2))</formula>
    </cfRule>
  </conditionalFormatting>
  <conditionalFormatting sqref="L26">
    <cfRule type="expression" dxfId="3334" priority="1330">
      <formula>AND($A26&lt;&gt;"",MOD(ROW(),2))</formula>
    </cfRule>
  </conditionalFormatting>
  <conditionalFormatting sqref="N22">
    <cfRule type="expression" dxfId="3333" priority="1327">
      <formula>AND($A22&lt;&gt;"",MOD(ROW(),2))</formula>
    </cfRule>
  </conditionalFormatting>
  <conditionalFormatting sqref="L22">
    <cfRule type="expression" dxfId="3332" priority="1329">
      <formula>AND($A22&lt;&gt;"",MOD(ROW(),2))</formula>
    </cfRule>
  </conditionalFormatting>
  <conditionalFormatting sqref="L23">
    <cfRule type="expression" dxfId="3331" priority="1328">
      <formula>AND($A23&lt;&gt;"",MOD(ROW(),2))</formula>
    </cfRule>
  </conditionalFormatting>
  <conditionalFormatting sqref="N23">
    <cfRule type="expression" dxfId="3330" priority="1326">
      <formula>AND($A23&lt;&gt;"",MOD(ROW(),2))</formula>
    </cfRule>
  </conditionalFormatting>
  <conditionalFormatting sqref="O22">
    <cfRule type="expression" dxfId="3329" priority="1325">
      <formula>AND($A22&lt;&gt;"",MOD(ROW(),2))</formula>
    </cfRule>
  </conditionalFormatting>
  <conditionalFormatting sqref="O23">
    <cfRule type="expression" dxfId="3328" priority="1324">
      <formula>AND($A23&lt;&gt;"",MOD(ROW(),2))</formula>
    </cfRule>
  </conditionalFormatting>
  <conditionalFormatting sqref="L24">
    <cfRule type="expression" dxfId="3327" priority="1323">
      <formula>AND($A24&lt;&gt;"",MOD(ROW(),2))</formula>
    </cfRule>
  </conditionalFormatting>
  <conditionalFormatting sqref="L25">
    <cfRule type="expression" dxfId="3326" priority="1322">
      <formula>AND($A25&lt;&gt;"",MOD(ROW(),2))</formula>
    </cfRule>
  </conditionalFormatting>
  <conditionalFormatting sqref="L26">
    <cfRule type="expression" dxfId="3325" priority="1321">
      <formula>AND($A26&lt;&gt;"",MOD(ROW(),2))</formula>
    </cfRule>
  </conditionalFormatting>
  <conditionalFormatting sqref="U23:U26">
    <cfRule type="expression" dxfId="3324" priority="1320">
      <formula>AND($A23&lt;&gt;"",MOD(ROW(),2))</formula>
    </cfRule>
  </conditionalFormatting>
  <conditionalFormatting sqref="L27">
    <cfRule type="expression" dxfId="3323" priority="1319">
      <formula>AND($A27&lt;&gt;"",MOD(ROW(),2))</formula>
    </cfRule>
  </conditionalFormatting>
  <conditionalFormatting sqref="L28">
    <cfRule type="expression" dxfId="3322" priority="1318">
      <formula>AND($A28&lt;&gt;"",MOD(ROW(),2))</formula>
    </cfRule>
  </conditionalFormatting>
  <conditionalFormatting sqref="L27">
    <cfRule type="expression" dxfId="3321" priority="1317">
      <formula>AND($A27&lt;&gt;"",MOD(ROW(),2))</formula>
    </cfRule>
  </conditionalFormatting>
  <conditionalFormatting sqref="L28">
    <cfRule type="expression" dxfId="3320" priority="1316">
      <formula>AND($A28&lt;&gt;"",MOD(ROW(),2))</formula>
    </cfRule>
  </conditionalFormatting>
  <conditionalFormatting sqref="L29">
    <cfRule type="expression" dxfId="3319" priority="1315">
      <formula>AND($A29&lt;&gt;"",MOD(ROW(),2))</formula>
    </cfRule>
  </conditionalFormatting>
  <conditionalFormatting sqref="N27:N29">
    <cfRule type="expression" dxfId="3318" priority="1314">
      <formula>AND($A27&lt;&gt;"",MOD(ROW(),2))</formula>
    </cfRule>
  </conditionalFormatting>
  <conditionalFormatting sqref="N27:N29">
    <cfRule type="expression" dxfId="3317" priority="1313">
      <formula>AND(#REF!&lt;&gt;"",MOD(ROW(),2))</formula>
    </cfRule>
  </conditionalFormatting>
  <conditionalFormatting sqref="N27:N29">
    <cfRule type="expression" dxfId="3316" priority="1312">
      <formula>AND(#REF!&lt;&gt;"",MOD(ROW(),2))</formula>
    </cfRule>
  </conditionalFormatting>
  <conditionalFormatting sqref="N27:N29">
    <cfRule type="cellIs" dxfId="3315" priority="1309" operator="equal">
      <formula>#REF!</formula>
    </cfRule>
    <cfRule type="cellIs" dxfId="3314" priority="1310" operator="greaterThan">
      <formula>#REF!</formula>
    </cfRule>
    <cfRule type="cellIs" dxfId="3313" priority="1311" operator="lessThan">
      <formula>#REF!</formula>
    </cfRule>
  </conditionalFormatting>
  <conditionalFormatting sqref="Q27:Q29">
    <cfRule type="containsText" dxfId="3312" priority="1307" operator="containsText" text="Unpaid Rent">
      <formula>NOT(ISERROR(SEARCH("Unpaid Rent",Q27)))</formula>
    </cfRule>
    <cfRule type="containsText" dxfId="3311" priority="1308" stopIfTrue="1" operator="containsText" text="Closed Account">
      <formula>NOT(ISERROR(SEARCH("Closed Account",Q27)))</formula>
    </cfRule>
  </conditionalFormatting>
  <conditionalFormatting sqref="O27">
    <cfRule type="expression" dxfId="3310" priority="1306">
      <formula>AND($A27&lt;&gt;"",MOD(ROW(),2))</formula>
    </cfRule>
  </conditionalFormatting>
  <conditionalFormatting sqref="L30">
    <cfRule type="expression" dxfId="3309" priority="1305">
      <formula>AND($A30&lt;&gt;"",MOD(ROW(),2))</formula>
    </cfRule>
  </conditionalFormatting>
  <conditionalFormatting sqref="L31">
    <cfRule type="expression" dxfId="3308" priority="1304">
      <formula>AND($A31&lt;&gt;"",MOD(ROW(),2))</formula>
    </cfRule>
  </conditionalFormatting>
  <conditionalFormatting sqref="L32">
    <cfRule type="expression" dxfId="3307" priority="1303">
      <formula>AND($A32&lt;&gt;"",MOD(ROW(),2))</formula>
    </cfRule>
  </conditionalFormatting>
  <conditionalFormatting sqref="L32">
    <cfRule type="expression" dxfId="3306" priority="1302">
      <formula>AND($A32&lt;&gt;"",MOD(ROW(),2))</formula>
    </cfRule>
  </conditionalFormatting>
  <conditionalFormatting sqref="L33">
    <cfRule type="expression" dxfId="3305" priority="1301">
      <formula>AND($A33&lt;&gt;"",MOD(ROW(),2))</formula>
    </cfRule>
  </conditionalFormatting>
  <conditionalFormatting sqref="L33">
    <cfRule type="expression" dxfId="3304" priority="1300">
      <formula>AND($A33&lt;&gt;"",MOD(ROW(),2))</formula>
    </cfRule>
  </conditionalFormatting>
  <conditionalFormatting sqref="L34">
    <cfRule type="expression" dxfId="3303" priority="1299">
      <formula>AND($A34&lt;&gt;"",MOD(ROW(),2))</formula>
    </cfRule>
  </conditionalFormatting>
  <conditionalFormatting sqref="L34">
    <cfRule type="expression" dxfId="3302" priority="1298">
      <formula>AND($A34&lt;&gt;"",MOD(ROW(),2))</formula>
    </cfRule>
  </conditionalFormatting>
  <conditionalFormatting sqref="L35">
    <cfRule type="expression" dxfId="3301" priority="1297">
      <formula>AND($A35&lt;&gt;"",MOD(ROW(),2))</formula>
    </cfRule>
  </conditionalFormatting>
  <conditionalFormatting sqref="L35">
    <cfRule type="expression" dxfId="3300" priority="1296">
      <formula>AND($A35&lt;&gt;"",MOD(ROW(),2))</formula>
    </cfRule>
  </conditionalFormatting>
  <conditionalFormatting sqref="L36">
    <cfRule type="expression" dxfId="3299" priority="1295">
      <formula>AND($A36&lt;&gt;"",MOD(ROW(),2))</formula>
    </cfRule>
  </conditionalFormatting>
  <conditionalFormatting sqref="L36">
    <cfRule type="expression" dxfId="3298" priority="1294">
      <formula>AND($A36&lt;&gt;"",MOD(ROW(),2))</formula>
    </cfRule>
  </conditionalFormatting>
  <conditionalFormatting sqref="L37">
    <cfRule type="expression" dxfId="3297" priority="1293">
      <formula>AND($A37&lt;&gt;"",MOD(ROW(),2))</formula>
    </cfRule>
  </conditionalFormatting>
  <conditionalFormatting sqref="L37">
    <cfRule type="expression" dxfId="3296" priority="1292">
      <formula>AND($A37&lt;&gt;"",MOD(ROW(),2))</formula>
    </cfRule>
  </conditionalFormatting>
  <conditionalFormatting sqref="L38">
    <cfRule type="expression" dxfId="3295" priority="1291">
      <formula>AND($A38&lt;&gt;"",MOD(ROW(),2))</formula>
    </cfRule>
  </conditionalFormatting>
  <conditionalFormatting sqref="L38">
    <cfRule type="expression" dxfId="3294" priority="1290">
      <formula>AND($A38&lt;&gt;"",MOD(ROW(),2))</formula>
    </cfRule>
  </conditionalFormatting>
  <conditionalFormatting sqref="N30:N38">
    <cfRule type="expression" dxfId="3293" priority="1289">
      <formula>AND($A30&lt;&gt;"",MOD(ROW(),2))</formula>
    </cfRule>
  </conditionalFormatting>
  <conditionalFormatting sqref="N30:N38">
    <cfRule type="expression" dxfId="3292" priority="1288">
      <formula>AND(#REF!&lt;&gt;"",MOD(ROW(),2))</formula>
    </cfRule>
  </conditionalFormatting>
  <conditionalFormatting sqref="N30:N38">
    <cfRule type="expression" dxfId="3291" priority="1287">
      <formula>AND(#REF!&lt;&gt;"",MOD(ROW(),2))</formula>
    </cfRule>
  </conditionalFormatting>
  <conditionalFormatting sqref="N30:N38">
    <cfRule type="cellIs" dxfId="3290" priority="1284" operator="equal">
      <formula>#REF!</formula>
    </cfRule>
    <cfRule type="cellIs" dxfId="3289" priority="1285" operator="greaterThan">
      <formula>#REF!</formula>
    </cfRule>
    <cfRule type="cellIs" dxfId="3288" priority="1286" operator="lessThan">
      <formula>#REF!</formula>
    </cfRule>
  </conditionalFormatting>
  <conditionalFormatting sqref="Q30:Q31">
    <cfRule type="containsText" dxfId="3287" priority="1282" operator="containsText" text="Unpaid Rent">
      <formula>NOT(ISERROR(SEARCH("Unpaid Rent",Q30)))</formula>
    </cfRule>
    <cfRule type="containsText" dxfId="3286" priority="1283" stopIfTrue="1" operator="containsText" text="Closed Account">
      <formula>NOT(ISERROR(SEARCH("Closed Account",Q30)))</formula>
    </cfRule>
  </conditionalFormatting>
  <conditionalFormatting sqref="O30:O38">
    <cfRule type="expression" dxfId="3285" priority="1281">
      <formula>AND($A30&lt;&gt;"",MOD(ROW(),2))</formula>
    </cfRule>
  </conditionalFormatting>
  <conditionalFormatting sqref="U30:U37">
    <cfRule type="expression" dxfId="3284" priority="1280">
      <formula>AND($A30&lt;&gt;"",MOD(ROW(),2))</formula>
    </cfRule>
  </conditionalFormatting>
  <conditionalFormatting sqref="U22">
    <cfRule type="expression" dxfId="3283" priority="1279">
      <formula>AND($A22&lt;&gt;"",MOD(ROW(),2))</formula>
    </cfRule>
  </conditionalFormatting>
  <conditionalFormatting sqref="Q32:Q44">
    <cfRule type="containsText" dxfId="3282" priority="1277" operator="containsText" text="Unpaid Rent">
      <formula>NOT(ISERROR(SEARCH("Unpaid Rent",Q32)))</formula>
    </cfRule>
    <cfRule type="containsText" dxfId="3281" priority="1278" stopIfTrue="1" operator="containsText" text="Closed Account">
      <formula>NOT(ISERROR(SEARCH("Closed Account",Q32)))</formula>
    </cfRule>
  </conditionalFormatting>
  <conditionalFormatting sqref="Y27">
    <cfRule type="expression" dxfId="3280" priority="1276">
      <formula>AND($A27&lt;&gt;"",MOD(ROW(),2))</formula>
    </cfRule>
  </conditionalFormatting>
  <conditionalFormatting sqref="Z27">
    <cfRule type="expression" dxfId="3279" priority="1275">
      <formula>AND($A27&lt;&gt;"",MOD(ROW(),2))</formula>
    </cfRule>
  </conditionalFormatting>
  <conditionalFormatting sqref="Z27">
    <cfRule type="cellIs" dxfId="3278" priority="1272" operator="equal">
      <formula>$C27</formula>
    </cfRule>
    <cfRule type="cellIs" dxfId="3277" priority="1273" operator="greaterThan">
      <formula>$C27</formula>
    </cfRule>
    <cfRule type="cellIs" dxfId="3276" priority="1274" operator="lessThan">
      <formula>$C27</formula>
    </cfRule>
  </conditionalFormatting>
  <conditionalFormatting sqref="AD27">
    <cfRule type="expression" dxfId="3275" priority="1271">
      <formula>AND($A27&lt;&gt;"",MOD(ROW(),2))</formula>
    </cfRule>
  </conditionalFormatting>
  <conditionalFormatting sqref="W28">
    <cfRule type="expression" dxfId="3274" priority="1270">
      <formula>AND($A28&lt;&gt;"",MOD(ROW(),2))</formula>
    </cfRule>
  </conditionalFormatting>
  <conditionalFormatting sqref="AD28">
    <cfRule type="expression" dxfId="3273" priority="1268">
      <formula>AND($A28&lt;&gt;"",MOD(ROW(),2))</formula>
    </cfRule>
  </conditionalFormatting>
  <conditionalFormatting sqref="W29">
    <cfRule type="expression" dxfId="3272" priority="1267">
      <formula>AND($A29&lt;&gt;"",MOD(ROW(),2))</formula>
    </cfRule>
  </conditionalFormatting>
  <conditionalFormatting sqref="AD29">
    <cfRule type="expression" dxfId="3271" priority="1266">
      <formula>AND($A29&lt;&gt;"",MOD(ROW(),2))</formula>
    </cfRule>
  </conditionalFormatting>
  <conditionalFormatting sqref="Y28">
    <cfRule type="expression" dxfId="3270" priority="1265">
      <formula>AND($A28&lt;&gt;"",MOD(ROW(),2))</formula>
    </cfRule>
  </conditionalFormatting>
  <conditionalFormatting sqref="Z28">
    <cfRule type="expression" dxfId="3269" priority="1264">
      <formula>AND($A28&lt;&gt;"",MOD(ROW(),2))</formula>
    </cfRule>
  </conditionalFormatting>
  <conditionalFormatting sqref="Z28">
    <cfRule type="cellIs" dxfId="3268" priority="1261" operator="equal">
      <formula>$C28</formula>
    </cfRule>
    <cfRule type="cellIs" dxfId="3267" priority="1262" operator="greaterThan">
      <formula>$C28</formula>
    </cfRule>
    <cfRule type="cellIs" dxfId="3266" priority="1263" operator="lessThan">
      <formula>$C28</formula>
    </cfRule>
  </conditionalFormatting>
  <conditionalFormatting sqref="Y29">
    <cfRule type="expression" dxfId="3265" priority="1260">
      <formula>AND($A29&lt;&gt;"",MOD(ROW(),2))</formula>
    </cfRule>
  </conditionalFormatting>
  <conditionalFormatting sqref="Z29">
    <cfRule type="expression" dxfId="3264" priority="1259">
      <formula>AND($A29&lt;&gt;"",MOD(ROW(),2))</formula>
    </cfRule>
  </conditionalFormatting>
  <conditionalFormatting sqref="Z29">
    <cfRule type="cellIs" dxfId="3263" priority="1256" operator="equal">
      <formula>$C29</formula>
    </cfRule>
    <cfRule type="cellIs" dxfId="3262" priority="1257" operator="greaterThan">
      <formula>$C29</formula>
    </cfRule>
    <cfRule type="cellIs" dxfId="3261" priority="1258" operator="lessThan">
      <formula>$C29</formula>
    </cfRule>
  </conditionalFormatting>
  <conditionalFormatting sqref="AD30">
    <cfRule type="expression" dxfId="3260" priority="1255">
      <formula>AND($A30&lt;&gt;"",MOD(ROW(),2))</formula>
    </cfRule>
  </conditionalFormatting>
  <conditionalFormatting sqref="Y30">
    <cfRule type="expression" dxfId="3259" priority="1254">
      <formula>AND($A30&lt;&gt;"",MOD(ROW(),2))</formula>
    </cfRule>
  </conditionalFormatting>
  <conditionalFormatting sqref="Z30">
    <cfRule type="expression" dxfId="3258" priority="1253">
      <formula>AND($A30&lt;&gt;"",MOD(ROW(),2))</formula>
    </cfRule>
  </conditionalFormatting>
  <conditionalFormatting sqref="Z30">
    <cfRule type="cellIs" dxfId="3257" priority="1250" operator="equal">
      <formula>$C30</formula>
    </cfRule>
    <cfRule type="cellIs" dxfId="3256" priority="1251" operator="greaterThan">
      <formula>$C30</formula>
    </cfRule>
    <cfRule type="cellIs" dxfId="3255" priority="1252" operator="lessThan">
      <formula>$C30</formula>
    </cfRule>
  </conditionalFormatting>
  <conditionalFormatting sqref="AD31">
    <cfRule type="expression" dxfId="3254" priority="1249">
      <formula>AND($A31&lt;&gt;"",MOD(ROW(),2))</formula>
    </cfRule>
  </conditionalFormatting>
  <conditionalFormatting sqref="Y31">
    <cfRule type="expression" dxfId="3253" priority="1248">
      <formula>AND($A31&lt;&gt;"",MOD(ROW(),2))</formula>
    </cfRule>
  </conditionalFormatting>
  <conditionalFormatting sqref="Z31">
    <cfRule type="expression" dxfId="3252" priority="1247">
      <formula>AND($A31&lt;&gt;"",MOD(ROW(),2))</formula>
    </cfRule>
  </conditionalFormatting>
  <conditionalFormatting sqref="Z31">
    <cfRule type="cellIs" dxfId="3251" priority="1244" operator="equal">
      <formula>$C31</formula>
    </cfRule>
    <cfRule type="cellIs" dxfId="3250" priority="1245" operator="greaterThan">
      <formula>$C31</formula>
    </cfRule>
    <cfRule type="cellIs" dxfId="3249" priority="1246" operator="lessThan">
      <formula>$C31</formula>
    </cfRule>
  </conditionalFormatting>
  <conditionalFormatting sqref="Y32">
    <cfRule type="expression" dxfId="3248" priority="1243">
      <formula>AND($A32&lt;&gt;"",MOD(ROW(),2))</formula>
    </cfRule>
  </conditionalFormatting>
  <conditionalFormatting sqref="Z32">
    <cfRule type="expression" dxfId="3247" priority="1242">
      <formula>AND($A32&lt;&gt;"",MOD(ROW(),2))</formula>
    </cfRule>
  </conditionalFormatting>
  <conditionalFormatting sqref="Z32">
    <cfRule type="cellIs" dxfId="3246" priority="1239" operator="equal">
      <formula>$C32</formula>
    </cfRule>
    <cfRule type="cellIs" dxfId="3245" priority="1240" operator="greaterThan">
      <formula>$C32</formula>
    </cfRule>
    <cfRule type="cellIs" dxfId="3244" priority="1241" operator="lessThan">
      <formula>$C32</formula>
    </cfRule>
  </conditionalFormatting>
  <conditionalFormatting sqref="AD32">
    <cfRule type="expression" dxfId="3243" priority="1238">
      <formula>AND($A32&lt;&gt;"",MOD(ROW(),2))</formula>
    </cfRule>
  </conditionalFormatting>
  <conditionalFormatting sqref="Y34:Y69">
    <cfRule type="expression" dxfId="3242" priority="1237">
      <formula>AND($A34&lt;&gt;"",MOD(ROW(),2))</formula>
    </cfRule>
  </conditionalFormatting>
  <conditionalFormatting sqref="Y34:Y69">
    <cfRule type="expression" dxfId="3241" priority="1236">
      <formula>AND(#REF!&lt;&gt;"",MOD(ROW(),2))</formula>
    </cfRule>
  </conditionalFormatting>
  <conditionalFormatting sqref="Y34:Y69">
    <cfRule type="expression" dxfId="3240" priority="1235">
      <formula>AND(#REF!&lt;&gt;"",MOD(ROW(),2))</formula>
    </cfRule>
  </conditionalFormatting>
  <conditionalFormatting sqref="Y34:Y69">
    <cfRule type="cellIs" dxfId="3239" priority="1232" operator="equal">
      <formula>#REF!</formula>
    </cfRule>
    <cfRule type="cellIs" dxfId="3238" priority="1233" operator="greaterThan">
      <formula>#REF!</formula>
    </cfRule>
    <cfRule type="cellIs" dxfId="3237" priority="1234" operator="lessThan">
      <formula>#REF!</formula>
    </cfRule>
  </conditionalFormatting>
  <conditionalFormatting sqref="Z34:Z36">
    <cfRule type="expression" dxfId="3236" priority="1231">
      <formula>AND($A34&lt;&gt;"",MOD(ROW(),2))</formula>
    </cfRule>
  </conditionalFormatting>
  <conditionalFormatting sqref="W34">
    <cfRule type="expression" dxfId="3235" priority="1230">
      <formula>AND($A34&lt;&gt;"",MOD(ROW(),2))</formula>
    </cfRule>
  </conditionalFormatting>
  <conditionalFormatting sqref="W35">
    <cfRule type="expression" dxfId="3234" priority="1229">
      <formula>AND($A35&lt;&gt;"",MOD(ROW(),2))</formula>
    </cfRule>
  </conditionalFormatting>
  <conditionalFormatting sqref="W36">
    <cfRule type="expression" dxfId="3233" priority="1228">
      <formula>AND($A36&lt;&gt;"",MOD(ROW(),2))</formula>
    </cfRule>
  </conditionalFormatting>
  <conditionalFormatting sqref="W37">
    <cfRule type="expression" dxfId="3232" priority="1227">
      <formula>AND($A37&lt;&gt;"",MOD(ROW(),2))</formula>
    </cfRule>
  </conditionalFormatting>
  <conditionalFormatting sqref="W34">
    <cfRule type="expression" dxfId="3231" priority="1226">
      <formula>AND($A34&lt;&gt;"",MOD(ROW(),2))</formula>
    </cfRule>
  </conditionalFormatting>
  <conditionalFormatting sqref="W35">
    <cfRule type="expression" dxfId="3230" priority="1225">
      <formula>AND($A35&lt;&gt;"",MOD(ROW(),2))</formula>
    </cfRule>
  </conditionalFormatting>
  <conditionalFormatting sqref="W36">
    <cfRule type="expression" dxfId="3229" priority="1224">
      <formula>AND($A36&lt;&gt;"",MOD(ROW(),2))</formula>
    </cfRule>
  </conditionalFormatting>
  <conditionalFormatting sqref="W37">
    <cfRule type="expression" dxfId="3228" priority="1223">
      <formula>AND($A37&lt;&gt;"",MOD(ROW(),2))</formula>
    </cfRule>
  </conditionalFormatting>
  <conditionalFormatting sqref="W33">
    <cfRule type="expression" dxfId="3227" priority="1222">
      <formula>AND($A33&lt;&gt;"",MOD(ROW(),2))</formula>
    </cfRule>
  </conditionalFormatting>
  <conditionalFormatting sqref="W33">
    <cfRule type="expression" dxfId="3226" priority="1221">
      <formula>AND($A33&lt;&gt;"",MOD(ROW(),2))</formula>
    </cfRule>
  </conditionalFormatting>
  <conditionalFormatting sqref="Y33">
    <cfRule type="expression" dxfId="3225" priority="1220">
      <formula>AND($A33&lt;&gt;"",MOD(ROW(),2))</formula>
    </cfRule>
  </conditionalFormatting>
  <conditionalFormatting sqref="Y33">
    <cfRule type="expression" dxfId="3224" priority="1219">
      <formula>AND(#REF!&lt;&gt;"",MOD(ROW(),2))</formula>
    </cfRule>
  </conditionalFormatting>
  <conditionalFormatting sqref="Y33">
    <cfRule type="expression" dxfId="3223" priority="1218">
      <formula>AND(#REF!&lt;&gt;"",MOD(ROW(),2))</formula>
    </cfRule>
  </conditionalFormatting>
  <conditionalFormatting sqref="Y33">
    <cfRule type="cellIs" dxfId="3222" priority="1215" operator="equal">
      <formula>#REF!</formula>
    </cfRule>
    <cfRule type="cellIs" dxfId="3221" priority="1216" operator="greaterThan">
      <formula>#REF!</formula>
    </cfRule>
    <cfRule type="cellIs" dxfId="3220" priority="1217" operator="lessThan">
      <formula>#REF!</formula>
    </cfRule>
  </conditionalFormatting>
  <conditionalFormatting sqref="Z33">
    <cfRule type="expression" dxfId="3219" priority="1214">
      <formula>AND($A33&lt;&gt;"",MOD(ROW(),2))</formula>
    </cfRule>
  </conditionalFormatting>
  <conditionalFormatting sqref="AB33:AB37">
    <cfRule type="containsText" dxfId="3218" priority="1212" operator="containsText" text="Unpaid Rent">
      <formula>NOT(ISERROR(SEARCH("Unpaid Rent",AB33)))</formula>
    </cfRule>
    <cfRule type="containsText" dxfId="3217" priority="1213" stopIfTrue="1" operator="containsText" text="Closed Account">
      <formula>NOT(ISERROR(SEARCH("Closed Account",AB33)))</formula>
    </cfRule>
  </conditionalFormatting>
  <conditionalFormatting sqref="W38">
    <cfRule type="expression" dxfId="3216" priority="1211">
      <formula>AND($A38&lt;&gt;"",MOD(ROW(),2))</formula>
    </cfRule>
  </conditionalFormatting>
  <conditionalFormatting sqref="W38">
    <cfRule type="expression" dxfId="3215" priority="1210">
      <formula>AND($A38&lt;&gt;"",MOD(ROW(),2))</formula>
    </cfRule>
  </conditionalFormatting>
  <conditionalFormatting sqref="AD33">
    <cfRule type="expression" dxfId="3214" priority="1209">
      <formula>AND($A33&lt;&gt;"",MOD(ROW(),2))</formula>
    </cfRule>
  </conditionalFormatting>
  <conditionalFormatting sqref="AD34">
    <cfRule type="expression" dxfId="3213" priority="1208">
      <formula>AND($A34&lt;&gt;"",MOD(ROW(),2))</formula>
    </cfRule>
  </conditionalFormatting>
  <conditionalFormatting sqref="AD35">
    <cfRule type="expression" dxfId="3212" priority="1207">
      <formula>AND($A35&lt;&gt;"",MOD(ROW(),2))</formula>
    </cfRule>
  </conditionalFormatting>
  <conditionalFormatting sqref="AD36">
    <cfRule type="expression" dxfId="3211" priority="1206">
      <formula>AND($A36&lt;&gt;"",MOD(ROW(),2))</formula>
    </cfRule>
  </conditionalFormatting>
  <conditionalFormatting sqref="AD37">
    <cfRule type="expression" dxfId="3210" priority="1205">
      <formula>AND($A37&lt;&gt;"",MOD(ROW(),2))</formula>
    </cfRule>
  </conditionalFormatting>
  <conditionalFormatting sqref="W39">
    <cfRule type="expression" dxfId="3209" priority="1204">
      <formula>AND($A39&lt;&gt;"",MOD(ROW(),2))</formula>
    </cfRule>
  </conditionalFormatting>
  <conditionalFormatting sqref="W39">
    <cfRule type="expression" dxfId="3208" priority="1203">
      <formula>AND($A39&lt;&gt;"",MOD(ROW(),2))</formula>
    </cfRule>
  </conditionalFormatting>
  <conditionalFormatting sqref="AD38">
    <cfRule type="expression" dxfId="3207" priority="1202">
      <formula>AND($A38&lt;&gt;"",MOD(ROW(),2))</formula>
    </cfRule>
  </conditionalFormatting>
  <conditionalFormatting sqref="AD39">
    <cfRule type="expression" dxfId="3206" priority="1201">
      <formula>AND($A39&lt;&gt;"",MOD(ROW(),2))</formula>
    </cfRule>
  </conditionalFormatting>
  <conditionalFormatting sqref="Z37">
    <cfRule type="expression" dxfId="3205" priority="1200">
      <formula>AND($A37&lt;&gt;"",MOD(ROW(),2))</formula>
    </cfRule>
  </conditionalFormatting>
  <conditionalFormatting sqref="Z38">
    <cfRule type="expression" dxfId="3204" priority="1199">
      <formula>AND($A38&lt;&gt;"",MOD(ROW(),2))</formula>
    </cfRule>
  </conditionalFormatting>
  <conditionalFormatting sqref="Z39">
    <cfRule type="expression" dxfId="3203" priority="1198">
      <formula>AND($A39&lt;&gt;"",MOD(ROW(),2))</formula>
    </cfRule>
  </conditionalFormatting>
  <conditionalFormatting sqref="W40">
    <cfRule type="expression" dxfId="3202" priority="1197">
      <formula>AND($A40&lt;&gt;"",MOD(ROW(),2))</formula>
    </cfRule>
  </conditionalFormatting>
  <conditionalFormatting sqref="W40">
    <cfRule type="expression" dxfId="3201" priority="1196">
      <formula>AND($A40&lt;&gt;"",MOD(ROW(),2))</formula>
    </cfRule>
  </conditionalFormatting>
  <conditionalFormatting sqref="Z40">
    <cfRule type="expression" dxfId="3200" priority="1195">
      <formula>AND($A40&lt;&gt;"",MOD(ROW(),2))</formula>
    </cfRule>
  </conditionalFormatting>
  <conditionalFormatting sqref="AD40">
    <cfRule type="expression" dxfId="3199" priority="1194">
      <formula>AND($A40&lt;&gt;"",MOD(ROW(),2))</formula>
    </cfRule>
  </conditionalFormatting>
  <conditionalFormatting sqref="W41">
    <cfRule type="expression" dxfId="3198" priority="1193">
      <formula>AND($A41&lt;&gt;"",MOD(ROW(),2))</formula>
    </cfRule>
  </conditionalFormatting>
  <conditionalFormatting sqref="W41">
    <cfRule type="expression" dxfId="3197" priority="1192">
      <formula>AND($A41&lt;&gt;"",MOD(ROW(),2))</formula>
    </cfRule>
  </conditionalFormatting>
  <conditionalFormatting sqref="Z41">
    <cfRule type="expression" dxfId="3196" priority="1191">
      <formula>AND($A41&lt;&gt;"",MOD(ROW(),2))</formula>
    </cfRule>
  </conditionalFormatting>
  <conditionalFormatting sqref="AD41">
    <cfRule type="expression" dxfId="3195" priority="1190">
      <formula>AND($A41&lt;&gt;"",MOD(ROW(),2))</formula>
    </cfRule>
  </conditionalFormatting>
  <conditionalFormatting sqref="W42">
    <cfRule type="expression" dxfId="3194" priority="1189">
      <formula>AND($A42&lt;&gt;"",MOD(ROW(),2))</formula>
    </cfRule>
  </conditionalFormatting>
  <conditionalFormatting sqref="W42">
    <cfRule type="expression" dxfId="3193" priority="1188">
      <formula>AND($A42&lt;&gt;"",MOD(ROW(),2))</formula>
    </cfRule>
  </conditionalFormatting>
  <conditionalFormatting sqref="Z42">
    <cfRule type="expression" dxfId="3192" priority="1187">
      <formula>AND($A42&lt;&gt;"",MOD(ROW(),2))</formula>
    </cfRule>
  </conditionalFormatting>
  <conditionalFormatting sqref="AD42">
    <cfRule type="expression" dxfId="3191" priority="1186">
      <formula>AND($A42&lt;&gt;"",MOD(ROW(),2))</formula>
    </cfRule>
  </conditionalFormatting>
  <conditionalFormatting sqref="W43">
    <cfRule type="expression" dxfId="3190" priority="1184">
      <formula>AND($A43&lt;&gt;"",MOD(ROW(),2))</formula>
    </cfRule>
  </conditionalFormatting>
  <conditionalFormatting sqref="W43">
    <cfRule type="expression" dxfId="3189" priority="1183">
      <formula>AND($A43&lt;&gt;"",MOD(ROW(),2))</formula>
    </cfRule>
  </conditionalFormatting>
  <conditionalFormatting sqref="Z43">
    <cfRule type="expression" dxfId="3188" priority="1182">
      <formula>AND($A43&lt;&gt;"",MOD(ROW(),2))</formula>
    </cfRule>
  </conditionalFormatting>
  <conditionalFormatting sqref="W44">
    <cfRule type="expression" dxfId="3187" priority="1181">
      <formula>AND($A44&lt;&gt;"",MOD(ROW(),2))</formula>
    </cfRule>
  </conditionalFormatting>
  <conditionalFormatting sqref="W44">
    <cfRule type="expression" dxfId="3186" priority="1180">
      <formula>AND($A44&lt;&gt;"",MOD(ROW(),2))</formula>
    </cfRule>
  </conditionalFormatting>
  <conditionalFormatting sqref="Z44">
    <cfRule type="expression" dxfId="3185" priority="1179">
      <formula>AND($A44&lt;&gt;"",MOD(ROW(),2))</formula>
    </cfRule>
  </conditionalFormatting>
  <conditionalFormatting sqref="W45">
    <cfRule type="expression" dxfId="3184" priority="1177">
      <formula>AND($A45&lt;&gt;"",MOD(ROW(),2))</formula>
    </cfRule>
  </conditionalFormatting>
  <conditionalFormatting sqref="W45">
    <cfRule type="expression" dxfId="3183" priority="1176">
      <formula>AND($A45&lt;&gt;"",MOD(ROW(),2))</formula>
    </cfRule>
  </conditionalFormatting>
  <conditionalFormatting sqref="W46">
    <cfRule type="expression" dxfId="3182" priority="1175">
      <formula>AND($A46&lt;&gt;"",MOD(ROW(),2))</formula>
    </cfRule>
  </conditionalFormatting>
  <conditionalFormatting sqref="W46">
    <cfRule type="expression" dxfId="3181" priority="1174">
      <formula>AND($A46&lt;&gt;"",MOD(ROW(),2))</formula>
    </cfRule>
  </conditionalFormatting>
  <conditionalFormatting sqref="AD43">
    <cfRule type="expression" dxfId="3180" priority="1173">
      <formula>AND($A43&lt;&gt;"",MOD(ROW(),2))</formula>
    </cfRule>
  </conditionalFormatting>
  <conditionalFormatting sqref="AD44">
    <cfRule type="expression" dxfId="3179" priority="1172">
      <formula>AND($A44&lt;&gt;"",MOD(ROW(),2))</formula>
    </cfRule>
  </conditionalFormatting>
  <conditionalFormatting sqref="AD45">
    <cfRule type="expression" dxfId="3178" priority="1171">
      <formula>AND($A45&lt;&gt;"",MOD(ROW(),2))</formula>
    </cfRule>
  </conditionalFormatting>
  <conditionalFormatting sqref="AD46">
    <cfRule type="expression" dxfId="3177" priority="1170">
      <formula>AND($A46&lt;&gt;"",MOD(ROW(),2))</formula>
    </cfRule>
  </conditionalFormatting>
  <conditionalFormatting sqref="W47">
    <cfRule type="expression" dxfId="3176" priority="1168">
      <formula>AND($A47&lt;&gt;"",MOD(ROW(),2))</formula>
    </cfRule>
  </conditionalFormatting>
  <conditionalFormatting sqref="W47">
    <cfRule type="expression" dxfId="3175" priority="1167">
      <formula>AND($A47&lt;&gt;"",MOD(ROW(),2))</formula>
    </cfRule>
  </conditionalFormatting>
  <conditionalFormatting sqref="AD47">
    <cfRule type="expression" dxfId="3174" priority="1166">
      <formula>AND($A47&lt;&gt;"",MOD(ROW(),2))</formula>
    </cfRule>
  </conditionalFormatting>
  <conditionalFormatting sqref="W48">
    <cfRule type="expression" dxfId="3173" priority="1165">
      <formula>AND($A48&lt;&gt;"",MOD(ROW(),2))</formula>
    </cfRule>
  </conditionalFormatting>
  <conditionalFormatting sqref="W48">
    <cfRule type="expression" dxfId="3172" priority="1164">
      <formula>AND($A48&lt;&gt;"",MOD(ROW(),2))</formula>
    </cfRule>
  </conditionalFormatting>
  <conditionalFormatting sqref="AD48">
    <cfRule type="expression" dxfId="3171" priority="1163">
      <formula>AND($A48&lt;&gt;"",MOD(ROW(),2))</formula>
    </cfRule>
  </conditionalFormatting>
  <conditionalFormatting sqref="W49">
    <cfRule type="expression" dxfId="3170" priority="1162">
      <formula>AND($A49&lt;&gt;"",MOD(ROW(),2))</formula>
    </cfRule>
  </conditionalFormatting>
  <conditionalFormatting sqref="W49">
    <cfRule type="expression" dxfId="3169" priority="1161">
      <formula>AND($A49&lt;&gt;"",MOD(ROW(),2))</formula>
    </cfRule>
  </conditionalFormatting>
  <conditionalFormatting sqref="AD49">
    <cfRule type="expression" dxfId="3168" priority="1160">
      <formula>AND($A49&lt;&gt;"",MOD(ROW(),2))</formula>
    </cfRule>
  </conditionalFormatting>
  <conditionalFormatting sqref="W50">
    <cfRule type="expression" dxfId="3167" priority="1158">
      <formula>AND($A50&lt;&gt;"",MOD(ROW(),2))</formula>
    </cfRule>
  </conditionalFormatting>
  <conditionalFormatting sqref="W50">
    <cfRule type="expression" dxfId="3166" priority="1157">
      <formula>AND($A50&lt;&gt;"",MOD(ROW(),2))</formula>
    </cfRule>
  </conditionalFormatting>
  <conditionalFormatting sqref="AD50">
    <cfRule type="expression" dxfId="3165" priority="1156">
      <formula>AND($A50&lt;&gt;"",MOD(ROW(),2))</formula>
    </cfRule>
  </conditionalFormatting>
  <conditionalFormatting sqref="W51">
    <cfRule type="expression" dxfId="3164" priority="1154">
      <formula>AND($A51&lt;&gt;"",MOD(ROW(),2))</formula>
    </cfRule>
  </conditionalFormatting>
  <conditionalFormatting sqref="W51">
    <cfRule type="expression" dxfId="3163" priority="1153">
      <formula>AND($A51&lt;&gt;"",MOD(ROW(),2))</formula>
    </cfRule>
  </conditionalFormatting>
  <conditionalFormatting sqref="Z45">
    <cfRule type="expression" dxfId="3162" priority="1152">
      <formula>AND($A45&lt;&gt;"",MOD(ROW(),2))</formula>
    </cfRule>
  </conditionalFormatting>
  <conditionalFormatting sqref="Z46">
    <cfRule type="expression" dxfId="3161" priority="1151">
      <formula>AND($A46&lt;&gt;"",MOD(ROW(),2))</formula>
    </cfRule>
  </conditionalFormatting>
  <conditionalFormatting sqref="Z47">
    <cfRule type="expression" dxfId="3160" priority="1150">
      <formula>AND($A47&lt;&gt;"",MOD(ROW(),2))</formula>
    </cfRule>
  </conditionalFormatting>
  <conditionalFormatting sqref="Z48">
    <cfRule type="expression" dxfId="3159" priority="1149">
      <formula>AND($A48&lt;&gt;"",MOD(ROW(),2))</formula>
    </cfRule>
  </conditionalFormatting>
  <conditionalFormatting sqref="Z49">
    <cfRule type="expression" dxfId="3158" priority="1148">
      <formula>AND($A49&lt;&gt;"",MOD(ROW(),2))</formula>
    </cfRule>
  </conditionalFormatting>
  <conditionalFormatting sqref="Z50">
    <cfRule type="expression" dxfId="3157" priority="1147">
      <formula>AND($A50&lt;&gt;"",MOD(ROW(),2))</formula>
    </cfRule>
  </conditionalFormatting>
  <conditionalFormatting sqref="Z51">
    <cfRule type="expression" dxfId="3156" priority="1146">
      <formula>AND($A51&lt;&gt;"",MOD(ROW(),2))</formula>
    </cfRule>
  </conditionalFormatting>
  <conditionalFormatting sqref="AD51">
    <cfRule type="expression" dxfId="3155" priority="1145">
      <formula>AND($A51&lt;&gt;"",MOD(ROW(),2))</formula>
    </cfRule>
  </conditionalFormatting>
  <conditionalFormatting sqref="W52">
    <cfRule type="expression" dxfId="3154" priority="1143">
      <formula>AND($A52&lt;&gt;"",MOD(ROW(),2))</formula>
    </cfRule>
  </conditionalFormatting>
  <conditionalFormatting sqref="W52">
    <cfRule type="expression" dxfId="3153" priority="1142">
      <formula>AND($A52&lt;&gt;"",MOD(ROW(),2))</formula>
    </cfRule>
  </conditionalFormatting>
  <conditionalFormatting sqref="Z52">
    <cfRule type="expression" dxfId="3152" priority="1141">
      <formula>AND($A52&lt;&gt;"",MOD(ROW(),2))</formula>
    </cfRule>
  </conditionalFormatting>
  <conditionalFormatting sqref="AD52">
    <cfRule type="expression" dxfId="3151" priority="1140">
      <formula>AND($A52&lt;&gt;"",MOD(ROW(),2))</formula>
    </cfRule>
  </conditionalFormatting>
  <conditionalFormatting sqref="Q47">
    <cfRule type="containsText" dxfId="3150" priority="1137" operator="containsText" text="Unpaid Rent">
      <formula>NOT(ISERROR(SEARCH("Unpaid Rent",Q47)))</formula>
    </cfRule>
    <cfRule type="containsText" dxfId="3149" priority="1138" stopIfTrue="1" operator="containsText" text="Closed Account">
      <formula>NOT(ISERROR(SEARCH("Closed Account",Q47)))</formula>
    </cfRule>
  </conditionalFormatting>
  <conditionalFormatting sqref="Q48">
    <cfRule type="containsText" dxfId="3148" priority="1135" operator="containsText" text="Unpaid Rent">
      <formula>NOT(ISERROR(SEARCH("Unpaid Rent",Q48)))</formula>
    </cfRule>
    <cfRule type="containsText" dxfId="3147" priority="1136" stopIfTrue="1" operator="containsText" text="Closed Account">
      <formula>NOT(ISERROR(SEARCH("Closed Account",Q48)))</formula>
    </cfRule>
  </conditionalFormatting>
  <conditionalFormatting sqref="W53">
    <cfRule type="expression" dxfId="3146" priority="1133">
      <formula>AND($A53&lt;&gt;"",MOD(ROW(),2))</formula>
    </cfRule>
  </conditionalFormatting>
  <conditionalFormatting sqref="W53">
    <cfRule type="expression" dxfId="3145" priority="1132">
      <formula>AND($A53&lt;&gt;"",MOD(ROW(),2))</formula>
    </cfRule>
  </conditionalFormatting>
  <conditionalFormatting sqref="W54">
    <cfRule type="expression" dxfId="3144" priority="1131">
      <formula>AND($A54&lt;&gt;"",MOD(ROW(),2))</formula>
    </cfRule>
  </conditionalFormatting>
  <conditionalFormatting sqref="W54">
    <cfRule type="expression" dxfId="3143" priority="1130">
      <formula>AND($A54&lt;&gt;"",MOD(ROW(),2))</formula>
    </cfRule>
  </conditionalFormatting>
  <conditionalFormatting sqref="Z53">
    <cfRule type="expression" dxfId="3142" priority="1129">
      <formula>AND($A53&lt;&gt;"",MOD(ROW(),2))</formula>
    </cfRule>
  </conditionalFormatting>
  <conditionalFormatting sqref="AD53">
    <cfRule type="expression" dxfId="3141" priority="1128">
      <formula>AND($A53&lt;&gt;"",MOD(ROW(),2))</formula>
    </cfRule>
  </conditionalFormatting>
  <conditionalFormatting sqref="W55">
    <cfRule type="expression" dxfId="3140" priority="1127">
      <formula>AND($A55&lt;&gt;"",MOD(ROW(),2))</formula>
    </cfRule>
  </conditionalFormatting>
  <conditionalFormatting sqref="W55">
    <cfRule type="expression" dxfId="3139" priority="1126">
      <formula>AND($A55&lt;&gt;"",MOD(ROW(),2))</formula>
    </cfRule>
  </conditionalFormatting>
  <conditionalFormatting sqref="W56">
    <cfRule type="expression" dxfId="3138" priority="1125">
      <formula>AND($A56&lt;&gt;"",MOD(ROW(),2))</formula>
    </cfRule>
  </conditionalFormatting>
  <conditionalFormatting sqref="W56">
    <cfRule type="expression" dxfId="3137" priority="1124">
      <formula>AND($A56&lt;&gt;"",MOD(ROW(),2))</formula>
    </cfRule>
  </conditionalFormatting>
  <conditionalFormatting sqref="W57">
    <cfRule type="expression" dxfId="3136" priority="1123">
      <formula>AND($A57&lt;&gt;"",MOD(ROW(),2))</formula>
    </cfRule>
  </conditionalFormatting>
  <conditionalFormatting sqref="W57">
    <cfRule type="expression" dxfId="3135" priority="1122">
      <formula>AND($A57&lt;&gt;"",MOD(ROW(),2))</formula>
    </cfRule>
  </conditionalFormatting>
  <conditionalFormatting sqref="AD54">
    <cfRule type="expression" dxfId="3134" priority="1121">
      <formula>AND($A54&lt;&gt;"",MOD(ROW(),2))</formula>
    </cfRule>
  </conditionalFormatting>
  <conditionalFormatting sqref="AD55">
    <cfRule type="expression" dxfId="3133" priority="1120">
      <formula>AND($A55&lt;&gt;"",MOD(ROW(),2))</formula>
    </cfRule>
  </conditionalFormatting>
  <conditionalFormatting sqref="AD56">
    <cfRule type="expression" dxfId="3132" priority="1119">
      <formula>AND($A56&lt;&gt;"",MOD(ROW(),2))</formula>
    </cfRule>
  </conditionalFormatting>
  <conditionalFormatting sqref="AD57">
    <cfRule type="expression" dxfId="3131" priority="1117">
      <formula>AND($A57&lt;&gt;"",MOD(ROW(),2))</formula>
    </cfRule>
  </conditionalFormatting>
  <conditionalFormatting sqref="W58">
    <cfRule type="expression" dxfId="3130" priority="1115">
      <formula>AND($A58&lt;&gt;"",MOD(ROW(),2))</formula>
    </cfRule>
  </conditionalFormatting>
  <conditionalFormatting sqref="W58">
    <cfRule type="expression" dxfId="3129" priority="1114">
      <formula>AND($A58&lt;&gt;"",MOD(ROW(),2))</formula>
    </cfRule>
  </conditionalFormatting>
  <conditionalFormatting sqref="AD58">
    <cfRule type="expression" dxfId="3128" priority="1113">
      <formula>AND($A58&lt;&gt;"",MOD(ROW(),2))</formula>
    </cfRule>
  </conditionalFormatting>
  <conditionalFormatting sqref="AN7:AQ12 AJ7:AJ12">
    <cfRule type="expression" dxfId="3127" priority="1112">
      <formula>AND($A7&lt;&gt;"",MOD(ROW(),2))</formula>
    </cfRule>
  </conditionalFormatting>
  <conditionalFormatting sqref="AK7:AL7">
    <cfRule type="expression" dxfId="3126" priority="1111">
      <formula>AND($A7&lt;&gt;"",MOD(ROW(),2))</formula>
    </cfRule>
  </conditionalFormatting>
  <conditionalFormatting sqref="AK7">
    <cfRule type="cellIs" dxfId="3125" priority="1108" operator="equal">
      <formula>$C7</formula>
    </cfRule>
    <cfRule type="cellIs" dxfId="3124" priority="1109" operator="greaterThan">
      <formula>$C7</formula>
    </cfRule>
    <cfRule type="cellIs" dxfId="3123" priority="1110" operator="lessThan">
      <formula>$C7</formula>
    </cfRule>
  </conditionalFormatting>
  <conditionalFormatting sqref="AK8:AL8">
    <cfRule type="expression" dxfId="3122" priority="1107">
      <formula>AND($A8&lt;&gt;"",MOD(ROW(),2))</formula>
    </cfRule>
  </conditionalFormatting>
  <conditionalFormatting sqref="AK8">
    <cfRule type="cellIs" dxfId="3121" priority="1104" operator="equal">
      <formula>$C8</formula>
    </cfRule>
    <cfRule type="cellIs" dxfId="3120" priority="1105" operator="greaterThan">
      <formula>$C8</formula>
    </cfRule>
    <cfRule type="cellIs" dxfId="3119" priority="1106" operator="lessThan">
      <formula>$C8</formula>
    </cfRule>
  </conditionalFormatting>
  <conditionalFormatting sqref="AK9:AL9">
    <cfRule type="expression" dxfId="3118" priority="1103">
      <formula>AND($A9&lt;&gt;"",MOD(ROW(),2))</formula>
    </cfRule>
  </conditionalFormatting>
  <conditionalFormatting sqref="AK9">
    <cfRule type="cellIs" dxfId="3117" priority="1100" operator="equal">
      <formula>$C9</formula>
    </cfRule>
    <cfRule type="cellIs" dxfId="3116" priority="1101" operator="greaterThan">
      <formula>$C9</formula>
    </cfRule>
    <cfRule type="cellIs" dxfId="3115" priority="1102" operator="lessThan">
      <formula>$C9</formula>
    </cfRule>
  </conditionalFormatting>
  <conditionalFormatting sqref="AK10:AL10">
    <cfRule type="expression" dxfId="3114" priority="1099">
      <formula>AND($A10&lt;&gt;"",MOD(ROW(),2))</formula>
    </cfRule>
  </conditionalFormatting>
  <conditionalFormatting sqref="AK10">
    <cfRule type="cellIs" dxfId="3113" priority="1096" operator="equal">
      <formula>$C10</formula>
    </cfRule>
    <cfRule type="cellIs" dxfId="3112" priority="1097" operator="greaterThan">
      <formula>$C10</formula>
    </cfRule>
    <cfRule type="cellIs" dxfId="3111" priority="1098" operator="lessThan">
      <formula>$C10</formula>
    </cfRule>
  </conditionalFormatting>
  <conditionalFormatting sqref="AK11:AL11">
    <cfRule type="expression" dxfId="3110" priority="1095">
      <formula>AND($A11&lt;&gt;"",MOD(ROW(),2))</formula>
    </cfRule>
  </conditionalFormatting>
  <conditionalFormatting sqref="AK11">
    <cfRule type="cellIs" dxfId="3109" priority="1092" operator="equal">
      <formula>$C11</formula>
    </cfRule>
    <cfRule type="cellIs" dxfId="3108" priority="1093" operator="greaterThan">
      <formula>$C11</formula>
    </cfRule>
    <cfRule type="cellIs" dxfId="3107" priority="1094" operator="lessThan">
      <formula>$C11</formula>
    </cfRule>
  </conditionalFormatting>
  <conditionalFormatting sqref="AK12:AL12">
    <cfRule type="expression" dxfId="3106" priority="1091">
      <formula>AND($A12&lt;&gt;"",MOD(ROW(),2))</formula>
    </cfRule>
  </conditionalFormatting>
  <conditionalFormatting sqref="AK12">
    <cfRule type="cellIs" dxfId="3105" priority="1088" operator="equal">
      <formula>$C12</formula>
    </cfRule>
    <cfRule type="cellIs" dxfId="3104" priority="1089" operator="greaterThan">
      <formula>$C12</formula>
    </cfRule>
    <cfRule type="cellIs" dxfId="3103" priority="1090" operator="lessThan">
      <formula>$C12</formula>
    </cfRule>
  </conditionalFormatting>
  <conditionalFormatting sqref="AM7:AM12">
    <cfRule type="containsText" dxfId="3102" priority="1086" operator="containsText" text="Unpaid Rent">
      <formula>NOT(ISERROR(SEARCH("Unpaid Rent",AM7)))</formula>
    </cfRule>
    <cfRule type="containsText" dxfId="3101" priority="1087" stopIfTrue="1" operator="containsText" text="Closed Account">
      <formula>NOT(ISERROR(SEARCH("Closed Account",AM7)))</formula>
    </cfRule>
  </conditionalFormatting>
  <conditionalFormatting sqref="AO13:AQ16 AO19:AQ19 AO20:AP20 AO17:AP18 AN13:AN19 AJ13:AJ19 AH13:AH19 AO21 AO24:AO63">
    <cfRule type="expression" dxfId="3100" priority="1074">
      <formula>AND($A15&lt;&gt;"",MOD(ROW(),2))</formula>
    </cfRule>
  </conditionalFormatting>
  <conditionalFormatting sqref="AK13:AK16">
    <cfRule type="expression" dxfId="3099" priority="1070">
      <formula>AND($A15&lt;&gt;"",MOD(ROW(),2))</formula>
    </cfRule>
  </conditionalFormatting>
  <conditionalFormatting sqref="AM17:AM18">
    <cfRule type="containsText" dxfId="3098" priority="1067" operator="containsText" text="Unpaid Rent">
      <formula>NOT(ISERROR(SEARCH("Unpaid Rent",AM17)))</formula>
    </cfRule>
    <cfRule type="containsText" dxfId="3097" priority="1068" stopIfTrue="1" operator="containsText" text="Closed Account">
      <formula>NOT(ISERROR(SEARCH("Closed Account",AM17)))</formula>
    </cfRule>
  </conditionalFormatting>
  <conditionalFormatting sqref="AK17:AK18">
    <cfRule type="expression" dxfId="3096" priority="1066">
      <formula>AND($A19&lt;&gt;"",MOD(ROW(),2))</formula>
    </cfRule>
  </conditionalFormatting>
  <conditionalFormatting sqref="AQ17:AQ18">
    <cfRule type="expression" dxfId="3095" priority="1065">
      <formula>AND($A19&lt;&gt;"",MOD(ROW(),2))</formula>
    </cfRule>
  </conditionalFormatting>
  <conditionalFormatting sqref="AM19">
    <cfRule type="containsText" dxfId="3094" priority="1062" operator="containsText" text="Unpaid Rent">
      <formula>NOT(ISERROR(SEARCH("Unpaid Rent",AM19)))</formula>
    </cfRule>
    <cfRule type="containsText" dxfId="3093" priority="1063" stopIfTrue="1" operator="containsText" text="Closed Account">
      <formula>NOT(ISERROR(SEARCH("Closed Account",AM19)))</formula>
    </cfRule>
  </conditionalFormatting>
  <conditionalFormatting sqref="AK19">
    <cfRule type="expression" dxfId="3092" priority="1061">
      <formula>AND($A21&lt;&gt;"",MOD(ROW(),2))</formula>
    </cfRule>
  </conditionalFormatting>
  <conditionalFormatting sqref="AJ21:AJ24">
    <cfRule type="expression" dxfId="3091" priority="1060">
      <formula>AND($A23&lt;&gt;"",MOD(ROW(),2))</formula>
    </cfRule>
  </conditionalFormatting>
  <conditionalFormatting sqref="AJ21:AJ24">
    <cfRule type="expression" dxfId="3090" priority="1059">
      <formula>AND(#REF!&lt;&gt;"",MOD(ROW(),2))</formula>
    </cfRule>
  </conditionalFormatting>
  <conditionalFormatting sqref="AJ21:AJ24">
    <cfRule type="expression" dxfId="3089" priority="1058">
      <formula>AND(#REF!&lt;&gt;"",MOD(ROW(),2))</formula>
    </cfRule>
  </conditionalFormatting>
  <conditionalFormatting sqref="AJ21:AJ24">
    <cfRule type="cellIs" dxfId="3088" priority="1055" operator="equal">
      <formula>#REF!</formula>
    </cfRule>
    <cfRule type="cellIs" dxfId="3087" priority="1056" operator="greaterThan">
      <formula>#REF!</formula>
    </cfRule>
    <cfRule type="cellIs" dxfId="3086" priority="1057" operator="lessThan">
      <formula>#REF!</formula>
    </cfRule>
  </conditionalFormatting>
  <conditionalFormatting sqref="AM20:AM21">
    <cfRule type="containsText" dxfId="3085" priority="1053" operator="containsText" text="Unpaid Rent">
      <formula>NOT(ISERROR(SEARCH("Unpaid Rent",AM20)))</formula>
    </cfRule>
    <cfRule type="containsText" dxfId="3084" priority="1054" stopIfTrue="1" operator="containsText" text="Closed Account">
      <formula>NOT(ISERROR(SEARCH("Closed Account",AM20)))</formula>
    </cfRule>
  </conditionalFormatting>
  <conditionalFormatting sqref="AH20">
    <cfRule type="expression" dxfId="3083" priority="1052">
      <formula>AND($A22&lt;&gt;"",MOD(ROW(),2))</formula>
    </cfRule>
  </conditionalFormatting>
  <conditionalFormatting sqref="AJ20">
    <cfRule type="expression" dxfId="3082" priority="1051">
      <formula>AND($A22&lt;&gt;"",MOD(ROW(),2))</formula>
    </cfRule>
  </conditionalFormatting>
  <conditionalFormatting sqref="AK21:AK24">
    <cfRule type="expression" dxfId="3081" priority="1050">
      <formula>AND($A23&lt;&gt;"",MOD(ROW(),2))</formula>
    </cfRule>
  </conditionalFormatting>
  <conditionalFormatting sqref="AK20">
    <cfRule type="expression" dxfId="3080" priority="1049">
      <formula>AND($A22&lt;&gt;"",MOD(ROW(),2))</formula>
    </cfRule>
  </conditionalFormatting>
  <conditionalFormatting sqref="AH21:AH24">
    <cfRule type="expression" dxfId="3079" priority="1048">
      <formula>AND($A23&lt;&gt;"",MOD(ROW(),2))</formula>
    </cfRule>
  </conditionalFormatting>
  <conditionalFormatting sqref="AJ20">
    <cfRule type="expression" dxfId="3078" priority="1045">
      <formula>AND($A22&lt;&gt;"",MOD(ROW(),2))</formula>
    </cfRule>
  </conditionalFormatting>
  <conditionalFormatting sqref="AH20">
    <cfRule type="expression" dxfId="3077" priority="1047">
      <formula>AND($A22&lt;&gt;"",MOD(ROW(),2))</formula>
    </cfRule>
  </conditionalFormatting>
  <conditionalFormatting sqref="AH21:AH24">
    <cfRule type="expression" dxfId="3076" priority="1046">
      <formula>AND($A23&lt;&gt;"",MOD(ROW(),2))</formula>
    </cfRule>
  </conditionalFormatting>
  <conditionalFormatting sqref="AJ21:AJ24">
    <cfRule type="expression" dxfId="3075" priority="1044">
      <formula>AND($A23&lt;&gt;"",MOD(ROW(),2))</formula>
    </cfRule>
  </conditionalFormatting>
  <conditionalFormatting sqref="AK20">
    <cfRule type="expression" dxfId="3074" priority="1043">
      <formula>AND($A22&lt;&gt;"",MOD(ROW(),2))</formula>
    </cfRule>
  </conditionalFormatting>
  <conditionalFormatting sqref="AK21:AK24">
    <cfRule type="expression" dxfId="3073" priority="1042">
      <formula>AND($A23&lt;&gt;"",MOD(ROW(),2))</formula>
    </cfRule>
  </conditionalFormatting>
  <conditionalFormatting sqref="AQ21">
    <cfRule type="expression" dxfId="3072" priority="1041">
      <formula>AND($A23&lt;&gt;"",MOD(ROW(),2))</formula>
    </cfRule>
  </conditionalFormatting>
  <conditionalFormatting sqref="AQ20">
    <cfRule type="expression" dxfId="3071" priority="1040">
      <formula>AND($A22&lt;&gt;"",MOD(ROW(),2))</formula>
    </cfRule>
  </conditionalFormatting>
  <conditionalFormatting sqref="L7:L8">
    <cfRule type="expression" dxfId="3070" priority="1039">
      <formula>AND($A7&lt;&gt;"",MOD(ROW(),2))</formula>
    </cfRule>
  </conditionalFormatting>
  <conditionalFormatting sqref="N7:N8 R7:R8">
    <cfRule type="expression" dxfId="3069" priority="1038">
      <formula>AND($A7&lt;&gt;"",MOD(ROW(),2))</formula>
    </cfRule>
  </conditionalFormatting>
  <conditionalFormatting sqref="Q7:Q8">
    <cfRule type="containsText" dxfId="3068" priority="1036" operator="containsText" text="Unpaid Rent">
      <formula>NOT(ISERROR(SEARCH("Unpaid Rent",Q7)))</formula>
    </cfRule>
    <cfRule type="containsText" dxfId="3067" priority="1037" stopIfTrue="1" operator="containsText" text="Closed Account">
      <formula>NOT(ISERROR(SEARCH("Closed Account",Q7)))</formula>
    </cfRule>
  </conditionalFormatting>
  <conditionalFormatting sqref="O7:P7">
    <cfRule type="expression" dxfId="3066" priority="1035">
      <formula>AND($A7&lt;&gt;"",MOD(ROW(),2))</formula>
    </cfRule>
  </conditionalFormatting>
  <conditionalFormatting sqref="O7">
    <cfRule type="cellIs" dxfId="3065" priority="1032" operator="equal">
      <formula>$C7</formula>
    </cfRule>
    <cfRule type="cellIs" dxfId="3064" priority="1033" operator="greaterThan">
      <formula>$C7</formula>
    </cfRule>
    <cfRule type="cellIs" dxfId="3063" priority="1034" operator="lessThan">
      <formula>$C7</formula>
    </cfRule>
  </conditionalFormatting>
  <conditionalFormatting sqref="O8:P8">
    <cfRule type="expression" dxfId="3062" priority="1031">
      <formula>AND($A8&lt;&gt;"",MOD(ROW(),2))</formula>
    </cfRule>
  </conditionalFormatting>
  <conditionalFormatting sqref="O8">
    <cfRule type="cellIs" dxfId="3061" priority="1028" operator="equal">
      <formula>$C8</formula>
    </cfRule>
    <cfRule type="cellIs" dxfId="3060" priority="1029" operator="greaterThan">
      <formula>$C8</formula>
    </cfRule>
    <cfRule type="cellIs" dxfId="3059" priority="1030" operator="lessThan">
      <formula>$C8</formula>
    </cfRule>
  </conditionalFormatting>
  <conditionalFormatting sqref="N24:N35">
    <cfRule type="expression" dxfId="3058" priority="1027">
      <formula>AND($A24&lt;&gt;"",MOD(ROW(),2))</formula>
    </cfRule>
  </conditionalFormatting>
  <conditionalFormatting sqref="N24:N35">
    <cfRule type="expression" dxfId="3057" priority="1026">
      <formula>AND(#REF!&lt;&gt;"",MOD(ROW(),2))</formula>
    </cfRule>
  </conditionalFormatting>
  <conditionalFormatting sqref="N24:N35">
    <cfRule type="expression" dxfId="3056" priority="1025">
      <formula>AND(#REF!&lt;&gt;"",MOD(ROW(),2))</formula>
    </cfRule>
  </conditionalFormatting>
  <conditionalFormatting sqref="N24:N35">
    <cfRule type="cellIs" dxfId="3055" priority="1022" operator="equal">
      <formula>#REF!</formula>
    </cfRule>
    <cfRule type="cellIs" dxfId="3054" priority="1023" operator="greaterThan">
      <formula>#REF!</formula>
    </cfRule>
    <cfRule type="cellIs" dxfId="3053" priority="1024" operator="lessThan">
      <formula>#REF!</formula>
    </cfRule>
  </conditionalFormatting>
  <conditionalFormatting sqref="Q30:Q31">
    <cfRule type="containsText" dxfId="3052" priority="1020" operator="containsText" text="Unpaid Rent">
      <formula>NOT(ISERROR(SEARCH("Unpaid Rent",Q30)))</formula>
    </cfRule>
    <cfRule type="containsText" dxfId="3051" priority="1021" stopIfTrue="1" operator="containsText" text="Closed Account">
      <formula>NOT(ISERROR(SEARCH("Closed Account",Q30)))</formula>
    </cfRule>
  </conditionalFormatting>
  <conditionalFormatting sqref="O24:O35">
    <cfRule type="expression" dxfId="3050" priority="1019">
      <formula>AND($A24&lt;&gt;"",MOD(ROW(),2))</formula>
    </cfRule>
  </conditionalFormatting>
  <conditionalFormatting sqref="L24">
    <cfRule type="expression" dxfId="3049" priority="1018">
      <formula>AND($A24&lt;&gt;"",MOD(ROW(),2))</formula>
    </cfRule>
  </conditionalFormatting>
  <conditionalFormatting sqref="L25">
    <cfRule type="expression" dxfId="3048" priority="1017">
      <formula>AND($A25&lt;&gt;"",MOD(ROW(),2))</formula>
    </cfRule>
  </conditionalFormatting>
  <conditionalFormatting sqref="L26">
    <cfRule type="expression" dxfId="3047" priority="1016">
      <formula>AND($A26&lt;&gt;"",MOD(ROW(),2))</formula>
    </cfRule>
  </conditionalFormatting>
  <conditionalFormatting sqref="L27">
    <cfRule type="expression" dxfId="3046" priority="1015">
      <formula>AND($A27&lt;&gt;"",MOD(ROW(),2))</formula>
    </cfRule>
  </conditionalFormatting>
  <conditionalFormatting sqref="L24">
    <cfRule type="expression" dxfId="3045" priority="1014">
      <formula>AND($A24&lt;&gt;"",MOD(ROW(),2))</formula>
    </cfRule>
  </conditionalFormatting>
  <conditionalFormatting sqref="L25">
    <cfRule type="expression" dxfId="3044" priority="1013">
      <formula>AND($A25&lt;&gt;"",MOD(ROW(),2))</formula>
    </cfRule>
  </conditionalFormatting>
  <conditionalFormatting sqref="L26">
    <cfRule type="expression" dxfId="3043" priority="1012">
      <formula>AND($A26&lt;&gt;"",MOD(ROW(),2))</formula>
    </cfRule>
  </conditionalFormatting>
  <conditionalFormatting sqref="L27">
    <cfRule type="expression" dxfId="3042" priority="1011">
      <formula>AND($A27&lt;&gt;"",MOD(ROW(),2))</formula>
    </cfRule>
  </conditionalFormatting>
  <conditionalFormatting sqref="L28">
    <cfRule type="expression" dxfId="3041" priority="1010">
      <formula>AND($A28&lt;&gt;"",MOD(ROW(),2))</formula>
    </cfRule>
  </conditionalFormatting>
  <conditionalFormatting sqref="L29">
    <cfRule type="expression" dxfId="3040" priority="1009">
      <formula>AND($A29&lt;&gt;"",MOD(ROW(),2))</formula>
    </cfRule>
  </conditionalFormatting>
  <conditionalFormatting sqref="L30">
    <cfRule type="expression" dxfId="3039" priority="1008">
      <formula>AND($A30&lt;&gt;"",MOD(ROW(),2))</formula>
    </cfRule>
  </conditionalFormatting>
  <conditionalFormatting sqref="L31">
    <cfRule type="expression" dxfId="3038" priority="1007">
      <formula>AND($A31&lt;&gt;"",MOD(ROW(),2))</formula>
    </cfRule>
  </conditionalFormatting>
  <conditionalFormatting sqref="L32">
    <cfRule type="expression" dxfId="3037" priority="1006">
      <formula>AND($A32&lt;&gt;"",MOD(ROW(),2))</formula>
    </cfRule>
  </conditionalFormatting>
  <conditionalFormatting sqref="L32">
    <cfRule type="expression" dxfId="3036" priority="1005">
      <formula>AND($A32&lt;&gt;"",MOD(ROW(),2))</formula>
    </cfRule>
  </conditionalFormatting>
  <conditionalFormatting sqref="L33">
    <cfRule type="expression" dxfId="3035" priority="1004">
      <formula>AND($A33&lt;&gt;"",MOD(ROW(),2))</formula>
    </cfRule>
  </conditionalFormatting>
  <conditionalFormatting sqref="L33">
    <cfRule type="expression" dxfId="3034" priority="1003">
      <formula>AND($A33&lt;&gt;"",MOD(ROW(),2))</formula>
    </cfRule>
  </conditionalFormatting>
  <conditionalFormatting sqref="L34">
    <cfRule type="expression" dxfId="3033" priority="1002">
      <formula>AND($A34&lt;&gt;"",MOD(ROW(),2))</formula>
    </cfRule>
  </conditionalFormatting>
  <conditionalFormatting sqref="L34">
    <cfRule type="expression" dxfId="3032" priority="1001">
      <formula>AND($A34&lt;&gt;"",MOD(ROW(),2))</formula>
    </cfRule>
  </conditionalFormatting>
  <conditionalFormatting sqref="L35">
    <cfRule type="expression" dxfId="3031" priority="1000">
      <formula>AND($A35&lt;&gt;"",MOD(ROW(),2))</formula>
    </cfRule>
  </conditionalFormatting>
  <conditionalFormatting sqref="L35">
    <cfRule type="expression" dxfId="3030" priority="999">
      <formula>AND($A35&lt;&gt;"",MOD(ROW(),2))</formula>
    </cfRule>
  </conditionalFormatting>
  <conditionalFormatting sqref="N9:N11">
    <cfRule type="expression" dxfId="3029" priority="998">
      <formula>AND($A9&lt;&gt;"",MOD(ROW(),2))</formula>
    </cfRule>
  </conditionalFormatting>
  <conditionalFormatting sqref="N9:N11">
    <cfRule type="expression" dxfId="3028" priority="997">
      <formula>AND(#REF!&lt;&gt;"",MOD(ROW(),2))</formula>
    </cfRule>
  </conditionalFormatting>
  <conditionalFormatting sqref="N9:N11">
    <cfRule type="expression" dxfId="3027" priority="996">
      <formula>AND(#REF!&lt;&gt;"",MOD(ROW(),2))</formula>
    </cfRule>
  </conditionalFormatting>
  <conditionalFormatting sqref="N9:N11">
    <cfRule type="cellIs" dxfId="3026" priority="993" operator="equal">
      <formula>#REF!</formula>
    </cfRule>
    <cfRule type="cellIs" dxfId="3025" priority="994" operator="greaterThan">
      <formula>#REF!</formula>
    </cfRule>
    <cfRule type="cellIs" dxfId="3024" priority="995" operator="lessThan">
      <formula>#REF!</formula>
    </cfRule>
  </conditionalFormatting>
  <conditionalFormatting sqref="Q9:Q11">
    <cfRule type="containsText" dxfId="3023" priority="991" operator="containsText" text="Unpaid Rent">
      <formula>NOT(ISERROR(SEARCH("Unpaid Rent",Q9)))</formula>
    </cfRule>
    <cfRule type="containsText" dxfId="3022" priority="992" stopIfTrue="1" operator="containsText" text="Closed Account">
      <formula>NOT(ISERROR(SEARCH("Closed Account",Q9)))</formula>
    </cfRule>
  </conditionalFormatting>
  <conditionalFormatting sqref="O9:O11">
    <cfRule type="expression" dxfId="3021" priority="990">
      <formula>AND($A9&lt;&gt;"",MOD(ROW(),2))</formula>
    </cfRule>
  </conditionalFormatting>
  <conditionalFormatting sqref="L9">
    <cfRule type="expression" dxfId="3020" priority="989">
      <formula>AND($A9&lt;&gt;"",MOD(ROW(),2))</formula>
    </cfRule>
  </conditionalFormatting>
  <conditionalFormatting sqref="L10">
    <cfRule type="expression" dxfId="3019" priority="988">
      <formula>AND($A10&lt;&gt;"",MOD(ROW(),2))</formula>
    </cfRule>
  </conditionalFormatting>
  <conditionalFormatting sqref="L11">
    <cfRule type="expression" dxfId="3018" priority="987">
      <formula>AND($A11&lt;&gt;"",MOD(ROW(),2))</formula>
    </cfRule>
  </conditionalFormatting>
  <conditionalFormatting sqref="L9">
    <cfRule type="expression" dxfId="3017" priority="986">
      <formula>AND($A9&lt;&gt;"",MOD(ROW(),2))</formula>
    </cfRule>
  </conditionalFormatting>
  <conditionalFormatting sqref="L10">
    <cfRule type="expression" dxfId="3016" priority="985">
      <formula>AND($A10&lt;&gt;"",MOD(ROW(),2))</formula>
    </cfRule>
  </conditionalFormatting>
  <conditionalFormatting sqref="L11">
    <cfRule type="expression" dxfId="3015" priority="984">
      <formula>AND($A11&lt;&gt;"",MOD(ROW(),2))</formula>
    </cfRule>
  </conditionalFormatting>
  <conditionalFormatting sqref="L12">
    <cfRule type="expression" dxfId="3014" priority="983">
      <formula>AND($A12&lt;&gt;"",MOD(ROW(),2))</formula>
    </cfRule>
  </conditionalFormatting>
  <conditionalFormatting sqref="L13">
    <cfRule type="expression" dxfId="3013" priority="982">
      <formula>AND($A13&lt;&gt;"",MOD(ROW(),2))</formula>
    </cfRule>
  </conditionalFormatting>
  <conditionalFormatting sqref="L12">
    <cfRule type="expression" dxfId="3012" priority="981">
      <formula>AND($A12&lt;&gt;"",MOD(ROW(),2))</formula>
    </cfRule>
  </conditionalFormatting>
  <conditionalFormatting sqref="L13">
    <cfRule type="expression" dxfId="3011" priority="980">
      <formula>AND($A13&lt;&gt;"",MOD(ROW(),2))</formula>
    </cfRule>
  </conditionalFormatting>
  <conditionalFormatting sqref="L14">
    <cfRule type="expression" dxfId="3010" priority="979">
      <formula>AND($A14&lt;&gt;"",MOD(ROW(),2))</formula>
    </cfRule>
  </conditionalFormatting>
  <conditionalFormatting sqref="N12:N14">
    <cfRule type="expression" dxfId="3009" priority="978">
      <formula>AND($A12&lt;&gt;"",MOD(ROW(),2))</formula>
    </cfRule>
  </conditionalFormatting>
  <conditionalFormatting sqref="N12:N14">
    <cfRule type="expression" dxfId="3008" priority="977">
      <formula>AND(#REF!&lt;&gt;"",MOD(ROW(),2))</formula>
    </cfRule>
  </conditionalFormatting>
  <conditionalFormatting sqref="N12:N14">
    <cfRule type="expression" dxfId="3007" priority="976">
      <formula>AND(#REF!&lt;&gt;"",MOD(ROW(),2))</formula>
    </cfRule>
  </conditionalFormatting>
  <conditionalFormatting sqref="N12:N14">
    <cfRule type="cellIs" dxfId="3006" priority="973" operator="equal">
      <formula>#REF!</formula>
    </cfRule>
    <cfRule type="cellIs" dxfId="3005" priority="974" operator="greaterThan">
      <formula>#REF!</formula>
    </cfRule>
    <cfRule type="cellIs" dxfId="3004" priority="975" operator="lessThan">
      <formula>#REF!</formula>
    </cfRule>
  </conditionalFormatting>
  <conditionalFormatting sqref="Q12:Q14">
    <cfRule type="containsText" dxfId="3003" priority="971" operator="containsText" text="Unpaid Rent">
      <formula>NOT(ISERROR(SEARCH("Unpaid Rent",Q12)))</formula>
    </cfRule>
    <cfRule type="containsText" dxfId="3002" priority="972" stopIfTrue="1" operator="containsText" text="Closed Account">
      <formula>NOT(ISERROR(SEARCH("Closed Account",Q12)))</formula>
    </cfRule>
  </conditionalFormatting>
  <conditionalFormatting sqref="O12">
    <cfRule type="expression" dxfId="3001" priority="970">
      <formula>AND($A12&lt;&gt;"",MOD(ROW(),2))</formula>
    </cfRule>
  </conditionalFormatting>
  <conditionalFormatting sqref="L15">
    <cfRule type="expression" dxfId="3000" priority="969">
      <formula>AND($A15&lt;&gt;"",MOD(ROW(),2))</formula>
    </cfRule>
  </conditionalFormatting>
  <conditionalFormatting sqref="L16">
    <cfRule type="expression" dxfId="2999" priority="968">
      <formula>AND($A16&lt;&gt;"",MOD(ROW(),2))</formula>
    </cfRule>
  </conditionalFormatting>
  <conditionalFormatting sqref="L17">
    <cfRule type="expression" dxfId="2998" priority="967">
      <formula>AND($A17&lt;&gt;"",MOD(ROW(),2))</formula>
    </cfRule>
  </conditionalFormatting>
  <conditionalFormatting sqref="L17">
    <cfRule type="expression" dxfId="2997" priority="966">
      <formula>AND($A17&lt;&gt;"",MOD(ROW(),2))</formula>
    </cfRule>
  </conditionalFormatting>
  <conditionalFormatting sqref="L18">
    <cfRule type="expression" dxfId="2996" priority="965">
      <formula>AND($A18&lt;&gt;"",MOD(ROW(),2))</formula>
    </cfRule>
  </conditionalFormatting>
  <conditionalFormatting sqref="L18">
    <cfRule type="expression" dxfId="2995" priority="964">
      <formula>AND($A18&lt;&gt;"",MOD(ROW(),2))</formula>
    </cfRule>
  </conditionalFormatting>
  <conditionalFormatting sqref="L19">
    <cfRule type="expression" dxfId="2994" priority="963">
      <formula>AND($A19&lt;&gt;"",MOD(ROW(),2))</formula>
    </cfRule>
  </conditionalFormatting>
  <conditionalFormatting sqref="L19">
    <cfRule type="expression" dxfId="2993" priority="962">
      <formula>AND($A19&lt;&gt;"",MOD(ROW(),2))</formula>
    </cfRule>
  </conditionalFormatting>
  <conditionalFormatting sqref="L20">
    <cfRule type="expression" dxfId="2992" priority="961">
      <formula>AND($A20&lt;&gt;"",MOD(ROW(),2))</formula>
    </cfRule>
  </conditionalFormatting>
  <conditionalFormatting sqref="L20">
    <cfRule type="expression" dxfId="2991" priority="960">
      <formula>AND($A20&lt;&gt;"",MOD(ROW(),2))</formula>
    </cfRule>
  </conditionalFormatting>
  <conditionalFormatting sqref="L21">
    <cfRule type="expression" dxfId="2990" priority="959">
      <formula>AND($A21&lt;&gt;"",MOD(ROW(),2))</formula>
    </cfRule>
  </conditionalFormatting>
  <conditionalFormatting sqref="L21">
    <cfRule type="expression" dxfId="2989" priority="958">
      <formula>AND($A21&lt;&gt;"",MOD(ROW(),2))</formula>
    </cfRule>
  </conditionalFormatting>
  <conditionalFormatting sqref="L22">
    <cfRule type="expression" dxfId="2988" priority="957">
      <formula>AND($A22&lt;&gt;"",MOD(ROW(),2))</formula>
    </cfRule>
  </conditionalFormatting>
  <conditionalFormatting sqref="L22">
    <cfRule type="expression" dxfId="2987" priority="956">
      <formula>AND($A22&lt;&gt;"",MOD(ROW(),2))</formula>
    </cfRule>
  </conditionalFormatting>
  <conditionalFormatting sqref="L23">
    <cfRule type="expression" dxfId="2986" priority="955">
      <formula>AND($A23&lt;&gt;"",MOD(ROW(),2))</formula>
    </cfRule>
  </conditionalFormatting>
  <conditionalFormatting sqref="L23">
    <cfRule type="expression" dxfId="2985" priority="954">
      <formula>AND($A23&lt;&gt;"",MOD(ROW(),2))</formula>
    </cfRule>
  </conditionalFormatting>
  <conditionalFormatting sqref="N15:N23">
    <cfRule type="expression" dxfId="2984" priority="953">
      <formula>AND($A15&lt;&gt;"",MOD(ROW(),2))</formula>
    </cfRule>
  </conditionalFormatting>
  <conditionalFormatting sqref="N15:N23">
    <cfRule type="expression" dxfId="2983" priority="952">
      <formula>AND(#REF!&lt;&gt;"",MOD(ROW(),2))</formula>
    </cfRule>
  </conditionalFormatting>
  <conditionalFormatting sqref="N15:N23">
    <cfRule type="expression" dxfId="2982" priority="951">
      <formula>AND(#REF!&lt;&gt;"",MOD(ROW(),2))</formula>
    </cfRule>
  </conditionalFormatting>
  <conditionalFormatting sqref="N15:N23">
    <cfRule type="cellIs" dxfId="2981" priority="948" operator="equal">
      <formula>#REF!</formula>
    </cfRule>
    <cfRule type="cellIs" dxfId="2980" priority="949" operator="greaterThan">
      <formula>#REF!</formula>
    </cfRule>
    <cfRule type="cellIs" dxfId="2979" priority="950" operator="lessThan">
      <formula>#REF!</formula>
    </cfRule>
  </conditionalFormatting>
  <conditionalFormatting sqref="Q15:Q16">
    <cfRule type="containsText" dxfId="2978" priority="946" operator="containsText" text="Unpaid Rent">
      <formula>NOT(ISERROR(SEARCH("Unpaid Rent",Q15)))</formula>
    </cfRule>
    <cfRule type="containsText" dxfId="2977" priority="947" stopIfTrue="1" operator="containsText" text="Closed Account">
      <formula>NOT(ISERROR(SEARCH("Closed Account",Q15)))</formula>
    </cfRule>
  </conditionalFormatting>
  <conditionalFormatting sqref="O15:O23">
    <cfRule type="expression" dxfId="2976" priority="945">
      <formula>AND($A15&lt;&gt;"",MOD(ROW(),2))</formula>
    </cfRule>
  </conditionalFormatting>
  <conditionalFormatting sqref="Q17:Q29">
    <cfRule type="containsText" dxfId="2975" priority="943" operator="containsText" text="Unpaid Rent">
      <formula>NOT(ISERROR(SEARCH("Unpaid Rent",Q17)))</formula>
    </cfRule>
    <cfRule type="containsText" dxfId="2974" priority="944" stopIfTrue="1" operator="containsText" text="Closed Account">
      <formula>NOT(ISERROR(SEARCH("Closed Account",Q17)))</formula>
    </cfRule>
  </conditionalFormatting>
  <conditionalFormatting sqref="Q32">
    <cfRule type="containsText" dxfId="2973" priority="941" operator="containsText" text="Unpaid Rent">
      <formula>NOT(ISERROR(SEARCH("Unpaid Rent",Q32)))</formula>
    </cfRule>
    <cfRule type="containsText" dxfId="2972" priority="942" stopIfTrue="1" operator="containsText" text="Closed Account">
      <formula>NOT(ISERROR(SEARCH("Closed Account",Q32)))</formula>
    </cfRule>
  </conditionalFormatting>
  <conditionalFormatting sqref="Q33">
    <cfRule type="containsText" dxfId="2971" priority="939" operator="containsText" text="Unpaid Rent">
      <formula>NOT(ISERROR(SEARCH("Unpaid Rent",Q33)))</formula>
    </cfRule>
    <cfRule type="containsText" dxfId="2970" priority="940" stopIfTrue="1" operator="containsText" text="Closed Account">
      <formula>NOT(ISERROR(SEARCH("Closed Account",Q33)))</formula>
    </cfRule>
  </conditionalFormatting>
  <conditionalFormatting sqref="U9:U11">
    <cfRule type="expression" dxfId="2969" priority="938">
      <formula>AND($A9&lt;&gt;"",MOD(ROW(),2))</formula>
    </cfRule>
  </conditionalFormatting>
  <conditionalFormatting sqref="U15:U22">
    <cfRule type="expression" dxfId="2968" priority="937">
      <formula>AND($A15&lt;&gt;"",MOD(ROW(),2))</formula>
    </cfRule>
  </conditionalFormatting>
  <conditionalFormatting sqref="V7:V13">
    <cfRule type="expression" dxfId="2967" priority="936">
      <formula>AND($A7&lt;&gt;"",MOD(ROW(),2))</formula>
    </cfRule>
  </conditionalFormatting>
  <conditionalFormatting sqref="AG7:AG13">
    <cfRule type="expression" dxfId="2966" priority="935">
      <formula>AND($A7&lt;&gt;"",MOD(ROW(),2))</formula>
    </cfRule>
  </conditionalFormatting>
  <conditionalFormatting sqref="AR7:AR13">
    <cfRule type="expression" dxfId="2965" priority="934">
      <formula>AND($A7&lt;&gt;"",MOD(ROW(),2))</formula>
    </cfRule>
  </conditionalFormatting>
  <conditionalFormatting sqref="W59">
    <cfRule type="expression" dxfId="2964" priority="933">
      <formula>AND($A59&lt;&gt;"",MOD(ROW(),2))</formula>
    </cfRule>
  </conditionalFormatting>
  <conditionalFormatting sqref="W59">
    <cfRule type="expression" dxfId="2963" priority="932">
      <formula>AND($A59&lt;&gt;"",MOD(ROW(),2))</formula>
    </cfRule>
  </conditionalFormatting>
  <conditionalFormatting sqref="AD59">
    <cfRule type="expression" dxfId="2962" priority="931">
      <formula>AND($A59&lt;&gt;"",MOD(ROW(),2))</formula>
    </cfRule>
  </conditionalFormatting>
  <conditionalFormatting sqref="W60">
    <cfRule type="expression" dxfId="2961" priority="929">
      <formula>AND($A60&lt;&gt;"",MOD(ROW(),2))</formula>
    </cfRule>
  </conditionalFormatting>
  <conditionalFormatting sqref="W60">
    <cfRule type="expression" dxfId="2960" priority="928">
      <formula>AND($A60&lt;&gt;"",MOD(ROW(),2))</formula>
    </cfRule>
  </conditionalFormatting>
  <conditionalFormatting sqref="AD60">
    <cfRule type="expression" dxfId="2959" priority="927">
      <formula>AND($A60&lt;&gt;"",MOD(ROW(),2))</formula>
    </cfRule>
  </conditionalFormatting>
  <conditionalFormatting sqref="W61">
    <cfRule type="expression" dxfId="2958" priority="925">
      <formula>AND($A61&lt;&gt;"",MOD(ROW(),2))</formula>
    </cfRule>
  </conditionalFormatting>
  <conditionalFormatting sqref="W61">
    <cfRule type="expression" dxfId="2957" priority="924">
      <formula>AND($A61&lt;&gt;"",MOD(ROW(),2))</formula>
    </cfRule>
  </conditionalFormatting>
  <conditionalFormatting sqref="AD61">
    <cfRule type="expression" dxfId="2956" priority="923">
      <formula>AND($A61&lt;&gt;"",MOD(ROW(),2))</formula>
    </cfRule>
  </conditionalFormatting>
  <conditionalFormatting sqref="W62">
    <cfRule type="expression" dxfId="2955" priority="922">
      <formula>AND($A62&lt;&gt;"",MOD(ROW(),2))</formula>
    </cfRule>
  </conditionalFormatting>
  <conditionalFormatting sqref="W62">
    <cfRule type="expression" dxfId="2954" priority="921">
      <formula>AND($A62&lt;&gt;"",MOD(ROW(),2))</formula>
    </cfRule>
  </conditionalFormatting>
  <conditionalFormatting sqref="AD62">
    <cfRule type="expression" dxfId="2953" priority="920">
      <formula>AND($A62&lt;&gt;"",MOD(ROW(),2))</formula>
    </cfRule>
  </conditionalFormatting>
  <conditionalFormatting sqref="AD63">
    <cfRule type="expression" dxfId="2952" priority="919">
      <formula>AND($A63&lt;&gt;"",MOD(ROW(),2))</formula>
    </cfRule>
  </conditionalFormatting>
  <conditionalFormatting sqref="AD64">
    <cfRule type="expression" dxfId="2951" priority="918">
      <formula>AND($A64&lt;&gt;"",MOD(ROW(),2))</formula>
    </cfRule>
  </conditionalFormatting>
  <conditionalFormatting sqref="W63">
    <cfRule type="expression" dxfId="2950" priority="917">
      <formula>AND($A63&lt;&gt;"",MOD(ROW(),2))</formula>
    </cfRule>
  </conditionalFormatting>
  <conditionalFormatting sqref="W63">
    <cfRule type="expression" dxfId="2949" priority="916">
      <formula>AND($A63&lt;&gt;"",MOD(ROW(),2))</formula>
    </cfRule>
  </conditionalFormatting>
  <conditionalFormatting sqref="W64">
    <cfRule type="expression" dxfId="2948" priority="915">
      <formula>AND($A64&lt;&gt;"",MOD(ROW(),2))</formula>
    </cfRule>
  </conditionalFormatting>
  <conditionalFormatting sqref="W64">
    <cfRule type="expression" dxfId="2947" priority="914">
      <formula>AND($A64&lt;&gt;"",MOD(ROW(),2))</formula>
    </cfRule>
  </conditionalFormatting>
  <conditionalFormatting sqref="AD65">
    <cfRule type="expression" dxfId="2946" priority="913">
      <formula>AND($A65&lt;&gt;"",MOD(ROW(),2))</formula>
    </cfRule>
  </conditionalFormatting>
  <conditionalFormatting sqref="AD66">
    <cfRule type="expression" dxfId="2945" priority="912">
      <formula>AND($A66&lt;&gt;"",MOD(ROW(),2))</formula>
    </cfRule>
  </conditionalFormatting>
  <conditionalFormatting sqref="W65">
    <cfRule type="expression" dxfId="2944" priority="911">
      <formula>AND($A65&lt;&gt;"",MOD(ROW(),2))</formula>
    </cfRule>
  </conditionalFormatting>
  <conditionalFormatting sqref="W65">
    <cfRule type="expression" dxfId="2943" priority="910">
      <formula>AND($A65&lt;&gt;"",MOD(ROW(),2))</formula>
    </cfRule>
  </conditionalFormatting>
  <conditionalFormatting sqref="W66">
    <cfRule type="expression" dxfId="2942" priority="909">
      <formula>AND($A66&lt;&gt;"",MOD(ROW(),2))</formula>
    </cfRule>
  </conditionalFormatting>
  <conditionalFormatting sqref="W66">
    <cfRule type="expression" dxfId="2941" priority="908">
      <formula>AND($A66&lt;&gt;"",MOD(ROW(),2))</formula>
    </cfRule>
  </conditionalFormatting>
  <conditionalFormatting sqref="AD67">
    <cfRule type="expression" dxfId="2940" priority="907">
      <formula>AND($A67&lt;&gt;"",MOD(ROW(),2))</formula>
    </cfRule>
  </conditionalFormatting>
  <conditionalFormatting sqref="AD68">
    <cfRule type="expression" dxfId="2939" priority="906">
      <formula>AND($A68&lt;&gt;"",MOD(ROW(),2))</formula>
    </cfRule>
  </conditionalFormatting>
  <conditionalFormatting sqref="Z54">
    <cfRule type="expression" dxfId="2938" priority="905">
      <formula>AND($A54&lt;&gt;"",MOD(ROW(),2))</formula>
    </cfRule>
  </conditionalFormatting>
  <conditionalFormatting sqref="Z55">
    <cfRule type="expression" dxfId="2937" priority="904">
      <formula>AND($A55&lt;&gt;"",MOD(ROW(),2))</formula>
    </cfRule>
  </conditionalFormatting>
  <conditionalFormatting sqref="Z56">
    <cfRule type="expression" dxfId="2936" priority="903">
      <formula>AND($A56&lt;&gt;"",MOD(ROW(),2))</formula>
    </cfRule>
  </conditionalFormatting>
  <conditionalFormatting sqref="Z57">
    <cfRule type="expression" dxfId="2935" priority="902">
      <formula>AND($A57&lt;&gt;"",MOD(ROW(),2))</formula>
    </cfRule>
  </conditionalFormatting>
  <conditionalFormatting sqref="Z58">
    <cfRule type="expression" dxfId="2934" priority="901">
      <formula>AND($A58&lt;&gt;"",MOD(ROW(),2))</formula>
    </cfRule>
  </conditionalFormatting>
  <conditionalFormatting sqref="Z59">
    <cfRule type="expression" dxfId="2933" priority="900">
      <formula>AND($A59&lt;&gt;"",MOD(ROW(),2))</formula>
    </cfRule>
  </conditionalFormatting>
  <conditionalFormatting sqref="Z60">
    <cfRule type="expression" dxfId="2932" priority="899">
      <formula>AND($A60&lt;&gt;"",MOD(ROW(),2))</formula>
    </cfRule>
  </conditionalFormatting>
  <conditionalFormatting sqref="Z61">
    <cfRule type="expression" dxfId="2931" priority="898">
      <formula>AND($A61&lt;&gt;"",MOD(ROW(),2))</formula>
    </cfRule>
  </conditionalFormatting>
  <conditionalFormatting sqref="Z62">
    <cfRule type="expression" dxfId="2930" priority="897">
      <formula>AND($A62&lt;&gt;"",MOD(ROW(),2))</formula>
    </cfRule>
  </conditionalFormatting>
  <conditionalFormatting sqref="Z63">
    <cfRule type="expression" dxfId="2929" priority="896">
      <formula>AND($A63&lt;&gt;"",MOD(ROW(),2))</formula>
    </cfRule>
  </conditionalFormatting>
  <conditionalFormatting sqref="Z64">
    <cfRule type="expression" dxfId="2928" priority="895">
      <formula>AND($A64&lt;&gt;"",MOD(ROW(),2))</formula>
    </cfRule>
  </conditionalFormatting>
  <conditionalFormatting sqref="Z65">
    <cfRule type="expression" dxfId="2927" priority="894">
      <formula>AND($A65&lt;&gt;"",MOD(ROW(),2))</formula>
    </cfRule>
  </conditionalFormatting>
  <conditionalFormatting sqref="Z66">
    <cfRule type="expression" dxfId="2926" priority="893">
      <formula>AND($A66&lt;&gt;"",MOD(ROW(),2))</formula>
    </cfRule>
  </conditionalFormatting>
  <conditionalFormatting sqref="Z67">
    <cfRule type="expression" dxfId="2925" priority="892">
      <formula>AND($A67&lt;&gt;"",MOD(ROW(),2))</formula>
    </cfRule>
  </conditionalFormatting>
  <conditionalFormatting sqref="Z68">
    <cfRule type="expression" dxfId="2924" priority="891">
      <formula>AND($A68&lt;&gt;"",MOD(ROW(),2))</formula>
    </cfRule>
  </conditionalFormatting>
  <conditionalFormatting sqref="Z69">
    <cfRule type="expression" dxfId="2923" priority="890">
      <formula>AND($A69&lt;&gt;"",MOD(ROW(),2))</formula>
    </cfRule>
  </conditionalFormatting>
  <conditionalFormatting sqref="W67">
    <cfRule type="expression" dxfId="2922" priority="889">
      <formula>AND($A67&lt;&gt;"",MOD(ROW(),2))</formula>
    </cfRule>
  </conditionalFormatting>
  <conditionalFormatting sqref="W67">
    <cfRule type="expression" dxfId="2921" priority="888">
      <formula>AND($A67&lt;&gt;"",MOD(ROW(),2))</formula>
    </cfRule>
  </conditionalFormatting>
  <conditionalFormatting sqref="W68">
    <cfRule type="expression" dxfId="2920" priority="887">
      <formula>AND($A68&lt;&gt;"",MOD(ROW(),2))</formula>
    </cfRule>
  </conditionalFormatting>
  <conditionalFormatting sqref="W68">
    <cfRule type="expression" dxfId="2919" priority="886">
      <formula>AND($A68&lt;&gt;"",MOD(ROW(),2))</formula>
    </cfRule>
  </conditionalFormatting>
  <conditionalFormatting sqref="AD69">
    <cfRule type="expression" dxfId="2918" priority="885">
      <formula>AND($A69&lt;&gt;"",MOD(ROW(),2))</formula>
    </cfRule>
  </conditionalFormatting>
  <conditionalFormatting sqref="AD70">
    <cfRule type="expression" dxfId="2917" priority="884">
      <formula>AND($A70&lt;&gt;"",MOD(ROW(),2))</formula>
    </cfRule>
  </conditionalFormatting>
  <conditionalFormatting sqref="W69">
    <cfRule type="expression" dxfId="2916" priority="883">
      <formula>AND($A69&lt;&gt;"",MOD(ROW(),2))</formula>
    </cfRule>
  </conditionalFormatting>
  <conditionalFormatting sqref="W69">
    <cfRule type="expression" dxfId="2915" priority="882">
      <formula>AND($A69&lt;&gt;"",MOD(ROW(),2))</formula>
    </cfRule>
  </conditionalFormatting>
  <conditionalFormatting sqref="AD71">
    <cfRule type="expression" dxfId="2914" priority="879">
      <formula>AND($A71&lt;&gt;"",MOD(ROW(),2))</formula>
    </cfRule>
  </conditionalFormatting>
  <conditionalFormatting sqref="AD72">
    <cfRule type="expression" dxfId="2913" priority="878">
      <formula>AND($A72&lt;&gt;"",MOD(ROW(),2))</formula>
    </cfRule>
  </conditionalFormatting>
  <conditionalFormatting sqref="Y70">
    <cfRule type="expression" dxfId="2912" priority="861">
      <formula>AND($A70&lt;&gt;"",MOD(ROW(),2))</formula>
    </cfRule>
  </conditionalFormatting>
  <conditionalFormatting sqref="Y70">
    <cfRule type="expression" dxfId="2911" priority="860">
      <formula>AND(#REF!&lt;&gt;"",MOD(ROW(),2))</formula>
    </cfRule>
  </conditionalFormatting>
  <conditionalFormatting sqref="Y70">
    <cfRule type="expression" dxfId="2910" priority="859">
      <formula>AND(#REF!&lt;&gt;"",MOD(ROW(),2))</formula>
    </cfRule>
  </conditionalFormatting>
  <conditionalFormatting sqref="Y70">
    <cfRule type="cellIs" dxfId="2909" priority="856" operator="equal">
      <formula>#REF!</formula>
    </cfRule>
    <cfRule type="cellIs" dxfId="2908" priority="857" operator="greaterThan">
      <formula>#REF!</formula>
    </cfRule>
    <cfRule type="cellIs" dxfId="2907" priority="858" operator="lessThan">
      <formula>#REF!</formula>
    </cfRule>
  </conditionalFormatting>
  <conditionalFormatting sqref="Z70">
    <cfRule type="expression" dxfId="2906" priority="855">
      <formula>AND($A70&lt;&gt;"",MOD(ROW(),2))</formula>
    </cfRule>
  </conditionalFormatting>
  <conditionalFormatting sqref="W70">
    <cfRule type="expression" dxfId="2905" priority="854">
      <formula>AND($A70&lt;&gt;"",MOD(ROW(),2))</formula>
    </cfRule>
  </conditionalFormatting>
  <conditionalFormatting sqref="W70">
    <cfRule type="expression" dxfId="2904" priority="853">
      <formula>AND($A70&lt;&gt;"",MOD(ROW(),2))</formula>
    </cfRule>
  </conditionalFormatting>
  <conditionalFormatting sqref="Y71">
    <cfRule type="expression" dxfId="2903" priority="852">
      <formula>AND($A71&lt;&gt;"",MOD(ROW(),2))</formula>
    </cfRule>
  </conditionalFormatting>
  <conditionalFormatting sqref="Y71">
    <cfRule type="expression" dxfId="2902" priority="851">
      <formula>AND(#REF!&lt;&gt;"",MOD(ROW(),2))</formula>
    </cfRule>
  </conditionalFormatting>
  <conditionalFormatting sqref="Y71">
    <cfRule type="expression" dxfId="2901" priority="850">
      <formula>AND(#REF!&lt;&gt;"",MOD(ROW(),2))</formula>
    </cfRule>
  </conditionalFormatting>
  <conditionalFormatting sqref="Y71">
    <cfRule type="cellIs" dxfId="2900" priority="847" operator="equal">
      <formula>#REF!</formula>
    </cfRule>
    <cfRule type="cellIs" dxfId="2899" priority="848" operator="greaterThan">
      <formula>#REF!</formula>
    </cfRule>
    <cfRule type="cellIs" dxfId="2898" priority="849" operator="lessThan">
      <formula>#REF!</formula>
    </cfRule>
  </conditionalFormatting>
  <conditionalFormatting sqref="Z71">
    <cfRule type="expression" dxfId="2897" priority="846">
      <formula>AND($A71&lt;&gt;"",MOD(ROW(),2))</formula>
    </cfRule>
  </conditionalFormatting>
  <conditionalFormatting sqref="W71">
    <cfRule type="expression" dxfId="2896" priority="845">
      <formula>AND($A71&lt;&gt;"",MOD(ROW(),2))</formula>
    </cfRule>
  </conditionalFormatting>
  <conditionalFormatting sqref="W71">
    <cfRule type="expression" dxfId="2895" priority="844">
      <formula>AND($A71&lt;&gt;"",MOD(ROW(),2))</formula>
    </cfRule>
  </conditionalFormatting>
  <conditionalFormatting sqref="Y72">
    <cfRule type="expression" dxfId="2894" priority="843">
      <formula>AND($A72&lt;&gt;"",MOD(ROW(),2))</formula>
    </cfRule>
  </conditionalFormatting>
  <conditionalFormatting sqref="Y72">
    <cfRule type="expression" dxfId="2893" priority="842">
      <formula>AND(#REF!&lt;&gt;"",MOD(ROW(),2))</formula>
    </cfRule>
  </conditionalFormatting>
  <conditionalFormatting sqref="Y72">
    <cfRule type="expression" dxfId="2892" priority="841">
      <formula>AND(#REF!&lt;&gt;"",MOD(ROW(),2))</formula>
    </cfRule>
  </conditionalFormatting>
  <conditionalFormatting sqref="Y72">
    <cfRule type="cellIs" dxfId="2891" priority="838" operator="equal">
      <formula>#REF!</formula>
    </cfRule>
    <cfRule type="cellIs" dxfId="2890" priority="839" operator="greaterThan">
      <formula>#REF!</formula>
    </cfRule>
    <cfRule type="cellIs" dxfId="2889" priority="840" operator="lessThan">
      <formula>#REF!</formula>
    </cfRule>
  </conditionalFormatting>
  <conditionalFormatting sqref="Z72">
    <cfRule type="expression" dxfId="2888" priority="837">
      <formula>AND($A72&lt;&gt;"",MOD(ROW(),2))</formula>
    </cfRule>
  </conditionalFormatting>
  <conditionalFormatting sqref="W72">
    <cfRule type="expression" dxfId="2887" priority="836">
      <formula>AND($A72&lt;&gt;"",MOD(ROW(),2))</formula>
    </cfRule>
  </conditionalFormatting>
  <conditionalFormatting sqref="W72">
    <cfRule type="expression" dxfId="2886" priority="835">
      <formula>AND($A72&lt;&gt;"",MOD(ROW(),2))</formula>
    </cfRule>
  </conditionalFormatting>
  <conditionalFormatting sqref="AD73">
    <cfRule type="expression" dxfId="2885" priority="834">
      <formula>AND($A73&lt;&gt;"",MOD(ROW(),2))</formula>
    </cfRule>
  </conditionalFormatting>
  <conditionalFormatting sqref="AD74">
    <cfRule type="expression" dxfId="2884" priority="833">
      <formula>AND($A74&lt;&gt;"",MOD(ROW(),2))</formula>
    </cfRule>
  </conditionalFormatting>
  <conditionalFormatting sqref="Y73">
    <cfRule type="expression" dxfId="2883" priority="832">
      <formula>AND($A73&lt;&gt;"",MOD(ROW(),2))</formula>
    </cfRule>
  </conditionalFormatting>
  <conditionalFormatting sqref="Y73">
    <cfRule type="expression" dxfId="2882" priority="831">
      <formula>AND(#REF!&lt;&gt;"",MOD(ROW(),2))</formula>
    </cfRule>
  </conditionalFormatting>
  <conditionalFormatting sqref="Y73">
    <cfRule type="expression" dxfId="2881" priority="830">
      <formula>AND(#REF!&lt;&gt;"",MOD(ROW(),2))</formula>
    </cfRule>
  </conditionalFormatting>
  <conditionalFormatting sqref="Y73">
    <cfRule type="cellIs" dxfId="2880" priority="827" operator="equal">
      <formula>#REF!</formula>
    </cfRule>
    <cfRule type="cellIs" dxfId="2879" priority="828" operator="greaterThan">
      <formula>#REF!</formula>
    </cfRule>
    <cfRule type="cellIs" dxfId="2878" priority="829" operator="lessThan">
      <formula>#REF!</formula>
    </cfRule>
  </conditionalFormatting>
  <conditionalFormatting sqref="Z73">
    <cfRule type="expression" dxfId="2877" priority="826">
      <formula>AND($A73&lt;&gt;"",MOD(ROW(),2))</formula>
    </cfRule>
  </conditionalFormatting>
  <conditionalFormatting sqref="W73">
    <cfRule type="expression" dxfId="2876" priority="825">
      <formula>AND($A73&lt;&gt;"",MOD(ROW(),2))</formula>
    </cfRule>
  </conditionalFormatting>
  <conditionalFormatting sqref="W73">
    <cfRule type="expression" dxfId="2875" priority="824">
      <formula>AND($A73&lt;&gt;"",MOD(ROW(),2))</formula>
    </cfRule>
  </conditionalFormatting>
  <conditionalFormatting sqref="Y74">
    <cfRule type="expression" dxfId="2874" priority="823">
      <formula>AND($A74&lt;&gt;"",MOD(ROW(),2))</formula>
    </cfRule>
  </conditionalFormatting>
  <conditionalFormatting sqref="Y74">
    <cfRule type="expression" dxfId="2873" priority="822">
      <formula>AND(#REF!&lt;&gt;"",MOD(ROW(),2))</formula>
    </cfRule>
  </conditionalFormatting>
  <conditionalFormatting sqref="Y74">
    <cfRule type="expression" dxfId="2872" priority="821">
      <formula>AND(#REF!&lt;&gt;"",MOD(ROW(),2))</formula>
    </cfRule>
  </conditionalFormatting>
  <conditionalFormatting sqref="Y74">
    <cfRule type="cellIs" dxfId="2871" priority="818" operator="equal">
      <formula>#REF!</formula>
    </cfRule>
    <cfRule type="cellIs" dxfId="2870" priority="819" operator="greaterThan">
      <formula>#REF!</formula>
    </cfRule>
    <cfRule type="cellIs" dxfId="2869" priority="820" operator="lessThan">
      <formula>#REF!</formula>
    </cfRule>
  </conditionalFormatting>
  <conditionalFormatting sqref="Z74">
    <cfRule type="expression" dxfId="2868" priority="817">
      <formula>AND($A74&lt;&gt;"",MOD(ROW(),2))</formula>
    </cfRule>
  </conditionalFormatting>
  <conditionalFormatting sqref="W74">
    <cfRule type="expression" dxfId="2867" priority="816">
      <formula>AND($A74&lt;&gt;"",MOD(ROW(),2))</formula>
    </cfRule>
  </conditionalFormatting>
  <conditionalFormatting sqref="W74">
    <cfRule type="expression" dxfId="2866" priority="815">
      <formula>AND($A74&lt;&gt;"",MOD(ROW(),2))</formula>
    </cfRule>
  </conditionalFormatting>
  <conditionalFormatting sqref="AD75">
    <cfRule type="expression" dxfId="2865" priority="814">
      <formula>AND($A75&lt;&gt;"",MOD(ROW(),2))</formula>
    </cfRule>
  </conditionalFormatting>
  <conditionalFormatting sqref="AD76">
    <cfRule type="expression" dxfId="2864" priority="813">
      <formula>AND($A76&lt;&gt;"",MOD(ROW(),2))</formula>
    </cfRule>
  </conditionalFormatting>
  <conditionalFormatting sqref="Y75">
    <cfRule type="expression" dxfId="2863" priority="812">
      <formula>AND($A75&lt;&gt;"",MOD(ROW(),2))</formula>
    </cfRule>
  </conditionalFormatting>
  <conditionalFormatting sqref="Y75">
    <cfRule type="expression" dxfId="2862" priority="811">
      <formula>AND(#REF!&lt;&gt;"",MOD(ROW(),2))</formula>
    </cfRule>
  </conditionalFormatting>
  <conditionalFormatting sqref="Y75">
    <cfRule type="expression" dxfId="2861" priority="810">
      <formula>AND(#REF!&lt;&gt;"",MOD(ROW(),2))</formula>
    </cfRule>
  </conditionalFormatting>
  <conditionalFormatting sqref="Y75">
    <cfRule type="cellIs" dxfId="2860" priority="807" operator="equal">
      <formula>#REF!</formula>
    </cfRule>
    <cfRule type="cellIs" dxfId="2859" priority="808" operator="greaterThan">
      <formula>#REF!</formula>
    </cfRule>
    <cfRule type="cellIs" dxfId="2858" priority="809" operator="lessThan">
      <formula>#REF!</formula>
    </cfRule>
  </conditionalFormatting>
  <conditionalFormatting sqref="Z75">
    <cfRule type="expression" dxfId="2857" priority="806">
      <formula>AND($A75&lt;&gt;"",MOD(ROW(),2))</formula>
    </cfRule>
  </conditionalFormatting>
  <conditionalFormatting sqref="W75">
    <cfRule type="expression" dxfId="2856" priority="805">
      <formula>AND($A75&lt;&gt;"",MOD(ROW(),2))</formula>
    </cfRule>
  </conditionalFormatting>
  <conditionalFormatting sqref="W75">
    <cfRule type="expression" dxfId="2855" priority="804">
      <formula>AND($A75&lt;&gt;"",MOD(ROW(),2))</formula>
    </cfRule>
  </conditionalFormatting>
  <conditionalFormatting sqref="Y76">
    <cfRule type="expression" dxfId="2854" priority="803">
      <formula>AND($A76&lt;&gt;"",MOD(ROW(),2))</formula>
    </cfRule>
  </conditionalFormatting>
  <conditionalFormatting sqref="Y76">
    <cfRule type="expression" dxfId="2853" priority="802">
      <formula>AND(#REF!&lt;&gt;"",MOD(ROW(),2))</formula>
    </cfRule>
  </conditionalFormatting>
  <conditionalFormatting sqref="Y76">
    <cfRule type="expression" dxfId="2852" priority="801">
      <formula>AND(#REF!&lt;&gt;"",MOD(ROW(),2))</formula>
    </cfRule>
  </conditionalFormatting>
  <conditionalFormatting sqref="Y76">
    <cfRule type="cellIs" dxfId="2851" priority="798" operator="equal">
      <formula>#REF!</formula>
    </cfRule>
    <cfRule type="cellIs" dxfId="2850" priority="799" operator="greaterThan">
      <formula>#REF!</formula>
    </cfRule>
    <cfRule type="cellIs" dxfId="2849" priority="800" operator="lessThan">
      <formula>#REF!</formula>
    </cfRule>
  </conditionalFormatting>
  <conditionalFormatting sqref="Z76">
    <cfRule type="expression" dxfId="2848" priority="797">
      <formula>AND($A76&lt;&gt;"",MOD(ROW(),2))</formula>
    </cfRule>
  </conditionalFormatting>
  <conditionalFormatting sqref="W76">
    <cfRule type="expression" dxfId="2847" priority="796">
      <formula>AND($A76&lt;&gt;"",MOD(ROW(),2))</formula>
    </cfRule>
  </conditionalFormatting>
  <conditionalFormatting sqref="W76">
    <cfRule type="expression" dxfId="2846" priority="795">
      <formula>AND($A76&lt;&gt;"",MOD(ROW(),2))</formula>
    </cfRule>
  </conditionalFormatting>
  <conditionalFormatting sqref="AD77">
    <cfRule type="expression" dxfId="2845" priority="792">
      <formula>AND($A77&lt;&gt;"",MOD(ROW(),2))</formula>
    </cfRule>
  </conditionalFormatting>
  <conditionalFormatting sqref="Y77">
    <cfRule type="expression" dxfId="2844" priority="791">
      <formula>AND($A77&lt;&gt;"",MOD(ROW(),2))</formula>
    </cfRule>
  </conditionalFormatting>
  <conditionalFormatting sqref="Y77">
    <cfRule type="expression" dxfId="2843" priority="790">
      <formula>AND(#REF!&lt;&gt;"",MOD(ROW(),2))</formula>
    </cfRule>
  </conditionalFormatting>
  <conditionalFormatting sqref="Y77">
    <cfRule type="expression" dxfId="2842" priority="789">
      <formula>AND(#REF!&lt;&gt;"",MOD(ROW(),2))</formula>
    </cfRule>
  </conditionalFormatting>
  <conditionalFormatting sqref="Y77">
    <cfRule type="cellIs" dxfId="2841" priority="786" operator="equal">
      <formula>#REF!</formula>
    </cfRule>
    <cfRule type="cellIs" dxfId="2840" priority="787" operator="greaterThan">
      <formula>#REF!</formula>
    </cfRule>
    <cfRule type="cellIs" dxfId="2839" priority="788" operator="lessThan">
      <formula>#REF!</formula>
    </cfRule>
  </conditionalFormatting>
  <conditionalFormatting sqref="Z77">
    <cfRule type="expression" dxfId="2838" priority="785">
      <formula>AND($A77&lt;&gt;"",MOD(ROW(),2))</formula>
    </cfRule>
  </conditionalFormatting>
  <conditionalFormatting sqref="W77">
    <cfRule type="expression" dxfId="2837" priority="784">
      <formula>AND($A77&lt;&gt;"",MOD(ROW(),2))</formula>
    </cfRule>
  </conditionalFormatting>
  <conditionalFormatting sqref="W77">
    <cfRule type="expression" dxfId="2836" priority="783">
      <formula>AND($A77&lt;&gt;"",MOD(ROW(),2))</formula>
    </cfRule>
  </conditionalFormatting>
  <conditionalFormatting sqref="AD78">
    <cfRule type="expression" dxfId="2835" priority="782">
      <formula>AND($A78&lt;&gt;"",MOD(ROW(),2))</formula>
    </cfRule>
  </conditionalFormatting>
  <conditionalFormatting sqref="Y78">
    <cfRule type="expression" dxfId="2834" priority="781">
      <formula>AND($A78&lt;&gt;"",MOD(ROW(),2))</formula>
    </cfRule>
  </conditionalFormatting>
  <conditionalFormatting sqref="Y78">
    <cfRule type="expression" dxfId="2833" priority="780">
      <formula>AND(#REF!&lt;&gt;"",MOD(ROW(),2))</formula>
    </cfRule>
  </conditionalFormatting>
  <conditionalFormatting sqref="Y78">
    <cfRule type="expression" dxfId="2832" priority="779">
      <formula>AND(#REF!&lt;&gt;"",MOD(ROW(),2))</formula>
    </cfRule>
  </conditionalFormatting>
  <conditionalFormatting sqref="Y78">
    <cfRule type="cellIs" dxfId="2831" priority="776" operator="equal">
      <formula>#REF!</formula>
    </cfRule>
    <cfRule type="cellIs" dxfId="2830" priority="777" operator="greaterThan">
      <formula>#REF!</formula>
    </cfRule>
    <cfRule type="cellIs" dxfId="2829" priority="778" operator="lessThan">
      <formula>#REF!</formula>
    </cfRule>
  </conditionalFormatting>
  <conditionalFormatting sqref="Z78">
    <cfRule type="expression" dxfId="2828" priority="775">
      <formula>AND($A78&lt;&gt;"",MOD(ROW(),2))</formula>
    </cfRule>
  </conditionalFormatting>
  <conditionalFormatting sqref="W78">
    <cfRule type="expression" dxfId="2827" priority="774">
      <formula>AND($A78&lt;&gt;"",MOD(ROW(),2))</formula>
    </cfRule>
  </conditionalFormatting>
  <conditionalFormatting sqref="W78">
    <cfRule type="expression" dxfId="2826" priority="773">
      <formula>AND($A78&lt;&gt;"",MOD(ROW(),2))</formula>
    </cfRule>
  </conditionalFormatting>
  <conditionalFormatting sqref="AD79">
    <cfRule type="expression" dxfId="2825" priority="770">
      <formula>AND($A79&lt;&gt;"",MOD(ROW(),2))</formula>
    </cfRule>
  </conditionalFormatting>
  <conditionalFormatting sqref="Y79">
    <cfRule type="expression" dxfId="2824" priority="769">
      <formula>AND($A79&lt;&gt;"",MOD(ROW(),2))</formula>
    </cfRule>
  </conditionalFormatting>
  <conditionalFormatting sqref="Y79">
    <cfRule type="expression" dxfId="2823" priority="768">
      <formula>AND(#REF!&lt;&gt;"",MOD(ROW(),2))</formula>
    </cfRule>
  </conditionalFormatting>
  <conditionalFormatting sqref="Y79">
    <cfRule type="expression" dxfId="2822" priority="767">
      <formula>AND(#REF!&lt;&gt;"",MOD(ROW(),2))</formula>
    </cfRule>
  </conditionalFormatting>
  <conditionalFormatting sqref="Y79">
    <cfRule type="cellIs" dxfId="2821" priority="764" operator="equal">
      <formula>#REF!</formula>
    </cfRule>
    <cfRule type="cellIs" dxfId="2820" priority="765" operator="greaterThan">
      <formula>#REF!</formula>
    </cfRule>
    <cfRule type="cellIs" dxfId="2819" priority="766" operator="lessThan">
      <formula>#REF!</formula>
    </cfRule>
  </conditionalFormatting>
  <conditionalFormatting sqref="Z79">
    <cfRule type="expression" dxfId="2818" priority="763">
      <formula>AND($A79&lt;&gt;"",MOD(ROW(),2))</formula>
    </cfRule>
  </conditionalFormatting>
  <conditionalFormatting sqref="W79">
    <cfRule type="expression" dxfId="2817" priority="762">
      <formula>AND($A79&lt;&gt;"",MOD(ROW(),2))</formula>
    </cfRule>
  </conditionalFormatting>
  <conditionalFormatting sqref="W79">
    <cfRule type="expression" dxfId="2816" priority="761">
      <formula>AND($A79&lt;&gt;"",MOD(ROW(),2))</formula>
    </cfRule>
  </conditionalFormatting>
  <conditionalFormatting sqref="AD80">
    <cfRule type="expression" dxfId="2815" priority="760">
      <formula>AND($A80&lt;&gt;"",MOD(ROW(),2))</formula>
    </cfRule>
  </conditionalFormatting>
  <conditionalFormatting sqref="Y80">
    <cfRule type="expression" dxfId="2814" priority="759">
      <formula>AND($A80&lt;&gt;"",MOD(ROW(),2))</formula>
    </cfRule>
  </conditionalFormatting>
  <conditionalFormatting sqref="Y80">
    <cfRule type="expression" dxfId="2813" priority="758">
      <formula>AND(#REF!&lt;&gt;"",MOD(ROW(),2))</formula>
    </cfRule>
  </conditionalFormatting>
  <conditionalFormatting sqref="Y80">
    <cfRule type="expression" dxfId="2812" priority="757">
      <formula>AND(#REF!&lt;&gt;"",MOD(ROW(),2))</formula>
    </cfRule>
  </conditionalFormatting>
  <conditionalFormatting sqref="Y80">
    <cfRule type="cellIs" dxfId="2811" priority="754" operator="equal">
      <formula>#REF!</formula>
    </cfRule>
    <cfRule type="cellIs" dxfId="2810" priority="755" operator="greaterThan">
      <formula>#REF!</formula>
    </cfRule>
    <cfRule type="cellIs" dxfId="2809" priority="756" operator="lessThan">
      <formula>#REF!</formula>
    </cfRule>
  </conditionalFormatting>
  <conditionalFormatting sqref="Z80">
    <cfRule type="expression" dxfId="2808" priority="753">
      <formula>AND($A80&lt;&gt;"",MOD(ROW(),2))</formula>
    </cfRule>
  </conditionalFormatting>
  <conditionalFormatting sqref="W80">
    <cfRule type="expression" dxfId="2807" priority="752">
      <formula>AND($A80&lt;&gt;"",MOD(ROW(),2))</formula>
    </cfRule>
  </conditionalFormatting>
  <conditionalFormatting sqref="W80">
    <cfRule type="expression" dxfId="2806" priority="751">
      <formula>AND($A80&lt;&gt;"",MOD(ROW(),2))</formula>
    </cfRule>
  </conditionalFormatting>
  <conditionalFormatting sqref="W81">
    <cfRule type="expression" dxfId="2805" priority="750">
      <formula>AND($A81&lt;&gt;"",MOD(ROW(),2))</formula>
    </cfRule>
  </conditionalFormatting>
  <conditionalFormatting sqref="W81">
    <cfRule type="expression" dxfId="2804" priority="749">
      <formula>AND($A81&lt;&gt;"",MOD(ROW(),2))</formula>
    </cfRule>
  </conditionalFormatting>
  <conditionalFormatting sqref="W82">
    <cfRule type="expression" dxfId="2803" priority="748">
      <formula>AND($A82&lt;&gt;"",MOD(ROW(),2))</formula>
    </cfRule>
  </conditionalFormatting>
  <conditionalFormatting sqref="W82">
    <cfRule type="expression" dxfId="2802" priority="747">
      <formula>AND($A82&lt;&gt;"",MOD(ROW(),2))</formula>
    </cfRule>
  </conditionalFormatting>
  <conditionalFormatting sqref="AD81">
    <cfRule type="expression" dxfId="2801" priority="746">
      <formula>AND($A81&lt;&gt;"",MOD(ROW(),2))</formula>
    </cfRule>
  </conditionalFormatting>
  <conditionalFormatting sqref="AD82">
    <cfRule type="expression" dxfId="2800" priority="745">
      <formula>AND($A82&lt;&gt;"",MOD(ROW(),2))</formula>
    </cfRule>
  </conditionalFormatting>
  <conditionalFormatting sqref="J69">
    <cfRule type="expression" dxfId="2799" priority="742">
      <formula>AND($A69&lt;&gt;"",MOD(ROW(),2))</formula>
    </cfRule>
  </conditionalFormatting>
  <conditionalFormatting sqref="J70">
    <cfRule type="expression" dxfId="2798" priority="741">
      <formula>AND($A70&lt;&gt;"",MOD(ROW(),2))</formula>
    </cfRule>
  </conditionalFormatting>
  <conditionalFormatting sqref="J71">
    <cfRule type="expression" dxfId="2797" priority="740">
      <formula>AND($A71&lt;&gt;"",MOD(ROW(),2))</formula>
    </cfRule>
  </conditionalFormatting>
  <conditionalFormatting sqref="J72">
    <cfRule type="expression" dxfId="2796" priority="739">
      <formula>AND($A72&lt;&gt;"",MOD(ROW(),2))</formula>
    </cfRule>
  </conditionalFormatting>
  <conditionalFormatting sqref="AD83">
    <cfRule type="expression" dxfId="2795" priority="738">
      <formula>AND($A83&lt;&gt;"",MOD(ROW(),2))</formula>
    </cfRule>
  </conditionalFormatting>
  <conditionalFormatting sqref="Y81">
    <cfRule type="expression" dxfId="2794" priority="737">
      <formula>AND($A81&lt;&gt;"",MOD(ROW(),2))</formula>
    </cfRule>
  </conditionalFormatting>
  <conditionalFormatting sqref="Y81">
    <cfRule type="expression" dxfId="2793" priority="736">
      <formula>AND(#REF!&lt;&gt;"",MOD(ROW(),2))</formula>
    </cfRule>
  </conditionalFormatting>
  <conditionalFormatting sqref="Y81">
    <cfRule type="expression" dxfId="2792" priority="735">
      <formula>AND(#REF!&lt;&gt;"",MOD(ROW(),2))</formula>
    </cfRule>
  </conditionalFormatting>
  <conditionalFormatting sqref="Y81">
    <cfRule type="cellIs" dxfId="2791" priority="732" operator="equal">
      <formula>#REF!</formula>
    </cfRule>
    <cfRule type="cellIs" dxfId="2790" priority="733" operator="greaterThan">
      <formula>#REF!</formula>
    </cfRule>
    <cfRule type="cellIs" dxfId="2789" priority="734" operator="lessThan">
      <formula>#REF!</formula>
    </cfRule>
  </conditionalFormatting>
  <conditionalFormatting sqref="Z81">
    <cfRule type="expression" dxfId="2788" priority="731">
      <formula>AND($A81&lt;&gt;"",MOD(ROW(),2))</formula>
    </cfRule>
  </conditionalFormatting>
  <conditionalFormatting sqref="Y82">
    <cfRule type="expression" dxfId="2787" priority="730">
      <formula>AND($A82&lt;&gt;"",MOD(ROW(),2))</formula>
    </cfRule>
  </conditionalFormatting>
  <conditionalFormatting sqref="Y82">
    <cfRule type="expression" dxfId="2786" priority="729">
      <formula>AND(#REF!&lt;&gt;"",MOD(ROW(),2))</formula>
    </cfRule>
  </conditionalFormatting>
  <conditionalFormatting sqref="Y82">
    <cfRule type="expression" dxfId="2785" priority="728">
      <formula>AND(#REF!&lt;&gt;"",MOD(ROW(),2))</formula>
    </cfRule>
  </conditionalFormatting>
  <conditionalFormatting sqref="Y82">
    <cfRule type="cellIs" dxfId="2784" priority="725" operator="equal">
      <formula>#REF!</formula>
    </cfRule>
    <cfRule type="cellIs" dxfId="2783" priority="726" operator="greaterThan">
      <formula>#REF!</formula>
    </cfRule>
    <cfRule type="cellIs" dxfId="2782" priority="727" operator="lessThan">
      <formula>#REF!</formula>
    </cfRule>
  </conditionalFormatting>
  <conditionalFormatting sqref="Z82">
    <cfRule type="expression" dxfId="2781" priority="724">
      <formula>AND($A82&lt;&gt;"",MOD(ROW(),2))</formula>
    </cfRule>
  </conditionalFormatting>
  <conditionalFormatting sqref="Y83">
    <cfRule type="expression" dxfId="2780" priority="723">
      <formula>AND($A83&lt;&gt;"",MOD(ROW(),2))</formula>
    </cfRule>
  </conditionalFormatting>
  <conditionalFormatting sqref="Y83">
    <cfRule type="expression" dxfId="2779" priority="722">
      <formula>AND(#REF!&lt;&gt;"",MOD(ROW(),2))</formula>
    </cfRule>
  </conditionalFormatting>
  <conditionalFormatting sqref="Y83">
    <cfRule type="expression" dxfId="2778" priority="721">
      <formula>AND(#REF!&lt;&gt;"",MOD(ROW(),2))</formula>
    </cfRule>
  </conditionalFormatting>
  <conditionalFormatting sqref="Y83">
    <cfRule type="cellIs" dxfId="2777" priority="718" operator="equal">
      <formula>#REF!</formula>
    </cfRule>
    <cfRule type="cellIs" dxfId="2776" priority="719" operator="greaterThan">
      <formula>#REF!</formula>
    </cfRule>
    <cfRule type="cellIs" dxfId="2775" priority="720" operator="lessThan">
      <formula>#REF!</formula>
    </cfRule>
  </conditionalFormatting>
  <conditionalFormatting sqref="Z83">
    <cfRule type="expression" dxfId="2774" priority="717">
      <formula>AND($A83&lt;&gt;"",MOD(ROW(),2))</formula>
    </cfRule>
  </conditionalFormatting>
  <conditionalFormatting sqref="W83">
    <cfRule type="expression" dxfId="2773" priority="716">
      <formula>AND($A83&lt;&gt;"",MOD(ROW(),2))</formula>
    </cfRule>
  </conditionalFormatting>
  <conditionalFormatting sqref="W83">
    <cfRule type="expression" dxfId="2772" priority="715">
      <formula>AND($A83&lt;&gt;"",MOD(ROW(),2))</formula>
    </cfRule>
  </conditionalFormatting>
  <conditionalFormatting sqref="AD84">
    <cfRule type="expression" dxfId="2771" priority="714">
      <formula>AND($A84&lt;&gt;"",MOD(ROW(),2))</formula>
    </cfRule>
  </conditionalFormatting>
  <conditionalFormatting sqref="AD85">
    <cfRule type="expression" dxfId="2770" priority="713">
      <formula>AND($A85&lt;&gt;"",MOD(ROW(),2))</formula>
    </cfRule>
  </conditionalFormatting>
  <conditionalFormatting sqref="Y84">
    <cfRule type="expression" dxfId="2769" priority="712">
      <formula>AND($A84&lt;&gt;"",MOD(ROW(),2))</formula>
    </cfRule>
  </conditionalFormatting>
  <conditionalFormatting sqref="Y84">
    <cfRule type="expression" dxfId="2768" priority="711">
      <formula>AND(#REF!&lt;&gt;"",MOD(ROW(),2))</formula>
    </cfRule>
  </conditionalFormatting>
  <conditionalFormatting sqref="Y84">
    <cfRule type="expression" dxfId="2767" priority="710">
      <formula>AND(#REF!&lt;&gt;"",MOD(ROW(),2))</formula>
    </cfRule>
  </conditionalFormatting>
  <conditionalFormatting sqref="Y84">
    <cfRule type="cellIs" dxfId="2766" priority="707" operator="equal">
      <formula>#REF!</formula>
    </cfRule>
    <cfRule type="cellIs" dxfId="2765" priority="708" operator="greaterThan">
      <formula>#REF!</formula>
    </cfRule>
    <cfRule type="cellIs" dxfId="2764" priority="709" operator="lessThan">
      <formula>#REF!</formula>
    </cfRule>
  </conditionalFormatting>
  <conditionalFormatting sqref="Z84">
    <cfRule type="expression" dxfId="2763" priority="706">
      <formula>AND($A84&lt;&gt;"",MOD(ROW(),2))</formula>
    </cfRule>
  </conditionalFormatting>
  <conditionalFormatting sqref="W84">
    <cfRule type="expression" dxfId="2762" priority="705">
      <formula>AND($A84&lt;&gt;"",MOD(ROW(),2))</formula>
    </cfRule>
  </conditionalFormatting>
  <conditionalFormatting sqref="W84">
    <cfRule type="expression" dxfId="2761" priority="704">
      <formula>AND($A84&lt;&gt;"",MOD(ROW(),2))</formula>
    </cfRule>
  </conditionalFormatting>
  <conditionalFormatting sqref="Y85">
    <cfRule type="expression" dxfId="2760" priority="703">
      <formula>AND($A85&lt;&gt;"",MOD(ROW(),2))</formula>
    </cfRule>
  </conditionalFormatting>
  <conditionalFormatting sqref="Y85">
    <cfRule type="expression" dxfId="2759" priority="702">
      <formula>AND(#REF!&lt;&gt;"",MOD(ROW(),2))</formula>
    </cfRule>
  </conditionalFormatting>
  <conditionalFormatting sqref="Y85">
    <cfRule type="expression" dxfId="2758" priority="701">
      <formula>AND(#REF!&lt;&gt;"",MOD(ROW(),2))</formula>
    </cfRule>
  </conditionalFormatting>
  <conditionalFormatting sqref="Y85">
    <cfRule type="cellIs" dxfId="2757" priority="698" operator="equal">
      <formula>#REF!</formula>
    </cfRule>
    <cfRule type="cellIs" dxfId="2756" priority="699" operator="greaterThan">
      <formula>#REF!</formula>
    </cfRule>
    <cfRule type="cellIs" dxfId="2755" priority="700" operator="lessThan">
      <formula>#REF!</formula>
    </cfRule>
  </conditionalFormatting>
  <conditionalFormatting sqref="Z85">
    <cfRule type="expression" dxfId="2754" priority="697">
      <formula>AND($A85&lt;&gt;"",MOD(ROW(),2))</formula>
    </cfRule>
  </conditionalFormatting>
  <conditionalFormatting sqref="W85">
    <cfRule type="expression" dxfId="2753" priority="696">
      <formula>AND($A85&lt;&gt;"",MOD(ROW(),2))</formula>
    </cfRule>
  </conditionalFormatting>
  <conditionalFormatting sqref="W85">
    <cfRule type="expression" dxfId="2752" priority="695">
      <formula>AND($A85&lt;&gt;"",MOD(ROW(),2))</formula>
    </cfRule>
  </conditionalFormatting>
  <conditionalFormatting sqref="AD86">
    <cfRule type="expression" dxfId="2751" priority="694">
      <formula>AND($A86&lt;&gt;"",MOD(ROW(),2))</formula>
    </cfRule>
  </conditionalFormatting>
  <conditionalFormatting sqref="AD87">
    <cfRule type="expression" dxfId="2750" priority="693">
      <formula>AND($A87&lt;&gt;"",MOD(ROW(),2))</formula>
    </cfRule>
  </conditionalFormatting>
  <conditionalFormatting sqref="Y86">
    <cfRule type="expression" dxfId="2749" priority="692">
      <formula>AND($A86&lt;&gt;"",MOD(ROW(),2))</formula>
    </cfRule>
  </conditionalFormatting>
  <conditionalFormatting sqref="Y86">
    <cfRule type="expression" dxfId="2748" priority="691">
      <formula>AND(#REF!&lt;&gt;"",MOD(ROW(),2))</formula>
    </cfRule>
  </conditionalFormatting>
  <conditionalFormatting sqref="Y86">
    <cfRule type="expression" dxfId="2747" priority="690">
      <formula>AND(#REF!&lt;&gt;"",MOD(ROW(),2))</formula>
    </cfRule>
  </conditionalFormatting>
  <conditionalFormatting sqref="Y86">
    <cfRule type="cellIs" dxfId="2746" priority="687" operator="equal">
      <formula>#REF!</formula>
    </cfRule>
    <cfRule type="cellIs" dxfId="2745" priority="688" operator="greaterThan">
      <formula>#REF!</formula>
    </cfRule>
    <cfRule type="cellIs" dxfId="2744" priority="689" operator="lessThan">
      <formula>#REF!</formula>
    </cfRule>
  </conditionalFormatting>
  <conditionalFormatting sqref="Z86">
    <cfRule type="expression" dxfId="2743" priority="686">
      <formula>AND($A86&lt;&gt;"",MOD(ROW(),2))</formula>
    </cfRule>
  </conditionalFormatting>
  <conditionalFormatting sqref="W86">
    <cfRule type="expression" dxfId="2742" priority="685">
      <formula>AND($A86&lt;&gt;"",MOD(ROW(),2))</formula>
    </cfRule>
  </conditionalFormatting>
  <conditionalFormatting sqref="W86">
    <cfRule type="expression" dxfId="2741" priority="684">
      <formula>AND($A86&lt;&gt;"",MOD(ROW(),2))</formula>
    </cfRule>
  </conditionalFormatting>
  <conditionalFormatting sqref="Y87">
    <cfRule type="expression" dxfId="2740" priority="683">
      <formula>AND($A87&lt;&gt;"",MOD(ROW(),2))</formula>
    </cfRule>
  </conditionalFormatting>
  <conditionalFormatting sqref="Y87">
    <cfRule type="expression" dxfId="2739" priority="682">
      <formula>AND(#REF!&lt;&gt;"",MOD(ROW(),2))</formula>
    </cfRule>
  </conditionalFormatting>
  <conditionalFormatting sqref="Y87">
    <cfRule type="expression" dxfId="2738" priority="681">
      <formula>AND(#REF!&lt;&gt;"",MOD(ROW(),2))</formula>
    </cfRule>
  </conditionalFormatting>
  <conditionalFormatting sqref="Y87">
    <cfRule type="cellIs" dxfId="2737" priority="678" operator="equal">
      <formula>#REF!</formula>
    </cfRule>
    <cfRule type="cellIs" dxfId="2736" priority="679" operator="greaterThan">
      <formula>#REF!</formula>
    </cfRule>
    <cfRule type="cellIs" dxfId="2735" priority="680" operator="lessThan">
      <formula>#REF!</formula>
    </cfRule>
  </conditionalFormatting>
  <conditionalFormatting sqref="Z87">
    <cfRule type="expression" dxfId="2734" priority="677">
      <formula>AND($A87&lt;&gt;"",MOD(ROW(),2))</formula>
    </cfRule>
  </conditionalFormatting>
  <conditionalFormatting sqref="W87">
    <cfRule type="expression" dxfId="2733" priority="676">
      <formula>AND($A87&lt;&gt;"",MOD(ROW(),2))</formula>
    </cfRule>
  </conditionalFormatting>
  <conditionalFormatting sqref="W87">
    <cfRule type="expression" dxfId="2732" priority="675">
      <formula>AND($A87&lt;&gt;"",MOD(ROW(),2))</formula>
    </cfRule>
  </conditionalFormatting>
  <conditionalFormatting sqref="AD88">
    <cfRule type="expression" dxfId="2731" priority="674">
      <formula>AND($A88&lt;&gt;"",MOD(ROW(),2))</formula>
    </cfRule>
  </conditionalFormatting>
  <conditionalFormatting sqref="AD89">
    <cfRule type="expression" dxfId="2730" priority="673">
      <formula>AND($A89&lt;&gt;"",MOD(ROW(),2))</formula>
    </cfRule>
  </conditionalFormatting>
  <conditionalFormatting sqref="Y88">
    <cfRule type="expression" dxfId="2729" priority="672">
      <formula>AND($A88&lt;&gt;"",MOD(ROW(),2))</formula>
    </cfRule>
  </conditionalFormatting>
  <conditionalFormatting sqref="Y88">
    <cfRule type="expression" dxfId="2728" priority="671">
      <formula>AND(#REF!&lt;&gt;"",MOD(ROW(),2))</formula>
    </cfRule>
  </conditionalFormatting>
  <conditionalFormatting sqref="Y88">
    <cfRule type="expression" dxfId="2727" priority="670">
      <formula>AND(#REF!&lt;&gt;"",MOD(ROW(),2))</formula>
    </cfRule>
  </conditionalFormatting>
  <conditionalFormatting sqref="Y88">
    <cfRule type="cellIs" dxfId="2726" priority="667" operator="equal">
      <formula>#REF!</formula>
    </cfRule>
    <cfRule type="cellIs" dxfId="2725" priority="668" operator="greaterThan">
      <formula>#REF!</formula>
    </cfRule>
    <cfRule type="cellIs" dxfId="2724" priority="669" operator="lessThan">
      <formula>#REF!</formula>
    </cfRule>
  </conditionalFormatting>
  <conditionalFormatting sqref="Z88">
    <cfRule type="expression" dxfId="2723" priority="666">
      <formula>AND($A88&lt;&gt;"",MOD(ROW(),2))</formula>
    </cfRule>
  </conditionalFormatting>
  <conditionalFormatting sqref="W88">
    <cfRule type="expression" dxfId="2722" priority="665">
      <formula>AND($A88&lt;&gt;"",MOD(ROW(),2))</formula>
    </cfRule>
  </conditionalFormatting>
  <conditionalFormatting sqref="W88">
    <cfRule type="expression" dxfId="2721" priority="664">
      <formula>AND($A88&lt;&gt;"",MOD(ROW(),2))</formula>
    </cfRule>
  </conditionalFormatting>
  <conditionalFormatting sqref="Y89">
    <cfRule type="expression" dxfId="2720" priority="663">
      <formula>AND($A89&lt;&gt;"",MOD(ROW(),2))</formula>
    </cfRule>
  </conditionalFormatting>
  <conditionalFormatting sqref="Y89">
    <cfRule type="expression" dxfId="2719" priority="662">
      <formula>AND(#REF!&lt;&gt;"",MOD(ROW(),2))</formula>
    </cfRule>
  </conditionalFormatting>
  <conditionalFormatting sqref="Y89">
    <cfRule type="expression" dxfId="2718" priority="661">
      <formula>AND(#REF!&lt;&gt;"",MOD(ROW(),2))</formula>
    </cfRule>
  </conditionalFormatting>
  <conditionalFormatting sqref="Y89">
    <cfRule type="cellIs" dxfId="2717" priority="658" operator="equal">
      <formula>#REF!</formula>
    </cfRule>
    <cfRule type="cellIs" dxfId="2716" priority="659" operator="greaterThan">
      <formula>#REF!</formula>
    </cfRule>
    <cfRule type="cellIs" dxfId="2715" priority="660" operator="lessThan">
      <formula>#REF!</formula>
    </cfRule>
  </conditionalFormatting>
  <conditionalFormatting sqref="Z89">
    <cfRule type="expression" dxfId="2714" priority="657">
      <formula>AND($A89&lt;&gt;"",MOD(ROW(),2))</formula>
    </cfRule>
  </conditionalFormatting>
  <conditionalFormatting sqref="W89">
    <cfRule type="expression" dxfId="2713" priority="656">
      <formula>AND($A89&lt;&gt;"",MOD(ROW(),2))</formula>
    </cfRule>
  </conditionalFormatting>
  <conditionalFormatting sqref="W89">
    <cfRule type="expression" dxfId="2712" priority="655">
      <formula>AND($A89&lt;&gt;"",MOD(ROW(),2))</formula>
    </cfRule>
  </conditionalFormatting>
  <conditionalFormatting sqref="AD90">
    <cfRule type="expression" dxfId="2711" priority="654">
      <formula>AND($A90&lt;&gt;"",MOD(ROW(),2))</formula>
    </cfRule>
  </conditionalFormatting>
  <conditionalFormatting sqref="Y90">
    <cfRule type="expression" dxfId="2710" priority="653">
      <formula>AND($A90&lt;&gt;"",MOD(ROW(),2))</formula>
    </cfRule>
  </conditionalFormatting>
  <conditionalFormatting sqref="Y90">
    <cfRule type="expression" dxfId="2709" priority="652">
      <formula>AND(#REF!&lt;&gt;"",MOD(ROW(),2))</formula>
    </cfRule>
  </conditionalFormatting>
  <conditionalFormatting sqref="Y90">
    <cfRule type="expression" dxfId="2708" priority="651">
      <formula>AND(#REF!&lt;&gt;"",MOD(ROW(),2))</formula>
    </cfRule>
  </conditionalFormatting>
  <conditionalFormatting sqref="Y90">
    <cfRule type="cellIs" dxfId="2707" priority="648" operator="equal">
      <formula>#REF!</formula>
    </cfRule>
    <cfRule type="cellIs" dxfId="2706" priority="649" operator="greaterThan">
      <formula>#REF!</formula>
    </cfRule>
    <cfRule type="cellIs" dxfId="2705" priority="650" operator="lessThan">
      <formula>#REF!</formula>
    </cfRule>
  </conditionalFormatting>
  <conditionalFormatting sqref="Z90">
    <cfRule type="expression" dxfId="2704" priority="647">
      <formula>AND($A90&lt;&gt;"",MOD(ROW(),2))</formula>
    </cfRule>
  </conditionalFormatting>
  <conditionalFormatting sqref="W90">
    <cfRule type="expression" dxfId="2703" priority="646">
      <formula>AND($A90&lt;&gt;"",MOD(ROW(),2))</formula>
    </cfRule>
  </conditionalFormatting>
  <conditionalFormatting sqref="W90">
    <cfRule type="expression" dxfId="2702" priority="645">
      <formula>AND($A90&lt;&gt;"",MOD(ROW(),2))</formula>
    </cfRule>
  </conditionalFormatting>
  <conditionalFormatting sqref="AD91">
    <cfRule type="expression" dxfId="2701" priority="644">
      <formula>AND($A91&lt;&gt;"",MOD(ROW(),2))</formula>
    </cfRule>
  </conditionalFormatting>
  <conditionalFormatting sqref="Y91">
    <cfRule type="expression" dxfId="2700" priority="643">
      <formula>AND($A91&lt;&gt;"",MOD(ROW(),2))</formula>
    </cfRule>
  </conditionalFormatting>
  <conditionalFormatting sqref="Y91">
    <cfRule type="expression" dxfId="2699" priority="642">
      <formula>AND(#REF!&lt;&gt;"",MOD(ROW(),2))</formula>
    </cfRule>
  </conditionalFormatting>
  <conditionalFormatting sqref="Y91">
    <cfRule type="expression" dxfId="2698" priority="641">
      <formula>AND(#REF!&lt;&gt;"",MOD(ROW(),2))</formula>
    </cfRule>
  </conditionalFormatting>
  <conditionalFormatting sqref="Y91">
    <cfRule type="cellIs" dxfId="2697" priority="638" operator="equal">
      <formula>#REF!</formula>
    </cfRule>
    <cfRule type="cellIs" dxfId="2696" priority="639" operator="greaterThan">
      <formula>#REF!</formula>
    </cfRule>
    <cfRule type="cellIs" dxfId="2695" priority="640" operator="lessThan">
      <formula>#REF!</formula>
    </cfRule>
  </conditionalFormatting>
  <conditionalFormatting sqref="Z91">
    <cfRule type="expression" dxfId="2694" priority="637">
      <formula>AND($A91&lt;&gt;"",MOD(ROW(),2))</formula>
    </cfRule>
  </conditionalFormatting>
  <conditionalFormatting sqref="W91">
    <cfRule type="expression" dxfId="2693" priority="636">
      <formula>AND($A91&lt;&gt;"",MOD(ROW(),2))</formula>
    </cfRule>
  </conditionalFormatting>
  <conditionalFormatting sqref="W91">
    <cfRule type="expression" dxfId="2692" priority="635">
      <formula>AND($A91&lt;&gt;"",MOD(ROW(),2))</formula>
    </cfRule>
  </conditionalFormatting>
  <conditionalFormatting sqref="AD92">
    <cfRule type="expression" dxfId="2691" priority="634">
      <formula>AND($A92&lt;&gt;"",MOD(ROW(),2))</formula>
    </cfRule>
  </conditionalFormatting>
  <conditionalFormatting sqref="AD93">
    <cfRule type="expression" dxfId="2690" priority="633">
      <formula>AND($A93&lt;&gt;"",MOD(ROW(),2))</formula>
    </cfRule>
  </conditionalFormatting>
  <conditionalFormatting sqref="Y92">
    <cfRule type="expression" dxfId="2689" priority="632">
      <formula>AND($A92&lt;&gt;"",MOD(ROW(),2))</formula>
    </cfRule>
  </conditionalFormatting>
  <conditionalFormatting sqref="Y92">
    <cfRule type="expression" dxfId="2688" priority="631">
      <formula>AND(#REF!&lt;&gt;"",MOD(ROW(),2))</formula>
    </cfRule>
  </conditionalFormatting>
  <conditionalFormatting sqref="Y92">
    <cfRule type="expression" dxfId="2687" priority="630">
      <formula>AND(#REF!&lt;&gt;"",MOD(ROW(),2))</formula>
    </cfRule>
  </conditionalFormatting>
  <conditionalFormatting sqref="Y92">
    <cfRule type="cellIs" dxfId="2686" priority="627" operator="equal">
      <formula>#REF!</formula>
    </cfRule>
    <cfRule type="cellIs" dxfId="2685" priority="628" operator="greaterThan">
      <formula>#REF!</formula>
    </cfRule>
    <cfRule type="cellIs" dxfId="2684" priority="629" operator="lessThan">
      <formula>#REF!</formula>
    </cfRule>
  </conditionalFormatting>
  <conditionalFormatting sqref="Z92">
    <cfRule type="expression" dxfId="2683" priority="626">
      <formula>AND($A92&lt;&gt;"",MOD(ROW(),2))</formula>
    </cfRule>
  </conditionalFormatting>
  <conditionalFormatting sqref="W92">
    <cfRule type="expression" dxfId="2682" priority="625">
      <formula>AND($A92&lt;&gt;"",MOD(ROW(),2))</formula>
    </cfRule>
  </conditionalFormatting>
  <conditionalFormatting sqref="W92">
    <cfRule type="expression" dxfId="2681" priority="624">
      <formula>AND($A92&lt;&gt;"",MOD(ROW(),2))</formula>
    </cfRule>
  </conditionalFormatting>
  <conditionalFormatting sqref="Y93">
    <cfRule type="expression" dxfId="2680" priority="623">
      <formula>AND($A93&lt;&gt;"",MOD(ROW(),2))</formula>
    </cfRule>
  </conditionalFormatting>
  <conditionalFormatting sqref="Y93">
    <cfRule type="expression" dxfId="2679" priority="622">
      <formula>AND(#REF!&lt;&gt;"",MOD(ROW(),2))</formula>
    </cfRule>
  </conditionalFormatting>
  <conditionalFormatting sqref="Y93">
    <cfRule type="expression" dxfId="2678" priority="621">
      <formula>AND(#REF!&lt;&gt;"",MOD(ROW(),2))</formula>
    </cfRule>
  </conditionalFormatting>
  <conditionalFormatting sqref="Y93">
    <cfRule type="cellIs" dxfId="2677" priority="618" operator="equal">
      <formula>#REF!</formula>
    </cfRule>
    <cfRule type="cellIs" dxfId="2676" priority="619" operator="greaterThan">
      <formula>#REF!</formula>
    </cfRule>
    <cfRule type="cellIs" dxfId="2675" priority="620" operator="lessThan">
      <formula>#REF!</formula>
    </cfRule>
  </conditionalFormatting>
  <conditionalFormatting sqref="Z93">
    <cfRule type="expression" dxfId="2674" priority="617">
      <formula>AND($A93&lt;&gt;"",MOD(ROW(),2))</formula>
    </cfRule>
  </conditionalFormatting>
  <conditionalFormatting sqref="W93">
    <cfRule type="expression" dxfId="2673" priority="616">
      <formula>AND($A93&lt;&gt;"",MOD(ROW(),2))</formula>
    </cfRule>
  </conditionalFormatting>
  <conditionalFormatting sqref="W93">
    <cfRule type="expression" dxfId="2672" priority="615">
      <formula>AND($A93&lt;&gt;"",MOD(ROW(),2))</formula>
    </cfRule>
  </conditionalFormatting>
  <conditionalFormatting sqref="AD94">
    <cfRule type="expression" dxfId="2671" priority="614">
      <formula>AND($A94&lt;&gt;"",MOD(ROW(),2))</formula>
    </cfRule>
  </conditionalFormatting>
  <conditionalFormatting sqref="AD95">
    <cfRule type="expression" dxfId="2670" priority="613">
      <formula>AND($A95&lt;&gt;"",MOD(ROW(),2))</formula>
    </cfRule>
  </conditionalFormatting>
  <conditionalFormatting sqref="Y94">
    <cfRule type="expression" dxfId="2669" priority="612">
      <formula>AND($A94&lt;&gt;"",MOD(ROW(),2))</formula>
    </cfRule>
  </conditionalFormatting>
  <conditionalFormatting sqref="Y94">
    <cfRule type="expression" dxfId="2668" priority="611">
      <formula>AND(#REF!&lt;&gt;"",MOD(ROW(),2))</formula>
    </cfRule>
  </conditionalFormatting>
  <conditionalFormatting sqref="Y94">
    <cfRule type="expression" dxfId="2667" priority="610">
      <formula>AND(#REF!&lt;&gt;"",MOD(ROW(),2))</formula>
    </cfRule>
  </conditionalFormatting>
  <conditionalFormatting sqref="Y94">
    <cfRule type="cellIs" dxfId="2666" priority="607" operator="equal">
      <formula>#REF!</formula>
    </cfRule>
    <cfRule type="cellIs" dxfId="2665" priority="608" operator="greaterThan">
      <formula>#REF!</formula>
    </cfRule>
    <cfRule type="cellIs" dxfId="2664" priority="609" operator="lessThan">
      <formula>#REF!</formula>
    </cfRule>
  </conditionalFormatting>
  <conditionalFormatting sqref="Z94">
    <cfRule type="expression" dxfId="2663" priority="606">
      <formula>AND($A94&lt;&gt;"",MOD(ROW(),2))</formula>
    </cfRule>
  </conditionalFormatting>
  <conditionalFormatting sqref="W94">
    <cfRule type="expression" dxfId="2662" priority="605">
      <formula>AND($A94&lt;&gt;"",MOD(ROW(),2))</formula>
    </cfRule>
  </conditionalFormatting>
  <conditionalFormatting sqref="W94">
    <cfRule type="expression" dxfId="2661" priority="604">
      <formula>AND($A94&lt;&gt;"",MOD(ROW(),2))</formula>
    </cfRule>
  </conditionalFormatting>
  <conditionalFormatting sqref="Y95">
    <cfRule type="expression" dxfId="2660" priority="603">
      <formula>AND($A95&lt;&gt;"",MOD(ROW(),2))</formula>
    </cfRule>
  </conditionalFormatting>
  <conditionalFormatting sqref="Y95">
    <cfRule type="expression" dxfId="2659" priority="602">
      <formula>AND(#REF!&lt;&gt;"",MOD(ROW(),2))</formula>
    </cfRule>
  </conditionalFormatting>
  <conditionalFormatting sqref="Y95">
    <cfRule type="expression" dxfId="2658" priority="601">
      <formula>AND(#REF!&lt;&gt;"",MOD(ROW(),2))</formula>
    </cfRule>
  </conditionalFormatting>
  <conditionalFormatting sqref="Y95">
    <cfRule type="cellIs" dxfId="2657" priority="598" operator="equal">
      <formula>#REF!</formula>
    </cfRule>
    <cfRule type="cellIs" dxfId="2656" priority="599" operator="greaterThan">
      <formula>#REF!</formula>
    </cfRule>
    <cfRule type="cellIs" dxfId="2655" priority="600" operator="lessThan">
      <formula>#REF!</formula>
    </cfRule>
  </conditionalFormatting>
  <conditionalFormatting sqref="Z95">
    <cfRule type="expression" dxfId="2654" priority="597">
      <formula>AND($A95&lt;&gt;"",MOD(ROW(),2))</formula>
    </cfRule>
  </conditionalFormatting>
  <conditionalFormatting sqref="W95">
    <cfRule type="expression" dxfId="2653" priority="596">
      <formula>AND($A95&lt;&gt;"",MOD(ROW(),2))</formula>
    </cfRule>
  </conditionalFormatting>
  <conditionalFormatting sqref="W95">
    <cfRule type="expression" dxfId="2652" priority="595">
      <formula>AND($A95&lt;&gt;"",MOD(ROW(),2))</formula>
    </cfRule>
  </conditionalFormatting>
  <conditionalFormatting sqref="AD96">
    <cfRule type="expression" dxfId="2651" priority="594">
      <formula>AND($A96&lt;&gt;"",MOD(ROW(),2))</formula>
    </cfRule>
  </conditionalFormatting>
  <conditionalFormatting sqref="AD97">
    <cfRule type="expression" dxfId="2650" priority="593">
      <formula>AND($A97&lt;&gt;"",MOD(ROW(),2))</formula>
    </cfRule>
  </conditionalFormatting>
  <conditionalFormatting sqref="Y96">
    <cfRule type="expression" dxfId="2649" priority="592">
      <formula>AND($A96&lt;&gt;"",MOD(ROW(),2))</formula>
    </cfRule>
  </conditionalFormatting>
  <conditionalFormatting sqref="Y96">
    <cfRule type="expression" dxfId="2648" priority="591">
      <formula>AND(#REF!&lt;&gt;"",MOD(ROW(),2))</formula>
    </cfRule>
  </conditionalFormatting>
  <conditionalFormatting sqref="Y96">
    <cfRule type="expression" dxfId="2647" priority="590">
      <formula>AND(#REF!&lt;&gt;"",MOD(ROW(),2))</formula>
    </cfRule>
  </conditionalFormatting>
  <conditionalFormatting sqref="Y96">
    <cfRule type="cellIs" dxfId="2646" priority="587" operator="equal">
      <formula>#REF!</formula>
    </cfRule>
    <cfRule type="cellIs" dxfId="2645" priority="588" operator="greaterThan">
      <formula>#REF!</formula>
    </cfRule>
    <cfRule type="cellIs" dxfId="2644" priority="589" operator="lessThan">
      <formula>#REF!</formula>
    </cfRule>
  </conditionalFormatting>
  <conditionalFormatting sqref="Z96">
    <cfRule type="expression" dxfId="2643" priority="586">
      <formula>AND($A96&lt;&gt;"",MOD(ROW(),2))</formula>
    </cfRule>
  </conditionalFormatting>
  <conditionalFormatting sqref="W96">
    <cfRule type="expression" dxfId="2642" priority="585">
      <formula>AND($A96&lt;&gt;"",MOD(ROW(),2))</formula>
    </cfRule>
  </conditionalFormatting>
  <conditionalFormatting sqref="W96">
    <cfRule type="expression" dxfId="2641" priority="584">
      <formula>AND($A96&lt;&gt;"",MOD(ROW(),2))</formula>
    </cfRule>
  </conditionalFormatting>
  <conditionalFormatting sqref="Y97">
    <cfRule type="expression" dxfId="2640" priority="583">
      <formula>AND($A97&lt;&gt;"",MOD(ROW(),2))</formula>
    </cfRule>
  </conditionalFormatting>
  <conditionalFormatting sqref="Y97">
    <cfRule type="expression" dxfId="2639" priority="582">
      <formula>AND(#REF!&lt;&gt;"",MOD(ROW(),2))</formula>
    </cfRule>
  </conditionalFormatting>
  <conditionalFormatting sqref="Y97">
    <cfRule type="expression" dxfId="2638" priority="581">
      <formula>AND(#REF!&lt;&gt;"",MOD(ROW(),2))</formula>
    </cfRule>
  </conditionalFormatting>
  <conditionalFormatting sqref="Y97">
    <cfRule type="cellIs" dxfId="2637" priority="578" operator="equal">
      <formula>#REF!</formula>
    </cfRule>
    <cfRule type="cellIs" dxfId="2636" priority="579" operator="greaterThan">
      <formula>#REF!</formula>
    </cfRule>
    <cfRule type="cellIs" dxfId="2635" priority="580" operator="lessThan">
      <formula>#REF!</formula>
    </cfRule>
  </conditionalFormatting>
  <conditionalFormatting sqref="Z97">
    <cfRule type="expression" dxfId="2634" priority="577">
      <formula>AND($A97&lt;&gt;"",MOD(ROW(),2))</formula>
    </cfRule>
  </conditionalFormatting>
  <conditionalFormatting sqref="W97">
    <cfRule type="expression" dxfId="2633" priority="576">
      <formula>AND($A97&lt;&gt;"",MOD(ROW(),2))</formula>
    </cfRule>
  </conditionalFormatting>
  <conditionalFormatting sqref="W97">
    <cfRule type="expression" dxfId="2632" priority="575">
      <formula>AND($A97&lt;&gt;"",MOD(ROW(),2))</formula>
    </cfRule>
  </conditionalFormatting>
  <conditionalFormatting sqref="AD98">
    <cfRule type="expression" dxfId="2631" priority="574">
      <formula>AND($A98&lt;&gt;"",MOD(ROW(),2))</formula>
    </cfRule>
  </conditionalFormatting>
  <conditionalFormatting sqref="AD99">
    <cfRule type="expression" dxfId="2630" priority="573">
      <formula>AND($A99&lt;&gt;"",MOD(ROW(),2))</formula>
    </cfRule>
  </conditionalFormatting>
  <conditionalFormatting sqref="Y98">
    <cfRule type="expression" dxfId="2629" priority="572">
      <formula>AND($A98&lt;&gt;"",MOD(ROW(),2))</formula>
    </cfRule>
  </conditionalFormatting>
  <conditionalFormatting sqref="Y98">
    <cfRule type="expression" dxfId="2628" priority="571">
      <formula>AND(#REF!&lt;&gt;"",MOD(ROW(),2))</formula>
    </cfRule>
  </conditionalFormatting>
  <conditionalFormatting sqref="Y98">
    <cfRule type="expression" dxfId="2627" priority="570">
      <formula>AND(#REF!&lt;&gt;"",MOD(ROW(),2))</formula>
    </cfRule>
  </conditionalFormatting>
  <conditionalFormatting sqref="Y98">
    <cfRule type="cellIs" dxfId="2626" priority="567" operator="equal">
      <formula>#REF!</formula>
    </cfRule>
    <cfRule type="cellIs" dxfId="2625" priority="568" operator="greaterThan">
      <formula>#REF!</formula>
    </cfRule>
    <cfRule type="cellIs" dxfId="2624" priority="569" operator="lessThan">
      <formula>#REF!</formula>
    </cfRule>
  </conditionalFormatting>
  <conditionalFormatting sqref="Z98">
    <cfRule type="expression" dxfId="2623" priority="566">
      <formula>AND($A98&lt;&gt;"",MOD(ROW(),2))</formula>
    </cfRule>
  </conditionalFormatting>
  <conditionalFormatting sqref="W98">
    <cfRule type="expression" dxfId="2622" priority="565">
      <formula>AND($A98&lt;&gt;"",MOD(ROW(),2))</formula>
    </cfRule>
  </conditionalFormatting>
  <conditionalFormatting sqref="W98">
    <cfRule type="expression" dxfId="2621" priority="564">
      <formula>AND($A98&lt;&gt;"",MOD(ROW(),2))</formula>
    </cfRule>
  </conditionalFormatting>
  <conditionalFormatting sqref="Y99">
    <cfRule type="expression" dxfId="2620" priority="563">
      <formula>AND($A99&lt;&gt;"",MOD(ROW(),2))</formula>
    </cfRule>
  </conditionalFormatting>
  <conditionalFormatting sqref="Y99">
    <cfRule type="expression" dxfId="2619" priority="562">
      <formula>AND(#REF!&lt;&gt;"",MOD(ROW(),2))</formula>
    </cfRule>
  </conditionalFormatting>
  <conditionalFormatting sqref="Y99">
    <cfRule type="expression" dxfId="2618" priority="561">
      <formula>AND(#REF!&lt;&gt;"",MOD(ROW(),2))</formula>
    </cfRule>
  </conditionalFormatting>
  <conditionalFormatting sqref="Y99">
    <cfRule type="cellIs" dxfId="2617" priority="558" operator="equal">
      <formula>#REF!</formula>
    </cfRule>
    <cfRule type="cellIs" dxfId="2616" priority="559" operator="greaterThan">
      <formula>#REF!</formula>
    </cfRule>
    <cfRule type="cellIs" dxfId="2615" priority="560" operator="lessThan">
      <formula>#REF!</formula>
    </cfRule>
  </conditionalFormatting>
  <conditionalFormatting sqref="Z99">
    <cfRule type="expression" dxfId="2614" priority="557">
      <formula>AND($A99&lt;&gt;"",MOD(ROW(),2))</formula>
    </cfRule>
  </conditionalFormatting>
  <conditionalFormatting sqref="W99">
    <cfRule type="expression" dxfId="2613" priority="556">
      <formula>AND($A99&lt;&gt;"",MOD(ROW(),2))</formula>
    </cfRule>
  </conditionalFormatting>
  <conditionalFormatting sqref="W99">
    <cfRule type="expression" dxfId="2612" priority="555">
      <formula>AND($A99&lt;&gt;"",MOD(ROW(),2))</formula>
    </cfRule>
  </conditionalFormatting>
  <conditionalFormatting sqref="AD100">
    <cfRule type="expression" dxfId="2611" priority="554">
      <formula>AND($A100&lt;&gt;"",MOD(ROW(),2))</formula>
    </cfRule>
  </conditionalFormatting>
  <conditionalFormatting sqref="Y100">
    <cfRule type="expression" dxfId="2610" priority="553">
      <formula>AND($A100&lt;&gt;"",MOD(ROW(),2))</formula>
    </cfRule>
  </conditionalFormatting>
  <conditionalFormatting sqref="Y100">
    <cfRule type="expression" dxfId="2609" priority="552">
      <formula>AND(#REF!&lt;&gt;"",MOD(ROW(),2))</formula>
    </cfRule>
  </conditionalFormatting>
  <conditionalFormatting sqref="Y100">
    <cfRule type="expression" dxfId="2608" priority="551">
      <formula>AND(#REF!&lt;&gt;"",MOD(ROW(),2))</formula>
    </cfRule>
  </conditionalFormatting>
  <conditionalFormatting sqref="Y100">
    <cfRule type="cellIs" dxfId="2607" priority="548" operator="equal">
      <formula>#REF!</formula>
    </cfRule>
    <cfRule type="cellIs" dxfId="2606" priority="549" operator="greaterThan">
      <formula>#REF!</formula>
    </cfRule>
    <cfRule type="cellIs" dxfId="2605" priority="550" operator="lessThan">
      <formula>#REF!</formula>
    </cfRule>
  </conditionalFormatting>
  <conditionalFormatting sqref="Z100">
    <cfRule type="expression" dxfId="2604" priority="547">
      <formula>AND($A100&lt;&gt;"",MOD(ROW(),2))</formula>
    </cfRule>
  </conditionalFormatting>
  <conditionalFormatting sqref="W100">
    <cfRule type="expression" dxfId="2603" priority="546">
      <formula>AND($A100&lt;&gt;"",MOD(ROW(),2))</formula>
    </cfRule>
  </conditionalFormatting>
  <conditionalFormatting sqref="W100">
    <cfRule type="expression" dxfId="2602" priority="545">
      <formula>AND($A100&lt;&gt;"",MOD(ROW(),2))</formula>
    </cfRule>
  </conditionalFormatting>
  <conditionalFormatting sqref="H75">
    <cfRule type="expression" dxfId="2601" priority="544">
      <formula>AND($A75&lt;&gt;"",MOD(ROW(),2))</formula>
    </cfRule>
  </conditionalFormatting>
  <conditionalFormatting sqref="AD101">
    <cfRule type="expression" dxfId="2600" priority="543">
      <formula>AND($A101&lt;&gt;"",MOD(ROW(),2))</formula>
    </cfRule>
  </conditionalFormatting>
  <conditionalFormatting sqref="Y101">
    <cfRule type="expression" dxfId="2599" priority="542">
      <formula>AND($A101&lt;&gt;"",MOD(ROW(),2))</formula>
    </cfRule>
  </conditionalFormatting>
  <conditionalFormatting sqref="Y101">
    <cfRule type="expression" dxfId="2598" priority="541">
      <formula>AND(#REF!&lt;&gt;"",MOD(ROW(),2))</formula>
    </cfRule>
  </conditionalFormatting>
  <conditionalFormatting sqref="Y101">
    <cfRule type="expression" dxfId="2597" priority="540">
      <formula>AND(#REF!&lt;&gt;"",MOD(ROW(),2))</formula>
    </cfRule>
  </conditionalFormatting>
  <conditionalFormatting sqref="Y101">
    <cfRule type="cellIs" dxfId="2596" priority="537" operator="equal">
      <formula>#REF!</formula>
    </cfRule>
    <cfRule type="cellIs" dxfId="2595" priority="538" operator="greaterThan">
      <formula>#REF!</formula>
    </cfRule>
    <cfRule type="cellIs" dxfId="2594" priority="539" operator="lessThan">
      <formula>#REF!</formula>
    </cfRule>
  </conditionalFormatting>
  <conditionalFormatting sqref="Z101">
    <cfRule type="expression" dxfId="2593" priority="536">
      <formula>AND($A101&lt;&gt;"",MOD(ROW(),2))</formula>
    </cfRule>
  </conditionalFormatting>
  <conditionalFormatting sqref="W101">
    <cfRule type="expression" dxfId="2592" priority="535">
      <formula>AND($A101&lt;&gt;"",MOD(ROW(),2))</formula>
    </cfRule>
  </conditionalFormatting>
  <conditionalFormatting sqref="W101">
    <cfRule type="expression" dxfId="2591" priority="534">
      <formula>AND($A101&lt;&gt;"",MOD(ROW(),2))</formula>
    </cfRule>
  </conditionalFormatting>
  <conditionalFormatting sqref="AD102">
    <cfRule type="expression" dxfId="2590" priority="533">
      <formula>AND($A102&lt;&gt;"",MOD(ROW(),2))</formula>
    </cfRule>
  </conditionalFormatting>
  <conditionalFormatting sqref="Y102">
    <cfRule type="expression" dxfId="2589" priority="532">
      <formula>AND($A102&lt;&gt;"",MOD(ROW(),2))</formula>
    </cfRule>
  </conditionalFormatting>
  <conditionalFormatting sqref="Y102">
    <cfRule type="expression" dxfId="2588" priority="531">
      <formula>AND(#REF!&lt;&gt;"",MOD(ROW(),2))</formula>
    </cfRule>
  </conditionalFormatting>
  <conditionalFormatting sqref="Y102">
    <cfRule type="expression" dxfId="2587" priority="530">
      <formula>AND(#REF!&lt;&gt;"",MOD(ROW(),2))</formula>
    </cfRule>
  </conditionalFormatting>
  <conditionalFormatting sqref="Y102">
    <cfRule type="cellIs" dxfId="2586" priority="527" operator="equal">
      <formula>#REF!</formula>
    </cfRule>
    <cfRule type="cellIs" dxfId="2585" priority="528" operator="greaterThan">
      <formula>#REF!</formula>
    </cfRule>
    <cfRule type="cellIs" dxfId="2584" priority="529" operator="lessThan">
      <formula>#REF!</formula>
    </cfRule>
  </conditionalFormatting>
  <conditionalFormatting sqref="Z102">
    <cfRule type="expression" dxfId="2583" priority="526">
      <formula>AND($A102&lt;&gt;"",MOD(ROW(),2))</formula>
    </cfRule>
  </conditionalFormatting>
  <conditionalFormatting sqref="W102">
    <cfRule type="expression" dxfId="2582" priority="525">
      <formula>AND($A102&lt;&gt;"",MOD(ROW(),2))</formula>
    </cfRule>
  </conditionalFormatting>
  <conditionalFormatting sqref="W102">
    <cfRule type="expression" dxfId="2581" priority="524">
      <formula>AND($A102&lt;&gt;"",MOD(ROW(),2))</formula>
    </cfRule>
  </conditionalFormatting>
  <conditionalFormatting sqref="AB45">
    <cfRule type="containsText" dxfId="2580" priority="522" operator="containsText" text="Unpaid Rent">
      <formula>NOT(ISERROR(SEARCH("Unpaid Rent",AB45)))</formula>
    </cfRule>
    <cfRule type="containsText" dxfId="2579" priority="523" stopIfTrue="1" operator="containsText" text="Closed Account">
      <formula>NOT(ISERROR(SEARCH("Closed Account",AB45)))</formula>
    </cfRule>
  </conditionalFormatting>
  <conditionalFormatting sqref="AB48">
    <cfRule type="containsText" dxfId="2578" priority="520" operator="containsText" text="Unpaid Rent">
      <formula>NOT(ISERROR(SEARCH("Unpaid Rent",AB48)))</formula>
    </cfRule>
    <cfRule type="containsText" dxfId="2577" priority="521" stopIfTrue="1" operator="containsText" text="Closed Account">
      <formula>NOT(ISERROR(SEARCH("Closed Account",AB48)))</formula>
    </cfRule>
  </conditionalFormatting>
  <conditionalFormatting sqref="AB53">
    <cfRule type="containsText" dxfId="2576" priority="518" operator="containsText" text="Unpaid Rent">
      <formula>NOT(ISERROR(SEARCH("Unpaid Rent",AB53)))</formula>
    </cfRule>
    <cfRule type="containsText" dxfId="2575" priority="519" stopIfTrue="1" operator="containsText" text="Closed Account">
      <formula>NOT(ISERROR(SEARCH("Closed Account",AB53)))</formula>
    </cfRule>
  </conditionalFormatting>
  <conditionalFormatting sqref="AB55">
    <cfRule type="containsText" dxfId="2574" priority="516" operator="containsText" text="Unpaid Rent">
      <formula>NOT(ISERROR(SEARCH("Unpaid Rent",AB55)))</formula>
    </cfRule>
    <cfRule type="containsText" dxfId="2573" priority="517" stopIfTrue="1" operator="containsText" text="Closed Account">
      <formula>NOT(ISERROR(SEARCH("Closed Account",AB55)))</formula>
    </cfRule>
  </conditionalFormatting>
  <conditionalFormatting sqref="AD103">
    <cfRule type="expression" dxfId="2572" priority="515">
      <formula>AND($A103&lt;&gt;"",MOD(ROW(),2))</formula>
    </cfRule>
  </conditionalFormatting>
  <conditionalFormatting sqref="AD104">
    <cfRule type="expression" dxfId="2571" priority="514">
      <formula>AND($A104&lt;&gt;"",MOD(ROW(),2))</formula>
    </cfRule>
  </conditionalFormatting>
  <conditionalFormatting sqref="Y103">
    <cfRule type="expression" dxfId="2570" priority="513">
      <formula>AND($A103&lt;&gt;"",MOD(ROW(),2))</formula>
    </cfRule>
  </conditionalFormatting>
  <conditionalFormatting sqref="Y103">
    <cfRule type="expression" dxfId="2569" priority="512">
      <formula>AND(#REF!&lt;&gt;"",MOD(ROW(),2))</formula>
    </cfRule>
  </conditionalFormatting>
  <conditionalFormatting sqref="Y103">
    <cfRule type="expression" dxfId="2568" priority="511">
      <formula>AND(#REF!&lt;&gt;"",MOD(ROW(),2))</formula>
    </cfRule>
  </conditionalFormatting>
  <conditionalFormatting sqref="Y103">
    <cfRule type="cellIs" dxfId="2567" priority="508" operator="equal">
      <formula>#REF!</formula>
    </cfRule>
    <cfRule type="cellIs" dxfId="2566" priority="509" operator="greaterThan">
      <formula>#REF!</formula>
    </cfRule>
    <cfRule type="cellIs" dxfId="2565" priority="510" operator="lessThan">
      <formula>#REF!</formula>
    </cfRule>
  </conditionalFormatting>
  <conditionalFormatting sqref="Z103">
    <cfRule type="expression" dxfId="2564" priority="507">
      <formula>AND($A103&lt;&gt;"",MOD(ROW(),2))</formula>
    </cfRule>
  </conditionalFormatting>
  <conditionalFormatting sqref="W103">
    <cfRule type="expression" dxfId="2563" priority="506">
      <formula>AND($A103&lt;&gt;"",MOD(ROW(),2))</formula>
    </cfRule>
  </conditionalFormatting>
  <conditionalFormatting sqref="W103">
    <cfRule type="expression" dxfId="2562" priority="505">
      <formula>AND($A103&lt;&gt;"",MOD(ROW(),2))</formula>
    </cfRule>
  </conditionalFormatting>
  <conditionalFormatting sqref="Y104">
    <cfRule type="expression" dxfId="2561" priority="504">
      <formula>AND($A104&lt;&gt;"",MOD(ROW(),2))</formula>
    </cfRule>
  </conditionalFormatting>
  <conditionalFormatting sqref="Y104">
    <cfRule type="expression" dxfId="2560" priority="503">
      <formula>AND(#REF!&lt;&gt;"",MOD(ROW(),2))</formula>
    </cfRule>
  </conditionalFormatting>
  <conditionalFormatting sqref="Y104">
    <cfRule type="expression" dxfId="2559" priority="502">
      <formula>AND(#REF!&lt;&gt;"",MOD(ROW(),2))</formula>
    </cfRule>
  </conditionalFormatting>
  <conditionalFormatting sqref="Y104">
    <cfRule type="cellIs" dxfId="2558" priority="499" operator="equal">
      <formula>#REF!</formula>
    </cfRule>
    <cfRule type="cellIs" dxfId="2557" priority="500" operator="greaterThan">
      <formula>#REF!</formula>
    </cfRule>
    <cfRule type="cellIs" dxfId="2556" priority="501" operator="lessThan">
      <formula>#REF!</formula>
    </cfRule>
  </conditionalFormatting>
  <conditionalFormatting sqref="Z104">
    <cfRule type="expression" dxfId="2555" priority="498">
      <formula>AND($A104&lt;&gt;"",MOD(ROW(),2))</formula>
    </cfRule>
  </conditionalFormatting>
  <conditionalFormatting sqref="W104">
    <cfRule type="expression" dxfId="2554" priority="497">
      <formula>AND($A104&lt;&gt;"",MOD(ROW(),2))</formula>
    </cfRule>
  </conditionalFormatting>
  <conditionalFormatting sqref="W104">
    <cfRule type="expression" dxfId="2553" priority="496">
      <formula>AND($A104&lt;&gt;"",MOD(ROW(),2))</formula>
    </cfRule>
  </conditionalFormatting>
  <conditionalFormatting sqref="H76">
    <cfRule type="expression" dxfId="2552" priority="495">
      <formula>AND($A76&lt;&gt;"",MOD(ROW(),2))</formula>
    </cfRule>
  </conditionalFormatting>
  <conditionalFormatting sqref="C77:D77">
    <cfRule type="expression" dxfId="2551" priority="494">
      <formula>AND($A77&lt;&gt;"",MOD(ROW(),2))</formula>
    </cfRule>
  </conditionalFormatting>
  <conditionalFormatting sqref="D77">
    <cfRule type="cellIs" dxfId="2550" priority="491" operator="equal">
      <formula>$C77</formula>
    </cfRule>
    <cfRule type="cellIs" dxfId="2549" priority="492" operator="greaterThan">
      <formula>$C77</formula>
    </cfRule>
    <cfRule type="cellIs" dxfId="2548" priority="493" operator="lessThan">
      <formula>$C77</formula>
    </cfRule>
  </conditionalFormatting>
  <conditionalFormatting sqref="C78:D78">
    <cfRule type="expression" dxfId="2547" priority="490">
      <formula>AND($A78&lt;&gt;"",MOD(ROW(),2))</formula>
    </cfRule>
  </conditionalFormatting>
  <conditionalFormatting sqref="D78">
    <cfRule type="cellIs" dxfId="2546" priority="487" operator="equal">
      <formula>$C78</formula>
    </cfRule>
    <cfRule type="cellIs" dxfId="2545" priority="488" operator="greaterThan">
      <formula>$C78</formula>
    </cfRule>
    <cfRule type="cellIs" dxfId="2544" priority="489" operator="lessThan">
      <formula>$C78</formula>
    </cfRule>
  </conditionalFormatting>
  <conditionalFormatting sqref="H77">
    <cfRule type="expression" dxfId="2543" priority="486">
      <formula>AND($A77&lt;&gt;"",MOD(ROW(),2))</formula>
    </cfRule>
  </conditionalFormatting>
  <conditionalFormatting sqref="I77">
    <cfRule type="expression" dxfId="2542" priority="485">
      <formula>AND($A77&lt;&gt;"",MOD(ROW(),2))</formula>
    </cfRule>
  </conditionalFormatting>
  <conditionalFormatting sqref="H78">
    <cfRule type="expression" dxfId="2541" priority="484">
      <formula>AND($A78&lt;&gt;"",MOD(ROW(),2))</formula>
    </cfRule>
  </conditionalFormatting>
  <conditionalFormatting sqref="I78">
    <cfRule type="expression" dxfId="2540" priority="483">
      <formula>AND($A78&lt;&gt;"",MOD(ROW(),2))</formula>
    </cfRule>
  </conditionalFormatting>
  <conditionalFormatting sqref="AD105">
    <cfRule type="expression" dxfId="2539" priority="482">
      <formula>AND($A105&lt;&gt;"",MOD(ROW(),2))</formula>
    </cfRule>
  </conditionalFormatting>
  <conditionalFormatting sqref="AD106">
    <cfRule type="expression" dxfId="2538" priority="481">
      <formula>AND($A106&lt;&gt;"",MOD(ROW(),2))</formula>
    </cfRule>
  </conditionalFormatting>
  <conditionalFormatting sqref="Y105">
    <cfRule type="expression" dxfId="2537" priority="480">
      <formula>AND($A105&lt;&gt;"",MOD(ROW(),2))</formula>
    </cfRule>
  </conditionalFormatting>
  <conditionalFormatting sqref="Y105">
    <cfRule type="expression" dxfId="2536" priority="479">
      <formula>AND(#REF!&lt;&gt;"",MOD(ROW(),2))</formula>
    </cfRule>
  </conditionalFormatting>
  <conditionalFormatting sqref="Y105">
    <cfRule type="expression" dxfId="2535" priority="478">
      <formula>AND(#REF!&lt;&gt;"",MOD(ROW(),2))</formula>
    </cfRule>
  </conditionalFormatting>
  <conditionalFormatting sqref="Y105">
    <cfRule type="cellIs" dxfId="2534" priority="475" operator="equal">
      <formula>#REF!</formula>
    </cfRule>
    <cfRule type="cellIs" dxfId="2533" priority="476" operator="greaterThan">
      <formula>#REF!</formula>
    </cfRule>
    <cfRule type="cellIs" dxfId="2532" priority="477" operator="lessThan">
      <formula>#REF!</formula>
    </cfRule>
  </conditionalFormatting>
  <conditionalFormatting sqref="Z105">
    <cfRule type="expression" dxfId="2531" priority="474">
      <formula>AND($A105&lt;&gt;"",MOD(ROW(),2))</formula>
    </cfRule>
  </conditionalFormatting>
  <conditionalFormatting sqref="W105">
    <cfRule type="expression" dxfId="2530" priority="473">
      <formula>AND($A105&lt;&gt;"",MOD(ROW(),2))</formula>
    </cfRule>
  </conditionalFormatting>
  <conditionalFormatting sqref="W105">
    <cfRule type="expression" dxfId="2529" priority="472">
      <formula>AND($A105&lt;&gt;"",MOD(ROW(),2))</formula>
    </cfRule>
  </conditionalFormatting>
  <conditionalFormatting sqref="Y106">
    <cfRule type="expression" dxfId="2528" priority="471">
      <formula>AND($A106&lt;&gt;"",MOD(ROW(),2))</formula>
    </cfRule>
  </conditionalFormatting>
  <conditionalFormatting sqref="Y106">
    <cfRule type="expression" dxfId="2527" priority="470">
      <formula>AND(#REF!&lt;&gt;"",MOD(ROW(),2))</formula>
    </cfRule>
  </conditionalFormatting>
  <conditionalFormatting sqref="Y106">
    <cfRule type="expression" dxfId="2526" priority="469">
      <formula>AND(#REF!&lt;&gt;"",MOD(ROW(),2))</formula>
    </cfRule>
  </conditionalFormatting>
  <conditionalFormatting sqref="Y106">
    <cfRule type="cellIs" dxfId="2525" priority="466" operator="equal">
      <formula>#REF!</formula>
    </cfRule>
    <cfRule type="cellIs" dxfId="2524" priority="467" operator="greaterThan">
      <formula>#REF!</formula>
    </cfRule>
    <cfRule type="cellIs" dxfId="2523" priority="468" operator="lessThan">
      <formula>#REF!</formula>
    </cfRule>
  </conditionalFormatting>
  <conditionalFormatting sqref="Z106">
    <cfRule type="expression" dxfId="2522" priority="465">
      <formula>AND($A106&lt;&gt;"",MOD(ROW(),2))</formula>
    </cfRule>
  </conditionalFormatting>
  <conditionalFormatting sqref="W106">
    <cfRule type="expression" dxfId="2521" priority="464">
      <formula>AND($A106&lt;&gt;"",MOD(ROW(),2))</formula>
    </cfRule>
  </conditionalFormatting>
  <conditionalFormatting sqref="W106">
    <cfRule type="expression" dxfId="2520" priority="463">
      <formula>AND($A106&lt;&gt;"",MOD(ROW(),2))</formula>
    </cfRule>
  </conditionalFormatting>
  <conditionalFormatting sqref="AD107">
    <cfRule type="expression" dxfId="2519" priority="462">
      <formula>AND($A107&lt;&gt;"",MOD(ROW(),2))</formula>
    </cfRule>
  </conditionalFormatting>
  <conditionalFormatting sqref="Y107">
    <cfRule type="expression" dxfId="2518" priority="461">
      <formula>AND($A107&lt;&gt;"",MOD(ROW(),2))</formula>
    </cfRule>
  </conditionalFormatting>
  <conditionalFormatting sqref="Y107">
    <cfRule type="expression" dxfId="2517" priority="460">
      <formula>AND(#REF!&lt;&gt;"",MOD(ROW(),2))</formula>
    </cfRule>
  </conditionalFormatting>
  <conditionalFormatting sqref="Y107">
    <cfRule type="expression" dxfId="2516" priority="459">
      <formula>AND(#REF!&lt;&gt;"",MOD(ROW(),2))</formula>
    </cfRule>
  </conditionalFormatting>
  <conditionalFormatting sqref="Y107">
    <cfRule type="cellIs" dxfId="2515" priority="456" operator="equal">
      <formula>#REF!</formula>
    </cfRule>
    <cfRule type="cellIs" dxfId="2514" priority="457" operator="greaterThan">
      <formula>#REF!</formula>
    </cfRule>
    <cfRule type="cellIs" dxfId="2513" priority="458" operator="lessThan">
      <formula>#REF!</formula>
    </cfRule>
  </conditionalFormatting>
  <conditionalFormatting sqref="Z107">
    <cfRule type="expression" dxfId="2512" priority="455">
      <formula>AND($A107&lt;&gt;"",MOD(ROW(),2))</formula>
    </cfRule>
  </conditionalFormatting>
  <conditionalFormatting sqref="W107">
    <cfRule type="expression" dxfId="2511" priority="454">
      <formula>AND($A107&lt;&gt;"",MOD(ROW(),2))</formula>
    </cfRule>
  </conditionalFormatting>
  <conditionalFormatting sqref="W107">
    <cfRule type="expression" dxfId="2510" priority="453">
      <formula>AND($A107&lt;&gt;"",MOD(ROW(),2))</formula>
    </cfRule>
  </conditionalFormatting>
  <conditionalFormatting sqref="AD108:AD110">
    <cfRule type="expression" dxfId="2509" priority="452">
      <formula>AND($A108&lt;&gt;"",MOD(ROW(),2))</formula>
    </cfRule>
  </conditionalFormatting>
  <conditionalFormatting sqref="Y108">
    <cfRule type="expression" dxfId="2508" priority="451">
      <formula>AND($A108&lt;&gt;"",MOD(ROW(),2))</formula>
    </cfRule>
  </conditionalFormatting>
  <conditionalFormatting sqref="Y108">
    <cfRule type="expression" dxfId="2507" priority="450">
      <formula>AND(#REF!&lt;&gt;"",MOD(ROW(),2))</formula>
    </cfRule>
  </conditionalFormatting>
  <conditionalFormatting sqref="Y108">
    <cfRule type="expression" dxfId="2506" priority="449">
      <formula>AND(#REF!&lt;&gt;"",MOD(ROW(),2))</formula>
    </cfRule>
  </conditionalFormatting>
  <conditionalFormatting sqref="Y108">
    <cfRule type="cellIs" dxfId="2505" priority="446" operator="equal">
      <formula>#REF!</formula>
    </cfRule>
    <cfRule type="cellIs" dxfId="2504" priority="447" operator="greaterThan">
      <formula>#REF!</formula>
    </cfRule>
    <cfRule type="cellIs" dxfId="2503" priority="448" operator="lessThan">
      <formula>#REF!</formula>
    </cfRule>
  </conditionalFormatting>
  <conditionalFormatting sqref="Z108">
    <cfRule type="expression" dxfId="2502" priority="445">
      <formula>AND($A108&lt;&gt;"",MOD(ROW(),2))</formula>
    </cfRule>
  </conditionalFormatting>
  <conditionalFormatting sqref="W108">
    <cfRule type="expression" dxfId="2501" priority="444">
      <formula>AND($A108&lt;&gt;"",MOD(ROW(),2))</formula>
    </cfRule>
  </conditionalFormatting>
  <conditionalFormatting sqref="W108">
    <cfRule type="expression" dxfId="2500" priority="443">
      <formula>AND($A108&lt;&gt;"",MOD(ROW(),2))</formula>
    </cfRule>
  </conditionalFormatting>
  <conditionalFormatting sqref="Y109">
    <cfRule type="expression" dxfId="2499" priority="442">
      <formula>AND($A109&lt;&gt;"",MOD(ROW(),2))</formula>
    </cfRule>
  </conditionalFormatting>
  <conditionalFormatting sqref="Y109">
    <cfRule type="expression" dxfId="2498" priority="441">
      <formula>AND(#REF!&lt;&gt;"",MOD(ROW(),2))</formula>
    </cfRule>
  </conditionalFormatting>
  <conditionalFormatting sqref="Y109">
    <cfRule type="expression" dxfId="2497" priority="440">
      <formula>AND(#REF!&lt;&gt;"",MOD(ROW(),2))</formula>
    </cfRule>
  </conditionalFormatting>
  <conditionalFormatting sqref="Y109">
    <cfRule type="cellIs" dxfId="2496" priority="437" operator="equal">
      <formula>#REF!</formula>
    </cfRule>
    <cfRule type="cellIs" dxfId="2495" priority="438" operator="greaterThan">
      <formula>#REF!</formula>
    </cfRule>
    <cfRule type="cellIs" dxfId="2494" priority="439" operator="lessThan">
      <formula>#REF!</formula>
    </cfRule>
  </conditionalFormatting>
  <conditionalFormatting sqref="Z109">
    <cfRule type="expression" dxfId="2493" priority="436">
      <formula>AND($A109&lt;&gt;"",MOD(ROW(),2))</formula>
    </cfRule>
  </conditionalFormatting>
  <conditionalFormatting sqref="W109">
    <cfRule type="expression" dxfId="2492" priority="435">
      <formula>AND($A109&lt;&gt;"",MOD(ROW(),2))</formula>
    </cfRule>
  </conditionalFormatting>
  <conditionalFormatting sqref="W109">
    <cfRule type="expression" dxfId="2491" priority="434">
      <formula>AND($A109&lt;&gt;"",MOD(ROW(),2))</formula>
    </cfRule>
  </conditionalFormatting>
  <conditionalFormatting sqref="Y110">
    <cfRule type="expression" dxfId="2490" priority="433">
      <formula>AND($A110&lt;&gt;"",MOD(ROW(),2))</formula>
    </cfRule>
  </conditionalFormatting>
  <conditionalFormatting sqref="Y110">
    <cfRule type="expression" dxfId="2489" priority="432">
      <formula>AND(#REF!&lt;&gt;"",MOD(ROW(),2))</formula>
    </cfRule>
  </conditionalFormatting>
  <conditionalFormatting sqref="Y110">
    <cfRule type="expression" dxfId="2488" priority="431">
      <formula>AND(#REF!&lt;&gt;"",MOD(ROW(),2))</formula>
    </cfRule>
  </conditionalFormatting>
  <conditionalFormatting sqref="Y110">
    <cfRule type="cellIs" dxfId="2487" priority="428" operator="equal">
      <formula>#REF!</formula>
    </cfRule>
    <cfRule type="cellIs" dxfId="2486" priority="429" operator="greaterThan">
      <formula>#REF!</formula>
    </cfRule>
    <cfRule type="cellIs" dxfId="2485" priority="430" operator="lessThan">
      <formula>#REF!</formula>
    </cfRule>
  </conditionalFormatting>
  <conditionalFormatting sqref="Z110">
    <cfRule type="expression" dxfId="2484" priority="427">
      <formula>AND($A110&lt;&gt;"",MOD(ROW(),2))</formula>
    </cfRule>
  </conditionalFormatting>
  <conditionalFormatting sqref="W110">
    <cfRule type="expression" dxfId="2483" priority="426">
      <formula>AND($A110&lt;&gt;"",MOD(ROW(),2))</formula>
    </cfRule>
  </conditionalFormatting>
  <conditionalFormatting sqref="W110">
    <cfRule type="expression" dxfId="2482" priority="425">
      <formula>AND($A110&lt;&gt;"",MOD(ROW(),2))</formula>
    </cfRule>
  </conditionalFormatting>
  <conditionalFormatting sqref="AD111">
    <cfRule type="expression" dxfId="2481" priority="424">
      <formula>AND($A111&lt;&gt;"",MOD(ROW(),2))</formula>
    </cfRule>
  </conditionalFormatting>
  <conditionalFormatting sqref="AD112">
    <cfRule type="expression" dxfId="2480" priority="423">
      <formula>AND($A112&lt;&gt;"",MOD(ROW(),2))</formula>
    </cfRule>
  </conditionalFormatting>
  <conditionalFormatting sqref="Y111">
    <cfRule type="expression" dxfId="2479" priority="422">
      <formula>AND($A111&lt;&gt;"",MOD(ROW(),2))</formula>
    </cfRule>
  </conditionalFormatting>
  <conditionalFormatting sqref="Y111">
    <cfRule type="expression" dxfId="2478" priority="421">
      <formula>AND(#REF!&lt;&gt;"",MOD(ROW(),2))</formula>
    </cfRule>
  </conditionalFormatting>
  <conditionalFormatting sqref="Y111">
    <cfRule type="expression" dxfId="2477" priority="420">
      <formula>AND(#REF!&lt;&gt;"",MOD(ROW(),2))</formula>
    </cfRule>
  </conditionalFormatting>
  <conditionalFormatting sqref="Y111">
    <cfRule type="cellIs" dxfId="2476" priority="417" operator="equal">
      <formula>#REF!</formula>
    </cfRule>
    <cfRule type="cellIs" dxfId="2475" priority="418" operator="greaterThan">
      <formula>#REF!</formula>
    </cfRule>
    <cfRule type="cellIs" dxfId="2474" priority="419" operator="lessThan">
      <formula>#REF!</formula>
    </cfRule>
  </conditionalFormatting>
  <conditionalFormatting sqref="Z111">
    <cfRule type="expression" dxfId="2473" priority="416">
      <formula>AND($A111&lt;&gt;"",MOD(ROW(),2))</formula>
    </cfRule>
  </conditionalFormatting>
  <conditionalFormatting sqref="W111">
    <cfRule type="expression" dxfId="2472" priority="415">
      <formula>AND($A111&lt;&gt;"",MOD(ROW(),2))</formula>
    </cfRule>
  </conditionalFormatting>
  <conditionalFormatting sqref="W111">
    <cfRule type="expression" dxfId="2471" priority="414">
      <formula>AND($A111&lt;&gt;"",MOD(ROW(),2))</formula>
    </cfRule>
  </conditionalFormatting>
  <conditionalFormatting sqref="Y112">
    <cfRule type="expression" dxfId="2470" priority="413">
      <formula>AND($A112&lt;&gt;"",MOD(ROW(),2))</formula>
    </cfRule>
  </conditionalFormatting>
  <conditionalFormatting sqref="Y112">
    <cfRule type="expression" dxfId="2469" priority="412">
      <formula>AND(#REF!&lt;&gt;"",MOD(ROW(),2))</formula>
    </cfRule>
  </conditionalFormatting>
  <conditionalFormatting sqref="Y112">
    <cfRule type="expression" dxfId="2468" priority="411">
      <formula>AND(#REF!&lt;&gt;"",MOD(ROW(),2))</formula>
    </cfRule>
  </conditionalFormatting>
  <conditionalFormatting sqref="Y112">
    <cfRule type="cellIs" dxfId="2467" priority="408" operator="equal">
      <formula>#REF!</formula>
    </cfRule>
    <cfRule type="cellIs" dxfId="2466" priority="409" operator="greaterThan">
      <formula>#REF!</formula>
    </cfRule>
    <cfRule type="cellIs" dxfId="2465" priority="410" operator="lessThan">
      <formula>#REF!</formula>
    </cfRule>
  </conditionalFormatting>
  <conditionalFormatting sqref="Z112">
    <cfRule type="expression" dxfId="2464" priority="407">
      <formula>AND($A112&lt;&gt;"",MOD(ROW(),2))</formula>
    </cfRule>
  </conditionalFormatting>
  <conditionalFormatting sqref="W112">
    <cfRule type="expression" dxfId="2463" priority="406">
      <formula>AND($A112&lt;&gt;"",MOD(ROW(),2))</formula>
    </cfRule>
  </conditionalFormatting>
  <conditionalFormatting sqref="W112">
    <cfRule type="expression" dxfId="2462" priority="405">
      <formula>AND($A112&lt;&gt;"",MOD(ROW(),2))</formula>
    </cfRule>
  </conditionalFormatting>
  <conditionalFormatting sqref="H79">
    <cfRule type="expression" dxfId="2461" priority="404">
      <formula>AND($A79&lt;&gt;"",MOD(ROW(),2))</formula>
    </cfRule>
  </conditionalFormatting>
  <conditionalFormatting sqref="I79">
    <cfRule type="expression" dxfId="2460" priority="403">
      <formula>AND($A79&lt;&gt;"",MOD(ROW(),2))</formula>
    </cfRule>
  </conditionalFormatting>
  <conditionalFormatting sqref="C79:D79">
    <cfRule type="expression" dxfId="2459" priority="402">
      <formula>AND($A79&lt;&gt;"",MOD(ROW(),2))</formula>
    </cfRule>
  </conditionalFormatting>
  <conditionalFormatting sqref="D79">
    <cfRule type="cellIs" dxfId="2458" priority="399" operator="equal">
      <formula>$C79</formula>
    </cfRule>
    <cfRule type="cellIs" dxfId="2457" priority="400" operator="greaterThan">
      <formula>$C79</formula>
    </cfRule>
    <cfRule type="cellIs" dxfId="2456" priority="401" operator="lessThan">
      <formula>$C79</formula>
    </cfRule>
  </conditionalFormatting>
  <conditionalFormatting sqref="AD113">
    <cfRule type="expression" dxfId="2455" priority="398">
      <formula>AND($A113&lt;&gt;"",MOD(ROW(),2))</formula>
    </cfRule>
  </conditionalFormatting>
  <conditionalFormatting sqref="AD114">
    <cfRule type="expression" dxfId="2454" priority="397">
      <formula>AND($A114&lt;&gt;"",MOD(ROW(),2))</formula>
    </cfRule>
  </conditionalFormatting>
  <conditionalFormatting sqref="Y113">
    <cfRule type="expression" dxfId="2453" priority="396">
      <formula>AND($A113&lt;&gt;"",MOD(ROW(),2))</formula>
    </cfRule>
  </conditionalFormatting>
  <conditionalFormatting sqref="Y113">
    <cfRule type="expression" dxfId="2452" priority="395">
      <formula>AND(#REF!&lt;&gt;"",MOD(ROW(),2))</formula>
    </cfRule>
  </conditionalFormatting>
  <conditionalFormatting sqref="Y113">
    <cfRule type="expression" dxfId="2451" priority="394">
      <formula>AND(#REF!&lt;&gt;"",MOD(ROW(),2))</formula>
    </cfRule>
  </conditionalFormatting>
  <conditionalFormatting sqref="Y113">
    <cfRule type="cellIs" dxfId="2450" priority="391" operator="equal">
      <formula>#REF!</formula>
    </cfRule>
    <cfRule type="cellIs" dxfId="2449" priority="392" operator="greaterThan">
      <formula>#REF!</formula>
    </cfRule>
    <cfRule type="cellIs" dxfId="2448" priority="393" operator="lessThan">
      <formula>#REF!</formula>
    </cfRule>
  </conditionalFormatting>
  <conditionalFormatting sqref="Z113">
    <cfRule type="expression" dxfId="2447" priority="390">
      <formula>AND($A113&lt;&gt;"",MOD(ROW(),2))</formula>
    </cfRule>
  </conditionalFormatting>
  <conditionalFormatting sqref="W113">
    <cfRule type="expression" dxfId="2446" priority="389">
      <formula>AND($A113&lt;&gt;"",MOD(ROW(),2))</formula>
    </cfRule>
  </conditionalFormatting>
  <conditionalFormatting sqref="W113">
    <cfRule type="expression" dxfId="2445" priority="388">
      <formula>AND($A113&lt;&gt;"",MOD(ROW(),2))</formula>
    </cfRule>
  </conditionalFormatting>
  <conditionalFormatting sqref="Y114">
    <cfRule type="expression" dxfId="2444" priority="387">
      <formula>AND($A114&lt;&gt;"",MOD(ROW(),2))</formula>
    </cfRule>
  </conditionalFormatting>
  <conditionalFormatting sqref="Y114">
    <cfRule type="expression" dxfId="2443" priority="386">
      <formula>AND(#REF!&lt;&gt;"",MOD(ROW(),2))</formula>
    </cfRule>
  </conditionalFormatting>
  <conditionalFormatting sqref="Y114">
    <cfRule type="expression" dxfId="2442" priority="385">
      <formula>AND(#REF!&lt;&gt;"",MOD(ROW(),2))</formula>
    </cfRule>
  </conditionalFormatting>
  <conditionalFormatting sqref="Y114">
    <cfRule type="cellIs" dxfId="2441" priority="382" operator="equal">
      <formula>#REF!</formula>
    </cfRule>
    <cfRule type="cellIs" dxfId="2440" priority="383" operator="greaterThan">
      <formula>#REF!</formula>
    </cfRule>
    <cfRule type="cellIs" dxfId="2439" priority="384" operator="lessThan">
      <formula>#REF!</formula>
    </cfRule>
  </conditionalFormatting>
  <conditionalFormatting sqref="Z114">
    <cfRule type="expression" dxfId="2438" priority="381">
      <formula>AND($A114&lt;&gt;"",MOD(ROW(),2))</formula>
    </cfRule>
  </conditionalFormatting>
  <conditionalFormatting sqref="W114">
    <cfRule type="expression" dxfId="2437" priority="380">
      <formula>AND($A114&lt;&gt;"",MOD(ROW(),2))</formula>
    </cfRule>
  </conditionalFormatting>
  <conditionalFormatting sqref="W114">
    <cfRule type="expression" dxfId="2436" priority="379">
      <formula>AND($A114&lt;&gt;"",MOD(ROW(),2))</formula>
    </cfRule>
  </conditionalFormatting>
  <conditionalFormatting sqref="AD115">
    <cfRule type="expression" dxfId="2435" priority="378">
      <formula>AND($A115&lt;&gt;"",MOD(ROW(),2))</formula>
    </cfRule>
  </conditionalFormatting>
  <conditionalFormatting sqref="Y115">
    <cfRule type="expression" dxfId="2434" priority="377">
      <formula>AND($A115&lt;&gt;"",MOD(ROW(),2))</formula>
    </cfRule>
  </conditionalFormatting>
  <conditionalFormatting sqref="Y115">
    <cfRule type="expression" dxfId="2433" priority="376">
      <formula>AND(#REF!&lt;&gt;"",MOD(ROW(),2))</formula>
    </cfRule>
  </conditionalFormatting>
  <conditionalFormatting sqref="Y115">
    <cfRule type="expression" dxfId="2432" priority="375">
      <formula>AND(#REF!&lt;&gt;"",MOD(ROW(),2))</formula>
    </cfRule>
  </conditionalFormatting>
  <conditionalFormatting sqref="Y115">
    <cfRule type="cellIs" dxfId="2431" priority="372" operator="equal">
      <formula>#REF!</formula>
    </cfRule>
    <cfRule type="cellIs" dxfId="2430" priority="373" operator="greaterThan">
      <formula>#REF!</formula>
    </cfRule>
    <cfRule type="cellIs" dxfId="2429" priority="374" operator="lessThan">
      <formula>#REF!</formula>
    </cfRule>
  </conditionalFormatting>
  <conditionalFormatting sqref="Z115">
    <cfRule type="expression" dxfId="2428" priority="371">
      <formula>AND($A115&lt;&gt;"",MOD(ROW(),2))</formula>
    </cfRule>
  </conditionalFormatting>
  <conditionalFormatting sqref="W115">
    <cfRule type="expression" dxfId="2427" priority="370">
      <formula>AND($A115&lt;&gt;"",MOD(ROW(),2))</formula>
    </cfRule>
  </conditionalFormatting>
  <conditionalFormatting sqref="W115">
    <cfRule type="expression" dxfId="2426" priority="369">
      <formula>AND($A115&lt;&gt;"",MOD(ROW(),2))</formula>
    </cfRule>
  </conditionalFormatting>
  <conditionalFormatting sqref="AD116">
    <cfRule type="expression" dxfId="2425" priority="368">
      <formula>AND($A116&lt;&gt;"",MOD(ROW(),2))</formula>
    </cfRule>
  </conditionalFormatting>
  <conditionalFormatting sqref="Y116">
    <cfRule type="expression" dxfId="2424" priority="367">
      <formula>AND($A116&lt;&gt;"",MOD(ROW(),2))</formula>
    </cfRule>
  </conditionalFormatting>
  <conditionalFormatting sqref="Y116">
    <cfRule type="expression" dxfId="2423" priority="366">
      <formula>AND(#REF!&lt;&gt;"",MOD(ROW(),2))</formula>
    </cfRule>
  </conditionalFormatting>
  <conditionalFormatting sqref="Y116">
    <cfRule type="expression" dxfId="2422" priority="365">
      <formula>AND(#REF!&lt;&gt;"",MOD(ROW(),2))</formula>
    </cfRule>
  </conditionalFormatting>
  <conditionalFormatting sqref="Y116">
    <cfRule type="cellIs" dxfId="2421" priority="362" operator="equal">
      <formula>#REF!</formula>
    </cfRule>
    <cfRule type="cellIs" dxfId="2420" priority="363" operator="greaterThan">
      <formula>#REF!</formula>
    </cfRule>
    <cfRule type="cellIs" dxfId="2419" priority="364" operator="lessThan">
      <formula>#REF!</formula>
    </cfRule>
  </conditionalFormatting>
  <conditionalFormatting sqref="Z116">
    <cfRule type="expression" dxfId="2418" priority="361">
      <formula>AND($A116&lt;&gt;"",MOD(ROW(),2))</formula>
    </cfRule>
  </conditionalFormatting>
  <conditionalFormatting sqref="W116">
    <cfRule type="expression" dxfId="2417" priority="360">
      <formula>AND($A116&lt;&gt;"",MOD(ROW(),2))</formula>
    </cfRule>
  </conditionalFormatting>
  <conditionalFormatting sqref="W116">
    <cfRule type="expression" dxfId="2416" priority="359">
      <formula>AND($A116&lt;&gt;"",MOD(ROW(),2))</formula>
    </cfRule>
  </conditionalFormatting>
  <conditionalFormatting sqref="AD117">
    <cfRule type="expression" dxfId="2415" priority="358">
      <formula>AND($A117&lt;&gt;"",MOD(ROW(),2))</formula>
    </cfRule>
  </conditionalFormatting>
  <conditionalFormatting sqref="Y117">
    <cfRule type="expression" dxfId="2414" priority="357">
      <formula>AND($A117&lt;&gt;"",MOD(ROW(),2))</formula>
    </cfRule>
  </conditionalFormatting>
  <conditionalFormatting sqref="Y117">
    <cfRule type="expression" dxfId="2413" priority="356">
      <formula>AND(#REF!&lt;&gt;"",MOD(ROW(),2))</formula>
    </cfRule>
  </conditionalFormatting>
  <conditionalFormatting sqref="Y117">
    <cfRule type="expression" dxfId="2412" priority="355">
      <formula>AND(#REF!&lt;&gt;"",MOD(ROW(),2))</formula>
    </cfRule>
  </conditionalFormatting>
  <conditionalFormatting sqref="Y117">
    <cfRule type="cellIs" dxfId="2411" priority="352" operator="equal">
      <formula>#REF!</formula>
    </cfRule>
    <cfRule type="cellIs" dxfId="2410" priority="353" operator="greaterThan">
      <formula>#REF!</formula>
    </cfRule>
    <cfRule type="cellIs" dxfId="2409" priority="354" operator="lessThan">
      <formula>#REF!</formula>
    </cfRule>
  </conditionalFormatting>
  <conditionalFormatting sqref="Z117">
    <cfRule type="expression" dxfId="2408" priority="351">
      <formula>AND($A117&lt;&gt;"",MOD(ROW(),2))</formula>
    </cfRule>
  </conditionalFormatting>
  <conditionalFormatting sqref="W117">
    <cfRule type="expression" dxfId="2407" priority="350">
      <formula>AND($A117&lt;&gt;"",MOD(ROW(),2))</formula>
    </cfRule>
  </conditionalFormatting>
  <conditionalFormatting sqref="W117">
    <cfRule type="expression" dxfId="2406" priority="349">
      <formula>AND($A117&lt;&gt;"",MOD(ROW(),2))</formula>
    </cfRule>
  </conditionalFormatting>
  <conditionalFormatting sqref="AD118">
    <cfRule type="expression" dxfId="2405" priority="348">
      <formula>AND($A118&lt;&gt;"",MOD(ROW(),2))</formula>
    </cfRule>
  </conditionalFormatting>
  <conditionalFormatting sqref="Y118">
    <cfRule type="expression" dxfId="2404" priority="347">
      <formula>AND($A118&lt;&gt;"",MOD(ROW(),2))</formula>
    </cfRule>
  </conditionalFormatting>
  <conditionalFormatting sqref="Y118">
    <cfRule type="expression" dxfId="2403" priority="346">
      <formula>AND(#REF!&lt;&gt;"",MOD(ROW(),2))</formula>
    </cfRule>
  </conditionalFormatting>
  <conditionalFormatting sqref="Y118">
    <cfRule type="expression" dxfId="2402" priority="345">
      <formula>AND(#REF!&lt;&gt;"",MOD(ROW(),2))</formula>
    </cfRule>
  </conditionalFormatting>
  <conditionalFormatting sqref="Y118">
    <cfRule type="cellIs" dxfId="2401" priority="342" operator="equal">
      <formula>#REF!</formula>
    </cfRule>
    <cfRule type="cellIs" dxfId="2400" priority="343" operator="greaterThan">
      <formula>#REF!</formula>
    </cfRule>
    <cfRule type="cellIs" dxfId="2399" priority="344" operator="lessThan">
      <formula>#REF!</formula>
    </cfRule>
  </conditionalFormatting>
  <conditionalFormatting sqref="Z118">
    <cfRule type="expression" dxfId="2398" priority="341">
      <formula>AND($A118&lt;&gt;"",MOD(ROW(),2))</formula>
    </cfRule>
  </conditionalFormatting>
  <conditionalFormatting sqref="W118">
    <cfRule type="expression" dxfId="2397" priority="340">
      <formula>AND($A118&lt;&gt;"",MOD(ROW(),2))</formula>
    </cfRule>
  </conditionalFormatting>
  <conditionalFormatting sqref="W118">
    <cfRule type="expression" dxfId="2396" priority="339">
      <formula>AND($A118&lt;&gt;"",MOD(ROW(),2))</formula>
    </cfRule>
  </conditionalFormatting>
  <conditionalFormatting sqref="AD119">
    <cfRule type="expression" dxfId="2395" priority="338">
      <formula>AND($A119&lt;&gt;"",MOD(ROW(),2))</formula>
    </cfRule>
  </conditionalFormatting>
  <conditionalFormatting sqref="Y119">
    <cfRule type="expression" dxfId="2394" priority="337">
      <formula>AND($A119&lt;&gt;"",MOD(ROW(),2))</formula>
    </cfRule>
  </conditionalFormatting>
  <conditionalFormatting sqref="Y119">
    <cfRule type="expression" dxfId="2393" priority="336">
      <formula>AND(#REF!&lt;&gt;"",MOD(ROW(),2))</formula>
    </cfRule>
  </conditionalFormatting>
  <conditionalFormatting sqref="Y119">
    <cfRule type="expression" dxfId="2392" priority="335">
      <formula>AND(#REF!&lt;&gt;"",MOD(ROW(),2))</formula>
    </cfRule>
  </conditionalFormatting>
  <conditionalFormatting sqref="Y119">
    <cfRule type="cellIs" dxfId="2391" priority="332" operator="equal">
      <formula>#REF!</formula>
    </cfRule>
    <cfRule type="cellIs" dxfId="2390" priority="333" operator="greaterThan">
      <formula>#REF!</formula>
    </cfRule>
    <cfRule type="cellIs" dxfId="2389" priority="334" operator="lessThan">
      <formula>#REF!</formula>
    </cfRule>
  </conditionalFormatting>
  <conditionalFormatting sqref="Z119">
    <cfRule type="expression" dxfId="2388" priority="331">
      <formula>AND($A119&lt;&gt;"",MOD(ROW(),2))</formula>
    </cfRule>
  </conditionalFormatting>
  <conditionalFormatting sqref="W119">
    <cfRule type="expression" dxfId="2387" priority="330">
      <formula>AND($A119&lt;&gt;"",MOD(ROW(),2))</formula>
    </cfRule>
  </conditionalFormatting>
  <conditionalFormatting sqref="W119">
    <cfRule type="expression" dxfId="2386" priority="329">
      <formula>AND($A119&lt;&gt;"",MOD(ROW(),2))</formula>
    </cfRule>
  </conditionalFormatting>
  <conditionalFormatting sqref="AD120:AD248">
    <cfRule type="expression" dxfId="2385" priority="328">
      <formula>AND($A120&lt;&gt;"",MOD(ROW(),2))</formula>
    </cfRule>
  </conditionalFormatting>
  <conditionalFormatting sqref="Y120">
    <cfRule type="expression" dxfId="2384" priority="327">
      <formula>AND($A120&lt;&gt;"",MOD(ROW(),2))</formula>
    </cfRule>
  </conditionalFormatting>
  <conditionalFormatting sqref="Y120">
    <cfRule type="expression" dxfId="2383" priority="326">
      <formula>AND(#REF!&lt;&gt;"",MOD(ROW(),2))</formula>
    </cfRule>
  </conditionalFormatting>
  <conditionalFormatting sqref="Y120">
    <cfRule type="expression" dxfId="2382" priority="325">
      <formula>AND(#REF!&lt;&gt;"",MOD(ROW(),2))</formula>
    </cfRule>
  </conditionalFormatting>
  <conditionalFormatting sqref="Y120">
    <cfRule type="cellIs" dxfId="2381" priority="322" operator="equal">
      <formula>#REF!</formula>
    </cfRule>
    <cfRule type="cellIs" dxfId="2380" priority="323" operator="greaterThan">
      <formula>#REF!</formula>
    </cfRule>
    <cfRule type="cellIs" dxfId="2379" priority="324" operator="lessThan">
      <formula>#REF!</formula>
    </cfRule>
  </conditionalFormatting>
  <conditionalFormatting sqref="Z120">
    <cfRule type="expression" dxfId="2378" priority="321">
      <formula>AND($A120&lt;&gt;"",MOD(ROW(),2))</formula>
    </cfRule>
  </conditionalFormatting>
  <conditionalFormatting sqref="W120">
    <cfRule type="expression" dxfId="2377" priority="320">
      <formula>AND($A120&lt;&gt;"",MOD(ROW(),2))</formula>
    </cfRule>
  </conditionalFormatting>
  <conditionalFormatting sqref="W120">
    <cfRule type="expression" dxfId="2376" priority="319">
      <formula>AND($A120&lt;&gt;"",MOD(ROW(),2))</formula>
    </cfRule>
  </conditionalFormatting>
  <conditionalFormatting sqref="Y121">
    <cfRule type="expression" dxfId="2375" priority="318">
      <formula>AND($A121&lt;&gt;"",MOD(ROW(),2))</formula>
    </cfRule>
  </conditionalFormatting>
  <conditionalFormatting sqref="Y121">
    <cfRule type="expression" dxfId="2374" priority="317">
      <formula>AND(#REF!&lt;&gt;"",MOD(ROW(),2))</formula>
    </cfRule>
  </conditionalFormatting>
  <conditionalFormatting sqref="Y121">
    <cfRule type="expression" dxfId="2373" priority="316">
      <formula>AND(#REF!&lt;&gt;"",MOD(ROW(),2))</formula>
    </cfRule>
  </conditionalFormatting>
  <conditionalFormatting sqref="Y121">
    <cfRule type="cellIs" dxfId="2372" priority="313" operator="equal">
      <formula>#REF!</formula>
    </cfRule>
    <cfRule type="cellIs" dxfId="2371" priority="314" operator="greaterThan">
      <formula>#REF!</formula>
    </cfRule>
    <cfRule type="cellIs" dxfId="2370" priority="315" operator="lessThan">
      <formula>#REF!</formula>
    </cfRule>
  </conditionalFormatting>
  <conditionalFormatting sqref="Z121">
    <cfRule type="expression" dxfId="2369" priority="312">
      <formula>AND($A121&lt;&gt;"",MOD(ROW(),2))</formula>
    </cfRule>
  </conditionalFormatting>
  <conditionalFormatting sqref="W121">
    <cfRule type="expression" dxfId="2368" priority="311">
      <formula>AND($A121&lt;&gt;"",MOD(ROW(),2))</formula>
    </cfRule>
  </conditionalFormatting>
  <conditionalFormatting sqref="W121">
    <cfRule type="expression" dxfId="2367" priority="310">
      <formula>AND($A121&lt;&gt;"",MOD(ROW(),2))</formula>
    </cfRule>
  </conditionalFormatting>
  <conditionalFormatting sqref="Y122">
    <cfRule type="expression" dxfId="2366" priority="309">
      <formula>AND($A122&lt;&gt;"",MOD(ROW(),2))</formula>
    </cfRule>
  </conditionalFormatting>
  <conditionalFormatting sqref="Y122">
    <cfRule type="expression" dxfId="2365" priority="308">
      <formula>AND(#REF!&lt;&gt;"",MOD(ROW(),2))</formula>
    </cfRule>
  </conditionalFormatting>
  <conditionalFormatting sqref="Y122">
    <cfRule type="expression" dxfId="2364" priority="307">
      <formula>AND(#REF!&lt;&gt;"",MOD(ROW(),2))</formula>
    </cfRule>
  </conditionalFormatting>
  <conditionalFormatting sqref="Y122">
    <cfRule type="cellIs" dxfId="2363" priority="304" operator="equal">
      <formula>#REF!</formula>
    </cfRule>
    <cfRule type="cellIs" dxfId="2362" priority="305" operator="greaterThan">
      <formula>#REF!</formula>
    </cfRule>
    <cfRule type="cellIs" dxfId="2361" priority="306" operator="lessThan">
      <formula>#REF!</formula>
    </cfRule>
  </conditionalFormatting>
  <conditionalFormatting sqref="Z122">
    <cfRule type="expression" dxfId="2360" priority="303">
      <formula>AND($A122&lt;&gt;"",MOD(ROW(),2))</formula>
    </cfRule>
  </conditionalFormatting>
  <conditionalFormatting sqref="W122">
    <cfRule type="expression" dxfId="2359" priority="302">
      <formula>AND($A122&lt;&gt;"",MOD(ROW(),2))</formula>
    </cfRule>
  </conditionalFormatting>
  <conditionalFormatting sqref="W122">
    <cfRule type="expression" dxfId="2358" priority="301">
      <formula>AND($A122&lt;&gt;"",MOD(ROW(),2))</formula>
    </cfRule>
  </conditionalFormatting>
  <conditionalFormatting sqref="Y123">
    <cfRule type="expression" dxfId="2357" priority="300">
      <formula>AND($A123&lt;&gt;"",MOD(ROW(),2))</formula>
    </cfRule>
  </conditionalFormatting>
  <conditionalFormatting sqref="Y123">
    <cfRule type="expression" dxfId="2356" priority="299">
      <formula>AND(#REF!&lt;&gt;"",MOD(ROW(),2))</formula>
    </cfRule>
  </conditionalFormatting>
  <conditionalFormatting sqref="Y123">
    <cfRule type="expression" dxfId="2355" priority="298">
      <formula>AND(#REF!&lt;&gt;"",MOD(ROW(),2))</formula>
    </cfRule>
  </conditionalFormatting>
  <conditionalFormatting sqref="Y123">
    <cfRule type="cellIs" dxfId="2354" priority="295" operator="equal">
      <formula>#REF!</formula>
    </cfRule>
    <cfRule type="cellIs" dxfId="2353" priority="296" operator="greaterThan">
      <formula>#REF!</formula>
    </cfRule>
    <cfRule type="cellIs" dxfId="2352" priority="297" operator="lessThan">
      <formula>#REF!</formula>
    </cfRule>
  </conditionalFormatting>
  <conditionalFormatting sqref="Z123">
    <cfRule type="expression" dxfId="2351" priority="294">
      <formula>AND($A123&lt;&gt;"",MOD(ROW(),2))</formula>
    </cfRule>
  </conditionalFormatting>
  <conditionalFormatting sqref="W123">
    <cfRule type="expression" dxfId="2350" priority="293">
      <formula>AND($A123&lt;&gt;"",MOD(ROW(),2))</formula>
    </cfRule>
  </conditionalFormatting>
  <conditionalFormatting sqref="W123">
    <cfRule type="expression" dxfId="2349" priority="292">
      <formula>AND($A123&lt;&gt;"",MOD(ROW(),2))</formula>
    </cfRule>
  </conditionalFormatting>
  <conditionalFormatting sqref="Y124">
    <cfRule type="expression" dxfId="2348" priority="291">
      <formula>AND($A124&lt;&gt;"",MOD(ROW(),2))</formula>
    </cfRule>
  </conditionalFormatting>
  <conditionalFormatting sqref="Y124">
    <cfRule type="expression" dxfId="2347" priority="290">
      <formula>AND(#REF!&lt;&gt;"",MOD(ROW(),2))</formula>
    </cfRule>
  </conditionalFormatting>
  <conditionalFormatting sqref="Y124">
    <cfRule type="expression" dxfId="2346" priority="289">
      <formula>AND(#REF!&lt;&gt;"",MOD(ROW(),2))</formula>
    </cfRule>
  </conditionalFormatting>
  <conditionalFormatting sqref="Y124">
    <cfRule type="cellIs" dxfId="2345" priority="286" operator="equal">
      <formula>#REF!</formula>
    </cfRule>
    <cfRule type="cellIs" dxfId="2344" priority="287" operator="greaterThan">
      <formula>#REF!</formula>
    </cfRule>
    <cfRule type="cellIs" dxfId="2343" priority="288" operator="lessThan">
      <formula>#REF!</formula>
    </cfRule>
  </conditionalFormatting>
  <conditionalFormatting sqref="Z124">
    <cfRule type="expression" dxfId="2342" priority="285">
      <formula>AND($A124&lt;&gt;"",MOD(ROW(),2))</formula>
    </cfRule>
  </conditionalFormatting>
  <conditionalFormatting sqref="W124">
    <cfRule type="expression" dxfId="2341" priority="284">
      <formula>AND($A124&lt;&gt;"",MOD(ROW(),2))</formula>
    </cfRule>
  </conditionalFormatting>
  <conditionalFormatting sqref="W124">
    <cfRule type="expression" dxfId="2340" priority="283">
      <formula>AND($A124&lt;&gt;"",MOD(ROW(),2))</formula>
    </cfRule>
  </conditionalFormatting>
  <conditionalFormatting sqref="Y125">
    <cfRule type="expression" dxfId="2339" priority="282">
      <formula>AND($A125&lt;&gt;"",MOD(ROW(),2))</formula>
    </cfRule>
  </conditionalFormatting>
  <conditionalFormatting sqref="Y125">
    <cfRule type="expression" dxfId="2338" priority="281">
      <formula>AND(#REF!&lt;&gt;"",MOD(ROW(),2))</formula>
    </cfRule>
  </conditionalFormatting>
  <conditionalFormatting sqref="Y125">
    <cfRule type="expression" dxfId="2337" priority="280">
      <formula>AND(#REF!&lt;&gt;"",MOD(ROW(),2))</formula>
    </cfRule>
  </conditionalFormatting>
  <conditionalFormatting sqref="Y125">
    <cfRule type="cellIs" dxfId="2336" priority="277" operator="equal">
      <formula>#REF!</formula>
    </cfRule>
    <cfRule type="cellIs" dxfId="2335" priority="278" operator="greaterThan">
      <formula>#REF!</formula>
    </cfRule>
    <cfRule type="cellIs" dxfId="2334" priority="279" operator="lessThan">
      <formula>#REF!</formula>
    </cfRule>
  </conditionalFormatting>
  <conditionalFormatting sqref="Z125">
    <cfRule type="expression" dxfId="2333" priority="276">
      <formula>AND($A125&lt;&gt;"",MOD(ROW(),2))</formula>
    </cfRule>
  </conditionalFormatting>
  <conditionalFormatting sqref="W125">
    <cfRule type="expression" dxfId="2332" priority="275">
      <formula>AND($A125&lt;&gt;"",MOD(ROW(),2))</formula>
    </cfRule>
  </conditionalFormatting>
  <conditionalFormatting sqref="W125">
    <cfRule type="expression" dxfId="2331" priority="274">
      <formula>AND($A125&lt;&gt;"",MOD(ROW(),2))</formula>
    </cfRule>
  </conditionalFormatting>
  <conditionalFormatting sqref="Y126">
    <cfRule type="expression" dxfId="2330" priority="273">
      <formula>AND($A126&lt;&gt;"",MOD(ROW(),2))</formula>
    </cfRule>
  </conditionalFormatting>
  <conditionalFormatting sqref="Y126">
    <cfRule type="expression" dxfId="2329" priority="272">
      <formula>AND(#REF!&lt;&gt;"",MOD(ROW(),2))</formula>
    </cfRule>
  </conditionalFormatting>
  <conditionalFormatting sqref="Y126">
    <cfRule type="expression" dxfId="2328" priority="271">
      <formula>AND(#REF!&lt;&gt;"",MOD(ROW(),2))</formula>
    </cfRule>
  </conditionalFormatting>
  <conditionalFormatting sqref="Y126">
    <cfRule type="cellIs" dxfId="2327" priority="268" operator="equal">
      <formula>#REF!</formula>
    </cfRule>
    <cfRule type="cellIs" dxfId="2326" priority="269" operator="greaterThan">
      <formula>#REF!</formula>
    </cfRule>
    <cfRule type="cellIs" dxfId="2325" priority="270" operator="lessThan">
      <formula>#REF!</formula>
    </cfRule>
  </conditionalFormatting>
  <conditionalFormatting sqref="Z126">
    <cfRule type="expression" dxfId="2324" priority="267">
      <formula>AND($A126&lt;&gt;"",MOD(ROW(),2))</formula>
    </cfRule>
  </conditionalFormatting>
  <conditionalFormatting sqref="W126">
    <cfRule type="expression" dxfId="2323" priority="266">
      <formula>AND($A126&lt;&gt;"",MOD(ROW(),2))</formula>
    </cfRule>
  </conditionalFormatting>
  <conditionalFormatting sqref="W126">
    <cfRule type="expression" dxfId="2322" priority="265">
      <formula>AND($A126&lt;&gt;"",MOD(ROW(),2))</formula>
    </cfRule>
  </conditionalFormatting>
  <conditionalFormatting sqref="Y127">
    <cfRule type="expression" dxfId="2321" priority="264">
      <formula>AND($A127&lt;&gt;"",MOD(ROW(),2))</formula>
    </cfRule>
  </conditionalFormatting>
  <conditionalFormatting sqref="Y127">
    <cfRule type="expression" dxfId="2320" priority="263">
      <formula>AND(#REF!&lt;&gt;"",MOD(ROW(),2))</formula>
    </cfRule>
  </conditionalFormatting>
  <conditionalFormatting sqref="Y127">
    <cfRule type="expression" dxfId="2319" priority="262">
      <formula>AND(#REF!&lt;&gt;"",MOD(ROW(),2))</formula>
    </cfRule>
  </conditionalFormatting>
  <conditionalFormatting sqref="Y127">
    <cfRule type="cellIs" dxfId="2318" priority="259" operator="equal">
      <formula>#REF!</formula>
    </cfRule>
    <cfRule type="cellIs" dxfId="2317" priority="260" operator="greaterThan">
      <formula>#REF!</formula>
    </cfRule>
    <cfRule type="cellIs" dxfId="2316" priority="261" operator="lessThan">
      <formula>#REF!</formula>
    </cfRule>
  </conditionalFormatting>
  <conditionalFormatting sqref="Z127">
    <cfRule type="expression" dxfId="2315" priority="258">
      <formula>AND($A127&lt;&gt;"",MOD(ROW(),2))</formula>
    </cfRule>
  </conditionalFormatting>
  <conditionalFormatting sqref="W127">
    <cfRule type="expression" dxfId="2314" priority="257">
      <formula>AND($A127&lt;&gt;"",MOD(ROW(),2))</formula>
    </cfRule>
  </conditionalFormatting>
  <conditionalFormatting sqref="W127">
    <cfRule type="expression" dxfId="2313" priority="256">
      <formula>AND($A127&lt;&gt;"",MOD(ROW(),2))</formula>
    </cfRule>
  </conditionalFormatting>
  <conditionalFormatting sqref="Y128">
    <cfRule type="expression" dxfId="2312" priority="255">
      <formula>AND($A128&lt;&gt;"",MOD(ROW(),2))</formula>
    </cfRule>
  </conditionalFormatting>
  <conditionalFormatting sqref="Y128">
    <cfRule type="expression" dxfId="2311" priority="254">
      <formula>AND(#REF!&lt;&gt;"",MOD(ROW(),2))</formula>
    </cfRule>
  </conditionalFormatting>
  <conditionalFormatting sqref="Y128">
    <cfRule type="expression" dxfId="2310" priority="253">
      <formula>AND(#REF!&lt;&gt;"",MOD(ROW(),2))</formula>
    </cfRule>
  </conditionalFormatting>
  <conditionalFormatting sqref="Y128">
    <cfRule type="cellIs" dxfId="2309" priority="250" operator="equal">
      <formula>#REF!</formula>
    </cfRule>
    <cfRule type="cellIs" dxfId="2308" priority="251" operator="greaterThan">
      <formula>#REF!</formula>
    </cfRule>
    <cfRule type="cellIs" dxfId="2307" priority="252" operator="lessThan">
      <formula>#REF!</formula>
    </cfRule>
  </conditionalFormatting>
  <conditionalFormatting sqref="Z128">
    <cfRule type="expression" dxfId="2306" priority="249">
      <formula>AND($A128&lt;&gt;"",MOD(ROW(),2))</formula>
    </cfRule>
  </conditionalFormatting>
  <conditionalFormatting sqref="W128">
    <cfRule type="expression" dxfId="2305" priority="248">
      <formula>AND($A128&lt;&gt;"",MOD(ROW(),2))</formula>
    </cfRule>
  </conditionalFormatting>
  <conditionalFormatting sqref="W128">
    <cfRule type="expression" dxfId="2304" priority="247">
      <formula>AND($A128&lt;&gt;"",MOD(ROW(),2))</formula>
    </cfRule>
  </conditionalFormatting>
  <conditionalFormatting sqref="Y129">
    <cfRule type="expression" dxfId="2303" priority="246">
      <formula>AND($A129&lt;&gt;"",MOD(ROW(),2))</formula>
    </cfRule>
  </conditionalFormatting>
  <conditionalFormatting sqref="Y129">
    <cfRule type="expression" dxfId="2302" priority="245">
      <formula>AND(#REF!&lt;&gt;"",MOD(ROW(),2))</formula>
    </cfRule>
  </conditionalFormatting>
  <conditionalFormatting sqref="Y129">
    <cfRule type="expression" dxfId="2301" priority="244">
      <formula>AND(#REF!&lt;&gt;"",MOD(ROW(),2))</formula>
    </cfRule>
  </conditionalFormatting>
  <conditionalFormatting sqref="Y129">
    <cfRule type="cellIs" dxfId="2300" priority="241" operator="equal">
      <formula>#REF!</formula>
    </cfRule>
    <cfRule type="cellIs" dxfId="2299" priority="242" operator="greaterThan">
      <formula>#REF!</formula>
    </cfRule>
    <cfRule type="cellIs" dxfId="2298" priority="243" operator="lessThan">
      <formula>#REF!</formula>
    </cfRule>
  </conditionalFormatting>
  <conditionalFormatting sqref="Z129">
    <cfRule type="expression" dxfId="2297" priority="240">
      <formula>AND($A129&lt;&gt;"",MOD(ROW(),2))</formula>
    </cfRule>
  </conditionalFormatting>
  <conditionalFormatting sqref="W129">
    <cfRule type="expression" dxfId="2296" priority="239">
      <formula>AND($A129&lt;&gt;"",MOD(ROW(),2))</formula>
    </cfRule>
  </conditionalFormatting>
  <conditionalFormatting sqref="W129">
    <cfRule type="expression" dxfId="2295" priority="238">
      <formula>AND($A129&lt;&gt;"",MOD(ROW(),2))</formula>
    </cfRule>
  </conditionalFormatting>
  <conditionalFormatting sqref="Y130">
    <cfRule type="expression" dxfId="2294" priority="237">
      <formula>AND($A130&lt;&gt;"",MOD(ROW(),2))</formula>
    </cfRule>
  </conditionalFormatting>
  <conditionalFormatting sqref="Y130">
    <cfRule type="expression" dxfId="2293" priority="236">
      <formula>AND(#REF!&lt;&gt;"",MOD(ROW(),2))</formula>
    </cfRule>
  </conditionalFormatting>
  <conditionalFormatting sqref="Y130">
    <cfRule type="expression" dxfId="2292" priority="235">
      <formula>AND(#REF!&lt;&gt;"",MOD(ROW(),2))</formula>
    </cfRule>
  </conditionalFormatting>
  <conditionalFormatting sqref="Y130">
    <cfRule type="cellIs" dxfId="2291" priority="232" operator="equal">
      <formula>#REF!</formula>
    </cfRule>
    <cfRule type="cellIs" dxfId="2290" priority="233" operator="greaterThan">
      <formula>#REF!</formula>
    </cfRule>
    <cfRule type="cellIs" dxfId="2289" priority="234" operator="lessThan">
      <formula>#REF!</formula>
    </cfRule>
  </conditionalFormatting>
  <conditionalFormatting sqref="Z130">
    <cfRule type="expression" dxfId="2288" priority="231">
      <formula>AND($A130&lt;&gt;"",MOD(ROW(),2))</formula>
    </cfRule>
  </conditionalFormatting>
  <conditionalFormatting sqref="W130">
    <cfRule type="expression" dxfId="2287" priority="230">
      <formula>AND($A130&lt;&gt;"",MOD(ROW(),2))</formula>
    </cfRule>
  </conditionalFormatting>
  <conditionalFormatting sqref="W130">
    <cfRule type="expression" dxfId="2286" priority="229">
      <formula>AND($A130&lt;&gt;"",MOD(ROW(),2))</formula>
    </cfRule>
  </conditionalFormatting>
  <conditionalFormatting sqref="Y131">
    <cfRule type="expression" dxfId="2285" priority="228">
      <formula>AND($A131&lt;&gt;"",MOD(ROW(),2))</formula>
    </cfRule>
  </conditionalFormatting>
  <conditionalFormatting sqref="Y131">
    <cfRule type="expression" dxfId="2284" priority="227">
      <formula>AND(#REF!&lt;&gt;"",MOD(ROW(),2))</formula>
    </cfRule>
  </conditionalFormatting>
  <conditionalFormatting sqref="Y131">
    <cfRule type="expression" dxfId="2283" priority="226">
      <formula>AND(#REF!&lt;&gt;"",MOD(ROW(),2))</formula>
    </cfRule>
  </conditionalFormatting>
  <conditionalFormatting sqref="Y131">
    <cfRule type="cellIs" dxfId="2282" priority="223" operator="equal">
      <formula>#REF!</formula>
    </cfRule>
    <cfRule type="cellIs" dxfId="2281" priority="224" operator="greaterThan">
      <formula>#REF!</formula>
    </cfRule>
    <cfRule type="cellIs" dxfId="2280" priority="225" operator="lessThan">
      <formula>#REF!</formula>
    </cfRule>
  </conditionalFormatting>
  <conditionalFormatting sqref="Z131">
    <cfRule type="expression" dxfId="2279" priority="222">
      <formula>AND($A131&lt;&gt;"",MOD(ROW(),2))</formula>
    </cfRule>
  </conditionalFormatting>
  <conditionalFormatting sqref="W131">
    <cfRule type="expression" dxfId="2278" priority="221">
      <formula>AND($A131&lt;&gt;"",MOD(ROW(),2))</formula>
    </cfRule>
  </conditionalFormatting>
  <conditionalFormatting sqref="W131">
    <cfRule type="expression" dxfId="2277" priority="220">
      <formula>AND($A131&lt;&gt;"",MOD(ROW(),2))</formula>
    </cfRule>
  </conditionalFormatting>
  <conditionalFormatting sqref="Y132">
    <cfRule type="expression" dxfId="2276" priority="219">
      <formula>AND($A132&lt;&gt;"",MOD(ROW(),2))</formula>
    </cfRule>
  </conditionalFormatting>
  <conditionalFormatting sqref="Y132">
    <cfRule type="expression" dxfId="2275" priority="218">
      <formula>AND(#REF!&lt;&gt;"",MOD(ROW(),2))</formula>
    </cfRule>
  </conditionalFormatting>
  <conditionalFormatting sqref="Y132">
    <cfRule type="expression" dxfId="2274" priority="217">
      <formula>AND(#REF!&lt;&gt;"",MOD(ROW(),2))</formula>
    </cfRule>
  </conditionalFormatting>
  <conditionalFormatting sqref="Y132">
    <cfRule type="cellIs" dxfId="2273" priority="214" operator="equal">
      <formula>#REF!</formula>
    </cfRule>
    <cfRule type="cellIs" dxfId="2272" priority="215" operator="greaterThan">
      <formula>#REF!</formula>
    </cfRule>
    <cfRule type="cellIs" dxfId="2271" priority="216" operator="lessThan">
      <formula>#REF!</formula>
    </cfRule>
  </conditionalFormatting>
  <conditionalFormatting sqref="Z132">
    <cfRule type="expression" dxfId="2270" priority="213">
      <formula>AND($A132&lt;&gt;"",MOD(ROW(),2))</formula>
    </cfRule>
  </conditionalFormatting>
  <conditionalFormatting sqref="W132">
    <cfRule type="expression" dxfId="2269" priority="212">
      <formula>AND($A132&lt;&gt;"",MOD(ROW(),2))</formula>
    </cfRule>
  </conditionalFormatting>
  <conditionalFormatting sqref="W132">
    <cfRule type="expression" dxfId="2268" priority="211">
      <formula>AND($A132&lt;&gt;"",MOD(ROW(),2))</formula>
    </cfRule>
  </conditionalFormatting>
  <conditionalFormatting sqref="Y133">
    <cfRule type="expression" dxfId="2267" priority="210">
      <formula>AND($A133&lt;&gt;"",MOD(ROW(),2))</formula>
    </cfRule>
  </conditionalFormatting>
  <conditionalFormatting sqref="Y133">
    <cfRule type="expression" dxfId="2266" priority="209">
      <formula>AND(#REF!&lt;&gt;"",MOD(ROW(),2))</formula>
    </cfRule>
  </conditionalFormatting>
  <conditionalFormatting sqref="Y133">
    <cfRule type="expression" dxfId="2265" priority="208">
      <formula>AND(#REF!&lt;&gt;"",MOD(ROW(),2))</formula>
    </cfRule>
  </conditionalFormatting>
  <conditionalFormatting sqref="Y133">
    <cfRule type="cellIs" dxfId="2264" priority="205" operator="equal">
      <formula>#REF!</formula>
    </cfRule>
    <cfRule type="cellIs" dxfId="2263" priority="206" operator="greaterThan">
      <formula>#REF!</formula>
    </cfRule>
    <cfRule type="cellIs" dxfId="2262" priority="207" operator="lessThan">
      <formula>#REF!</formula>
    </cfRule>
  </conditionalFormatting>
  <conditionalFormatting sqref="Z133">
    <cfRule type="expression" dxfId="2261" priority="204">
      <formula>AND($A133&lt;&gt;"",MOD(ROW(),2))</formula>
    </cfRule>
  </conditionalFormatting>
  <conditionalFormatting sqref="W133">
    <cfRule type="expression" dxfId="2260" priority="203">
      <formula>AND($A133&lt;&gt;"",MOD(ROW(),2))</formula>
    </cfRule>
  </conditionalFormatting>
  <conditionalFormatting sqref="W133">
    <cfRule type="expression" dxfId="2259" priority="202">
      <formula>AND($A133&lt;&gt;"",MOD(ROW(),2))</formula>
    </cfRule>
  </conditionalFormatting>
  <conditionalFormatting sqref="Y134">
    <cfRule type="expression" dxfId="2258" priority="201">
      <formula>AND($A134&lt;&gt;"",MOD(ROW(),2))</formula>
    </cfRule>
  </conditionalFormatting>
  <conditionalFormatting sqref="Y134">
    <cfRule type="expression" dxfId="2257" priority="200">
      <formula>AND(#REF!&lt;&gt;"",MOD(ROW(),2))</formula>
    </cfRule>
  </conditionalFormatting>
  <conditionalFormatting sqref="Y134">
    <cfRule type="expression" dxfId="2256" priority="199">
      <formula>AND(#REF!&lt;&gt;"",MOD(ROW(),2))</formula>
    </cfRule>
  </conditionalFormatting>
  <conditionalFormatting sqref="Y134">
    <cfRule type="cellIs" dxfId="2255" priority="196" operator="equal">
      <formula>#REF!</formula>
    </cfRule>
    <cfRule type="cellIs" dxfId="2254" priority="197" operator="greaterThan">
      <formula>#REF!</formula>
    </cfRule>
    <cfRule type="cellIs" dxfId="2253" priority="198" operator="lessThan">
      <formula>#REF!</formula>
    </cfRule>
  </conditionalFormatting>
  <conditionalFormatting sqref="Z134">
    <cfRule type="expression" dxfId="2252" priority="195">
      <formula>AND($A134&lt;&gt;"",MOD(ROW(),2))</formula>
    </cfRule>
  </conditionalFormatting>
  <conditionalFormatting sqref="W134">
    <cfRule type="expression" dxfId="2251" priority="194">
      <formula>AND($A134&lt;&gt;"",MOD(ROW(),2))</formula>
    </cfRule>
  </conditionalFormatting>
  <conditionalFormatting sqref="W134">
    <cfRule type="expression" dxfId="2250" priority="193">
      <formula>AND($A134&lt;&gt;"",MOD(ROW(),2))</formula>
    </cfRule>
  </conditionalFormatting>
  <conditionalFormatting sqref="Y135">
    <cfRule type="expression" dxfId="2249" priority="192">
      <formula>AND($A135&lt;&gt;"",MOD(ROW(),2))</formula>
    </cfRule>
  </conditionalFormatting>
  <conditionalFormatting sqref="Y135">
    <cfRule type="expression" dxfId="2248" priority="191">
      <formula>AND(#REF!&lt;&gt;"",MOD(ROW(),2))</formula>
    </cfRule>
  </conditionalFormatting>
  <conditionalFormatting sqref="Y135">
    <cfRule type="expression" dxfId="2247" priority="190">
      <formula>AND(#REF!&lt;&gt;"",MOD(ROW(),2))</formula>
    </cfRule>
  </conditionalFormatting>
  <conditionalFormatting sqref="Y135">
    <cfRule type="cellIs" dxfId="2246" priority="187" operator="equal">
      <formula>#REF!</formula>
    </cfRule>
    <cfRule type="cellIs" dxfId="2245" priority="188" operator="greaterThan">
      <formula>#REF!</formula>
    </cfRule>
    <cfRule type="cellIs" dxfId="2244" priority="189" operator="lessThan">
      <formula>#REF!</formula>
    </cfRule>
  </conditionalFormatting>
  <conditionalFormatting sqref="Z135">
    <cfRule type="expression" dxfId="2243" priority="186">
      <formula>AND($A135&lt;&gt;"",MOD(ROW(),2))</formula>
    </cfRule>
  </conditionalFormatting>
  <conditionalFormatting sqref="W135">
    <cfRule type="expression" dxfId="2242" priority="185">
      <formula>AND($A135&lt;&gt;"",MOD(ROW(),2))</formula>
    </cfRule>
  </conditionalFormatting>
  <conditionalFormatting sqref="W135">
    <cfRule type="expression" dxfId="2241" priority="184">
      <formula>AND($A135&lt;&gt;"",MOD(ROW(),2))</formula>
    </cfRule>
  </conditionalFormatting>
  <conditionalFormatting sqref="Y136">
    <cfRule type="expression" dxfId="2240" priority="183">
      <formula>AND($A136&lt;&gt;"",MOD(ROW(),2))</formula>
    </cfRule>
  </conditionalFormatting>
  <conditionalFormatting sqref="Y136">
    <cfRule type="expression" dxfId="2239" priority="182">
      <formula>AND(#REF!&lt;&gt;"",MOD(ROW(),2))</formula>
    </cfRule>
  </conditionalFormatting>
  <conditionalFormatting sqref="Y136">
    <cfRule type="expression" dxfId="2238" priority="181">
      <formula>AND(#REF!&lt;&gt;"",MOD(ROW(),2))</formula>
    </cfRule>
  </conditionalFormatting>
  <conditionalFormatting sqref="Y136">
    <cfRule type="cellIs" dxfId="2237" priority="178" operator="equal">
      <formula>#REF!</formula>
    </cfRule>
    <cfRule type="cellIs" dxfId="2236" priority="179" operator="greaterThan">
      <formula>#REF!</formula>
    </cfRule>
    <cfRule type="cellIs" dxfId="2235" priority="180" operator="lessThan">
      <formula>#REF!</formula>
    </cfRule>
  </conditionalFormatting>
  <conditionalFormatting sqref="Z136">
    <cfRule type="expression" dxfId="2234" priority="177">
      <formula>AND($A136&lt;&gt;"",MOD(ROW(),2))</formula>
    </cfRule>
  </conditionalFormatting>
  <conditionalFormatting sqref="W136">
    <cfRule type="expression" dxfId="2233" priority="176">
      <formula>AND($A136&lt;&gt;"",MOD(ROW(),2))</formula>
    </cfRule>
  </conditionalFormatting>
  <conditionalFormatting sqref="W136">
    <cfRule type="expression" dxfId="2232" priority="175">
      <formula>AND($A136&lt;&gt;"",MOD(ROW(),2))</formula>
    </cfRule>
  </conditionalFormatting>
  <conditionalFormatting sqref="Y137">
    <cfRule type="expression" dxfId="2231" priority="174">
      <formula>AND($A137&lt;&gt;"",MOD(ROW(),2))</formula>
    </cfRule>
  </conditionalFormatting>
  <conditionalFormatting sqref="Y137">
    <cfRule type="expression" dxfId="2230" priority="173">
      <formula>AND(#REF!&lt;&gt;"",MOD(ROW(),2))</formula>
    </cfRule>
  </conditionalFormatting>
  <conditionalFormatting sqref="Y137">
    <cfRule type="expression" dxfId="2229" priority="172">
      <formula>AND(#REF!&lt;&gt;"",MOD(ROW(),2))</formula>
    </cfRule>
  </conditionalFormatting>
  <conditionalFormatting sqref="Y137">
    <cfRule type="cellIs" dxfId="2228" priority="169" operator="equal">
      <formula>#REF!</formula>
    </cfRule>
    <cfRule type="cellIs" dxfId="2227" priority="170" operator="greaterThan">
      <formula>#REF!</formula>
    </cfRule>
    <cfRule type="cellIs" dxfId="2226" priority="171" operator="lessThan">
      <formula>#REF!</formula>
    </cfRule>
  </conditionalFormatting>
  <conditionalFormatting sqref="Z137">
    <cfRule type="expression" dxfId="2225" priority="168">
      <formula>AND($A137&lt;&gt;"",MOD(ROW(),2))</formula>
    </cfRule>
  </conditionalFormatting>
  <conditionalFormatting sqref="W137">
    <cfRule type="expression" dxfId="2224" priority="167">
      <formula>AND($A137&lt;&gt;"",MOD(ROW(),2))</formula>
    </cfRule>
  </conditionalFormatting>
  <conditionalFormatting sqref="W137">
    <cfRule type="expression" dxfId="2223" priority="166">
      <formula>AND($A137&lt;&gt;"",MOD(ROW(),2))</formula>
    </cfRule>
  </conditionalFormatting>
  <conditionalFormatting sqref="Y138">
    <cfRule type="expression" dxfId="2222" priority="165">
      <formula>AND($A138&lt;&gt;"",MOD(ROW(),2))</formula>
    </cfRule>
  </conditionalFormatting>
  <conditionalFormatting sqref="Y138">
    <cfRule type="expression" dxfId="2221" priority="164">
      <formula>AND(#REF!&lt;&gt;"",MOD(ROW(),2))</formula>
    </cfRule>
  </conditionalFormatting>
  <conditionalFormatting sqref="Y138">
    <cfRule type="expression" dxfId="2220" priority="163">
      <formula>AND(#REF!&lt;&gt;"",MOD(ROW(),2))</formula>
    </cfRule>
  </conditionalFormatting>
  <conditionalFormatting sqref="Y138">
    <cfRule type="cellIs" dxfId="2219" priority="160" operator="equal">
      <formula>#REF!</formula>
    </cfRule>
    <cfRule type="cellIs" dxfId="2218" priority="161" operator="greaterThan">
      <formula>#REF!</formula>
    </cfRule>
    <cfRule type="cellIs" dxfId="2217" priority="162" operator="lessThan">
      <formula>#REF!</formula>
    </cfRule>
  </conditionalFormatting>
  <conditionalFormatting sqref="Z138">
    <cfRule type="expression" dxfId="2216" priority="159">
      <formula>AND($A138&lt;&gt;"",MOD(ROW(),2))</formula>
    </cfRule>
  </conditionalFormatting>
  <conditionalFormatting sqref="W138">
    <cfRule type="expression" dxfId="2215" priority="158">
      <formula>AND($A138&lt;&gt;"",MOD(ROW(),2))</formula>
    </cfRule>
  </conditionalFormatting>
  <conditionalFormatting sqref="W138">
    <cfRule type="expression" dxfId="2214" priority="157">
      <formula>AND($A138&lt;&gt;"",MOD(ROW(),2))</formula>
    </cfRule>
  </conditionalFormatting>
  <conditionalFormatting sqref="Y139">
    <cfRule type="expression" dxfId="2213" priority="156">
      <formula>AND($A139&lt;&gt;"",MOD(ROW(),2))</formula>
    </cfRule>
  </conditionalFormatting>
  <conditionalFormatting sqref="Y139">
    <cfRule type="expression" dxfId="2212" priority="155">
      <formula>AND(#REF!&lt;&gt;"",MOD(ROW(),2))</formula>
    </cfRule>
  </conditionalFormatting>
  <conditionalFormatting sqref="Y139">
    <cfRule type="expression" dxfId="2211" priority="154">
      <formula>AND(#REF!&lt;&gt;"",MOD(ROW(),2))</formula>
    </cfRule>
  </conditionalFormatting>
  <conditionalFormatting sqref="Y139">
    <cfRule type="cellIs" dxfId="2210" priority="151" operator="equal">
      <formula>#REF!</formula>
    </cfRule>
    <cfRule type="cellIs" dxfId="2209" priority="152" operator="greaterThan">
      <formula>#REF!</formula>
    </cfRule>
    <cfRule type="cellIs" dxfId="2208" priority="153" operator="lessThan">
      <formula>#REF!</formula>
    </cfRule>
  </conditionalFormatting>
  <conditionalFormatting sqref="Z139">
    <cfRule type="expression" dxfId="2207" priority="150">
      <formula>AND($A139&lt;&gt;"",MOD(ROW(),2))</formula>
    </cfRule>
  </conditionalFormatting>
  <conditionalFormatting sqref="W139">
    <cfRule type="expression" dxfId="2206" priority="149">
      <formula>AND($A139&lt;&gt;"",MOD(ROW(),2))</formula>
    </cfRule>
  </conditionalFormatting>
  <conditionalFormatting sqref="W139">
    <cfRule type="expression" dxfId="2205" priority="148">
      <formula>AND($A139&lt;&gt;"",MOD(ROW(),2))</formula>
    </cfRule>
  </conditionalFormatting>
  <conditionalFormatting sqref="Y140">
    <cfRule type="expression" dxfId="2204" priority="147">
      <formula>AND($A140&lt;&gt;"",MOD(ROW(),2))</formula>
    </cfRule>
  </conditionalFormatting>
  <conditionalFormatting sqref="Y140">
    <cfRule type="expression" dxfId="2203" priority="146">
      <formula>AND(#REF!&lt;&gt;"",MOD(ROW(),2))</formula>
    </cfRule>
  </conditionalFormatting>
  <conditionalFormatting sqref="Y140">
    <cfRule type="expression" dxfId="2202" priority="145">
      <formula>AND(#REF!&lt;&gt;"",MOD(ROW(),2))</formula>
    </cfRule>
  </conditionalFormatting>
  <conditionalFormatting sqref="Y140">
    <cfRule type="cellIs" dxfId="2201" priority="142" operator="equal">
      <formula>#REF!</formula>
    </cfRule>
    <cfRule type="cellIs" dxfId="2200" priority="143" operator="greaterThan">
      <formula>#REF!</formula>
    </cfRule>
    <cfRule type="cellIs" dxfId="2199" priority="144" operator="lessThan">
      <formula>#REF!</formula>
    </cfRule>
  </conditionalFormatting>
  <conditionalFormatting sqref="Z140">
    <cfRule type="expression" dxfId="2198" priority="141">
      <formula>AND($A140&lt;&gt;"",MOD(ROW(),2))</formula>
    </cfRule>
  </conditionalFormatting>
  <conditionalFormatting sqref="W140">
    <cfRule type="expression" dxfId="2197" priority="140">
      <formula>AND($A140&lt;&gt;"",MOD(ROW(),2))</formula>
    </cfRule>
  </conditionalFormatting>
  <conditionalFormatting sqref="W140">
    <cfRule type="expression" dxfId="2196" priority="139">
      <formula>AND($A140&lt;&gt;"",MOD(ROW(),2))</formula>
    </cfRule>
  </conditionalFormatting>
  <conditionalFormatting sqref="Y141">
    <cfRule type="expression" dxfId="2195" priority="138">
      <formula>AND($A141&lt;&gt;"",MOD(ROW(),2))</formula>
    </cfRule>
  </conditionalFormatting>
  <conditionalFormatting sqref="Y141">
    <cfRule type="expression" dxfId="2194" priority="137">
      <formula>AND(#REF!&lt;&gt;"",MOD(ROW(),2))</formula>
    </cfRule>
  </conditionalFormatting>
  <conditionalFormatting sqref="Y141">
    <cfRule type="expression" dxfId="2193" priority="136">
      <formula>AND(#REF!&lt;&gt;"",MOD(ROW(),2))</formula>
    </cfRule>
  </conditionalFormatting>
  <conditionalFormatting sqref="Y141">
    <cfRule type="cellIs" dxfId="2192" priority="133" operator="equal">
      <formula>#REF!</formula>
    </cfRule>
    <cfRule type="cellIs" dxfId="2191" priority="134" operator="greaterThan">
      <formula>#REF!</formula>
    </cfRule>
    <cfRule type="cellIs" dxfId="2190" priority="135" operator="lessThan">
      <formula>#REF!</formula>
    </cfRule>
  </conditionalFormatting>
  <conditionalFormatting sqref="Z141">
    <cfRule type="expression" dxfId="2189" priority="132">
      <formula>AND($A141&lt;&gt;"",MOD(ROW(),2))</formula>
    </cfRule>
  </conditionalFormatting>
  <conditionalFormatting sqref="W141">
    <cfRule type="expression" dxfId="2188" priority="131">
      <formula>AND($A141&lt;&gt;"",MOD(ROW(),2))</formula>
    </cfRule>
  </conditionalFormatting>
  <conditionalFormatting sqref="W141">
    <cfRule type="expression" dxfId="2187" priority="130">
      <formula>AND($A141&lt;&gt;"",MOD(ROW(),2))</formula>
    </cfRule>
  </conditionalFormatting>
  <conditionalFormatting sqref="Y142">
    <cfRule type="expression" dxfId="2186" priority="129">
      <formula>AND($A142&lt;&gt;"",MOD(ROW(),2))</formula>
    </cfRule>
  </conditionalFormatting>
  <conditionalFormatting sqref="Y142">
    <cfRule type="expression" dxfId="2185" priority="128">
      <formula>AND(#REF!&lt;&gt;"",MOD(ROW(),2))</formula>
    </cfRule>
  </conditionalFormatting>
  <conditionalFormatting sqref="Y142">
    <cfRule type="expression" dxfId="2184" priority="127">
      <formula>AND(#REF!&lt;&gt;"",MOD(ROW(),2))</formula>
    </cfRule>
  </conditionalFormatting>
  <conditionalFormatting sqref="Y142">
    <cfRule type="cellIs" dxfId="2183" priority="124" operator="equal">
      <formula>#REF!</formula>
    </cfRule>
    <cfRule type="cellIs" dxfId="2182" priority="125" operator="greaterThan">
      <formula>#REF!</formula>
    </cfRule>
    <cfRule type="cellIs" dxfId="2181" priority="126" operator="lessThan">
      <formula>#REF!</formula>
    </cfRule>
  </conditionalFormatting>
  <conditionalFormatting sqref="Z142">
    <cfRule type="expression" dxfId="2180" priority="123">
      <formula>AND($A142&lt;&gt;"",MOD(ROW(),2))</formula>
    </cfRule>
  </conditionalFormatting>
  <conditionalFormatting sqref="W142">
    <cfRule type="expression" dxfId="2179" priority="122">
      <formula>AND($A142&lt;&gt;"",MOD(ROW(),2))</formula>
    </cfRule>
  </conditionalFormatting>
  <conditionalFormatting sqref="W142">
    <cfRule type="expression" dxfId="2178" priority="121">
      <formula>AND($A142&lt;&gt;"",MOD(ROW(),2))</formula>
    </cfRule>
  </conditionalFormatting>
  <conditionalFormatting sqref="Y143:Y248">
    <cfRule type="expression" dxfId="2177" priority="120">
      <formula>AND($A143&lt;&gt;"",MOD(ROW(),2))</formula>
    </cfRule>
  </conditionalFormatting>
  <conditionalFormatting sqref="Y143:Y248">
    <cfRule type="expression" dxfId="2176" priority="119">
      <formula>AND(#REF!&lt;&gt;"",MOD(ROW(),2))</formula>
    </cfRule>
  </conditionalFormatting>
  <conditionalFormatting sqref="Y143:Y248">
    <cfRule type="expression" dxfId="2175" priority="118">
      <formula>AND(#REF!&lt;&gt;"",MOD(ROW(),2))</formula>
    </cfRule>
  </conditionalFormatting>
  <conditionalFormatting sqref="Y143:Y248">
    <cfRule type="cellIs" dxfId="2174" priority="115" operator="equal">
      <formula>#REF!</formula>
    </cfRule>
    <cfRule type="cellIs" dxfId="2173" priority="116" operator="greaterThan">
      <formula>#REF!</formula>
    </cfRule>
    <cfRule type="cellIs" dxfId="2172" priority="117" operator="lessThan">
      <formula>#REF!</formula>
    </cfRule>
  </conditionalFormatting>
  <conditionalFormatting sqref="Z143:Z248">
    <cfRule type="expression" dxfId="2171" priority="114">
      <formula>AND($A143&lt;&gt;"",MOD(ROW(),2))</formula>
    </cfRule>
  </conditionalFormatting>
  <conditionalFormatting sqref="W143:W248">
    <cfRule type="expression" dxfId="2170" priority="113">
      <formula>AND($A143&lt;&gt;"",MOD(ROW(),2))</formula>
    </cfRule>
  </conditionalFormatting>
  <conditionalFormatting sqref="W143:W248">
    <cfRule type="expression" dxfId="2169" priority="112">
      <formula>AND($A143&lt;&gt;"",MOD(ROW(),2))</formula>
    </cfRule>
  </conditionalFormatting>
  <conditionalFormatting sqref="AL13:AL27">
    <cfRule type="expression" dxfId="2168" priority="111">
      <formula>AND($A13&lt;&gt;"",MOD(ROW(),2))</formula>
    </cfRule>
  </conditionalFormatting>
  <conditionalFormatting sqref="AO23">
    <cfRule type="expression" dxfId="2167" priority="110">
      <formula>AND($A23&lt;&gt;"",MOD(ROW(),2))</formula>
    </cfRule>
  </conditionalFormatting>
  <conditionalFormatting sqref="AO22">
    <cfRule type="expression" dxfId="2166" priority="109">
      <formula>AND($A22&lt;&gt;"",MOD(ROW(),2))</formula>
    </cfRule>
  </conditionalFormatting>
  <conditionalFormatting sqref="AJ26:AJ52">
    <cfRule type="expression" dxfId="2165" priority="99">
      <formula>AND($A28&lt;&gt;"",MOD(ROW(),2))</formula>
    </cfRule>
  </conditionalFormatting>
  <conditionalFormatting sqref="AJ26:AJ52">
    <cfRule type="expression" dxfId="2164" priority="98">
      <formula>AND(#REF!&lt;&gt;"",MOD(ROW(),2))</formula>
    </cfRule>
  </conditionalFormatting>
  <conditionalFormatting sqref="AJ26:AJ52">
    <cfRule type="expression" dxfId="2163" priority="97">
      <formula>AND(#REF!&lt;&gt;"",MOD(ROW(),2))</formula>
    </cfRule>
  </conditionalFormatting>
  <conditionalFormatting sqref="AJ26:AJ52">
    <cfRule type="cellIs" dxfId="2162" priority="94" operator="equal">
      <formula>#REF!</formula>
    </cfRule>
    <cfRule type="cellIs" dxfId="2161" priority="95" operator="greaterThan">
      <formula>#REF!</formula>
    </cfRule>
    <cfRule type="cellIs" dxfId="2160" priority="96" operator="lessThan">
      <formula>#REF!</formula>
    </cfRule>
  </conditionalFormatting>
  <conditionalFormatting sqref="AK26:AK52">
    <cfRule type="expression" dxfId="2159" priority="93">
      <formula>AND($A28&lt;&gt;"",MOD(ROW(),2))</formula>
    </cfRule>
  </conditionalFormatting>
  <conditionalFormatting sqref="AH26:AH63">
    <cfRule type="expression" dxfId="2158" priority="92">
      <formula>AND($A28&lt;&gt;"",MOD(ROW(),2))</formula>
    </cfRule>
  </conditionalFormatting>
  <conditionalFormatting sqref="AH26:AH63">
    <cfRule type="expression" dxfId="2157" priority="91">
      <formula>AND($A28&lt;&gt;"",MOD(ROW(),2))</formula>
    </cfRule>
  </conditionalFormatting>
  <conditionalFormatting sqref="AJ26:AJ52">
    <cfRule type="expression" dxfId="2156" priority="90">
      <formula>AND($A28&lt;&gt;"",MOD(ROW(),2))</formula>
    </cfRule>
  </conditionalFormatting>
  <conditionalFormatting sqref="AK26:AK52">
    <cfRule type="expression" dxfId="2155" priority="89">
      <formula>AND($A28&lt;&gt;"",MOD(ROW(),2))</formula>
    </cfRule>
  </conditionalFormatting>
  <conditionalFormatting sqref="AJ53:AK53">
    <cfRule type="expression" dxfId="2154" priority="88">
      <formula>AND($A37&lt;&gt;"",MOD(ROW(),2))</formula>
    </cfRule>
  </conditionalFormatting>
  <conditionalFormatting sqref="AJ53:AK53">
    <cfRule type="cellIs" dxfId="2153" priority="85" operator="equal">
      <formula>#REF!</formula>
    </cfRule>
    <cfRule type="cellIs" dxfId="2152" priority="86" operator="greaterThan">
      <formula>#REF!</formula>
    </cfRule>
    <cfRule type="cellIs" dxfId="2151" priority="87" operator="lessThan">
      <formula>#REF!</formula>
    </cfRule>
  </conditionalFormatting>
  <conditionalFormatting sqref="AJ53:AK53">
    <cfRule type="expression" dxfId="2150" priority="84">
      <formula>AND($A37&lt;&gt;"",MOD(ROW(),2))</formula>
    </cfRule>
  </conditionalFormatting>
  <conditionalFormatting sqref="AJ53:AK53">
    <cfRule type="cellIs" dxfId="2149" priority="81" operator="equal">
      <formula>#REF!</formula>
    </cfRule>
    <cfRule type="cellIs" dxfId="2148" priority="82" operator="greaterThan">
      <formula>#REF!</formula>
    </cfRule>
    <cfRule type="cellIs" dxfId="2147" priority="83" operator="lessThan">
      <formula>#REF!</formula>
    </cfRule>
  </conditionalFormatting>
  <conditionalFormatting sqref="AJ54:AK54">
    <cfRule type="expression" dxfId="2146" priority="80">
      <formula>AND($A38&lt;&gt;"",MOD(ROW(),2))</formula>
    </cfRule>
  </conditionalFormatting>
  <conditionalFormatting sqref="AJ54:AK54">
    <cfRule type="cellIs" dxfId="2145" priority="77" operator="equal">
      <formula>#REF!</formula>
    </cfRule>
    <cfRule type="cellIs" dxfId="2144" priority="78" operator="greaterThan">
      <formula>#REF!</formula>
    </cfRule>
    <cfRule type="cellIs" dxfId="2143" priority="79" operator="lessThan">
      <formula>#REF!</formula>
    </cfRule>
  </conditionalFormatting>
  <conditionalFormatting sqref="AJ54:AK54">
    <cfRule type="expression" dxfId="2142" priority="76">
      <formula>AND($A38&lt;&gt;"",MOD(ROW(),2))</formula>
    </cfRule>
  </conditionalFormatting>
  <conditionalFormatting sqref="AJ54:AK54">
    <cfRule type="cellIs" dxfId="2141" priority="73" operator="equal">
      <formula>#REF!</formula>
    </cfRule>
    <cfRule type="cellIs" dxfId="2140" priority="74" operator="greaterThan">
      <formula>#REF!</formula>
    </cfRule>
    <cfRule type="cellIs" dxfId="2139" priority="75" operator="lessThan">
      <formula>#REF!</formula>
    </cfRule>
  </conditionalFormatting>
  <conditionalFormatting sqref="AJ55:AK55">
    <cfRule type="expression" dxfId="2138" priority="72">
      <formula>AND($A39&lt;&gt;"",MOD(ROW(),2))</formula>
    </cfRule>
  </conditionalFormatting>
  <conditionalFormatting sqref="AJ55:AK55">
    <cfRule type="cellIs" dxfId="2137" priority="69" operator="equal">
      <formula>#REF!</formula>
    </cfRule>
    <cfRule type="cellIs" dxfId="2136" priority="70" operator="greaterThan">
      <formula>#REF!</formula>
    </cfRule>
    <cfRule type="cellIs" dxfId="2135" priority="71" operator="lessThan">
      <formula>#REF!</formula>
    </cfRule>
  </conditionalFormatting>
  <conditionalFormatting sqref="AJ55:AK55">
    <cfRule type="expression" dxfId="2134" priority="68">
      <formula>AND($A39&lt;&gt;"",MOD(ROW(),2))</formula>
    </cfRule>
  </conditionalFormatting>
  <conditionalFormatting sqref="AJ55:AK55">
    <cfRule type="cellIs" dxfId="2133" priority="65" operator="equal">
      <formula>#REF!</formula>
    </cfRule>
    <cfRule type="cellIs" dxfId="2132" priority="66" operator="greaterThan">
      <formula>#REF!</formula>
    </cfRule>
    <cfRule type="cellIs" dxfId="2131" priority="67" operator="lessThan">
      <formula>#REF!</formula>
    </cfRule>
  </conditionalFormatting>
  <conditionalFormatting sqref="AJ56:AK56">
    <cfRule type="expression" dxfId="2130" priority="64">
      <formula>AND($A40&lt;&gt;"",MOD(ROW(),2))</formula>
    </cfRule>
  </conditionalFormatting>
  <conditionalFormatting sqref="AJ56:AK56">
    <cfRule type="cellIs" dxfId="2129" priority="61" operator="equal">
      <formula>#REF!</formula>
    </cfRule>
    <cfRule type="cellIs" dxfId="2128" priority="62" operator="greaterThan">
      <formula>#REF!</formula>
    </cfRule>
    <cfRule type="cellIs" dxfId="2127" priority="63" operator="lessThan">
      <formula>#REF!</formula>
    </cfRule>
  </conditionalFormatting>
  <conditionalFormatting sqref="AJ56:AK56">
    <cfRule type="expression" dxfId="2126" priority="60">
      <formula>AND($A40&lt;&gt;"",MOD(ROW(),2))</formula>
    </cfRule>
  </conditionalFormatting>
  <conditionalFormatting sqref="AJ56:AK56">
    <cfRule type="cellIs" dxfId="2125" priority="57" operator="equal">
      <formula>#REF!</formula>
    </cfRule>
    <cfRule type="cellIs" dxfId="2124" priority="58" operator="greaterThan">
      <formula>#REF!</formula>
    </cfRule>
    <cfRule type="cellIs" dxfId="2123" priority="59" operator="lessThan">
      <formula>#REF!</formula>
    </cfRule>
  </conditionalFormatting>
  <conditionalFormatting sqref="AJ57:AK57">
    <cfRule type="expression" dxfId="2122" priority="56">
      <formula>AND($A41&lt;&gt;"",MOD(ROW(),2))</formula>
    </cfRule>
  </conditionalFormatting>
  <conditionalFormatting sqref="AJ57:AK57">
    <cfRule type="cellIs" dxfId="2121" priority="53" operator="equal">
      <formula>#REF!</formula>
    </cfRule>
    <cfRule type="cellIs" dxfId="2120" priority="54" operator="greaterThan">
      <formula>#REF!</formula>
    </cfRule>
    <cfRule type="cellIs" dxfId="2119" priority="55" operator="lessThan">
      <formula>#REF!</formula>
    </cfRule>
  </conditionalFormatting>
  <conditionalFormatting sqref="AJ57:AK57">
    <cfRule type="expression" dxfId="2118" priority="52">
      <formula>AND($A41&lt;&gt;"",MOD(ROW(),2))</formula>
    </cfRule>
  </conditionalFormatting>
  <conditionalFormatting sqref="AJ57:AK57">
    <cfRule type="cellIs" dxfId="2117" priority="49" operator="equal">
      <formula>#REF!</formula>
    </cfRule>
    <cfRule type="cellIs" dxfId="2116" priority="50" operator="greaterThan">
      <formula>#REF!</formula>
    </cfRule>
    <cfRule type="cellIs" dxfId="2115" priority="51" operator="lessThan">
      <formula>#REF!</formula>
    </cfRule>
  </conditionalFormatting>
  <conditionalFormatting sqref="AJ58:AK58">
    <cfRule type="expression" dxfId="2114" priority="48">
      <formula>AND($A42&lt;&gt;"",MOD(ROW(),2))</formula>
    </cfRule>
  </conditionalFormatting>
  <conditionalFormatting sqref="AJ58:AK58">
    <cfRule type="cellIs" dxfId="2113" priority="45" operator="equal">
      <formula>#REF!</formula>
    </cfRule>
    <cfRule type="cellIs" dxfId="2112" priority="46" operator="greaterThan">
      <formula>#REF!</formula>
    </cfRule>
    <cfRule type="cellIs" dxfId="2111" priority="47" operator="lessThan">
      <formula>#REF!</formula>
    </cfRule>
  </conditionalFormatting>
  <conditionalFormatting sqref="AJ58:AK58">
    <cfRule type="expression" dxfId="2110" priority="44">
      <formula>AND($A42&lt;&gt;"",MOD(ROW(),2))</formula>
    </cfRule>
  </conditionalFormatting>
  <conditionalFormatting sqref="AJ58:AK58">
    <cfRule type="cellIs" dxfId="2109" priority="41" operator="equal">
      <formula>#REF!</formula>
    </cfRule>
    <cfRule type="cellIs" dxfId="2108" priority="42" operator="greaterThan">
      <formula>#REF!</formula>
    </cfRule>
    <cfRule type="cellIs" dxfId="2107" priority="43" operator="lessThan">
      <formula>#REF!</formula>
    </cfRule>
  </conditionalFormatting>
  <conditionalFormatting sqref="AJ59:AK59">
    <cfRule type="expression" dxfId="2106" priority="40">
      <formula>AND($A43&lt;&gt;"",MOD(ROW(),2))</formula>
    </cfRule>
  </conditionalFormatting>
  <conditionalFormatting sqref="AJ59:AK59">
    <cfRule type="cellIs" dxfId="2105" priority="37" operator="equal">
      <formula>#REF!</formula>
    </cfRule>
    <cfRule type="cellIs" dxfId="2104" priority="38" operator="greaterThan">
      <formula>#REF!</formula>
    </cfRule>
    <cfRule type="cellIs" dxfId="2103" priority="39" operator="lessThan">
      <formula>#REF!</formula>
    </cfRule>
  </conditionalFormatting>
  <conditionalFormatting sqref="AJ59:AK59">
    <cfRule type="expression" dxfId="2102" priority="36">
      <formula>AND($A43&lt;&gt;"",MOD(ROW(),2))</formula>
    </cfRule>
  </conditionalFormatting>
  <conditionalFormatting sqref="AJ59:AK59">
    <cfRule type="cellIs" dxfId="2101" priority="33" operator="equal">
      <formula>#REF!</formula>
    </cfRule>
    <cfRule type="cellIs" dxfId="2100" priority="34" operator="greaterThan">
      <formula>#REF!</formula>
    </cfRule>
    <cfRule type="cellIs" dxfId="2099" priority="35" operator="lessThan">
      <formula>#REF!</formula>
    </cfRule>
  </conditionalFormatting>
  <conditionalFormatting sqref="AJ60:AK60">
    <cfRule type="expression" dxfId="2098" priority="32">
      <formula>AND($A44&lt;&gt;"",MOD(ROW(),2))</formula>
    </cfRule>
  </conditionalFormatting>
  <conditionalFormatting sqref="AJ60:AK60">
    <cfRule type="cellIs" dxfId="2097" priority="29" operator="equal">
      <formula>#REF!</formula>
    </cfRule>
    <cfRule type="cellIs" dxfId="2096" priority="30" operator="greaterThan">
      <formula>#REF!</formula>
    </cfRule>
    <cfRule type="cellIs" dxfId="2095" priority="31" operator="lessThan">
      <formula>#REF!</formula>
    </cfRule>
  </conditionalFormatting>
  <conditionalFormatting sqref="AJ60:AK60">
    <cfRule type="expression" dxfId="2094" priority="28">
      <formula>AND($A44&lt;&gt;"",MOD(ROW(),2))</formula>
    </cfRule>
  </conditionalFormatting>
  <conditionalFormatting sqref="AJ60:AK60">
    <cfRule type="cellIs" dxfId="2093" priority="25" operator="equal">
      <formula>#REF!</formula>
    </cfRule>
    <cfRule type="cellIs" dxfId="2092" priority="26" operator="greaterThan">
      <formula>#REF!</formula>
    </cfRule>
    <cfRule type="cellIs" dxfId="2091" priority="27" operator="lessThan">
      <formula>#REF!</formula>
    </cfRule>
  </conditionalFormatting>
  <conditionalFormatting sqref="AJ61:AK61">
    <cfRule type="expression" dxfId="2090" priority="24">
      <formula>AND($A45&lt;&gt;"",MOD(ROW(),2))</formula>
    </cfRule>
  </conditionalFormatting>
  <conditionalFormatting sqref="AJ61:AK61">
    <cfRule type="cellIs" dxfId="2089" priority="21" operator="equal">
      <formula>#REF!</formula>
    </cfRule>
    <cfRule type="cellIs" dxfId="2088" priority="22" operator="greaterThan">
      <formula>#REF!</formula>
    </cfRule>
    <cfRule type="cellIs" dxfId="2087" priority="23" operator="lessThan">
      <formula>#REF!</formula>
    </cfRule>
  </conditionalFormatting>
  <conditionalFormatting sqref="AJ61:AK61">
    <cfRule type="expression" dxfId="2086" priority="20">
      <formula>AND($A45&lt;&gt;"",MOD(ROW(),2))</formula>
    </cfRule>
  </conditionalFormatting>
  <conditionalFormatting sqref="AJ61:AK61">
    <cfRule type="cellIs" dxfId="2085" priority="17" operator="equal">
      <formula>#REF!</formula>
    </cfRule>
    <cfRule type="cellIs" dxfId="2084" priority="18" operator="greaterThan">
      <formula>#REF!</formula>
    </cfRule>
    <cfRule type="cellIs" dxfId="2083" priority="19" operator="lessThan">
      <formula>#REF!</formula>
    </cfRule>
  </conditionalFormatting>
  <conditionalFormatting sqref="AJ62:AK62">
    <cfRule type="expression" dxfId="2082" priority="16">
      <formula>AND($A46&lt;&gt;"",MOD(ROW(),2))</formula>
    </cfRule>
  </conditionalFormatting>
  <conditionalFormatting sqref="AJ62:AK62">
    <cfRule type="cellIs" dxfId="2081" priority="13" operator="equal">
      <formula>#REF!</formula>
    </cfRule>
    <cfRule type="cellIs" dxfId="2080" priority="14" operator="greaterThan">
      <formula>#REF!</formula>
    </cfRule>
    <cfRule type="cellIs" dxfId="2079" priority="15" operator="lessThan">
      <formula>#REF!</formula>
    </cfRule>
  </conditionalFormatting>
  <conditionalFormatting sqref="AJ62:AK62">
    <cfRule type="expression" dxfId="2078" priority="12">
      <formula>AND($A46&lt;&gt;"",MOD(ROW(),2))</formula>
    </cfRule>
  </conditionalFormatting>
  <conditionalFormatting sqref="AJ62:AK62">
    <cfRule type="cellIs" dxfId="2077" priority="9" operator="equal">
      <formula>#REF!</formula>
    </cfRule>
    <cfRule type="cellIs" dxfId="2076" priority="10" operator="greaterThan">
      <formula>#REF!</formula>
    </cfRule>
    <cfRule type="cellIs" dxfId="2075" priority="11" operator="lessThan">
      <formula>#REF!</formula>
    </cfRule>
  </conditionalFormatting>
  <conditionalFormatting sqref="AJ63:AK63">
    <cfRule type="expression" dxfId="2074" priority="8">
      <formula>AND($A47&lt;&gt;"",MOD(ROW(),2))</formula>
    </cfRule>
  </conditionalFormatting>
  <conditionalFormatting sqref="AJ63:AK63">
    <cfRule type="cellIs" dxfId="2073" priority="5" operator="equal">
      <formula>#REF!</formula>
    </cfRule>
    <cfRule type="cellIs" dxfId="2072" priority="6" operator="greaterThan">
      <formula>#REF!</formula>
    </cfRule>
    <cfRule type="cellIs" dxfId="2071" priority="7" operator="lessThan">
      <formula>#REF!</formula>
    </cfRule>
  </conditionalFormatting>
  <conditionalFormatting sqref="AJ63:AK63">
    <cfRule type="expression" dxfId="2070" priority="4">
      <formula>AND($A47&lt;&gt;"",MOD(ROW(),2))</formula>
    </cfRule>
  </conditionalFormatting>
  <conditionalFormatting sqref="AJ63:AK63">
    <cfRule type="cellIs" dxfId="2069" priority="1" operator="equal">
      <formula>#REF!</formula>
    </cfRule>
    <cfRule type="cellIs" dxfId="2068" priority="2" operator="greaterThan">
      <formula>#REF!</formula>
    </cfRule>
    <cfRule type="cellIs" dxfId="2067" priority="3" operator="lessThan">
      <formula>#REF!</formula>
    </cfRule>
  </conditionalFormatting>
  <pageMargins left="0.75" right="0.75" top="1" bottom="1" header="0.5" footer="0.5"/>
  <pageSetup paperSize="9" orientation="portrait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Payment Method" xr:uid="{00000000-0002-0000-1900-000000000000}">
          <x14:formula1>
            <xm:f>PullDownValues!$B$2:$B$12</xm:f>
          </x14:formula1>
          <xm:sqref>F7:F289 AB7:AB11 AB33:AB37 Q7:Q33 Q36:Q48 AM7:AM21 AB45 AB48 AB53 AB55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V354"/>
  <sheetViews>
    <sheetView zoomScaleNormal="100" workbookViewId="0">
      <pane ySplit="5" topLeftCell="A6" activePane="bottomLeft" state="frozen"/>
      <selection pane="bottomLeft" activeCell="H7" sqref="H7"/>
    </sheetView>
  </sheetViews>
  <sheetFormatPr defaultColWidth="8.85546875" defaultRowHeight="15" customHeight="1" x14ac:dyDescent="0.25"/>
  <cols>
    <col min="1" max="1" width="3.28515625" style="10" bestFit="1" customWidth="1"/>
    <col min="2" max="3" width="12.5703125" bestFit="1" customWidth="1"/>
    <col min="4" max="4" width="12.85546875" bestFit="1" customWidth="1"/>
    <col min="5" max="5" width="15.28515625" bestFit="1" customWidth="1"/>
    <col min="6" max="6" width="15.28515625" customWidth="1"/>
    <col min="7" max="7" width="9.42578125" style="31" bestFit="1" customWidth="1"/>
    <col min="8" max="8" width="11.5703125" bestFit="1" customWidth="1"/>
    <col min="9" max="9" width="11.5703125" customWidth="1"/>
    <col min="10" max="10" width="12.7109375" bestFit="1" customWidth="1"/>
    <col min="11" max="11" width="12.7109375" customWidth="1"/>
    <col min="12" max="12" width="8.5703125" customWidth="1"/>
    <col min="13" max="13" width="12" bestFit="1" customWidth="1"/>
    <col min="14" max="14" width="12.5703125" bestFit="1" customWidth="1"/>
    <col min="15" max="15" width="11.5703125" bestFit="1" customWidth="1"/>
    <col min="16" max="16" width="12.7109375" bestFit="1" customWidth="1"/>
    <col min="18" max="18" width="9.5703125" bestFit="1" customWidth="1"/>
  </cols>
  <sheetData>
    <row r="1" spans="1:22" ht="35.1" customHeight="1" x14ac:dyDescent="0.25">
      <c r="A1" s="254" t="s">
        <v>568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338">
        <f>G2+R2</f>
        <v>1737.64</v>
      </c>
      <c r="R1" s="255"/>
      <c r="S1" s="114"/>
      <c r="T1" s="114"/>
    </row>
    <row r="2" spans="1:22" s="9" customFormat="1" ht="15.95" customHeight="1" x14ac:dyDescent="0.25">
      <c r="A2" s="256" t="s">
        <v>567</v>
      </c>
      <c r="B2" s="256"/>
      <c r="C2" s="256"/>
      <c r="D2" s="256"/>
      <c r="E2" s="256"/>
      <c r="F2" s="256"/>
      <c r="G2" s="258">
        <f>SUM(D7:D3000)</f>
        <v>855.88000000000011</v>
      </c>
      <c r="H2" s="258"/>
      <c r="I2" s="258"/>
      <c r="J2" s="258"/>
      <c r="K2" s="177"/>
      <c r="L2" s="256"/>
      <c r="M2" s="256"/>
      <c r="N2" s="256"/>
      <c r="O2" s="256"/>
      <c r="P2" s="256"/>
      <c r="Q2" s="256"/>
      <c r="R2" s="258">
        <f>SUM(O7:O3000)</f>
        <v>881.76</v>
      </c>
      <c r="S2" s="258"/>
      <c r="T2" s="258"/>
      <c r="U2" s="258"/>
    </row>
    <row r="3" spans="1:22" s="9" customFormat="1" ht="15.95" customHeight="1" x14ac:dyDescent="0.25">
      <c r="A3" s="257"/>
      <c r="B3" s="257"/>
      <c r="C3" s="257"/>
      <c r="D3" s="257"/>
      <c r="E3" s="257"/>
      <c r="F3" s="257"/>
      <c r="G3" s="259"/>
      <c r="H3" s="259"/>
      <c r="I3" s="259"/>
      <c r="J3" s="259"/>
      <c r="K3" s="178"/>
      <c r="L3" s="257"/>
      <c r="M3" s="257"/>
      <c r="N3" s="257"/>
      <c r="O3" s="257"/>
      <c r="P3" s="257"/>
      <c r="Q3" s="257"/>
      <c r="R3" s="259"/>
      <c r="S3" s="259"/>
      <c r="T3" s="259"/>
      <c r="U3" s="259"/>
    </row>
    <row r="4" spans="1:22" s="9" customFormat="1" ht="15.95" customHeight="1" x14ac:dyDescent="0.25">
      <c r="A4" s="244" t="s">
        <v>6</v>
      </c>
      <c r="B4" s="244" t="s">
        <v>7</v>
      </c>
      <c r="C4" s="267" t="s">
        <v>8</v>
      </c>
      <c r="D4" s="269" t="s">
        <v>9</v>
      </c>
      <c r="E4" s="269" t="s">
        <v>10</v>
      </c>
      <c r="F4" s="252" t="s">
        <v>112</v>
      </c>
      <c r="G4" s="276" t="s">
        <v>11</v>
      </c>
      <c r="H4" s="244" t="s">
        <v>12</v>
      </c>
      <c r="I4" s="291" t="s">
        <v>563</v>
      </c>
      <c r="J4" s="244" t="s">
        <v>113</v>
      </c>
      <c r="K4" s="179"/>
      <c r="L4" s="244" t="s">
        <v>6</v>
      </c>
      <c r="M4" s="244" t="s">
        <v>7</v>
      </c>
      <c r="N4" s="267" t="s">
        <v>8</v>
      </c>
      <c r="O4" s="269" t="s">
        <v>9</v>
      </c>
      <c r="P4" s="269" t="s">
        <v>10</v>
      </c>
      <c r="Q4" s="252" t="s">
        <v>112</v>
      </c>
      <c r="R4" s="276" t="s">
        <v>11</v>
      </c>
      <c r="S4" s="244" t="s">
        <v>12</v>
      </c>
      <c r="T4" s="291" t="s">
        <v>563</v>
      </c>
      <c r="U4" s="244" t="s">
        <v>113</v>
      </c>
    </row>
    <row r="5" spans="1:22" s="10" customFormat="1" ht="15.75" customHeight="1" x14ac:dyDescent="0.25">
      <c r="A5" s="245"/>
      <c r="B5" s="245"/>
      <c r="C5" s="268"/>
      <c r="D5" s="270"/>
      <c r="E5" s="270"/>
      <c r="F5" s="253"/>
      <c r="G5" s="277"/>
      <c r="H5" s="245"/>
      <c r="I5" s="253"/>
      <c r="J5" s="245"/>
      <c r="K5" s="180"/>
      <c r="L5" s="245"/>
      <c r="M5" s="245"/>
      <c r="N5" s="268"/>
      <c r="O5" s="270"/>
      <c r="P5" s="270"/>
      <c r="Q5" s="253"/>
      <c r="R5" s="277"/>
      <c r="S5" s="245"/>
      <c r="T5" s="253"/>
      <c r="U5" s="245"/>
      <c r="V5" s="64"/>
    </row>
    <row r="6" spans="1:22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7"/>
      <c r="K6" s="47"/>
      <c r="L6" s="44"/>
      <c r="M6" s="44"/>
      <c r="N6" s="45" t="s">
        <v>123</v>
      </c>
      <c r="O6" s="45"/>
      <c r="P6" s="44"/>
      <c r="Q6" s="44"/>
      <c r="R6" s="46"/>
      <c r="S6" s="47"/>
      <c r="T6" s="47"/>
      <c r="U6" s="47"/>
    </row>
    <row r="7" spans="1:22" ht="15" customHeight="1" x14ac:dyDescent="0.25">
      <c r="A7" s="10">
        <v>1</v>
      </c>
      <c r="B7" s="48">
        <v>44146</v>
      </c>
      <c r="C7" s="17">
        <v>150</v>
      </c>
      <c r="D7" s="17"/>
      <c r="E7" s="16"/>
      <c r="H7" s="17">
        <f>IFERROR(IF(F6="Closed account",(IF(F7="Unpaid Rent",(C7),(C7-D7))),(IF(F7="Unpaid Rent",(C7+H6),(C7-D7+H6)))),"")</f>
        <v>150</v>
      </c>
      <c r="I7" s="17"/>
      <c r="J7" s="17" t="s">
        <v>465</v>
      </c>
      <c r="K7" s="17"/>
      <c r="L7" s="10">
        <v>1</v>
      </c>
      <c r="M7" s="48">
        <v>44258</v>
      </c>
      <c r="N7" s="17">
        <v>11750</v>
      </c>
      <c r="O7" s="17">
        <v>11750</v>
      </c>
      <c r="P7" s="16"/>
      <c r="R7" s="31"/>
      <c r="S7" s="17">
        <f>IFERROR(IF(Q6="Closed account",(IF(Q7="Unpaid Rent",(N7),(N7-O7))),(IF(Q7="Unpaid Rent",(N7+S6),(N7-O7+S6)))),"")</f>
        <v>0</v>
      </c>
      <c r="T7" s="17"/>
      <c r="U7" s="17"/>
    </row>
    <row r="8" spans="1:22" ht="15" customHeight="1" x14ac:dyDescent="0.25">
      <c r="A8" s="10">
        <v>2</v>
      </c>
      <c r="B8" s="48">
        <v>44153</v>
      </c>
      <c r="C8" s="17">
        <v>-30.5</v>
      </c>
      <c r="D8" s="17"/>
      <c r="E8" s="16"/>
      <c r="H8" s="17">
        <f t="shared" ref="H8:H33" si="0">IFERROR(IF(F7="Closed account",(IF(F8="Unpaid Rent",(C8),(C8-D8))),(IF(F8="Unpaid Rent",(C8+H7),(C8-D8+H7)))),"")</f>
        <v>119.5</v>
      </c>
      <c r="I8" s="17"/>
      <c r="J8" s="17" t="s">
        <v>465</v>
      </c>
      <c r="K8" s="17"/>
      <c r="L8" s="10" t="s">
        <v>562</v>
      </c>
      <c r="M8" s="48">
        <v>44284</v>
      </c>
      <c r="N8" s="17">
        <v>-2000</v>
      </c>
      <c r="O8" s="17">
        <v>-2000</v>
      </c>
      <c r="P8" s="16"/>
      <c r="R8" s="31" t="s">
        <v>198</v>
      </c>
      <c r="S8" s="17">
        <f t="shared" ref="S8:S33" si="1">IFERROR(IF(Q7="Closed account",(IF(Q8="Unpaid Rent",(N8),(N8-O8))),(IF(Q8="Unpaid Rent",(N8+S7),(N8-O8+S7)))),"")</f>
        <v>0</v>
      </c>
      <c r="T8" s="17"/>
      <c r="U8" s="17"/>
    </row>
    <row r="9" spans="1:22" ht="15" customHeight="1" x14ac:dyDescent="0.25">
      <c r="A9" s="10">
        <v>3</v>
      </c>
      <c r="B9" s="48">
        <v>44160</v>
      </c>
      <c r="C9" s="17">
        <v>70</v>
      </c>
      <c r="D9" s="17"/>
      <c r="E9" s="16"/>
      <c r="H9" s="17">
        <f t="shared" si="0"/>
        <v>189.5</v>
      </c>
      <c r="I9" s="17"/>
      <c r="J9" s="17" t="s">
        <v>465</v>
      </c>
      <c r="K9" s="17"/>
      <c r="L9" s="10" t="s">
        <v>562</v>
      </c>
      <c r="M9" s="48">
        <v>44284</v>
      </c>
      <c r="N9" s="17">
        <v>-2000</v>
      </c>
      <c r="O9" s="17">
        <v>-2000</v>
      </c>
      <c r="P9" s="16"/>
      <c r="R9" s="31" t="s">
        <v>198</v>
      </c>
      <c r="S9" s="17">
        <f t="shared" si="1"/>
        <v>0</v>
      </c>
      <c r="T9" s="17"/>
      <c r="U9" s="17"/>
    </row>
    <row r="10" spans="1:22" ht="15" customHeight="1" x14ac:dyDescent="0.25">
      <c r="A10" s="10">
        <v>4</v>
      </c>
      <c r="B10" s="48">
        <v>44167</v>
      </c>
      <c r="C10" s="17">
        <v>150</v>
      </c>
      <c r="D10" s="17"/>
      <c r="E10" s="16"/>
      <c r="H10" s="17">
        <f t="shared" si="0"/>
        <v>339.5</v>
      </c>
      <c r="I10" s="17"/>
      <c r="J10" s="17" t="s">
        <v>465</v>
      </c>
      <c r="K10" s="17"/>
      <c r="L10" s="10" t="s">
        <v>562</v>
      </c>
      <c r="M10" s="48">
        <v>44286</v>
      </c>
      <c r="N10" s="17">
        <v>-250</v>
      </c>
      <c r="O10" s="17">
        <v>-250</v>
      </c>
      <c r="P10" s="16"/>
      <c r="R10" s="31" t="s">
        <v>545</v>
      </c>
      <c r="S10" s="17">
        <f t="shared" si="1"/>
        <v>0</v>
      </c>
      <c r="T10" s="17"/>
      <c r="U10" s="17"/>
    </row>
    <row r="11" spans="1:22" ht="15" customHeight="1" x14ac:dyDescent="0.25">
      <c r="A11" s="10">
        <v>5</v>
      </c>
      <c r="B11" s="48">
        <v>44174</v>
      </c>
      <c r="C11" s="17">
        <v>150</v>
      </c>
      <c r="D11" s="17">
        <v>382.5</v>
      </c>
      <c r="E11" s="16">
        <v>44176</v>
      </c>
      <c r="F11" t="s">
        <v>117</v>
      </c>
      <c r="H11" s="17">
        <f t="shared" si="0"/>
        <v>107</v>
      </c>
      <c r="I11" s="17"/>
      <c r="J11" s="17" t="s">
        <v>465</v>
      </c>
      <c r="K11" s="17"/>
      <c r="L11" s="10" t="s">
        <v>562</v>
      </c>
      <c r="M11" s="48">
        <v>44288</v>
      </c>
      <c r="N11" s="17">
        <v>-200</v>
      </c>
      <c r="O11" s="17">
        <v>-200</v>
      </c>
      <c r="P11" s="16"/>
      <c r="R11" s="31" t="s">
        <v>547</v>
      </c>
      <c r="S11" s="17">
        <f t="shared" si="1"/>
        <v>0</v>
      </c>
      <c r="T11" s="17"/>
      <c r="U11" s="17"/>
    </row>
    <row r="12" spans="1:22" ht="15" customHeight="1" x14ac:dyDescent="0.25">
      <c r="A12" s="10">
        <v>6</v>
      </c>
      <c r="B12" s="48">
        <v>44181</v>
      </c>
      <c r="C12" s="17">
        <v>150</v>
      </c>
      <c r="D12" s="17"/>
      <c r="E12" s="16"/>
      <c r="H12" s="17">
        <f t="shared" si="0"/>
        <v>257</v>
      </c>
      <c r="I12" s="17"/>
      <c r="J12" s="17" t="s">
        <v>465</v>
      </c>
      <c r="K12" s="17"/>
      <c r="L12" s="10" t="s">
        <v>562</v>
      </c>
      <c r="M12" s="48">
        <v>44306</v>
      </c>
      <c r="N12" s="17">
        <v>-6000</v>
      </c>
      <c r="O12" s="17">
        <v>-6000</v>
      </c>
      <c r="P12" s="16"/>
      <c r="R12" s="31" t="s">
        <v>572</v>
      </c>
      <c r="S12" s="17">
        <f t="shared" si="1"/>
        <v>0</v>
      </c>
      <c r="T12" s="17"/>
      <c r="U12" s="17"/>
    </row>
    <row r="13" spans="1:22" ht="15" customHeight="1" x14ac:dyDescent="0.25">
      <c r="A13" s="10">
        <v>7</v>
      </c>
      <c r="B13" s="48">
        <v>44188</v>
      </c>
      <c r="C13" s="17">
        <v>150</v>
      </c>
      <c r="D13" s="17"/>
      <c r="E13" s="16"/>
      <c r="H13" s="17">
        <f t="shared" si="0"/>
        <v>407</v>
      </c>
      <c r="I13" s="17"/>
      <c r="J13" s="17" t="s">
        <v>465</v>
      </c>
      <c r="K13" s="17"/>
      <c r="L13" s="10" t="s">
        <v>562</v>
      </c>
      <c r="M13" s="48">
        <v>44306</v>
      </c>
      <c r="N13" s="17">
        <v>-2000</v>
      </c>
      <c r="O13" s="17">
        <v>-2000</v>
      </c>
      <c r="P13" s="16"/>
      <c r="R13" s="31" t="s">
        <v>572</v>
      </c>
      <c r="S13" s="17">
        <f t="shared" si="1"/>
        <v>0</v>
      </c>
      <c r="T13" s="17"/>
      <c r="U13" s="17"/>
    </row>
    <row r="14" spans="1:22" ht="15" customHeight="1" x14ac:dyDescent="0.25">
      <c r="A14" s="10">
        <v>8</v>
      </c>
      <c r="B14" s="48">
        <v>44195</v>
      </c>
      <c r="C14" s="17">
        <v>150</v>
      </c>
      <c r="D14" s="17"/>
      <c r="E14" s="16">
        <v>44201</v>
      </c>
      <c r="F14" t="s">
        <v>117</v>
      </c>
      <c r="H14" s="17">
        <f t="shared" si="0"/>
        <v>557</v>
      </c>
      <c r="I14" s="17"/>
      <c r="J14" s="17" t="s">
        <v>465</v>
      </c>
      <c r="K14" s="17"/>
      <c r="L14" s="10" t="s">
        <v>562</v>
      </c>
      <c r="M14" s="48">
        <v>44325</v>
      </c>
      <c r="N14" s="17">
        <v>-22</v>
      </c>
      <c r="O14" s="17">
        <v>-22</v>
      </c>
      <c r="P14" s="16"/>
      <c r="R14" s="31" t="s">
        <v>582</v>
      </c>
      <c r="S14" s="17">
        <f t="shared" si="1"/>
        <v>0</v>
      </c>
      <c r="T14" s="17"/>
      <c r="U14" s="17"/>
    </row>
    <row r="15" spans="1:22" ht="15" customHeight="1" x14ac:dyDescent="0.25">
      <c r="A15" s="10">
        <v>9</v>
      </c>
      <c r="B15" s="48">
        <v>44200</v>
      </c>
      <c r="C15" s="17">
        <v>107</v>
      </c>
      <c r="D15" s="17">
        <v>664</v>
      </c>
      <c r="E15" s="16">
        <v>44201</v>
      </c>
      <c r="F15" t="s">
        <v>124</v>
      </c>
      <c r="H15" s="17">
        <f t="shared" si="0"/>
        <v>0</v>
      </c>
      <c r="I15" s="17"/>
      <c r="J15" s="17" t="s">
        <v>465</v>
      </c>
      <c r="K15" s="17"/>
      <c r="L15" s="10" t="s">
        <v>562</v>
      </c>
      <c r="M15" s="48">
        <v>44327</v>
      </c>
      <c r="N15" s="17">
        <v>-45.24</v>
      </c>
      <c r="O15" s="17">
        <v>-45.24</v>
      </c>
      <c r="P15" s="16"/>
      <c r="R15" s="31" t="s">
        <v>196</v>
      </c>
      <c r="S15" s="17">
        <f t="shared" si="1"/>
        <v>0</v>
      </c>
      <c r="T15" s="17"/>
      <c r="U15" s="17"/>
    </row>
    <row r="16" spans="1:22" ht="15" customHeight="1" x14ac:dyDescent="0.25">
      <c r="A16" s="10">
        <v>1</v>
      </c>
      <c r="B16" s="48">
        <v>44201</v>
      </c>
      <c r="C16" s="17">
        <v>300</v>
      </c>
      <c r="D16" s="17">
        <v>300</v>
      </c>
      <c r="E16" s="16">
        <v>44201</v>
      </c>
      <c r="F16" t="s">
        <v>181</v>
      </c>
      <c r="H16" s="17">
        <f t="shared" si="0"/>
        <v>0</v>
      </c>
      <c r="I16" s="17"/>
      <c r="J16" s="17" t="s">
        <v>478</v>
      </c>
      <c r="K16" s="17"/>
      <c r="L16" s="10" t="s">
        <v>562</v>
      </c>
      <c r="M16" s="48">
        <v>44327</v>
      </c>
      <c r="N16" s="17">
        <v>-10</v>
      </c>
      <c r="O16" s="17">
        <v>-10</v>
      </c>
      <c r="P16" s="16"/>
      <c r="R16" s="31" t="s">
        <v>32</v>
      </c>
      <c r="S16" s="17">
        <f t="shared" si="1"/>
        <v>0</v>
      </c>
      <c r="T16" s="17"/>
      <c r="U16" s="17"/>
    </row>
    <row r="17" spans="1:21" ht="15" customHeight="1" x14ac:dyDescent="0.25">
      <c r="A17" s="10">
        <v>1</v>
      </c>
      <c r="B17" s="48">
        <v>44201</v>
      </c>
      <c r="C17" s="17">
        <v>150</v>
      </c>
      <c r="D17" s="17">
        <v>150</v>
      </c>
      <c r="E17" s="16">
        <v>44201</v>
      </c>
      <c r="F17" t="s">
        <v>117</v>
      </c>
      <c r="H17" s="17">
        <f t="shared" si="0"/>
        <v>0</v>
      </c>
      <c r="I17" s="17"/>
      <c r="J17" s="17" t="s">
        <v>478</v>
      </c>
      <c r="K17" s="17"/>
      <c r="L17" s="10">
        <v>2</v>
      </c>
      <c r="M17" s="48">
        <v>44342</v>
      </c>
      <c r="N17" s="17">
        <v>1659</v>
      </c>
      <c r="O17" s="17">
        <v>1659</v>
      </c>
      <c r="P17" s="16"/>
      <c r="R17" s="31" t="s">
        <v>599</v>
      </c>
      <c r="S17" s="17">
        <f t="shared" si="1"/>
        <v>0</v>
      </c>
      <c r="T17" s="17"/>
      <c r="U17" s="17"/>
    </row>
    <row r="18" spans="1:21" ht="15" customHeight="1" x14ac:dyDescent="0.25">
      <c r="A18" s="10">
        <v>2</v>
      </c>
      <c r="B18" s="48">
        <v>44208</v>
      </c>
      <c r="C18" s="17">
        <v>150</v>
      </c>
      <c r="D18" s="17">
        <v>150</v>
      </c>
      <c r="E18" s="16">
        <v>44208</v>
      </c>
      <c r="F18" t="s">
        <v>117</v>
      </c>
      <c r="H18" s="17">
        <f t="shared" si="0"/>
        <v>0</v>
      </c>
      <c r="I18" s="17"/>
      <c r="J18" s="17" t="s">
        <v>478</v>
      </c>
      <c r="K18" s="17"/>
      <c r="L18" s="10"/>
      <c r="M18" s="48"/>
      <c r="N18" s="17"/>
      <c r="O18" s="17"/>
      <c r="P18" s="16"/>
      <c r="R18" s="31"/>
      <c r="S18" s="17">
        <f t="shared" si="1"/>
        <v>0</v>
      </c>
      <c r="T18" s="17"/>
      <c r="U18" s="17"/>
    </row>
    <row r="19" spans="1:21" ht="15" customHeight="1" x14ac:dyDescent="0.25">
      <c r="A19" s="10">
        <v>3</v>
      </c>
      <c r="B19" s="48">
        <v>44215</v>
      </c>
      <c r="C19" s="17">
        <v>150</v>
      </c>
      <c r="D19" s="17">
        <v>150</v>
      </c>
      <c r="E19" s="16">
        <v>44214</v>
      </c>
      <c r="F19" t="s">
        <v>117</v>
      </c>
      <c r="H19" s="17">
        <f t="shared" si="0"/>
        <v>0</v>
      </c>
      <c r="I19" s="17"/>
      <c r="J19" s="17" t="s">
        <v>478</v>
      </c>
      <c r="K19" s="17"/>
      <c r="L19" s="10"/>
      <c r="M19" s="48"/>
      <c r="N19" s="17"/>
      <c r="O19" s="17"/>
      <c r="P19" s="16"/>
      <c r="R19" s="31"/>
      <c r="S19" s="17">
        <f t="shared" si="1"/>
        <v>0</v>
      </c>
      <c r="T19" s="17"/>
      <c r="U19" s="17"/>
    </row>
    <row r="20" spans="1:21" ht="15" customHeight="1" x14ac:dyDescent="0.25">
      <c r="A20" s="10">
        <v>4</v>
      </c>
      <c r="B20" s="48">
        <v>44222</v>
      </c>
      <c r="C20" s="17">
        <v>160</v>
      </c>
      <c r="D20" s="17">
        <v>160</v>
      </c>
      <c r="E20" s="16">
        <v>44223</v>
      </c>
      <c r="F20" t="s">
        <v>117</v>
      </c>
      <c r="H20" s="17">
        <f t="shared" si="0"/>
        <v>0</v>
      </c>
      <c r="I20" s="17"/>
      <c r="J20" s="17" t="s">
        <v>478</v>
      </c>
      <c r="K20" s="17"/>
      <c r="L20" s="10"/>
      <c r="M20" s="48"/>
      <c r="N20" s="17"/>
      <c r="O20" s="17"/>
      <c r="P20" s="16"/>
      <c r="R20" s="31"/>
      <c r="S20" s="17">
        <f t="shared" si="1"/>
        <v>0</v>
      </c>
      <c r="T20" s="17"/>
      <c r="U20" s="17"/>
    </row>
    <row r="21" spans="1:21" ht="15" customHeight="1" x14ac:dyDescent="0.25">
      <c r="A21" s="10">
        <v>5</v>
      </c>
      <c r="B21" s="48">
        <v>44229</v>
      </c>
      <c r="C21" s="17">
        <v>150</v>
      </c>
      <c r="D21" s="17">
        <v>150</v>
      </c>
      <c r="E21" s="16">
        <v>44232</v>
      </c>
      <c r="F21" t="s">
        <v>117</v>
      </c>
      <c r="H21" s="17">
        <f t="shared" si="0"/>
        <v>0</v>
      </c>
      <c r="I21" s="17"/>
      <c r="J21" s="17" t="s">
        <v>478</v>
      </c>
      <c r="K21" s="17"/>
      <c r="L21" s="10"/>
      <c r="M21" s="48"/>
      <c r="N21" s="17"/>
      <c r="O21" s="17"/>
      <c r="P21" s="16"/>
      <c r="R21" s="31"/>
      <c r="S21" s="17">
        <f t="shared" si="1"/>
        <v>0</v>
      </c>
      <c r="T21" s="17"/>
      <c r="U21" s="17"/>
    </row>
    <row r="22" spans="1:21" ht="15" customHeight="1" x14ac:dyDescent="0.25">
      <c r="A22" s="10">
        <v>6</v>
      </c>
      <c r="B22" s="48">
        <v>44236</v>
      </c>
      <c r="C22" s="17">
        <v>150</v>
      </c>
      <c r="D22" s="17"/>
      <c r="E22" s="16"/>
      <c r="H22" s="17">
        <f t="shared" si="0"/>
        <v>150</v>
      </c>
      <c r="I22" s="17"/>
      <c r="J22" s="17" t="s">
        <v>478</v>
      </c>
      <c r="K22" s="17"/>
      <c r="L22" s="10"/>
      <c r="M22" s="48"/>
      <c r="N22" s="17"/>
      <c r="O22" s="17"/>
      <c r="P22" s="16"/>
      <c r="R22" s="31"/>
      <c r="S22" s="17">
        <f t="shared" si="1"/>
        <v>0</v>
      </c>
      <c r="T22" s="17"/>
      <c r="U22" s="17"/>
    </row>
    <row r="23" spans="1:21" ht="15" customHeight="1" x14ac:dyDescent="0.25">
      <c r="A23" s="10">
        <v>7</v>
      </c>
      <c r="B23" s="48">
        <v>44243</v>
      </c>
      <c r="C23" s="17">
        <v>150</v>
      </c>
      <c r="D23" s="17">
        <v>300</v>
      </c>
      <c r="E23" s="16">
        <v>44244</v>
      </c>
      <c r="F23" t="s">
        <v>117</v>
      </c>
      <c r="H23" s="17">
        <f t="shared" si="0"/>
        <v>0</v>
      </c>
      <c r="I23" s="17"/>
      <c r="J23" s="17" t="s">
        <v>478</v>
      </c>
      <c r="K23" s="17"/>
      <c r="L23" s="10"/>
      <c r="M23" s="48"/>
      <c r="N23" s="17"/>
      <c r="O23" s="17"/>
      <c r="P23" s="16"/>
      <c r="R23" s="31"/>
      <c r="S23" s="17">
        <f t="shared" si="1"/>
        <v>0</v>
      </c>
      <c r="T23" s="17"/>
      <c r="U23" s="17"/>
    </row>
    <row r="24" spans="1:21" ht="15" customHeight="1" x14ac:dyDescent="0.25">
      <c r="A24" s="10">
        <v>8</v>
      </c>
      <c r="B24" s="48">
        <v>44250</v>
      </c>
      <c r="C24" s="17">
        <v>150</v>
      </c>
      <c r="D24" s="17">
        <v>700</v>
      </c>
      <c r="E24" s="16">
        <v>44253</v>
      </c>
      <c r="F24" t="s">
        <v>117</v>
      </c>
      <c r="H24" s="17">
        <f t="shared" si="0"/>
        <v>-550</v>
      </c>
      <c r="I24" s="17"/>
      <c r="J24" s="17" t="s">
        <v>16</v>
      </c>
      <c r="K24" s="17"/>
      <c r="L24" s="10"/>
      <c r="M24" s="48"/>
      <c r="N24" s="17"/>
      <c r="O24" s="17"/>
      <c r="P24" s="16"/>
      <c r="R24" s="31"/>
      <c r="S24" s="17">
        <f t="shared" si="1"/>
        <v>0</v>
      </c>
      <c r="T24" s="17"/>
      <c r="U24" s="17"/>
    </row>
    <row r="25" spans="1:21" ht="15" customHeight="1" x14ac:dyDescent="0.25">
      <c r="A25" s="10">
        <v>9</v>
      </c>
      <c r="B25" s="48">
        <v>44257</v>
      </c>
      <c r="C25" s="17">
        <v>150</v>
      </c>
      <c r="D25" s="17"/>
      <c r="E25" s="16"/>
      <c r="H25" s="17">
        <f t="shared" si="0"/>
        <v>-400</v>
      </c>
      <c r="I25" s="17"/>
      <c r="J25" s="17" t="s">
        <v>16</v>
      </c>
      <c r="K25" s="17"/>
      <c r="L25" s="10"/>
      <c r="M25" s="48"/>
      <c r="N25" s="17"/>
      <c r="O25" s="17"/>
      <c r="P25" s="16"/>
      <c r="R25" s="31"/>
      <c r="S25" s="17">
        <f t="shared" si="1"/>
        <v>0</v>
      </c>
      <c r="T25" s="17"/>
      <c r="U25" s="17"/>
    </row>
    <row r="26" spans="1:21" ht="15" customHeight="1" x14ac:dyDescent="0.25">
      <c r="A26" s="10">
        <v>10</v>
      </c>
      <c r="B26" s="48">
        <v>44264</v>
      </c>
      <c r="C26" s="17">
        <v>150</v>
      </c>
      <c r="D26" s="17"/>
      <c r="E26" s="16"/>
      <c r="H26" s="17">
        <f t="shared" si="0"/>
        <v>-250</v>
      </c>
      <c r="I26" s="17"/>
      <c r="J26" s="17" t="s">
        <v>16</v>
      </c>
      <c r="K26" s="17"/>
      <c r="L26" s="10"/>
      <c r="M26" s="48"/>
      <c r="N26" s="17"/>
      <c r="O26" s="17"/>
      <c r="P26" s="16"/>
      <c r="R26" s="31"/>
      <c r="S26" s="17">
        <f t="shared" si="1"/>
        <v>0</v>
      </c>
      <c r="T26" s="17"/>
      <c r="U26" s="17"/>
    </row>
    <row r="27" spans="1:21" ht="15" customHeight="1" x14ac:dyDescent="0.25">
      <c r="A27" s="10">
        <v>11</v>
      </c>
      <c r="B27" s="48">
        <v>44271</v>
      </c>
      <c r="C27" s="17">
        <v>150</v>
      </c>
      <c r="D27" s="17"/>
      <c r="E27" s="16"/>
      <c r="H27" s="17">
        <f t="shared" si="0"/>
        <v>-100</v>
      </c>
      <c r="I27" s="17"/>
      <c r="J27" s="17" t="s">
        <v>16</v>
      </c>
      <c r="K27" s="17"/>
      <c r="L27" s="10"/>
      <c r="M27" s="48"/>
      <c r="N27" s="17"/>
      <c r="O27" s="17"/>
      <c r="P27" s="16"/>
      <c r="R27" s="31"/>
      <c r="S27" s="17">
        <f t="shared" si="1"/>
        <v>0</v>
      </c>
      <c r="T27" s="17"/>
      <c r="U27" s="17"/>
    </row>
    <row r="28" spans="1:21" ht="15" customHeight="1" x14ac:dyDescent="0.25">
      <c r="A28" s="10">
        <v>12</v>
      </c>
      <c r="B28" s="48">
        <v>44278</v>
      </c>
      <c r="C28" s="17">
        <v>150</v>
      </c>
      <c r="D28" s="17"/>
      <c r="E28" s="16"/>
      <c r="H28" s="17">
        <f t="shared" si="0"/>
        <v>50</v>
      </c>
      <c r="I28" s="17"/>
      <c r="J28" s="17" t="s">
        <v>16</v>
      </c>
      <c r="K28" s="17"/>
      <c r="L28" s="10"/>
      <c r="M28" s="48"/>
      <c r="N28" s="17"/>
      <c r="O28" s="17"/>
      <c r="P28" s="16"/>
      <c r="R28" s="31"/>
      <c r="S28" s="17">
        <f t="shared" si="1"/>
        <v>0</v>
      </c>
      <c r="T28" s="17"/>
      <c r="U28" s="17"/>
    </row>
    <row r="29" spans="1:21" ht="15" customHeight="1" x14ac:dyDescent="0.25">
      <c r="A29" s="10">
        <v>13</v>
      </c>
      <c r="B29" s="48">
        <v>44285</v>
      </c>
      <c r="C29" s="17">
        <v>150</v>
      </c>
      <c r="D29" s="17">
        <v>200</v>
      </c>
      <c r="E29" s="16">
        <v>44288</v>
      </c>
      <c r="F29" t="s">
        <v>124</v>
      </c>
      <c r="H29" s="17">
        <f t="shared" si="0"/>
        <v>0</v>
      </c>
      <c r="I29" s="17"/>
      <c r="J29" s="17" t="s">
        <v>16</v>
      </c>
      <c r="K29" s="17"/>
      <c r="L29" s="10"/>
      <c r="M29" s="48"/>
      <c r="N29" s="17"/>
      <c r="O29" s="17"/>
      <c r="P29" s="16"/>
      <c r="R29" s="31"/>
      <c r="S29" s="17">
        <f t="shared" si="1"/>
        <v>0</v>
      </c>
      <c r="T29" s="17"/>
      <c r="U29" s="17"/>
    </row>
    <row r="30" spans="1:21" ht="15" customHeight="1" x14ac:dyDescent="0.25">
      <c r="A30" s="10">
        <v>14</v>
      </c>
      <c r="B30" s="48">
        <v>44292</v>
      </c>
      <c r="C30" s="17">
        <v>150</v>
      </c>
      <c r="D30" s="17">
        <v>150</v>
      </c>
      <c r="E30" s="16">
        <v>44344</v>
      </c>
      <c r="F30" t="s">
        <v>117</v>
      </c>
      <c r="H30" s="17">
        <f t="shared" si="0"/>
        <v>0</v>
      </c>
      <c r="I30" s="17"/>
      <c r="J30" s="17" t="s">
        <v>478</v>
      </c>
      <c r="K30" s="17"/>
      <c r="L30" s="10"/>
      <c r="M30" s="48"/>
      <c r="N30" s="17"/>
      <c r="O30" s="17"/>
      <c r="P30" s="16"/>
      <c r="R30" s="31"/>
      <c r="S30" s="17">
        <f t="shared" si="1"/>
        <v>0</v>
      </c>
      <c r="T30" s="17"/>
      <c r="U30" s="17"/>
    </row>
    <row r="31" spans="1:21" ht="15" customHeight="1" x14ac:dyDescent="0.25">
      <c r="A31" s="10">
        <v>15</v>
      </c>
      <c r="B31" s="48">
        <v>44299</v>
      </c>
      <c r="C31" s="17">
        <v>150</v>
      </c>
      <c r="D31" s="17">
        <v>150</v>
      </c>
      <c r="E31" s="16">
        <v>44301</v>
      </c>
      <c r="F31" t="s">
        <v>124</v>
      </c>
      <c r="H31" s="17">
        <f t="shared" si="0"/>
        <v>0</v>
      </c>
      <c r="I31" s="17"/>
      <c r="J31" s="17" t="s">
        <v>478</v>
      </c>
      <c r="K31" s="17"/>
      <c r="L31" s="10"/>
      <c r="M31" s="48"/>
      <c r="N31" s="17"/>
      <c r="O31" s="17"/>
      <c r="R31" s="31"/>
      <c r="S31" s="17">
        <f t="shared" si="1"/>
        <v>0</v>
      </c>
      <c r="T31" s="17"/>
      <c r="U31" s="17"/>
    </row>
    <row r="32" spans="1:21" ht="15" customHeight="1" x14ac:dyDescent="0.25">
      <c r="A32" s="10" t="s">
        <v>562</v>
      </c>
      <c r="B32" s="48">
        <v>44201</v>
      </c>
      <c r="C32" s="17">
        <v>-418</v>
      </c>
      <c r="D32" s="17">
        <v>-418</v>
      </c>
      <c r="G32" s="31" t="s">
        <v>468</v>
      </c>
      <c r="H32" s="17">
        <f t="shared" si="0"/>
        <v>0</v>
      </c>
      <c r="I32" s="17"/>
      <c r="J32" s="17" t="s">
        <v>465</v>
      </c>
      <c r="K32" s="17"/>
      <c r="L32" s="10"/>
      <c r="M32" s="48"/>
      <c r="N32" s="17"/>
      <c r="O32" s="17"/>
      <c r="R32" s="31"/>
      <c r="S32" s="17">
        <f t="shared" si="1"/>
        <v>0</v>
      </c>
      <c r="T32" s="17"/>
      <c r="U32" s="17"/>
    </row>
    <row r="33" spans="1:21" ht="15" customHeight="1" x14ac:dyDescent="0.25">
      <c r="A33" s="10" t="s">
        <v>562</v>
      </c>
      <c r="B33" s="48">
        <v>44176</v>
      </c>
      <c r="C33" s="17">
        <v>-382.5</v>
      </c>
      <c r="D33" s="17">
        <v>-382.5</v>
      </c>
      <c r="G33" s="31" t="s">
        <v>468</v>
      </c>
      <c r="H33" s="17">
        <f t="shared" si="0"/>
        <v>0</v>
      </c>
      <c r="I33" s="17"/>
      <c r="J33" s="17" t="s">
        <v>465</v>
      </c>
      <c r="K33" s="17"/>
      <c r="L33" s="10"/>
      <c r="M33" s="48"/>
      <c r="N33" s="17"/>
      <c r="O33" s="17"/>
      <c r="R33" s="31"/>
      <c r="S33" s="17">
        <f t="shared" si="1"/>
        <v>0</v>
      </c>
      <c r="T33" s="17"/>
      <c r="U33" s="17"/>
    </row>
    <row r="34" spans="1:21" ht="15" customHeight="1" x14ac:dyDescent="0.25">
      <c r="A34" s="10" t="s">
        <v>562</v>
      </c>
      <c r="B34" s="48">
        <v>44205</v>
      </c>
      <c r="C34" s="17">
        <v>-145</v>
      </c>
      <c r="D34" s="17">
        <v>-145</v>
      </c>
      <c r="G34" s="31" t="s">
        <v>16</v>
      </c>
      <c r="H34" s="17">
        <f t="shared" ref="H34:H58" si="2">IFERROR((C34-D34+H33),"")</f>
        <v>0</v>
      </c>
      <c r="I34" s="17"/>
      <c r="J34" s="17" t="s">
        <v>478</v>
      </c>
      <c r="K34" s="17"/>
      <c r="L34" s="10"/>
      <c r="M34" s="48"/>
      <c r="N34" s="17"/>
      <c r="O34" s="17"/>
      <c r="R34" s="31"/>
      <c r="S34" s="17">
        <f>IFERROR((N34-O34+S33),"")</f>
        <v>0</v>
      </c>
      <c r="T34" s="17"/>
      <c r="U34" s="17"/>
    </row>
    <row r="35" spans="1:21" ht="15" customHeight="1" x14ac:dyDescent="0.25">
      <c r="A35" s="10" t="s">
        <v>562</v>
      </c>
      <c r="B35" s="48">
        <v>44228</v>
      </c>
      <c r="C35" s="17">
        <v>-250</v>
      </c>
      <c r="D35" s="17">
        <v>-250</v>
      </c>
      <c r="G35" s="31" t="s">
        <v>468</v>
      </c>
      <c r="H35" s="17">
        <f t="shared" si="2"/>
        <v>0</v>
      </c>
      <c r="I35" s="17"/>
      <c r="J35" s="17" t="s">
        <v>478</v>
      </c>
      <c r="K35" s="17"/>
      <c r="L35" s="10"/>
      <c r="M35" s="48"/>
      <c r="N35" s="17"/>
      <c r="O35" s="17"/>
    </row>
    <row r="36" spans="1:21" ht="15" customHeight="1" x14ac:dyDescent="0.25">
      <c r="A36" s="10" t="s">
        <v>562</v>
      </c>
      <c r="B36" s="48">
        <v>44236</v>
      </c>
      <c r="C36" s="17">
        <v>-145</v>
      </c>
      <c r="D36" s="17">
        <v>-145</v>
      </c>
      <c r="G36" s="31" t="s">
        <v>16</v>
      </c>
      <c r="H36" s="17">
        <f t="shared" si="2"/>
        <v>0</v>
      </c>
      <c r="I36" s="17"/>
      <c r="J36" s="17" t="s">
        <v>478</v>
      </c>
      <c r="K36" s="17"/>
      <c r="L36" s="10"/>
      <c r="M36" s="48"/>
      <c r="N36" s="17"/>
      <c r="O36" s="17"/>
    </row>
    <row r="37" spans="1:21" ht="15" customHeight="1" x14ac:dyDescent="0.25">
      <c r="A37" s="10" t="s">
        <v>562</v>
      </c>
      <c r="B37" s="48">
        <v>44243</v>
      </c>
      <c r="C37" s="17">
        <v>55</v>
      </c>
      <c r="D37" s="17">
        <v>55</v>
      </c>
      <c r="G37" s="31" t="s">
        <v>16</v>
      </c>
      <c r="H37" s="17">
        <f t="shared" si="2"/>
        <v>0</v>
      </c>
      <c r="I37" s="17"/>
      <c r="J37" s="17" t="s">
        <v>478</v>
      </c>
      <c r="K37" s="17"/>
      <c r="L37" s="48"/>
      <c r="M37" s="17"/>
    </row>
    <row r="38" spans="1:21" ht="15" customHeight="1" x14ac:dyDescent="0.25">
      <c r="A38" s="10" t="s">
        <v>562</v>
      </c>
      <c r="B38" s="48">
        <v>44260</v>
      </c>
      <c r="C38" s="17">
        <v>-417.5</v>
      </c>
      <c r="D38" s="17">
        <v>-417.5</v>
      </c>
      <c r="G38" s="31" t="s">
        <v>468</v>
      </c>
      <c r="H38" s="17">
        <f t="shared" si="2"/>
        <v>0</v>
      </c>
      <c r="I38" s="17"/>
      <c r="J38" s="17" t="s">
        <v>478</v>
      </c>
      <c r="K38" s="17"/>
      <c r="L38" s="48"/>
      <c r="M38" s="17"/>
    </row>
    <row r="39" spans="1:21" ht="15" customHeight="1" x14ac:dyDescent="0.25">
      <c r="A39" s="10" t="s">
        <v>562</v>
      </c>
      <c r="B39" s="48">
        <v>44264</v>
      </c>
      <c r="C39" s="17">
        <v>-70</v>
      </c>
      <c r="D39" s="17">
        <v>-70</v>
      </c>
      <c r="G39" s="31" t="s">
        <v>16</v>
      </c>
      <c r="H39" s="17">
        <f t="shared" si="2"/>
        <v>0</v>
      </c>
      <c r="I39" s="17"/>
      <c r="J39" s="17" t="s">
        <v>478</v>
      </c>
      <c r="K39" s="17"/>
      <c r="L39" s="48"/>
      <c r="M39" s="17"/>
    </row>
    <row r="40" spans="1:21" ht="15" customHeight="1" x14ac:dyDescent="0.25">
      <c r="A40" s="10" t="s">
        <v>562</v>
      </c>
      <c r="B40" s="48">
        <v>44293</v>
      </c>
      <c r="C40" s="17">
        <v>-30.62</v>
      </c>
      <c r="D40" s="17">
        <v>-30.62</v>
      </c>
      <c r="G40" s="31" t="s">
        <v>32</v>
      </c>
      <c r="H40" s="17">
        <f t="shared" si="2"/>
        <v>0</v>
      </c>
      <c r="I40" s="17"/>
      <c r="J40" s="17" t="s">
        <v>478</v>
      </c>
      <c r="K40" s="17"/>
      <c r="L40" s="48"/>
      <c r="M40" s="17"/>
    </row>
    <row r="41" spans="1:21" ht="15" customHeight="1" x14ac:dyDescent="0.25">
      <c r="A41" s="10" t="s">
        <v>562</v>
      </c>
      <c r="B41" s="48">
        <v>44295</v>
      </c>
      <c r="C41" s="17">
        <v>-70</v>
      </c>
      <c r="D41" s="17">
        <v>-70</v>
      </c>
      <c r="G41" s="31" t="s">
        <v>16</v>
      </c>
      <c r="H41" s="17">
        <f t="shared" si="2"/>
        <v>0</v>
      </c>
      <c r="I41" s="17"/>
      <c r="J41" s="17" t="s">
        <v>478</v>
      </c>
      <c r="K41" s="17"/>
      <c r="L41" s="48"/>
      <c r="M41" s="17"/>
    </row>
    <row r="42" spans="1:21" ht="15" customHeight="1" x14ac:dyDescent="0.25">
      <c r="A42" s="10" t="s">
        <v>562</v>
      </c>
      <c r="B42" s="48">
        <v>44296</v>
      </c>
      <c r="C42" s="17">
        <v>-362.5</v>
      </c>
      <c r="D42" s="17">
        <v>-362.5</v>
      </c>
      <c r="G42" s="31" t="s">
        <v>468</v>
      </c>
      <c r="H42" s="17">
        <f t="shared" si="2"/>
        <v>0</v>
      </c>
      <c r="I42" s="17"/>
      <c r="J42" s="17" t="s">
        <v>478</v>
      </c>
      <c r="K42" s="17"/>
      <c r="L42" s="48"/>
      <c r="M42" s="17"/>
    </row>
    <row r="43" spans="1:21" ht="15" customHeight="1" x14ac:dyDescent="0.25">
      <c r="A43" s="10" t="s">
        <v>562</v>
      </c>
      <c r="B43" s="48">
        <v>44307</v>
      </c>
      <c r="C43" s="17">
        <v>-2</v>
      </c>
      <c r="D43" s="17">
        <v>-2</v>
      </c>
      <c r="G43" s="31" t="s">
        <v>57</v>
      </c>
      <c r="H43" s="17">
        <f t="shared" si="2"/>
        <v>0</v>
      </c>
      <c r="I43" s="17"/>
      <c r="J43" s="17" t="s">
        <v>478</v>
      </c>
      <c r="K43" s="17"/>
      <c r="L43" s="48"/>
      <c r="M43" s="17"/>
    </row>
    <row r="44" spans="1:21" ht="15" customHeight="1" x14ac:dyDescent="0.25">
      <c r="A44" s="10" t="s">
        <v>562</v>
      </c>
      <c r="B44" s="48">
        <v>44306</v>
      </c>
      <c r="C44" s="17">
        <v>-300</v>
      </c>
      <c r="D44" s="17">
        <v>-300</v>
      </c>
      <c r="E44" s="16">
        <v>44306</v>
      </c>
      <c r="G44" s="31" t="s">
        <v>45</v>
      </c>
      <c r="H44" s="17">
        <f t="shared" si="2"/>
        <v>0</v>
      </c>
      <c r="I44" s="17"/>
      <c r="J44" s="17" t="s">
        <v>478</v>
      </c>
      <c r="K44" s="17"/>
      <c r="L44" s="48"/>
      <c r="M44" s="17"/>
    </row>
    <row r="45" spans="1:21" ht="15" customHeight="1" x14ac:dyDescent="0.25">
      <c r="A45" s="10" t="s">
        <v>562</v>
      </c>
      <c r="B45" s="48">
        <v>44333</v>
      </c>
      <c r="C45" s="17">
        <v>-212.5</v>
      </c>
      <c r="D45" s="17">
        <v>-212.5</v>
      </c>
      <c r="E45" s="16">
        <v>44333</v>
      </c>
      <c r="G45" s="31" t="s">
        <v>468</v>
      </c>
      <c r="H45" s="17">
        <f t="shared" si="2"/>
        <v>0</v>
      </c>
      <c r="I45" s="17"/>
      <c r="J45" s="17" t="s">
        <v>478</v>
      </c>
      <c r="K45" s="17"/>
      <c r="L45" s="48"/>
      <c r="M45" s="17"/>
    </row>
    <row r="46" spans="1:21" ht="15" customHeight="1" x14ac:dyDescent="0.25">
      <c r="B46" s="48"/>
      <c r="C46" s="17"/>
      <c r="D46" s="17"/>
      <c r="H46" s="17">
        <f t="shared" si="2"/>
        <v>0</v>
      </c>
      <c r="I46" s="17"/>
      <c r="J46" s="17"/>
      <c r="K46" s="17"/>
      <c r="L46" s="48"/>
      <c r="M46" s="17"/>
    </row>
    <row r="47" spans="1:21" ht="15" customHeight="1" x14ac:dyDescent="0.25">
      <c r="B47" s="48"/>
      <c r="C47" s="17"/>
      <c r="D47" s="17"/>
      <c r="H47" s="17">
        <f t="shared" si="2"/>
        <v>0</v>
      </c>
      <c r="I47" s="17"/>
      <c r="J47" s="17"/>
      <c r="K47" s="17"/>
      <c r="L47" s="48"/>
      <c r="M47" s="17"/>
    </row>
    <row r="48" spans="1:21" ht="15" customHeight="1" x14ac:dyDescent="0.25">
      <c r="B48" s="48"/>
      <c r="C48" s="17"/>
      <c r="D48" s="17"/>
      <c r="H48" s="17">
        <f t="shared" si="2"/>
        <v>0</v>
      </c>
      <c r="I48" s="17"/>
      <c r="J48" s="17"/>
      <c r="K48" s="17"/>
      <c r="L48" s="48"/>
      <c r="M48" s="17"/>
    </row>
    <row r="49" spans="1:13" ht="15" customHeight="1" x14ac:dyDescent="0.25">
      <c r="B49" s="48"/>
      <c r="C49" s="17"/>
      <c r="D49" s="17"/>
      <c r="H49" s="17">
        <f t="shared" si="2"/>
        <v>0</v>
      </c>
      <c r="I49" s="17"/>
      <c r="J49" s="17"/>
      <c r="K49" s="17"/>
      <c r="L49" s="48"/>
      <c r="M49" s="17"/>
    </row>
    <row r="50" spans="1:13" ht="15" customHeight="1" x14ac:dyDescent="0.25">
      <c r="A50" s="10" t="s">
        <v>18</v>
      </c>
      <c r="B50" s="48" t="str">
        <f>IF($A50&lt;&gt;"",IF(_term=26,IF(A50=1,first_payment,B49+14),IF(_term=52,IF(A50=1,first_payment,B49+7),DATE(YEAR(first_payment),MONTH(first_payment)+(A50-1)*per_year,IF(_term=24,IF(1-MOD(A50,2)=1,DAY(first_payment)+14,DAY(first_payment)),DAY(first_payment))))),"")</f>
        <v/>
      </c>
      <c r="C50" s="17" t="str">
        <f>IF($A50&lt;&gt;"",_rent_amount+IF(#REF!&gt;0,0,#REF!),"")</f>
        <v/>
      </c>
      <c r="D50" s="17"/>
      <c r="H50" s="17" t="str">
        <f t="shared" si="2"/>
        <v/>
      </c>
      <c r="I50" s="17"/>
      <c r="J50" s="17"/>
      <c r="K50" s="17"/>
      <c r="L50" s="48"/>
      <c r="M50" s="17"/>
    </row>
    <row r="51" spans="1:13" ht="15" customHeight="1" x14ac:dyDescent="0.25">
      <c r="A51" s="10" t="s">
        <v>18</v>
      </c>
      <c r="B51" s="48" t="str">
        <f>IF($A51&lt;&gt;"",IF(_term=26,IF(A51=1,first_payment,B50+14),IF(_term=52,IF(A51=1,first_payment,B50+7),DATE(YEAR(first_payment),MONTH(first_payment)+(A51-1)*per_year,IF(_term=24,IF(1-MOD(A51,2)=1,DAY(first_payment)+14,DAY(first_payment)),DAY(first_payment))))),"")</f>
        <v/>
      </c>
      <c r="C51" s="17" t="str">
        <f>IF($A51&lt;&gt;"",_rent_amount+IF(#REF!&gt;0,0,#REF!),"")</f>
        <v/>
      </c>
      <c r="D51" s="17"/>
      <c r="H51" s="17" t="str">
        <f t="shared" si="2"/>
        <v/>
      </c>
      <c r="I51" s="17"/>
      <c r="J51" s="17"/>
      <c r="K51" s="17"/>
      <c r="L51" s="48"/>
      <c r="M51" s="17"/>
    </row>
    <row r="52" spans="1:13" ht="15" customHeight="1" x14ac:dyDescent="0.25">
      <c r="A52" s="10" t="s">
        <v>18</v>
      </c>
      <c r="B52" s="48" t="str">
        <f>IF($A52&lt;&gt;"",IF(_term=26,IF(A52=1,first_payment,B51+14),IF(_term=52,IF(A52=1,first_payment,B51+7),DATE(YEAR(first_payment),MONTH(first_payment)+(A52-1)*per_year,IF(_term=24,IF(1-MOD(A52,2)=1,DAY(first_payment)+14,DAY(first_payment)),DAY(first_payment))))),"")</f>
        <v/>
      </c>
      <c r="C52" s="17" t="str">
        <f>IF($A52&lt;&gt;"",_rent_amount+IF(#REF!&gt;0,0,#REF!),"")</f>
        <v/>
      </c>
      <c r="D52" s="17"/>
      <c r="H52" s="17" t="str">
        <f t="shared" si="2"/>
        <v/>
      </c>
      <c r="I52" s="17"/>
      <c r="J52" s="17"/>
      <c r="K52" s="17"/>
      <c r="L52" s="48"/>
      <c r="M52" s="17"/>
    </row>
    <row r="53" spans="1:13" ht="15" customHeight="1" x14ac:dyDescent="0.25">
      <c r="A53" s="10" t="s">
        <v>18</v>
      </c>
      <c r="B53" s="48" t="str">
        <f>IF($A53&lt;&gt;"",IF(_term=26,IF(A53=1,first_payment,B52+14),IF(_term=52,IF(A53=1,first_payment,B52+7),DATE(YEAR(first_payment),MONTH(first_payment)+(A53-1)*per_year,IF(_term=24,IF(1-MOD(A53,2)=1,DAY(first_payment)+14,DAY(first_payment)),DAY(first_payment))))),"")</f>
        <v/>
      </c>
      <c r="C53" s="17" t="str">
        <f>IF($A53&lt;&gt;"",_rent_amount+IF(#REF!&gt;0,0,#REF!),"")</f>
        <v/>
      </c>
      <c r="D53" s="17"/>
      <c r="H53" s="17" t="str">
        <f t="shared" si="2"/>
        <v/>
      </c>
      <c r="I53" s="17"/>
      <c r="J53" s="17"/>
      <c r="K53" s="17"/>
      <c r="L53" s="48"/>
      <c r="M53" s="17"/>
    </row>
    <row r="54" spans="1:13" ht="15" customHeight="1" x14ac:dyDescent="0.25">
      <c r="A54" s="10" t="s">
        <v>18</v>
      </c>
      <c r="B54" s="48" t="str">
        <f>IF($A54&lt;&gt;"",IF(_term=26,IF(A54=1,first_payment,B53+14),IF(_term=52,IF(A54=1,first_payment,B53+7),DATE(YEAR(first_payment),MONTH(first_payment)+(A54-1)*per_year,IF(_term=24,IF(1-MOD(A54,2)=1,DAY(first_payment)+14,DAY(first_payment)),DAY(first_payment))))),"")</f>
        <v/>
      </c>
      <c r="C54" s="17" t="str">
        <f>IF($A54&lt;&gt;"",_rent_amount+IF(#REF!&gt;0,0,#REF!),"")</f>
        <v/>
      </c>
      <c r="D54" s="17"/>
      <c r="H54" s="17" t="str">
        <f t="shared" si="2"/>
        <v/>
      </c>
      <c r="I54" s="17"/>
      <c r="J54" s="17"/>
      <c r="K54" s="17"/>
      <c r="L54" s="48"/>
      <c r="M54" s="17"/>
    </row>
    <row r="55" spans="1:13" ht="15" customHeight="1" x14ac:dyDescent="0.25">
      <c r="A55" s="10" t="s">
        <v>18</v>
      </c>
      <c r="B55" s="48" t="str">
        <f>IF($A55&lt;&gt;"",IF(_term=26,IF(A55=1,first_payment,B54+14),IF(_term=52,IF(A55=1,first_payment,B54+7),DATE(YEAR(first_payment),MONTH(first_payment)+(A55-1)*per_year,IF(_term=24,IF(1-MOD(A55,2)=1,DAY(first_payment)+14,DAY(first_payment)),DAY(first_payment))))),"")</f>
        <v/>
      </c>
      <c r="C55" s="17" t="str">
        <f>IF($A55&lt;&gt;"",_rent_amount+IF(#REF!&gt;0,0,#REF!),"")</f>
        <v/>
      </c>
      <c r="D55" s="17"/>
      <c r="H55" s="17" t="str">
        <f t="shared" si="2"/>
        <v/>
      </c>
      <c r="I55" s="17"/>
      <c r="J55" s="17"/>
      <c r="K55" s="17"/>
      <c r="L55" s="48"/>
      <c r="M55" s="17"/>
    </row>
    <row r="56" spans="1:13" ht="15" customHeight="1" x14ac:dyDescent="0.25">
      <c r="A56" s="10" t="s">
        <v>18</v>
      </c>
      <c r="B56" s="48" t="str">
        <f>IF($A56&lt;&gt;"",IF(_term=26,IF(A56=1,first_payment,B55+14),IF(_term=52,IF(A56=1,first_payment,B55+7),DATE(YEAR(first_payment),MONTH(first_payment)+(A56-1)*per_year,IF(_term=24,IF(1-MOD(A56,2)=1,DAY(first_payment)+14,DAY(first_payment)),DAY(first_payment))))),"")</f>
        <v/>
      </c>
      <c r="C56" s="17" t="str">
        <f>IF($A56&lt;&gt;"",_rent_amount+IF(#REF!&gt;0,0,#REF!),"")</f>
        <v/>
      </c>
      <c r="D56" s="17"/>
      <c r="H56" s="17" t="str">
        <f t="shared" si="2"/>
        <v/>
      </c>
      <c r="I56" s="17"/>
      <c r="J56" s="17"/>
      <c r="K56" s="17"/>
      <c r="L56" s="48"/>
      <c r="M56" s="17"/>
    </row>
    <row r="57" spans="1:13" ht="15" customHeight="1" x14ac:dyDescent="0.25">
      <c r="A57" s="10" t="s">
        <v>18</v>
      </c>
      <c r="B57" s="48" t="str">
        <f>IF($A57&lt;&gt;"",IF(_term=26,IF(A57=1,first_payment,B56+14),IF(_term=52,IF(A57=1,first_payment,B56+7),DATE(YEAR(first_payment),MONTH(first_payment)+(A57-1)*per_year,IF(_term=24,IF(1-MOD(A57,2)=1,DAY(first_payment)+14,DAY(first_payment)),DAY(first_payment))))),"")</f>
        <v/>
      </c>
      <c r="C57" s="17" t="str">
        <f>IF($A57&lt;&gt;"",_rent_amount+IF(#REF!&gt;0,0,#REF!),"")</f>
        <v/>
      </c>
      <c r="D57" s="17"/>
      <c r="H57" s="17" t="str">
        <f t="shared" si="2"/>
        <v/>
      </c>
      <c r="I57" s="17"/>
      <c r="J57" s="17"/>
      <c r="K57" s="17"/>
      <c r="L57" s="48"/>
      <c r="M57" s="17"/>
    </row>
    <row r="58" spans="1:13" ht="15" customHeight="1" x14ac:dyDescent="0.25">
      <c r="A58" s="10" t="s">
        <v>18</v>
      </c>
      <c r="B58" s="48" t="str">
        <f>IF($A58&lt;&gt;"",IF(_term=26,IF(A58=1,first_payment,B57+14),IF(_term=52,IF(A58=1,first_payment,B57+7),DATE(YEAR(first_payment),MONTH(first_payment)+(A58-1)*per_year,IF(_term=24,IF(1-MOD(A58,2)=1,DAY(first_payment)+14,DAY(first_payment)),DAY(first_payment))))),"")</f>
        <v/>
      </c>
      <c r="C58" s="17" t="str">
        <f>IF($A58&lt;&gt;"",_rent_amount+IF(#REF!&gt;0,0,#REF!),"")</f>
        <v/>
      </c>
      <c r="D58" s="17"/>
      <c r="H58" s="17" t="str">
        <f t="shared" si="2"/>
        <v/>
      </c>
      <c r="I58" s="17"/>
      <c r="J58" s="17"/>
      <c r="K58" s="17"/>
      <c r="L58" s="48"/>
      <c r="M58" s="17"/>
    </row>
    <row r="59" spans="1:13" ht="15" customHeight="1" x14ac:dyDescent="0.25">
      <c r="B59" s="50"/>
      <c r="L59" s="48"/>
      <c r="M59" s="17"/>
    </row>
    <row r="60" spans="1:13" ht="15" customHeight="1" x14ac:dyDescent="0.25">
      <c r="B60" s="50"/>
      <c r="L60" s="48"/>
      <c r="M60" s="17"/>
    </row>
    <row r="61" spans="1:13" ht="15" customHeight="1" x14ac:dyDescent="0.25">
      <c r="B61" s="50"/>
      <c r="L61" s="48"/>
      <c r="M61" s="17"/>
    </row>
    <row r="62" spans="1:13" ht="15" customHeight="1" x14ac:dyDescent="0.25">
      <c r="B62" s="50"/>
      <c r="L62" s="48"/>
      <c r="M62" s="17"/>
    </row>
    <row r="63" spans="1:13" ht="15" customHeight="1" x14ac:dyDescent="0.25">
      <c r="B63" s="50"/>
      <c r="L63" s="48"/>
      <c r="M63" s="17"/>
    </row>
    <row r="64" spans="1:13" ht="15" customHeight="1" x14ac:dyDescent="0.25">
      <c r="B64" s="50"/>
      <c r="L64" s="48"/>
      <c r="M64" s="17"/>
    </row>
    <row r="65" spans="1:13" ht="15" customHeight="1" x14ac:dyDescent="0.25">
      <c r="B65" s="50"/>
      <c r="L65" s="48"/>
      <c r="M65" s="17"/>
    </row>
    <row r="66" spans="1:13" ht="15" customHeight="1" x14ac:dyDescent="0.25">
      <c r="B66" s="50"/>
      <c r="L66" s="48"/>
      <c r="M66" s="17"/>
    </row>
    <row r="67" spans="1:13" ht="15" customHeight="1" x14ac:dyDescent="0.25">
      <c r="B67" s="50"/>
      <c r="L67" s="48"/>
      <c r="M67" s="17"/>
    </row>
    <row r="68" spans="1:13" ht="15" customHeight="1" x14ac:dyDescent="0.25">
      <c r="B68" s="50"/>
      <c r="L68" s="48"/>
      <c r="M68" s="17"/>
    </row>
    <row r="69" spans="1:13" ht="15" customHeight="1" x14ac:dyDescent="0.25">
      <c r="B69" s="50"/>
      <c r="L69" s="48"/>
      <c r="M69" s="17"/>
    </row>
    <row r="70" spans="1:13" ht="15" customHeight="1" x14ac:dyDescent="0.25">
      <c r="B70" s="50"/>
      <c r="L70" s="48"/>
      <c r="M70" s="17"/>
    </row>
    <row r="71" spans="1:13" ht="15" customHeight="1" x14ac:dyDescent="0.25">
      <c r="B71" s="50"/>
      <c r="L71" s="48"/>
      <c r="M71" s="17"/>
    </row>
    <row r="72" spans="1:13" ht="15" customHeight="1" x14ac:dyDescent="0.25">
      <c r="B72" s="50"/>
      <c r="L72" s="48"/>
      <c r="M72" s="17"/>
    </row>
    <row r="73" spans="1:13" x14ac:dyDescent="0.25">
      <c r="A73"/>
      <c r="B73" s="50"/>
      <c r="L73" s="48"/>
      <c r="M73" s="17"/>
    </row>
    <row r="74" spans="1:13" x14ac:dyDescent="0.25">
      <c r="A74"/>
      <c r="B74" s="50"/>
      <c r="L74" s="48"/>
      <c r="M74" s="17"/>
    </row>
    <row r="75" spans="1:13" x14ac:dyDescent="0.25">
      <c r="A75"/>
      <c r="B75" s="50"/>
      <c r="L75" s="48"/>
      <c r="M75" s="17"/>
    </row>
    <row r="76" spans="1:13" x14ac:dyDescent="0.25">
      <c r="A76"/>
      <c r="B76" s="50"/>
      <c r="L76" s="48"/>
      <c r="M76" s="17"/>
    </row>
    <row r="77" spans="1:13" x14ac:dyDescent="0.25">
      <c r="A77"/>
      <c r="B77" s="50"/>
      <c r="L77" s="48"/>
      <c r="M77" s="17"/>
    </row>
    <row r="78" spans="1:13" x14ac:dyDescent="0.25">
      <c r="A78"/>
      <c r="B78" s="50"/>
      <c r="L78" s="48"/>
      <c r="M78" s="17"/>
    </row>
    <row r="79" spans="1:13" x14ac:dyDescent="0.25">
      <c r="A79"/>
      <c r="B79" s="50"/>
      <c r="L79" s="48"/>
      <c r="M79" s="17"/>
    </row>
    <row r="80" spans="1:13" x14ac:dyDescent="0.25">
      <c r="A80"/>
      <c r="B80" s="50"/>
      <c r="L80" s="48"/>
      <c r="M80" s="17"/>
    </row>
    <row r="81" spans="1:13" x14ac:dyDescent="0.25">
      <c r="A81"/>
      <c r="B81" s="50"/>
      <c r="L81" s="48"/>
      <c r="M81" s="17"/>
    </row>
    <row r="82" spans="1:13" x14ac:dyDescent="0.25">
      <c r="A82"/>
      <c r="B82" s="50"/>
      <c r="L82" s="48"/>
      <c r="M82" s="17"/>
    </row>
    <row r="83" spans="1:13" x14ac:dyDescent="0.25">
      <c r="A83"/>
      <c r="B83" s="50"/>
      <c r="L83" s="48"/>
      <c r="M83" s="17"/>
    </row>
    <row r="84" spans="1:13" x14ac:dyDescent="0.25">
      <c r="A84"/>
      <c r="B84" s="50"/>
      <c r="L84" s="48"/>
      <c r="M84" s="17"/>
    </row>
    <row r="85" spans="1:13" x14ac:dyDescent="0.25">
      <c r="A85"/>
      <c r="B85" s="50"/>
      <c r="L85" s="48"/>
      <c r="M85" s="17"/>
    </row>
    <row r="86" spans="1:13" x14ac:dyDescent="0.25">
      <c r="A86"/>
      <c r="B86" s="50"/>
      <c r="L86" s="48"/>
      <c r="M86" s="17"/>
    </row>
    <row r="87" spans="1:13" x14ac:dyDescent="0.25">
      <c r="A87"/>
      <c r="B87" s="50"/>
      <c r="L87" s="48"/>
      <c r="M87" s="17"/>
    </row>
    <row r="88" spans="1:13" x14ac:dyDescent="0.25">
      <c r="A88"/>
      <c r="B88" s="50"/>
      <c r="L88" s="48"/>
      <c r="M88" s="17"/>
    </row>
    <row r="89" spans="1:13" x14ac:dyDescent="0.25">
      <c r="A89"/>
      <c r="B89" s="50"/>
      <c r="L89" s="48"/>
      <c r="M89" s="17"/>
    </row>
    <row r="90" spans="1:13" x14ac:dyDescent="0.25">
      <c r="A90"/>
      <c r="B90" s="50"/>
      <c r="L90" s="48"/>
      <c r="M90" s="17"/>
    </row>
    <row r="91" spans="1:13" x14ac:dyDescent="0.25">
      <c r="A91"/>
      <c r="B91" s="50"/>
      <c r="L91" s="48"/>
      <c r="M91" s="17"/>
    </row>
    <row r="92" spans="1:13" x14ac:dyDescent="0.25">
      <c r="A92"/>
      <c r="B92" s="50"/>
      <c r="L92" s="48"/>
      <c r="M92" s="17"/>
    </row>
    <row r="93" spans="1:13" x14ac:dyDescent="0.25">
      <c r="A93"/>
      <c r="B93" s="50"/>
      <c r="L93" s="48"/>
      <c r="M93" s="17"/>
    </row>
    <row r="94" spans="1:13" x14ac:dyDescent="0.25">
      <c r="A94"/>
      <c r="B94" s="50"/>
      <c r="L94" s="48"/>
      <c r="M94" s="17"/>
    </row>
    <row r="95" spans="1:13" x14ac:dyDescent="0.25">
      <c r="A95"/>
      <c r="B95" s="50"/>
      <c r="L95" s="48"/>
      <c r="M95" s="17"/>
    </row>
    <row r="96" spans="1:13" x14ac:dyDescent="0.25">
      <c r="A96"/>
      <c r="B96" s="50"/>
      <c r="L96" s="48"/>
      <c r="M96" s="17"/>
    </row>
    <row r="97" spans="1:13" x14ac:dyDescent="0.25">
      <c r="A97"/>
      <c r="B97" s="50"/>
      <c r="L97" s="48"/>
      <c r="M97" s="17"/>
    </row>
    <row r="98" spans="1:13" x14ac:dyDescent="0.25">
      <c r="A98"/>
      <c r="B98" s="50"/>
      <c r="L98" s="48"/>
      <c r="M98" s="17"/>
    </row>
    <row r="99" spans="1:13" x14ac:dyDescent="0.25">
      <c r="A99"/>
      <c r="B99" s="50"/>
      <c r="L99" s="48"/>
      <c r="M99" s="17"/>
    </row>
    <row r="100" spans="1:13" x14ac:dyDescent="0.25">
      <c r="A100"/>
      <c r="B100" s="50"/>
      <c r="L100" s="48"/>
      <c r="M100" s="17"/>
    </row>
    <row r="101" spans="1:13" x14ac:dyDescent="0.25">
      <c r="A101"/>
      <c r="B101" s="50"/>
      <c r="L101" s="48"/>
      <c r="M101" s="17"/>
    </row>
    <row r="102" spans="1:13" x14ac:dyDescent="0.25">
      <c r="A102"/>
      <c r="B102" s="50"/>
      <c r="L102" s="48"/>
      <c r="M102" s="17"/>
    </row>
    <row r="103" spans="1:13" x14ac:dyDescent="0.25">
      <c r="A103"/>
      <c r="B103" s="50"/>
      <c r="L103" s="48"/>
      <c r="M103" s="17"/>
    </row>
    <row r="104" spans="1:13" x14ac:dyDescent="0.25">
      <c r="A104"/>
      <c r="B104" s="50"/>
      <c r="L104" s="48"/>
      <c r="M104" s="17"/>
    </row>
    <row r="105" spans="1:13" x14ac:dyDescent="0.25">
      <c r="A105"/>
      <c r="B105" s="50"/>
      <c r="L105" s="48"/>
      <c r="M105" s="17"/>
    </row>
    <row r="106" spans="1:13" x14ac:dyDescent="0.25">
      <c r="A106"/>
      <c r="B106" s="50"/>
      <c r="L106" s="48"/>
      <c r="M106" s="17"/>
    </row>
    <row r="107" spans="1:13" x14ac:dyDescent="0.25">
      <c r="A107"/>
      <c r="B107" s="50"/>
      <c r="L107" s="48"/>
      <c r="M107" s="17"/>
    </row>
    <row r="108" spans="1:13" x14ac:dyDescent="0.25">
      <c r="A108"/>
      <c r="B108" s="50"/>
      <c r="L108" s="48"/>
      <c r="M108" s="17"/>
    </row>
    <row r="109" spans="1:13" x14ac:dyDescent="0.25">
      <c r="A109"/>
      <c r="B109" s="50"/>
      <c r="L109" s="48"/>
      <c r="M109" s="17"/>
    </row>
    <row r="110" spans="1:13" x14ac:dyDescent="0.25">
      <c r="A110"/>
      <c r="B110" s="50"/>
      <c r="L110" s="48"/>
      <c r="M110" s="17"/>
    </row>
    <row r="111" spans="1:13" x14ac:dyDescent="0.25">
      <c r="A111"/>
      <c r="B111" s="50"/>
      <c r="L111" s="48"/>
      <c r="M111" s="17"/>
    </row>
    <row r="112" spans="1:13" x14ac:dyDescent="0.25">
      <c r="A112"/>
      <c r="B112" s="50"/>
      <c r="L112" s="48"/>
      <c r="M112" s="17"/>
    </row>
    <row r="113" spans="1:13" x14ac:dyDescent="0.25">
      <c r="A113"/>
      <c r="B113" s="50"/>
      <c r="L113" s="48"/>
      <c r="M113" s="17"/>
    </row>
    <row r="114" spans="1:13" x14ac:dyDescent="0.25">
      <c r="A114"/>
      <c r="B114" s="50"/>
      <c r="L114" s="48"/>
      <c r="M114" s="17"/>
    </row>
    <row r="115" spans="1:13" x14ac:dyDescent="0.25">
      <c r="A115"/>
      <c r="B115" s="50"/>
      <c r="L115" s="48"/>
      <c r="M115" s="17"/>
    </row>
    <row r="116" spans="1:13" x14ac:dyDescent="0.25">
      <c r="A116"/>
      <c r="B116" s="50"/>
      <c r="L116" s="48"/>
      <c r="M116" s="17"/>
    </row>
    <row r="117" spans="1:13" x14ac:dyDescent="0.25">
      <c r="A117"/>
      <c r="B117" s="50"/>
      <c r="L117" s="48"/>
      <c r="M117" s="17"/>
    </row>
    <row r="118" spans="1:13" x14ac:dyDescent="0.25">
      <c r="A118"/>
      <c r="B118" s="50"/>
      <c r="L118" s="48"/>
      <c r="M118" s="17"/>
    </row>
    <row r="119" spans="1:13" x14ac:dyDescent="0.25">
      <c r="A119"/>
      <c r="B119" s="50"/>
      <c r="L119" s="48"/>
      <c r="M119" s="17"/>
    </row>
    <row r="120" spans="1:13" x14ac:dyDescent="0.25">
      <c r="A120"/>
      <c r="B120" s="50"/>
      <c r="L120" s="48"/>
      <c r="M120" s="17"/>
    </row>
    <row r="121" spans="1:13" x14ac:dyDescent="0.25">
      <c r="B121" s="50"/>
      <c r="L121" s="48"/>
      <c r="M121" s="17"/>
    </row>
    <row r="122" spans="1:13" x14ac:dyDescent="0.25">
      <c r="B122" s="50"/>
      <c r="L122" s="48"/>
      <c r="M122" s="17"/>
    </row>
    <row r="123" spans="1:13" x14ac:dyDescent="0.25">
      <c r="B123" s="50"/>
      <c r="L123" s="48"/>
      <c r="M123" s="17"/>
    </row>
    <row r="124" spans="1:13" x14ac:dyDescent="0.25">
      <c r="B124" s="50"/>
      <c r="L124" s="48"/>
      <c r="M124" s="17"/>
    </row>
    <row r="125" spans="1:13" x14ac:dyDescent="0.25">
      <c r="B125" s="50"/>
      <c r="L125" s="48"/>
      <c r="M125" s="17"/>
    </row>
    <row r="126" spans="1:13" x14ac:dyDescent="0.25">
      <c r="B126" s="50"/>
      <c r="L126" s="48"/>
      <c r="M126" s="17"/>
    </row>
    <row r="127" spans="1:13" x14ac:dyDescent="0.25">
      <c r="B127" s="50"/>
      <c r="L127" s="48"/>
      <c r="M127" s="17"/>
    </row>
    <row r="128" spans="1:13" x14ac:dyDescent="0.25">
      <c r="B128" s="50"/>
      <c r="L128" s="48"/>
      <c r="M128" s="17"/>
    </row>
    <row r="129" spans="1:13" x14ac:dyDescent="0.25">
      <c r="B129" s="50"/>
      <c r="L129" s="48"/>
      <c r="M129" s="17"/>
    </row>
    <row r="130" spans="1:13" x14ac:dyDescent="0.25">
      <c r="B130" s="50"/>
      <c r="L130" s="48"/>
      <c r="M130" s="17"/>
    </row>
    <row r="131" spans="1:13" x14ac:dyDescent="0.25">
      <c r="B131" s="50"/>
      <c r="L131" s="48"/>
      <c r="M131" s="17"/>
    </row>
    <row r="132" spans="1:13" x14ac:dyDescent="0.25">
      <c r="B132" s="50"/>
      <c r="L132" s="48"/>
      <c r="M132" s="17"/>
    </row>
    <row r="133" spans="1:13" x14ac:dyDescent="0.25">
      <c r="B133" s="50"/>
      <c r="L133" s="48"/>
      <c r="M133" s="17"/>
    </row>
    <row r="134" spans="1:13" x14ac:dyDescent="0.25">
      <c r="B134" s="50"/>
      <c r="L134" s="48"/>
      <c r="M134" s="17"/>
    </row>
    <row r="135" spans="1:13" x14ac:dyDescent="0.25">
      <c r="B135" s="50"/>
      <c r="L135" s="48"/>
      <c r="M135" s="17"/>
    </row>
    <row r="136" spans="1:13" x14ac:dyDescent="0.25">
      <c r="A136" s="10" t="s">
        <v>18</v>
      </c>
      <c r="B136" s="50" t="str">
        <f>IF($A136&lt;&gt;"",IF(_term=26,IF(A136=1,first_payment,B135+14),IF(_term=52,IF(A136=1,first_payment,B135+7),DATE(YEAR(first_payment),MONTH(first_payment)+(A136-1)*per_year,IF(_term=24,IF(1-MOD(A136,2)=1,DAY(first_payment)+14,DAY(first_payment)),DAY(first_payment))))),"")</f>
        <v/>
      </c>
      <c r="H136" t="str">
        <f>IF($A136&lt;&gt;"",$H135-$D136,"")</f>
        <v/>
      </c>
      <c r="L136" s="48"/>
      <c r="M136" s="17"/>
    </row>
    <row r="137" spans="1:13" x14ac:dyDescent="0.25">
      <c r="A137" s="10" t="s">
        <v>18</v>
      </c>
      <c r="B137" s="50" t="str">
        <f>IF($A137&lt;&gt;"",IF(_term=26,IF(A137=1,first_payment,B136+14),IF(_term=52,IF(A137=1,first_payment,B136+7),DATE(YEAR(first_payment),MONTH(first_payment)+(A137-1)*per_year,IF(_term=24,IF(1-MOD(A137,2)=1,DAY(first_payment)+14,DAY(first_payment)),DAY(first_payment))))),"")</f>
        <v/>
      </c>
      <c r="H137" t="str">
        <f>IF($A137&lt;&gt;"",$H136-$D137,"")</f>
        <v/>
      </c>
      <c r="L137" s="48"/>
      <c r="M137" s="17"/>
    </row>
    <row r="138" spans="1:13" x14ac:dyDescent="0.25">
      <c r="A138" s="10" t="s">
        <v>18</v>
      </c>
      <c r="B138" s="50" t="str">
        <f>IF($A138&lt;&gt;"",IF(_term=26,IF(A138=1,first_payment,B137+14),IF(_term=52,IF(A138=1,first_payment,B137+7),DATE(YEAR(first_payment),MONTH(first_payment)+(A138-1)*per_year,IF(_term=24,IF(1-MOD(A138,2)=1,DAY(first_payment)+14,DAY(first_payment)),DAY(first_payment))))),"")</f>
        <v/>
      </c>
      <c r="H138" t="str">
        <f>IF($A138&lt;&gt;"",$H137-$D138,"")</f>
        <v/>
      </c>
      <c r="L138" s="48"/>
      <c r="M138" s="17"/>
    </row>
    <row r="139" spans="1:13" x14ac:dyDescent="0.25">
      <c r="A139" s="10" t="s">
        <v>18</v>
      </c>
      <c r="B139" s="50" t="str">
        <f>IF($A139&lt;&gt;"",IF(_term=26,IF(A139=1,first_payment,B138+14),IF(_term=52,IF(A139=1,first_payment,B138+7),DATE(YEAR(first_payment),MONTH(first_payment)+(A139-1)*per_year,IF(_term=24,IF(1-MOD(A139,2)=1,DAY(first_payment)+14,DAY(first_payment)),DAY(first_payment))))),"")</f>
        <v/>
      </c>
      <c r="H139" t="str">
        <f>IF($A139&lt;&gt;"",$H138-$D139,"")</f>
        <v/>
      </c>
      <c r="L139" s="48"/>
      <c r="M139" s="17"/>
    </row>
    <row r="140" spans="1:13" ht="15" customHeight="1" x14ac:dyDescent="0.25">
      <c r="L140" s="48"/>
      <c r="M140" s="17"/>
    </row>
    <row r="141" spans="1:13" ht="15" customHeight="1" x14ac:dyDescent="0.25">
      <c r="L141" s="48"/>
      <c r="M141" s="17"/>
    </row>
    <row r="142" spans="1:13" ht="15" customHeight="1" x14ac:dyDescent="0.25">
      <c r="L142" s="48"/>
      <c r="M142" s="17"/>
    </row>
    <row r="143" spans="1:13" ht="15" customHeight="1" x14ac:dyDescent="0.25">
      <c r="L143" s="48"/>
      <c r="M143" s="17"/>
    </row>
    <row r="144" spans="1:13" ht="15" customHeight="1" x14ac:dyDescent="0.25">
      <c r="L144" s="48"/>
      <c r="M144" s="17"/>
    </row>
    <row r="145" spans="12:13" ht="15" customHeight="1" x14ac:dyDescent="0.25">
      <c r="L145" s="48"/>
      <c r="M145" s="17"/>
    </row>
    <row r="146" spans="12:13" ht="15" customHeight="1" x14ac:dyDescent="0.25">
      <c r="L146" s="48"/>
      <c r="M146" s="17"/>
    </row>
    <row r="147" spans="12:13" ht="15" customHeight="1" x14ac:dyDescent="0.25">
      <c r="L147" s="48"/>
      <c r="M147" s="17"/>
    </row>
    <row r="148" spans="12:13" ht="15" customHeight="1" x14ac:dyDescent="0.25">
      <c r="L148" s="48"/>
      <c r="M148" s="17"/>
    </row>
    <row r="149" spans="12:13" ht="15" customHeight="1" x14ac:dyDescent="0.25">
      <c r="L149" s="48"/>
      <c r="M149" s="17"/>
    </row>
    <row r="150" spans="12:13" ht="15" customHeight="1" x14ac:dyDescent="0.25">
      <c r="L150" s="48"/>
      <c r="M150" s="17"/>
    </row>
    <row r="151" spans="12:13" ht="15" customHeight="1" x14ac:dyDescent="0.25">
      <c r="L151" s="48"/>
      <c r="M151" s="17"/>
    </row>
    <row r="152" spans="12:13" ht="15" customHeight="1" x14ac:dyDescent="0.25">
      <c r="L152" s="48"/>
      <c r="M152" s="17"/>
    </row>
    <row r="153" spans="12:13" ht="15" customHeight="1" x14ac:dyDescent="0.25">
      <c r="L153" s="48"/>
      <c r="M153" s="17"/>
    </row>
    <row r="154" spans="12:13" ht="15" customHeight="1" x14ac:dyDescent="0.25">
      <c r="L154" s="48"/>
      <c r="M154" s="17"/>
    </row>
    <row r="155" spans="12:13" ht="15" customHeight="1" x14ac:dyDescent="0.25">
      <c r="L155" s="48"/>
      <c r="M155" s="17"/>
    </row>
    <row r="156" spans="12:13" ht="15" customHeight="1" x14ac:dyDescent="0.25">
      <c r="L156" s="48"/>
      <c r="M156" s="17"/>
    </row>
    <row r="157" spans="12:13" ht="15" customHeight="1" x14ac:dyDescent="0.25">
      <c r="L157" s="48"/>
      <c r="M157" s="17"/>
    </row>
    <row r="158" spans="12:13" ht="15" customHeight="1" x14ac:dyDescent="0.25">
      <c r="L158" s="48"/>
      <c r="M158" s="17"/>
    </row>
    <row r="159" spans="12:13" ht="15" customHeight="1" x14ac:dyDescent="0.25">
      <c r="L159" s="48"/>
      <c r="M159" s="17"/>
    </row>
    <row r="160" spans="12:13" ht="15" customHeight="1" x14ac:dyDescent="0.25">
      <c r="L160" s="48"/>
      <c r="M160" s="17"/>
    </row>
    <row r="161" spans="12:13" ht="15" customHeight="1" x14ac:dyDescent="0.25">
      <c r="L161" s="48"/>
      <c r="M161" s="17"/>
    </row>
    <row r="162" spans="12:13" ht="15" customHeight="1" x14ac:dyDescent="0.25">
      <c r="L162" s="48"/>
      <c r="M162" s="17"/>
    </row>
    <row r="163" spans="12:13" ht="15" customHeight="1" x14ac:dyDescent="0.25">
      <c r="L163" s="48"/>
      <c r="M163" s="17"/>
    </row>
    <row r="164" spans="12:13" ht="15" customHeight="1" x14ac:dyDescent="0.25">
      <c r="L164" s="48"/>
      <c r="M164" s="17"/>
    </row>
    <row r="165" spans="12:13" ht="15" customHeight="1" x14ac:dyDescent="0.25">
      <c r="L165" s="48"/>
      <c r="M165" s="17"/>
    </row>
    <row r="166" spans="12:13" ht="15" customHeight="1" x14ac:dyDescent="0.25">
      <c r="L166" s="48"/>
      <c r="M166" s="17"/>
    </row>
    <row r="167" spans="12:13" ht="15" customHeight="1" x14ac:dyDescent="0.25">
      <c r="L167" s="48"/>
      <c r="M167" s="17"/>
    </row>
    <row r="168" spans="12:13" ht="15" customHeight="1" x14ac:dyDescent="0.25">
      <c r="L168" s="48"/>
      <c r="M168" s="17"/>
    </row>
    <row r="169" spans="12:13" ht="15" customHeight="1" x14ac:dyDescent="0.25">
      <c r="L169" s="48"/>
      <c r="M169" s="17"/>
    </row>
    <row r="170" spans="12:13" ht="15" customHeight="1" x14ac:dyDescent="0.25">
      <c r="L170" s="48"/>
      <c r="M170" s="17"/>
    </row>
    <row r="171" spans="12:13" ht="15" customHeight="1" x14ac:dyDescent="0.25">
      <c r="L171" s="48"/>
      <c r="M171" s="17"/>
    </row>
    <row r="172" spans="12:13" ht="15" customHeight="1" x14ac:dyDescent="0.25">
      <c r="L172" s="48"/>
      <c r="M172" s="17"/>
    </row>
    <row r="173" spans="12:13" ht="15" customHeight="1" x14ac:dyDescent="0.25">
      <c r="L173" s="48"/>
      <c r="M173" s="17"/>
    </row>
    <row r="174" spans="12:13" ht="15" customHeight="1" x14ac:dyDescent="0.25">
      <c r="L174" s="48"/>
      <c r="M174" s="17"/>
    </row>
    <row r="175" spans="12:13" ht="15" customHeight="1" x14ac:dyDescent="0.25">
      <c r="L175" s="48"/>
      <c r="M175" s="17"/>
    </row>
    <row r="176" spans="12:13" ht="15" customHeight="1" x14ac:dyDescent="0.25">
      <c r="L176" s="48"/>
      <c r="M176" s="17"/>
    </row>
    <row r="177" spans="12:13" ht="15" customHeight="1" x14ac:dyDescent="0.25">
      <c r="L177" s="48"/>
      <c r="M177" s="17"/>
    </row>
    <row r="178" spans="12:13" ht="15" customHeight="1" x14ac:dyDescent="0.25">
      <c r="L178" s="48"/>
      <c r="M178" s="17"/>
    </row>
    <row r="179" spans="12:13" ht="15" customHeight="1" x14ac:dyDescent="0.25">
      <c r="L179" s="48"/>
      <c r="M179" s="17"/>
    </row>
    <row r="180" spans="12:13" ht="15" customHeight="1" x14ac:dyDescent="0.25">
      <c r="L180" s="48"/>
      <c r="M180" s="17"/>
    </row>
    <row r="181" spans="12:13" ht="15" customHeight="1" x14ac:dyDescent="0.25">
      <c r="L181" s="48"/>
      <c r="M181" s="17"/>
    </row>
    <row r="182" spans="12:13" ht="15" customHeight="1" x14ac:dyDescent="0.25">
      <c r="L182" s="48"/>
      <c r="M182" s="17"/>
    </row>
    <row r="183" spans="12:13" ht="15" customHeight="1" x14ac:dyDescent="0.25">
      <c r="L183" s="48"/>
      <c r="M183" s="17"/>
    </row>
    <row r="184" spans="12:13" ht="15" customHeight="1" x14ac:dyDescent="0.25">
      <c r="L184" s="48"/>
      <c r="M184" s="17"/>
    </row>
    <row r="185" spans="12:13" ht="15" customHeight="1" x14ac:dyDescent="0.25">
      <c r="L185" s="48"/>
      <c r="M185" s="17"/>
    </row>
    <row r="186" spans="12:13" ht="15" customHeight="1" x14ac:dyDescent="0.25">
      <c r="L186" s="48"/>
      <c r="M186" s="17"/>
    </row>
    <row r="187" spans="12:13" ht="15" customHeight="1" x14ac:dyDescent="0.25">
      <c r="L187" s="48"/>
      <c r="M187" s="17"/>
    </row>
    <row r="188" spans="12:13" ht="15" customHeight="1" x14ac:dyDescent="0.25">
      <c r="L188" s="48"/>
      <c r="M188" s="17"/>
    </row>
    <row r="189" spans="12:13" ht="15" customHeight="1" x14ac:dyDescent="0.25">
      <c r="L189" s="48"/>
      <c r="M189" s="17"/>
    </row>
    <row r="190" spans="12:13" ht="15" customHeight="1" x14ac:dyDescent="0.25">
      <c r="L190" s="48"/>
      <c r="M190" s="17"/>
    </row>
    <row r="191" spans="12:13" ht="15" customHeight="1" x14ac:dyDescent="0.25">
      <c r="L191" s="48"/>
      <c r="M191" s="17"/>
    </row>
    <row r="192" spans="12:13" ht="15" customHeight="1" x14ac:dyDescent="0.25">
      <c r="L192" s="48"/>
      <c r="M192" s="17"/>
    </row>
    <row r="193" spans="12:13" ht="15" customHeight="1" x14ac:dyDescent="0.25">
      <c r="L193" s="48"/>
      <c r="M193" s="17"/>
    </row>
    <row r="194" spans="12:13" ht="15" customHeight="1" x14ac:dyDescent="0.25">
      <c r="L194" s="48"/>
      <c r="M194" s="17"/>
    </row>
    <row r="195" spans="12:13" ht="15" customHeight="1" x14ac:dyDescent="0.25">
      <c r="L195" s="48"/>
      <c r="M195" s="17"/>
    </row>
    <row r="196" spans="12:13" ht="15" customHeight="1" x14ac:dyDescent="0.25">
      <c r="L196" s="48"/>
      <c r="M196" s="17"/>
    </row>
    <row r="197" spans="12:13" ht="15" customHeight="1" x14ac:dyDescent="0.25">
      <c r="L197" s="48"/>
      <c r="M197" s="17"/>
    </row>
    <row r="198" spans="12:13" ht="15" customHeight="1" x14ac:dyDescent="0.25">
      <c r="L198" s="48"/>
      <c r="M198" s="17"/>
    </row>
    <row r="199" spans="12:13" ht="15" customHeight="1" x14ac:dyDescent="0.25">
      <c r="L199" s="48"/>
      <c r="M199" s="17"/>
    </row>
    <row r="200" spans="12:13" ht="15" customHeight="1" x14ac:dyDescent="0.25">
      <c r="L200" s="48"/>
      <c r="M200" s="17"/>
    </row>
    <row r="201" spans="12:13" ht="15" customHeight="1" x14ac:dyDescent="0.25">
      <c r="L201" s="48"/>
      <c r="M201" s="17"/>
    </row>
    <row r="202" spans="12:13" ht="15" customHeight="1" x14ac:dyDescent="0.25">
      <c r="L202" s="48"/>
      <c r="M202" s="17"/>
    </row>
    <row r="203" spans="12:13" ht="15" customHeight="1" x14ac:dyDescent="0.25">
      <c r="L203" s="48"/>
      <c r="M203" s="17"/>
    </row>
    <row r="204" spans="12:13" ht="15" customHeight="1" x14ac:dyDescent="0.25">
      <c r="L204" s="48"/>
      <c r="M204" s="17"/>
    </row>
    <row r="205" spans="12:13" ht="15" customHeight="1" x14ac:dyDescent="0.25">
      <c r="L205" s="48"/>
      <c r="M205" s="17"/>
    </row>
    <row r="206" spans="12:13" ht="15" customHeight="1" x14ac:dyDescent="0.25">
      <c r="L206" s="48"/>
      <c r="M206" s="17"/>
    </row>
    <row r="207" spans="12:13" ht="15" customHeight="1" x14ac:dyDescent="0.25">
      <c r="L207" s="48"/>
      <c r="M207" s="17"/>
    </row>
    <row r="208" spans="12:13" ht="15" customHeight="1" x14ac:dyDescent="0.25">
      <c r="L208" s="48"/>
      <c r="M208" s="17"/>
    </row>
    <row r="209" spans="12:13" ht="15" customHeight="1" x14ac:dyDescent="0.25">
      <c r="L209" s="48"/>
      <c r="M209" s="17"/>
    </row>
    <row r="210" spans="12:13" ht="15" customHeight="1" x14ac:dyDescent="0.25">
      <c r="L210" s="48"/>
      <c r="M210" s="17"/>
    </row>
    <row r="211" spans="12:13" ht="15" customHeight="1" x14ac:dyDescent="0.25">
      <c r="L211" s="48"/>
      <c r="M211" s="17"/>
    </row>
    <row r="212" spans="12:13" ht="15" customHeight="1" x14ac:dyDescent="0.25">
      <c r="L212" s="48"/>
      <c r="M212" s="17"/>
    </row>
    <row r="213" spans="12:13" ht="15" customHeight="1" x14ac:dyDescent="0.25">
      <c r="L213" s="48"/>
      <c r="M213" s="17"/>
    </row>
    <row r="214" spans="12:13" ht="15" customHeight="1" x14ac:dyDescent="0.25">
      <c r="L214" s="48"/>
      <c r="M214" s="17"/>
    </row>
    <row r="215" spans="12:13" ht="15" customHeight="1" x14ac:dyDescent="0.25">
      <c r="L215" s="48"/>
      <c r="M215" s="17"/>
    </row>
    <row r="216" spans="12:13" ht="15" customHeight="1" x14ac:dyDescent="0.25">
      <c r="L216" s="48"/>
      <c r="M216" s="17"/>
    </row>
    <row r="217" spans="12:13" ht="15" customHeight="1" x14ac:dyDescent="0.25">
      <c r="L217" s="48"/>
      <c r="M217" s="17"/>
    </row>
    <row r="218" spans="12:13" ht="15" customHeight="1" x14ac:dyDescent="0.25">
      <c r="L218" s="48"/>
      <c r="M218" s="17"/>
    </row>
    <row r="219" spans="12:13" ht="15" customHeight="1" x14ac:dyDescent="0.25">
      <c r="L219" s="48"/>
      <c r="M219" s="17"/>
    </row>
    <row r="220" spans="12:13" ht="15" customHeight="1" x14ac:dyDescent="0.25">
      <c r="L220" s="48"/>
      <c r="M220" s="17"/>
    </row>
    <row r="221" spans="12:13" ht="15" customHeight="1" x14ac:dyDescent="0.25">
      <c r="L221" s="48"/>
      <c r="M221" s="17"/>
    </row>
    <row r="222" spans="12:13" ht="15" customHeight="1" x14ac:dyDescent="0.25">
      <c r="L222" s="48"/>
      <c r="M222" s="17"/>
    </row>
    <row r="223" spans="12:13" ht="15" customHeight="1" x14ac:dyDescent="0.25">
      <c r="L223" s="48"/>
      <c r="M223" s="17"/>
    </row>
    <row r="224" spans="12:13" ht="15" customHeight="1" x14ac:dyDescent="0.25">
      <c r="L224" s="48"/>
      <c r="M224" s="17"/>
    </row>
    <row r="225" spans="12:13" ht="15" customHeight="1" x14ac:dyDescent="0.25">
      <c r="L225" s="48"/>
      <c r="M225" s="17"/>
    </row>
    <row r="226" spans="12:13" ht="15" customHeight="1" x14ac:dyDescent="0.25">
      <c r="L226" s="48"/>
      <c r="M226" s="17"/>
    </row>
    <row r="227" spans="12:13" ht="15" customHeight="1" x14ac:dyDescent="0.25">
      <c r="L227" s="48"/>
      <c r="M227" s="17"/>
    </row>
    <row r="228" spans="12:13" ht="15" customHeight="1" x14ac:dyDescent="0.25">
      <c r="L228" s="48"/>
      <c r="M228" s="17"/>
    </row>
    <row r="229" spans="12:13" ht="15" customHeight="1" x14ac:dyDescent="0.25">
      <c r="L229" s="48"/>
      <c r="M229" s="17"/>
    </row>
    <row r="230" spans="12:13" ht="15" customHeight="1" x14ac:dyDescent="0.25">
      <c r="L230" s="48"/>
      <c r="M230" s="17"/>
    </row>
    <row r="231" spans="12:13" ht="15" customHeight="1" x14ac:dyDescent="0.25">
      <c r="L231" s="48"/>
      <c r="M231" s="17"/>
    </row>
    <row r="232" spans="12:13" ht="15" customHeight="1" x14ac:dyDescent="0.25">
      <c r="L232" s="48"/>
      <c r="M232" s="17"/>
    </row>
    <row r="233" spans="12:13" ht="15" customHeight="1" x14ac:dyDescent="0.25">
      <c r="L233" s="48"/>
      <c r="M233" s="17"/>
    </row>
    <row r="234" spans="12:13" ht="15" customHeight="1" x14ac:dyDescent="0.25">
      <c r="L234" s="48"/>
      <c r="M234" s="17"/>
    </row>
    <row r="235" spans="12:13" ht="15" customHeight="1" x14ac:dyDescent="0.25">
      <c r="L235" s="48"/>
      <c r="M235" s="17"/>
    </row>
    <row r="236" spans="12:13" ht="15" customHeight="1" x14ac:dyDescent="0.25">
      <c r="L236" s="48"/>
      <c r="M236" s="17"/>
    </row>
    <row r="237" spans="12:13" ht="15" customHeight="1" x14ac:dyDescent="0.25">
      <c r="L237" s="48"/>
      <c r="M237" s="17"/>
    </row>
    <row r="238" spans="12:13" ht="15" customHeight="1" x14ac:dyDescent="0.25">
      <c r="L238" s="48"/>
      <c r="M238" s="17"/>
    </row>
    <row r="239" spans="12:13" ht="15" customHeight="1" x14ac:dyDescent="0.25">
      <c r="L239" s="48"/>
      <c r="M239" s="17"/>
    </row>
    <row r="240" spans="12:13" ht="15" customHeight="1" x14ac:dyDescent="0.25">
      <c r="L240" s="48"/>
      <c r="M240" s="17"/>
    </row>
    <row r="241" spans="12:13" ht="15" customHeight="1" x14ac:dyDescent="0.25">
      <c r="L241" s="48"/>
      <c r="M241" s="17"/>
    </row>
    <row r="242" spans="12:13" ht="15" customHeight="1" x14ac:dyDescent="0.25">
      <c r="L242" s="48"/>
      <c r="M242" s="17"/>
    </row>
    <row r="243" spans="12:13" ht="15" customHeight="1" x14ac:dyDescent="0.25">
      <c r="L243" s="48"/>
      <c r="M243" s="17"/>
    </row>
    <row r="244" spans="12:13" ht="15" customHeight="1" x14ac:dyDescent="0.25">
      <c r="L244" s="48"/>
      <c r="M244" s="17"/>
    </row>
    <row r="245" spans="12:13" ht="15" customHeight="1" x14ac:dyDescent="0.25">
      <c r="L245" s="48"/>
      <c r="M245" s="17"/>
    </row>
    <row r="246" spans="12:13" ht="15" customHeight="1" x14ac:dyDescent="0.25">
      <c r="L246" s="48"/>
      <c r="M246" s="17"/>
    </row>
    <row r="247" spans="12:13" ht="15" customHeight="1" x14ac:dyDescent="0.25">
      <c r="L247" s="48"/>
      <c r="M247" s="17"/>
    </row>
    <row r="248" spans="12:13" ht="15" customHeight="1" x14ac:dyDescent="0.25">
      <c r="L248" s="48"/>
      <c r="M248" s="17"/>
    </row>
    <row r="249" spans="12:13" ht="15" customHeight="1" x14ac:dyDescent="0.25">
      <c r="L249" s="48"/>
      <c r="M249" s="17"/>
    </row>
    <row r="250" spans="12:13" ht="15" customHeight="1" x14ac:dyDescent="0.25">
      <c r="L250" s="48"/>
      <c r="M250" s="17"/>
    </row>
    <row r="251" spans="12:13" ht="15" customHeight="1" x14ac:dyDescent="0.25">
      <c r="L251" s="48"/>
      <c r="M251" s="17"/>
    </row>
    <row r="252" spans="12:13" ht="15" customHeight="1" x14ac:dyDescent="0.25">
      <c r="L252" s="48"/>
      <c r="M252" s="17"/>
    </row>
    <row r="253" spans="12:13" ht="15" customHeight="1" x14ac:dyDescent="0.25">
      <c r="L253" s="48"/>
      <c r="M253" s="17"/>
    </row>
    <row r="254" spans="12:13" ht="15" customHeight="1" x14ac:dyDescent="0.25">
      <c r="L254" s="48"/>
      <c r="M254" s="17"/>
    </row>
    <row r="255" spans="12:13" ht="15" customHeight="1" x14ac:dyDescent="0.25">
      <c r="L255" s="48"/>
      <c r="M255" s="17"/>
    </row>
    <row r="256" spans="12:13" ht="15" customHeight="1" x14ac:dyDescent="0.25">
      <c r="L256" s="48"/>
      <c r="M256" s="17"/>
    </row>
    <row r="257" spans="12:13" ht="15" customHeight="1" x14ac:dyDescent="0.25">
      <c r="L257" s="48"/>
      <c r="M257" s="17"/>
    </row>
    <row r="258" spans="12:13" ht="15" customHeight="1" x14ac:dyDescent="0.25">
      <c r="L258" s="48"/>
      <c r="M258" s="17"/>
    </row>
    <row r="259" spans="12:13" ht="15" customHeight="1" x14ac:dyDescent="0.25">
      <c r="L259" s="48"/>
      <c r="M259" s="17"/>
    </row>
    <row r="260" spans="12:13" ht="15" customHeight="1" x14ac:dyDescent="0.25">
      <c r="L260" s="48"/>
      <c r="M260" s="17"/>
    </row>
    <row r="261" spans="12:13" ht="15" customHeight="1" x14ac:dyDescent="0.25">
      <c r="L261" s="48"/>
      <c r="M261" s="17"/>
    </row>
    <row r="262" spans="12:13" ht="15" customHeight="1" x14ac:dyDescent="0.25">
      <c r="L262" s="48"/>
      <c r="M262" s="17"/>
    </row>
    <row r="263" spans="12:13" ht="15" customHeight="1" x14ac:dyDescent="0.25">
      <c r="L263" s="48"/>
      <c r="M263" s="17"/>
    </row>
    <row r="264" spans="12:13" ht="15" customHeight="1" x14ac:dyDescent="0.25">
      <c r="L264" s="48"/>
      <c r="M264" s="17"/>
    </row>
    <row r="265" spans="12:13" ht="15" customHeight="1" x14ac:dyDescent="0.25">
      <c r="L265" s="48"/>
      <c r="M265" s="17"/>
    </row>
    <row r="266" spans="12:13" ht="15" customHeight="1" x14ac:dyDescent="0.25">
      <c r="L266" s="48"/>
      <c r="M266" s="17"/>
    </row>
    <row r="267" spans="12:13" ht="15" customHeight="1" x14ac:dyDescent="0.25">
      <c r="L267" s="48"/>
      <c r="M267" s="17"/>
    </row>
    <row r="268" spans="12:13" ht="15" customHeight="1" x14ac:dyDescent="0.25">
      <c r="L268" s="48"/>
      <c r="M268" s="17"/>
    </row>
    <row r="269" spans="12:13" ht="15" customHeight="1" x14ac:dyDescent="0.25">
      <c r="L269" s="48"/>
      <c r="M269" s="17"/>
    </row>
    <row r="270" spans="12:13" ht="15" customHeight="1" x14ac:dyDescent="0.25">
      <c r="L270" s="48"/>
      <c r="M270" s="17"/>
    </row>
    <row r="271" spans="12:13" ht="15" customHeight="1" x14ac:dyDescent="0.25">
      <c r="L271" s="48"/>
      <c r="M271" s="17"/>
    </row>
    <row r="272" spans="12:13" ht="15" customHeight="1" x14ac:dyDescent="0.25">
      <c r="L272" s="48"/>
      <c r="M272" s="17"/>
    </row>
    <row r="273" spans="12:13" ht="15" customHeight="1" x14ac:dyDescent="0.25">
      <c r="L273" s="48"/>
      <c r="M273" s="17"/>
    </row>
    <row r="274" spans="12:13" ht="15" customHeight="1" x14ac:dyDescent="0.25">
      <c r="L274" s="48"/>
      <c r="M274" s="17"/>
    </row>
    <row r="275" spans="12:13" ht="15" customHeight="1" x14ac:dyDescent="0.25">
      <c r="L275" s="48"/>
      <c r="M275" s="17"/>
    </row>
    <row r="276" spans="12:13" ht="15" customHeight="1" x14ac:dyDescent="0.25">
      <c r="L276" s="48"/>
      <c r="M276" s="17"/>
    </row>
    <row r="277" spans="12:13" ht="15" customHeight="1" x14ac:dyDescent="0.25">
      <c r="L277" s="48"/>
      <c r="M277" s="17"/>
    </row>
    <row r="278" spans="12:13" ht="15" customHeight="1" x14ac:dyDescent="0.25">
      <c r="L278" s="48"/>
      <c r="M278" s="17"/>
    </row>
    <row r="279" spans="12:13" ht="15" customHeight="1" x14ac:dyDescent="0.25">
      <c r="L279" s="48"/>
      <c r="M279" s="17"/>
    </row>
    <row r="280" spans="12:13" ht="15" customHeight="1" x14ac:dyDescent="0.25">
      <c r="L280" s="48"/>
      <c r="M280" s="17"/>
    </row>
    <row r="281" spans="12:13" ht="15" customHeight="1" x14ac:dyDescent="0.25">
      <c r="L281" s="48"/>
      <c r="M281" s="17"/>
    </row>
    <row r="282" spans="12:13" ht="15" customHeight="1" x14ac:dyDescent="0.25">
      <c r="L282" s="48"/>
      <c r="M282" s="17"/>
    </row>
    <row r="283" spans="12:13" ht="15" customHeight="1" x14ac:dyDescent="0.25">
      <c r="L283" s="48"/>
      <c r="M283" s="17"/>
    </row>
    <row r="284" spans="12:13" ht="15" customHeight="1" x14ac:dyDescent="0.25">
      <c r="L284" s="48"/>
      <c r="M284" s="17"/>
    </row>
    <row r="285" spans="12:13" ht="15" customHeight="1" x14ac:dyDescent="0.25">
      <c r="L285" s="48"/>
      <c r="M285" s="17"/>
    </row>
    <row r="286" spans="12:13" ht="15" customHeight="1" x14ac:dyDescent="0.25">
      <c r="L286" s="48"/>
      <c r="M286" s="17"/>
    </row>
    <row r="287" spans="12:13" ht="15" customHeight="1" x14ac:dyDescent="0.25">
      <c r="L287" s="48"/>
      <c r="M287" s="17"/>
    </row>
    <row r="288" spans="12:13" ht="15" customHeight="1" x14ac:dyDescent="0.25">
      <c r="L288" s="48"/>
      <c r="M288" s="17"/>
    </row>
    <row r="289" spans="12:13" ht="15" customHeight="1" x14ac:dyDescent="0.25">
      <c r="L289" s="48"/>
      <c r="M289" s="17"/>
    </row>
    <row r="290" spans="12:13" ht="15" customHeight="1" x14ac:dyDescent="0.25">
      <c r="L290" s="48"/>
      <c r="M290" s="17"/>
    </row>
    <row r="291" spans="12:13" ht="15" customHeight="1" x14ac:dyDescent="0.25">
      <c r="L291" s="48"/>
      <c r="M291" s="17"/>
    </row>
    <row r="292" spans="12:13" ht="15" customHeight="1" x14ac:dyDescent="0.25">
      <c r="L292" s="48"/>
      <c r="M292" s="17"/>
    </row>
    <row r="293" spans="12:13" ht="15" customHeight="1" x14ac:dyDescent="0.25">
      <c r="L293" s="48"/>
      <c r="M293" s="17"/>
    </row>
    <row r="294" spans="12:13" ht="15" customHeight="1" x14ac:dyDescent="0.25">
      <c r="L294" s="48"/>
      <c r="M294" s="17"/>
    </row>
    <row r="295" spans="12:13" ht="15" customHeight="1" x14ac:dyDescent="0.25">
      <c r="L295" s="48"/>
      <c r="M295" s="17"/>
    </row>
    <row r="296" spans="12:13" ht="15" customHeight="1" x14ac:dyDescent="0.25">
      <c r="L296" s="48"/>
      <c r="M296" s="17"/>
    </row>
    <row r="297" spans="12:13" ht="15" customHeight="1" x14ac:dyDescent="0.25">
      <c r="L297" s="48"/>
      <c r="M297" s="17"/>
    </row>
    <row r="298" spans="12:13" ht="15" customHeight="1" x14ac:dyDescent="0.25">
      <c r="L298" s="48"/>
      <c r="M298" s="17"/>
    </row>
    <row r="299" spans="12:13" ht="15" customHeight="1" x14ac:dyDescent="0.25">
      <c r="L299" s="48"/>
      <c r="M299" s="17"/>
    </row>
    <row r="300" spans="12:13" ht="15" customHeight="1" x14ac:dyDescent="0.25">
      <c r="L300" s="48"/>
      <c r="M300" s="17"/>
    </row>
    <row r="301" spans="12:13" ht="15" customHeight="1" x14ac:dyDescent="0.25">
      <c r="L301" s="48"/>
      <c r="M301" s="17"/>
    </row>
    <row r="302" spans="12:13" ht="15" customHeight="1" x14ac:dyDescent="0.25">
      <c r="L302" s="48"/>
      <c r="M302" s="17"/>
    </row>
    <row r="303" spans="12:13" ht="15" customHeight="1" x14ac:dyDescent="0.25">
      <c r="L303" s="48"/>
      <c r="M303" s="17"/>
    </row>
    <row r="304" spans="12:13" ht="15" customHeight="1" x14ac:dyDescent="0.25">
      <c r="L304" s="48"/>
      <c r="M304" s="17"/>
    </row>
    <row r="305" spans="12:13" ht="15" customHeight="1" x14ac:dyDescent="0.25">
      <c r="L305" s="48"/>
      <c r="M305" s="17"/>
    </row>
    <row r="306" spans="12:13" ht="15" customHeight="1" x14ac:dyDescent="0.25">
      <c r="L306" s="48"/>
      <c r="M306" s="17"/>
    </row>
    <row r="307" spans="12:13" ht="15" customHeight="1" x14ac:dyDescent="0.25">
      <c r="L307" s="48"/>
      <c r="M307" s="17"/>
    </row>
    <row r="308" spans="12:13" ht="15" customHeight="1" x14ac:dyDescent="0.25">
      <c r="L308" s="48"/>
      <c r="M308" s="17"/>
    </row>
    <row r="309" spans="12:13" ht="15" customHeight="1" x14ac:dyDescent="0.25">
      <c r="L309" s="48"/>
      <c r="M309" s="17"/>
    </row>
    <row r="310" spans="12:13" ht="15" customHeight="1" x14ac:dyDescent="0.25">
      <c r="L310" s="48"/>
      <c r="M310" s="17"/>
    </row>
    <row r="311" spans="12:13" ht="15" customHeight="1" x14ac:dyDescent="0.25">
      <c r="L311" s="48"/>
      <c r="M311" s="17"/>
    </row>
    <row r="312" spans="12:13" ht="15" customHeight="1" x14ac:dyDescent="0.25">
      <c r="L312" s="48"/>
      <c r="M312" s="17"/>
    </row>
    <row r="313" spans="12:13" ht="15" customHeight="1" x14ac:dyDescent="0.25">
      <c r="L313" s="48"/>
      <c r="M313" s="17"/>
    </row>
    <row r="314" spans="12:13" ht="15" customHeight="1" x14ac:dyDescent="0.25">
      <c r="L314" s="48"/>
      <c r="M314" s="17"/>
    </row>
    <row r="315" spans="12:13" ht="15" customHeight="1" x14ac:dyDescent="0.25">
      <c r="L315" s="48"/>
      <c r="M315" s="17"/>
    </row>
    <row r="316" spans="12:13" ht="15" customHeight="1" x14ac:dyDescent="0.25">
      <c r="L316" s="48"/>
      <c r="M316" s="17"/>
    </row>
    <row r="317" spans="12:13" ht="15" customHeight="1" x14ac:dyDescent="0.25">
      <c r="L317" s="48"/>
      <c r="M317" s="17"/>
    </row>
    <row r="318" spans="12:13" ht="15" customHeight="1" x14ac:dyDescent="0.25">
      <c r="L318" s="48"/>
      <c r="M318" s="17"/>
    </row>
    <row r="319" spans="12:13" ht="15" customHeight="1" x14ac:dyDescent="0.25">
      <c r="L319" s="16"/>
      <c r="M319" s="17"/>
    </row>
    <row r="320" spans="12:13" ht="15" customHeight="1" x14ac:dyDescent="0.25">
      <c r="L320" s="16"/>
      <c r="M320" s="17"/>
    </row>
    <row r="321" spans="12:13" ht="15" customHeight="1" x14ac:dyDescent="0.25">
      <c r="L321" s="16"/>
      <c r="M321" s="17"/>
    </row>
    <row r="322" spans="12:13" ht="15" customHeight="1" x14ac:dyDescent="0.25">
      <c r="L322" s="16"/>
      <c r="M322" s="17"/>
    </row>
    <row r="323" spans="12:13" ht="15" customHeight="1" x14ac:dyDescent="0.25">
      <c r="L323" s="16"/>
      <c r="M323" s="17"/>
    </row>
    <row r="324" spans="12:13" ht="15" customHeight="1" x14ac:dyDescent="0.25">
      <c r="L324" s="16"/>
      <c r="M324" s="17"/>
    </row>
    <row r="325" spans="12:13" ht="15" customHeight="1" x14ac:dyDescent="0.25">
      <c r="L325" s="16"/>
      <c r="M325" s="17"/>
    </row>
    <row r="326" spans="12:13" ht="15" customHeight="1" x14ac:dyDescent="0.25">
      <c r="L326" s="16"/>
      <c r="M326" s="17"/>
    </row>
    <row r="327" spans="12:13" ht="15" customHeight="1" x14ac:dyDescent="0.25">
      <c r="L327" s="16"/>
      <c r="M327" s="17"/>
    </row>
    <row r="328" spans="12:13" ht="15" customHeight="1" x14ac:dyDescent="0.25">
      <c r="L328" s="16"/>
      <c r="M328" s="17"/>
    </row>
    <row r="329" spans="12:13" ht="15" customHeight="1" x14ac:dyDescent="0.25">
      <c r="L329" s="16"/>
      <c r="M329" s="17"/>
    </row>
    <row r="330" spans="12:13" ht="15" customHeight="1" x14ac:dyDescent="0.25">
      <c r="L330" s="16"/>
      <c r="M330" s="17"/>
    </row>
    <row r="331" spans="12:13" ht="15" customHeight="1" x14ac:dyDescent="0.25">
      <c r="L331" s="16"/>
      <c r="M331" s="17"/>
    </row>
    <row r="332" spans="12:13" ht="15" customHeight="1" x14ac:dyDescent="0.25">
      <c r="L332" s="16"/>
      <c r="M332" s="17"/>
    </row>
    <row r="333" spans="12:13" ht="15" customHeight="1" x14ac:dyDescent="0.25">
      <c r="L333" s="16"/>
      <c r="M333" s="17"/>
    </row>
    <row r="334" spans="12:13" ht="15" customHeight="1" x14ac:dyDescent="0.25">
      <c r="L334" s="16"/>
      <c r="M334" s="17"/>
    </row>
    <row r="335" spans="12:13" ht="15" customHeight="1" x14ac:dyDescent="0.25">
      <c r="L335" s="16"/>
      <c r="M335" s="17"/>
    </row>
    <row r="336" spans="12:13" ht="15" customHeight="1" x14ac:dyDescent="0.25">
      <c r="L336" s="16"/>
      <c r="M336" s="17"/>
    </row>
    <row r="337" spans="12:13" ht="15" customHeight="1" x14ac:dyDescent="0.25">
      <c r="L337" s="16"/>
      <c r="M337" s="17"/>
    </row>
    <row r="338" spans="12:13" ht="15" customHeight="1" x14ac:dyDescent="0.25">
      <c r="L338" s="16"/>
      <c r="M338" s="17"/>
    </row>
    <row r="339" spans="12:13" ht="15" customHeight="1" x14ac:dyDescent="0.25">
      <c r="L339" s="16"/>
      <c r="M339" s="17"/>
    </row>
    <row r="340" spans="12:13" ht="15" customHeight="1" x14ac:dyDescent="0.25">
      <c r="L340" s="16"/>
      <c r="M340" s="17"/>
    </row>
    <row r="341" spans="12:13" ht="15" customHeight="1" x14ac:dyDescent="0.25">
      <c r="L341" s="16"/>
      <c r="M341" s="17"/>
    </row>
    <row r="342" spans="12:13" ht="15" customHeight="1" x14ac:dyDescent="0.25">
      <c r="L342" s="16"/>
      <c r="M342" s="17"/>
    </row>
    <row r="343" spans="12:13" ht="15" customHeight="1" x14ac:dyDescent="0.25">
      <c r="L343" s="16"/>
      <c r="M343" s="17"/>
    </row>
    <row r="344" spans="12:13" ht="15" customHeight="1" x14ac:dyDescent="0.25">
      <c r="L344" s="16"/>
      <c r="M344" s="17"/>
    </row>
    <row r="345" spans="12:13" ht="15" customHeight="1" x14ac:dyDescent="0.25">
      <c r="L345" s="16"/>
      <c r="M345" s="17"/>
    </row>
    <row r="346" spans="12:13" ht="15" customHeight="1" x14ac:dyDescent="0.25">
      <c r="L346" s="16"/>
      <c r="M346" s="17"/>
    </row>
    <row r="347" spans="12:13" ht="15" customHeight="1" x14ac:dyDescent="0.25">
      <c r="L347" s="16"/>
      <c r="M347" s="17"/>
    </row>
    <row r="348" spans="12:13" ht="15" customHeight="1" x14ac:dyDescent="0.25">
      <c r="L348" s="16"/>
      <c r="M348" s="17"/>
    </row>
    <row r="349" spans="12:13" ht="15" customHeight="1" x14ac:dyDescent="0.25">
      <c r="L349" s="16"/>
      <c r="M349" s="17"/>
    </row>
    <row r="350" spans="12:13" ht="15" customHeight="1" x14ac:dyDescent="0.25">
      <c r="L350" s="16"/>
      <c r="M350" s="17"/>
    </row>
    <row r="351" spans="12:13" ht="15" customHeight="1" x14ac:dyDescent="0.25">
      <c r="L351" s="16"/>
      <c r="M351" s="17"/>
    </row>
    <row r="352" spans="12:13" ht="15" customHeight="1" x14ac:dyDescent="0.25">
      <c r="L352" s="16"/>
      <c r="M352" s="17"/>
    </row>
    <row r="353" spans="12:13" ht="15" customHeight="1" x14ac:dyDescent="0.25">
      <c r="L353" s="16"/>
      <c r="M353" s="17"/>
    </row>
    <row r="354" spans="12:13" ht="15" customHeight="1" x14ac:dyDescent="0.25">
      <c r="L354" s="16"/>
      <c r="M354" s="17"/>
    </row>
  </sheetData>
  <autoFilter ref="A5:T5" xr:uid="{00000000-0009-0000-0000-00001A000000}">
    <filterColumn colId="13" showButton="0"/>
  </autoFilter>
  <mergeCells count="26">
    <mergeCell ref="T4:T5"/>
    <mergeCell ref="U4:U5"/>
    <mergeCell ref="N4:N5"/>
    <mergeCell ref="O4:O5"/>
    <mergeCell ref="P4:P5"/>
    <mergeCell ref="Q4:Q5"/>
    <mergeCell ref="R4:R5"/>
    <mergeCell ref="S4:S5"/>
    <mergeCell ref="M4:M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L4:L5"/>
    <mergeCell ref="A1:P1"/>
    <mergeCell ref="Q1:R1"/>
    <mergeCell ref="A2:F3"/>
    <mergeCell ref="G2:J3"/>
    <mergeCell ref="L2:Q3"/>
    <mergeCell ref="R2:U3"/>
  </mergeCells>
  <conditionalFormatting sqref="A7:A58 C43:E58 G7:K58 M85:M354 M37:N58 C7:C42 E32:E42">
    <cfRule type="expression" dxfId="2066" priority="251">
      <formula>AND($A7&lt;&gt;"",MOD(ROW(),2))</formula>
    </cfRule>
  </conditionalFormatting>
  <conditionalFormatting sqref="D43:D58 M37:M58">
    <cfRule type="cellIs" dxfId="2065" priority="248" operator="equal">
      <formula>$C37</formula>
    </cfRule>
    <cfRule type="cellIs" dxfId="2064" priority="249" operator="greaterThan">
      <formula>$C37</formula>
    </cfRule>
    <cfRule type="cellIs" dxfId="2063" priority="250" operator="lessThan">
      <formula>$C37</formula>
    </cfRule>
  </conditionalFormatting>
  <conditionalFormatting sqref="M59:M84">
    <cfRule type="expression" dxfId="2062" priority="241">
      <formula>AND($A59&lt;&gt;"",MOD(ROW(),2))</formula>
    </cfRule>
  </conditionalFormatting>
  <conditionalFormatting sqref="M59:M84">
    <cfRule type="cellIs" dxfId="2061" priority="238" operator="equal">
      <formula>$C59</formula>
    </cfRule>
    <cfRule type="cellIs" dxfId="2060" priority="239" operator="greaterThan">
      <formula>$C59</formula>
    </cfRule>
    <cfRule type="cellIs" dxfId="2059" priority="240" operator="lessThan">
      <formula>$C59</formula>
    </cfRule>
  </conditionalFormatting>
  <conditionalFormatting sqref="M85:M110">
    <cfRule type="cellIs" dxfId="2058" priority="235" operator="equal">
      <formula>$C85</formula>
    </cfRule>
    <cfRule type="cellIs" dxfId="2057" priority="236" operator="greaterThan">
      <formula>$C85</formula>
    </cfRule>
    <cfRule type="cellIs" dxfId="2056" priority="237" operator="lessThan">
      <formula>$C85</formula>
    </cfRule>
  </conditionalFormatting>
  <conditionalFormatting sqref="M111:M136">
    <cfRule type="cellIs" dxfId="2055" priority="232" operator="equal">
      <formula>$C111</formula>
    </cfRule>
    <cfRule type="cellIs" dxfId="2054" priority="233" operator="greaterThan">
      <formula>$C111</formula>
    </cfRule>
    <cfRule type="cellIs" dxfId="2053" priority="234" operator="lessThan">
      <formula>$C111</formula>
    </cfRule>
  </conditionalFormatting>
  <conditionalFormatting sqref="M137:M162">
    <cfRule type="cellIs" dxfId="2052" priority="229" operator="equal">
      <formula>$C137</formula>
    </cfRule>
    <cfRule type="cellIs" dxfId="2051" priority="230" operator="greaterThan">
      <formula>$C137</formula>
    </cfRule>
    <cfRule type="cellIs" dxfId="2050" priority="231" operator="lessThan">
      <formula>$C137</formula>
    </cfRule>
  </conditionalFormatting>
  <conditionalFormatting sqref="M163:M188">
    <cfRule type="cellIs" dxfId="2049" priority="226" operator="equal">
      <formula>$C163</formula>
    </cfRule>
    <cfRule type="cellIs" dxfId="2048" priority="227" operator="greaterThan">
      <formula>$C163</formula>
    </cfRule>
    <cfRule type="cellIs" dxfId="2047" priority="228" operator="lessThan">
      <formula>$C163</formula>
    </cfRule>
  </conditionalFormatting>
  <conditionalFormatting sqref="M189:M214">
    <cfRule type="cellIs" dxfId="2046" priority="223" operator="equal">
      <formula>$C189</formula>
    </cfRule>
    <cfRule type="cellIs" dxfId="2045" priority="224" operator="greaterThan">
      <formula>$C189</formula>
    </cfRule>
    <cfRule type="cellIs" dxfId="2044" priority="225" operator="lessThan">
      <formula>$C189</formula>
    </cfRule>
  </conditionalFormatting>
  <conditionalFormatting sqref="M215:M240">
    <cfRule type="cellIs" dxfId="2043" priority="220" operator="equal">
      <formula>$C215</formula>
    </cfRule>
    <cfRule type="cellIs" dxfId="2042" priority="221" operator="greaterThan">
      <formula>$C215</formula>
    </cfRule>
    <cfRule type="cellIs" dxfId="2041" priority="222" operator="lessThan">
      <formula>$C215</formula>
    </cfRule>
  </conditionalFormatting>
  <conditionalFormatting sqref="M241:M266">
    <cfRule type="cellIs" dxfId="2040" priority="217" operator="equal">
      <formula>$C241</formula>
    </cfRule>
    <cfRule type="cellIs" dxfId="2039" priority="218" operator="greaterThan">
      <formula>$C241</formula>
    </cfRule>
    <cfRule type="cellIs" dxfId="2038" priority="219" operator="lessThan">
      <formula>$C241</formula>
    </cfRule>
  </conditionalFormatting>
  <conditionalFormatting sqref="M267:M292">
    <cfRule type="cellIs" dxfId="2037" priority="214" operator="equal">
      <formula>$C267</formula>
    </cfRule>
    <cfRule type="cellIs" dxfId="2036" priority="215" operator="greaterThan">
      <formula>$C267</formula>
    </cfRule>
    <cfRule type="cellIs" dxfId="2035" priority="216" operator="lessThan">
      <formula>$C267</formula>
    </cfRule>
  </conditionalFormatting>
  <conditionalFormatting sqref="M293:M318">
    <cfRule type="cellIs" dxfId="2034" priority="211" operator="equal">
      <formula>$C293</formula>
    </cfRule>
    <cfRule type="cellIs" dxfId="2033" priority="212" operator="greaterThan">
      <formula>$C293</formula>
    </cfRule>
    <cfRule type="cellIs" dxfId="2032" priority="213" operator="lessThan">
      <formula>$C293</formula>
    </cfRule>
  </conditionalFormatting>
  <conditionalFormatting sqref="F31:F2989">
    <cfRule type="containsText" dxfId="2031" priority="210" operator="containsText" text="Unpaid Rent">
      <formula>NOT(ISERROR(SEARCH("Unpaid Rent",F31)))</formula>
    </cfRule>
    <cfRule type="containsText" dxfId="2030" priority="242" stopIfTrue="1" operator="containsText" text="Closed Account">
      <formula>NOT(ISERROR(SEARCH("Closed Account",F31)))</formula>
    </cfRule>
  </conditionalFormatting>
  <conditionalFormatting sqref="N37:N58">
    <cfRule type="expression" dxfId="2029" priority="247">
      <formula>AND(#REF!&lt;&gt;"",MOD(ROW(),2))</formula>
    </cfRule>
  </conditionalFormatting>
  <conditionalFormatting sqref="N37:N58">
    <cfRule type="expression" dxfId="2028" priority="246">
      <formula>AND(#REF!&lt;&gt;"",MOD(ROW(),2))</formula>
    </cfRule>
  </conditionalFormatting>
  <conditionalFormatting sqref="N37:N58">
    <cfRule type="cellIs" dxfId="2027" priority="243" operator="equal">
      <formula>#REF!</formula>
    </cfRule>
    <cfRule type="cellIs" dxfId="2026" priority="244" operator="greaterThan">
      <formula>#REF!</formula>
    </cfRule>
    <cfRule type="cellIs" dxfId="2025" priority="245" operator="lessThan">
      <formula>#REF!</formula>
    </cfRule>
  </conditionalFormatting>
  <conditionalFormatting sqref="M319:M321">
    <cfRule type="cellIs" dxfId="2024" priority="207" operator="equal">
      <formula>$C319</formula>
    </cfRule>
    <cfRule type="cellIs" dxfId="2023" priority="208" operator="greaterThan">
      <formula>$C319</formula>
    </cfRule>
    <cfRule type="cellIs" dxfId="2022" priority="209" operator="lessThan">
      <formula>$C319</formula>
    </cfRule>
  </conditionalFormatting>
  <conditionalFormatting sqref="M322:M324">
    <cfRule type="cellIs" dxfId="2021" priority="204" operator="equal">
      <formula>$C322</formula>
    </cfRule>
    <cfRule type="cellIs" dxfId="2020" priority="205" operator="greaterThan">
      <formula>$C322</formula>
    </cfRule>
    <cfRule type="cellIs" dxfId="2019" priority="206" operator="lessThan">
      <formula>$C322</formula>
    </cfRule>
  </conditionalFormatting>
  <conditionalFormatting sqref="M325:M327">
    <cfRule type="cellIs" dxfId="2018" priority="201" operator="equal">
      <formula>$C325</formula>
    </cfRule>
    <cfRule type="cellIs" dxfId="2017" priority="202" operator="greaterThan">
      <formula>$C325</formula>
    </cfRule>
    <cfRule type="cellIs" dxfId="2016" priority="203" operator="lessThan">
      <formula>$C325</formula>
    </cfRule>
  </conditionalFormatting>
  <conditionalFormatting sqref="M328:M330">
    <cfRule type="cellIs" dxfId="2015" priority="198" operator="equal">
      <formula>$C328</formula>
    </cfRule>
    <cfRule type="cellIs" dxfId="2014" priority="199" operator="greaterThan">
      <formula>$C328</formula>
    </cfRule>
    <cfRule type="cellIs" dxfId="2013" priority="200" operator="lessThan">
      <formula>$C328</formula>
    </cfRule>
  </conditionalFormatting>
  <conditionalFormatting sqref="M331:M333">
    <cfRule type="cellIs" dxfId="2012" priority="195" operator="equal">
      <formula>$C331</formula>
    </cfRule>
    <cfRule type="cellIs" dxfId="2011" priority="196" operator="greaterThan">
      <formula>$C331</formula>
    </cfRule>
    <cfRule type="cellIs" dxfId="2010" priority="197" operator="lessThan">
      <formula>$C331</formula>
    </cfRule>
  </conditionalFormatting>
  <conditionalFormatting sqref="M334:M336">
    <cfRule type="cellIs" dxfId="2009" priority="192" operator="equal">
      <formula>$C334</formula>
    </cfRule>
    <cfRule type="cellIs" dxfId="2008" priority="193" operator="greaterThan">
      <formula>$C334</formula>
    </cfRule>
    <cfRule type="cellIs" dxfId="2007" priority="194" operator="lessThan">
      <formula>$C334</formula>
    </cfRule>
  </conditionalFormatting>
  <conditionalFormatting sqref="M337:M339">
    <cfRule type="cellIs" dxfId="2006" priority="189" operator="equal">
      <formula>$C337</formula>
    </cfRule>
    <cfRule type="cellIs" dxfId="2005" priority="190" operator="greaterThan">
      <formula>$C337</formula>
    </cfRule>
    <cfRule type="cellIs" dxfId="2004" priority="191" operator="lessThan">
      <formula>$C337</formula>
    </cfRule>
  </conditionalFormatting>
  <conditionalFormatting sqref="M340:M342">
    <cfRule type="cellIs" dxfId="2003" priority="186" operator="equal">
      <formula>$C340</formula>
    </cfRule>
    <cfRule type="cellIs" dxfId="2002" priority="187" operator="greaterThan">
      <formula>$C340</formula>
    </cfRule>
    <cfRule type="cellIs" dxfId="2001" priority="188" operator="lessThan">
      <formula>$C340</formula>
    </cfRule>
  </conditionalFormatting>
  <conditionalFormatting sqref="M343:M345">
    <cfRule type="cellIs" dxfId="2000" priority="183" operator="equal">
      <formula>$C343</formula>
    </cfRule>
    <cfRule type="cellIs" dxfId="1999" priority="184" operator="greaterThan">
      <formula>$C343</formula>
    </cfRule>
    <cfRule type="cellIs" dxfId="1998" priority="185" operator="lessThan">
      <formula>$C343</formula>
    </cfRule>
  </conditionalFormatting>
  <conditionalFormatting sqref="M346:M348">
    <cfRule type="cellIs" dxfId="1997" priority="180" operator="equal">
      <formula>$C346</formula>
    </cfRule>
    <cfRule type="cellIs" dxfId="1996" priority="181" operator="greaterThan">
      <formula>$C346</formula>
    </cfRule>
    <cfRule type="cellIs" dxfId="1995" priority="182" operator="lessThan">
      <formula>$C346</formula>
    </cfRule>
  </conditionalFormatting>
  <conditionalFormatting sqref="M349:M351">
    <cfRule type="cellIs" dxfId="1994" priority="177" operator="equal">
      <formula>$C349</formula>
    </cfRule>
    <cfRule type="cellIs" dxfId="1993" priority="178" operator="greaterThan">
      <formula>$C349</formula>
    </cfRule>
    <cfRule type="cellIs" dxfId="1992" priority="179" operator="lessThan">
      <formula>$C349</formula>
    </cfRule>
  </conditionalFormatting>
  <conditionalFormatting sqref="M352:M354">
    <cfRule type="cellIs" dxfId="1991" priority="174" operator="equal">
      <formula>$C352</formula>
    </cfRule>
    <cfRule type="cellIs" dxfId="1990" priority="175" operator="greaterThan">
      <formula>$C352</formula>
    </cfRule>
    <cfRule type="cellIs" dxfId="1989" priority="176" operator="lessThan">
      <formula>$C352</formula>
    </cfRule>
  </conditionalFormatting>
  <conditionalFormatting sqref="D7:E7">
    <cfRule type="expression" dxfId="1988" priority="173">
      <formula>AND($A7&lt;&gt;"",MOD(ROW(),2))</formula>
    </cfRule>
  </conditionalFormatting>
  <conditionalFormatting sqref="D7">
    <cfRule type="cellIs" dxfId="1987" priority="170" operator="equal">
      <formula>$C7</formula>
    </cfRule>
    <cfRule type="cellIs" dxfId="1986" priority="171" operator="greaterThan">
      <formula>$C7</formula>
    </cfRule>
    <cfRule type="cellIs" dxfId="1985" priority="172" operator="lessThan">
      <formula>$C7</formula>
    </cfRule>
  </conditionalFormatting>
  <conditionalFormatting sqref="D8:E8">
    <cfRule type="expression" dxfId="1984" priority="169">
      <formula>AND($A8&lt;&gt;"",MOD(ROW(),2))</formula>
    </cfRule>
  </conditionalFormatting>
  <conditionalFormatting sqref="D8">
    <cfRule type="cellIs" dxfId="1983" priority="166" operator="equal">
      <formula>$C8</formula>
    </cfRule>
    <cfRule type="cellIs" dxfId="1982" priority="167" operator="greaterThan">
      <formula>$C8</formula>
    </cfRule>
    <cfRule type="cellIs" dxfId="1981" priority="168" operator="lessThan">
      <formula>$C8</formula>
    </cfRule>
  </conditionalFormatting>
  <conditionalFormatting sqref="D9:E9">
    <cfRule type="expression" dxfId="1980" priority="165">
      <formula>AND($A9&lt;&gt;"",MOD(ROW(),2))</formula>
    </cfRule>
  </conditionalFormatting>
  <conditionalFormatting sqref="D9">
    <cfRule type="cellIs" dxfId="1979" priority="162" operator="equal">
      <formula>$C9</formula>
    </cfRule>
    <cfRule type="cellIs" dxfId="1978" priority="163" operator="greaterThan">
      <formula>$C9</formula>
    </cfRule>
    <cfRule type="cellIs" dxfId="1977" priority="164" operator="lessThan">
      <formula>$C9</formula>
    </cfRule>
  </conditionalFormatting>
  <conditionalFormatting sqref="D10:E10">
    <cfRule type="expression" dxfId="1976" priority="161">
      <formula>AND($A10&lt;&gt;"",MOD(ROW(),2))</formula>
    </cfRule>
  </conditionalFormatting>
  <conditionalFormatting sqref="D10">
    <cfRule type="cellIs" dxfId="1975" priority="158" operator="equal">
      <formula>$C10</formula>
    </cfRule>
    <cfRule type="cellIs" dxfId="1974" priority="159" operator="greaterThan">
      <formula>$C10</formula>
    </cfRule>
    <cfRule type="cellIs" dxfId="1973" priority="160" operator="lessThan">
      <formula>$C10</formula>
    </cfRule>
  </conditionalFormatting>
  <conditionalFormatting sqref="D11:E11">
    <cfRule type="expression" dxfId="1972" priority="157">
      <formula>AND($A11&lt;&gt;"",MOD(ROW(),2))</formula>
    </cfRule>
  </conditionalFormatting>
  <conditionalFormatting sqref="D11">
    <cfRule type="cellIs" dxfId="1971" priority="154" operator="equal">
      <formula>$C11</formula>
    </cfRule>
    <cfRule type="cellIs" dxfId="1970" priority="155" operator="greaterThan">
      <formula>$C11</formula>
    </cfRule>
    <cfRule type="cellIs" dxfId="1969" priority="156" operator="lessThan">
      <formula>$C11</formula>
    </cfRule>
  </conditionalFormatting>
  <conditionalFormatting sqref="D12:E12">
    <cfRule type="expression" dxfId="1968" priority="153">
      <formula>AND($A12&lt;&gt;"",MOD(ROW(),2))</formula>
    </cfRule>
  </conditionalFormatting>
  <conditionalFormatting sqref="D12">
    <cfRule type="cellIs" dxfId="1967" priority="150" operator="equal">
      <formula>$C12</formula>
    </cfRule>
    <cfRule type="cellIs" dxfId="1966" priority="151" operator="greaterThan">
      <formula>$C12</formula>
    </cfRule>
    <cfRule type="cellIs" dxfId="1965" priority="152" operator="lessThan">
      <formula>$C12</formula>
    </cfRule>
  </conditionalFormatting>
  <conditionalFormatting sqref="D13:E13">
    <cfRule type="expression" dxfId="1964" priority="149">
      <formula>AND($A13&lt;&gt;"",MOD(ROW(),2))</formula>
    </cfRule>
  </conditionalFormatting>
  <conditionalFormatting sqref="D13">
    <cfRule type="cellIs" dxfId="1963" priority="146" operator="equal">
      <formula>$C13</formula>
    </cfRule>
    <cfRule type="cellIs" dxfId="1962" priority="147" operator="greaterThan">
      <formula>$C13</formula>
    </cfRule>
    <cfRule type="cellIs" dxfId="1961" priority="148" operator="lessThan">
      <formula>$C13</formula>
    </cfRule>
  </conditionalFormatting>
  <conditionalFormatting sqref="D14:E14">
    <cfRule type="expression" dxfId="1960" priority="145">
      <formula>AND($A14&lt;&gt;"",MOD(ROW(),2))</formula>
    </cfRule>
  </conditionalFormatting>
  <conditionalFormatting sqref="D14">
    <cfRule type="cellIs" dxfId="1959" priority="142" operator="equal">
      <formula>$C14</formula>
    </cfRule>
    <cfRule type="cellIs" dxfId="1958" priority="143" operator="greaterThan">
      <formula>$C14</formula>
    </cfRule>
    <cfRule type="cellIs" dxfId="1957" priority="144" operator="lessThan">
      <formula>$C14</formula>
    </cfRule>
  </conditionalFormatting>
  <conditionalFormatting sqref="D15:E15">
    <cfRule type="expression" dxfId="1956" priority="141">
      <formula>AND($A15&lt;&gt;"",MOD(ROW(),2))</formula>
    </cfRule>
  </conditionalFormatting>
  <conditionalFormatting sqref="D15">
    <cfRule type="cellIs" dxfId="1955" priority="138" operator="equal">
      <formula>$C15</formula>
    </cfRule>
    <cfRule type="cellIs" dxfId="1954" priority="139" operator="greaterThan">
      <formula>$C15</formula>
    </cfRule>
    <cfRule type="cellIs" dxfId="1953" priority="140" operator="lessThan">
      <formula>$C15</formula>
    </cfRule>
  </conditionalFormatting>
  <conditionalFormatting sqref="D16:E16">
    <cfRule type="expression" dxfId="1952" priority="137">
      <formula>AND($A16&lt;&gt;"",MOD(ROW(),2))</formula>
    </cfRule>
  </conditionalFormatting>
  <conditionalFormatting sqref="D16">
    <cfRule type="cellIs" dxfId="1951" priority="134" operator="equal">
      <formula>$C16</formula>
    </cfRule>
    <cfRule type="cellIs" dxfId="1950" priority="135" operator="greaterThan">
      <formula>$C16</formula>
    </cfRule>
    <cfRule type="cellIs" dxfId="1949" priority="136" operator="lessThan">
      <formula>$C16</formula>
    </cfRule>
  </conditionalFormatting>
  <conditionalFormatting sqref="D17:E17">
    <cfRule type="expression" dxfId="1948" priority="133">
      <formula>AND($A17&lt;&gt;"",MOD(ROW(),2))</formula>
    </cfRule>
  </conditionalFormatting>
  <conditionalFormatting sqref="D17">
    <cfRule type="cellIs" dxfId="1947" priority="130" operator="equal">
      <formula>$C17</formula>
    </cfRule>
    <cfRule type="cellIs" dxfId="1946" priority="131" operator="greaterThan">
      <formula>$C17</formula>
    </cfRule>
    <cfRule type="cellIs" dxfId="1945" priority="132" operator="lessThan">
      <formula>$C17</formula>
    </cfRule>
  </conditionalFormatting>
  <conditionalFormatting sqref="D18:E18">
    <cfRule type="expression" dxfId="1944" priority="129">
      <formula>AND($A18&lt;&gt;"",MOD(ROW(),2))</formula>
    </cfRule>
  </conditionalFormatting>
  <conditionalFormatting sqref="D18">
    <cfRule type="cellIs" dxfId="1943" priority="126" operator="equal">
      <formula>$C18</formula>
    </cfRule>
    <cfRule type="cellIs" dxfId="1942" priority="127" operator="greaterThan">
      <formula>$C18</formula>
    </cfRule>
    <cfRule type="cellIs" dxfId="1941" priority="128" operator="lessThan">
      <formula>$C18</formula>
    </cfRule>
  </conditionalFormatting>
  <conditionalFormatting sqref="F7:F18">
    <cfRule type="containsText" dxfId="1940" priority="124" operator="containsText" text="Unpaid Rent">
      <formula>NOT(ISERROR(SEARCH("Unpaid Rent",F7)))</formula>
    </cfRule>
    <cfRule type="containsText" dxfId="1939" priority="125" stopIfTrue="1" operator="containsText" text="Closed Account">
      <formula>NOT(ISERROR(SEARCH("Closed Account",F7)))</formula>
    </cfRule>
  </conditionalFormatting>
  <conditionalFormatting sqref="F19:F30">
    <cfRule type="containsText" dxfId="1938" priority="122" operator="containsText" text="Unpaid Rent">
      <formula>NOT(ISERROR(SEARCH("Unpaid Rent",F19)))</formula>
    </cfRule>
    <cfRule type="containsText" dxfId="1937" priority="123" stopIfTrue="1" operator="containsText" text="Closed Account">
      <formula>NOT(ISERROR(SEARCH("Closed Account",F19)))</formula>
    </cfRule>
  </conditionalFormatting>
  <conditionalFormatting sqref="D19:E19">
    <cfRule type="expression" dxfId="1936" priority="121">
      <formula>AND($A19&lt;&gt;"",MOD(ROW(),2))</formula>
    </cfRule>
  </conditionalFormatting>
  <conditionalFormatting sqref="D19">
    <cfRule type="cellIs" dxfId="1935" priority="118" operator="equal">
      <formula>$C19</formula>
    </cfRule>
    <cfRule type="cellIs" dxfId="1934" priority="119" operator="greaterThan">
      <formula>$C19</formula>
    </cfRule>
    <cfRule type="cellIs" dxfId="1933" priority="120" operator="lessThan">
      <formula>$C19</formula>
    </cfRule>
  </conditionalFormatting>
  <conditionalFormatting sqref="D20:E20">
    <cfRule type="expression" dxfId="1932" priority="117">
      <formula>AND($A20&lt;&gt;"",MOD(ROW(),2))</formula>
    </cfRule>
  </conditionalFormatting>
  <conditionalFormatting sqref="D20">
    <cfRule type="cellIs" dxfId="1931" priority="114" operator="equal">
      <formula>$C20</formula>
    </cfRule>
    <cfRule type="cellIs" dxfId="1930" priority="115" operator="greaterThan">
      <formula>$C20</formula>
    </cfRule>
    <cfRule type="cellIs" dxfId="1929" priority="116" operator="lessThan">
      <formula>$C20</formula>
    </cfRule>
  </conditionalFormatting>
  <conditionalFormatting sqref="D21:E21">
    <cfRule type="expression" dxfId="1928" priority="113">
      <formula>AND($A21&lt;&gt;"",MOD(ROW(),2))</formula>
    </cfRule>
  </conditionalFormatting>
  <conditionalFormatting sqref="D21">
    <cfRule type="cellIs" dxfId="1927" priority="110" operator="equal">
      <formula>$C21</formula>
    </cfRule>
    <cfRule type="cellIs" dxfId="1926" priority="111" operator="greaterThan">
      <formula>$C21</formula>
    </cfRule>
    <cfRule type="cellIs" dxfId="1925" priority="112" operator="lessThan">
      <formula>$C21</formula>
    </cfRule>
  </conditionalFormatting>
  <conditionalFormatting sqref="D22:E22">
    <cfRule type="expression" dxfId="1924" priority="109">
      <formula>AND($A22&lt;&gt;"",MOD(ROW(),2))</formula>
    </cfRule>
  </conditionalFormatting>
  <conditionalFormatting sqref="D22">
    <cfRule type="cellIs" dxfId="1923" priority="106" operator="equal">
      <formula>$C22</formula>
    </cfRule>
    <cfRule type="cellIs" dxfId="1922" priority="107" operator="greaterThan">
      <formula>$C22</formula>
    </cfRule>
    <cfRule type="cellIs" dxfId="1921" priority="108" operator="lessThan">
      <formula>$C22</formula>
    </cfRule>
  </conditionalFormatting>
  <conditionalFormatting sqref="D23:E23">
    <cfRule type="expression" dxfId="1920" priority="105">
      <formula>AND($A23&lt;&gt;"",MOD(ROW(),2))</formula>
    </cfRule>
  </conditionalFormatting>
  <conditionalFormatting sqref="D23">
    <cfRule type="cellIs" dxfId="1919" priority="102" operator="equal">
      <formula>$C23</formula>
    </cfRule>
    <cfRule type="cellIs" dxfId="1918" priority="103" operator="greaterThan">
      <formula>$C23</formula>
    </cfRule>
    <cfRule type="cellIs" dxfId="1917" priority="104" operator="lessThan">
      <formula>$C23</formula>
    </cfRule>
  </conditionalFormatting>
  <conditionalFormatting sqref="D24:E24">
    <cfRule type="expression" dxfId="1916" priority="101">
      <formula>AND($A24&lt;&gt;"",MOD(ROW(),2))</formula>
    </cfRule>
  </conditionalFormatting>
  <conditionalFormatting sqref="D24">
    <cfRule type="cellIs" dxfId="1915" priority="98" operator="equal">
      <formula>$C24</formula>
    </cfRule>
    <cfRule type="cellIs" dxfId="1914" priority="99" operator="greaterThan">
      <formula>$C24</formula>
    </cfRule>
    <cfRule type="cellIs" dxfId="1913" priority="100" operator="lessThan">
      <formula>$C24</formula>
    </cfRule>
  </conditionalFormatting>
  <conditionalFormatting sqref="E25">
    <cfRule type="expression" dxfId="1912" priority="97">
      <formula>AND($A25&lt;&gt;"",MOD(ROW(),2))</formula>
    </cfRule>
  </conditionalFormatting>
  <conditionalFormatting sqref="E26">
    <cfRule type="expression" dxfId="1911" priority="96">
      <formula>AND($A26&lt;&gt;"",MOD(ROW(),2))</formula>
    </cfRule>
  </conditionalFormatting>
  <conditionalFormatting sqref="E27">
    <cfRule type="expression" dxfId="1910" priority="95">
      <formula>AND($A27&lt;&gt;"",MOD(ROW(),2))</formula>
    </cfRule>
  </conditionalFormatting>
  <conditionalFormatting sqref="E28">
    <cfRule type="expression" dxfId="1909" priority="94">
      <formula>AND($A28&lt;&gt;"",MOD(ROW(),2))</formula>
    </cfRule>
  </conditionalFormatting>
  <conditionalFormatting sqref="E29">
    <cfRule type="expression" dxfId="1908" priority="93">
      <formula>AND($A29&lt;&gt;"",MOD(ROW(),2))</formula>
    </cfRule>
  </conditionalFormatting>
  <conditionalFormatting sqref="D25:D31">
    <cfRule type="expression" dxfId="1907" priority="91">
      <formula>AND($A25&lt;&gt;"",MOD(ROW(),2))</formula>
    </cfRule>
  </conditionalFormatting>
  <conditionalFormatting sqref="L7:L34 R7:U34 N7:N34 P31:P34">
    <cfRule type="expression" dxfId="1906" priority="90">
      <formula>AND($A7&lt;&gt;"",MOD(ROW(),2))</formula>
    </cfRule>
  </conditionalFormatting>
  <conditionalFormatting sqref="Q31:Q34">
    <cfRule type="containsText" dxfId="1905" priority="88" operator="containsText" text="Unpaid Rent">
      <formula>NOT(ISERROR(SEARCH("Unpaid Rent",Q31)))</formula>
    </cfRule>
    <cfRule type="containsText" dxfId="1904" priority="89" stopIfTrue="1" operator="containsText" text="Closed Account">
      <formula>NOT(ISERROR(SEARCH("Closed Account",Q31)))</formula>
    </cfRule>
  </conditionalFormatting>
  <conditionalFormatting sqref="O7:P7">
    <cfRule type="expression" dxfId="1903" priority="87">
      <formula>AND($A7&lt;&gt;"",MOD(ROW(),2))</formula>
    </cfRule>
  </conditionalFormatting>
  <conditionalFormatting sqref="O7">
    <cfRule type="cellIs" dxfId="1902" priority="84" operator="equal">
      <formula>$C7</formula>
    </cfRule>
    <cfRule type="cellIs" dxfId="1901" priority="85" operator="greaterThan">
      <formula>$C7</formula>
    </cfRule>
    <cfRule type="cellIs" dxfId="1900" priority="86" operator="lessThan">
      <formula>$C7</formula>
    </cfRule>
  </conditionalFormatting>
  <conditionalFormatting sqref="P8">
    <cfRule type="expression" dxfId="1899" priority="83">
      <formula>AND($A8&lt;&gt;"",MOD(ROW(),2))</formula>
    </cfRule>
  </conditionalFormatting>
  <conditionalFormatting sqref="P9">
    <cfRule type="expression" dxfId="1898" priority="79">
      <formula>AND($A9&lt;&gt;"",MOD(ROW(),2))</formula>
    </cfRule>
  </conditionalFormatting>
  <conditionalFormatting sqref="P10">
    <cfRule type="expression" dxfId="1897" priority="75">
      <formula>AND($A10&lt;&gt;"",MOD(ROW(),2))</formula>
    </cfRule>
  </conditionalFormatting>
  <conditionalFormatting sqref="P11">
    <cfRule type="expression" dxfId="1896" priority="71">
      <formula>AND($A11&lt;&gt;"",MOD(ROW(),2))</formula>
    </cfRule>
  </conditionalFormatting>
  <conditionalFormatting sqref="O12:P12">
    <cfRule type="expression" dxfId="1895" priority="67">
      <formula>AND($A12&lt;&gt;"",MOD(ROW(),2))</formula>
    </cfRule>
  </conditionalFormatting>
  <conditionalFormatting sqref="O12">
    <cfRule type="cellIs" dxfId="1894" priority="64" operator="equal">
      <formula>$C12</formula>
    </cfRule>
    <cfRule type="cellIs" dxfId="1893" priority="65" operator="greaterThan">
      <formula>$C12</formula>
    </cfRule>
    <cfRule type="cellIs" dxfId="1892" priority="66" operator="lessThan">
      <formula>$C12</formula>
    </cfRule>
  </conditionalFormatting>
  <conditionalFormatting sqref="O13:P13">
    <cfRule type="expression" dxfId="1891" priority="63">
      <formula>AND($A13&lt;&gt;"",MOD(ROW(),2))</formula>
    </cfRule>
  </conditionalFormatting>
  <conditionalFormatting sqref="O13">
    <cfRule type="cellIs" dxfId="1890" priority="60" operator="equal">
      <formula>$C13</formula>
    </cfRule>
    <cfRule type="cellIs" dxfId="1889" priority="61" operator="greaterThan">
      <formula>$C13</formula>
    </cfRule>
    <cfRule type="cellIs" dxfId="1888" priority="62" operator="lessThan">
      <formula>$C13</formula>
    </cfRule>
  </conditionalFormatting>
  <conditionalFormatting sqref="O14:P14">
    <cfRule type="expression" dxfId="1887" priority="59">
      <formula>AND($A14&lt;&gt;"",MOD(ROW(),2))</formula>
    </cfRule>
  </conditionalFormatting>
  <conditionalFormatting sqref="O14">
    <cfRule type="cellIs" dxfId="1886" priority="56" operator="equal">
      <formula>$C14</formula>
    </cfRule>
    <cfRule type="cellIs" dxfId="1885" priority="57" operator="greaterThan">
      <formula>$C14</formula>
    </cfRule>
    <cfRule type="cellIs" dxfId="1884" priority="58" operator="lessThan">
      <formula>$C14</formula>
    </cfRule>
  </conditionalFormatting>
  <conditionalFormatting sqref="O15:P15">
    <cfRule type="expression" dxfId="1883" priority="55">
      <formula>AND($A15&lt;&gt;"",MOD(ROW(),2))</formula>
    </cfRule>
  </conditionalFormatting>
  <conditionalFormatting sqref="O15">
    <cfRule type="cellIs" dxfId="1882" priority="52" operator="equal">
      <formula>$C15</formula>
    </cfRule>
    <cfRule type="cellIs" dxfId="1881" priority="53" operator="greaterThan">
      <formula>$C15</formula>
    </cfRule>
    <cfRule type="cellIs" dxfId="1880" priority="54" operator="lessThan">
      <formula>$C15</formula>
    </cfRule>
  </conditionalFormatting>
  <conditionalFormatting sqref="O16:P16">
    <cfRule type="expression" dxfId="1879" priority="51">
      <formula>AND($A16&lt;&gt;"",MOD(ROW(),2))</formula>
    </cfRule>
  </conditionalFormatting>
  <conditionalFormatting sqref="O16">
    <cfRule type="cellIs" dxfId="1878" priority="48" operator="equal">
      <formula>$C16</formula>
    </cfRule>
    <cfRule type="cellIs" dxfId="1877" priority="49" operator="greaterThan">
      <formula>$C16</formula>
    </cfRule>
    <cfRule type="cellIs" dxfId="1876" priority="50" operator="lessThan">
      <formula>$C16</formula>
    </cfRule>
  </conditionalFormatting>
  <conditionalFormatting sqref="O17:P17">
    <cfRule type="expression" dxfId="1875" priority="47">
      <formula>AND($A17&lt;&gt;"",MOD(ROW(),2))</formula>
    </cfRule>
  </conditionalFormatting>
  <conditionalFormatting sqref="O17">
    <cfRule type="cellIs" dxfId="1874" priority="44" operator="equal">
      <formula>$C17</formula>
    </cfRule>
    <cfRule type="cellIs" dxfId="1873" priority="45" operator="greaterThan">
      <formula>$C17</formula>
    </cfRule>
    <cfRule type="cellIs" dxfId="1872" priority="46" operator="lessThan">
      <formula>$C17</formula>
    </cfRule>
  </conditionalFormatting>
  <conditionalFormatting sqref="O18:P18">
    <cfRule type="expression" dxfId="1871" priority="43">
      <formula>AND($A18&lt;&gt;"",MOD(ROW(),2))</formula>
    </cfRule>
  </conditionalFormatting>
  <conditionalFormatting sqref="O18">
    <cfRule type="cellIs" dxfId="1870" priority="40" operator="equal">
      <formula>$C18</formula>
    </cfRule>
    <cfRule type="cellIs" dxfId="1869" priority="41" operator="greaterThan">
      <formula>$C18</formula>
    </cfRule>
    <cfRule type="cellIs" dxfId="1868" priority="42" operator="lessThan">
      <formula>$C18</formula>
    </cfRule>
  </conditionalFormatting>
  <conditionalFormatting sqref="Q7:Q18">
    <cfRule type="containsText" dxfId="1867" priority="38" operator="containsText" text="Unpaid Rent">
      <formula>NOT(ISERROR(SEARCH("Unpaid Rent",Q7)))</formula>
    </cfRule>
    <cfRule type="containsText" dxfId="1866" priority="39" stopIfTrue="1" operator="containsText" text="Closed Account">
      <formula>NOT(ISERROR(SEARCH("Closed Account",Q7)))</formula>
    </cfRule>
  </conditionalFormatting>
  <conditionalFormatting sqref="Q19:Q30">
    <cfRule type="containsText" dxfId="1865" priority="36" operator="containsText" text="Unpaid Rent">
      <formula>NOT(ISERROR(SEARCH("Unpaid Rent",Q19)))</formula>
    </cfRule>
    <cfRule type="containsText" dxfId="1864" priority="37" stopIfTrue="1" operator="containsText" text="Closed Account">
      <formula>NOT(ISERROR(SEARCH("Closed Account",Q19)))</formula>
    </cfRule>
  </conditionalFormatting>
  <conditionalFormatting sqref="O19:P19">
    <cfRule type="expression" dxfId="1863" priority="35">
      <formula>AND($A19&lt;&gt;"",MOD(ROW(),2))</formula>
    </cfRule>
  </conditionalFormatting>
  <conditionalFormatting sqref="O19">
    <cfRule type="cellIs" dxfId="1862" priority="32" operator="equal">
      <formula>$C19</formula>
    </cfRule>
    <cfRule type="cellIs" dxfId="1861" priority="33" operator="greaterThan">
      <formula>$C19</formula>
    </cfRule>
    <cfRule type="cellIs" dxfId="1860" priority="34" operator="lessThan">
      <formula>$C19</formula>
    </cfRule>
  </conditionalFormatting>
  <conditionalFormatting sqref="O20:P20">
    <cfRule type="expression" dxfId="1859" priority="31">
      <formula>AND($A20&lt;&gt;"",MOD(ROW(),2))</formula>
    </cfRule>
  </conditionalFormatting>
  <conditionalFormatting sqref="O20">
    <cfRule type="cellIs" dxfId="1858" priority="28" operator="equal">
      <formula>$C20</formula>
    </cfRule>
    <cfRule type="cellIs" dxfId="1857" priority="29" operator="greaterThan">
      <formula>$C20</formula>
    </cfRule>
    <cfRule type="cellIs" dxfId="1856" priority="30" operator="lessThan">
      <formula>$C20</formula>
    </cfRule>
  </conditionalFormatting>
  <conditionalFormatting sqref="O21:P21">
    <cfRule type="expression" dxfId="1855" priority="27">
      <formula>AND($A21&lt;&gt;"",MOD(ROW(),2))</formula>
    </cfRule>
  </conditionalFormatting>
  <conditionalFormatting sqref="O21">
    <cfRule type="cellIs" dxfId="1854" priority="24" operator="equal">
      <formula>$C21</formula>
    </cfRule>
    <cfRule type="cellIs" dxfId="1853" priority="25" operator="greaterThan">
      <formula>$C21</formula>
    </cfRule>
    <cfRule type="cellIs" dxfId="1852" priority="26" operator="lessThan">
      <formula>$C21</formula>
    </cfRule>
  </conditionalFormatting>
  <conditionalFormatting sqref="O22:P22">
    <cfRule type="expression" dxfId="1851" priority="23">
      <formula>AND($A22&lt;&gt;"",MOD(ROW(),2))</formula>
    </cfRule>
  </conditionalFormatting>
  <conditionalFormatting sqref="O22">
    <cfRule type="cellIs" dxfId="1850" priority="20" operator="equal">
      <formula>$C22</formula>
    </cfRule>
    <cfRule type="cellIs" dxfId="1849" priority="21" operator="greaterThan">
      <formula>$C22</formula>
    </cfRule>
    <cfRule type="cellIs" dxfId="1848" priority="22" operator="lessThan">
      <formula>$C22</formula>
    </cfRule>
  </conditionalFormatting>
  <conditionalFormatting sqref="P23">
    <cfRule type="expression" dxfId="1847" priority="19">
      <formula>AND($A23&lt;&gt;"",MOD(ROW(),2))</formula>
    </cfRule>
  </conditionalFormatting>
  <conditionalFormatting sqref="P24">
    <cfRule type="expression" dxfId="1846" priority="18">
      <formula>AND($A24&lt;&gt;"",MOD(ROW(),2))</formula>
    </cfRule>
  </conditionalFormatting>
  <conditionalFormatting sqref="P25">
    <cfRule type="expression" dxfId="1845" priority="17">
      <formula>AND($A25&lt;&gt;"",MOD(ROW(),2))</formula>
    </cfRule>
  </conditionalFormatting>
  <conditionalFormatting sqref="P26">
    <cfRule type="expression" dxfId="1844" priority="16">
      <formula>AND($A26&lt;&gt;"",MOD(ROW(),2))</formula>
    </cfRule>
  </conditionalFormatting>
  <conditionalFormatting sqref="P27">
    <cfRule type="expression" dxfId="1843" priority="15">
      <formula>AND($A27&lt;&gt;"",MOD(ROW(),2))</formula>
    </cfRule>
  </conditionalFormatting>
  <conditionalFormatting sqref="P28">
    <cfRule type="expression" dxfId="1842" priority="14">
      <formula>AND($A28&lt;&gt;"",MOD(ROW(),2))</formula>
    </cfRule>
  </conditionalFormatting>
  <conditionalFormatting sqref="P29">
    <cfRule type="expression" dxfId="1841" priority="13">
      <formula>AND($A29&lt;&gt;"",MOD(ROW(),2))</formula>
    </cfRule>
  </conditionalFormatting>
  <conditionalFormatting sqref="P30">
    <cfRule type="expression" dxfId="1840" priority="12">
      <formula>AND($A30&lt;&gt;"",MOD(ROW(),2))</formula>
    </cfRule>
  </conditionalFormatting>
  <conditionalFormatting sqref="N35">
    <cfRule type="expression" dxfId="1839" priority="9">
      <formula>AND($A35&lt;&gt;"",MOD(ROW(),2))</formula>
    </cfRule>
  </conditionalFormatting>
  <conditionalFormatting sqref="L35">
    <cfRule type="expression" dxfId="1838" priority="11">
      <formula>AND($A35&lt;&gt;"",MOD(ROW(),2))</formula>
    </cfRule>
  </conditionalFormatting>
  <conditionalFormatting sqref="L36">
    <cfRule type="expression" dxfId="1837" priority="10">
      <formula>AND($A36&lt;&gt;"",MOD(ROW(),2))</formula>
    </cfRule>
  </conditionalFormatting>
  <conditionalFormatting sqref="N36">
    <cfRule type="expression" dxfId="1836" priority="8">
      <formula>AND($A36&lt;&gt;"",MOD(ROW(),2))</formula>
    </cfRule>
  </conditionalFormatting>
  <conditionalFormatting sqref="O23:O34">
    <cfRule type="expression" dxfId="1835" priority="7">
      <formula>AND($A23&lt;&gt;"",MOD(ROW(),2))</formula>
    </cfRule>
  </conditionalFormatting>
  <conditionalFormatting sqref="O35">
    <cfRule type="expression" dxfId="1834" priority="6">
      <formula>AND($A35&lt;&gt;"",MOD(ROW(),2))</formula>
    </cfRule>
  </conditionalFormatting>
  <conditionalFormatting sqref="O36">
    <cfRule type="expression" dxfId="1833" priority="5">
      <formula>AND($A36&lt;&gt;"",MOD(ROW(),2))</formula>
    </cfRule>
  </conditionalFormatting>
  <conditionalFormatting sqref="D32:D42">
    <cfRule type="expression" dxfId="1832" priority="4">
      <formula>AND($A32&lt;&gt;"",MOD(ROW(),2))</formula>
    </cfRule>
  </conditionalFormatting>
  <conditionalFormatting sqref="O8:O11">
    <cfRule type="expression" dxfId="1831" priority="3">
      <formula>AND($A8&lt;&gt;"",MOD(ROW(),2))</formula>
    </cfRule>
  </conditionalFormatting>
  <conditionalFormatting sqref="E30">
    <cfRule type="expression" dxfId="1830" priority="2">
      <formula>AND($A30&lt;&gt;"",MOD(ROW(),2))</formula>
    </cfRule>
  </conditionalFormatting>
  <conditionalFormatting sqref="E31">
    <cfRule type="expression" dxfId="1829" priority="1">
      <formula>AND($A31&lt;&gt;"",MOD(ROW(),2))</formula>
    </cfRule>
  </conditionalFormatting>
  <pageMargins left="0.75" right="0.75" top="1" bottom="1" header="0.5" footer="0.5"/>
  <pageSetup paperSize="9" orientation="portrait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Payment Method" xr:uid="{00000000-0002-0000-1A00-000000000000}">
          <x14:formula1>
            <xm:f>PullDownValues!$B$2:$B$12</xm:f>
          </x14:formula1>
          <xm:sqref>F7:F289 Q7:Q34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G354"/>
  <sheetViews>
    <sheetView topLeftCell="N1" zoomScaleNormal="100" workbookViewId="0">
      <pane ySplit="5" topLeftCell="A6" activePane="bottomLeft" state="frozen"/>
      <selection pane="bottomLeft" activeCell="K10" sqref="K10"/>
    </sheetView>
  </sheetViews>
  <sheetFormatPr defaultColWidth="8.85546875" defaultRowHeight="15" customHeight="1" x14ac:dyDescent="0.25"/>
  <cols>
    <col min="1" max="1" width="3.28515625" style="10" bestFit="1" customWidth="1"/>
    <col min="2" max="2" width="12.5703125" bestFit="1" customWidth="1"/>
    <col min="3" max="3" width="10.5703125" customWidth="1"/>
    <col min="4" max="4" width="11.5703125" customWidth="1"/>
    <col min="5" max="5" width="13.42578125" customWidth="1"/>
    <col min="6" max="6" width="14.42578125" customWidth="1"/>
    <col min="7" max="7" width="8.42578125" style="31" customWidth="1"/>
    <col min="8" max="8" width="11.5703125" bestFit="1" customWidth="1"/>
    <col min="9" max="9" width="11.5703125" customWidth="1"/>
    <col min="10" max="11" width="12.7109375" customWidth="1"/>
    <col min="12" max="12" width="8.5703125" customWidth="1"/>
    <col min="13" max="13" width="12" customWidth="1"/>
    <col min="14" max="14" width="12.5703125" customWidth="1"/>
    <col min="15" max="15" width="10.7109375" customWidth="1"/>
    <col min="16" max="16" width="12.7109375" bestFit="1" customWidth="1"/>
    <col min="17" max="17" width="9" bestFit="1" customWidth="1"/>
    <col min="18" max="18" width="10.5703125" bestFit="1" customWidth="1"/>
    <col min="24" max="24" width="12" bestFit="1" customWidth="1"/>
    <col min="27" max="27" width="10.7109375" bestFit="1" customWidth="1"/>
  </cols>
  <sheetData>
    <row r="1" spans="1:33" ht="35.1" customHeight="1" x14ac:dyDescent="0.25">
      <c r="A1" s="254" t="s">
        <v>683</v>
      </c>
      <c r="B1" s="254"/>
      <c r="C1" s="254"/>
      <c r="D1" s="254"/>
      <c r="E1" s="254"/>
      <c r="F1" s="254"/>
      <c r="G1" s="254"/>
      <c r="H1" s="254"/>
      <c r="I1" s="254"/>
      <c r="J1" s="254"/>
      <c r="K1" s="57"/>
      <c r="L1" s="57"/>
      <c r="M1" s="57"/>
      <c r="N1" s="57"/>
      <c r="O1" s="57"/>
      <c r="P1" s="57"/>
      <c r="Q1" s="338">
        <f>G2+R2+AC2</f>
        <v>146.65000000000123</v>
      </c>
      <c r="R1" s="255"/>
      <c r="S1" s="114"/>
      <c r="T1" s="114"/>
    </row>
    <row r="2" spans="1:33" s="9" customFormat="1" ht="15.95" customHeight="1" x14ac:dyDescent="0.25">
      <c r="A2" s="287" t="s">
        <v>684</v>
      </c>
      <c r="B2" s="287"/>
      <c r="C2" s="287"/>
      <c r="D2" s="287"/>
      <c r="E2" s="287"/>
      <c r="F2" s="287"/>
      <c r="G2" s="336">
        <f>SUM(D7:D3000)</f>
        <v>1.1400000000003274</v>
      </c>
      <c r="H2" s="336"/>
      <c r="I2" s="336"/>
      <c r="J2" s="336"/>
      <c r="K2" s="177"/>
      <c r="L2" s="256" t="s">
        <v>570</v>
      </c>
      <c r="M2" s="256"/>
      <c r="N2" s="256"/>
      <c r="O2" s="256"/>
      <c r="P2" s="256"/>
      <c r="Q2" s="256"/>
      <c r="R2" s="258">
        <f>SUM(O7:O3000)</f>
        <v>145.00000000000091</v>
      </c>
      <c r="S2" s="258"/>
      <c r="T2" s="258"/>
      <c r="U2" s="258"/>
      <c r="W2" s="256"/>
      <c r="X2" s="256"/>
      <c r="Y2" s="256"/>
      <c r="Z2" s="256"/>
      <c r="AA2" s="256"/>
      <c r="AB2" s="256"/>
      <c r="AC2" s="258">
        <f>SUM(Z7:Z3000)</f>
        <v>0.50999999999999091</v>
      </c>
      <c r="AD2" s="258"/>
      <c r="AE2" s="258"/>
      <c r="AF2" s="258"/>
    </row>
    <row r="3" spans="1:33" s="9" customFormat="1" ht="15.95" customHeight="1" x14ac:dyDescent="0.25">
      <c r="A3" s="288"/>
      <c r="B3" s="288"/>
      <c r="C3" s="288"/>
      <c r="D3" s="288"/>
      <c r="E3" s="288"/>
      <c r="F3" s="288"/>
      <c r="G3" s="337"/>
      <c r="H3" s="337"/>
      <c r="I3" s="337"/>
      <c r="J3" s="337"/>
      <c r="K3" s="178"/>
      <c r="L3" s="257"/>
      <c r="M3" s="257"/>
      <c r="N3" s="257"/>
      <c r="O3" s="257"/>
      <c r="P3" s="257"/>
      <c r="Q3" s="257"/>
      <c r="R3" s="259"/>
      <c r="S3" s="259"/>
      <c r="T3" s="259"/>
      <c r="U3" s="259"/>
      <c r="W3" s="257"/>
      <c r="X3" s="257"/>
      <c r="Y3" s="257"/>
      <c r="Z3" s="257"/>
      <c r="AA3" s="257"/>
      <c r="AB3" s="257"/>
      <c r="AC3" s="259"/>
      <c r="AD3" s="259"/>
      <c r="AE3" s="259"/>
      <c r="AF3" s="259"/>
    </row>
    <row r="4" spans="1:33" s="9" customFormat="1" ht="15.95" customHeight="1" x14ac:dyDescent="0.25">
      <c r="A4" s="244" t="s">
        <v>6</v>
      </c>
      <c r="B4" s="244" t="s">
        <v>7</v>
      </c>
      <c r="C4" s="267" t="s">
        <v>8</v>
      </c>
      <c r="D4" s="269" t="s">
        <v>9</v>
      </c>
      <c r="E4" s="269" t="s">
        <v>10</v>
      </c>
      <c r="F4" s="252" t="s">
        <v>112</v>
      </c>
      <c r="G4" s="276" t="s">
        <v>11</v>
      </c>
      <c r="H4" s="244" t="s">
        <v>12</v>
      </c>
      <c r="I4" s="291" t="s">
        <v>563</v>
      </c>
      <c r="J4" s="334" t="s">
        <v>113</v>
      </c>
      <c r="K4" s="179"/>
      <c r="L4" s="244" t="s">
        <v>6</v>
      </c>
      <c r="M4" s="244" t="s">
        <v>7</v>
      </c>
      <c r="N4" s="267" t="s">
        <v>8</v>
      </c>
      <c r="O4" s="269" t="s">
        <v>9</v>
      </c>
      <c r="P4" s="269" t="s">
        <v>10</v>
      </c>
      <c r="Q4" s="291" t="s">
        <v>571</v>
      </c>
      <c r="R4" s="276" t="s">
        <v>11</v>
      </c>
      <c r="S4" s="244" t="s">
        <v>12</v>
      </c>
      <c r="T4" s="291" t="s">
        <v>563</v>
      </c>
      <c r="U4" s="244" t="s">
        <v>113</v>
      </c>
      <c r="W4" s="244" t="s">
        <v>6</v>
      </c>
      <c r="X4" s="244" t="s">
        <v>7</v>
      </c>
      <c r="Y4" s="267" t="s">
        <v>8</v>
      </c>
      <c r="Z4" s="269" t="s">
        <v>9</v>
      </c>
      <c r="AA4" s="269" t="s">
        <v>10</v>
      </c>
      <c r="AB4" s="291" t="s">
        <v>571</v>
      </c>
      <c r="AC4" s="276" t="s">
        <v>11</v>
      </c>
      <c r="AD4" s="244" t="s">
        <v>12</v>
      </c>
      <c r="AE4" s="291" t="s">
        <v>563</v>
      </c>
      <c r="AF4" s="244" t="s">
        <v>113</v>
      </c>
    </row>
    <row r="5" spans="1:33" s="10" customFormat="1" ht="15.75" customHeight="1" x14ac:dyDescent="0.25">
      <c r="A5" s="245"/>
      <c r="B5" s="245"/>
      <c r="C5" s="268"/>
      <c r="D5" s="270"/>
      <c r="E5" s="270"/>
      <c r="F5" s="253"/>
      <c r="G5" s="277"/>
      <c r="H5" s="245"/>
      <c r="I5" s="253"/>
      <c r="J5" s="335"/>
      <c r="K5" s="180"/>
      <c r="L5" s="245"/>
      <c r="M5" s="245"/>
      <c r="N5" s="268"/>
      <c r="O5" s="270"/>
      <c r="P5" s="270"/>
      <c r="Q5" s="253"/>
      <c r="R5" s="277"/>
      <c r="S5" s="245"/>
      <c r="T5" s="253"/>
      <c r="U5" s="245"/>
      <c r="V5" s="64"/>
      <c r="W5" s="245"/>
      <c r="X5" s="245"/>
      <c r="Y5" s="268"/>
      <c r="Z5" s="270"/>
      <c r="AA5" s="270"/>
      <c r="AB5" s="253"/>
      <c r="AC5" s="277"/>
      <c r="AD5" s="245"/>
      <c r="AE5" s="253"/>
      <c r="AF5" s="245"/>
    </row>
    <row r="6" spans="1:33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7"/>
      <c r="K6" s="47"/>
      <c r="L6" s="44"/>
      <c r="M6" s="44"/>
      <c r="N6" s="45" t="s">
        <v>123</v>
      </c>
      <c r="O6" s="45"/>
      <c r="P6" s="44"/>
      <c r="Q6" s="44"/>
      <c r="R6" s="46"/>
      <c r="S6" s="47"/>
      <c r="T6" s="47"/>
      <c r="U6" s="47"/>
      <c r="W6" s="44"/>
      <c r="X6" s="44"/>
      <c r="Y6" s="45" t="s">
        <v>123</v>
      </c>
      <c r="Z6" s="45"/>
      <c r="AA6" s="44"/>
      <c r="AB6" s="44"/>
      <c r="AC6" s="46"/>
      <c r="AD6" s="47"/>
      <c r="AE6" s="47"/>
      <c r="AF6" s="47"/>
    </row>
    <row r="7" spans="1:33" ht="15" customHeight="1" x14ac:dyDescent="0.25">
      <c r="A7" s="10">
        <v>1</v>
      </c>
      <c r="B7" s="48">
        <v>43887</v>
      </c>
      <c r="C7" s="17">
        <v>750</v>
      </c>
      <c r="D7" s="17">
        <v>750</v>
      </c>
      <c r="E7" s="16">
        <v>43887</v>
      </c>
      <c r="F7" t="s">
        <v>117</v>
      </c>
      <c r="H7" s="17">
        <f>IFERROR(IF(F6="Closed account",(IF(F7="Unpaid Rent",(C7),(C7-D7))),(IF(F7="Unpaid Rent",(C7+H6),(C7-D7+H6)))),"")</f>
        <v>0</v>
      </c>
      <c r="I7" s="17">
        <f>SUM(C7,C9:C49)</f>
        <v>9980</v>
      </c>
      <c r="J7" s="17" t="s">
        <v>199</v>
      </c>
      <c r="K7" s="17"/>
      <c r="L7" s="10">
        <v>1</v>
      </c>
      <c r="M7" s="48">
        <v>44224</v>
      </c>
      <c r="N7" s="17"/>
      <c r="O7" s="17"/>
      <c r="P7" s="16">
        <v>44224</v>
      </c>
      <c r="Q7" t="s">
        <v>181</v>
      </c>
      <c r="R7" s="17"/>
      <c r="S7" s="17">
        <f>IFERROR(IF(Q6="Closed account",(IF(Q7="Unpaid Rent",(N7),(N7-O7))),(IF(Q7="Unpaid Rent",(N7+S6),(N7-O7+S6)))),"")</f>
        <v>0</v>
      </c>
      <c r="T7" s="17" t="s">
        <v>557</v>
      </c>
      <c r="U7" s="17" t="s">
        <v>498</v>
      </c>
      <c r="W7" s="10">
        <v>1</v>
      </c>
      <c r="X7" s="48">
        <v>44503</v>
      </c>
      <c r="Y7" s="17"/>
      <c r="Z7" s="17"/>
      <c r="AA7" s="16">
        <v>44503</v>
      </c>
      <c r="AB7" t="s">
        <v>181</v>
      </c>
      <c r="AC7" s="17"/>
      <c r="AD7" s="17">
        <f>IFERROR(IF(AB6="Closed account",(IF(AB7="Unpaid Rent",(Y7),(Y7-Z7))),(IF(AB7="Unpaid Rent",(Y7+AD6),(Y7-Z7+AD6)))),"")</f>
        <v>0</v>
      </c>
      <c r="AE7" s="17" t="s">
        <v>717</v>
      </c>
      <c r="AF7" s="17" t="s">
        <v>176</v>
      </c>
      <c r="AG7" s="17" t="s">
        <v>765</v>
      </c>
    </row>
    <row r="8" spans="1:33" ht="15" customHeight="1" x14ac:dyDescent="0.25">
      <c r="A8" s="10">
        <v>1</v>
      </c>
      <c r="B8" s="48">
        <v>44113</v>
      </c>
      <c r="C8" s="17">
        <v>500</v>
      </c>
      <c r="D8" s="17">
        <v>500</v>
      </c>
      <c r="E8" s="16">
        <v>44113</v>
      </c>
      <c r="F8" t="s">
        <v>181</v>
      </c>
      <c r="H8" s="17">
        <f>IFERROR(IF(F7="Closed account",(IF(F8="Unpaid Rent",(C8),(C8-D8))),(IF(F8="Unpaid Rent",(C8+H7),(C8-D8+H7)))),"")</f>
        <v>0</v>
      </c>
      <c r="I8" s="17"/>
      <c r="J8" s="17" t="s">
        <v>199</v>
      </c>
      <c r="K8" s="17"/>
      <c r="L8" s="10">
        <v>1</v>
      </c>
      <c r="M8" s="48">
        <v>44301</v>
      </c>
      <c r="N8" s="17">
        <v>220</v>
      </c>
      <c r="O8" s="17">
        <v>220</v>
      </c>
      <c r="P8" s="16">
        <v>44301</v>
      </c>
      <c r="Q8" t="s">
        <v>59</v>
      </c>
      <c r="R8" s="17">
        <f>SUM(N8:N14,N16:N18,N20:N35)</f>
        <v>7040</v>
      </c>
      <c r="S8" s="17">
        <f t="shared" ref="S8:S38" si="0">IFERROR(IF(Q7="Closed account",(IF(Q8="Unpaid Rent",(N8),(N8-O8))),(IF(Q8="Unpaid Rent",(N8+S7),(N8-O8+S7)))),"")</f>
        <v>0</v>
      </c>
      <c r="T8" s="17" t="s">
        <v>557</v>
      </c>
      <c r="U8" s="17" t="s">
        <v>498</v>
      </c>
      <c r="W8" s="10">
        <v>2</v>
      </c>
      <c r="X8" s="48">
        <f>X7+7</f>
        <v>44510</v>
      </c>
      <c r="Y8" s="17">
        <v>140</v>
      </c>
      <c r="Z8" s="17">
        <v>140</v>
      </c>
      <c r="AA8" s="16">
        <v>44510</v>
      </c>
      <c r="AB8" t="s">
        <v>59</v>
      </c>
      <c r="AC8" s="17"/>
      <c r="AD8" s="17">
        <f t="shared" ref="AD8:AD21" si="1">IFERROR(IF(AB7="Closed account",(IF(AB8="Unpaid Rent",(Y8),(Y8-Z8))),(IF(AB8="Unpaid Rent",(Y8+AD7),(Y8-Z8+AD7)))),"")</f>
        <v>0</v>
      </c>
      <c r="AE8" s="17" t="s">
        <v>717</v>
      </c>
      <c r="AF8" s="17" t="s">
        <v>176</v>
      </c>
    </row>
    <row r="9" spans="1:33" ht="15" customHeight="1" x14ac:dyDescent="0.25">
      <c r="A9" s="10">
        <v>1</v>
      </c>
      <c r="B9" s="48">
        <v>44113</v>
      </c>
      <c r="C9" s="17">
        <v>200</v>
      </c>
      <c r="D9" s="17"/>
      <c r="E9" s="16"/>
      <c r="H9" s="17">
        <f t="shared" ref="H9:H56" si="2">IFERROR(IF(F8="Closed account",(IF(F9="Unpaid Rent",(C9),(C9-D9))),(IF(F9="Unpaid Rent",(C9+H8),(C9-D9+H8)))),"")</f>
        <v>200</v>
      </c>
      <c r="I9" s="17">
        <f>I7*25%-600</f>
        <v>1895</v>
      </c>
      <c r="J9" s="17" t="s">
        <v>199</v>
      </c>
      <c r="K9" s="17"/>
      <c r="L9" s="10">
        <v>2</v>
      </c>
      <c r="M9" s="48">
        <f t="shared" ref="M9:M14" si="3">M8+7</f>
        <v>44308</v>
      </c>
      <c r="N9" s="17">
        <v>280</v>
      </c>
      <c r="O9" s="17">
        <v>280</v>
      </c>
      <c r="P9" s="16">
        <v>44308</v>
      </c>
      <c r="Q9" t="s">
        <v>59</v>
      </c>
      <c r="R9" s="17">
        <f>R8*25%+600</f>
        <v>2360</v>
      </c>
      <c r="S9" s="17">
        <f t="shared" si="0"/>
        <v>0</v>
      </c>
      <c r="T9" s="17" t="s">
        <v>557</v>
      </c>
      <c r="U9" s="17" t="s">
        <v>498</v>
      </c>
      <c r="W9" s="10" t="s">
        <v>562</v>
      </c>
      <c r="X9" s="48">
        <v>44510</v>
      </c>
      <c r="Y9" s="17">
        <v>-5.5</v>
      </c>
      <c r="Z9" s="17">
        <v>-5.5</v>
      </c>
      <c r="AA9" s="16">
        <v>44510</v>
      </c>
      <c r="AB9" t="s">
        <v>59</v>
      </c>
      <c r="AC9" s="17"/>
      <c r="AD9" s="17">
        <f t="shared" si="1"/>
        <v>0</v>
      </c>
      <c r="AE9" s="17" t="s">
        <v>717</v>
      </c>
      <c r="AF9" s="17" t="s">
        <v>176</v>
      </c>
    </row>
    <row r="10" spans="1:33" ht="15" customHeight="1" x14ac:dyDescent="0.25">
      <c r="A10" s="10">
        <v>2</v>
      </c>
      <c r="B10" s="48">
        <f t="shared" ref="B10:B40" si="4">B9+7</f>
        <v>44120</v>
      </c>
      <c r="C10" s="17">
        <v>200</v>
      </c>
      <c r="D10" s="17"/>
      <c r="E10" s="16"/>
      <c r="H10" s="17">
        <f t="shared" si="2"/>
        <v>400</v>
      </c>
      <c r="I10" s="17">
        <f>I7*75%+600</f>
        <v>8085</v>
      </c>
      <c r="J10" s="17" t="s">
        <v>199</v>
      </c>
      <c r="K10" s="17"/>
      <c r="L10" s="10">
        <v>3</v>
      </c>
      <c r="M10" s="48">
        <f t="shared" si="3"/>
        <v>44315</v>
      </c>
      <c r="N10" s="17">
        <v>280</v>
      </c>
      <c r="O10" s="17">
        <v>280</v>
      </c>
      <c r="P10" s="16">
        <v>44314</v>
      </c>
      <c r="Q10" t="s">
        <v>59</v>
      </c>
      <c r="R10" s="17">
        <f>R8*75%-600</f>
        <v>4680</v>
      </c>
      <c r="S10" s="17">
        <f t="shared" si="0"/>
        <v>0</v>
      </c>
      <c r="T10" s="17" t="s">
        <v>557</v>
      </c>
      <c r="U10" s="17" t="s">
        <v>498</v>
      </c>
      <c r="W10" s="10">
        <v>3</v>
      </c>
      <c r="X10" s="48">
        <f>X8+7</f>
        <v>44517</v>
      </c>
      <c r="Y10" s="17">
        <v>140</v>
      </c>
      <c r="Z10" s="17">
        <v>140</v>
      </c>
      <c r="AA10" s="16">
        <v>44517</v>
      </c>
      <c r="AB10" t="s">
        <v>59</v>
      </c>
      <c r="AC10" s="17"/>
      <c r="AD10" s="17">
        <f t="shared" si="1"/>
        <v>0</v>
      </c>
      <c r="AE10" s="17" t="s">
        <v>717</v>
      </c>
      <c r="AF10" s="17" t="s">
        <v>176</v>
      </c>
    </row>
    <row r="11" spans="1:33" ht="15" customHeight="1" x14ac:dyDescent="0.25">
      <c r="A11" s="10">
        <v>3</v>
      </c>
      <c r="B11" s="48">
        <f t="shared" si="4"/>
        <v>44127</v>
      </c>
      <c r="C11" s="17">
        <v>200</v>
      </c>
      <c r="D11" s="17">
        <v>600</v>
      </c>
      <c r="E11" s="16">
        <v>44130</v>
      </c>
      <c r="F11" t="s">
        <v>117</v>
      </c>
      <c r="H11" s="17">
        <f t="shared" si="2"/>
        <v>0</v>
      </c>
      <c r="I11" s="17"/>
      <c r="J11" s="17" t="s">
        <v>199</v>
      </c>
      <c r="K11" s="17"/>
      <c r="L11" s="10">
        <v>4</v>
      </c>
      <c r="M11" s="48">
        <f t="shared" si="3"/>
        <v>44322</v>
      </c>
      <c r="N11" s="17">
        <v>280</v>
      </c>
      <c r="O11" s="17">
        <v>280</v>
      </c>
      <c r="P11" s="16">
        <v>44322</v>
      </c>
      <c r="Q11" t="s">
        <v>59</v>
      </c>
      <c r="R11" s="31"/>
      <c r="S11" s="17">
        <f t="shared" si="0"/>
        <v>0</v>
      </c>
      <c r="T11" s="17" t="s">
        <v>557</v>
      </c>
      <c r="U11" s="17" t="s">
        <v>498</v>
      </c>
      <c r="W11" s="10">
        <v>4</v>
      </c>
      <c r="X11" s="48">
        <f>X10+7</f>
        <v>44524</v>
      </c>
      <c r="Y11" s="17">
        <v>140</v>
      </c>
      <c r="Z11" s="17">
        <v>140</v>
      </c>
      <c r="AA11" s="16">
        <v>44530</v>
      </c>
      <c r="AB11" t="s">
        <v>59</v>
      </c>
      <c r="AC11" s="31"/>
      <c r="AD11" s="17">
        <f t="shared" si="1"/>
        <v>0</v>
      </c>
      <c r="AE11" s="17" t="s">
        <v>717</v>
      </c>
      <c r="AF11" s="17" t="s">
        <v>176</v>
      </c>
    </row>
    <row r="12" spans="1:33" ht="15" customHeight="1" x14ac:dyDescent="0.25">
      <c r="A12" s="10">
        <v>4</v>
      </c>
      <c r="B12" s="48">
        <f t="shared" si="4"/>
        <v>44134</v>
      </c>
      <c r="C12" s="17">
        <v>200</v>
      </c>
      <c r="D12" s="17">
        <v>200</v>
      </c>
      <c r="E12" s="16">
        <v>44134</v>
      </c>
      <c r="F12" t="s">
        <v>117</v>
      </c>
      <c r="H12" s="17">
        <f t="shared" si="2"/>
        <v>0</v>
      </c>
      <c r="I12" s="17"/>
      <c r="J12" s="17" t="s">
        <v>199</v>
      </c>
      <c r="K12" s="17"/>
      <c r="L12" s="10">
        <v>5</v>
      </c>
      <c r="M12" s="48">
        <f t="shared" si="3"/>
        <v>44329</v>
      </c>
      <c r="N12" s="17">
        <v>280</v>
      </c>
      <c r="O12" s="17">
        <v>280</v>
      </c>
      <c r="P12" s="16">
        <v>44329</v>
      </c>
      <c r="Q12" t="s">
        <v>59</v>
      </c>
      <c r="R12" s="31"/>
      <c r="S12" s="17">
        <f t="shared" si="0"/>
        <v>0</v>
      </c>
      <c r="T12" s="17" t="s">
        <v>557</v>
      </c>
      <c r="U12" s="17" t="s">
        <v>498</v>
      </c>
      <c r="W12" s="10" t="s">
        <v>562</v>
      </c>
      <c r="X12" s="48">
        <v>44524</v>
      </c>
      <c r="Y12" s="17">
        <v>-0.99</v>
      </c>
      <c r="Z12" s="17">
        <v>-0.99</v>
      </c>
      <c r="AA12" s="16">
        <v>44524</v>
      </c>
      <c r="AB12" t="s">
        <v>59</v>
      </c>
      <c r="AC12" s="31" t="s">
        <v>22</v>
      </c>
      <c r="AD12" s="17">
        <f t="shared" si="1"/>
        <v>0</v>
      </c>
      <c r="AE12" s="17" t="s">
        <v>717</v>
      </c>
      <c r="AF12" s="17" t="s">
        <v>176</v>
      </c>
    </row>
    <row r="13" spans="1:33" ht="15" customHeight="1" x14ac:dyDescent="0.25">
      <c r="A13" s="10">
        <v>5</v>
      </c>
      <c r="B13" s="48">
        <f t="shared" si="4"/>
        <v>44141</v>
      </c>
      <c r="C13" s="17">
        <v>200</v>
      </c>
      <c r="D13" s="17"/>
      <c r="E13" s="16"/>
      <c r="H13" s="17">
        <f t="shared" si="2"/>
        <v>200</v>
      </c>
      <c r="I13" s="17"/>
      <c r="J13" s="17" t="s">
        <v>199</v>
      </c>
      <c r="K13" s="17"/>
      <c r="L13" s="10">
        <v>6</v>
      </c>
      <c r="M13" s="48">
        <f t="shared" si="3"/>
        <v>44336</v>
      </c>
      <c r="N13" s="17">
        <v>280</v>
      </c>
      <c r="O13" s="17">
        <v>280</v>
      </c>
      <c r="P13" s="16">
        <v>44336</v>
      </c>
      <c r="Q13" t="s">
        <v>59</v>
      </c>
      <c r="R13" s="31"/>
      <c r="S13" s="17">
        <f t="shared" si="0"/>
        <v>0</v>
      </c>
      <c r="T13" s="17" t="s">
        <v>557</v>
      </c>
      <c r="U13" s="17" t="s">
        <v>498</v>
      </c>
      <c r="W13" s="10" t="s">
        <v>562</v>
      </c>
      <c r="X13" s="48">
        <v>44530</v>
      </c>
      <c r="Y13" s="17">
        <v>-280</v>
      </c>
      <c r="Z13" s="17">
        <v>-280</v>
      </c>
      <c r="AA13" s="16">
        <v>44530</v>
      </c>
      <c r="AC13" s="31" t="s">
        <v>739</v>
      </c>
      <c r="AD13" s="17">
        <f t="shared" si="1"/>
        <v>0</v>
      </c>
      <c r="AE13" s="17" t="s">
        <v>717</v>
      </c>
      <c r="AF13" s="17" t="s">
        <v>176</v>
      </c>
    </row>
    <row r="14" spans="1:33" ht="15" customHeight="1" x14ac:dyDescent="0.25">
      <c r="A14" s="10">
        <v>6</v>
      </c>
      <c r="B14" s="48">
        <f t="shared" si="4"/>
        <v>44148</v>
      </c>
      <c r="C14" s="17">
        <v>200</v>
      </c>
      <c r="D14" s="17"/>
      <c r="E14" s="16"/>
      <c r="H14" s="17">
        <f t="shared" si="2"/>
        <v>400</v>
      </c>
      <c r="I14" s="17"/>
      <c r="J14" s="17" t="s">
        <v>199</v>
      </c>
      <c r="K14" s="17"/>
      <c r="L14" s="10">
        <v>7</v>
      </c>
      <c r="M14" s="48">
        <f t="shared" si="3"/>
        <v>44343</v>
      </c>
      <c r="N14" s="17">
        <v>280</v>
      </c>
      <c r="O14" s="17">
        <v>280</v>
      </c>
      <c r="P14" s="16">
        <v>44343</v>
      </c>
      <c r="Q14" t="s">
        <v>59</v>
      </c>
      <c r="R14" s="31"/>
      <c r="S14" s="17">
        <f t="shared" si="0"/>
        <v>0</v>
      </c>
      <c r="T14" s="17" t="s">
        <v>557</v>
      </c>
      <c r="U14" s="17" t="s">
        <v>498</v>
      </c>
      <c r="W14" s="10">
        <v>5</v>
      </c>
      <c r="X14" s="48">
        <f>X11+7</f>
        <v>44531</v>
      </c>
      <c r="Y14" s="17">
        <v>140</v>
      </c>
      <c r="Z14" s="17">
        <v>140</v>
      </c>
      <c r="AA14" s="16">
        <v>44531</v>
      </c>
      <c r="AB14" t="s">
        <v>59</v>
      </c>
      <c r="AC14" s="31"/>
      <c r="AD14" s="17">
        <f t="shared" si="1"/>
        <v>0</v>
      </c>
      <c r="AE14" s="17" t="s">
        <v>717</v>
      </c>
      <c r="AF14" s="17" t="s">
        <v>176</v>
      </c>
    </row>
    <row r="15" spans="1:33" ht="15" customHeight="1" x14ac:dyDescent="0.25">
      <c r="A15" s="10">
        <v>7</v>
      </c>
      <c r="B15" s="48">
        <f t="shared" si="4"/>
        <v>44155</v>
      </c>
      <c r="C15" s="17">
        <v>200</v>
      </c>
      <c r="D15" s="17">
        <v>400</v>
      </c>
      <c r="E15" s="16">
        <v>44161</v>
      </c>
      <c r="F15" t="s">
        <v>117</v>
      </c>
      <c r="H15" s="17">
        <f t="shared" si="2"/>
        <v>200</v>
      </c>
      <c r="I15" s="17"/>
      <c r="J15" s="17" t="s">
        <v>199</v>
      </c>
      <c r="K15" s="17"/>
      <c r="L15" s="10" t="s">
        <v>562</v>
      </c>
      <c r="M15" s="48">
        <v>44348</v>
      </c>
      <c r="N15" s="17">
        <v>-15.77</v>
      </c>
      <c r="O15" s="17">
        <v>-15.77</v>
      </c>
      <c r="P15" s="16">
        <v>44348</v>
      </c>
      <c r="Q15" t="s">
        <v>59</v>
      </c>
      <c r="R15" s="31"/>
      <c r="S15" s="17">
        <f t="shared" si="0"/>
        <v>0</v>
      </c>
      <c r="T15" s="17" t="s">
        <v>557</v>
      </c>
      <c r="U15" s="17" t="s">
        <v>498</v>
      </c>
      <c r="W15" s="10">
        <v>6</v>
      </c>
      <c r="X15" s="48">
        <f>X14+7</f>
        <v>44538</v>
      </c>
      <c r="Y15" s="17">
        <v>140</v>
      </c>
      <c r="Z15" s="17">
        <v>140</v>
      </c>
      <c r="AA15" s="16">
        <v>44538</v>
      </c>
      <c r="AB15" t="s">
        <v>59</v>
      </c>
      <c r="AC15" s="31"/>
      <c r="AD15" s="17">
        <f t="shared" si="1"/>
        <v>0</v>
      </c>
      <c r="AE15" s="17" t="s">
        <v>717</v>
      </c>
      <c r="AF15" s="17" t="s">
        <v>176</v>
      </c>
    </row>
    <row r="16" spans="1:33" ht="15" customHeight="1" x14ac:dyDescent="0.25">
      <c r="A16" s="10">
        <v>8</v>
      </c>
      <c r="B16" s="48">
        <f t="shared" si="4"/>
        <v>44162</v>
      </c>
      <c r="C16" s="17">
        <v>200</v>
      </c>
      <c r="D16" s="17"/>
      <c r="E16" s="16"/>
      <c r="H16" s="17">
        <f t="shared" si="2"/>
        <v>400</v>
      </c>
      <c r="I16" s="17"/>
      <c r="J16" s="17" t="s">
        <v>199</v>
      </c>
      <c r="K16" s="17"/>
      <c r="L16" s="10">
        <v>8</v>
      </c>
      <c r="M16" s="48">
        <f>M14+7</f>
        <v>44350</v>
      </c>
      <c r="N16" s="17">
        <v>280</v>
      </c>
      <c r="O16" s="17">
        <v>80</v>
      </c>
      <c r="P16" s="16">
        <v>44350</v>
      </c>
      <c r="Q16" t="s">
        <v>59</v>
      </c>
      <c r="R16" s="31"/>
      <c r="S16" s="17">
        <f t="shared" si="0"/>
        <v>200</v>
      </c>
      <c r="T16" s="17" t="s">
        <v>557</v>
      </c>
      <c r="U16" s="17" t="s">
        <v>498</v>
      </c>
      <c r="W16" s="10">
        <v>7</v>
      </c>
      <c r="X16" s="48">
        <f>X15+7</f>
        <v>44545</v>
      </c>
      <c r="Y16" s="17">
        <v>140</v>
      </c>
      <c r="Z16" s="17">
        <v>140</v>
      </c>
      <c r="AA16" s="16">
        <v>44545</v>
      </c>
      <c r="AB16" t="s">
        <v>59</v>
      </c>
      <c r="AC16" s="31"/>
      <c r="AD16" s="17">
        <f t="shared" si="1"/>
        <v>0</v>
      </c>
      <c r="AE16" s="17" t="s">
        <v>717</v>
      </c>
      <c r="AF16" s="17" t="s">
        <v>176</v>
      </c>
    </row>
    <row r="17" spans="1:32" ht="15" customHeight="1" x14ac:dyDescent="0.25">
      <c r="A17" s="10">
        <v>9</v>
      </c>
      <c r="B17" s="48">
        <f t="shared" si="4"/>
        <v>44169</v>
      </c>
      <c r="C17" s="17">
        <v>200</v>
      </c>
      <c r="D17" s="17"/>
      <c r="E17" s="16"/>
      <c r="H17" s="17">
        <f t="shared" si="2"/>
        <v>600</v>
      </c>
      <c r="I17" s="17"/>
      <c r="J17" s="17" t="s">
        <v>199</v>
      </c>
      <c r="K17" s="17"/>
      <c r="L17" s="10">
        <v>9</v>
      </c>
      <c r="M17" s="48">
        <f>M16+7</f>
        <v>44357</v>
      </c>
      <c r="N17" s="17">
        <v>280</v>
      </c>
      <c r="O17" s="17">
        <v>80</v>
      </c>
      <c r="P17" s="16">
        <v>44357</v>
      </c>
      <c r="Q17" t="s">
        <v>59</v>
      </c>
      <c r="R17" s="31"/>
      <c r="S17" s="17">
        <f t="shared" si="0"/>
        <v>400</v>
      </c>
      <c r="T17" s="17" t="s">
        <v>557</v>
      </c>
      <c r="U17" s="17" t="s">
        <v>498</v>
      </c>
      <c r="W17" s="10" t="s">
        <v>562</v>
      </c>
      <c r="X17" s="48">
        <v>44556</v>
      </c>
      <c r="Y17" s="17">
        <v>-560</v>
      </c>
      <c r="Z17" s="17">
        <v>-560</v>
      </c>
      <c r="AA17" s="16">
        <v>44556</v>
      </c>
      <c r="AC17" s="31" t="s">
        <v>739</v>
      </c>
      <c r="AD17" s="17">
        <f t="shared" si="1"/>
        <v>0</v>
      </c>
      <c r="AE17" s="17" t="s">
        <v>717</v>
      </c>
      <c r="AF17" s="17" t="s">
        <v>176</v>
      </c>
    </row>
    <row r="18" spans="1:32" ht="15" customHeight="1" x14ac:dyDescent="0.25">
      <c r="A18" s="10">
        <v>10</v>
      </c>
      <c r="B18" s="48">
        <f t="shared" si="4"/>
        <v>44176</v>
      </c>
      <c r="C18" s="17">
        <v>200</v>
      </c>
      <c r="D18" s="17"/>
      <c r="E18" s="16"/>
      <c r="H18" s="17">
        <f t="shared" si="2"/>
        <v>800</v>
      </c>
      <c r="I18" s="17"/>
      <c r="J18" s="17" t="s">
        <v>199</v>
      </c>
      <c r="K18" s="17"/>
      <c r="L18" s="10">
        <v>10</v>
      </c>
      <c r="M18" s="48">
        <f>M17+7</f>
        <v>44364</v>
      </c>
      <c r="N18" s="17">
        <v>280</v>
      </c>
      <c r="O18" s="17">
        <v>280</v>
      </c>
      <c r="P18" s="16">
        <v>44364</v>
      </c>
      <c r="Q18" t="s">
        <v>59</v>
      </c>
      <c r="R18" s="31"/>
      <c r="S18" s="17">
        <f t="shared" si="0"/>
        <v>400</v>
      </c>
      <c r="T18" s="17" t="s">
        <v>557</v>
      </c>
      <c r="U18" s="17" t="s">
        <v>498</v>
      </c>
      <c r="W18" s="10">
        <v>8</v>
      </c>
      <c r="X18" s="48">
        <f>X16+7</f>
        <v>44552</v>
      </c>
      <c r="Y18" s="17">
        <v>140</v>
      </c>
      <c r="Z18" s="17">
        <v>140</v>
      </c>
      <c r="AA18" s="16">
        <v>44552</v>
      </c>
      <c r="AB18" t="s">
        <v>59</v>
      </c>
      <c r="AC18" s="31"/>
      <c r="AD18" s="17">
        <f t="shared" si="1"/>
        <v>0</v>
      </c>
      <c r="AE18" s="17" t="s">
        <v>717</v>
      </c>
      <c r="AF18" s="17" t="s">
        <v>176</v>
      </c>
    </row>
    <row r="19" spans="1:32" ht="15" customHeight="1" x14ac:dyDescent="0.25">
      <c r="A19" s="10">
        <v>11</v>
      </c>
      <c r="B19" s="48">
        <f t="shared" si="4"/>
        <v>44183</v>
      </c>
      <c r="C19" s="17">
        <v>200</v>
      </c>
      <c r="D19" s="17"/>
      <c r="E19" s="16"/>
      <c r="H19" s="17">
        <f t="shared" si="2"/>
        <v>1000</v>
      </c>
      <c r="I19" s="17"/>
      <c r="J19" s="17" t="s">
        <v>199</v>
      </c>
      <c r="K19" s="17"/>
      <c r="L19" s="10" t="s">
        <v>562</v>
      </c>
      <c r="M19" s="48">
        <v>44371</v>
      </c>
      <c r="N19" s="17">
        <v>-34.950000000000003</v>
      </c>
      <c r="O19" s="17">
        <v>-34.950000000000003</v>
      </c>
      <c r="P19" s="16">
        <v>44371</v>
      </c>
      <c r="R19" s="31"/>
      <c r="S19" s="17">
        <f t="shared" si="0"/>
        <v>400</v>
      </c>
      <c r="T19" s="17" t="s">
        <v>557</v>
      </c>
      <c r="U19" s="17" t="s">
        <v>498</v>
      </c>
      <c r="W19" s="10">
        <v>9</v>
      </c>
      <c r="X19" s="48">
        <f>X18+7</f>
        <v>44559</v>
      </c>
      <c r="Y19" s="17">
        <v>140</v>
      </c>
      <c r="Z19" s="17">
        <v>140</v>
      </c>
      <c r="AA19" s="16">
        <v>44559</v>
      </c>
      <c r="AB19" t="s">
        <v>59</v>
      </c>
      <c r="AC19" s="31"/>
      <c r="AD19" s="17">
        <f t="shared" si="1"/>
        <v>0</v>
      </c>
      <c r="AE19" s="17" t="s">
        <v>717</v>
      </c>
      <c r="AF19" s="17" t="s">
        <v>176</v>
      </c>
    </row>
    <row r="20" spans="1:32" ht="15" customHeight="1" x14ac:dyDescent="0.25">
      <c r="A20" s="10">
        <v>12</v>
      </c>
      <c r="B20" s="48">
        <f t="shared" si="4"/>
        <v>44190</v>
      </c>
      <c r="C20" s="17">
        <v>200</v>
      </c>
      <c r="D20" s="17"/>
      <c r="E20" s="16"/>
      <c r="H20" s="17">
        <f t="shared" si="2"/>
        <v>1200</v>
      </c>
      <c r="I20" s="17"/>
      <c r="J20" s="17" t="s">
        <v>199</v>
      </c>
      <c r="K20" s="17"/>
      <c r="L20" s="10">
        <v>11</v>
      </c>
      <c r="M20" s="48">
        <f>M18+7</f>
        <v>44371</v>
      </c>
      <c r="N20" s="17">
        <v>280</v>
      </c>
      <c r="O20" s="17">
        <v>280</v>
      </c>
      <c r="P20" s="16">
        <v>44371</v>
      </c>
      <c r="Q20" t="s">
        <v>59</v>
      </c>
      <c r="R20" s="31"/>
      <c r="S20" s="17">
        <f t="shared" si="0"/>
        <v>400</v>
      </c>
      <c r="T20" s="17" t="s">
        <v>557</v>
      </c>
      <c r="U20" s="17" t="s">
        <v>498</v>
      </c>
      <c r="W20" s="10">
        <v>10</v>
      </c>
      <c r="X20" s="48">
        <f>X19+7</f>
        <v>44566</v>
      </c>
      <c r="Y20" s="17">
        <v>140</v>
      </c>
      <c r="Z20" s="17">
        <v>140</v>
      </c>
      <c r="AA20" s="16">
        <v>44566</v>
      </c>
      <c r="AB20" t="s">
        <v>59</v>
      </c>
      <c r="AC20" s="31"/>
      <c r="AD20" s="17">
        <f t="shared" si="1"/>
        <v>0</v>
      </c>
      <c r="AE20" s="17" t="s">
        <v>717</v>
      </c>
      <c r="AF20" s="17" t="s">
        <v>176</v>
      </c>
    </row>
    <row r="21" spans="1:32" ht="15" customHeight="1" x14ac:dyDescent="0.25">
      <c r="A21" s="10">
        <v>13</v>
      </c>
      <c r="B21" s="48">
        <f t="shared" si="4"/>
        <v>44197</v>
      </c>
      <c r="C21" s="17">
        <v>200</v>
      </c>
      <c r="D21" s="17"/>
      <c r="E21" s="16"/>
      <c r="H21" s="17">
        <f t="shared" si="2"/>
        <v>1400</v>
      </c>
      <c r="I21" s="17"/>
      <c r="J21" s="17" t="s">
        <v>199</v>
      </c>
      <c r="K21" s="17"/>
      <c r="L21" s="10">
        <v>12</v>
      </c>
      <c r="M21" s="48">
        <f t="shared" ref="M21:M27" si="5">M20+7</f>
        <v>44378</v>
      </c>
      <c r="N21" s="17">
        <v>280</v>
      </c>
      <c r="O21" s="17">
        <v>380</v>
      </c>
      <c r="P21" s="16">
        <v>44378</v>
      </c>
      <c r="Q21" t="s">
        <v>59</v>
      </c>
      <c r="R21" s="31"/>
      <c r="S21" s="17">
        <f t="shared" si="0"/>
        <v>300</v>
      </c>
      <c r="T21" s="17" t="s">
        <v>557</v>
      </c>
      <c r="U21" s="17" t="s">
        <v>498</v>
      </c>
      <c r="W21" s="10">
        <v>11</v>
      </c>
      <c r="X21" s="48">
        <f>X20+7</f>
        <v>44573</v>
      </c>
      <c r="Y21" s="17">
        <v>140</v>
      </c>
      <c r="Z21" s="17">
        <v>140</v>
      </c>
      <c r="AA21" s="16">
        <v>44573</v>
      </c>
      <c r="AB21" t="s">
        <v>59</v>
      </c>
      <c r="AC21" s="31"/>
      <c r="AD21" s="17">
        <f t="shared" si="1"/>
        <v>0</v>
      </c>
      <c r="AE21" s="17" t="s">
        <v>784</v>
      </c>
      <c r="AF21" s="17" t="s">
        <v>176</v>
      </c>
    </row>
    <row r="22" spans="1:32" ht="15" customHeight="1" x14ac:dyDescent="0.25">
      <c r="A22" s="10">
        <v>14</v>
      </c>
      <c r="B22" s="48">
        <f t="shared" si="4"/>
        <v>44204</v>
      </c>
      <c r="C22" s="17">
        <v>200</v>
      </c>
      <c r="D22" s="17">
        <v>1000</v>
      </c>
      <c r="E22" s="16">
        <v>44207</v>
      </c>
      <c r="F22" t="s">
        <v>117</v>
      </c>
      <c r="H22" s="17">
        <f t="shared" si="2"/>
        <v>600</v>
      </c>
      <c r="I22" s="17"/>
      <c r="J22" s="17" t="s">
        <v>199</v>
      </c>
      <c r="K22" s="17"/>
      <c r="L22" s="10">
        <v>13</v>
      </c>
      <c r="M22" s="48">
        <f t="shared" si="5"/>
        <v>44385</v>
      </c>
      <c r="N22" s="17">
        <v>280</v>
      </c>
      <c r="O22" s="17">
        <v>380</v>
      </c>
      <c r="P22" s="16">
        <v>44385</v>
      </c>
      <c r="Q22" t="s">
        <v>59</v>
      </c>
      <c r="R22" s="31"/>
      <c r="S22" s="17">
        <f t="shared" si="0"/>
        <v>200</v>
      </c>
      <c r="T22" s="17" t="s">
        <v>557</v>
      </c>
      <c r="U22" s="17" t="s">
        <v>498</v>
      </c>
      <c r="W22" s="10">
        <v>12</v>
      </c>
      <c r="X22" s="48">
        <f>X21+7</f>
        <v>44580</v>
      </c>
      <c r="Y22" s="17">
        <v>140</v>
      </c>
      <c r="Z22" s="17">
        <v>140</v>
      </c>
      <c r="AA22" s="16">
        <v>44580</v>
      </c>
      <c r="AB22" t="s">
        <v>59</v>
      </c>
      <c r="AD22" s="17">
        <f>IFERROR(IF(AB21="Closed account",(IF(AB22="Unpaid Rent",(Y22),(Y22-Z22))),(IF(AB22="Unpaid Rent",(Y22+AD21),(Y22-Z22+AD21)))),"")</f>
        <v>0</v>
      </c>
      <c r="AE22" s="17" t="s">
        <v>784</v>
      </c>
      <c r="AF22" s="17" t="s">
        <v>176</v>
      </c>
    </row>
    <row r="23" spans="1:32" ht="15" customHeight="1" x14ac:dyDescent="0.25">
      <c r="A23" s="10">
        <v>15</v>
      </c>
      <c r="B23" s="48">
        <f t="shared" si="4"/>
        <v>44211</v>
      </c>
      <c r="C23" s="17">
        <v>200</v>
      </c>
      <c r="D23" s="17"/>
      <c r="E23" s="16"/>
      <c r="H23" s="17">
        <f t="shared" si="2"/>
        <v>800</v>
      </c>
      <c r="I23" s="17"/>
      <c r="J23" s="17" t="s">
        <v>199</v>
      </c>
      <c r="K23" s="17"/>
      <c r="L23" s="10">
        <v>14</v>
      </c>
      <c r="M23" s="48">
        <f t="shared" si="5"/>
        <v>44392</v>
      </c>
      <c r="N23" s="17">
        <v>100</v>
      </c>
      <c r="O23" s="17">
        <v>100</v>
      </c>
      <c r="P23" s="16">
        <v>44392</v>
      </c>
      <c r="Q23" t="s">
        <v>59</v>
      </c>
      <c r="R23" s="31"/>
      <c r="S23" s="17">
        <f t="shared" si="0"/>
        <v>200</v>
      </c>
      <c r="T23" s="17" t="s">
        <v>671</v>
      </c>
      <c r="U23" s="17" t="s">
        <v>498</v>
      </c>
      <c r="W23" s="10">
        <v>13</v>
      </c>
      <c r="X23" s="48">
        <f>X22+7</f>
        <v>44587</v>
      </c>
      <c r="Y23" s="17">
        <v>140</v>
      </c>
      <c r="Z23" s="17">
        <v>140</v>
      </c>
      <c r="AA23" s="16">
        <v>44588</v>
      </c>
      <c r="AB23" t="s">
        <v>59</v>
      </c>
      <c r="AD23" s="17">
        <f>IFERROR(IF(AB22="Closed account",(IF(AB23="Unpaid Rent",(Y23),(Y23-Z23))),(IF(AB23="Unpaid Rent",(Y23+AD22),(Y23-Z23+AD22)))),"")</f>
        <v>0</v>
      </c>
      <c r="AE23" s="17" t="s">
        <v>784</v>
      </c>
      <c r="AF23" s="17" t="s">
        <v>176</v>
      </c>
    </row>
    <row r="24" spans="1:32" ht="15" customHeight="1" x14ac:dyDescent="0.25">
      <c r="A24" s="10">
        <v>16</v>
      </c>
      <c r="B24" s="48">
        <f t="shared" si="4"/>
        <v>44218</v>
      </c>
      <c r="C24" s="17">
        <v>200</v>
      </c>
      <c r="D24" s="17"/>
      <c r="E24" s="16"/>
      <c r="H24" s="17">
        <f t="shared" si="2"/>
        <v>1000</v>
      </c>
      <c r="I24" s="17"/>
      <c r="J24" s="17" t="s">
        <v>199</v>
      </c>
      <c r="K24" s="17"/>
      <c r="L24" s="10">
        <v>15</v>
      </c>
      <c r="M24" s="48">
        <f t="shared" si="5"/>
        <v>44399</v>
      </c>
      <c r="N24" s="17">
        <v>280</v>
      </c>
      <c r="O24" s="17">
        <v>380</v>
      </c>
      <c r="P24" s="16">
        <v>44399</v>
      </c>
      <c r="Q24" t="s">
        <v>59</v>
      </c>
      <c r="R24" s="31"/>
      <c r="S24" s="17">
        <f t="shared" si="0"/>
        <v>100</v>
      </c>
      <c r="T24" s="17" t="s">
        <v>557</v>
      </c>
      <c r="U24" s="17" t="s">
        <v>498</v>
      </c>
      <c r="W24" s="10" t="s">
        <v>562</v>
      </c>
      <c r="X24" s="48">
        <v>44641</v>
      </c>
      <c r="Y24" s="17">
        <v>-833</v>
      </c>
      <c r="Z24" s="17">
        <v>-833</v>
      </c>
      <c r="AA24" t="s">
        <v>810</v>
      </c>
      <c r="AC24" t="s">
        <v>739</v>
      </c>
      <c r="AD24" s="17">
        <f>IFERROR(IF(AB23="Closed account",(IF(AB24="Unpaid Rent",(Y24),(Y24-Z24))),(IF(AB24="Unpaid Rent",(Y24+AD23),(Y24-Z24+AD23)))),"")</f>
        <v>0</v>
      </c>
      <c r="AE24" s="17" t="s">
        <v>811</v>
      </c>
      <c r="AF24" s="17" t="s">
        <v>176</v>
      </c>
    </row>
    <row r="25" spans="1:32" ht="15" customHeight="1" x14ac:dyDescent="0.25">
      <c r="A25" s="10">
        <v>17</v>
      </c>
      <c r="B25" s="48">
        <f t="shared" si="4"/>
        <v>44225</v>
      </c>
      <c r="C25" s="17">
        <v>200</v>
      </c>
      <c r="D25" s="17">
        <v>200</v>
      </c>
      <c r="E25" s="16">
        <v>44228</v>
      </c>
      <c r="F25" t="s">
        <v>117</v>
      </c>
      <c r="H25" s="17">
        <f t="shared" si="2"/>
        <v>1000</v>
      </c>
      <c r="I25" s="17"/>
      <c r="J25" s="17" t="s">
        <v>199</v>
      </c>
      <c r="K25" s="17"/>
      <c r="L25" s="10">
        <v>16</v>
      </c>
      <c r="M25" s="48">
        <f t="shared" si="5"/>
        <v>44406</v>
      </c>
      <c r="N25" s="17">
        <v>280</v>
      </c>
      <c r="O25" s="17">
        <v>380</v>
      </c>
      <c r="P25" s="16">
        <v>44406</v>
      </c>
      <c r="Q25" t="s">
        <v>59</v>
      </c>
      <c r="R25" s="31"/>
      <c r="S25" s="17">
        <f t="shared" si="0"/>
        <v>0</v>
      </c>
      <c r="T25" s="17" t="s">
        <v>557</v>
      </c>
      <c r="U25" s="17" t="s">
        <v>498</v>
      </c>
    </row>
    <row r="26" spans="1:32" ht="15" customHeight="1" x14ac:dyDescent="0.25">
      <c r="A26" s="10">
        <v>18</v>
      </c>
      <c r="B26" s="48">
        <f t="shared" si="4"/>
        <v>44232</v>
      </c>
      <c r="C26" s="17">
        <v>200</v>
      </c>
      <c r="D26" s="17">
        <v>300</v>
      </c>
      <c r="E26" s="16">
        <v>44242</v>
      </c>
      <c r="F26" t="s">
        <v>117</v>
      </c>
      <c r="G26" s="31" t="s">
        <v>526</v>
      </c>
      <c r="H26" s="17">
        <f t="shared" si="2"/>
        <v>900</v>
      </c>
      <c r="I26" s="17"/>
      <c r="J26" s="17" t="s">
        <v>199</v>
      </c>
      <c r="K26" s="17"/>
      <c r="L26" s="10">
        <v>17</v>
      </c>
      <c r="M26" s="48">
        <f t="shared" si="5"/>
        <v>44413</v>
      </c>
      <c r="N26" s="17">
        <v>280</v>
      </c>
      <c r="O26" s="17">
        <v>280</v>
      </c>
      <c r="P26" s="16">
        <v>44413</v>
      </c>
      <c r="Q26" t="s">
        <v>59</v>
      </c>
      <c r="R26" s="31"/>
      <c r="S26" s="17">
        <f t="shared" si="0"/>
        <v>0</v>
      </c>
      <c r="T26" s="17" t="s">
        <v>557</v>
      </c>
      <c r="U26" s="17" t="s">
        <v>498</v>
      </c>
    </row>
    <row r="27" spans="1:32" ht="15" customHeight="1" x14ac:dyDescent="0.25">
      <c r="A27" s="10">
        <v>19</v>
      </c>
      <c r="B27" s="48">
        <f t="shared" si="4"/>
        <v>44239</v>
      </c>
      <c r="C27" s="17">
        <v>250</v>
      </c>
      <c r="D27" s="17">
        <v>600</v>
      </c>
      <c r="E27" s="16">
        <v>44246</v>
      </c>
      <c r="F27" t="s">
        <v>117</v>
      </c>
      <c r="H27" s="17">
        <f t="shared" si="2"/>
        <v>550</v>
      </c>
      <c r="I27" s="17"/>
      <c r="J27" s="17" t="s">
        <v>199</v>
      </c>
      <c r="K27" s="17"/>
      <c r="L27" s="10">
        <v>18</v>
      </c>
      <c r="M27" s="48">
        <f t="shared" si="5"/>
        <v>44420</v>
      </c>
      <c r="N27" s="17">
        <v>280</v>
      </c>
      <c r="O27" s="17">
        <v>280</v>
      </c>
      <c r="P27" s="16">
        <v>44420</v>
      </c>
      <c r="Q27" t="s">
        <v>59</v>
      </c>
      <c r="R27" s="31"/>
      <c r="S27" s="17">
        <f t="shared" si="0"/>
        <v>0</v>
      </c>
      <c r="T27" s="17" t="s">
        <v>557</v>
      </c>
      <c r="U27" s="17" t="s">
        <v>498</v>
      </c>
    </row>
    <row r="28" spans="1:32" ht="15" customHeight="1" x14ac:dyDescent="0.25">
      <c r="A28" s="10">
        <v>20</v>
      </c>
      <c r="B28" s="48">
        <f t="shared" si="4"/>
        <v>44246</v>
      </c>
      <c r="C28" s="17">
        <v>250</v>
      </c>
      <c r="D28" s="17"/>
      <c r="E28" s="16"/>
      <c r="H28" s="17">
        <f t="shared" si="2"/>
        <v>800</v>
      </c>
      <c r="I28" s="17"/>
      <c r="J28" s="17" t="s">
        <v>199</v>
      </c>
      <c r="K28" s="17"/>
      <c r="L28" s="10">
        <v>19</v>
      </c>
      <c r="M28" s="48">
        <f t="shared" ref="M28:M33" si="6">M27+7</f>
        <v>44427</v>
      </c>
      <c r="N28" s="17">
        <v>280</v>
      </c>
      <c r="O28" s="17">
        <v>280</v>
      </c>
      <c r="P28" s="16">
        <v>44427</v>
      </c>
      <c r="Q28" t="s">
        <v>59</v>
      </c>
      <c r="R28" s="31"/>
      <c r="S28" s="17">
        <f t="shared" si="0"/>
        <v>0</v>
      </c>
      <c r="T28" s="17" t="s">
        <v>557</v>
      </c>
      <c r="U28" s="17" t="s">
        <v>498</v>
      </c>
    </row>
    <row r="29" spans="1:32" ht="15" customHeight="1" x14ac:dyDescent="0.25">
      <c r="A29" s="10">
        <v>21</v>
      </c>
      <c r="B29" s="48">
        <f t="shared" si="4"/>
        <v>44253</v>
      </c>
      <c r="C29" s="17">
        <v>250</v>
      </c>
      <c r="D29" s="17"/>
      <c r="E29" s="16"/>
      <c r="H29" s="17">
        <f t="shared" si="2"/>
        <v>1050</v>
      </c>
      <c r="I29" s="17"/>
      <c r="J29" s="17" t="s">
        <v>199</v>
      </c>
      <c r="K29" s="17"/>
      <c r="L29" s="10">
        <v>20</v>
      </c>
      <c r="M29" s="48">
        <f t="shared" si="6"/>
        <v>44434</v>
      </c>
      <c r="N29" s="17">
        <v>280</v>
      </c>
      <c r="O29" s="17">
        <v>280</v>
      </c>
      <c r="P29" s="16">
        <v>44434</v>
      </c>
      <c r="Q29" t="s">
        <v>59</v>
      </c>
      <c r="R29" s="31"/>
      <c r="S29" s="17">
        <f t="shared" si="0"/>
        <v>0</v>
      </c>
      <c r="T29" s="17" t="s">
        <v>557</v>
      </c>
      <c r="U29" s="17" t="s">
        <v>498</v>
      </c>
    </row>
    <row r="30" spans="1:32" ht="15" customHeight="1" x14ac:dyDescent="0.25">
      <c r="A30" s="10">
        <v>22</v>
      </c>
      <c r="B30" s="48">
        <f t="shared" si="4"/>
        <v>44260</v>
      </c>
      <c r="C30" s="17">
        <v>250</v>
      </c>
      <c r="D30" s="17">
        <v>450</v>
      </c>
      <c r="E30" s="16">
        <v>44262</v>
      </c>
      <c r="F30" t="s">
        <v>117</v>
      </c>
      <c r="H30" s="17">
        <f t="shared" si="2"/>
        <v>850</v>
      </c>
      <c r="I30" s="17"/>
      <c r="J30" s="17" t="s">
        <v>199</v>
      </c>
      <c r="K30" s="17"/>
      <c r="L30" s="10">
        <v>21</v>
      </c>
      <c r="M30" s="48">
        <f t="shared" si="6"/>
        <v>44441</v>
      </c>
      <c r="N30" s="17">
        <v>280</v>
      </c>
      <c r="O30" s="17">
        <v>280</v>
      </c>
      <c r="P30" s="16">
        <v>44441</v>
      </c>
      <c r="Q30" t="s">
        <v>59</v>
      </c>
      <c r="R30" s="31"/>
      <c r="S30" s="17">
        <f t="shared" si="0"/>
        <v>0</v>
      </c>
      <c r="T30" s="17" t="s">
        <v>557</v>
      </c>
      <c r="U30" s="17" t="s">
        <v>498</v>
      </c>
    </row>
    <row r="31" spans="1:32" ht="15" customHeight="1" x14ac:dyDescent="0.25">
      <c r="A31" s="10">
        <v>23</v>
      </c>
      <c r="B31" s="48">
        <f t="shared" si="4"/>
        <v>44267</v>
      </c>
      <c r="C31" s="17">
        <v>250</v>
      </c>
      <c r="D31" s="17"/>
      <c r="E31" s="16"/>
      <c r="H31" s="17">
        <f t="shared" si="2"/>
        <v>1100</v>
      </c>
      <c r="I31" s="17"/>
      <c r="J31" s="17" t="s">
        <v>199</v>
      </c>
      <c r="K31" s="17"/>
      <c r="L31" s="10">
        <v>22</v>
      </c>
      <c r="M31" s="48">
        <f t="shared" si="6"/>
        <v>44448</v>
      </c>
      <c r="N31" s="17">
        <v>280</v>
      </c>
      <c r="O31" s="17">
        <v>280</v>
      </c>
      <c r="P31" s="16">
        <v>44448</v>
      </c>
      <c r="Q31" t="s">
        <v>59</v>
      </c>
      <c r="R31" s="31"/>
      <c r="S31" s="17">
        <f t="shared" si="0"/>
        <v>0</v>
      </c>
      <c r="T31" s="17" t="s">
        <v>557</v>
      </c>
      <c r="U31" s="17" t="s">
        <v>498</v>
      </c>
    </row>
    <row r="32" spans="1:32" ht="15" customHeight="1" x14ac:dyDescent="0.25">
      <c r="A32" s="10">
        <v>24</v>
      </c>
      <c r="B32" s="48">
        <f t="shared" si="4"/>
        <v>44274</v>
      </c>
      <c r="C32" s="17">
        <v>250</v>
      </c>
      <c r="D32" s="17">
        <v>1350</v>
      </c>
      <c r="E32" s="16">
        <v>44274</v>
      </c>
      <c r="F32" t="s">
        <v>117</v>
      </c>
      <c r="H32" s="17">
        <f t="shared" si="2"/>
        <v>0</v>
      </c>
      <c r="I32" s="17"/>
      <c r="J32" s="17" t="s">
        <v>199</v>
      </c>
      <c r="K32" s="17"/>
      <c r="L32" s="10">
        <v>23</v>
      </c>
      <c r="M32" s="48">
        <f t="shared" si="6"/>
        <v>44455</v>
      </c>
      <c r="N32" s="17">
        <v>280</v>
      </c>
      <c r="O32" s="17">
        <v>280</v>
      </c>
      <c r="P32" s="16">
        <v>44455</v>
      </c>
      <c r="Q32" t="s">
        <v>59</v>
      </c>
      <c r="R32" s="31"/>
      <c r="S32" s="17">
        <f t="shared" si="0"/>
        <v>0</v>
      </c>
      <c r="T32" s="17" t="s">
        <v>557</v>
      </c>
      <c r="U32" s="17" t="s">
        <v>498</v>
      </c>
    </row>
    <row r="33" spans="1:21" ht="15" customHeight="1" x14ac:dyDescent="0.25">
      <c r="A33" s="10">
        <v>25</v>
      </c>
      <c r="B33" s="48">
        <f t="shared" si="4"/>
        <v>44281</v>
      </c>
      <c r="C33" s="17">
        <v>250</v>
      </c>
      <c r="D33" s="17"/>
      <c r="E33" s="16"/>
      <c r="H33" s="17">
        <f t="shared" si="2"/>
        <v>250</v>
      </c>
      <c r="I33" s="17"/>
      <c r="J33" s="17" t="s">
        <v>199</v>
      </c>
      <c r="K33" s="17"/>
      <c r="L33" s="10">
        <v>24</v>
      </c>
      <c r="M33" s="48">
        <f t="shared" si="6"/>
        <v>44462</v>
      </c>
      <c r="N33" s="17">
        <v>280</v>
      </c>
      <c r="O33" s="17">
        <v>280</v>
      </c>
      <c r="P33" s="16">
        <v>44462</v>
      </c>
      <c r="Q33" t="s">
        <v>59</v>
      </c>
      <c r="R33" s="31"/>
      <c r="S33" s="17">
        <f t="shared" si="0"/>
        <v>0</v>
      </c>
      <c r="T33" s="17" t="s">
        <v>557</v>
      </c>
      <c r="U33" s="17" t="s">
        <v>498</v>
      </c>
    </row>
    <row r="34" spans="1:21" ht="15" customHeight="1" x14ac:dyDescent="0.25">
      <c r="A34" s="10">
        <v>26</v>
      </c>
      <c r="B34" s="48">
        <f t="shared" si="4"/>
        <v>44288</v>
      </c>
      <c r="C34" s="17">
        <v>250</v>
      </c>
      <c r="D34" s="17">
        <v>500</v>
      </c>
      <c r="E34" s="16">
        <v>44289</v>
      </c>
      <c r="F34" t="s">
        <v>117</v>
      </c>
      <c r="H34" s="17">
        <f t="shared" si="2"/>
        <v>0</v>
      </c>
      <c r="I34" s="17"/>
      <c r="J34" s="17" t="s">
        <v>199</v>
      </c>
      <c r="K34" s="17"/>
      <c r="L34" s="10">
        <v>25</v>
      </c>
      <c r="M34" s="48">
        <f>M33+7</f>
        <v>44469</v>
      </c>
      <c r="N34" s="17">
        <v>280</v>
      </c>
      <c r="O34" s="17">
        <v>280</v>
      </c>
      <c r="P34" s="16">
        <v>44469</v>
      </c>
      <c r="Q34" t="s">
        <v>59</v>
      </c>
      <c r="R34" s="31"/>
      <c r="S34" s="17">
        <f t="shared" si="0"/>
        <v>0</v>
      </c>
      <c r="T34" s="17" t="s">
        <v>557</v>
      </c>
      <c r="U34" s="17" t="s">
        <v>498</v>
      </c>
    </row>
    <row r="35" spans="1:21" ht="15" customHeight="1" x14ac:dyDescent="0.25">
      <c r="A35" s="10">
        <v>27</v>
      </c>
      <c r="B35" s="48">
        <f t="shared" si="4"/>
        <v>44295</v>
      </c>
      <c r="C35" s="17">
        <v>250</v>
      </c>
      <c r="D35" s="17"/>
      <c r="E35" s="16"/>
      <c r="H35" s="17">
        <f t="shared" si="2"/>
        <v>250</v>
      </c>
      <c r="I35" s="17"/>
      <c r="J35" s="17" t="s">
        <v>199</v>
      </c>
      <c r="K35" s="17"/>
      <c r="L35" s="10">
        <v>26</v>
      </c>
      <c r="M35" s="48">
        <f>M34+7</f>
        <v>44476</v>
      </c>
      <c r="N35" s="17">
        <v>280</v>
      </c>
      <c r="O35" s="17">
        <v>280</v>
      </c>
      <c r="P35" s="16">
        <v>44476</v>
      </c>
      <c r="Q35" t="s">
        <v>124</v>
      </c>
      <c r="S35" s="17">
        <f t="shared" si="0"/>
        <v>0</v>
      </c>
      <c r="T35" s="17" t="s">
        <v>557</v>
      </c>
      <c r="U35" s="17" t="s">
        <v>498</v>
      </c>
    </row>
    <row r="36" spans="1:21" ht="15" customHeight="1" x14ac:dyDescent="0.25">
      <c r="A36" s="10">
        <v>28</v>
      </c>
      <c r="B36" s="48">
        <f t="shared" si="4"/>
        <v>44302</v>
      </c>
      <c r="C36" s="17">
        <v>250</v>
      </c>
      <c r="D36" s="17">
        <v>500</v>
      </c>
      <c r="E36" s="16">
        <v>44308</v>
      </c>
      <c r="F36" t="s">
        <v>117</v>
      </c>
      <c r="H36" s="17">
        <f t="shared" si="2"/>
        <v>0</v>
      </c>
      <c r="I36" s="17"/>
      <c r="J36" s="17" t="s">
        <v>199</v>
      </c>
      <c r="K36" s="17"/>
      <c r="L36" s="10" t="s">
        <v>562</v>
      </c>
      <c r="M36" s="48">
        <v>44480</v>
      </c>
      <c r="N36" s="17">
        <f>-5280-600-1109.28</f>
        <v>-6989.28</v>
      </c>
      <c r="O36" s="17">
        <f>-5280-600-1109.28</f>
        <v>-6989.28</v>
      </c>
      <c r="S36" s="17">
        <f t="shared" si="0"/>
        <v>0</v>
      </c>
      <c r="U36" s="17" t="s">
        <v>424</v>
      </c>
    </row>
    <row r="37" spans="1:21" ht="15" customHeight="1" x14ac:dyDescent="0.25">
      <c r="A37" s="10">
        <v>29</v>
      </c>
      <c r="B37" s="48">
        <f t="shared" si="4"/>
        <v>44309</v>
      </c>
      <c r="C37" s="17">
        <v>250</v>
      </c>
      <c r="D37" s="17"/>
      <c r="E37" s="16"/>
      <c r="H37" s="17">
        <f t="shared" si="2"/>
        <v>250</v>
      </c>
      <c r="I37" s="17"/>
      <c r="J37" s="17" t="s">
        <v>199</v>
      </c>
      <c r="K37" s="17"/>
      <c r="L37" s="10">
        <v>1</v>
      </c>
      <c r="M37" s="48">
        <v>44635</v>
      </c>
      <c r="N37" s="17">
        <v>400</v>
      </c>
      <c r="O37" s="17"/>
      <c r="P37" s="16">
        <v>44635</v>
      </c>
      <c r="Q37" t="s">
        <v>114</v>
      </c>
      <c r="S37" s="17">
        <f t="shared" si="0"/>
        <v>400</v>
      </c>
      <c r="U37" s="17" t="s">
        <v>806</v>
      </c>
    </row>
    <row r="38" spans="1:21" ht="15" customHeight="1" x14ac:dyDescent="0.25">
      <c r="A38" s="10">
        <v>30</v>
      </c>
      <c r="B38" s="48">
        <f t="shared" si="4"/>
        <v>44316</v>
      </c>
      <c r="C38" s="17">
        <v>250</v>
      </c>
      <c r="D38" s="17"/>
      <c r="H38" s="17">
        <f t="shared" si="2"/>
        <v>500</v>
      </c>
      <c r="I38" s="17"/>
      <c r="J38" s="17" t="s">
        <v>199</v>
      </c>
      <c r="K38" s="17"/>
      <c r="L38" s="10">
        <v>1</v>
      </c>
      <c r="M38" s="48">
        <v>44635</v>
      </c>
      <c r="N38" s="17">
        <v>200</v>
      </c>
      <c r="O38" s="17"/>
      <c r="P38" s="16">
        <v>44635</v>
      </c>
      <c r="Q38" t="s">
        <v>114</v>
      </c>
      <c r="S38" s="17">
        <f t="shared" si="0"/>
        <v>600</v>
      </c>
      <c r="U38" s="17" t="s">
        <v>806</v>
      </c>
    </row>
    <row r="39" spans="1:21" ht="15" customHeight="1" x14ac:dyDescent="0.25">
      <c r="A39" s="10">
        <v>31</v>
      </c>
      <c r="B39" s="48">
        <f t="shared" si="4"/>
        <v>44323</v>
      </c>
      <c r="C39" s="17">
        <v>250</v>
      </c>
      <c r="D39" s="17"/>
      <c r="H39" s="17">
        <f t="shared" si="2"/>
        <v>750</v>
      </c>
      <c r="I39" s="17"/>
      <c r="J39" s="17" t="s">
        <v>199</v>
      </c>
      <c r="K39" s="17"/>
      <c r="L39" s="10">
        <v>1</v>
      </c>
      <c r="M39" s="48">
        <v>44813</v>
      </c>
      <c r="N39" s="17">
        <v>145</v>
      </c>
      <c r="O39" s="17">
        <v>145</v>
      </c>
      <c r="Q39" t="s">
        <v>117</v>
      </c>
      <c r="S39" s="17">
        <f>IFERROR(IF(Q38="Closed account",(IF(Q39="Unpaid Rent",(N39),(N39-O39))),(IF(Q39="Unpaid Rent",(N39+S38),(N39-O39+S38)))),"")</f>
        <v>600</v>
      </c>
      <c r="U39" s="17" t="s">
        <v>606</v>
      </c>
    </row>
    <row r="40" spans="1:21" ht="15" customHeight="1" x14ac:dyDescent="0.25">
      <c r="A40" s="10">
        <v>32</v>
      </c>
      <c r="B40" s="48">
        <f t="shared" si="4"/>
        <v>44330</v>
      </c>
      <c r="C40" s="17">
        <v>250</v>
      </c>
      <c r="D40" s="17">
        <v>1000</v>
      </c>
      <c r="E40" s="16">
        <v>44331</v>
      </c>
      <c r="F40" t="s">
        <v>117</v>
      </c>
      <c r="H40" s="17">
        <f t="shared" si="2"/>
        <v>0</v>
      </c>
      <c r="I40" s="17"/>
      <c r="J40" s="17" t="s">
        <v>199</v>
      </c>
      <c r="K40" s="17"/>
      <c r="L40" s="10"/>
      <c r="M40" s="48"/>
      <c r="N40" s="17"/>
      <c r="O40" s="17"/>
      <c r="P40" s="16"/>
      <c r="S40" s="17"/>
      <c r="U40" s="17"/>
    </row>
    <row r="41" spans="1:21" ht="15" customHeight="1" x14ac:dyDescent="0.25">
      <c r="A41" s="10">
        <v>33</v>
      </c>
      <c r="B41" s="48">
        <f>B40+7</f>
        <v>44337</v>
      </c>
      <c r="C41" s="17">
        <v>250</v>
      </c>
      <c r="D41" s="17"/>
      <c r="H41" s="17">
        <f t="shared" si="2"/>
        <v>250</v>
      </c>
      <c r="I41" s="17"/>
      <c r="J41" s="17" t="s">
        <v>199</v>
      </c>
      <c r="K41" s="17"/>
      <c r="L41" s="48"/>
      <c r="M41" s="17"/>
      <c r="S41" s="17"/>
      <c r="U41" s="17"/>
    </row>
    <row r="42" spans="1:21" ht="15" customHeight="1" x14ac:dyDescent="0.25">
      <c r="A42" s="10">
        <v>34</v>
      </c>
      <c r="B42" s="48">
        <f>B41+7</f>
        <v>44344</v>
      </c>
      <c r="C42" s="17">
        <v>250</v>
      </c>
      <c r="D42" s="17"/>
      <c r="H42" s="17">
        <f t="shared" si="2"/>
        <v>500</v>
      </c>
      <c r="I42" s="17"/>
      <c r="J42" s="17" t="s">
        <v>199</v>
      </c>
      <c r="K42" s="17"/>
      <c r="L42" s="48"/>
      <c r="M42" s="17"/>
    </row>
    <row r="43" spans="1:21" ht="15" customHeight="1" x14ac:dyDescent="0.25">
      <c r="A43" s="10">
        <v>35</v>
      </c>
      <c r="B43" s="48">
        <f>B42+7</f>
        <v>44351</v>
      </c>
      <c r="C43" s="17">
        <v>250</v>
      </c>
      <c r="D43" s="17"/>
      <c r="H43" s="17">
        <f t="shared" si="2"/>
        <v>750</v>
      </c>
      <c r="I43" s="17"/>
      <c r="J43" s="17" t="s">
        <v>199</v>
      </c>
      <c r="K43" s="17"/>
      <c r="L43" s="48"/>
      <c r="M43" s="17"/>
    </row>
    <row r="44" spans="1:21" ht="15" customHeight="1" x14ac:dyDescent="0.25">
      <c r="A44" s="10">
        <v>36</v>
      </c>
      <c r="B44" s="48">
        <f>B43+7</f>
        <v>44358</v>
      </c>
      <c r="C44" s="17">
        <v>230</v>
      </c>
      <c r="D44" s="17"/>
      <c r="H44" s="17">
        <f t="shared" si="2"/>
        <v>980</v>
      </c>
      <c r="I44" s="17"/>
      <c r="J44" s="17" t="s">
        <v>199</v>
      </c>
      <c r="K44" s="17"/>
      <c r="L44" s="48"/>
      <c r="M44" s="17"/>
    </row>
    <row r="45" spans="1:21" ht="15" customHeight="1" x14ac:dyDescent="0.25">
      <c r="A45" s="10">
        <v>37</v>
      </c>
      <c r="B45" s="48">
        <f t="shared" ref="B45:B50" si="7">B44+7</f>
        <v>44365</v>
      </c>
      <c r="C45" s="17">
        <v>230</v>
      </c>
      <c r="D45" s="17"/>
      <c r="H45" s="17">
        <f t="shared" si="2"/>
        <v>1210</v>
      </c>
      <c r="I45" s="17"/>
      <c r="J45" s="17" t="s">
        <v>199</v>
      </c>
      <c r="K45" s="17"/>
      <c r="L45" s="48"/>
      <c r="M45" s="17"/>
    </row>
    <row r="46" spans="1:21" ht="15" customHeight="1" x14ac:dyDescent="0.25">
      <c r="A46" s="10">
        <v>38</v>
      </c>
      <c r="B46" s="48">
        <f t="shared" si="7"/>
        <v>44372</v>
      </c>
      <c r="C46" s="17">
        <v>230</v>
      </c>
      <c r="D46" s="17"/>
      <c r="H46" s="17">
        <f t="shared" si="2"/>
        <v>1440</v>
      </c>
      <c r="I46" s="17"/>
      <c r="J46" s="17" t="s">
        <v>199</v>
      </c>
      <c r="K46" s="17"/>
      <c r="L46" s="48"/>
      <c r="M46" s="17"/>
    </row>
    <row r="47" spans="1:21" ht="15" customHeight="1" x14ac:dyDescent="0.25">
      <c r="A47" s="10">
        <v>39</v>
      </c>
      <c r="B47" s="48">
        <f t="shared" si="7"/>
        <v>44379</v>
      </c>
      <c r="C47" s="17">
        <v>230</v>
      </c>
      <c r="D47" s="17"/>
      <c r="H47" s="17">
        <f t="shared" si="2"/>
        <v>1670</v>
      </c>
      <c r="I47" s="17"/>
      <c r="J47" s="17" t="s">
        <v>199</v>
      </c>
      <c r="K47" s="17"/>
      <c r="L47" s="48"/>
      <c r="M47" s="17"/>
    </row>
    <row r="48" spans="1:21" ht="15" customHeight="1" x14ac:dyDescent="0.25">
      <c r="A48" s="10">
        <v>40</v>
      </c>
      <c r="B48" s="48">
        <f t="shared" si="7"/>
        <v>44386</v>
      </c>
      <c r="C48" s="17">
        <v>230</v>
      </c>
      <c r="D48" s="17"/>
      <c r="H48" s="17">
        <f t="shared" si="2"/>
        <v>1900</v>
      </c>
      <c r="I48" s="17"/>
      <c r="J48" s="17" t="s">
        <v>199</v>
      </c>
      <c r="K48" s="17"/>
      <c r="L48" s="48"/>
      <c r="M48" s="17"/>
    </row>
    <row r="49" spans="1:13" ht="15" customHeight="1" x14ac:dyDescent="0.25">
      <c r="A49" s="10">
        <v>41</v>
      </c>
      <c r="B49" s="48">
        <f t="shared" si="7"/>
        <v>44393</v>
      </c>
      <c r="C49" s="17">
        <v>230</v>
      </c>
      <c r="D49" s="17"/>
      <c r="H49" s="17">
        <f t="shared" si="2"/>
        <v>2130</v>
      </c>
      <c r="I49" s="17"/>
      <c r="J49" s="17" t="s">
        <v>199</v>
      </c>
      <c r="K49" s="17"/>
      <c r="L49" s="48"/>
      <c r="M49" s="17"/>
    </row>
    <row r="50" spans="1:13" ht="15" customHeight="1" x14ac:dyDescent="0.25">
      <c r="A50" s="10">
        <v>42</v>
      </c>
      <c r="B50" s="48">
        <f t="shared" si="7"/>
        <v>44400</v>
      </c>
      <c r="C50" s="17">
        <v>0</v>
      </c>
      <c r="D50" s="17">
        <f>830+500</f>
        <v>1330</v>
      </c>
      <c r="E50" s="16">
        <v>44401</v>
      </c>
      <c r="F50" t="s">
        <v>117</v>
      </c>
      <c r="H50" s="17">
        <f t="shared" si="2"/>
        <v>800</v>
      </c>
      <c r="I50" s="17"/>
      <c r="J50" s="17" t="s">
        <v>199</v>
      </c>
      <c r="K50" s="17"/>
      <c r="L50" s="48"/>
      <c r="M50" s="17"/>
    </row>
    <row r="51" spans="1:13" ht="15" customHeight="1" x14ac:dyDescent="0.25">
      <c r="A51" s="10" t="s">
        <v>562</v>
      </c>
      <c r="B51" s="48">
        <v>44236</v>
      </c>
      <c r="C51" s="17">
        <v>-43.38</v>
      </c>
      <c r="D51" s="17">
        <v>-43.38</v>
      </c>
      <c r="E51" s="16">
        <v>44236</v>
      </c>
      <c r="G51" s="31" t="s">
        <v>206</v>
      </c>
      <c r="H51" s="17">
        <f t="shared" si="2"/>
        <v>800</v>
      </c>
      <c r="I51" s="17"/>
      <c r="J51" s="17" t="s">
        <v>199</v>
      </c>
      <c r="K51" s="17"/>
      <c r="L51" s="48"/>
      <c r="M51" s="17"/>
    </row>
    <row r="52" spans="1:13" ht="15" customHeight="1" x14ac:dyDescent="0.25">
      <c r="A52" s="10" t="s">
        <v>562</v>
      </c>
      <c r="B52" s="48">
        <v>44419</v>
      </c>
      <c r="C52" s="17">
        <v>-45.59</v>
      </c>
      <c r="D52" s="17">
        <v>-45.59</v>
      </c>
      <c r="E52" s="16">
        <v>44419</v>
      </c>
      <c r="G52" s="31" t="s">
        <v>206</v>
      </c>
      <c r="H52" s="17">
        <f t="shared" si="2"/>
        <v>800</v>
      </c>
      <c r="I52" s="17"/>
      <c r="J52" s="17" t="s">
        <v>199</v>
      </c>
      <c r="K52" s="17"/>
      <c r="L52" s="48"/>
      <c r="M52" s="17"/>
    </row>
    <row r="53" spans="1:13" ht="15" customHeight="1" x14ac:dyDescent="0.25">
      <c r="A53" s="10" t="s">
        <v>562</v>
      </c>
      <c r="B53" s="48">
        <v>44242</v>
      </c>
      <c r="C53" s="17">
        <v>-300</v>
      </c>
      <c r="D53" s="17">
        <v>-300</v>
      </c>
      <c r="E53" s="16">
        <v>44242</v>
      </c>
      <c r="F53" t="s">
        <v>124</v>
      </c>
      <c r="G53" s="31" t="s">
        <v>526</v>
      </c>
      <c r="H53" s="17">
        <f t="shared" si="2"/>
        <v>800</v>
      </c>
      <c r="I53" s="17"/>
      <c r="J53" s="17" t="s">
        <v>199</v>
      </c>
      <c r="K53" s="17"/>
      <c r="L53" s="48"/>
      <c r="M53" s="17"/>
    </row>
    <row r="54" spans="1:13" ht="15" customHeight="1" x14ac:dyDescent="0.25">
      <c r="A54" s="10" t="s">
        <v>562</v>
      </c>
      <c r="B54" s="48">
        <v>44480</v>
      </c>
      <c r="C54" s="17">
        <f>-7485-600-1206.03</f>
        <v>-9291.0300000000007</v>
      </c>
      <c r="D54" s="17">
        <f>-7485-600-1206.03</f>
        <v>-9291.0300000000007</v>
      </c>
      <c r="E54" s="16"/>
      <c r="H54" s="17">
        <f t="shared" si="2"/>
        <v>0</v>
      </c>
      <c r="I54" s="17"/>
      <c r="J54" s="240" t="s">
        <v>424</v>
      </c>
      <c r="K54" s="17"/>
      <c r="L54" s="48"/>
      <c r="M54" s="17"/>
    </row>
    <row r="55" spans="1:13" ht="15" customHeight="1" x14ac:dyDescent="0.25">
      <c r="A55" s="10">
        <v>1</v>
      </c>
      <c r="B55" s="48">
        <v>44632</v>
      </c>
      <c r="C55" s="17">
        <v>300</v>
      </c>
      <c r="D55" s="17">
        <v>300</v>
      </c>
      <c r="E55" s="16">
        <v>44631</v>
      </c>
      <c r="F55" t="s">
        <v>114</v>
      </c>
      <c r="H55" s="17">
        <f t="shared" si="2"/>
        <v>0</v>
      </c>
      <c r="I55" s="17"/>
      <c r="J55" s="17" t="s">
        <v>660</v>
      </c>
      <c r="K55" s="17"/>
      <c r="L55" s="48"/>
      <c r="M55" s="17"/>
    </row>
    <row r="56" spans="1:13" ht="15" customHeight="1" x14ac:dyDescent="0.25">
      <c r="A56" s="10">
        <v>1</v>
      </c>
      <c r="B56" s="48">
        <v>44632</v>
      </c>
      <c r="C56" s="17">
        <v>240</v>
      </c>
      <c r="D56" s="17">
        <v>240</v>
      </c>
      <c r="E56" s="16">
        <v>44631</v>
      </c>
      <c r="F56" t="s">
        <v>114</v>
      </c>
      <c r="H56" s="17">
        <f t="shared" si="2"/>
        <v>0</v>
      </c>
      <c r="I56" s="17"/>
      <c r="J56" s="17" t="s">
        <v>660</v>
      </c>
      <c r="K56" s="17"/>
      <c r="L56" s="48"/>
      <c r="M56" s="17"/>
    </row>
    <row r="57" spans="1:13" ht="15" customHeight="1" x14ac:dyDescent="0.25">
      <c r="A57" s="10">
        <v>2</v>
      </c>
      <c r="B57" s="48">
        <f>B56+7</f>
        <v>44639</v>
      </c>
      <c r="C57" s="17">
        <v>240</v>
      </c>
      <c r="D57" s="17">
        <v>240</v>
      </c>
      <c r="E57" s="16">
        <v>44641</v>
      </c>
      <c r="F57" t="s">
        <v>59</v>
      </c>
      <c r="H57" s="17">
        <f>IFERROR((C57-D57+H56),"")</f>
        <v>0</v>
      </c>
      <c r="I57" s="17"/>
      <c r="J57" s="17" t="s">
        <v>660</v>
      </c>
      <c r="K57" s="17"/>
      <c r="L57" s="48"/>
      <c r="M57" s="17"/>
    </row>
    <row r="58" spans="1:13" ht="15" customHeight="1" x14ac:dyDescent="0.25">
      <c r="A58" s="10">
        <v>3</v>
      </c>
      <c r="B58" s="48">
        <f>B57+7</f>
        <v>44646</v>
      </c>
      <c r="C58" s="17">
        <v>240</v>
      </c>
      <c r="D58" s="17">
        <v>240</v>
      </c>
      <c r="E58" s="16">
        <v>44648</v>
      </c>
      <c r="F58" t="s">
        <v>59</v>
      </c>
      <c r="H58" s="17">
        <f>IFERROR((C58-D58+H57),"")</f>
        <v>0</v>
      </c>
      <c r="I58" s="17"/>
      <c r="J58" s="17" t="s">
        <v>660</v>
      </c>
      <c r="K58" s="17"/>
      <c r="L58" s="48"/>
      <c r="M58" s="17"/>
    </row>
    <row r="59" spans="1:13" ht="15" customHeight="1" x14ac:dyDescent="0.25">
      <c r="A59" s="10">
        <v>4</v>
      </c>
      <c r="B59" s="48">
        <f>B58+7</f>
        <v>44653</v>
      </c>
      <c r="C59" s="17">
        <v>240</v>
      </c>
      <c r="D59" s="17">
        <v>240</v>
      </c>
      <c r="E59" s="16">
        <v>44655</v>
      </c>
      <c r="F59" t="s">
        <v>59</v>
      </c>
      <c r="H59" s="17">
        <f>IFERROR((C59-D59+H58),"")</f>
        <v>0</v>
      </c>
      <c r="I59" s="17"/>
      <c r="J59" s="17" t="s">
        <v>660</v>
      </c>
      <c r="L59" s="48"/>
      <c r="M59" s="17"/>
    </row>
    <row r="60" spans="1:13" ht="15" customHeight="1" x14ac:dyDescent="0.25">
      <c r="A60" s="10" t="s">
        <v>562</v>
      </c>
      <c r="B60" s="48">
        <v>44662</v>
      </c>
      <c r="C60" s="17">
        <v>-0.99</v>
      </c>
      <c r="D60" s="17">
        <v>-0.99</v>
      </c>
      <c r="E60" s="16">
        <v>44662</v>
      </c>
      <c r="G60" s="31" t="s">
        <v>22</v>
      </c>
      <c r="H60" s="17">
        <f>IFERROR((C60-D60+H59),"")</f>
        <v>0</v>
      </c>
      <c r="I60" s="17"/>
      <c r="J60" s="17" t="s">
        <v>660</v>
      </c>
      <c r="L60" s="48"/>
      <c r="M60" s="17"/>
    </row>
    <row r="61" spans="1:13" ht="15" customHeight="1" x14ac:dyDescent="0.25">
      <c r="A61" s="10">
        <v>5</v>
      </c>
      <c r="B61" s="48">
        <f>B59+7</f>
        <v>44660</v>
      </c>
      <c r="C61" s="17">
        <v>240</v>
      </c>
      <c r="D61" s="17"/>
      <c r="E61" s="16"/>
      <c r="H61" s="17">
        <f t="shared" ref="H61:H67" si="8">IFERROR((C61-D61+H60),"")</f>
        <v>240</v>
      </c>
      <c r="I61" s="17"/>
      <c r="J61" s="17" t="s">
        <v>660</v>
      </c>
      <c r="L61" s="48"/>
      <c r="M61" s="17"/>
    </row>
    <row r="62" spans="1:13" ht="15" customHeight="1" x14ac:dyDescent="0.25">
      <c r="A62" s="10">
        <v>6</v>
      </c>
      <c r="B62" s="48">
        <f t="shared" ref="B62:B67" si="9">B61+7</f>
        <v>44667</v>
      </c>
      <c r="C62" s="17">
        <v>240</v>
      </c>
      <c r="D62" s="17">
        <v>240</v>
      </c>
      <c r="E62" s="16">
        <v>44670</v>
      </c>
      <c r="F62" t="s">
        <v>59</v>
      </c>
      <c r="H62" s="17">
        <f t="shared" si="8"/>
        <v>240</v>
      </c>
      <c r="I62" s="17"/>
      <c r="J62" s="17" t="s">
        <v>660</v>
      </c>
      <c r="L62" s="48"/>
      <c r="M62" s="17"/>
    </row>
    <row r="63" spans="1:13" ht="15" customHeight="1" x14ac:dyDescent="0.25">
      <c r="A63" s="10">
        <v>7</v>
      </c>
      <c r="B63" s="48">
        <f t="shared" si="9"/>
        <v>44674</v>
      </c>
      <c r="C63" s="17">
        <v>230</v>
      </c>
      <c r="D63" s="17">
        <v>230</v>
      </c>
      <c r="E63" s="16">
        <v>44677</v>
      </c>
      <c r="F63" t="s">
        <v>59</v>
      </c>
      <c r="H63" s="17">
        <f t="shared" si="8"/>
        <v>240</v>
      </c>
      <c r="I63" s="17"/>
      <c r="J63" s="17" t="s">
        <v>660</v>
      </c>
      <c r="L63" s="48"/>
      <c r="M63" s="17"/>
    </row>
    <row r="64" spans="1:13" ht="15" customHeight="1" x14ac:dyDescent="0.25">
      <c r="A64" s="10">
        <v>8</v>
      </c>
      <c r="B64" s="48">
        <f t="shared" si="9"/>
        <v>44681</v>
      </c>
      <c r="C64" s="17">
        <v>230</v>
      </c>
      <c r="D64" s="17">
        <v>230</v>
      </c>
      <c r="E64" s="16">
        <v>44683</v>
      </c>
      <c r="F64" t="s">
        <v>59</v>
      </c>
      <c r="H64" s="17">
        <f t="shared" si="8"/>
        <v>240</v>
      </c>
      <c r="I64" s="17"/>
      <c r="J64" s="17" t="s">
        <v>660</v>
      </c>
      <c r="L64" s="48"/>
      <c r="M64" s="17"/>
    </row>
    <row r="65" spans="1:13" ht="15" customHeight="1" x14ac:dyDescent="0.25">
      <c r="A65" s="10">
        <v>9</v>
      </c>
      <c r="B65" s="48">
        <f t="shared" si="9"/>
        <v>44688</v>
      </c>
      <c r="C65" s="17">
        <v>230</v>
      </c>
      <c r="D65" s="17">
        <v>230</v>
      </c>
      <c r="E65" s="16">
        <v>44690</v>
      </c>
      <c r="F65" t="s">
        <v>59</v>
      </c>
      <c r="H65" s="17">
        <f t="shared" si="8"/>
        <v>240</v>
      </c>
      <c r="I65" s="17"/>
      <c r="J65" s="17" t="s">
        <v>660</v>
      </c>
      <c r="L65" s="48"/>
      <c r="M65" s="17"/>
    </row>
    <row r="66" spans="1:13" ht="15" customHeight="1" x14ac:dyDescent="0.25">
      <c r="A66" s="10">
        <v>10</v>
      </c>
      <c r="B66" s="48">
        <f t="shared" si="9"/>
        <v>44695</v>
      </c>
      <c r="C66" s="17">
        <v>230</v>
      </c>
      <c r="D66" s="17"/>
      <c r="E66" s="16"/>
      <c r="H66" s="17">
        <f t="shared" si="8"/>
        <v>470</v>
      </c>
      <c r="I66" s="17"/>
      <c r="J66" s="17" t="s">
        <v>660</v>
      </c>
      <c r="L66" s="48"/>
      <c r="M66" s="17"/>
    </row>
    <row r="67" spans="1:13" ht="15" customHeight="1" x14ac:dyDescent="0.25">
      <c r="A67" s="10">
        <v>11</v>
      </c>
      <c r="B67" s="48">
        <f t="shared" si="9"/>
        <v>44702</v>
      </c>
      <c r="C67" s="17">
        <v>220</v>
      </c>
      <c r="D67" s="17"/>
      <c r="E67" s="16"/>
      <c r="H67" s="17">
        <f t="shared" si="8"/>
        <v>690</v>
      </c>
      <c r="I67" s="17"/>
      <c r="J67" s="17" t="s">
        <v>660</v>
      </c>
      <c r="L67" s="48"/>
      <c r="M67" s="17"/>
    </row>
    <row r="68" spans="1:13" ht="15" customHeight="1" x14ac:dyDescent="0.25">
      <c r="A68" s="10" t="s">
        <v>562</v>
      </c>
      <c r="B68" s="48">
        <v>44670</v>
      </c>
      <c r="C68" s="17"/>
      <c r="D68" s="17"/>
      <c r="E68" s="16">
        <v>44670</v>
      </c>
      <c r="H68" s="17">
        <f t="shared" ref="H68:H82" si="10">IFERROR((C68-D68+H67),"")</f>
        <v>690</v>
      </c>
      <c r="I68" s="17"/>
      <c r="J68" s="17" t="s">
        <v>660</v>
      </c>
      <c r="L68" s="48"/>
      <c r="M68" s="17"/>
    </row>
    <row r="69" spans="1:13" ht="15" customHeight="1" x14ac:dyDescent="0.25">
      <c r="A69" s="10" t="s">
        <v>562</v>
      </c>
      <c r="B69" s="48">
        <v>44631</v>
      </c>
      <c r="C69" s="17">
        <v>-540</v>
      </c>
      <c r="D69" s="17">
        <v>-540</v>
      </c>
      <c r="E69" s="16">
        <v>44631</v>
      </c>
      <c r="G69" s="31" t="s">
        <v>424</v>
      </c>
      <c r="H69" s="17">
        <f t="shared" si="10"/>
        <v>690</v>
      </c>
      <c r="I69" s="17"/>
      <c r="J69" s="17" t="s">
        <v>660</v>
      </c>
      <c r="L69" s="48"/>
      <c r="M69" s="17"/>
    </row>
    <row r="70" spans="1:13" ht="15" customHeight="1" x14ac:dyDescent="0.25">
      <c r="A70" s="10" t="s">
        <v>562</v>
      </c>
      <c r="B70" s="48">
        <v>44697</v>
      </c>
      <c r="C70" s="17">
        <v>-0.99</v>
      </c>
      <c r="D70" s="17">
        <v>-0.99</v>
      </c>
      <c r="E70" s="16">
        <v>44697</v>
      </c>
      <c r="G70" s="31" t="s">
        <v>22</v>
      </c>
      <c r="H70" s="17">
        <f t="shared" si="10"/>
        <v>690</v>
      </c>
      <c r="I70" s="17"/>
      <c r="J70" s="17" t="s">
        <v>660</v>
      </c>
      <c r="L70" s="48"/>
      <c r="M70" s="17"/>
    </row>
    <row r="71" spans="1:13" ht="15" customHeight="1" x14ac:dyDescent="0.25">
      <c r="A71" s="10" t="s">
        <v>562</v>
      </c>
      <c r="B71" s="48">
        <v>44704</v>
      </c>
      <c r="C71" s="17">
        <v>-0.99</v>
      </c>
      <c r="D71" s="17">
        <v>-0.99</v>
      </c>
      <c r="E71" s="16">
        <v>44704</v>
      </c>
      <c r="G71" s="31" t="s">
        <v>22</v>
      </c>
      <c r="H71" s="17">
        <f t="shared" si="10"/>
        <v>690</v>
      </c>
      <c r="I71" s="17"/>
      <c r="J71" s="17" t="s">
        <v>660</v>
      </c>
      <c r="L71" s="48"/>
      <c r="M71" s="17"/>
    </row>
    <row r="72" spans="1:13" ht="15" customHeight="1" x14ac:dyDescent="0.25">
      <c r="A72" s="10" t="s">
        <v>562</v>
      </c>
      <c r="B72" s="48">
        <v>44701</v>
      </c>
      <c r="C72" s="17">
        <v>-2.75</v>
      </c>
      <c r="D72" s="17">
        <v>-2.75</v>
      </c>
      <c r="E72" s="16">
        <v>44701</v>
      </c>
      <c r="G72" s="31" t="s">
        <v>22</v>
      </c>
      <c r="H72" s="17">
        <f t="shared" si="10"/>
        <v>690</v>
      </c>
      <c r="I72" s="17"/>
      <c r="J72" s="17" t="s">
        <v>660</v>
      </c>
      <c r="L72" s="48"/>
      <c r="M72" s="17"/>
    </row>
    <row r="73" spans="1:13" x14ac:dyDescent="0.25">
      <c r="A73" s="10" t="s">
        <v>562</v>
      </c>
      <c r="B73" s="48">
        <v>44718</v>
      </c>
      <c r="C73" s="17">
        <v>-0.99</v>
      </c>
      <c r="D73" s="17">
        <v>-0.99</v>
      </c>
      <c r="E73" s="16">
        <v>44718</v>
      </c>
      <c r="G73" s="31" t="s">
        <v>22</v>
      </c>
      <c r="H73" s="17">
        <f t="shared" si="10"/>
        <v>690</v>
      </c>
      <c r="I73" s="17"/>
      <c r="J73" s="17" t="s">
        <v>660</v>
      </c>
      <c r="L73" s="48"/>
      <c r="M73" s="17"/>
    </row>
    <row r="74" spans="1:13" x14ac:dyDescent="0.25">
      <c r="A74" s="10" t="s">
        <v>562</v>
      </c>
      <c r="B74" s="48">
        <v>44718</v>
      </c>
      <c r="C74" s="17">
        <v>-0.99</v>
      </c>
      <c r="D74" s="17">
        <v>-0.99</v>
      </c>
      <c r="E74" s="16">
        <v>44718</v>
      </c>
      <c r="G74" s="31" t="s">
        <v>22</v>
      </c>
      <c r="H74" s="17">
        <f t="shared" si="10"/>
        <v>690</v>
      </c>
      <c r="I74" s="17"/>
      <c r="J74" s="17" t="s">
        <v>660</v>
      </c>
      <c r="L74" s="48"/>
      <c r="M74" s="17"/>
    </row>
    <row r="75" spans="1:13" x14ac:dyDescent="0.25">
      <c r="A75" s="10" t="s">
        <v>562</v>
      </c>
      <c r="B75" s="48">
        <v>44711</v>
      </c>
      <c r="C75" s="17">
        <v>-0.99</v>
      </c>
      <c r="D75" s="17">
        <v>-0.99</v>
      </c>
      <c r="E75" s="16">
        <v>44711</v>
      </c>
      <c r="G75" s="31" t="s">
        <v>22</v>
      </c>
      <c r="H75" s="17">
        <f t="shared" si="10"/>
        <v>690</v>
      </c>
      <c r="I75" s="17"/>
      <c r="J75" s="17" t="s">
        <v>660</v>
      </c>
      <c r="L75" s="48"/>
      <c r="M75" s="17"/>
    </row>
    <row r="76" spans="1:13" x14ac:dyDescent="0.25">
      <c r="A76" s="10" t="s">
        <v>562</v>
      </c>
      <c r="B76" s="48">
        <v>44708</v>
      </c>
      <c r="C76" s="17">
        <v>-0.99</v>
      </c>
      <c r="D76" s="17">
        <v>-0.99</v>
      </c>
      <c r="E76" s="16">
        <v>44708</v>
      </c>
      <c r="G76" s="31" t="s">
        <v>22</v>
      </c>
      <c r="H76" s="17">
        <f t="shared" si="10"/>
        <v>690</v>
      </c>
      <c r="I76" s="17"/>
      <c r="J76" s="17" t="s">
        <v>660</v>
      </c>
      <c r="L76" s="48"/>
      <c r="M76" s="17"/>
    </row>
    <row r="77" spans="1:13" x14ac:dyDescent="0.25">
      <c r="A77">
        <v>12</v>
      </c>
      <c r="B77" s="48">
        <f>B67+7</f>
        <v>44709</v>
      </c>
      <c r="C77" s="17">
        <v>240</v>
      </c>
      <c r="D77" s="17"/>
      <c r="E77" s="16"/>
      <c r="H77" s="17">
        <f t="shared" si="10"/>
        <v>930</v>
      </c>
      <c r="I77" s="17"/>
      <c r="J77" s="17" t="s">
        <v>660</v>
      </c>
      <c r="L77" s="48"/>
      <c r="M77" s="17"/>
    </row>
    <row r="78" spans="1:13" x14ac:dyDescent="0.25">
      <c r="A78">
        <v>13</v>
      </c>
      <c r="B78" s="48">
        <f>B77+7</f>
        <v>44716</v>
      </c>
      <c r="C78" s="17">
        <v>240</v>
      </c>
      <c r="D78" s="17"/>
      <c r="E78" s="16"/>
      <c r="H78" s="17">
        <f t="shared" si="10"/>
        <v>1170</v>
      </c>
      <c r="I78" s="17"/>
      <c r="J78" s="17" t="s">
        <v>660</v>
      </c>
      <c r="L78" s="48"/>
      <c r="M78" s="17"/>
    </row>
    <row r="79" spans="1:13" x14ac:dyDescent="0.25">
      <c r="A79">
        <v>14</v>
      </c>
      <c r="B79" s="48">
        <f>B78+7</f>
        <v>44723</v>
      </c>
      <c r="C79" s="17">
        <v>240</v>
      </c>
      <c r="D79" s="17">
        <v>240</v>
      </c>
      <c r="E79" s="16">
        <v>44725</v>
      </c>
      <c r="F79" t="s">
        <v>59</v>
      </c>
      <c r="H79" s="17">
        <f t="shared" si="10"/>
        <v>1170</v>
      </c>
      <c r="I79" s="17"/>
      <c r="J79" s="17" t="s">
        <v>660</v>
      </c>
      <c r="L79" s="48"/>
      <c r="M79" s="17"/>
    </row>
    <row r="80" spans="1:13" x14ac:dyDescent="0.25">
      <c r="A80">
        <v>15</v>
      </c>
      <c r="B80" s="48">
        <f>B79+7</f>
        <v>44730</v>
      </c>
      <c r="C80" s="17">
        <v>240</v>
      </c>
      <c r="D80" s="17"/>
      <c r="E80" s="16"/>
      <c r="H80" s="17">
        <f t="shared" si="10"/>
        <v>1410</v>
      </c>
      <c r="I80" s="17"/>
      <c r="J80" s="17" t="s">
        <v>660</v>
      </c>
      <c r="L80" s="48"/>
      <c r="M80" s="17"/>
    </row>
    <row r="81" spans="1:13" x14ac:dyDescent="0.25">
      <c r="A81" t="s">
        <v>562</v>
      </c>
      <c r="B81" s="48">
        <v>44725</v>
      </c>
      <c r="C81" s="17">
        <v>-0.99</v>
      </c>
      <c r="D81" s="17">
        <v>-0.99</v>
      </c>
      <c r="G81" s="31" t="s">
        <v>22</v>
      </c>
      <c r="H81" s="17">
        <f t="shared" si="10"/>
        <v>1410</v>
      </c>
      <c r="I81" s="17"/>
      <c r="J81" s="17" t="s">
        <v>660</v>
      </c>
      <c r="L81" s="48"/>
      <c r="M81" s="17"/>
    </row>
    <row r="82" spans="1:13" x14ac:dyDescent="0.25">
      <c r="A82" t="s">
        <v>562</v>
      </c>
      <c r="B82" s="48">
        <v>44732</v>
      </c>
      <c r="C82" s="17">
        <f>-1876.58-1.61</f>
        <v>-1878.1899999999998</v>
      </c>
      <c r="D82" s="17">
        <f>-1876.58-1.61</f>
        <v>-1878.1899999999998</v>
      </c>
      <c r="E82">
        <v>44732</v>
      </c>
      <c r="G82" s="31" t="s">
        <v>424</v>
      </c>
      <c r="H82" s="17">
        <f t="shared" si="10"/>
        <v>1410</v>
      </c>
      <c r="I82" s="17"/>
      <c r="J82" s="17" t="s">
        <v>660</v>
      </c>
      <c r="L82" s="48"/>
      <c r="M82" s="17"/>
    </row>
    <row r="83" spans="1:13" x14ac:dyDescent="0.25">
      <c r="A83"/>
      <c r="B83" s="50"/>
      <c r="L83" s="48"/>
      <c r="M83" s="17"/>
    </row>
    <row r="84" spans="1:13" x14ac:dyDescent="0.25">
      <c r="A84"/>
      <c r="B84" s="50"/>
      <c r="L84" s="48"/>
      <c r="M84" s="17"/>
    </row>
    <row r="85" spans="1:13" x14ac:dyDescent="0.25">
      <c r="A85"/>
      <c r="B85" s="50"/>
      <c r="L85" s="48"/>
      <c r="M85" s="17"/>
    </row>
    <row r="86" spans="1:13" x14ac:dyDescent="0.25">
      <c r="A86"/>
      <c r="B86" s="50"/>
      <c r="L86" s="48"/>
      <c r="M86" s="17"/>
    </row>
    <row r="87" spans="1:13" x14ac:dyDescent="0.25">
      <c r="A87"/>
      <c r="B87" s="50"/>
      <c r="L87" s="48"/>
      <c r="M87" s="17"/>
    </row>
    <row r="88" spans="1:13" x14ac:dyDescent="0.25">
      <c r="A88"/>
      <c r="B88" s="50"/>
      <c r="L88" s="48"/>
      <c r="M88" s="17"/>
    </row>
    <row r="89" spans="1:13" x14ac:dyDescent="0.25">
      <c r="A89"/>
      <c r="B89" s="50"/>
      <c r="L89" s="48"/>
      <c r="M89" s="17"/>
    </row>
    <row r="90" spans="1:13" x14ac:dyDescent="0.25">
      <c r="A90"/>
      <c r="B90" s="50"/>
      <c r="L90" s="48"/>
      <c r="M90" s="17"/>
    </row>
    <row r="91" spans="1:13" x14ac:dyDescent="0.25">
      <c r="A91"/>
      <c r="B91" s="50"/>
      <c r="L91" s="48"/>
      <c r="M91" s="17"/>
    </row>
    <row r="92" spans="1:13" x14ac:dyDescent="0.25">
      <c r="A92"/>
      <c r="B92" s="50"/>
      <c r="L92" s="48"/>
      <c r="M92" s="17"/>
    </row>
    <row r="93" spans="1:13" x14ac:dyDescent="0.25">
      <c r="A93"/>
      <c r="B93" s="50"/>
      <c r="L93" s="48"/>
      <c r="M93" s="17"/>
    </row>
    <row r="94" spans="1:13" x14ac:dyDescent="0.25">
      <c r="A94"/>
      <c r="B94" s="50"/>
      <c r="L94" s="48"/>
      <c r="M94" s="17"/>
    </row>
    <row r="95" spans="1:13" x14ac:dyDescent="0.25">
      <c r="A95"/>
      <c r="B95" s="50"/>
      <c r="L95" s="48"/>
      <c r="M95" s="17"/>
    </row>
    <row r="96" spans="1:13" x14ac:dyDescent="0.25">
      <c r="A96"/>
      <c r="B96" s="50"/>
      <c r="L96" s="48"/>
      <c r="M96" s="17"/>
    </row>
    <row r="97" spans="1:13" x14ac:dyDescent="0.25">
      <c r="A97"/>
      <c r="B97" s="50"/>
      <c r="L97" s="48"/>
      <c r="M97" s="17"/>
    </row>
    <row r="98" spans="1:13" x14ac:dyDescent="0.25">
      <c r="A98"/>
      <c r="B98" s="50"/>
      <c r="L98" s="48"/>
      <c r="M98" s="17"/>
    </row>
    <row r="99" spans="1:13" x14ac:dyDescent="0.25">
      <c r="A99"/>
      <c r="B99" s="50"/>
      <c r="L99" s="48"/>
      <c r="M99" s="17"/>
    </row>
    <row r="100" spans="1:13" x14ac:dyDescent="0.25">
      <c r="A100"/>
      <c r="B100" s="50"/>
      <c r="L100" s="48"/>
      <c r="M100" s="17"/>
    </row>
    <row r="101" spans="1:13" x14ac:dyDescent="0.25">
      <c r="A101"/>
      <c r="B101" s="50"/>
      <c r="L101" s="48"/>
      <c r="M101" s="17"/>
    </row>
    <row r="102" spans="1:13" x14ac:dyDescent="0.25">
      <c r="A102"/>
      <c r="B102" s="50"/>
      <c r="L102" s="48"/>
      <c r="M102" s="17"/>
    </row>
    <row r="103" spans="1:13" x14ac:dyDescent="0.25">
      <c r="A103"/>
      <c r="B103" s="50"/>
      <c r="L103" s="48"/>
      <c r="M103" s="17"/>
    </row>
    <row r="104" spans="1:13" x14ac:dyDescent="0.25">
      <c r="A104"/>
      <c r="B104" s="50"/>
      <c r="L104" s="48"/>
      <c r="M104" s="17"/>
    </row>
    <row r="105" spans="1:13" x14ac:dyDescent="0.25">
      <c r="A105"/>
      <c r="B105" s="50"/>
      <c r="L105" s="48"/>
      <c r="M105" s="17"/>
    </row>
    <row r="106" spans="1:13" x14ac:dyDescent="0.25">
      <c r="A106"/>
      <c r="B106" s="50"/>
      <c r="L106" s="48"/>
      <c r="M106" s="17"/>
    </row>
    <row r="107" spans="1:13" x14ac:dyDescent="0.25">
      <c r="A107"/>
      <c r="B107" s="50"/>
      <c r="L107" s="48"/>
      <c r="M107" s="17"/>
    </row>
    <row r="108" spans="1:13" x14ac:dyDescent="0.25">
      <c r="A108"/>
      <c r="B108" s="50"/>
      <c r="L108" s="48"/>
      <c r="M108" s="17"/>
    </row>
    <row r="109" spans="1:13" x14ac:dyDescent="0.25">
      <c r="A109"/>
      <c r="B109" s="50"/>
      <c r="L109" s="48"/>
      <c r="M109" s="17"/>
    </row>
    <row r="110" spans="1:13" x14ac:dyDescent="0.25">
      <c r="A110"/>
      <c r="B110" s="50"/>
      <c r="L110" s="48"/>
      <c r="M110" s="17"/>
    </row>
    <row r="111" spans="1:13" x14ac:dyDescent="0.25">
      <c r="A111"/>
      <c r="B111" s="50"/>
      <c r="L111" s="48"/>
      <c r="M111" s="17"/>
    </row>
    <row r="112" spans="1:13" x14ac:dyDescent="0.25">
      <c r="A112"/>
      <c r="B112" s="50"/>
      <c r="L112" s="48"/>
      <c r="M112" s="17"/>
    </row>
    <row r="113" spans="1:13" x14ac:dyDescent="0.25">
      <c r="A113"/>
      <c r="B113" s="50"/>
      <c r="L113" s="48"/>
      <c r="M113" s="17"/>
    </row>
    <row r="114" spans="1:13" x14ac:dyDescent="0.25">
      <c r="A114"/>
      <c r="B114" s="50"/>
      <c r="L114" s="48"/>
      <c r="M114" s="17"/>
    </row>
    <row r="115" spans="1:13" x14ac:dyDescent="0.25">
      <c r="A115"/>
      <c r="B115" s="50"/>
      <c r="L115" s="48"/>
      <c r="M115" s="17"/>
    </row>
    <row r="116" spans="1:13" x14ac:dyDescent="0.25">
      <c r="A116"/>
      <c r="B116" s="50"/>
      <c r="L116" s="48"/>
      <c r="M116" s="17"/>
    </row>
    <row r="117" spans="1:13" x14ac:dyDescent="0.25">
      <c r="A117"/>
      <c r="B117" s="50"/>
      <c r="L117" s="48"/>
      <c r="M117" s="17"/>
    </row>
    <row r="118" spans="1:13" x14ac:dyDescent="0.25">
      <c r="A118"/>
      <c r="B118" s="50"/>
      <c r="L118" s="48"/>
      <c r="M118" s="17"/>
    </row>
    <row r="119" spans="1:13" x14ac:dyDescent="0.25">
      <c r="A119"/>
      <c r="B119" s="50"/>
      <c r="L119" s="48"/>
      <c r="M119" s="17"/>
    </row>
    <row r="120" spans="1:13" x14ac:dyDescent="0.25">
      <c r="A120"/>
      <c r="B120" s="50"/>
      <c r="L120" s="48"/>
      <c r="M120" s="17"/>
    </row>
    <row r="121" spans="1:13" x14ac:dyDescent="0.25">
      <c r="B121" s="50"/>
      <c r="L121" s="48"/>
      <c r="M121" s="17"/>
    </row>
    <row r="122" spans="1:13" x14ac:dyDescent="0.25">
      <c r="B122" s="50"/>
      <c r="L122" s="48"/>
      <c r="M122" s="17"/>
    </row>
    <row r="123" spans="1:13" x14ac:dyDescent="0.25">
      <c r="B123" s="50"/>
      <c r="L123" s="48"/>
      <c r="M123" s="17"/>
    </row>
    <row r="124" spans="1:13" x14ac:dyDescent="0.25">
      <c r="B124" s="50"/>
      <c r="L124" s="48"/>
      <c r="M124" s="17"/>
    </row>
    <row r="125" spans="1:13" x14ac:dyDescent="0.25">
      <c r="B125" s="50"/>
      <c r="L125" s="48"/>
      <c r="M125" s="17"/>
    </row>
    <row r="126" spans="1:13" x14ac:dyDescent="0.25">
      <c r="B126" s="50"/>
      <c r="L126" s="48"/>
      <c r="M126" s="17"/>
    </row>
    <row r="127" spans="1:13" x14ac:dyDescent="0.25">
      <c r="B127" s="50"/>
      <c r="L127" s="48"/>
      <c r="M127" s="17"/>
    </row>
    <row r="128" spans="1:13" x14ac:dyDescent="0.25">
      <c r="B128" s="50"/>
      <c r="L128" s="48"/>
      <c r="M128" s="17"/>
    </row>
    <row r="129" spans="1:13" x14ac:dyDescent="0.25">
      <c r="B129" s="50"/>
      <c r="L129" s="48"/>
      <c r="M129" s="17"/>
    </row>
    <row r="130" spans="1:13" x14ac:dyDescent="0.25">
      <c r="B130" s="50"/>
      <c r="L130" s="48"/>
      <c r="M130" s="17"/>
    </row>
    <row r="131" spans="1:13" x14ac:dyDescent="0.25">
      <c r="B131" s="50"/>
      <c r="L131" s="48"/>
      <c r="M131" s="17"/>
    </row>
    <row r="132" spans="1:13" x14ac:dyDescent="0.25">
      <c r="B132" s="50"/>
      <c r="L132" s="48"/>
      <c r="M132" s="17"/>
    </row>
    <row r="133" spans="1:13" x14ac:dyDescent="0.25">
      <c r="B133" s="50"/>
      <c r="L133" s="48"/>
      <c r="M133" s="17"/>
    </row>
    <row r="134" spans="1:13" x14ac:dyDescent="0.25">
      <c r="B134" s="50"/>
      <c r="L134" s="48"/>
      <c r="M134" s="17"/>
    </row>
    <row r="135" spans="1:13" x14ac:dyDescent="0.25">
      <c r="B135" s="50"/>
      <c r="L135" s="48"/>
      <c r="M135" s="17"/>
    </row>
    <row r="136" spans="1:13" x14ac:dyDescent="0.25">
      <c r="A136" s="10" t="s">
        <v>18</v>
      </c>
      <c r="B136" s="50" t="str">
        <f>IF($A136&lt;&gt;"",IF(_term=26,IF(A136=1,first_payment,B135+14),IF(_term=52,IF(A136=1,first_payment,B135+7),DATE(YEAR(first_payment),MONTH(first_payment)+(A136-1)*per_year,IF(_term=24,IF(1-MOD(A136,2)=1,DAY(first_payment)+14,DAY(first_payment)),DAY(first_payment))))),"")</f>
        <v/>
      </c>
      <c r="H136" t="str">
        <f>IF($A136&lt;&gt;"",$H135-$D136,"")</f>
        <v/>
      </c>
      <c r="L136" s="48"/>
      <c r="M136" s="17"/>
    </row>
    <row r="137" spans="1:13" x14ac:dyDescent="0.25">
      <c r="A137" s="10" t="s">
        <v>18</v>
      </c>
      <c r="B137" s="50" t="str">
        <f>IF($A137&lt;&gt;"",IF(_term=26,IF(A137=1,first_payment,B136+14),IF(_term=52,IF(A137=1,first_payment,B136+7),DATE(YEAR(first_payment),MONTH(first_payment)+(A137-1)*per_year,IF(_term=24,IF(1-MOD(A137,2)=1,DAY(first_payment)+14,DAY(first_payment)),DAY(first_payment))))),"")</f>
        <v/>
      </c>
      <c r="H137" t="str">
        <f>IF($A137&lt;&gt;"",$H136-$D137,"")</f>
        <v/>
      </c>
      <c r="L137" s="48"/>
      <c r="M137" s="17"/>
    </row>
    <row r="138" spans="1:13" x14ac:dyDescent="0.25">
      <c r="A138" s="10" t="s">
        <v>18</v>
      </c>
      <c r="B138" s="50" t="str">
        <f>IF($A138&lt;&gt;"",IF(_term=26,IF(A138=1,first_payment,B137+14),IF(_term=52,IF(A138=1,first_payment,B137+7),DATE(YEAR(first_payment),MONTH(first_payment)+(A138-1)*per_year,IF(_term=24,IF(1-MOD(A138,2)=1,DAY(first_payment)+14,DAY(first_payment)),DAY(first_payment))))),"")</f>
        <v/>
      </c>
      <c r="H138" t="str">
        <f>IF($A138&lt;&gt;"",$H137-$D138,"")</f>
        <v/>
      </c>
      <c r="L138" s="48"/>
      <c r="M138" s="17"/>
    </row>
    <row r="139" spans="1:13" x14ac:dyDescent="0.25">
      <c r="A139" s="10" t="s">
        <v>18</v>
      </c>
      <c r="B139" s="50" t="str">
        <f>IF($A139&lt;&gt;"",IF(_term=26,IF(A139=1,first_payment,B138+14),IF(_term=52,IF(A139=1,first_payment,B138+7),DATE(YEAR(first_payment),MONTH(first_payment)+(A139-1)*per_year,IF(_term=24,IF(1-MOD(A139,2)=1,DAY(first_payment)+14,DAY(first_payment)),DAY(first_payment))))),"")</f>
        <v/>
      </c>
      <c r="H139" t="str">
        <f>IF($A139&lt;&gt;"",$H138-$D139,"")</f>
        <v/>
      </c>
      <c r="L139" s="48"/>
      <c r="M139" s="17"/>
    </row>
    <row r="140" spans="1:13" ht="15" customHeight="1" x14ac:dyDescent="0.25">
      <c r="L140" s="48"/>
      <c r="M140" s="17"/>
    </row>
    <row r="141" spans="1:13" ht="15" customHeight="1" x14ac:dyDescent="0.25">
      <c r="L141" s="48"/>
      <c r="M141" s="17"/>
    </row>
    <row r="142" spans="1:13" ht="15" customHeight="1" x14ac:dyDescent="0.25">
      <c r="L142" s="48"/>
      <c r="M142" s="17"/>
    </row>
    <row r="143" spans="1:13" ht="15" customHeight="1" x14ac:dyDescent="0.25">
      <c r="L143" s="48"/>
      <c r="M143" s="17"/>
    </row>
    <row r="144" spans="1:13" ht="15" customHeight="1" x14ac:dyDescent="0.25">
      <c r="L144" s="48"/>
      <c r="M144" s="17"/>
    </row>
    <row r="145" spans="12:13" ht="15" customHeight="1" x14ac:dyDescent="0.25">
      <c r="L145" s="48"/>
      <c r="M145" s="17"/>
    </row>
    <row r="146" spans="12:13" ht="15" customHeight="1" x14ac:dyDescent="0.25">
      <c r="L146" s="48"/>
      <c r="M146" s="17"/>
    </row>
    <row r="147" spans="12:13" ht="15" customHeight="1" x14ac:dyDescent="0.25">
      <c r="L147" s="48"/>
      <c r="M147" s="17"/>
    </row>
    <row r="148" spans="12:13" ht="15" customHeight="1" x14ac:dyDescent="0.25">
      <c r="L148" s="48"/>
      <c r="M148" s="17"/>
    </row>
    <row r="149" spans="12:13" ht="15" customHeight="1" x14ac:dyDescent="0.25">
      <c r="L149" s="48"/>
      <c r="M149" s="17"/>
    </row>
    <row r="150" spans="12:13" ht="15" customHeight="1" x14ac:dyDescent="0.25">
      <c r="L150" s="48"/>
      <c r="M150" s="17"/>
    </row>
    <row r="151" spans="12:13" ht="15" customHeight="1" x14ac:dyDescent="0.25">
      <c r="L151" s="48"/>
      <c r="M151" s="17"/>
    </row>
    <row r="152" spans="12:13" ht="15" customHeight="1" x14ac:dyDescent="0.25">
      <c r="L152" s="48"/>
      <c r="M152" s="17"/>
    </row>
    <row r="153" spans="12:13" ht="15" customHeight="1" x14ac:dyDescent="0.25">
      <c r="L153" s="48"/>
      <c r="M153" s="17"/>
    </row>
    <row r="154" spans="12:13" ht="15" customHeight="1" x14ac:dyDescent="0.25">
      <c r="L154" s="48"/>
      <c r="M154" s="17"/>
    </row>
    <row r="155" spans="12:13" ht="15" customHeight="1" x14ac:dyDescent="0.25">
      <c r="L155" s="48"/>
      <c r="M155" s="17"/>
    </row>
    <row r="156" spans="12:13" ht="15" customHeight="1" x14ac:dyDescent="0.25">
      <c r="L156" s="48"/>
      <c r="M156" s="17"/>
    </row>
    <row r="157" spans="12:13" ht="15" customHeight="1" x14ac:dyDescent="0.25">
      <c r="L157" s="48"/>
      <c r="M157" s="17"/>
    </row>
    <row r="158" spans="12:13" ht="15" customHeight="1" x14ac:dyDescent="0.25">
      <c r="L158" s="48"/>
      <c r="M158" s="17"/>
    </row>
    <row r="159" spans="12:13" ht="15" customHeight="1" x14ac:dyDescent="0.25">
      <c r="L159" s="48"/>
      <c r="M159" s="17"/>
    </row>
    <row r="160" spans="12:13" ht="15" customHeight="1" x14ac:dyDescent="0.25">
      <c r="L160" s="48"/>
      <c r="M160" s="17"/>
    </row>
    <row r="161" spans="12:13" ht="15" customHeight="1" x14ac:dyDescent="0.25">
      <c r="L161" s="48"/>
      <c r="M161" s="17"/>
    </row>
    <row r="162" spans="12:13" ht="15" customHeight="1" x14ac:dyDescent="0.25">
      <c r="L162" s="48"/>
      <c r="M162" s="17"/>
    </row>
    <row r="163" spans="12:13" ht="15" customHeight="1" x14ac:dyDescent="0.25">
      <c r="L163" s="48"/>
      <c r="M163" s="17"/>
    </row>
    <row r="164" spans="12:13" ht="15" customHeight="1" x14ac:dyDescent="0.25">
      <c r="L164" s="48"/>
      <c r="M164" s="17"/>
    </row>
    <row r="165" spans="12:13" ht="15" customHeight="1" x14ac:dyDescent="0.25">
      <c r="L165" s="48"/>
      <c r="M165" s="17"/>
    </row>
    <row r="166" spans="12:13" ht="15" customHeight="1" x14ac:dyDescent="0.25">
      <c r="L166" s="48"/>
      <c r="M166" s="17"/>
    </row>
    <row r="167" spans="12:13" ht="15" customHeight="1" x14ac:dyDescent="0.25">
      <c r="L167" s="48"/>
      <c r="M167" s="17"/>
    </row>
    <row r="168" spans="12:13" ht="15" customHeight="1" x14ac:dyDescent="0.25">
      <c r="L168" s="48"/>
      <c r="M168" s="17"/>
    </row>
    <row r="169" spans="12:13" ht="15" customHeight="1" x14ac:dyDescent="0.25">
      <c r="L169" s="48"/>
      <c r="M169" s="17"/>
    </row>
    <row r="170" spans="12:13" ht="15" customHeight="1" x14ac:dyDescent="0.25">
      <c r="L170" s="48"/>
      <c r="M170" s="17"/>
    </row>
    <row r="171" spans="12:13" ht="15" customHeight="1" x14ac:dyDescent="0.25">
      <c r="L171" s="48"/>
      <c r="M171" s="17"/>
    </row>
    <row r="172" spans="12:13" ht="15" customHeight="1" x14ac:dyDescent="0.25">
      <c r="L172" s="48"/>
      <c r="M172" s="17"/>
    </row>
    <row r="173" spans="12:13" ht="15" customHeight="1" x14ac:dyDescent="0.25">
      <c r="L173" s="48"/>
      <c r="M173" s="17"/>
    </row>
    <row r="174" spans="12:13" ht="15" customHeight="1" x14ac:dyDescent="0.25">
      <c r="L174" s="48"/>
      <c r="M174" s="17"/>
    </row>
    <row r="175" spans="12:13" ht="15" customHeight="1" x14ac:dyDescent="0.25">
      <c r="L175" s="48"/>
      <c r="M175" s="17"/>
    </row>
    <row r="176" spans="12:13" ht="15" customHeight="1" x14ac:dyDescent="0.25">
      <c r="L176" s="48"/>
      <c r="M176" s="17"/>
    </row>
    <row r="177" spans="12:13" ht="15" customHeight="1" x14ac:dyDescent="0.25">
      <c r="L177" s="48"/>
      <c r="M177" s="17"/>
    </row>
    <row r="178" spans="12:13" ht="15" customHeight="1" x14ac:dyDescent="0.25">
      <c r="L178" s="48"/>
      <c r="M178" s="17"/>
    </row>
    <row r="179" spans="12:13" ht="15" customHeight="1" x14ac:dyDescent="0.25">
      <c r="L179" s="48"/>
      <c r="M179" s="17"/>
    </row>
    <row r="180" spans="12:13" ht="15" customHeight="1" x14ac:dyDescent="0.25">
      <c r="L180" s="48"/>
      <c r="M180" s="17"/>
    </row>
    <row r="181" spans="12:13" ht="15" customHeight="1" x14ac:dyDescent="0.25">
      <c r="L181" s="48"/>
      <c r="M181" s="17"/>
    </row>
    <row r="182" spans="12:13" ht="15" customHeight="1" x14ac:dyDescent="0.25">
      <c r="L182" s="48"/>
      <c r="M182" s="17"/>
    </row>
    <row r="183" spans="12:13" ht="15" customHeight="1" x14ac:dyDescent="0.25">
      <c r="L183" s="48"/>
      <c r="M183" s="17"/>
    </row>
    <row r="184" spans="12:13" ht="15" customHeight="1" x14ac:dyDescent="0.25">
      <c r="L184" s="48"/>
      <c r="M184" s="17"/>
    </row>
    <row r="185" spans="12:13" ht="15" customHeight="1" x14ac:dyDescent="0.25">
      <c r="L185" s="48"/>
      <c r="M185" s="17"/>
    </row>
    <row r="186" spans="12:13" ht="15" customHeight="1" x14ac:dyDescent="0.25">
      <c r="L186" s="48"/>
      <c r="M186" s="17"/>
    </row>
    <row r="187" spans="12:13" ht="15" customHeight="1" x14ac:dyDescent="0.25">
      <c r="L187" s="48"/>
      <c r="M187" s="17"/>
    </row>
    <row r="188" spans="12:13" ht="15" customHeight="1" x14ac:dyDescent="0.25">
      <c r="L188" s="48"/>
      <c r="M188" s="17"/>
    </row>
    <row r="189" spans="12:13" ht="15" customHeight="1" x14ac:dyDescent="0.25">
      <c r="L189" s="48"/>
      <c r="M189" s="17"/>
    </row>
    <row r="190" spans="12:13" ht="15" customHeight="1" x14ac:dyDescent="0.25">
      <c r="L190" s="48"/>
      <c r="M190" s="17"/>
    </row>
    <row r="191" spans="12:13" ht="15" customHeight="1" x14ac:dyDescent="0.25">
      <c r="L191" s="48"/>
      <c r="M191" s="17"/>
    </row>
    <row r="192" spans="12:13" ht="15" customHeight="1" x14ac:dyDescent="0.25">
      <c r="L192" s="48"/>
      <c r="M192" s="17"/>
    </row>
    <row r="193" spans="12:13" ht="15" customHeight="1" x14ac:dyDescent="0.25">
      <c r="L193" s="48"/>
      <c r="M193" s="17"/>
    </row>
    <row r="194" spans="12:13" ht="15" customHeight="1" x14ac:dyDescent="0.25">
      <c r="L194" s="48"/>
      <c r="M194" s="17"/>
    </row>
    <row r="195" spans="12:13" ht="15" customHeight="1" x14ac:dyDescent="0.25">
      <c r="L195" s="48"/>
      <c r="M195" s="17"/>
    </row>
    <row r="196" spans="12:13" ht="15" customHeight="1" x14ac:dyDescent="0.25">
      <c r="L196" s="48"/>
      <c r="M196" s="17"/>
    </row>
    <row r="197" spans="12:13" ht="15" customHeight="1" x14ac:dyDescent="0.25">
      <c r="L197" s="48"/>
      <c r="M197" s="17"/>
    </row>
    <row r="198" spans="12:13" ht="15" customHeight="1" x14ac:dyDescent="0.25">
      <c r="L198" s="48"/>
      <c r="M198" s="17"/>
    </row>
    <row r="199" spans="12:13" ht="15" customHeight="1" x14ac:dyDescent="0.25">
      <c r="L199" s="48"/>
      <c r="M199" s="17"/>
    </row>
    <row r="200" spans="12:13" ht="15" customHeight="1" x14ac:dyDescent="0.25">
      <c r="L200" s="48"/>
      <c r="M200" s="17"/>
    </row>
    <row r="201" spans="12:13" ht="15" customHeight="1" x14ac:dyDescent="0.25">
      <c r="L201" s="48"/>
      <c r="M201" s="17"/>
    </row>
    <row r="202" spans="12:13" ht="15" customHeight="1" x14ac:dyDescent="0.25">
      <c r="L202" s="48"/>
      <c r="M202" s="17"/>
    </row>
    <row r="203" spans="12:13" ht="15" customHeight="1" x14ac:dyDescent="0.25">
      <c r="L203" s="48"/>
      <c r="M203" s="17"/>
    </row>
    <row r="204" spans="12:13" ht="15" customHeight="1" x14ac:dyDescent="0.25">
      <c r="L204" s="48"/>
      <c r="M204" s="17"/>
    </row>
    <row r="205" spans="12:13" ht="15" customHeight="1" x14ac:dyDescent="0.25">
      <c r="L205" s="48"/>
      <c r="M205" s="17"/>
    </row>
    <row r="206" spans="12:13" ht="15" customHeight="1" x14ac:dyDescent="0.25">
      <c r="L206" s="48"/>
      <c r="M206" s="17"/>
    </row>
    <row r="207" spans="12:13" ht="15" customHeight="1" x14ac:dyDescent="0.25">
      <c r="L207" s="48"/>
      <c r="M207" s="17"/>
    </row>
    <row r="208" spans="12:13" ht="15" customHeight="1" x14ac:dyDescent="0.25">
      <c r="L208" s="48"/>
      <c r="M208" s="17"/>
    </row>
    <row r="209" spans="12:13" ht="15" customHeight="1" x14ac:dyDescent="0.25">
      <c r="L209" s="48"/>
      <c r="M209" s="17"/>
    </row>
    <row r="210" spans="12:13" ht="15" customHeight="1" x14ac:dyDescent="0.25">
      <c r="L210" s="48"/>
      <c r="M210" s="17"/>
    </row>
    <row r="211" spans="12:13" ht="15" customHeight="1" x14ac:dyDescent="0.25">
      <c r="L211" s="48"/>
      <c r="M211" s="17"/>
    </row>
    <row r="212" spans="12:13" ht="15" customHeight="1" x14ac:dyDescent="0.25">
      <c r="L212" s="48"/>
      <c r="M212" s="17"/>
    </row>
    <row r="213" spans="12:13" ht="15" customHeight="1" x14ac:dyDescent="0.25">
      <c r="L213" s="48"/>
      <c r="M213" s="17"/>
    </row>
    <row r="214" spans="12:13" ht="15" customHeight="1" x14ac:dyDescent="0.25">
      <c r="L214" s="48"/>
      <c r="M214" s="17"/>
    </row>
    <row r="215" spans="12:13" ht="15" customHeight="1" x14ac:dyDescent="0.25">
      <c r="L215" s="48"/>
      <c r="M215" s="17"/>
    </row>
    <row r="216" spans="12:13" ht="15" customHeight="1" x14ac:dyDescent="0.25">
      <c r="L216" s="48"/>
      <c r="M216" s="17"/>
    </row>
    <row r="217" spans="12:13" ht="15" customHeight="1" x14ac:dyDescent="0.25">
      <c r="L217" s="48"/>
      <c r="M217" s="17"/>
    </row>
    <row r="218" spans="12:13" ht="15" customHeight="1" x14ac:dyDescent="0.25">
      <c r="L218" s="48"/>
      <c r="M218" s="17"/>
    </row>
    <row r="219" spans="12:13" ht="15" customHeight="1" x14ac:dyDescent="0.25">
      <c r="L219" s="48"/>
      <c r="M219" s="17"/>
    </row>
    <row r="220" spans="12:13" ht="15" customHeight="1" x14ac:dyDescent="0.25">
      <c r="L220" s="48"/>
      <c r="M220" s="17"/>
    </row>
    <row r="221" spans="12:13" ht="15" customHeight="1" x14ac:dyDescent="0.25">
      <c r="L221" s="48"/>
      <c r="M221" s="17"/>
    </row>
    <row r="222" spans="12:13" ht="15" customHeight="1" x14ac:dyDescent="0.25">
      <c r="L222" s="48"/>
      <c r="M222" s="17"/>
    </row>
    <row r="223" spans="12:13" ht="15" customHeight="1" x14ac:dyDescent="0.25">
      <c r="L223" s="48"/>
      <c r="M223" s="17"/>
    </row>
    <row r="224" spans="12:13" ht="15" customHeight="1" x14ac:dyDescent="0.25">
      <c r="L224" s="48"/>
      <c r="M224" s="17"/>
    </row>
    <row r="225" spans="12:13" ht="15" customHeight="1" x14ac:dyDescent="0.25">
      <c r="L225" s="48"/>
      <c r="M225" s="17"/>
    </row>
    <row r="226" spans="12:13" ht="15" customHeight="1" x14ac:dyDescent="0.25">
      <c r="L226" s="48"/>
      <c r="M226" s="17"/>
    </row>
    <row r="227" spans="12:13" ht="15" customHeight="1" x14ac:dyDescent="0.25">
      <c r="L227" s="48"/>
      <c r="M227" s="17"/>
    </row>
    <row r="228" spans="12:13" ht="15" customHeight="1" x14ac:dyDescent="0.25">
      <c r="L228" s="48"/>
      <c r="M228" s="17"/>
    </row>
    <row r="229" spans="12:13" ht="15" customHeight="1" x14ac:dyDescent="0.25">
      <c r="L229" s="48"/>
      <c r="M229" s="17"/>
    </row>
    <row r="230" spans="12:13" ht="15" customHeight="1" x14ac:dyDescent="0.25">
      <c r="L230" s="48"/>
      <c r="M230" s="17"/>
    </row>
    <row r="231" spans="12:13" ht="15" customHeight="1" x14ac:dyDescent="0.25">
      <c r="L231" s="48"/>
      <c r="M231" s="17"/>
    </row>
    <row r="232" spans="12:13" ht="15" customHeight="1" x14ac:dyDescent="0.25">
      <c r="L232" s="48"/>
      <c r="M232" s="17"/>
    </row>
    <row r="233" spans="12:13" ht="15" customHeight="1" x14ac:dyDescent="0.25">
      <c r="L233" s="48"/>
      <c r="M233" s="17"/>
    </row>
    <row r="234" spans="12:13" ht="15" customHeight="1" x14ac:dyDescent="0.25">
      <c r="L234" s="48"/>
      <c r="M234" s="17"/>
    </row>
    <row r="235" spans="12:13" ht="15" customHeight="1" x14ac:dyDescent="0.25">
      <c r="L235" s="48"/>
      <c r="M235" s="17"/>
    </row>
    <row r="236" spans="12:13" ht="15" customHeight="1" x14ac:dyDescent="0.25">
      <c r="L236" s="48"/>
      <c r="M236" s="17"/>
    </row>
    <row r="237" spans="12:13" ht="15" customHeight="1" x14ac:dyDescent="0.25">
      <c r="L237" s="48"/>
      <c r="M237" s="17"/>
    </row>
    <row r="238" spans="12:13" ht="15" customHeight="1" x14ac:dyDescent="0.25">
      <c r="L238" s="48"/>
      <c r="M238" s="17"/>
    </row>
    <row r="239" spans="12:13" ht="15" customHeight="1" x14ac:dyDescent="0.25">
      <c r="L239" s="48"/>
      <c r="M239" s="17"/>
    </row>
    <row r="240" spans="12:13" ht="15" customHeight="1" x14ac:dyDescent="0.25">
      <c r="L240" s="48"/>
      <c r="M240" s="17"/>
    </row>
    <row r="241" spans="12:13" ht="15" customHeight="1" x14ac:dyDescent="0.25">
      <c r="L241" s="48"/>
      <c r="M241" s="17"/>
    </row>
    <row r="242" spans="12:13" ht="15" customHeight="1" x14ac:dyDescent="0.25">
      <c r="L242" s="48"/>
      <c r="M242" s="17"/>
    </row>
    <row r="243" spans="12:13" ht="15" customHeight="1" x14ac:dyDescent="0.25">
      <c r="L243" s="48"/>
      <c r="M243" s="17"/>
    </row>
    <row r="244" spans="12:13" ht="15" customHeight="1" x14ac:dyDescent="0.25">
      <c r="L244" s="48"/>
      <c r="M244" s="17"/>
    </row>
    <row r="245" spans="12:13" ht="15" customHeight="1" x14ac:dyDescent="0.25">
      <c r="L245" s="48"/>
      <c r="M245" s="17"/>
    </row>
    <row r="246" spans="12:13" ht="15" customHeight="1" x14ac:dyDescent="0.25">
      <c r="L246" s="48"/>
      <c r="M246" s="17"/>
    </row>
    <row r="247" spans="12:13" ht="15" customHeight="1" x14ac:dyDescent="0.25">
      <c r="L247" s="48"/>
      <c r="M247" s="17"/>
    </row>
    <row r="248" spans="12:13" ht="15" customHeight="1" x14ac:dyDescent="0.25">
      <c r="L248" s="48"/>
      <c r="M248" s="17"/>
    </row>
    <row r="249" spans="12:13" ht="15" customHeight="1" x14ac:dyDescent="0.25">
      <c r="L249" s="48"/>
      <c r="M249" s="17"/>
    </row>
    <row r="250" spans="12:13" ht="15" customHeight="1" x14ac:dyDescent="0.25">
      <c r="L250" s="48"/>
      <c r="M250" s="17"/>
    </row>
    <row r="251" spans="12:13" ht="15" customHeight="1" x14ac:dyDescent="0.25">
      <c r="L251" s="48"/>
      <c r="M251" s="17"/>
    </row>
    <row r="252" spans="12:13" ht="15" customHeight="1" x14ac:dyDescent="0.25">
      <c r="L252" s="48"/>
      <c r="M252" s="17"/>
    </row>
    <row r="253" spans="12:13" ht="15" customHeight="1" x14ac:dyDescent="0.25">
      <c r="L253" s="48"/>
      <c r="M253" s="17"/>
    </row>
    <row r="254" spans="12:13" ht="15" customHeight="1" x14ac:dyDescent="0.25">
      <c r="L254" s="48"/>
      <c r="M254" s="17"/>
    </row>
    <row r="255" spans="12:13" ht="15" customHeight="1" x14ac:dyDescent="0.25">
      <c r="L255" s="48"/>
      <c r="M255" s="17"/>
    </row>
    <row r="256" spans="12:13" ht="15" customHeight="1" x14ac:dyDescent="0.25">
      <c r="L256" s="48"/>
      <c r="M256" s="17"/>
    </row>
    <row r="257" spans="12:13" ht="15" customHeight="1" x14ac:dyDescent="0.25">
      <c r="L257" s="48"/>
      <c r="M257" s="17"/>
    </row>
    <row r="258" spans="12:13" ht="15" customHeight="1" x14ac:dyDescent="0.25">
      <c r="L258" s="48"/>
      <c r="M258" s="17"/>
    </row>
    <row r="259" spans="12:13" ht="15" customHeight="1" x14ac:dyDescent="0.25">
      <c r="L259" s="48"/>
      <c r="M259" s="17"/>
    </row>
    <row r="260" spans="12:13" ht="15" customHeight="1" x14ac:dyDescent="0.25">
      <c r="L260" s="48"/>
      <c r="M260" s="17"/>
    </row>
    <row r="261" spans="12:13" ht="15" customHeight="1" x14ac:dyDescent="0.25">
      <c r="L261" s="48"/>
      <c r="M261" s="17"/>
    </row>
    <row r="262" spans="12:13" ht="15" customHeight="1" x14ac:dyDescent="0.25">
      <c r="L262" s="48"/>
      <c r="M262" s="17"/>
    </row>
    <row r="263" spans="12:13" ht="15" customHeight="1" x14ac:dyDescent="0.25">
      <c r="L263" s="48"/>
      <c r="M263" s="17"/>
    </row>
    <row r="264" spans="12:13" ht="15" customHeight="1" x14ac:dyDescent="0.25">
      <c r="L264" s="48"/>
      <c r="M264" s="17"/>
    </row>
    <row r="265" spans="12:13" ht="15" customHeight="1" x14ac:dyDescent="0.25">
      <c r="L265" s="48"/>
      <c r="M265" s="17"/>
    </row>
    <row r="266" spans="12:13" ht="15" customHeight="1" x14ac:dyDescent="0.25">
      <c r="L266" s="48"/>
      <c r="M266" s="17"/>
    </row>
    <row r="267" spans="12:13" ht="15" customHeight="1" x14ac:dyDescent="0.25">
      <c r="L267" s="48"/>
      <c r="M267" s="17"/>
    </row>
    <row r="268" spans="12:13" ht="15" customHeight="1" x14ac:dyDescent="0.25">
      <c r="L268" s="48"/>
      <c r="M268" s="17"/>
    </row>
    <row r="269" spans="12:13" ht="15" customHeight="1" x14ac:dyDescent="0.25">
      <c r="L269" s="48"/>
      <c r="M269" s="17"/>
    </row>
    <row r="270" spans="12:13" ht="15" customHeight="1" x14ac:dyDescent="0.25">
      <c r="L270" s="48"/>
      <c r="M270" s="17"/>
    </row>
    <row r="271" spans="12:13" ht="15" customHeight="1" x14ac:dyDescent="0.25">
      <c r="L271" s="48"/>
      <c r="M271" s="17"/>
    </row>
    <row r="272" spans="12:13" ht="15" customHeight="1" x14ac:dyDescent="0.25">
      <c r="L272" s="48"/>
      <c r="M272" s="17"/>
    </row>
    <row r="273" spans="12:13" ht="15" customHeight="1" x14ac:dyDescent="0.25">
      <c r="L273" s="48"/>
      <c r="M273" s="17"/>
    </row>
    <row r="274" spans="12:13" ht="15" customHeight="1" x14ac:dyDescent="0.25">
      <c r="L274" s="48"/>
      <c r="M274" s="17"/>
    </row>
    <row r="275" spans="12:13" ht="15" customHeight="1" x14ac:dyDescent="0.25">
      <c r="L275" s="48"/>
      <c r="M275" s="17"/>
    </row>
    <row r="276" spans="12:13" ht="15" customHeight="1" x14ac:dyDescent="0.25">
      <c r="L276" s="48"/>
      <c r="M276" s="17"/>
    </row>
    <row r="277" spans="12:13" ht="15" customHeight="1" x14ac:dyDescent="0.25">
      <c r="L277" s="48"/>
      <c r="M277" s="17"/>
    </row>
    <row r="278" spans="12:13" ht="15" customHeight="1" x14ac:dyDescent="0.25">
      <c r="L278" s="48"/>
      <c r="M278" s="17"/>
    </row>
    <row r="279" spans="12:13" ht="15" customHeight="1" x14ac:dyDescent="0.25">
      <c r="L279" s="48"/>
      <c r="M279" s="17"/>
    </row>
    <row r="280" spans="12:13" ht="15" customHeight="1" x14ac:dyDescent="0.25">
      <c r="L280" s="48"/>
      <c r="M280" s="17"/>
    </row>
    <row r="281" spans="12:13" ht="15" customHeight="1" x14ac:dyDescent="0.25">
      <c r="L281" s="48"/>
      <c r="M281" s="17"/>
    </row>
    <row r="282" spans="12:13" ht="15" customHeight="1" x14ac:dyDescent="0.25">
      <c r="L282" s="48"/>
      <c r="M282" s="17"/>
    </row>
    <row r="283" spans="12:13" ht="15" customHeight="1" x14ac:dyDescent="0.25">
      <c r="L283" s="48"/>
      <c r="M283" s="17"/>
    </row>
    <row r="284" spans="12:13" ht="15" customHeight="1" x14ac:dyDescent="0.25">
      <c r="L284" s="48"/>
      <c r="M284" s="17"/>
    </row>
    <row r="285" spans="12:13" ht="15" customHeight="1" x14ac:dyDescent="0.25">
      <c r="L285" s="48"/>
      <c r="M285" s="17"/>
    </row>
    <row r="286" spans="12:13" ht="15" customHeight="1" x14ac:dyDescent="0.25">
      <c r="L286" s="48"/>
      <c r="M286" s="17"/>
    </row>
    <row r="287" spans="12:13" ht="15" customHeight="1" x14ac:dyDescent="0.25">
      <c r="L287" s="48"/>
      <c r="M287" s="17"/>
    </row>
    <row r="288" spans="12:13" ht="15" customHeight="1" x14ac:dyDescent="0.25">
      <c r="L288" s="48"/>
      <c r="M288" s="17"/>
    </row>
    <row r="289" spans="12:13" ht="15" customHeight="1" x14ac:dyDescent="0.25">
      <c r="L289" s="48"/>
      <c r="M289" s="17"/>
    </row>
    <row r="290" spans="12:13" ht="15" customHeight="1" x14ac:dyDescent="0.25">
      <c r="L290" s="48"/>
      <c r="M290" s="17"/>
    </row>
    <row r="291" spans="12:13" ht="15" customHeight="1" x14ac:dyDescent="0.25">
      <c r="L291" s="48"/>
      <c r="M291" s="17"/>
    </row>
    <row r="292" spans="12:13" ht="15" customHeight="1" x14ac:dyDescent="0.25">
      <c r="L292" s="48"/>
      <c r="M292" s="17"/>
    </row>
    <row r="293" spans="12:13" ht="15" customHeight="1" x14ac:dyDescent="0.25">
      <c r="L293" s="48"/>
      <c r="M293" s="17"/>
    </row>
    <row r="294" spans="12:13" ht="15" customHeight="1" x14ac:dyDescent="0.25">
      <c r="L294" s="48"/>
      <c r="M294" s="17"/>
    </row>
    <row r="295" spans="12:13" ht="15" customHeight="1" x14ac:dyDescent="0.25">
      <c r="L295" s="48"/>
      <c r="M295" s="17"/>
    </row>
    <row r="296" spans="12:13" ht="15" customHeight="1" x14ac:dyDescent="0.25">
      <c r="L296" s="48"/>
      <c r="M296" s="17"/>
    </row>
    <row r="297" spans="12:13" ht="15" customHeight="1" x14ac:dyDescent="0.25">
      <c r="L297" s="48"/>
      <c r="M297" s="17"/>
    </row>
    <row r="298" spans="12:13" ht="15" customHeight="1" x14ac:dyDescent="0.25">
      <c r="L298" s="48"/>
      <c r="M298" s="17"/>
    </row>
    <row r="299" spans="12:13" ht="15" customHeight="1" x14ac:dyDescent="0.25">
      <c r="L299" s="48"/>
      <c r="M299" s="17"/>
    </row>
    <row r="300" spans="12:13" ht="15" customHeight="1" x14ac:dyDescent="0.25">
      <c r="L300" s="48"/>
      <c r="M300" s="17"/>
    </row>
    <row r="301" spans="12:13" ht="15" customHeight="1" x14ac:dyDescent="0.25">
      <c r="L301" s="48"/>
      <c r="M301" s="17"/>
    </row>
    <row r="302" spans="12:13" ht="15" customHeight="1" x14ac:dyDescent="0.25">
      <c r="L302" s="48"/>
      <c r="M302" s="17"/>
    </row>
    <row r="303" spans="12:13" ht="15" customHeight="1" x14ac:dyDescent="0.25">
      <c r="L303" s="48"/>
      <c r="M303" s="17"/>
    </row>
    <row r="304" spans="12:13" ht="15" customHeight="1" x14ac:dyDescent="0.25">
      <c r="L304" s="48"/>
      <c r="M304" s="17"/>
    </row>
    <row r="305" spans="12:13" ht="15" customHeight="1" x14ac:dyDescent="0.25">
      <c r="L305" s="48"/>
      <c r="M305" s="17"/>
    </row>
    <row r="306" spans="12:13" ht="15" customHeight="1" x14ac:dyDescent="0.25">
      <c r="L306" s="48"/>
      <c r="M306" s="17"/>
    </row>
    <row r="307" spans="12:13" ht="15" customHeight="1" x14ac:dyDescent="0.25">
      <c r="L307" s="48"/>
      <c r="M307" s="17"/>
    </row>
    <row r="308" spans="12:13" ht="15" customHeight="1" x14ac:dyDescent="0.25">
      <c r="L308" s="48"/>
      <c r="M308" s="17"/>
    </row>
    <row r="309" spans="12:13" ht="15" customHeight="1" x14ac:dyDescent="0.25">
      <c r="L309" s="48"/>
      <c r="M309" s="17"/>
    </row>
    <row r="310" spans="12:13" ht="15" customHeight="1" x14ac:dyDescent="0.25">
      <c r="L310" s="48"/>
      <c r="M310" s="17"/>
    </row>
    <row r="311" spans="12:13" ht="15" customHeight="1" x14ac:dyDescent="0.25">
      <c r="L311" s="48"/>
      <c r="M311" s="17"/>
    </row>
    <row r="312" spans="12:13" ht="15" customHeight="1" x14ac:dyDescent="0.25">
      <c r="L312" s="48"/>
      <c r="M312" s="17"/>
    </row>
    <row r="313" spans="12:13" ht="15" customHeight="1" x14ac:dyDescent="0.25">
      <c r="L313" s="48"/>
      <c r="M313" s="17"/>
    </row>
    <row r="314" spans="12:13" ht="15" customHeight="1" x14ac:dyDescent="0.25">
      <c r="L314" s="48"/>
      <c r="M314" s="17"/>
    </row>
    <row r="315" spans="12:13" ht="15" customHeight="1" x14ac:dyDescent="0.25">
      <c r="L315" s="48"/>
      <c r="M315" s="17"/>
    </row>
    <row r="316" spans="12:13" ht="15" customHeight="1" x14ac:dyDescent="0.25">
      <c r="L316" s="48"/>
      <c r="M316" s="17"/>
    </row>
    <row r="317" spans="12:13" ht="15" customHeight="1" x14ac:dyDescent="0.25">
      <c r="L317" s="48"/>
      <c r="M317" s="17"/>
    </row>
    <row r="318" spans="12:13" ht="15" customHeight="1" x14ac:dyDescent="0.25">
      <c r="L318" s="48"/>
      <c r="M318" s="17"/>
    </row>
    <row r="319" spans="12:13" ht="15" customHeight="1" x14ac:dyDescent="0.25">
      <c r="L319" s="16"/>
      <c r="M319" s="17"/>
    </row>
    <row r="320" spans="12:13" ht="15" customHeight="1" x14ac:dyDescent="0.25">
      <c r="L320" s="16"/>
      <c r="M320" s="17"/>
    </row>
    <row r="321" spans="12:13" ht="15" customHeight="1" x14ac:dyDescent="0.25">
      <c r="L321" s="16"/>
      <c r="M321" s="17"/>
    </row>
    <row r="322" spans="12:13" ht="15" customHeight="1" x14ac:dyDescent="0.25">
      <c r="L322" s="16"/>
      <c r="M322" s="17"/>
    </row>
    <row r="323" spans="12:13" ht="15" customHeight="1" x14ac:dyDescent="0.25">
      <c r="L323" s="16"/>
      <c r="M323" s="17"/>
    </row>
    <row r="324" spans="12:13" ht="15" customHeight="1" x14ac:dyDescent="0.25">
      <c r="L324" s="16"/>
      <c r="M324" s="17"/>
    </row>
    <row r="325" spans="12:13" ht="15" customHeight="1" x14ac:dyDescent="0.25">
      <c r="L325" s="16"/>
      <c r="M325" s="17"/>
    </row>
    <row r="326" spans="12:13" ht="15" customHeight="1" x14ac:dyDescent="0.25">
      <c r="L326" s="16"/>
      <c r="M326" s="17"/>
    </row>
    <row r="327" spans="12:13" ht="15" customHeight="1" x14ac:dyDescent="0.25">
      <c r="L327" s="16"/>
      <c r="M327" s="17"/>
    </row>
    <row r="328" spans="12:13" ht="15" customHeight="1" x14ac:dyDescent="0.25">
      <c r="L328" s="16"/>
      <c r="M328" s="17"/>
    </row>
    <row r="329" spans="12:13" ht="15" customHeight="1" x14ac:dyDescent="0.25">
      <c r="L329" s="16"/>
      <c r="M329" s="17"/>
    </row>
    <row r="330" spans="12:13" ht="15" customHeight="1" x14ac:dyDescent="0.25">
      <c r="L330" s="16"/>
      <c r="M330" s="17"/>
    </row>
    <row r="331" spans="12:13" ht="15" customHeight="1" x14ac:dyDescent="0.25">
      <c r="L331" s="16"/>
      <c r="M331" s="17"/>
    </row>
    <row r="332" spans="12:13" ht="15" customHeight="1" x14ac:dyDescent="0.25">
      <c r="L332" s="16"/>
      <c r="M332" s="17"/>
    </row>
    <row r="333" spans="12:13" ht="15" customHeight="1" x14ac:dyDescent="0.25">
      <c r="L333" s="16"/>
      <c r="M333" s="17"/>
    </row>
    <row r="334" spans="12:13" ht="15" customHeight="1" x14ac:dyDescent="0.25">
      <c r="L334" s="16"/>
      <c r="M334" s="17"/>
    </row>
    <row r="335" spans="12:13" ht="15" customHeight="1" x14ac:dyDescent="0.25">
      <c r="L335" s="16"/>
      <c r="M335" s="17"/>
    </row>
    <row r="336" spans="12:13" ht="15" customHeight="1" x14ac:dyDescent="0.25">
      <c r="L336" s="16"/>
      <c r="M336" s="17"/>
    </row>
    <row r="337" spans="12:13" ht="15" customHeight="1" x14ac:dyDescent="0.25">
      <c r="L337" s="16"/>
      <c r="M337" s="17"/>
    </row>
    <row r="338" spans="12:13" ht="15" customHeight="1" x14ac:dyDescent="0.25">
      <c r="L338" s="16"/>
      <c r="M338" s="17"/>
    </row>
    <row r="339" spans="12:13" ht="15" customHeight="1" x14ac:dyDescent="0.25">
      <c r="L339" s="16"/>
      <c r="M339" s="17"/>
    </row>
    <row r="340" spans="12:13" ht="15" customHeight="1" x14ac:dyDescent="0.25">
      <c r="L340" s="16"/>
      <c r="M340" s="17"/>
    </row>
    <row r="341" spans="12:13" ht="15" customHeight="1" x14ac:dyDescent="0.25">
      <c r="L341" s="16"/>
      <c r="M341" s="17"/>
    </row>
    <row r="342" spans="12:13" ht="15" customHeight="1" x14ac:dyDescent="0.25">
      <c r="L342" s="16"/>
      <c r="M342" s="17"/>
    </row>
    <row r="343" spans="12:13" ht="15" customHeight="1" x14ac:dyDescent="0.25">
      <c r="L343" s="16"/>
      <c r="M343" s="17"/>
    </row>
    <row r="344" spans="12:13" ht="15" customHeight="1" x14ac:dyDescent="0.25">
      <c r="L344" s="16"/>
      <c r="M344" s="17"/>
    </row>
    <row r="345" spans="12:13" ht="15" customHeight="1" x14ac:dyDescent="0.25">
      <c r="L345" s="16"/>
      <c r="M345" s="17"/>
    </row>
    <row r="346" spans="12:13" ht="15" customHeight="1" x14ac:dyDescent="0.25">
      <c r="L346" s="16"/>
      <c r="M346" s="17"/>
    </row>
    <row r="347" spans="12:13" ht="15" customHeight="1" x14ac:dyDescent="0.25">
      <c r="L347" s="16"/>
      <c r="M347" s="17"/>
    </row>
    <row r="348" spans="12:13" ht="15" customHeight="1" x14ac:dyDescent="0.25">
      <c r="L348" s="16"/>
      <c r="M348" s="17"/>
    </row>
    <row r="349" spans="12:13" ht="15" customHeight="1" x14ac:dyDescent="0.25">
      <c r="L349" s="16"/>
      <c r="M349" s="17"/>
    </row>
    <row r="350" spans="12:13" ht="15" customHeight="1" x14ac:dyDescent="0.25">
      <c r="L350" s="16"/>
      <c r="M350" s="17"/>
    </row>
    <row r="351" spans="12:13" ht="15" customHeight="1" x14ac:dyDescent="0.25">
      <c r="L351" s="16"/>
      <c r="M351" s="17"/>
    </row>
    <row r="352" spans="12:13" ht="15" customHeight="1" x14ac:dyDescent="0.25">
      <c r="L352" s="16"/>
      <c r="M352" s="17"/>
    </row>
    <row r="353" spans="12:13" ht="15" customHeight="1" x14ac:dyDescent="0.25">
      <c r="L353" s="16"/>
      <c r="M353" s="17"/>
    </row>
    <row r="354" spans="12:13" ht="15" customHeight="1" x14ac:dyDescent="0.25">
      <c r="L354" s="16"/>
      <c r="M354" s="17"/>
    </row>
  </sheetData>
  <autoFilter ref="A5:T82" xr:uid="{00000000-0009-0000-0000-00001B000000}">
    <filterColumn colId="13" showButton="0"/>
  </autoFilter>
  <mergeCells count="38">
    <mergeCell ref="T4:T5"/>
    <mergeCell ref="U4:U5"/>
    <mergeCell ref="N4:N5"/>
    <mergeCell ref="O4:O5"/>
    <mergeCell ref="P4:P5"/>
    <mergeCell ref="Q4:Q5"/>
    <mergeCell ref="R4:R5"/>
    <mergeCell ref="S4:S5"/>
    <mergeCell ref="M4:M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L4:L5"/>
    <mergeCell ref="Q1:R1"/>
    <mergeCell ref="A2:F3"/>
    <mergeCell ref="G2:J3"/>
    <mergeCell ref="L2:Q3"/>
    <mergeCell ref="R2:U3"/>
    <mergeCell ref="A1:J1"/>
    <mergeCell ref="W2:AB3"/>
    <mergeCell ref="AC2:AF3"/>
    <mergeCell ref="W4:W5"/>
    <mergeCell ref="X4:X5"/>
    <mergeCell ref="Y4:Y5"/>
    <mergeCell ref="Z4:Z5"/>
    <mergeCell ref="AA4:AA5"/>
    <mergeCell ref="AB4:AB5"/>
    <mergeCell ref="AC4:AC5"/>
    <mergeCell ref="AD4:AD5"/>
    <mergeCell ref="AE4:AE5"/>
    <mergeCell ref="AF4:AF5"/>
  </mergeCells>
  <phoneticPr fontId="16" type="noConversion"/>
  <conditionalFormatting sqref="M85:M354 M41:N58 C35:D35 C7:C35 A7:A58 C36:E58 G7:K58 N37 C59:D67 H59:J82">
    <cfRule type="expression" dxfId="1828" priority="546">
      <formula>AND($A7&lt;&gt;"",MOD(ROW(),2))</formula>
    </cfRule>
  </conditionalFormatting>
  <conditionalFormatting sqref="M41:M58 D35:D82">
    <cfRule type="cellIs" dxfId="1827" priority="543" operator="equal">
      <formula>$C35</formula>
    </cfRule>
    <cfRule type="cellIs" dxfId="1826" priority="544" operator="greaterThan">
      <formula>$C35</formula>
    </cfRule>
    <cfRule type="cellIs" dxfId="1825" priority="545" operator="lessThan">
      <formula>$C35</formula>
    </cfRule>
  </conditionalFormatting>
  <conditionalFormatting sqref="M59:M84">
    <cfRule type="expression" dxfId="1824" priority="536">
      <formula>AND($A59&lt;&gt;"",MOD(ROW(),2))</formula>
    </cfRule>
  </conditionalFormatting>
  <conditionalFormatting sqref="M59:M84">
    <cfRule type="cellIs" dxfId="1823" priority="533" operator="equal">
      <formula>$C59</formula>
    </cfRule>
    <cfRule type="cellIs" dxfId="1822" priority="534" operator="greaterThan">
      <formula>$C59</formula>
    </cfRule>
    <cfRule type="cellIs" dxfId="1821" priority="535" operator="lessThan">
      <formula>$C59</formula>
    </cfRule>
  </conditionalFormatting>
  <conditionalFormatting sqref="M85:M110">
    <cfRule type="cellIs" dxfId="1820" priority="530" operator="equal">
      <formula>$C85</formula>
    </cfRule>
    <cfRule type="cellIs" dxfId="1819" priority="531" operator="greaterThan">
      <formula>$C85</formula>
    </cfRule>
    <cfRule type="cellIs" dxfId="1818" priority="532" operator="lessThan">
      <formula>$C85</formula>
    </cfRule>
  </conditionalFormatting>
  <conditionalFormatting sqref="M111:M136">
    <cfRule type="cellIs" dxfId="1817" priority="527" operator="equal">
      <formula>$C111</formula>
    </cfRule>
    <cfRule type="cellIs" dxfId="1816" priority="528" operator="greaterThan">
      <formula>$C111</formula>
    </cfRule>
    <cfRule type="cellIs" dxfId="1815" priority="529" operator="lessThan">
      <formula>$C111</formula>
    </cfRule>
  </conditionalFormatting>
  <conditionalFormatting sqref="M137:M162">
    <cfRule type="cellIs" dxfId="1814" priority="524" operator="equal">
      <formula>$C137</formula>
    </cfRule>
    <cfRule type="cellIs" dxfId="1813" priority="525" operator="greaterThan">
      <formula>$C137</formula>
    </cfRule>
    <cfRule type="cellIs" dxfId="1812" priority="526" operator="lessThan">
      <formula>$C137</formula>
    </cfRule>
  </conditionalFormatting>
  <conditionalFormatting sqref="M163:M188">
    <cfRule type="cellIs" dxfId="1811" priority="521" operator="equal">
      <formula>$C163</formula>
    </cfRule>
    <cfRule type="cellIs" dxfId="1810" priority="522" operator="greaterThan">
      <formula>$C163</formula>
    </cfRule>
    <cfRule type="cellIs" dxfId="1809" priority="523" operator="lessThan">
      <formula>$C163</formula>
    </cfRule>
  </conditionalFormatting>
  <conditionalFormatting sqref="M189:M214">
    <cfRule type="cellIs" dxfId="1808" priority="518" operator="equal">
      <formula>$C189</formula>
    </cfRule>
    <cfRule type="cellIs" dxfId="1807" priority="519" operator="greaterThan">
      <formula>$C189</formula>
    </cfRule>
    <cfRule type="cellIs" dxfId="1806" priority="520" operator="lessThan">
      <formula>$C189</formula>
    </cfRule>
  </conditionalFormatting>
  <conditionalFormatting sqref="M215:M240">
    <cfRule type="cellIs" dxfId="1805" priority="515" operator="equal">
      <formula>$C215</formula>
    </cfRule>
    <cfRule type="cellIs" dxfId="1804" priority="516" operator="greaterThan">
      <formula>$C215</formula>
    </cfRule>
    <cfRule type="cellIs" dxfId="1803" priority="517" operator="lessThan">
      <formula>$C215</formula>
    </cfRule>
  </conditionalFormatting>
  <conditionalFormatting sqref="M241:M266">
    <cfRule type="cellIs" dxfId="1802" priority="512" operator="equal">
      <formula>$C241</formula>
    </cfRule>
    <cfRule type="cellIs" dxfId="1801" priority="513" operator="greaterThan">
      <formula>$C241</formula>
    </cfRule>
    <cfRule type="cellIs" dxfId="1800" priority="514" operator="lessThan">
      <formula>$C241</formula>
    </cfRule>
  </conditionalFormatting>
  <conditionalFormatting sqref="M267:M292">
    <cfRule type="cellIs" dxfId="1799" priority="509" operator="equal">
      <formula>$C267</formula>
    </cfRule>
    <cfRule type="cellIs" dxfId="1798" priority="510" operator="greaterThan">
      <formula>$C267</formula>
    </cfRule>
    <cfRule type="cellIs" dxfId="1797" priority="511" operator="lessThan">
      <formula>$C267</formula>
    </cfRule>
  </conditionalFormatting>
  <conditionalFormatting sqref="M293:M318">
    <cfRule type="cellIs" dxfId="1796" priority="506" operator="equal">
      <formula>$C293</formula>
    </cfRule>
    <cfRule type="cellIs" dxfId="1795" priority="507" operator="greaterThan">
      <formula>$C293</formula>
    </cfRule>
    <cfRule type="cellIs" dxfId="1794" priority="508" operator="lessThan">
      <formula>$C293</formula>
    </cfRule>
  </conditionalFormatting>
  <conditionalFormatting sqref="F31:F2989">
    <cfRule type="containsText" dxfId="1793" priority="505" operator="containsText" text="Unpaid Rent">
      <formula>NOT(ISERROR(SEARCH("Unpaid Rent",F31)))</formula>
    </cfRule>
    <cfRule type="containsText" dxfId="1792" priority="537" stopIfTrue="1" operator="containsText" text="Closed Account">
      <formula>NOT(ISERROR(SEARCH("Closed Account",F31)))</formula>
    </cfRule>
  </conditionalFormatting>
  <conditionalFormatting sqref="N37 N41:N58">
    <cfRule type="expression" dxfId="1791" priority="542">
      <formula>AND(#REF!&lt;&gt;"",MOD(ROW(),2))</formula>
    </cfRule>
  </conditionalFormatting>
  <conditionalFormatting sqref="N37 N41:N58">
    <cfRule type="expression" dxfId="1790" priority="541">
      <formula>AND(#REF!&lt;&gt;"",MOD(ROW(),2))</formula>
    </cfRule>
  </conditionalFormatting>
  <conditionalFormatting sqref="N37 N41:N58">
    <cfRule type="cellIs" dxfId="1789" priority="538" operator="equal">
      <formula>#REF!</formula>
    </cfRule>
    <cfRule type="cellIs" dxfId="1788" priority="539" operator="greaterThan">
      <formula>#REF!</formula>
    </cfRule>
    <cfRule type="cellIs" dxfId="1787" priority="540" operator="lessThan">
      <formula>#REF!</formula>
    </cfRule>
  </conditionalFormatting>
  <conditionalFormatting sqref="M319:M321">
    <cfRule type="cellIs" dxfId="1786" priority="502" operator="equal">
      <formula>$C319</formula>
    </cfRule>
    <cfRule type="cellIs" dxfId="1785" priority="503" operator="greaterThan">
      <formula>$C319</formula>
    </cfRule>
    <cfRule type="cellIs" dxfId="1784" priority="504" operator="lessThan">
      <formula>$C319</formula>
    </cfRule>
  </conditionalFormatting>
  <conditionalFormatting sqref="M322:M324">
    <cfRule type="cellIs" dxfId="1783" priority="499" operator="equal">
      <formula>$C322</formula>
    </cfRule>
    <cfRule type="cellIs" dxfId="1782" priority="500" operator="greaterThan">
      <formula>$C322</formula>
    </cfRule>
    <cfRule type="cellIs" dxfId="1781" priority="501" operator="lessThan">
      <formula>$C322</formula>
    </cfRule>
  </conditionalFormatting>
  <conditionalFormatting sqref="M325:M327">
    <cfRule type="cellIs" dxfId="1780" priority="496" operator="equal">
      <formula>$C325</formula>
    </cfRule>
    <cfRule type="cellIs" dxfId="1779" priority="497" operator="greaterThan">
      <formula>$C325</formula>
    </cfRule>
    <cfRule type="cellIs" dxfId="1778" priority="498" operator="lessThan">
      <formula>$C325</formula>
    </cfRule>
  </conditionalFormatting>
  <conditionalFormatting sqref="M328:M330">
    <cfRule type="cellIs" dxfId="1777" priority="493" operator="equal">
      <formula>$C328</formula>
    </cfRule>
    <cfRule type="cellIs" dxfId="1776" priority="494" operator="greaterThan">
      <formula>$C328</formula>
    </cfRule>
    <cfRule type="cellIs" dxfId="1775" priority="495" operator="lessThan">
      <formula>$C328</formula>
    </cfRule>
  </conditionalFormatting>
  <conditionalFormatting sqref="M331:M333">
    <cfRule type="cellIs" dxfId="1774" priority="490" operator="equal">
      <formula>$C331</formula>
    </cfRule>
    <cfRule type="cellIs" dxfId="1773" priority="491" operator="greaterThan">
      <formula>$C331</formula>
    </cfRule>
    <cfRule type="cellIs" dxfId="1772" priority="492" operator="lessThan">
      <formula>$C331</formula>
    </cfRule>
  </conditionalFormatting>
  <conditionalFormatting sqref="M334:M336">
    <cfRule type="cellIs" dxfId="1771" priority="487" operator="equal">
      <formula>$C334</formula>
    </cfRule>
    <cfRule type="cellIs" dxfId="1770" priority="488" operator="greaterThan">
      <formula>$C334</formula>
    </cfRule>
    <cfRule type="cellIs" dxfId="1769" priority="489" operator="lessThan">
      <formula>$C334</formula>
    </cfRule>
  </conditionalFormatting>
  <conditionalFormatting sqref="M337:M339">
    <cfRule type="cellIs" dxfId="1768" priority="484" operator="equal">
      <formula>$C337</formula>
    </cfRule>
    <cfRule type="cellIs" dxfId="1767" priority="485" operator="greaterThan">
      <formula>$C337</formula>
    </cfRule>
    <cfRule type="cellIs" dxfId="1766" priority="486" operator="lessThan">
      <formula>$C337</formula>
    </cfRule>
  </conditionalFormatting>
  <conditionalFormatting sqref="M340:M342">
    <cfRule type="cellIs" dxfId="1765" priority="481" operator="equal">
      <formula>$C340</formula>
    </cfRule>
    <cfRule type="cellIs" dxfId="1764" priority="482" operator="greaterThan">
      <formula>$C340</formula>
    </cfRule>
    <cfRule type="cellIs" dxfId="1763" priority="483" operator="lessThan">
      <formula>$C340</formula>
    </cfRule>
  </conditionalFormatting>
  <conditionalFormatting sqref="M343:M345">
    <cfRule type="cellIs" dxfId="1762" priority="478" operator="equal">
      <formula>$C343</formula>
    </cfRule>
    <cfRule type="cellIs" dxfId="1761" priority="479" operator="greaterThan">
      <formula>$C343</formula>
    </cfRule>
    <cfRule type="cellIs" dxfId="1760" priority="480" operator="lessThan">
      <formula>$C343</formula>
    </cfRule>
  </conditionalFormatting>
  <conditionalFormatting sqref="M346:M348">
    <cfRule type="cellIs" dxfId="1759" priority="475" operator="equal">
      <formula>$C346</formula>
    </cfRule>
    <cfRule type="cellIs" dxfId="1758" priority="476" operator="greaterThan">
      <formula>$C346</formula>
    </cfRule>
    <cfRule type="cellIs" dxfId="1757" priority="477" operator="lessThan">
      <formula>$C346</formula>
    </cfRule>
  </conditionalFormatting>
  <conditionalFormatting sqref="M349:M351">
    <cfRule type="cellIs" dxfId="1756" priority="472" operator="equal">
      <formula>$C349</formula>
    </cfRule>
    <cfRule type="cellIs" dxfId="1755" priority="473" operator="greaterThan">
      <formula>$C349</formula>
    </cfRule>
    <cfRule type="cellIs" dxfId="1754" priority="474" operator="lessThan">
      <formula>$C349</formula>
    </cfRule>
  </conditionalFormatting>
  <conditionalFormatting sqref="M352:M354">
    <cfRule type="cellIs" dxfId="1753" priority="469" operator="equal">
      <formula>$C352</formula>
    </cfRule>
    <cfRule type="cellIs" dxfId="1752" priority="470" operator="greaterThan">
      <formula>$C352</formula>
    </cfRule>
    <cfRule type="cellIs" dxfId="1751" priority="471" operator="lessThan">
      <formula>$C352</formula>
    </cfRule>
  </conditionalFormatting>
  <conditionalFormatting sqref="D7:E7">
    <cfRule type="expression" dxfId="1750" priority="468">
      <formula>AND($A7&lt;&gt;"",MOD(ROW(),2))</formula>
    </cfRule>
  </conditionalFormatting>
  <conditionalFormatting sqref="D7">
    <cfRule type="cellIs" dxfId="1749" priority="465" operator="equal">
      <formula>$C7</formula>
    </cfRule>
    <cfRule type="cellIs" dxfId="1748" priority="466" operator="greaterThan">
      <formula>$C7</formula>
    </cfRule>
    <cfRule type="cellIs" dxfId="1747" priority="467" operator="lessThan">
      <formula>$C7</formula>
    </cfRule>
  </conditionalFormatting>
  <conditionalFormatting sqref="D8:E8">
    <cfRule type="expression" dxfId="1746" priority="464">
      <formula>AND($A8&lt;&gt;"",MOD(ROW(),2))</formula>
    </cfRule>
  </conditionalFormatting>
  <conditionalFormatting sqref="D8">
    <cfRule type="cellIs" dxfId="1745" priority="461" operator="equal">
      <formula>$C8</formula>
    </cfRule>
    <cfRule type="cellIs" dxfId="1744" priority="462" operator="greaterThan">
      <formula>$C8</formula>
    </cfRule>
    <cfRule type="cellIs" dxfId="1743" priority="463" operator="lessThan">
      <formula>$C8</formula>
    </cfRule>
  </conditionalFormatting>
  <conditionalFormatting sqref="D9:E9">
    <cfRule type="expression" dxfId="1742" priority="460">
      <formula>AND($A9&lt;&gt;"",MOD(ROW(),2))</formula>
    </cfRule>
  </conditionalFormatting>
  <conditionalFormatting sqref="D9">
    <cfRule type="cellIs" dxfId="1741" priority="457" operator="equal">
      <formula>$C9</formula>
    </cfRule>
    <cfRule type="cellIs" dxfId="1740" priority="458" operator="greaterThan">
      <formula>$C9</formula>
    </cfRule>
    <cfRule type="cellIs" dxfId="1739" priority="459" operator="lessThan">
      <formula>$C9</formula>
    </cfRule>
  </conditionalFormatting>
  <conditionalFormatting sqref="D10:E10">
    <cfRule type="expression" dxfId="1738" priority="456">
      <formula>AND($A10&lt;&gt;"",MOD(ROW(),2))</formula>
    </cfRule>
  </conditionalFormatting>
  <conditionalFormatting sqref="D10">
    <cfRule type="cellIs" dxfId="1737" priority="453" operator="equal">
      <formula>$C10</formula>
    </cfRule>
    <cfRule type="cellIs" dxfId="1736" priority="454" operator="greaterThan">
      <formula>$C10</formula>
    </cfRule>
    <cfRule type="cellIs" dxfId="1735" priority="455" operator="lessThan">
      <formula>$C10</formula>
    </cfRule>
  </conditionalFormatting>
  <conditionalFormatting sqref="D11:E11">
    <cfRule type="expression" dxfId="1734" priority="452">
      <formula>AND($A11&lt;&gt;"",MOD(ROW(),2))</formula>
    </cfRule>
  </conditionalFormatting>
  <conditionalFormatting sqref="D11">
    <cfRule type="cellIs" dxfId="1733" priority="449" operator="equal">
      <formula>$C11</formula>
    </cfRule>
    <cfRule type="cellIs" dxfId="1732" priority="450" operator="greaterThan">
      <formula>$C11</formula>
    </cfRule>
    <cfRule type="cellIs" dxfId="1731" priority="451" operator="lessThan">
      <formula>$C11</formula>
    </cfRule>
  </conditionalFormatting>
  <conditionalFormatting sqref="D12:E12">
    <cfRule type="expression" dxfId="1730" priority="448">
      <formula>AND($A12&lt;&gt;"",MOD(ROW(),2))</formula>
    </cfRule>
  </conditionalFormatting>
  <conditionalFormatting sqref="D12">
    <cfRule type="cellIs" dxfId="1729" priority="445" operator="equal">
      <formula>$C12</formula>
    </cfRule>
    <cfRule type="cellIs" dxfId="1728" priority="446" operator="greaterThan">
      <formula>$C12</formula>
    </cfRule>
    <cfRule type="cellIs" dxfId="1727" priority="447" operator="lessThan">
      <formula>$C12</formula>
    </cfRule>
  </conditionalFormatting>
  <conditionalFormatting sqref="D13:E13">
    <cfRule type="expression" dxfId="1726" priority="444">
      <formula>AND($A13&lt;&gt;"",MOD(ROW(),2))</formula>
    </cfRule>
  </conditionalFormatting>
  <conditionalFormatting sqref="D13">
    <cfRule type="cellIs" dxfId="1725" priority="441" operator="equal">
      <formula>$C13</formula>
    </cfRule>
    <cfRule type="cellIs" dxfId="1724" priority="442" operator="greaterThan">
      <formula>$C13</formula>
    </cfRule>
    <cfRule type="cellIs" dxfId="1723" priority="443" operator="lessThan">
      <formula>$C13</formula>
    </cfRule>
  </conditionalFormatting>
  <conditionalFormatting sqref="D14:E14">
    <cfRule type="expression" dxfId="1722" priority="440">
      <formula>AND($A14&lt;&gt;"",MOD(ROW(),2))</formula>
    </cfRule>
  </conditionalFormatting>
  <conditionalFormatting sqref="D14">
    <cfRule type="cellIs" dxfId="1721" priority="437" operator="equal">
      <formula>$C14</formula>
    </cfRule>
    <cfRule type="cellIs" dxfId="1720" priority="438" operator="greaterThan">
      <formula>$C14</formula>
    </cfRule>
    <cfRule type="cellIs" dxfId="1719" priority="439" operator="lessThan">
      <formula>$C14</formula>
    </cfRule>
  </conditionalFormatting>
  <conditionalFormatting sqref="D15:E15">
    <cfRule type="expression" dxfId="1718" priority="436">
      <formula>AND($A15&lt;&gt;"",MOD(ROW(),2))</formula>
    </cfRule>
  </conditionalFormatting>
  <conditionalFormatting sqref="D15">
    <cfRule type="cellIs" dxfId="1717" priority="433" operator="equal">
      <formula>$C15</formula>
    </cfRule>
    <cfRule type="cellIs" dxfId="1716" priority="434" operator="greaterThan">
      <formula>$C15</formula>
    </cfRule>
    <cfRule type="cellIs" dxfId="1715" priority="435" operator="lessThan">
      <formula>$C15</formula>
    </cfRule>
  </conditionalFormatting>
  <conditionalFormatting sqref="D16:E16">
    <cfRule type="expression" dxfId="1714" priority="432">
      <formula>AND($A16&lt;&gt;"",MOD(ROW(),2))</formula>
    </cfRule>
  </conditionalFormatting>
  <conditionalFormatting sqref="D16">
    <cfRule type="cellIs" dxfId="1713" priority="429" operator="equal">
      <formula>$C16</formula>
    </cfRule>
    <cfRule type="cellIs" dxfId="1712" priority="430" operator="greaterThan">
      <formula>$C16</formula>
    </cfRule>
    <cfRule type="cellIs" dxfId="1711" priority="431" operator="lessThan">
      <formula>$C16</formula>
    </cfRule>
  </conditionalFormatting>
  <conditionalFormatting sqref="D17:E17">
    <cfRule type="expression" dxfId="1710" priority="428">
      <formula>AND($A17&lt;&gt;"",MOD(ROW(),2))</formula>
    </cfRule>
  </conditionalFormatting>
  <conditionalFormatting sqref="D17">
    <cfRule type="cellIs" dxfId="1709" priority="425" operator="equal">
      <formula>$C17</formula>
    </cfRule>
    <cfRule type="cellIs" dxfId="1708" priority="426" operator="greaterThan">
      <formula>$C17</formula>
    </cfRule>
    <cfRule type="cellIs" dxfId="1707" priority="427" operator="lessThan">
      <formula>$C17</formula>
    </cfRule>
  </conditionalFormatting>
  <conditionalFormatting sqref="D18:E18">
    <cfRule type="expression" dxfId="1706" priority="424">
      <formula>AND($A18&lt;&gt;"",MOD(ROW(),2))</formula>
    </cfRule>
  </conditionalFormatting>
  <conditionalFormatting sqref="D18">
    <cfRule type="cellIs" dxfId="1705" priority="421" operator="equal">
      <formula>$C18</formula>
    </cfRule>
    <cfRule type="cellIs" dxfId="1704" priority="422" operator="greaterThan">
      <formula>$C18</formula>
    </cfRule>
    <cfRule type="cellIs" dxfId="1703" priority="423" operator="lessThan">
      <formula>$C18</formula>
    </cfRule>
  </conditionalFormatting>
  <conditionalFormatting sqref="F7:F19">
    <cfRule type="containsText" dxfId="1702" priority="419" operator="containsText" text="Unpaid Rent">
      <formula>NOT(ISERROR(SEARCH("Unpaid Rent",F7)))</formula>
    </cfRule>
    <cfRule type="containsText" dxfId="1701" priority="420" stopIfTrue="1" operator="containsText" text="Closed Account">
      <formula>NOT(ISERROR(SEARCH("Closed Account",F7)))</formula>
    </cfRule>
  </conditionalFormatting>
  <conditionalFormatting sqref="F19:F31">
    <cfRule type="containsText" dxfId="1700" priority="417" operator="containsText" text="Unpaid Rent">
      <formula>NOT(ISERROR(SEARCH("Unpaid Rent",F19)))</formula>
    </cfRule>
    <cfRule type="containsText" dxfId="1699" priority="418" stopIfTrue="1" operator="containsText" text="Closed Account">
      <formula>NOT(ISERROR(SEARCH("Closed Account",F19)))</formula>
    </cfRule>
  </conditionalFormatting>
  <conditionalFormatting sqref="D19:E19">
    <cfRule type="expression" dxfId="1698" priority="416">
      <formula>AND($A19&lt;&gt;"",MOD(ROW(),2))</formula>
    </cfRule>
  </conditionalFormatting>
  <conditionalFormatting sqref="D19">
    <cfRule type="cellIs" dxfId="1697" priority="413" operator="equal">
      <formula>$C19</formula>
    </cfRule>
    <cfRule type="cellIs" dxfId="1696" priority="414" operator="greaterThan">
      <formula>$C19</formula>
    </cfRule>
    <cfRule type="cellIs" dxfId="1695" priority="415" operator="lessThan">
      <formula>$C19</formula>
    </cfRule>
  </conditionalFormatting>
  <conditionalFormatting sqref="D20:E20">
    <cfRule type="expression" dxfId="1694" priority="412">
      <formula>AND($A20&lt;&gt;"",MOD(ROW(),2))</formula>
    </cfRule>
  </conditionalFormatting>
  <conditionalFormatting sqref="D20">
    <cfRule type="cellIs" dxfId="1693" priority="409" operator="equal">
      <formula>$C20</formula>
    </cfRule>
    <cfRule type="cellIs" dxfId="1692" priority="410" operator="greaterThan">
      <formula>$C20</formula>
    </cfRule>
    <cfRule type="cellIs" dxfId="1691" priority="411" operator="lessThan">
      <formula>$C20</formula>
    </cfRule>
  </conditionalFormatting>
  <conditionalFormatting sqref="D21:E21">
    <cfRule type="expression" dxfId="1690" priority="408">
      <formula>AND($A21&lt;&gt;"",MOD(ROW(),2))</formula>
    </cfRule>
  </conditionalFormatting>
  <conditionalFormatting sqref="D21">
    <cfRule type="cellIs" dxfId="1689" priority="405" operator="equal">
      <formula>$C21</formula>
    </cfRule>
    <cfRule type="cellIs" dxfId="1688" priority="406" operator="greaterThan">
      <formula>$C21</formula>
    </cfRule>
    <cfRule type="cellIs" dxfId="1687" priority="407" operator="lessThan">
      <formula>$C21</formula>
    </cfRule>
  </conditionalFormatting>
  <conditionalFormatting sqref="D22:E22">
    <cfRule type="expression" dxfId="1686" priority="404">
      <formula>AND($A22&lt;&gt;"",MOD(ROW(),2))</formula>
    </cfRule>
  </conditionalFormatting>
  <conditionalFormatting sqref="D22">
    <cfRule type="cellIs" dxfId="1685" priority="401" operator="equal">
      <formula>$C22</formula>
    </cfRule>
    <cfRule type="cellIs" dxfId="1684" priority="402" operator="greaterThan">
      <formula>$C22</formula>
    </cfRule>
    <cfRule type="cellIs" dxfId="1683" priority="403" operator="lessThan">
      <formula>$C22</formula>
    </cfRule>
  </conditionalFormatting>
  <conditionalFormatting sqref="D23:E23">
    <cfRule type="expression" dxfId="1682" priority="400">
      <formula>AND($A23&lt;&gt;"",MOD(ROW(),2))</formula>
    </cfRule>
  </conditionalFormatting>
  <conditionalFormatting sqref="D23">
    <cfRule type="cellIs" dxfId="1681" priority="397" operator="equal">
      <formula>$C23</formula>
    </cfRule>
    <cfRule type="cellIs" dxfId="1680" priority="398" operator="greaterThan">
      <formula>$C23</formula>
    </cfRule>
    <cfRule type="cellIs" dxfId="1679" priority="399" operator="lessThan">
      <formula>$C23</formula>
    </cfRule>
  </conditionalFormatting>
  <conditionalFormatting sqref="D24:E24">
    <cfRule type="expression" dxfId="1678" priority="396">
      <formula>AND($A24&lt;&gt;"",MOD(ROW(),2))</formula>
    </cfRule>
  </conditionalFormatting>
  <conditionalFormatting sqref="D24">
    <cfRule type="cellIs" dxfId="1677" priority="393" operator="equal">
      <formula>$C24</formula>
    </cfRule>
    <cfRule type="cellIs" dxfId="1676" priority="394" operator="greaterThan">
      <formula>$C24</formula>
    </cfRule>
    <cfRule type="cellIs" dxfId="1675" priority="395" operator="lessThan">
      <formula>$C24</formula>
    </cfRule>
  </conditionalFormatting>
  <conditionalFormatting sqref="E25">
    <cfRule type="expression" dxfId="1674" priority="392">
      <formula>AND($A25&lt;&gt;"",MOD(ROW(),2))</formula>
    </cfRule>
  </conditionalFormatting>
  <conditionalFormatting sqref="E26">
    <cfRule type="expression" dxfId="1673" priority="391">
      <formula>AND($A26&lt;&gt;"",MOD(ROW(),2))</formula>
    </cfRule>
  </conditionalFormatting>
  <conditionalFormatting sqref="E27">
    <cfRule type="expression" dxfId="1672" priority="390">
      <formula>AND($A27&lt;&gt;"",MOD(ROW(),2))</formula>
    </cfRule>
  </conditionalFormatting>
  <conditionalFormatting sqref="E28">
    <cfRule type="expression" dxfId="1671" priority="389">
      <formula>AND($A28&lt;&gt;"",MOD(ROW(),2))</formula>
    </cfRule>
  </conditionalFormatting>
  <conditionalFormatting sqref="E29">
    <cfRule type="expression" dxfId="1670" priority="388">
      <formula>AND($A29&lt;&gt;"",MOD(ROW(),2))</formula>
    </cfRule>
  </conditionalFormatting>
  <conditionalFormatting sqref="D25:D35">
    <cfRule type="expression" dxfId="1669" priority="386">
      <formula>AND($A25&lt;&gt;"",MOD(ROW(),2))</formula>
    </cfRule>
  </conditionalFormatting>
  <conditionalFormatting sqref="P31:P34 S7:U9 L7:L34 R10:U23 N7:N34 R24:R34 T24:U35 S24:S41 U36:U41">
    <cfRule type="expression" dxfId="1668" priority="385">
      <formula>AND($A7&lt;&gt;"",MOD(ROW(),2))</formula>
    </cfRule>
  </conditionalFormatting>
  <conditionalFormatting sqref="Q31:Q35 Q37:Q39">
    <cfRule type="containsText" dxfId="1667" priority="383" operator="containsText" text="Unpaid Rent">
      <formula>NOT(ISERROR(SEARCH("Unpaid Rent",Q31)))</formula>
    </cfRule>
    <cfRule type="containsText" dxfId="1666" priority="384" stopIfTrue="1" operator="containsText" text="Closed Account">
      <formula>NOT(ISERROR(SEARCH("Closed Account",Q31)))</formula>
    </cfRule>
  </conditionalFormatting>
  <conditionalFormatting sqref="O7:P7">
    <cfRule type="expression" dxfId="1665" priority="382">
      <formula>AND($A7&lt;&gt;"",MOD(ROW(),2))</formula>
    </cfRule>
  </conditionalFormatting>
  <conditionalFormatting sqref="O7">
    <cfRule type="cellIs" dxfId="1664" priority="379" operator="equal">
      <formula>$C7</formula>
    </cfRule>
    <cfRule type="cellIs" dxfId="1663" priority="380" operator="greaterThan">
      <formula>$C7</formula>
    </cfRule>
    <cfRule type="cellIs" dxfId="1662" priority="381" operator="lessThan">
      <formula>$C7</formula>
    </cfRule>
  </conditionalFormatting>
  <conditionalFormatting sqref="O8:P8">
    <cfRule type="expression" dxfId="1661" priority="378">
      <formula>AND($A8&lt;&gt;"",MOD(ROW(),2))</formula>
    </cfRule>
  </conditionalFormatting>
  <conditionalFormatting sqref="O8">
    <cfRule type="cellIs" dxfId="1660" priority="375" operator="equal">
      <formula>$C8</formula>
    </cfRule>
    <cfRule type="cellIs" dxfId="1659" priority="376" operator="greaterThan">
      <formula>$C8</formula>
    </cfRule>
    <cfRule type="cellIs" dxfId="1658" priority="377" operator="lessThan">
      <formula>$C8</formula>
    </cfRule>
  </conditionalFormatting>
  <conditionalFormatting sqref="O9:P9">
    <cfRule type="expression" dxfId="1657" priority="374">
      <formula>AND($A9&lt;&gt;"",MOD(ROW(),2))</formula>
    </cfRule>
  </conditionalFormatting>
  <conditionalFormatting sqref="O9">
    <cfRule type="cellIs" dxfId="1656" priority="371" operator="equal">
      <formula>$C9</formula>
    </cfRule>
    <cfRule type="cellIs" dxfId="1655" priority="372" operator="greaterThan">
      <formula>$C9</formula>
    </cfRule>
    <cfRule type="cellIs" dxfId="1654" priority="373" operator="lessThan">
      <formula>$C9</formula>
    </cfRule>
  </conditionalFormatting>
  <conditionalFormatting sqref="O10:P10">
    <cfRule type="expression" dxfId="1653" priority="370">
      <formula>AND($A10&lt;&gt;"",MOD(ROW(),2))</formula>
    </cfRule>
  </conditionalFormatting>
  <conditionalFormatting sqref="O10">
    <cfRule type="cellIs" dxfId="1652" priority="367" operator="equal">
      <formula>$C10</formula>
    </cfRule>
    <cfRule type="cellIs" dxfId="1651" priority="368" operator="greaterThan">
      <formula>$C10</formula>
    </cfRule>
    <cfRule type="cellIs" dxfId="1650" priority="369" operator="lessThan">
      <formula>$C10</formula>
    </cfRule>
  </conditionalFormatting>
  <conditionalFormatting sqref="O11:P11">
    <cfRule type="expression" dxfId="1649" priority="366">
      <formula>AND($A11&lt;&gt;"",MOD(ROW(),2))</formula>
    </cfRule>
  </conditionalFormatting>
  <conditionalFormatting sqref="O11">
    <cfRule type="cellIs" dxfId="1648" priority="363" operator="equal">
      <formula>$C11</formula>
    </cfRule>
    <cfRule type="cellIs" dxfId="1647" priority="364" operator="greaterThan">
      <formula>$C11</formula>
    </cfRule>
    <cfRule type="cellIs" dxfId="1646" priority="365" operator="lessThan">
      <formula>$C11</formula>
    </cfRule>
  </conditionalFormatting>
  <conditionalFormatting sqref="O12:P12">
    <cfRule type="expression" dxfId="1645" priority="362">
      <formula>AND($A12&lt;&gt;"",MOD(ROW(),2))</formula>
    </cfRule>
  </conditionalFormatting>
  <conditionalFormatting sqref="O12">
    <cfRule type="cellIs" dxfId="1644" priority="359" operator="equal">
      <formula>$C12</formula>
    </cfRule>
    <cfRule type="cellIs" dxfId="1643" priority="360" operator="greaterThan">
      <formula>$C12</formula>
    </cfRule>
    <cfRule type="cellIs" dxfId="1642" priority="361" operator="lessThan">
      <formula>$C12</formula>
    </cfRule>
  </conditionalFormatting>
  <conditionalFormatting sqref="O13:P13">
    <cfRule type="expression" dxfId="1641" priority="358">
      <formula>AND($A13&lt;&gt;"",MOD(ROW(),2))</formula>
    </cfRule>
  </conditionalFormatting>
  <conditionalFormatting sqref="O13">
    <cfRule type="cellIs" dxfId="1640" priority="355" operator="equal">
      <formula>$C13</formula>
    </cfRule>
    <cfRule type="cellIs" dxfId="1639" priority="356" operator="greaterThan">
      <formula>$C13</formula>
    </cfRule>
    <cfRule type="cellIs" dxfId="1638" priority="357" operator="lessThan">
      <formula>$C13</formula>
    </cfRule>
  </conditionalFormatting>
  <conditionalFormatting sqref="O14:P14">
    <cfRule type="expression" dxfId="1637" priority="354">
      <formula>AND($A14&lt;&gt;"",MOD(ROW(),2))</formula>
    </cfRule>
  </conditionalFormatting>
  <conditionalFormatting sqref="O14">
    <cfRule type="cellIs" dxfId="1636" priority="351" operator="equal">
      <formula>$C14</formula>
    </cfRule>
    <cfRule type="cellIs" dxfId="1635" priority="352" operator="greaterThan">
      <formula>$C14</formula>
    </cfRule>
    <cfRule type="cellIs" dxfId="1634" priority="353" operator="lessThan">
      <formula>$C14</formula>
    </cfRule>
  </conditionalFormatting>
  <conditionalFormatting sqref="O15:P15">
    <cfRule type="expression" dxfId="1633" priority="350">
      <formula>AND($A15&lt;&gt;"",MOD(ROW(),2))</formula>
    </cfRule>
  </conditionalFormatting>
  <conditionalFormatting sqref="O15">
    <cfRule type="cellIs" dxfId="1632" priority="347" operator="equal">
      <formula>$C15</formula>
    </cfRule>
    <cfRule type="cellIs" dxfId="1631" priority="348" operator="greaterThan">
      <formula>$C15</formula>
    </cfRule>
    <cfRule type="cellIs" dxfId="1630" priority="349" operator="lessThan">
      <formula>$C15</formula>
    </cfRule>
  </conditionalFormatting>
  <conditionalFormatting sqref="O16:P16">
    <cfRule type="expression" dxfId="1629" priority="346">
      <formula>AND($A16&lt;&gt;"",MOD(ROW(),2))</formula>
    </cfRule>
  </conditionalFormatting>
  <conditionalFormatting sqref="O16">
    <cfRule type="cellIs" dxfId="1628" priority="343" operator="equal">
      <formula>$C16</formula>
    </cfRule>
    <cfRule type="cellIs" dxfId="1627" priority="344" operator="greaterThan">
      <formula>$C16</formula>
    </cfRule>
    <cfRule type="cellIs" dxfId="1626" priority="345" operator="lessThan">
      <formula>$C16</formula>
    </cfRule>
  </conditionalFormatting>
  <conditionalFormatting sqref="O17:P17">
    <cfRule type="expression" dxfId="1625" priority="342">
      <formula>AND($A17&lt;&gt;"",MOD(ROW(),2))</formula>
    </cfRule>
  </conditionalFormatting>
  <conditionalFormatting sqref="O17">
    <cfRule type="cellIs" dxfId="1624" priority="339" operator="equal">
      <formula>$C17</formula>
    </cfRule>
    <cfRule type="cellIs" dxfId="1623" priority="340" operator="greaterThan">
      <formula>$C17</formula>
    </cfRule>
    <cfRule type="cellIs" dxfId="1622" priority="341" operator="lessThan">
      <formula>$C17</formula>
    </cfRule>
  </conditionalFormatting>
  <conditionalFormatting sqref="O18:P18">
    <cfRule type="expression" dxfId="1621" priority="338">
      <formula>AND($A18&lt;&gt;"",MOD(ROW(),2))</formula>
    </cfRule>
  </conditionalFormatting>
  <conditionalFormatting sqref="O18">
    <cfRule type="cellIs" dxfId="1620" priority="335" operator="equal">
      <formula>$C18</formula>
    </cfRule>
    <cfRule type="cellIs" dxfId="1619" priority="336" operator="greaterThan">
      <formula>$C18</formula>
    </cfRule>
    <cfRule type="cellIs" dxfId="1618" priority="337" operator="lessThan">
      <formula>$C18</formula>
    </cfRule>
  </conditionalFormatting>
  <conditionalFormatting sqref="Q7:Q19">
    <cfRule type="containsText" dxfId="1617" priority="333" operator="containsText" text="Unpaid Rent">
      <formula>NOT(ISERROR(SEARCH("Unpaid Rent",Q7)))</formula>
    </cfRule>
    <cfRule type="containsText" dxfId="1616" priority="334" stopIfTrue="1" operator="containsText" text="Closed Account">
      <formula>NOT(ISERROR(SEARCH("Closed Account",Q7)))</formula>
    </cfRule>
  </conditionalFormatting>
  <conditionalFormatting sqref="Q19:Q30">
    <cfRule type="containsText" dxfId="1615" priority="331" operator="containsText" text="Unpaid Rent">
      <formula>NOT(ISERROR(SEARCH("Unpaid Rent",Q19)))</formula>
    </cfRule>
    <cfRule type="containsText" dxfId="1614" priority="332" stopIfTrue="1" operator="containsText" text="Closed Account">
      <formula>NOT(ISERROR(SEARCH("Closed Account",Q19)))</formula>
    </cfRule>
  </conditionalFormatting>
  <conditionalFormatting sqref="O19:P19">
    <cfRule type="expression" dxfId="1613" priority="330">
      <formula>AND($A19&lt;&gt;"",MOD(ROW(),2))</formula>
    </cfRule>
  </conditionalFormatting>
  <conditionalFormatting sqref="O19">
    <cfRule type="cellIs" dxfId="1612" priority="327" operator="equal">
      <formula>$C19</formula>
    </cfRule>
    <cfRule type="cellIs" dxfId="1611" priority="328" operator="greaterThan">
      <formula>$C19</formula>
    </cfRule>
    <cfRule type="cellIs" dxfId="1610" priority="329" operator="lessThan">
      <formula>$C19</formula>
    </cfRule>
  </conditionalFormatting>
  <conditionalFormatting sqref="O20:P20">
    <cfRule type="expression" dxfId="1609" priority="326">
      <formula>AND($A20&lt;&gt;"",MOD(ROW(),2))</formula>
    </cfRule>
  </conditionalFormatting>
  <conditionalFormatting sqref="O20">
    <cfRule type="cellIs" dxfId="1608" priority="323" operator="equal">
      <formula>$C20</formula>
    </cfRule>
    <cfRule type="cellIs" dxfId="1607" priority="324" operator="greaterThan">
      <formula>$C20</formula>
    </cfRule>
    <cfRule type="cellIs" dxfId="1606" priority="325" operator="lessThan">
      <formula>$C20</formula>
    </cfRule>
  </conditionalFormatting>
  <conditionalFormatting sqref="O21:P21">
    <cfRule type="expression" dxfId="1605" priority="322">
      <formula>AND($A21&lt;&gt;"",MOD(ROW(),2))</formula>
    </cfRule>
  </conditionalFormatting>
  <conditionalFormatting sqref="O21">
    <cfRule type="cellIs" dxfId="1604" priority="319" operator="equal">
      <formula>$C21</formula>
    </cfRule>
    <cfRule type="cellIs" dxfId="1603" priority="320" operator="greaterThan">
      <formula>$C21</formula>
    </cfRule>
    <cfRule type="cellIs" dxfId="1602" priority="321" operator="lessThan">
      <formula>$C21</formula>
    </cfRule>
  </conditionalFormatting>
  <conditionalFormatting sqref="O22:P22">
    <cfRule type="expression" dxfId="1601" priority="318">
      <formula>AND($A22&lt;&gt;"",MOD(ROW(),2))</formula>
    </cfRule>
  </conditionalFormatting>
  <conditionalFormatting sqref="O22">
    <cfRule type="cellIs" dxfId="1600" priority="315" operator="equal">
      <formula>$C22</formula>
    </cfRule>
    <cfRule type="cellIs" dxfId="1599" priority="316" operator="greaterThan">
      <formula>$C22</formula>
    </cfRule>
    <cfRule type="cellIs" dxfId="1598" priority="317" operator="lessThan">
      <formula>$C22</formula>
    </cfRule>
  </conditionalFormatting>
  <conditionalFormatting sqref="P23">
    <cfRule type="expression" dxfId="1597" priority="314">
      <formula>AND($A23&lt;&gt;"",MOD(ROW(),2))</formula>
    </cfRule>
  </conditionalFormatting>
  <conditionalFormatting sqref="P24">
    <cfRule type="expression" dxfId="1596" priority="313">
      <formula>AND($A24&lt;&gt;"",MOD(ROW(),2))</formula>
    </cfRule>
  </conditionalFormatting>
  <conditionalFormatting sqref="P25">
    <cfRule type="expression" dxfId="1595" priority="312">
      <formula>AND($A25&lt;&gt;"",MOD(ROW(),2))</formula>
    </cfRule>
  </conditionalFormatting>
  <conditionalFormatting sqref="P26">
    <cfRule type="expression" dxfId="1594" priority="311">
      <formula>AND($A26&lt;&gt;"",MOD(ROW(),2))</formula>
    </cfRule>
  </conditionalFormatting>
  <conditionalFormatting sqref="P27">
    <cfRule type="expression" dxfId="1593" priority="310">
      <formula>AND($A27&lt;&gt;"",MOD(ROW(),2))</formula>
    </cfRule>
  </conditionalFormatting>
  <conditionalFormatting sqref="P28">
    <cfRule type="expression" dxfId="1592" priority="309">
      <formula>AND($A28&lt;&gt;"",MOD(ROW(),2))</formula>
    </cfRule>
  </conditionalFormatting>
  <conditionalFormatting sqref="P29">
    <cfRule type="expression" dxfId="1591" priority="308">
      <formula>AND($A29&lt;&gt;"",MOD(ROW(),2))</formula>
    </cfRule>
  </conditionalFormatting>
  <conditionalFormatting sqref="P30">
    <cfRule type="expression" dxfId="1590" priority="307">
      <formula>AND($A30&lt;&gt;"",MOD(ROW(),2))</formula>
    </cfRule>
  </conditionalFormatting>
  <conditionalFormatting sqref="N35">
    <cfRule type="expression" dxfId="1589" priority="304">
      <formula>AND($A35&lt;&gt;"",MOD(ROW(),2))</formula>
    </cfRule>
  </conditionalFormatting>
  <conditionalFormatting sqref="L35">
    <cfRule type="expression" dxfId="1588" priority="306">
      <formula>AND($A35&lt;&gt;"",MOD(ROW(),2))</formula>
    </cfRule>
  </conditionalFormatting>
  <conditionalFormatting sqref="L36">
    <cfRule type="expression" dxfId="1587" priority="305">
      <formula>AND($A36&lt;&gt;"",MOD(ROW(),2))</formula>
    </cfRule>
  </conditionalFormatting>
  <conditionalFormatting sqref="N36">
    <cfRule type="expression" dxfId="1586" priority="303">
      <formula>AND($A36&lt;&gt;"",MOD(ROW(),2))</formula>
    </cfRule>
  </conditionalFormatting>
  <conditionalFormatting sqref="O23:O34 O37">
    <cfRule type="expression" dxfId="1585" priority="302">
      <formula>AND($A23&lt;&gt;"",MOD(ROW(),2))</formula>
    </cfRule>
  </conditionalFormatting>
  <conditionalFormatting sqref="O35">
    <cfRule type="expression" dxfId="1584" priority="301">
      <formula>AND($A35&lt;&gt;"",MOD(ROW(),2))</formula>
    </cfRule>
  </conditionalFormatting>
  <conditionalFormatting sqref="O36">
    <cfRule type="expression" dxfId="1583" priority="300">
      <formula>AND($A36&lt;&gt;"",MOD(ROW(),2))</formula>
    </cfRule>
  </conditionalFormatting>
  <conditionalFormatting sqref="E30">
    <cfRule type="expression" dxfId="1582" priority="299">
      <formula>AND($A30&lt;&gt;"",MOD(ROW(),2))</formula>
    </cfRule>
  </conditionalFormatting>
  <conditionalFormatting sqref="E31">
    <cfRule type="expression" dxfId="1581" priority="298">
      <formula>AND($A31&lt;&gt;"",MOD(ROW(),2))</formula>
    </cfRule>
  </conditionalFormatting>
  <conditionalFormatting sqref="E32">
    <cfRule type="expression" dxfId="1580" priority="297">
      <formula>AND($A32&lt;&gt;"",MOD(ROW(),2))</formula>
    </cfRule>
  </conditionalFormatting>
  <conditionalFormatting sqref="E33">
    <cfRule type="expression" dxfId="1579" priority="296">
      <formula>AND($A33&lt;&gt;"",MOD(ROW(),2))</formula>
    </cfRule>
  </conditionalFormatting>
  <conditionalFormatting sqref="E34">
    <cfRule type="expression" dxfId="1578" priority="295">
      <formula>AND($A34&lt;&gt;"",MOD(ROW(),2))</formula>
    </cfRule>
  </conditionalFormatting>
  <conditionalFormatting sqref="E35">
    <cfRule type="expression" dxfId="1577" priority="294">
      <formula>AND($A35&lt;&gt;"",MOD(ROW(),2))</formula>
    </cfRule>
  </conditionalFormatting>
  <conditionalFormatting sqref="R7:R10">
    <cfRule type="expression" dxfId="1576" priority="293">
      <formula>AND($A7&lt;&gt;"",MOD(ROW(),2))</formula>
    </cfRule>
  </conditionalFormatting>
  <conditionalFormatting sqref="O8:P8">
    <cfRule type="expression" dxfId="1575" priority="292">
      <formula>AND($A8&lt;&gt;"",MOD(ROW(),2))</formula>
    </cfRule>
  </conditionalFormatting>
  <conditionalFormatting sqref="O8">
    <cfRule type="cellIs" dxfId="1574" priority="289" operator="equal">
      <formula>$C8</formula>
    </cfRule>
    <cfRule type="cellIs" dxfId="1573" priority="290" operator="greaterThan">
      <formula>$C8</formula>
    </cfRule>
    <cfRule type="cellIs" dxfId="1572" priority="291" operator="lessThan">
      <formula>$C8</formula>
    </cfRule>
  </conditionalFormatting>
  <conditionalFormatting sqref="O9:P9">
    <cfRule type="expression" dxfId="1571" priority="288">
      <formula>AND($A9&lt;&gt;"",MOD(ROW(),2))</formula>
    </cfRule>
  </conditionalFormatting>
  <conditionalFormatting sqref="O9">
    <cfRule type="cellIs" dxfId="1570" priority="285" operator="equal">
      <formula>$C9</formula>
    </cfRule>
    <cfRule type="cellIs" dxfId="1569" priority="286" operator="greaterThan">
      <formula>$C9</formula>
    </cfRule>
    <cfRule type="cellIs" dxfId="1568" priority="287" operator="lessThan">
      <formula>$C9</formula>
    </cfRule>
  </conditionalFormatting>
  <conditionalFormatting sqref="O10:P10">
    <cfRule type="expression" dxfId="1567" priority="284">
      <formula>AND($A10&lt;&gt;"",MOD(ROW(),2))</formula>
    </cfRule>
  </conditionalFormatting>
  <conditionalFormatting sqref="O10">
    <cfRule type="cellIs" dxfId="1566" priority="281" operator="equal">
      <formula>$C10</formula>
    </cfRule>
    <cfRule type="cellIs" dxfId="1565" priority="282" operator="greaterThan">
      <formula>$C10</formula>
    </cfRule>
    <cfRule type="cellIs" dxfId="1564" priority="283" operator="lessThan">
      <formula>$C10</formula>
    </cfRule>
  </conditionalFormatting>
  <conditionalFormatting sqref="O11:P11">
    <cfRule type="expression" dxfId="1563" priority="280">
      <formula>AND($A11&lt;&gt;"",MOD(ROW(),2))</formula>
    </cfRule>
  </conditionalFormatting>
  <conditionalFormatting sqref="O11">
    <cfRule type="cellIs" dxfId="1562" priority="277" operator="equal">
      <formula>$C11</formula>
    </cfRule>
    <cfRule type="cellIs" dxfId="1561" priority="278" operator="greaterThan">
      <formula>$C11</formula>
    </cfRule>
    <cfRule type="cellIs" dxfId="1560" priority="279" operator="lessThan">
      <formula>$C11</formula>
    </cfRule>
  </conditionalFormatting>
  <conditionalFormatting sqref="O12:P12">
    <cfRule type="expression" dxfId="1559" priority="276">
      <formula>AND($A12&lt;&gt;"",MOD(ROW(),2))</formula>
    </cfRule>
  </conditionalFormatting>
  <conditionalFormatting sqref="O12">
    <cfRule type="cellIs" dxfId="1558" priority="273" operator="equal">
      <formula>$C12</formula>
    </cfRule>
    <cfRule type="cellIs" dxfId="1557" priority="274" operator="greaterThan">
      <formula>$C12</formula>
    </cfRule>
    <cfRule type="cellIs" dxfId="1556" priority="275" operator="lessThan">
      <formula>$C12</formula>
    </cfRule>
  </conditionalFormatting>
  <conditionalFormatting sqref="O13:P13">
    <cfRule type="expression" dxfId="1555" priority="272">
      <formula>AND($A13&lt;&gt;"",MOD(ROW(),2))</formula>
    </cfRule>
  </conditionalFormatting>
  <conditionalFormatting sqref="O13">
    <cfRule type="cellIs" dxfId="1554" priority="269" operator="equal">
      <formula>$C13</formula>
    </cfRule>
    <cfRule type="cellIs" dxfId="1553" priority="270" operator="greaterThan">
      <formula>$C13</formula>
    </cfRule>
    <cfRule type="cellIs" dxfId="1552" priority="271" operator="lessThan">
      <formula>$C13</formula>
    </cfRule>
  </conditionalFormatting>
  <conditionalFormatting sqref="O14:P14">
    <cfRule type="expression" dxfId="1551" priority="268">
      <formula>AND($A14&lt;&gt;"",MOD(ROW(),2))</formula>
    </cfRule>
  </conditionalFormatting>
  <conditionalFormatting sqref="O14">
    <cfRule type="cellIs" dxfId="1550" priority="265" operator="equal">
      <formula>$C14</formula>
    </cfRule>
    <cfRule type="cellIs" dxfId="1549" priority="266" operator="greaterThan">
      <formula>$C14</formula>
    </cfRule>
    <cfRule type="cellIs" dxfId="1548" priority="267" operator="lessThan">
      <formula>$C14</formula>
    </cfRule>
  </conditionalFormatting>
  <conditionalFormatting sqref="O15:P15">
    <cfRule type="expression" dxfId="1547" priority="264">
      <formula>AND($A15&lt;&gt;"",MOD(ROW(),2))</formula>
    </cfRule>
  </conditionalFormatting>
  <conditionalFormatting sqref="O15">
    <cfRule type="cellIs" dxfId="1546" priority="261" operator="equal">
      <formula>$C15</formula>
    </cfRule>
    <cfRule type="cellIs" dxfId="1545" priority="262" operator="greaterThan">
      <formula>$C15</formula>
    </cfRule>
    <cfRule type="cellIs" dxfId="1544" priority="263" operator="lessThan">
      <formula>$C15</formula>
    </cfRule>
  </conditionalFormatting>
  <conditionalFormatting sqref="O16:P16">
    <cfRule type="expression" dxfId="1543" priority="260">
      <formula>AND($A16&lt;&gt;"",MOD(ROW(),2))</formula>
    </cfRule>
  </conditionalFormatting>
  <conditionalFormatting sqref="O16">
    <cfRule type="cellIs" dxfId="1542" priority="257" operator="equal">
      <formula>$C16</formula>
    </cfRule>
    <cfRule type="cellIs" dxfId="1541" priority="258" operator="greaterThan">
      <formula>$C16</formula>
    </cfRule>
    <cfRule type="cellIs" dxfId="1540" priority="259" operator="lessThan">
      <formula>$C16</formula>
    </cfRule>
  </conditionalFormatting>
  <conditionalFormatting sqref="O17:P17">
    <cfRule type="expression" dxfId="1539" priority="256">
      <formula>AND($A17&lt;&gt;"",MOD(ROW(),2))</formula>
    </cfRule>
  </conditionalFormatting>
  <conditionalFormatting sqref="O17">
    <cfRule type="cellIs" dxfId="1538" priority="253" operator="equal">
      <formula>$C17</formula>
    </cfRule>
    <cfRule type="cellIs" dxfId="1537" priority="254" operator="greaterThan">
      <formula>$C17</formula>
    </cfRule>
    <cfRule type="cellIs" dxfId="1536" priority="255" operator="lessThan">
      <formula>$C17</formula>
    </cfRule>
  </conditionalFormatting>
  <conditionalFormatting sqref="O18:P18">
    <cfRule type="expression" dxfId="1535" priority="252">
      <formula>AND($A18&lt;&gt;"",MOD(ROW(),2))</formula>
    </cfRule>
  </conditionalFormatting>
  <conditionalFormatting sqref="O18">
    <cfRule type="cellIs" dxfId="1534" priority="249" operator="equal">
      <formula>$C18</formula>
    </cfRule>
    <cfRule type="cellIs" dxfId="1533" priority="250" operator="greaterThan">
      <formula>$C18</formula>
    </cfRule>
    <cfRule type="cellIs" dxfId="1532" priority="251" operator="lessThan">
      <formula>$C18</formula>
    </cfRule>
  </conditionalFormatting>
  <conditionalFormatting sqref="O19:P19">
    <cfRule type="expression" dxfId="1531" priority="248">
      <formula>AND($A19&lt;&gt;"",MOD(ROW(),2))</formula>
    </cfRule>
  </conditionalFormatting>
  <conditionalFormatting sqref="O19">
    <cfRule type="cellIs" dxfId="1530" priority="245" operator="equal">
      <formula>$C19</formula>
    </cfRule>
    <cfRule type="cellIs" dxfId="1529" priority="246" operator="greaterThan">
      <formula>$C19</formula>
    </cfRule>
    <cfRule type="cellIs" dxfId="1528" priority="247" operator="lessThan">
      <formula>$C19</formula>
    </cfRule>
  </conditionalFormatting>
  <conditionalFormatting sqref="AD7:AF9 AG7 AC10:AF21 Y7:Y21 W7:W23">
    <cfRule type="expression" dxfId="1527" priority="244">
      <formula>AND($A7&lt;&gt;"",MOD(ROW(),2))</formula>
    </cfRule>
  </conditionalFormatting>
  <conditionalFormatting sqref="Z7:AA7">
    <cfRule type="expression" dxfId="1526" priority="243">
      <formula>AND($A7&lt;&gt;"",MOD(ROW(),2))</formula>
    </cfRule>
  </conditionalFormatting>
  <conditionalFormatting sqref="Z7">
    <cfRule type="cellIs" dxfId="1525" priority="240" operator="equal">
      <formula>$C7</formula>
    </cfRule>
    <cfRule type="cellIs" dxfId="1524" priority="241" operator="greaterThan">
      <formula>$C7</formula>
    </cfRule>
    <cfRule type="cellIs" dxfId="1523" priority="242" operator="lessThan">
      <formula>$C7</formula>
    </cfRule>
  </conditionalFormatting>
  <conditionalFormatting sqref="Z8:AA8">
    <cfRule type="expression" dxfId="1522" priority="239">
      <formula>AND($A8&lt;&gt;"",MOD(ROW(),2))</formula>
    </cfRule>
  </conditionalFormatting>
  <conditionalFormatting sqref="Z8">
    <cfRule type="cellIs" dxfId="1521" priority="236" operator="equal">
      <formula>$C8</formula>
    </cfRule>
    <cfRule type="cellIs" dxfId="1520" priority="237" operator="greaterThan">
      <formula>$C8</formula>
    </cfRule>
    <cfRule type="cellIs" dxfId="1519" priority="238" operator="lessThan">
      <formula>$C8</formula>
    </cfRule>
  </conditionalFormatting>
  <conditionalFormatting sqref="Z9:AA9">
    <cfRule type="expression" dxfId="1518" priority="235">
      <formula>AND($A9&lt;&gt;"",MOD(ROW(),2))</formula>
    </cfRule>
  </conditionalFormatting>
  <conditionalFormatting sqref="Z9">
    <cfRule type="cellIs" dxfId="1517" priority="232" operator="equal">
      <formula>$C9</formula>
    </cfRule>
    <cfRule type="cellIs" dxfId="1516" priority="233" operator="greaterThan">
      <formula>$C9</formula>
    </cfRule>
    <cfRule type="cellIs" dxfId="1515" priority="234" operator="lessThan">
      <formula>$C9</formula>
    </cfRule>
  </conditionalFormatting>
  <conditionalFormatting sqref="Z10:AA10">
    <cfRule type="expression" dxfId="1514" priority="231">
      <formula>AND($A10&lt;&gt;"",MOD(ROW(),2))</formula>
    </cfRule>
  </conditionalFormatting>
  <conditionalFormatting sqref="Z10">
    <cfRule type="cellIs" dxfId="1513" priority="228" operator="equal">
      <formula>$C10</formula>
    </cfRule>
    <cfRule type="cellIs" dxfId="1512" priority="229" operator="greaterThan">
      <formula>$C10</formula>
    </cfRule>
    <cfRule type="cellIs" dxfId="1511" priority="230" operator="lessThan">
      <formula>$C10</formula>
    </cfRule>
  </conditionalFormatting>
  <conditionalFormatting sqref="Z11:AA11">
    <cfRule type="expression" dxfId="1510" priority="227">
      <formula>AND($A11&lt;&gt;"",MOD(ROW(),2))</formula>
    </cfRule>
  </conditionalFormatting>
  <conditionalFormatting sqref="Z11">
    <cfRule type="cellIs" dxfId="1509" priority="224" operator="equal">
      <formula>$C11</formula>
    </cfRule>
    <cfRule type="cellIs" dxfId="1508" priority="225" operator="greaterThan">
      <formula>$C11</formula>
    </cfRule>
    <cfRule type="cellIs" dxfId="1507" priority="226" operator="lessThan">
      <formula>$C11</formula>
    </cfRule>
  </conditionalFormatting>
  <conditionalFormatting sqref="Z12:AA12">
    <cfRule type="expression" dxfId="1506" priority="223">
      <formula>AND($A12&lt;&gt;"",MOD(ROW(),2))</formula>
    </cfRule>
  </conditionalFormatting>
  <conditionalFormatting sqref="Z12">
    <cfRule type="cellIs" dxfId="1505" priority="220" operator="equal">
      <formula>$C12</formula>
    </cfRule>
    <cfRule type="cellIs" dxfId="1504" priority="221" operator="greaterThan">
      <formula>$C12</formula>
    </cfRule>
    <cfRule type="cellIs" dxfId="1503" priority="222" operator="lessThan">
      <formula>$C12</formula>
    </cfRule>
  </conditionalFormatting>
  <conditionalFormatting sqref="Z13:AA13">
    <cfRule type="expression" dxfId="1502" priority="219">
      <formula>AND($A13&lt;&gt;"",MOD(ROW(),2))</formula>
    </cfRule>
  </conditionalFormatting>
  <conditionalFormatting sqref="Z13">
    <cfRule type="cellIs" dxfId="1501" priority="216" operator="equal">
      <formula>$C13</formula>
    </cfRule>
    <cfRule type="cellIs" dxfId="1500" priority="217" operator="greaterThan">
      <formula>$C13</formula>
    </cfRule>
    <cfRule type="cellIs" dxfId="1499" priority="218" operator="lessThan">
      <formula>$C13</formula>
    </cfRule>
  </conditionalFormatting>
  <conditionalFormatting sqref="Z14:AA14">
    <cfRule type="expression" dxfId="1498" priority="215">
      <formula>AND($A14&lt;&gt;"",MOD(ROW(),2))</formula>
    </cfRule>
  </conditionalFormatting>
  <conditionalFormatting sqref="Z14">
    <cfRule type="cellIs" dxfId="1497" priority="212" operator="equal">
      <formula>$C14</formula>
    </cfRule>
    <cfRule type="cellIs" dxfId="1496" priority="213" operator="greaterThan">
      <formula>$C14</formula>
    </cfRule>
    <cfRule type="cellIs" dxfId="1495" priority="214" operator="lessThan">
      <formula>$C14</formula>
    </cfRule>
  </conditionalFormatting>
  <conditionalFormatting sqref="Z15:AA15">
    <cfRule type="expression" dxfId="1494" priority="211">
      <formula>AND($A15&lt;&gt;"",MOD(ROW(),2))</formula>
    </cfRule>
  </conditionalFormatting>
  <conditionalFormatting sqref="Z15">
    <cfRule type="cellIs" dxfId="1493" priority="208" operator="equal">
      <formula>$C15</formula>
    </cfRule>
    <cfRule type="cellIs" dxfId="1492" priority="209" operator="greaterThan">
      <formula>$C15</formula>
    </cfRule>
    <cfRule type="cellIs" dxfId="1491" priority="210" operator="lessThan">
      <formula>$C15</formula>
    </cfRule>
  </conditionalFormatting>
  <conditionalFormatting sqref="Z16:AA16">
    <cfRule type="expression" dxfId="1490" priority="207">
      <formula>AND($A16&lt;&gt;"",MOD(ROW(),2))</formula>
    </cfRule>
  </conditionalFormatting>
  <conditionalFormatting sqref="Z16">
    <cfRule type="cellIs" dxfId="1489" priority="204" operator="equal">
      <formula>$C16</formula>
    </cfRule>
    <cfRule type="cellIs" dxfId="1488" priority="205" operator="greaterThan">
      <formula>$C16</formula>
    </cfRule>
    <cfRule type="cellIs" dxfId="1487" priority="206" operator="lessThan">
      <formula>$C16</formula>
    </cfRule>
  </conditionalFormatting>
  <conditionalFormatting sqref="Z17:AA17">
    <cfRule type="expression" dxfId="1486" priority="203">
      <formula>AND($A17&lt;&gt;"",MOD(ROW(),2))</formula>
    </cfRule>
  </conditionalFormatting>
  <conditionalFormatting sqref="Z17">
    <cfRule type="cellIs" dxfId="1485" priority="200" operator="equal">
      <formula>$C17</formula>
    </cfRule>
    <cfRule type="cellIs" dxfId="1484" priority="201" operator="greaterThan">
      <formula>$C17</formula>
    </cfRule>
    <cfRule type="cellIs" dxfId="1483" priority="202" operator="lessThan">
      <formula>$C17</formula>
    </cfRule>
  </conditionalFormatting>
  <conditionalFormatting sqref="Z18:AA18">
    <cfRule type="expression" dxfId="1482" priority="199">
      <formula>AND($A18&lt;&gt;"",MOD(ROW(),2))</formula>
    </cfRule>
  </conditionalFormatting>
  <conditionalFormatting sqref="Z18">
    <cfRule type="cellIs" dxfId="1481" priority="196" operator="equal">
      <formula>$C18</formula>
    </cfRule>
    <cfRule type="cellIs" dxfId="1480" priority="197" operator="greaterThan">
      <formula>$C18</formula>
    </cfRule>
    <cfRule type="cellIs" dxfId="1479" priority="198" operator="lessThan">
      <formula>$C18</formula>
    </cfRule>
  </conditionalFormatting>
  <conditionalFormatting sqref="AB7:AB19">
    <cfRule type="containsText" dxfId="1478" priority="194" operator="containsText" text="Unpaid Rent">
      <formula>NOT(ISERROR(SEARCH("Unpaid Rent",AB7)))</formula>
    </cfRule>
    <cfRule type="containsText" dxfId="1477" priority="195" stopIfTrue="1" operator="containsText" text="Closed Account">
      <formula>NOT(ISERROR(SEARCH("Closed Account",AB7)))</formula>
    </cfRule>
  </conditionalFormatting>
  <conditionalFormatting sqref="AB19:AB23">
    <cfRule type="containsText" dxfId="1476" priority="192" operator="containsText" text="Unpaid Rent">
      <formula>NOT(ISERROR(SEARCH("Unpaid Rent",AB19)))</formula>
    </cfRule>
    <cfRule type="containsText" dxfId="1475" priority="193" stopIfTrue="1" operator="containsText" text="Closed Account">
      <formula>NOT(ISERROR(SEARCH("Closed Account",AB19)))</formula>
    </cfRule>
  </conditionalFormatting>
  <conditionalFormatting sqref="Z19:AA19">
    <cfRule type="expression" dxfId="1474" priority="191">
      <formula>AND($A19&lt;&gt;"",MOD(ROW(),2))</formula>
    </cfRule>
  </conditionalFormatting>
  <conditionalFormatting sqref="Z19">
    <cfRule type="cellIs" dxfId="1473" priority="188" operator="equal">
      <formula>$C19</formula>
    </cfRule>
    <cfRule type="cellIs" dxfId="1472" priority="189" operator="greaterThan">
      <formula>$C19</formula>
    </cfRule>
    <cfRule type="cellIs" dxfId="1471" priority="190" operator="lessThan">
      <formula>$C19</formula>
    </cfRule>
  </conditionalFormatting>
  <conditionalFormatting sqref="Z20:AA20">
    <cfRule type="expression" dxfId="1470" priority="187">
      <formula>AND($A20&lt;&gt;"",MOD(ROW(),2))</formula>
    </cfRule>
  </conditionalFormatting>
  <conditionalFormatting sqref="Z20">
    <cfRule type="cellIs" dxfId="1469" priority="184" operator="equal">
      <formula>$C20</formula>
    </cfRule>
    <cfRule type="cellIs" dxfId="1468" priority="185" operator="greaterThan">
      <formula>$C20</formula>
    </cfRule>
    <cfRule type="cellIs" dxfId="1467" priority="186" operator="lessThan">
      <formula>$C20</formula>
    </cfRule>
  </conditionalFormatting>
  <conditionalFormatting sqref="Z21:AA21">
    <cfRule type="expression" dxfId="1466" priority="183">
      <formula>AND($A21&lt;&gt;"",MOD(ROW(),2))</formula>
    </cfRule>
  </conditionalFormatting>
  <conditionalFormatting sqref="Z21">
    <cfRule type="cellIs" dxfId="1465" priority="180" operator="equal">
      <formula>$C21</formula>
    </cfRule>
    <cfRule type="cellIs" dxfId="1464" priority="181" operator="greaterThan">
      <formula>$C21</formula>
    </cfRule>
    <cfRule type="cellIs" dxfId="1463" priority="182" operator="lessThan">
      <formula>$C21</formula>
    </cfRule>
  </conditionalFormatting>
  <conditionalFormatting sqref="AC7:AC10">
    <cfRule type="expression" dxfId="1462" priority="179">
      <formula>AND($A7&lt;&gt;"",MOD(ROW(),2))</formula>
    </cfRule>
  </conditionalFormatting>
  <conditionalFormatting sqref="Z8:AA8">
    <cfRule type="expression" dxfId="1461" priority="178">
      <formula>AND($A8&lt;&gt;"",MOD(ROW(),2))</formula>
    </cfRule>
  </conditionalFormatting>
  <conditionalFormatting sqref="Z8">
    <cfRule type="cellIs" dxfId="1460" priority="175" operator="equal">
      <formula>$C8</formula>
    </cfRule>
    <cfRule type="cellIs" dxfId="1459" priority="176" operator="greaterThan">
      <formula>$C8</formula>
    </cfRule>
    <cfRule type="cellIs" dxfId="1458" priority="177" operator="lessThan">
      <formula>$C8</formula>
    </cfRule>
  </conditionalFormatting>
  <conditionalFormatting sqref="Z9:AA9">
    <cfRule type="expression" dxfId="1457" priority="174">
      <formula>AND($A9&lt;&gt;"",MOD(ROW(),2))</formula>
    </cfRule>
  </conditionalFormatting>
  <conditionalFormatting sqref="Z9">
    <cfRule type="cellIs" dxfId="1456" priority="171" operator="equal">
      <formula>$C9</formula>
    </cfRule>
    <cfRule type="cellIs" dxfId="1455" priority="172" operator="greaterThan">
      <formula>$C9</formula>
    </cfRule>
    <cfRule type="cellIs" dxfId="1454" priority="173" operator="lessThan">
      <formula>$C9</formula>
    </cfRule>
  </conditionalFormatting>
  <conditionalFormatting sqref="Z10:AA10">
    <cfRule type="expression" dxfId="1453" priority="170">
      <formula>AND($A10&lt;&gt;"",MOD(ROW(),2))</formula>
    </cfRule>
  </conditionalFormatting>
  <conditionalFormatting sqref="Z10">
    <cfRule type="cellIs" dxfId="1452" priority="167" operator="equal">
      <formula>$C10</formula>
    </cfRule>
    <cfRule type="cellIs" dxfId="1451" priority="168" operator="greaterThan">
      <formula>$C10</formula>
    </cfRule>
    <cfRule type="cellIs" dxfId="1450" priority="169" operator="lessThan">
      <formula>$C10</formula>
    </cfRule>
  </conditionalFormatting>
  <conditionalFormatting sqref="Z11:AA11">
    <cfRule type="expression" dxfId="1449" priority="166">
      <formula>AND($A11&lt;&gt;"",MOD(ROW(),2))</formula>
    </cfRule>
  </conditionalFormatting>
  <conditionalFormatting sqref="Z11">
    <cfRule type="cellIs" dxfId="1448" priority="163" operator="equal">
      <formula>$C11</formula>
    </cfRule>
    <cfRule type="cellIs" dxfId="1447" priority="164" operator="greaterThan">
      <formula>$C11</formula>
    </cfRule>
    <cfRule type="cellIs" dxfId="1446" priority="165" operator="lessThan">
      <formula>$C11</formula>
    </cfRule>
  </conditionalFormatting>
  <conditionalFormatting sqref="Z12:AA12">
    <cfRule type="expression" dxfId="1445" priority="162">
      <formula>AND($A12&lt;&gt;"",MOD(ROW(),2))</formula>
    </cfRule>
  </conditionalFormatting>
  <conditionalFormatting sqref="Z12">
    <cfRule type="cellIs" dxfId="1444" priority="159" operator="equal">
      <formula>$C12</formula>
    </cfRule>
    <cfRule type="cellIs" dxfId="1443" priority="160" operator="greaterThan">
      <formula>$C12</formula>
    </cfRule>
    <cfRule type="cellIs" dxfId="1442" priority="161" operator="lessThan">
      <formula>$C12</formula>
    </cfRule>
  </conditionalFormatting>
  <conditionalFormatting sqref="Z13:AA13">
    <cfRule type="expression" dxfId="1441" priority="158">
      <formula>AND($A13&lt;&gt;"",MOD(ROW(),2))</formula>
    </cfRule>
  </conditionalFormatting>
  <conditionalFormatting sqref="Z13">
    <cfRule type="cellIs" dxfId="1440" priority="155" operator="equal">
      <formula>$C13</formula>
    </cfRule>
    <cfRule type="cellIs" dxfId="1439" priority="156" operator="greaterThan">
      <formula>$C13</formula>
    </cfRule>
    <cfRule type="cellIs" dxfId="1438" priority="157" operator="lessThan">
      <formula>$C13</formula>
    </cfRule>
  </conditionalFormatting>
  <conditionalFormatting sqref="Z14:AA14">
    <cfRule type="expression" dxfId="1437" priority="154">
      <formula>AND($A14&lt;&gt;"",MOD(ROW(),2))</formula>
    </cfRule>
  </conditionalFormatting>
  <conditionalFormatting sqref="Z14">
    <cfRule type="cellIs" dxfId="1436" priority="151" operator="equal">
      <formula>$C14</formula>
    </cfRule>
    <cfRule type="cellIs" dxfId="1435" priority="152" operator="greaterThan">
      <formula>$C14</formula>
    </cfRule>
    <cfRule type="cellIs" dxfId="1434" priority="153" operator="lessThan">
      <formula>$C14</formula>
    </cfRule>
  </conditionalFormatting>
  <conditionalFormatting sqref="Z15:AA15">
    <cfRule type="expression" dxfId="1433" priority="150">
      <formula>AND($A15&lt;&gt;"",MOD(ROW(),2))</formula>
    </cfRule>
  </conditionalFormatting>
  <conditionalFormatting sqref="Z15">
    <cfRule type="cellIs" dxfId="1432" priority="147" operator="equal">
      <formula>$C15</formula>
    </cfRule>
    <cfRule type="cellIs" dxfId="1431" priority="148" operator="greaterThan">
      <formula>$C15</formula>
    </cfRule>
    <cfRule type="cellIs" dxfId="1430" priority="149" operator="lessThan">
      <formula>$C15</formula>
    </cfRule>
  </conditionalFormatting>
  <conditionalFormatting sqref="Z16:AA16">
    <cfRule type="expression" dxfId="1429" priority="146">
      <formula>AND($A16&lt;&gt;"",MOD(ROW(),2))</formula>
    </cfRule>
  </conditionalFormatting>
  <conditionalFormatting sqref="Z16">
    <cfRule type="cellIs" dxfId="1428" priority="143" operator="equal">
      <formula>$C16</formula>
    </cfRule>
    <cfRule type="cellIs" dxfId="1427" priority="144" operator="greaterThan">
      <formula>$C16</formula>
    </cfRule>
    <cfRule type="cellIs" dxfId="1426" priority="145" operator="lessThan">
      <formula>$C16</formula>
    </cfRule>
  </conditionalFormatting>
  <conditionalFormatting sqref="Z17:AA17">
    <cfRule type="expression" dxfId="1425" priority="142">
      <formula>AND($A17&lt;&gt;"",MOD(ROW(),2))</formula>
    </cfRule>
  </conditionalFormatting>
  <conditionalFormatting sqref="Z17">
    <cfRule type="cellIs" dxfId="1424" priority="139" operator="equal">
      <formula>$C17</formula>
    </cfRule>
    <cfRule type="cellIs" dxfId="1423" priority="140" operator="greaterThan">
      <formula>$C17</formula>
    </cfRule>
    <cfRule type="cellIs" dxfId="1422" priority="141" operator="lessThan">
      <formula>$C17</formula>
    </cfRule>
  </conditionalFormatting>
  <conditionalFormatting sqref="Z18:AA18">
    <cfRule type="expression" dxfId="1421" priority="138">
      <formula>AND($A18&lt;&gt;"",MOD(ROW(),2))</formula>
    </cfRule>
  </conditionalFormatting>
  <conditionalFormatting sqref="Z18">
    <cfRule type="cellIs" dxfId="1420" priority="135" operator="equal">
      <formula>$C18</formula>
    </cfRule>
    <cfRule type="cellIs" dxfId="1419" priority="136" operator="greaterThan">
      <formula>$C18</formula>
    </cfRule>
    <cfRule type="cellIs" dxfId="1418" priority="137" operator="lessThan">
      <formula>$C18</formula>
    </cfRule>
  </conditionalFormatting>
  <conditionalFormatting sqref="Z19:AA19">
    <cfRule type="expression" dxfId="1417" priority="134">
      <formula>AND($A19&lt;&gt;"",MOD(ROW(),2))</formula>
    </cfRule>
  </conditionalFormatting>
  <conditionalFormatting sqref="Z19">
    <cfRule type="cellIs" dxfId="1416" priority="131" operator="equal">
      <formula>$C19</formula>
    </cfRule>
    <cfRule type="cellIs" dxfId="1415" priority="132" operator="greaterThan">
      <formula>$C19</formula>
    </cfRule>
    <cfRule type="cellIs" dxfId="1414" priority="133" operator="lessThan">
      <formula>$C19</formula>
    </cfRule>
  </conditionalFormatting>
  <conditionalFormatting sqref="D8:E8">
    <cfRule type="expression" dxfId="1413" priority="130">
      <formula>AND($A8&lt;&gt;"",MOD(ROW(),2))</formula>
    </cfRule>
  </conditionalFormatting>
  <conditionalFormatting sqref="D8">
    <cfRule type="cellIs" dxfId="1412" priority="127" operator="equal">
      <formula>$C8</formula>
    </cfRule>
    <cfRule type="cellIs" dxfId="1411" priority="128" operator="greaterThan">
      <formula>$C8</formula>
    </cfRule>
    <cfRule type="cellIs" dxfId="1410" priority="129" operator="lessThan">
      <formula>$C8</formula>
    </cfRule>
  </conditionalFormatting>
  <conditionalFormatting sqref="D9:E9">
    <cfRule type="expression" dxfId="1409" priority="126">
      <formula>AND($A9&lt;&gt;"",MOD(ROW(),2))</formula>
    </cfRule>
  </conditionalFormatting>
  <conditionalFormatting sqref="D9">
    <cfRule type="cellIs" dxfId="1408" priority="123" operator="equal">
      <formula>$C9</formula>
    </cfRule>
    <cfRule type="cellIs" dxfId="1407" priority="124" operator="greaterThan">
      <formula>$C9</formula>
    </cfRule>
    <cfRule type="cellIs" dxfId="1406" priority="125" operator="lessThan">
      <formula>$C9</formula>
    </cfRule>
  </conditionalFormatting>
  <conditionalFormatting sqref="D10:E10">
    <cfRule type="expression" dxfId="1405" priority="122">
      <formula>AND($A10&lt;&gt;"",MOD(ROW(),2))</formula>
    </cfRule>
  </conditionalFormatting>
  <conditionalFormatting sqref="D10">
    <cfRule type="cellIs" dxfId="1404" priority="119" operator="equal">
      <formula>$C10</formula>
    </cfRule>
    <cfRule type="cellIs" dxfId="1403" priority="120" operator="greaterThan">
      <formula>$C10</formula>
    </cfRule>
    <cfRule type="cellIs" dxfId="1402" priority="121" operator="lessThan">
      <formula>$C10</formula>
    </cfRule>
  </conditionalFormatting>
  <conditionalFormatting sqref="D11:E11">
    <cfRule type="expression" dxfId="1401" priority="118">
      <formula>AND($A11&lt;&gt;"",MOD(ROW(),2))</formula>
    </cfRule>
  </conditionalFormatting>
  <conditionalFormatting sqref="D11">
    <cfRule type="cellIs" dxfId="1400" priority="115" operator="equal">
      <formula>$C11</formula>
    </cfRule>
    <cfRule type="cellIs" dxfId="1399" priority="116" operator="greaterThan">
      <formula>$C11</formula>
    </cfRule>
    <cfRule type="cellIs" dxfId="1398" priority="117" operator="lessThan">
      <formula>$C11</formula>
    </cfRule>
  </conditionalFormatting>
  <conditionalFormatting sqref="D12:E12">
    <cfRule type="expression" dxfId="1397" priority="114">
      <formula>AND($A12&lt;&gt;"",MOD(ROW(),2))</formula>
    </cfRule>
  </conditionalFormatting>
  <conditionalFormatting sqref="D12">
    <cfRule type="cellIs" dxfId="1396" priority="111" operator="equal">
      <formula>$C12</formula>
    </cfRule>
    <cfRule type="cellIs" dxfId="1395" priority="112" operator="greaterThan">
      <formula>$C12</formula>
    </cfRule>
    <cfRule type="cellIs" dxfId="1394" priority="113" operator="lessThan">
      <formula>$C12</formula>
    </cfRule>
  </conditionalFormatting>
  <conditionalFormatting sqref="D13:E13">
    <cfRule type="expression" dxfId="1393" priority="110">
      <formula>AND($A13&lt;&gt;"",MOD(ROW(),2))</formula>
    </cfRule>
  </conditionalFormatting>
  <conditionalFormatting sqref="D13">
    <cfRule type="cellIs" dxfId="1392" priority="107" operator="equal">
      <formula>$C13</formula>
    </cfRule>
    <cfRule type="cellIs" dxfId="1391" priority="108" operator="greaterThan">
      <formula>$C13</formula>
    </cfRule>
    <cfRule type="cellIs" dxfId="1390" priority="109" operator="lessThan">
      <formula>$C13</formula>
    </cfRule>
  </conditionalFormatting>
  <conditionalFormatting sqref="D14:E14">
    <cfRule type="expression" dxfId="1389" priority="106">
      <formula>AND($A14&lt;&gt;"",MOD(ROW(),2))</formula>
    </cfRule>
  </conditionalFormatting>
  <conditionalFormatting sqref="D14">
    <cfRule type="cellIs" dxfId="1388" priority="103" operator="equal">
      <formula>$C14</formula>
    </cfRule>
    <cfRule type="cellIs" dxfId="1387" priority="104" operator="greaterThan">
      <formula>$C14</formula>
    </cfRule>
    <cfRule type="cellIs" dxfId="1386" priority="105" operator="lessThan">
      <formula>$C14</formula>
    </cfRule>
  </conditionalFormatting>
  <conditionalFormatting sqref="D15:E15">
    <cfRule type="expression" dxfId="1385" priority="102">
      <formula>AND($A15&lt;&gt;"",MOD(ROW(),2))</formula>
    </cfRule>
  </conditionalFormatting>
  <conditionalFormatting sqref="D15">
    <cfRule type="cellIs" dxfId="1384" priority="99" operator="equal">
      <formula>$C15</formula>
    </cfRule>
    <cfRule type="cellIs" dxfId="1383" priority="100" operator="greaterThan">
      <formula>$C15</formula>
    </cfRule>
    <cfRule type="cellIs" dxfId="1382" priority="101" operator="lessThan">
      <formula>$C15</formula>
    </cfRule>
  </conditionalFormatting>
  <conditionalFormatting sqref="D16:E16">
    <cfRule type="expression" dxfId="1381" priority="98">
      <formula>AND($A16&lt;&gt;"",MOD(ROW(),2))</formula>
    </cfRule>
  </conditionalFormatting>
  <conditionalFormatting sqref="D16">
    <cfRule type="cellIs" dxfId="1380" priority="95" operator="equal">
      <formula>$C16</formula>
    </cfRule>
    <cfRule type="cellIs" dxfId="1379" priority="96" operator="greaterThan">
      <formula>$C16</formula>
    </cfRule>
    <cfRule type="cellIs" dxfId="1378" priority="97" operator="lessThan">
      <formula>$C16</formula>
    </cfRule>
  </conditionalFormatting>
  <conditionalFormatting sqref="D17:E17">
    <cfRule type="expression" dxfId="1377" priority="94">
      <formula>AND($A17&lt;&gt;"",MOD(ROW(),2))</formula>
    </cfRule>
  </conditionalFormatting>
  <conditionalFormatting sqref="D17">
    <cfRule type="cellIs" dxfId="1376" priority="91" operator="equal">
      <formula>$C17</formula>
    </cfRule>
    <cfRule type="cellIs" dxfId="1375" priority="92" operator="greaterThan">
      <formula>$C17</formula>
    </cfRule>
    <cfRule type="cellIs" dxfId="1374" priority="93" operator="lessThan">
      <formula>$C17</formula>
    </cfRule>
  </conditionalFormatting>
  <conditionalFormatting sqref="D18:E18">
    <cfRule type="expression" dxfId="1373" priority="90">
      <formula>AND($A18&lt;&gt;"",MOD(ROW(),2))</formula>
    </cfRule>
  </conditionalFormatting>
  <conditionalFormatting sqref="D18">
    <cfRule type="cellIs" dxfId="1372" priority="87" operator="equal">
      <formula>$C18</formula>
    </cfRule>
    <cfRule type="cellIs" dxfId="1371" priority="88" operator="greaterThan">
      <formula>$C18</formula>
    </cfRule>
    <cfRule type="cellIs" dxfId="1370" priority="89" operator="lessThan">
      <formula>$C18</formula>
    </cfRule>
  </conditionalFormatting>
  <conditionalFormatting sqref="D19:E19">
    <cfRule type="expression" dxfId="1369" priority="86">
      <formula>AND($A19&lt;&gt;"",MOD(ROW(),2))</formula>
    </cfRule>
  </conditionalFormatting>
  <conditionalFormatting sqref="D19">
    <cfRule type="cellIs" dxfId="1368" priority="83" operator="equal">
      <formula>$C19</formula>
    </cfRule>
    <cfRule type="cellIs" dxfId="1367" priority="84" operator="greaterThan">
      <formula>$C19</formula>
    </cfRule>
    <cfRule type="cellIs" dxfId="1366" priority="85" operator="lessThan">
      <formula>$C19</formula>
    </cfRule>
  </conditionalFormatting>
  <conditionalFormatting sqref="D20:E20">
    <cfRule type="expression" dxfId="1365" priority="82">
      <formula>AND($A20&lt;&gt;"",MOD(ROW(),2))</formula>
    </cfRule>
  </conditionalFormatting>
  <conditionalFormatting sqref="D20">
    <cfRule type="cellIs" dxfId="1364" priority="79" operator="equal">
      <formula>$C20</formula>
    </cfRule>
    <cfRule type="cellIs" dxfId="1363" priority="80" operator="greaterThan">
      <formula>$C20</formula>
    </cfRule>
    <cfRule type="cellIs" dxfId="1362" priority="81" operator="lessThan">
      <formula>$C20</formula>
    </cfRule>
  </conditionalFormatting>
  <conditionalFormatting sqref="D21:E21">
    <cfRule type="expression" dxfId="1361" priority="78">
      <formula>AND($A21&lt;&gt;"",MOD(ROW(),2))</formula>
    </cfRule>
  </conditionalFormatting>
  <conditionalFormatting sqref="D21">
    <cfRule type="cellIs" dxfId="1360" priority="75" operator="equal">
      <formula>$C21</formula>
    </cfRule>
    <cfRule type="cellIs" dxfId="1359" priority="76" operator="greaterThan">
      <formula>$C21</formula>
    </cfRule>
    <cfRule type="cellIs" dxfId="1358" priority="77" operator="lessThan">
      <formula>$C21</formula>
    </cfRule>
  </conditionalFormatting>
  <conditionalFormatting sqref="D22:E22">
    <cfRule type="expression" dxfId="1357" priority="74">
      <formula>AND($A22&lt;&gt;"",MOD(ROW(),2))</formula>
    </cfRule>
  </conditionalFormatting>
  <conditionalFormatting sqref="D22">
    <cfRule type="cellIs" dxfId="1356" priority="71" operator="equal">
      <formula>$C22</formula>
    </cfRule>
    <cfRule type="cellIs" dxfId="1355" priority="72" operator="greaterThan">
      <formula>$C22</formula>
    </cfRule>
    <cfRule type="cellIs" dxfId="1354" priority="73" operator="lessThan">
      <formula>$C22</formula>
    </cfRule>
  </conditionalFormatting>
  <conditionalFormatting sqref="D23:E23">
    <cfRule type="expression" dxfId="1353" priority="70">
      <formula>AND($A23&lt;&gt;"",MOD(ROW(),2))</formula>
    </cfRule>
  </conditionalFormatting>
  <conditionalFormatting sqref="D23">
    <cfRule type="cellIs" dxfId="1352" priority="67" operator="equal">
      <formula>$C23</formula>
    </cfRule>
    <cfRule type="cellIs" dxfId="1351" priority="68" operator="greaterThan">
      <formula>$C23</formula>
    </cfRule>
    <cfRule type="cellIs" dxfId="1350" priority="69" operator="lessThan">
      <formula>$C23</formula>
    </cfRule>
  </conditionalFormatting>
  <conditionalFormatting sqref="D24:E24">
    <cfRule type="expression" dxfId="1349" priority="66">
      <formula>AND($A24&lt;&gt;"",MOD(ROW(),2))</formula>
    </cfRule>
  </conditionalFormatting>
  <conditionalFormatting sqref="D24">
    <cfRule type="cellIs" dxfId="1348" priority="63" operator="equal">
      <formula>$C24</formula>
    </cfRule>
    <cfRule type="cellIs" dxfId="1347" priority="64" operator="greaterThan">
      <formula>$C24</formula>
    </cfRule>
    <cfRule type="cellIs" dxfId="1346" priority="65" operator="lessThan">
      <formula>$C24</formula>
    </cfRule>
  </conditionalFormatting>
  <conditionalFormatting sqref="D25:E25">
    <cfRule type="expression" dxfId="1345" priority="62">
      <formula>AND($A25&lt;&gt;"",MOD(ROW(),2))</formula>
    </cfRule>
  </conditionalFormatting>
  <conditionalFormatting sqref="D25">
    <cfRule type="cellIs" dxfId="1344" priority="59" operator="equal">
      <formula>$C25</formula>
    </cfRule>
    <cfRule type="cellIs" dxfId="1343" priority="60" operator="greaterThan">
      <formula>$C25</formula>
    </cfRule>
    <cfRule type="cellIs" dxfId="1342" priority="61" operator="lessThan">
      <formula>$C25</formula>
    </cfRule>
  </conditionalFormatting>
  <conditionalFormatting sqref="E26">
    <cfRule type="expression" dxfId="1341" priority="58">
      <formula>AND($A26&lt;&gt;"",MOD(ROW(),2))</formula>
    </cfRule>
  </conditionalFormatting>
  <conditionalFormatting sqref="E27">
    <cfRule type="expression" dxfId="1340" priority="57">
      <formula>AND($A27&lt;&gt;"",MOD(ROW(),2))</formula>
    </cfRule>
  </conditionalFormatting>
  <conditionalFormatting sqref="E28">
    <cfRule type="expression" dxfId="1339" priority="56">
      <formula>AND($A28&lt;&gt;"",MOD(ROW(),2))</formula>
    </cfRule>
  </conditionalFormatting>
  <conditionalFormatting sqref="E29">
    <cfRule type="expression" dxfId="1338" priority="55">
      <formula>AND($A29&lt;&gt;"",MOD(ROW(),2))</formula>
    </cfRule>
  </conditionalFormatting>
  <conditionalFormatting sqref="E30">
    <cfRule type="expression" dxfId="1337" priority="54">
      <formula>AND($A30&lt;&gt;"",MOD(ROW(),2))</formula>
    </cfRule>
  </conditionalFormatting>
  <conditionalFormatting sqref="E31">
    <cfRule type="expression" dxfId="1336" priority="53">
      <formula>AND($A31&lt;&gt;"",MOD(ROW(),2))</formula>
    </cfRule>
  </conditionalFormatting>
  <conditionalFormatting sqref="E32">
    <cfRule type="expression" dxfId="1335" priority="52">
      <formula>AND($A32&lt;&gt;"",MOD(ROW(),2))</formula>
    </cfRule>
  </conditionalFormatting>
  <conditionalFormatting sqref="E33">
    <cfRule type="expression" dxfId="1334" priority="51">
      <formula>AND($A33&lt;&gt;"",MOD(ROW(),2))</formula>
    </cfRule>
  </conditionalFormatting>
  <conditionalFormatting sqref="E34">
    <cfRule type="expression" dxfId="1333" priority="50">
      <formula>AND($A34&lt;&gt;"",MOD(ROW(),2))</formula>
    </cfRule>
  </conditionalFormatting>
  <conditionalFormatting sqref="E35">
    <cfRule type="expression" dxfId="1332" priority="49">
      <formula>AND($A35&lt;&gt;"",MOD(ROW(),2))</formula>
    </cfRule>
  </conditionalFormatting>
  <conditionalFormatting sqref="E36">
    <cfRule type="expression" dxfId="1331" priority="48">
      <formula>AND($A36&lt;&gt;"",MOD(ROW(),2))</formula>
    </cfRule>
  </conditionalFormatting>
  <conditionalFormatting sqref="AD22:AF22">
    <cfRule type="expression" dxfId="1330" priority="45">
      <formula>AND($A22&lt;&gt;"",MOD(ROW(),2))</formula>
    </cfRule>
  </conditionalFormatting>
  <conditionalFormatting sqref="Y22">
    <cfRule type="expression" dxfId="1329" priority="44">
      <formula>AND($A22&lt;&gt;"",MOD(ROW(),2))</formula>
    </cfRule>
  </conditionalFormatting>
  <conditionalFormatting sqref="Z22">
    <cfRule type="expression" dxfId="1328" priority="43">
      <formula>AND($A22&lt;&gt;"",MOD(ROW(),2))</formula>
    </cfRule>
  </conditionalFormatting>
  <conditionalFormatting sqref="Z22">
    <cfRule type="cellIs" dxfId="1327" priority="40" operator="equal">
      <formula>$C22</formula>
    </cfRule>
    <cfRule type="cellIs" dxfId="1326" priority="41" operator="greaterThan">
      <formula>$C22</formula>
    </cfRule>
    <cfRule type="cellIs" dxfId="1325" priority="42" operator="lessThan">
      <formula>$C22</formula>
    </cfRule>
  </conditionalFormatting>
  <conditionalFormatting sqref="AD23:AF24">
    <cfRule type="expression" dxfId="1324" priority="39">
      <formula>AND($A23&lt;&gt;"",MOD(ROW(),2))</formula>
    </cfRule>
  </conditionalFormatting>
  <conditionalFormatting sqref="Y23">
    <cfRule type="expression" dxfId="1323" priority="38">
      <formula>AND($A23&lt;&gt;"",MOD(ROW(),2))</formula>
    </cfRule>
  </conditionalFormatting>
  <conditionalFormatting sqref="Z23">
    <cfRule type="expression" dxfId="1322" priority="37">
      <formula>AND($A23&lt;&gt;"",MOD(ROW(),2))</formula>
    </cfRule>
  </conditionalFormatting>
  <conditionalFormatting sqref="Z23">
    <cfRule type="cellIs" dxfId="1321" priority="34" operator="equal">
      <formula>$C23</formula>
    </cfRule>
    <cfRule type="cellIs" dxfId="1320" priority="35" operator="greaterThan">
      <formula>$C23</formula>
    </cfRule>
    <cfRule type="cellIs" dxfId="1319" priority="36" operator="lessThan">
      <formula>$C23</formula>
    </cfRule>
  </conditionalFormatting>
  <conditionalFormatting sqref="L37">
    <cfRule type="expression" dxfId="1318" priority="33">
      <formula>AND($A37&lt;&gt;"",MOD(ROW(),2))</formula>
    </cfRule>
  </conditionalFormatting>
  <conditionalFormatting sqref="L38">
    <cfRule type="expression" dxfId="1317" priority="32">
      <formula>AND($A38&lt;&gt;"",MOD(ROW(),2))</formula>
    </cfRule>
  </conditionalFormatting>
  <conditionalFormatting sqref="L39:L40">
    <cfRule type="expression" dxfId="1316" priority="31">
      <formula>AND($A39&lt;&gt;"",MOD(ROW(),2))</formula>
    </cfRule>
  </conditionalFormatting>
  <conditionalFormatting sqref="N38:N40">
    <cfRule type="expression" dxfId="1315" priority="30">
      <formula>AND($A38&lt;&gt;"",MOD(ROW(),2))</formula>
    </cfRule>
  </conditionalFormatting>
  <conditionalFormatting sqref="N38:N40">
    <cfRule type="expression" dxfId="1314" priority="29">
      <formula>AND(#REF!&lt;&gt;"",MOD(ROW(),2))</formula>
    </cfRule>
  </conditionalFormatting>
  <conditionalFormatting sqref="N38:N40">
    <cfRule type="expression" dxfId="1313" priority="28">
      <formula>AND(#REF!&lt;&gt;"",MOD(ROW(),2))</formula>
    </cfRule>
  </conditionalFormatting>
  <conditionalFormatting sqref="N38:N40">
    <cfRule type="cellIs" dxfId="1312" priority="25" operator="equal">
      <formula>#REF!</formula>
    </cfRule>
    <cfRule type="cellIs" dxfId="1311" priority="26" operator="greaterThan">
      <formula>#REF!</formula>
    </cfRule>
    <cfRule type="cellIs" dxfId="1310" priority="27" operator="lessThan">
      <formula>#REF!</formula>
    </cfRule>
  </conditionalFormatting>
  <conditionalFormatting sqref="O38:O40">
    <cfRule type="expression" dxfId="1309" priority="24">
      <formula>AND($A38&lt;&gt;"",MOD(ROW(),2))</formula>
    </cfRule>
  </conditionalFormatting>
  <conditionalFormatting sqref="W24">
    <cfRule type="expression" dxfId="1308" priority="23">
      <formula>AND($A24&lt;&gt;"",MOD(ROW(),2))</formula>
    </cfRule>
  </conditionalFormatting>
  <conditionalFormatting sqref="Y24">
    <cfRule type="expression" dxfId="1307" priority="22">
      <formula>AND($A24&lt;&gt;"",MOD(ROW(),2))</formula>
    </cfRule>
  </conditionalFormatting>
  <conditionalFormatting sqref="Z24">
    <cfRule type="expression" dxfId="1306" priority="21">
      <formula>AND($A24&lt;&gt;"",MOD(ROW(),2))</formula>
    </cfRule>
  </conditionalFormatting>
  <conditionalFormatting sqref="Z24">
    <cfRule type="cellIs" dxfId="1305" priority="18" operator="equal">
      <formula>$C24</formula>
    </cfRule>
    <cfRule type="cellIs" dxfId="1304" priority="19" operator="greaterThan">
      <formula>$C24</formula>
    </cfRule>
    <cfRule type="cellIs" dxfId="1303" priority="20" operator="lessThan">
      <formula>$C24</formula>
    </cfRule>
  </conditionalFormatting>
  <conditionalFormatting sqref="C68:D68">
    <cfRule type="expression" dxfId="1302" priority="17">
      <formula>AND($A68&lt;&gt;"",MOD(ROW(),2))</formula>
    </cfRule>
  </conditionalFormatting>
  <conditionalFormatting sqref="C69:D69">
    <cfRule type="expression" dxfId="1301" priority="16">
      <formula>AND($A69&lt;&gt;"",MOD(ROW(),2))</formula>
    </cfRule>
  </conditionalFormatting>
  <conditionalFormatting sqref="C70:D70">
    <cfRule type="expression" dxfId="1300" priority="15">
      <formula>AND($A70&lt;&gt;"",MOD(ROW(),2))</formula>
    </cfRule>
  </conditionalFormatting>
  <conditionalFormatting sqref="C71:D71">
    <cfRule type="expression" dxfId="1299" priority="14">
      <formula>AND($A71&lt;&gt;"",MOD(ROW(),2))</formula>
    </cfRule>
  </conditionalFormatting>
  <conditionalFormatting sqref="C72:D73">
    <cfRule type="expression" dxfId="1298" priority="13">
      <formula>AND($A72&lt;&gt;"",MOD(ROW(),2))</formula>
    </cfRule>
  </conditionalFormatting>
  <conditionalFormatting sqref="C74:D74">
    <cfRule type="expression" dxfId="1297" priority="12">
      <formula>AND($A74&lt;&gt;"",MOD(ROW(),2))</formula>
    </cfRule>
  </conditionalFormatting>
  <conditionalFormatting sqref="C75:D75">
    <cfRule type="expression" dxfId="1296" priority="11">
      <formula>AND($A75&lt;&gt;"",MOD(ROW(),2))</formula>
    </cfRule>
  </conditionalFormatting>
  <conditionalFormatting sqref="C76:D76">
    <cfRule type="expression" dxfId="1295" priority="10">
      <formula>AND($A76&lt;&gt;"",MOD(ROW(),2))</formula>
    </cfRule>
  </conditionalFormatting>
  <conditionalFormatting sqref="C77:D77">
    <cfRule type="expression" dxfId="1294" priority="6">
      <formula>AND($A77&lt;&gt;"",MOD(ROW(),2))</formula>
    </cfRule>
  </conditionalFormatting>
  <conditionalFormatting sqref="C78:D78">
    <cfRule type="expression" dxfId="1293" priority="5">
      <formula>AND($A78&lt;&gt;"",MOD(ROW(),2))</formula>
    </cfRule>
  </conditionalFormatting>
  <conditionalFormatting sqref="C79:D79">
    <cfRule type="expression" dxfId="1292" priority="4">
      <formula>AND($A79&lt;&gt;"",MOD(ROW(),2))</formula>
    </cfRule>
  </conditionalFormatting>
  <conditionalFormatting sqref="C80:D80">
    <cfRule type="expression" dxfId="1291" priority="3">
      <formula>AND($A80&lt;&gt;"",MOD(ROW(),2))</formula>
    </cfRule>
  </conditionalFormatting>
  <conditionalFormatting sqref="C81:D81">
    <cfRule type="expression" dxfId="1290" priority="2">
      <formula>AND($A81&lt;&gt;"",MOD(ROW(),2))</formula>
    </cfRule>
  </conditionalFormatting>
  <conditionalFormatting sqref="C82:D82">
    <cfRule type="expression" dxfId="1289" priority="1">
      <formula>AND($A82&lt;&gt;"",MOD(ROW(),2))</formula>
    </cfRule>
  </conditionalFormatting>
  <pageMargins left="0.74803149606299213" right="0.74803149606299213" top="0.19685039370078741" bottom="0.19685039370078741" header="0.11811023622047245" footer="0.11811023622047245"/>
  <pageSetup paperSize="9" orientation="portrait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Payment Method" xr:uid="{00000000-0002-0000-1B00-000000000000}">
          <x14:formula1>
            <xm:f>PullDownValues!$B$2:$B$12</xm:f>
          </x14:formula1>
          <xm:sqref>AB7:AB21 Q7:Q34 F7:F289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D153"/>
  <sheetViews>
    <sheetView tabSelected="1" zoomScaleNormal="100" workbookViewId="0">
      <pane xSplit="3" ySplit="3" topLeftCell="D4" activePane="bottomRight" state="frozen"/>
      <selection pane="topRight" activeCell="D1" sqref="D1"/>
      <selection pane="bottomLeft" activeCell="A5" sqref="A5"/>
      <selection pane="bottomRight" activeCell="B4" sqref="B4"/>
    </sheetView>
  </sheetViews>
  <sheetFormatPr defaultColWidth="8.85546875" defaultRowHeight="15" customHeight="1" x14ac:dyDescent="0.25"/>
  <cols>
    <col min="1" max="1" width="4.42578125" style="10" bestFit="1" customWidth="1"/>
    <col min="2" max="2" width="18.140625" customWidth="1"/>
    <col min="3" max="3" width="17.140625" customWidth="1"/>
    <col min="4" max="4" width="12" customWidth="1"/>
    <col min="5" max="5" width="11.5703125" customWidth="1"/>
    <col min="6" max="6" width="10.7109375" customWidth="1"/>
    <col min="7" max="7" width="14" customWidth="1"/>
    <col min="8" max="8" width="10.7109375" customWidth="1"/>
    <col min="9" max="9" width="10.7109375" style="79" customWidth="1"/>
    <col min="10" max="10" width="10.7109375" customWidth="1"/>
    <col min="11" max="11" width="11.140625" style="31" customWidth="1"/>
    <col min="12" max="15" width="10.7109375" style="103" customWidth="1"/>
    <col min="16" max="16" width="10.28515625" style="103" customWidth="1"/>
    <col min="17" max="19" width="10.7109375" style="31" customWidth="1"/>
    <col min="20" max="20" width="12.28515625" style="31" bestFit="1" customWidth="1"/>
    <col min="21" max="21" width="12.28515625" style="31" customWidth="1"/>
    <col min="22" max="22" width="10" style="31" customWidth="1"/>
    <col min="23" max="23" width="13.85546875" customWidth="1"/>
    <col min="24" max="25" width="13.85546875" style="31" customWidth="1"/>
    <col min="26" max="26" width="16.85546875" style="31" customWidth="1"/>
    <col min="27" max="27" width="12.42578125" bestFit="1" customWidth="1"/>
    <col min="28" max="28" width="40.5703125" bestFit="1" customWidth="1"/>
    <col min="29" max="29" width="20.7109375" bestFit="1" customWidth="1"/>
    <col min="30" max="30" width="21.42578125" bestFit="1" customWidth="1"/>
    <col min="31" max="31" width="10.7109375" style="10" bestFit="1" customWidth="1"/>
    <col min="32" max="32" width="13.42578125" bestFit="1" customWidth="1"/>
    <col min="33" max="33" width="37.140625" bestFit="1" customWidth="1"/>
    <col min="34" max="34" width="14.28515625" style="126" bestFit="1" customWidth="1"/>
    <col min="35" max="35" width="11.42578125" style="10" bestFit="1" customWidth="1"/>
    <col min="36" max="37" width="10.7109375" style="124" bestFit="1" customWidth="1"/>
    <col min="38" max="38" width="12.7109375" style="10" bestFit="1" customWidth="1"/>
    <col min="39" max="39" width="12.7109375" style="130" customWidth="1"/>
    <col min="40" max="40" width="13.28515625" bestFit="1" customWidth="1"/>
    <col min="41" max="41" width="11.42578125" customWidth="1"/>
    <col min="43" max="43" width="12" bestFit="1" customWidth="1"/>
    <col min="45" max="45" width="10.7109375" bestFit="1" customWidth="1"/>
    <col min="46" max="46" width="11.5703125" bestFit="1" customWidth="1"/>
    <col min="47" max="47" width="13.28515625" bestFit="1" customWidth="1"/>
    <col min="48" max="48" width="11.5703125" bestFit="1" customWidth="1"/>
  </cols>
  <sheetData>
    <row r="1" spans="1:56" s="9" customFormat="1" ht="26.25" customHeight="1" x14ac:dyDescent="0.25">
      <c r="A1" s="58"/>
      <c r="B1" s="358" t="s">
        <v>223</v>
      </c>
      <c r="C1" s="83" t="s">
        <v>236</v>
      </c>
      <c r="D1" s="358" t="s">
        <v>232</v>
      </c>
      <c r="E1" s="358" t="s">
        <v>233</v>
      </c>
      <c r="F1" s="358" t="s">
        <v>56</v>
      </c>
      <c r="G1" s="267" t="s">
        <v>241</v>
      </c>
      <c r="H1" s="291" t="s">
        <v>222</v>
      </c>
      <c r="I1" s="368" t="s">
        <v>242</v>
      </c>
      <c r="J1" s="291" t="s">
        <v>243</v>
      </c>
      <c r="K1" s="373" t="s">
        <v>237</v>
      </c>
      <c r="L1" s="374"/>
      <c r="M1" s="366" t="s">
        <v>244</v>
      </c>
      <c r="N1" s="366" t="s">
        <v>245</v>
      </c>
      <c r="O1" s="366" t="s">
        <v>224</v>
      </c>
      <c r="P1" s="370" t="s">
        <v>246</v>
      </c>
      <c r="Q1" s="363" t="s">
        <v>247</v>
      </c>
      <c r="R1" s="360" t="s">
        <v>219</v>
      </c>
      <c r="S1" s="346" t="s">
        <v>220</v>
      </c>
      <c r="T1" s="346" t="s">
        <v>221</v>
      </c>
      <c r="U1" s="195" t="s">
        <v>64</v>
      </c>
      <c r="V1" s="346" t="s">
        <v>239</v>
      </c>
      <c r="W1" s="267" t="s">
        <v>240</v>
      </c>
      <c r="X1" s="346" t="s">
        <v>182</v>
      </c>
      <c r="Y1" s="346" t="s">
        <v>415</v>
      </c>
      <c r="Z1" s="346" t="s">
        <v>442</v>
      </c>
      <c r="AA1" s="346" t="s">
        <v>443</v>
      </c>
      <c r="AF1" s="63">
        <f>SUM(AF6:AF200)</f>
        <v>63036.800000000025</v>
      </c>
      <c r="AG1" s="213">
        <f>R4+R8</f>
        <v>63036.800000000003</v>
      </c>
      <c r="AH1" s="62">
        <f>AF1-AG1</f>
        <v>0</v>
      </c>
      <c r="AM1" s="63">
        <f>SUM(AM5:AM101)</f>
        <v>25193.66</v>
      </c>
      <c r="AN1" s="213">
        <f>R27</f>
        <v>25193.66</v>
      </c>
      <c r="AO1" s="62">
        <f>AM1-AN1</f>
        <v>0</v>
      </c>
      <c r="AT1" s="63">
        <f>SUM(AT5:AT101)</f>
        <v>57768.84</v>
      </c>
      <c r="AU1" s="213">
        <f>R16</f>
        <v>57768.84</v>
      </c>
      <c r="AV1" s="62">
        <f>AT1-AU1</f>
        <v>0</v>
      </c>
    </row>
    <row r="2" spans="1:56" s="9" customFormat="1" ht="15.95" customHeight="1" x14ac:dyDescent="0.25">
      <c r="A2" s="119"/>
      <c r="B2" s="359"/>
      <c r="C2" s="94"/>
      <c r="D2" s="362"/>
      <c r="E2" s="362"/>
      <c r="F2" s="362"/>
      <c r="G2" s="353"/>
      <c r="H2" s="365"/>
      <c r="I2" s="369"/>
      <c r="J2" s="365"/>
      <c r="K2" s="106" t="s">
        <v>238</v>
      </c>
      <c r="L2" s="104" t="s">
        <v>13</v>
      </c>
      <c r="M2" s="372"/>
      <c r="N2" s="367"/>
      <c r="O2" s="367"/>
      <c r="P2" s="371"/>
      <c r="Q2" s="364"/>
      <c r="R2" s="361"/>
      <c r="S2" s="347"/>
      <c r="T2" s="347"/>
      <c r="U2" s="196">
        <v>24</v>
      </c>
      <c r="V2" s="354"/>
      <c r="W2" s="353"/>
      <c r="X2" s="347"/>
      <c r="Y2" s="347"/>
      <c r="Z2" s="347"/>
      <c r="AA2" s="347"/>
    </row>
    <row r="3" spans="1:56" s="9" customFormat="1" ht="15.95" customHeight="1" x14ac:dyDescent="0.25">
      <c r="A3" s="93"/>
      <c r="B3" s="97"/>
      <c r="C3" s="197">
        <v>29873</v>
      </c>
      <c r="D3" s="145" t="e">
        <f ca="1">SUM(D4:D3048)+('Other Expense'!$J$5)+(Summary!$H$4-Summary!$G$43)</f>
        <v>#REF!</v>
      </c>
      <c r="E3" s="146">
        <f>SUM(E4:E3048)/(COUNTA(E4:E3048)-COUNTIF(E4:E3048,"=0"))</f>
        <v>112.61731961734306</v>
      </c>
      <c r="F3" s="146" t="e">
        <f>SUM(F4:F36)</f>
        <v>#REF!</v>
      </c>
      <c r="G3" s="147"/>
      <c r="H3" s="97"/>
      <c r="I3" s="146">
        <f>SUM(I4:I3048)</f>
        <v>1319.8100000000002</v>
      </c>
      <c r="J3" s="97"/>
      <c r="K3" s="97"/>
      <c r="L3" s="97"/>
      <c r="M3" s="97"/>
      <c r="N3" s="97"/>
      <c r="O3" s="97"/>
      <c r="P3" s="101"/>
      <c r="Q3" s="122"/>
      <c r="R3" s="122">
        <f ca="1">SUMIF(T4:T3009,"&lt;&gt;0",R4:R3009)</f>
        <v>348523.75999999989</v>
      </c>
      <c r="S3" s="122">
        <f ca="1">SUMIF(T4:T3009,"&lt;&gt;"&amp;0,S4:S3009)</f>
        <v>262631.17</v>
      </c>
      <c r="T3" s="122">
        <f ca="1">SUM(T4:T3009)</f>
        <v>178287.64699999997</v>
      </c>
      <c r="U3" s="122">
        <f ca="1">SUM(U4:U3009)</f>
        <v>170236.11300000001</v>
      </c>
      <c r="V3" s="122">
        <v>181262</v>
      </c>
      <c r="W3" s="122"/>
      <c r="X3" s="121">
        <f>SUM(X4:X3009)</f>
        <v>0</v>
      </c>
      <c r="Y3" s="121">
        <f>SUM(Y4:Y3009)</f>
        <v>0</v>
      </c>
    </row>
    <row r="4" spans="1:56" s="9" customFormat="1" ht="15.95" customHeight="1" x14ac:dyDescent="0.25">
      <c r="A4" s="89">
        <v>1</v>
      </c>
      <c r="B4" s="90" t="s">
        <v>698</v>
      </c>
      <c r="C4" s="90" t="s">
        <v>687</v>
      </c>
      <c r="D4" s="96"/>
      <c r="E4" s="98">
        <f>IFERROR((D4)/((MAX('CEI565'!$E$7:$E$2989)-P4)/30),"")</f>
        <v>0</v>
      </c>
      <c r="F4" s="98">
        <f>SUMIF('CEI565'!$F$6:$F$292,"Bond Received",'CEI565'!$D$6:$D$2992)-SUMIF('CEI565'!$L$6:$L$2990,"Bond Return",'CEI565'!$K$6:$K$2990)</f>
        <v>0</v>
      </c>
      <c r="G4" s="90"/>
      <c r="H4" s="90" t="str">
        <f t="shared" ref="H4:H21" ca="1" si="0">IF(INT(DAY(J4)-DAY(TODAY()))&lt;=0,"",IF((INT(DAY(J4)-DAY(TODAY())))&lt;=5,"Pay Insurance",""))</f>
        <v/>
      </c>
      <c r="I4" s="99"/>
      <c r="J4" s="92"/>
      <c r="K4" s="107"/>
      <c r="L4" s="102"/>
      <c r="M4" s="102">
        <v>44994</v>
      </c>
      <c r="N4" s="102"/>
      <c r="O4" s="102"/>
      <c r="P4" s="102">
        <v>44356</v>
      </c>
      <c r="Q4" s="91">
        <f>MIN('CEI565'!$G$7:$G$3000)</f>
        <v>0</v>
      </c>
      <c r="R4" s="91">
        <f>(SUMIFS('Other Expense'!$G$9:$G$2995,'Other Expense'!$H$9:$H$2995,"Cost Of Goods",'Other Expense'!$I$9:$I$2995,C4))</f>
        <v>19533.239999999998</v>
      </c>
      <c r="S4" s="91">
        <f>R4</f>
        <v>19533.239999999998</v>
      </c>
      <c r="T4" s="91">
        <f ca="1">IF(Y4&lt;&gt;0,0,(R4-(S4*(INT((TODAY()-P4)/30)*2)%)))</f>
        <v>10157.284799999999</v>
      </c>
      <c r="U4" s="91">
        <f ca="1">(S4*(INT((TODAY()-P4)/30)*2)%)</f>
        <v>9375.9551999999985</v>
      </c>
      <c r="V4" s="91">
        <f>MAX('CEI565'!$G$7:$G$2989)</f>
        <v>0</v>
      </c>
      <c r="W4" s="90"/>
      <c r="X4" s="91">
        <f>SUMIFS('Other Expense'!$C$8:$C$3017,'Other Expense'!$D$8:$D$3017,$X$1,'Other Expense'!$E$8:$E$3017,C4)</f>
        <v>0</v>
      </c>
      <c r="Y4" s="91">
        <f>IF(X4=0,0,(X4-(SUMIFS('Other Expense'!$G$9:$G$2995,'Other Expense'!$H$9:$H$2995,"Cost Of Goods",'Other Expense'!$I$9:$I$2995,C4))))</f>
        <v>0</v>
      </c>
      <c r="Z4" s="91">
        <f ca="1">(S4*(INT((TODAY()-P4)/365)*$U$2)%)</f>
        <v>9375.9551999999985</v>
      </c>
      <c r="AA4" s="9">
        <f ca="1">(S4*(INT((TODAY()-P4)/30)*2)%)</f>
        <v>9375.9551999999985</v>
      </c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</row>
    <row r="5" spans="1:56" s="10" customFormat="1" ht="15" customHeight="1" x14ac:dyDescent="0.25">
      <c r="A5" s="10">
        <v>2</v>
      </c>
      <c r="B5" t="s">
        <v>604</v>
      </c>
      <c r="C5" t="s">
        <v>603</v>
      </c>
      <c r="D5" s="95">
        <f>'1SM3VL'!$O$4</f>
        <v>170.7400000000016</v>
      </c>
      <c r="E5" s="23">
        <f>IFERROR((D5)/((MAX('1SM3VL'!$E$7:$E$2989)-P5)/30),"")</f>
        <v>8.9081739130435604</v>
      </c>
      <c r="F5" s="23">
        <f>SUMIF('1SM3VL'!$F$6:$F$292,"Bond Received",'1SM3VL'!$D$6:$D$2992)-SUMIF('1SM3VL'!$L$6:$L$2990,"Bond Return",'1SM3VL'!$K$6:$K$2990)</f>
        <v>-500</v>
      </c>
      <c r="G5"/>
      <c r="H5" s="82" t="str">
        <f t="shared" ca="1" si="0"/>
        <v/>
      </c>
      <c r="I5" s="79"/>
      <c r="J5" s="16"/>
      <c r="K5" s="31"/>
      <c r="L5" s="105"/>
      <c r="M5" s="103">
        <v>44989</v>
      </c>
      <c r="N5" s="103"/>
      <c r="O5" s="103"/>
      <c r="P5" s="103">
        <v>44356</v>
      </c>
      <c r="Q5" s="31">
        <f>MIN('1SM3VL'!$G$7:$G$3000)</f>
        <v>0</v>
      </c>
      <c r="R5" s="31">
        <f>(SUMIFS('Other Expense'!$G$9:$G$2995,'Other Expense'!$H$9:$H$2995,"Cost Of Goods",'Other Expense'!$I$9:$I$2995,C5))</f>
        <v>11232.15</v>
      </c>
      <c r="S5" s="31">
        <v>0</v>
      </c>
      <c r="T5" s="91">
        <f t="shared" ref="T5:T34" ca="1" si="1">IF(Y5&lt;&gt;0,0,(R5-(S5*(INT((TODAY()-P5)/30)*2)%)))</f>
        <v>11232.15</v>
      </c>
      <c r="U5" s="91">
        <f t="shared" ref="U5:U34" ca="1" si="2">(S5*(INT((TODAY()-P5)/30)*2)%)</f>
        <v>0</v>
      </c>
      <c r="V5" s="31">
        <f>MAX('1SM3VL'!$G$7:$G$2989)</f>
        <v>0</v>
      </c>
      <c r="W5"/>
      <c r="X5" s="31">
        <f>SUMIFS('Other Expense'!$C$8:$C$3017,'Other Expense'!$D$8:$D$3017,$X$1,'Other Expense'!$E$8:$E$3017,C5)</f>
        <v>0</v>
      </c>
      <c r="Y5" s="31">
        <f>IF(X5=0,0,(X5-(SUMIFS('Other Expense'!$G$9:$G$2995,'Other Expense'!$H$9:$H$2995,"Cost Of Goods",'Other Expense'!$I$9:$I$2995,C5))))</f>
        <v>0</v>
      </c>
      <c r="AE5"/>
      <c r="AF5"/>
      <c r="AG5"/>
      <c r="AH5"/>
      <c r="AI5"/>
      <c r="AJ5" s="79"/>
      <c r="AK5"/>
      <c r="AL5" s="221">
        <v>44532</v>
      </c>
      <c r="AM5" s="17">
        <v>859.31</v>
      </c>
      <c r="AN5"/>
      <c r="AO5" t="s">
        <v>746</v>
      </c>
      <c r="AP5" t="s">
        <v>719</v>
      </c>
      <c r="AQ5"/>
      <c r="AR5"/>
      <c r="AS5" s="221">
        <v>44860</v>
      </c>
      <c r="AT5" s="17">
        <v>3000</v>
      </c>
      <c r="AU5" t="s">
        <v>264</v>
      </c>
      <c r="AV5" t="s">
        <v>689</v>
      </c>
      <c r="AW5" t="s">
        <v>769</v>
      </c>
      <c r="AX5"/>
      <c r="AY5"/>
      <c r="AZ5"/>
      <c r="BA5"/>
      <c r="BB5"/>
      <c r="BC5"/>
      <c r="BD5"/>
    </row>
    <row r="6" spans="1:56" s="10" customFormat="1" ht="15" customHeight="1" x14ac:dyDescent="0.25">
      <c r="A6" s="89">
        <v>3</v>
      </c>
      <c r="B6" s="90" t="s">
        <v>148</v>
      </c>
      <c r="C6" s="90" t="s">
        <v>21</v>
      </c>
      <c r="D6" s="96">
        <f>'1QF4SM'!$O$4</f>
        <v>19393.519999999997</v>
      </c>
      <c r="E6" s="98">
        <f>IFERROR((D6)/((MAX('1QF4SM'!$E$7:$E$2989)-P6)/30),"")</f>
        <v>471.47941653160444</v>
      </c>
      <c r="F6" s="98">
        <f>SUMIF('1QF4SM'!$F$6:$F$292,"Bond Received",'1QF4SM'!$D$6:$D$2992)-SUMIF('1QF4SM'!$L$6:$L$2990,"Bond Return",'1QF4SM'!$K$6:$K$2990)</f>
        <v>-420</v>
      </c>
      <c r="G6" s="90" t="s">
        <v>250</v>
      </c>
      <c r="H6" s="90" t="str">
        <f t="shared" ca="1" si="0"/>
        <v/>
      </c>
      <c r="I6" s="99">
        <v>148.15</v>
      </c>
      <c r="J6" s="92">
        <v>43778</v>
      </c>
      <c r="K6" s="91"/>
      <c r="L6" s="102">
        <v>43852</v>
      </c>
      <c r="M6" s="102">
        <v>44994</v>
      </c>
      <c r="N6" s="102">
        <v>44113</v>
      </c>
      <c r="O6" s="102">
        <v>43755</v>
      </c>
      <c r="P6" s="102">
        <v>43752</v>
      </c>
      <c r="Q6" s="91">
        <f>MIN('1QF4SM'!$G$7:$G$3000)</f>
        <v>24072</v>
      </c>
      <c r="R6" s="91">
        <f>(SUMIFS('Other Expense'!$G$9:$G$2995,'Other Expense'!$H$9:$H$2995,"Cost Of Goods",'Other Expense'!$I$9:$I$2995,C6))</f>
        <v>9627.1</v>
      </c>
      <c r="S6" s="91">
        <v>10700</v>
      </c>
      <c r="T6" s="91">
        <f t="shared" ca="1" si="1"/>
        <v>-2.8999999999996362</v>
      </c>
      <c r="U6" s="91">
        <f ca="1">(S6*(INT((TODAY()-P6)/30)*2)%)</f>
        <v>9630</v>
      </c>
      <c r="V6" s="91">
        <f>MAX('1QF4SM'!$G$7:$G$2989)</f>
        <v>36843</v>
      </c>
      <c r="W6" s="90"/>
      <c r="X6" s="91">
        <f>SUMIFS('Other Expense'!$C$8:$C$3017,'Other Expense'!$D$8:$D$3017,$X$1,'Other Expense'!$E$8:$E$3017,C6)</f>
        <v>0</v>
      </c>
      <c r="Y6" s="91">
        <f>IF(X6=0,0,(X6-(SUMIFS('Other Expense'!$G$9:$G$2995,'Other Expense'!$H$9:$H$2995,"Cost Of Goods",'Other Expense'!$I$9:$I$2995,C6))))</f>
        <v>0</v>
      </c>
      <c r="Z6" s="31">
        <f ca="1">(S6*(INT((TODAY()-P6)/365)*$U$2)%)</f>
        <v>7704</v>
      </c>
      <c r="AA6">
        <f ca="1">(S6*(INT((TODAY()-P6)/30)*2)%)</f>
        <v>9630</v>
      </c>
      <c r="AB6" s="198">
        <f>DATE(2019,7,1)</f>
        <v>43647</v>
      </c>
      <c r="AE6" s="221">
        <v>44358</v>
      </c>
      <c r="AF6" s="54">
        <v>9748.34</v>
      </c>
      <c r="AG6" t="s">
        <v>264</v>
      </c>
      <c r="AH6" s="217" t="s">
        <v>962</v>
      </c>
      <c r="AI6"/>
      <c r="AJ6" s="79" t="s">
        <v>719</v>
      </c>
      <c r="AK6"/>
      <c r="AL6" s="221">
        <v>44533</v>
      </c>
      <c r="AM6" s="17">
        <v>8980.51</v>
      </c>
      <c r="AN6"/>
      <c r="AO6" t="s">
        <v>746</v>
      </c>
      <c r="AP6" t="s">
        <v>719</v>
      </c>
      <c r="AQ6"/>
      <c r="AR6"/>
      <c r="AS6" s="221">
        <v>44768</v>
      </c>
      <c r="AT6" s="215">
        <v>148.5</v>
      </c>
      <c r="AU6" s="216" t="s">
        <v>264</v>
      </c>
      <c r="AV6" s="216" t="s">
        <v>689</v>
      </c>
      <c r="AW6" s="216" t="s">
        <v>838</v>
      </c>
      <c r="AX6"/>
      <c r="AY6"/>
      <c r="AZ6"/>
      <c r="BA6"/>
      <c r="BB6"/>
      <c r="BC6"/>
    </row>
    <row r="7" spans="1:56" ht="15" customHeight="1" x14ac:dyDescent="0.25">
      <c r="A7" s="10">
        <v>4</v>
      </c>
      <c r="B7" t="s">
        <v>686</v>
      </c>
      <c r="C7" t="s">
        <v>723</v>
      </c>
      <c r="D7" s="95">
        <f>'1UV5KI'!$O$4</f>
        <v>4376.71</v>
      </c>
      <c r="E7" s="23">
        <f>IFERROR((D7)/((MAX('1UV5KI'!$E$7:$E$2989)-P7)/30),"")</f>
        <v>101.94200310559008</v>
      </c>
      <c r="F7" s="23">
        <f>SUMIF('1UV5KI'!$F$6:$F$292,"Bond Received",'1UV5KI'!$D$6:$D$2992)-SUMIF('1UV5KI'!$L$6:$L$2990,"Bond Return",'1UV5KI'!$K$6:$K$2990)</f>
        <v>700</v>
      </c>
      <c r="G7" t="s">
        <v>154</v>
      </c>
      <c r="H7" t="str">
        <f t="shared" ca="1" si="0"/>
        <v/>
      </c>
      <c r="I7" s="100">
        <v>135.59</v>
      </c>
      <c r="J7" s="16">
        <v>43773</v>
      </c>
      <c r="L7" s="103">
        <v>43894</v>
      </c>
      <c r="M7" s="103">
        <v>44976</v>
      </c>
      <c r="N7" s="103">
        <v>45147</v>
      </c>
      <c r="O7" s="103">
        <v>47996</v>
      </c>
      <c r="P7" s="103">
        <v>43775</v>
      </c>
      <c r="Q7" s="31">
        <f>MIN('1UV5KI'!$G$7:$G$3000)</f>
        <v>0</v>
      </c>
      <c r="R7" s="79">
        <f>(SUMIFS('Other Expense'!$G$9:$G$2995,'Other Expense'!$H$9:$H$2995,"Cost Of Goods",'Other Expense'!$I$9:$I$2995,C7))</f>
        <v>13980.13</v>
      </c>
      <c r="S7" s="31">
        <v>0</v>
      </c>
      <c r="T7" s="91">
        <f t="shared" ca="1" si="1"/>
        <v>13980.13</v>
      </c>
      <c r="U7" s="91">
        <f t="shared" ca="1" si="2"/>
        <v>0</v>
      </c>
      <c r="V7" s="31">
        <f>MAX('1UV5KI'!$G$7:$G$2989)</f>
        <v>0</v>
      </c>
      <c r="X7" s="31">
        <f>SUMIFS('Other Expense'!$C$8:$C$3017,'Other Expense'!$D$8:$D$3017,$X$1,'Other Expense'!$E$8:$E$3017,C7)</f>
        <v>0</v>
      </c>
      <c r="Y7" s="31">
        <f>IF(X7=0,0,(X7-(SUMIFS('Other Expense'!$G$9:$G$2995,'Other Expense'!$H$9:$H$2995,"Cost Of Goods",'Other Expense'!$I$9:$I$2995,C7))))</f>
        <v>0</v>
      </c>
      <c r="Z7" s="31">
        <f t="shared" ref="Z7:Z35" si="3">INT((P7-(DATE(2019,7,1)))/365)+1</f>
        <v>1</v>
      </c>
      <c r="AA7">
        <v>180</v>
      </c>
      <c r="AB7">
        <f>INT((P6-DATE(2019,7,1)))</f>
        <v>105</v>
      </c>
      <c r="AE7" s="221">
        <v>44427</v>
      </c>
      <c r="AF7" s="17">
        <v>1010.89</v>
      </c>
      <c r="AG7" t="s">
        <v>264</v>
      </c>
      <c r="AH7" s="217" t="s">
        <v>962</v>
      </c>
      <c r="AI7"/>
      <c r="AJ7" s="79" t="s">
        <v>719</v>
      </c>
      <c r="AK7"/>
      <c r="AL7" s="221">
        <v>44673</v>
      </c>
      <c r="AM7" s="17">
        <v>505.61</v>
      </c>
      <c r="AO7" t="s">
        <v>745</v>
      </c>
      <c r="AP7" t="s">
        <v>822</v>
      </c>
      <c r="AS7" s="221">
        <v>44840</v>
      </c>
      <c r="AT7" s="215">
        <v>950</v>
      </c>
      <c r="AU7" s="216" t="s">
        <v>264</v>
      </c>
      <c r="AV7" s="216" t="s">
        <v>689</v>
      </c>
      <c r="AW7" s="216" t="s">
        <v>901</v>
      </c>
    </row>
    <row r="8" spans="1:56" ht="15" customHeight="1" x14ac:dyDescent="0.25">
      <c r="A8" s="89">
        <v>5</v>
      </c>
      <c r="B8" s="90" t="s">
        <v>103</v>
      </c>
      <c r="C8" s="90" t="s">
        <v>209</v>
      </c>
      <c r="D8" s="96">
        <f>'CEI565'!$O$4</f>
        <v>701.34999999999991</v>
      </c>
      <c r="E8" s="98" t="str">
        <f>IFERROR((D8)/((MAX(#REF!)-P8)/30),"")</f>
        <v/>
      </c>
      <c r="F8" s="98" t="e">
        <f>SUMIF(#REF!,"Bond Received",#REF!)-SUMIF(#REF!,"Bond Return",#REF!)</f>
        <v>#REF!</v>
      </c>
      <c r="G8" s="90"/>
      <c r="H8" s="90" t="str">
        <f t="shared" ca="1" si="0"/>
        <v/>
      </c>
      <c r="I8" s="99"/>
      <c r="J8" s="92"/>
      <c r="K8" s="91"/>
      <c r="L8" s="102"/>
      <c r="M8" s="102">
        <v>45057</v>
      </c>
      <c r="N8" s="102"/>
      <c r="O8" s="102"/>
      <c r="P8" s="102">
        <v>44358</v>
      </c>
      <c r="Q8" s="91" t="e">
        <f>MIN(#REF!)</f>
        <v>#REF!</v>
      </c>
      <c r="R8" s="91">
        <f>(SUMIFS('Other Expense'!$G$9:$G$2995,'Other Expense'!$H$9:$H$2995,"Cost Of Goods",'Other Expense'!$I$9:$I$2995,C8))</f>
        <v>43503.560000000005</v>
      </c>
      <c r="S8" s="91">
        <f>R8</f>
        <v>43503.560000000005</v>
      </c>
      <c r="T8" s="91">
        <f t="shared" ca="1" si="1"/>
        <v>22621.851200000005</v>
      </c>
      <c r="U8" s="91">
        <f t="shared" ca="1" si="2"/>
        <v>20881.7088</v>
      </c>
      <c r="V8" s="91" t="e">
        <f>MAX(#REF!)</f>
        <v>#REF!</v>
      </c>
      <c r="W8" s="90" t="s">
        <v>427</v>
      </c>
      <c r="X8" s="91">
        <f>SUMIFS('Other Expense'!$C$8:$C$3017,'Other Expense'!$D$8:$D$3017,$X$1,'Other Expense'!$E$8:$E$3017,C8)</f>
        <v>0</v>
      </c>
      <c r="Y8" s="91">
        <f>IF(X8=0,0,(X8-(SUMIFS('Other Expense'!$G$9:$G$2995,'Other Expense'!$H$9:$H$2995,"Cost Of Goods",'Other Expense'!$I$9:$I$2995,C8))))</f>
        <v>0</v>
      </c>
      <c r="Z8" s="31">
        <f t="shared" si="3"/>
        <v>2</v>
      </c>
      <c r="AA8">
        <v>180</v>
      </c>
      <c r="AB8" t="s">
        <v>424</v>
      </c>
      <c r="AE8" s="221">
        <v>44428</v>
      </c>
      <c r="AF8" s="17">
        <v>11545.83</v>
      </c>
      <c r="AG8" t="s">
        <v>264</v>
      </c>
      <c r="AH8" s="73" t="s">
        <v>939</v>
      </c>
      <c r="AI8"/>
      <c r="AJ8" s="79" t="s">
        <v>719</v>
      </c>
      <c r="AK8"/>
      <c r="AL8" s="221">
        <v>44673</v>
      </c>
      <c r="AM8" s="17">
        <v>5243.65</v>
      </c>
      <c r="AO8" t="s">
        <v>745</v>
      </c>
      <c r="AP8" t="s">
        <v>822</v>
      </c>
      <c r="AS8" s="221">
        <v>44874</v>
      </c>
      <c r="AT8" s="215">
        <v>880</v>
      </c>
      <c r="AU8" s="216" t="s">
        <v>264</v>
      </c>
      <c r="AV8" s="216" t="s">
        <v>689</v>
      </c>
      <c r="AW8" s="216" t="s">
        <v>901</v>
      </c>
    </row>
    <row r="9" spans="1:56" ht="15" customHeight="1" x14ac:dyDescent="0.25">
      <c r="A9" s="10">
        <v>6</v>
      </c>
      <c r="B9" t="s">
        <v>561</v>
      </c>
      <c r="C9" t="s">
        <v>704</v>
      </c>
      <c r="D9" s="95">
        <f>'1UL9RY'!$O$4</f>
        <v>8146.92</v>
      </c>
      <c r="E9" s="23">
        <f>IFERROR((D9)/((MAX('1UL9RY'!$E$7:$E$2989)-P9)/30),"")</f>
        <v>195.6826261008807</v>
      </c>
      <c r="F9" s="23">
        <f>SUMIF('1UL9RY'!$F$6:$F$292,"Bond Received",'1UL9RY'!$D$6:$D$2992)-SUMIF('1UL9RY'!$L$6:$L$2990,"Bond Return",'1UL9RY'!$K$6:$K$2990)</f>
        <v>0</v>
      </c>
      <c r="H9" s="16" t="str">
        <f t="shared" ca="1" si="0"/>
        <v/>
      </c>
      <c r="M9" s="103">
        <v>45058</v>
      </c>
      <c r="N9" s="103">
        <v>48115</v>
      </c>
      <c r="O9" s="103">
        <v>44988</v>
      </c>
      <c r="P9" s="103">
        <v>43815</v>
      </c>
      <c r="Q9" s="31">
        <f>MIN('1UL9RY'!$G$7:$G$3000)</f>
        <v>0</v>
      </c>
      <c r="R9" s="31">
        <f>(SUMIFS('Other Expense'!$G$9:$G$2995,'Other Expense'!$H$9:$H$2995,"Cost Of Goods",'Other Expense'!$I$9:$I$2995,C9))</f>
        <v>15253.57</v>
      </c>
      <c r="S9" s="31">
        <v>0</v>
      </c>
      <c r="T9" s="91">
        <f t="shared" ca="1" si="1"/>
        <v>15253.57</v>
      </c>
      <c r="U9" s="91">
        <f t="shared" ca="1" si="2"/>
        <v>0</v>
      </c>
      <c r="V9" s="31">
        <f>MAX('1UL9RY'!$G$7:$G$2989)</f>
        <v>0</v>
      </c>
      <c r="X9" s="31">
        <f>SUMIFS('Other Expense'!$C$8:$C$3017,'Other Expense'!$D$8:$D$3017,$X$1,'Other Expense'!$E$8:$E$3017,C9)</f>
        <v>0</v>
      </c>
      <c r="Y9" s="31">
        <f>IF(X9=0,0,(X9-(SUMIFS('Other Expense'!$G$9:$G$2995,'Other Expense'!$H$9:$H$2995,"Cost Of Goods",'Other Expense'!$I$9:$I$2995,C9))))</f>
        <v>0</v>
      </c>
      <c r="Z9" s="31">
        <f t="shared" si="3"/>
        <v>1</v>
      </c>
      <c r="AE9" s="221">
        <v>44439</v>
      </c>
      <c r="AF9" s="17">
        <v>1200</v>
      </c>
      <c r="AG9" t="s">
        <v>264</v>
      </c>
      <c r="AH9" s="73" t="s">
        <v>939</v>
      </c>
      <c r="AI9"/>
      <c r="AJ9" s="79" t="s">
        <v>659</v>
      </c>
      <c r="AK9"/>
      <c r="AL9" s="221">
        <v>44698</v>
      </c>
      <c r="AM9" s="17">
        <v>1000</v>
      </c>
      <c r="AN9" s="21"/>
      <c r="AO9" s="21" t="s">
        <v>745</v>
      </c>
      <c r="AP9" t="s">
        <v>659</v>
      </c>
      <c r="AS9" s="221">
        <v>44909</v>
      </c>
      <c r="AT9" s="215">
        <v>153.69</v>
      </c>
      <c r="AU9" s="216" t="s">
        <v>264</v>
      </c>
      <c r="AV9" s="216" t="s">
        <v>689</v>
      </c>
      <c r="AW9" s="216"/>
    </row>
    <row r="10" spans="1:56" ht="15" customHeight="1" x14ac:dyDescent="0.25">
      <c r="A10" s="89">
        <v>7</v>
      </c>
      <c r="B10" s="90" t="s">
        <v>168</v>
      </c>
      <c r="C10" s="90" t="s">
        <v>27</v>
      </c>
      <c r="D10" s="96">
        <f>'1OZ7GT'!$O$4</f>
        <v>9870.16</v>
      </c>
      <c r="E10" s="98">
        <f>IFERROR((D10)/((MAX('1OZ7GT'!$E$7:$E$2989)-P10)/30),"")</f>
        <v>296.69819639278558</v>
      </c>
      <c r="F10" s="98">
        <f>SUMIF('1OZ7GT'!$F$6:$F$292,"Bond Received",'1OZ7GT'!$D$6:$D$2992)-SUMIF('1OZ7GT'!$L$6:$L$2990,"Bond Return",'1OZ7GT'!$K$6:$K$2990)</f>
        <v>428.88999999999987</v>
      </c>
      <c r="G10" s="90" t="s">
        <v>251</v>
      </c>
      <c r="H10" s="92" t="str">
        <f t="shared" ca="1" si="0"/>
        <v/>
      </c>
      <c r="I10" s="99">
        <v>137.87</v>
      </c>
      <c r="J10" s="92">
        <v>43787</v>
      </c>
      <c r="K10" s="91">
        <v>96875</v>
      </c>
      <c r="L10" s="102">
        <v>43852</v>
      </c>
      <c r="M10" s="102">
        <v>45022</v>
      </c>
      <c r="N10" s="102">
        <v>44179</v>
      </c>
      <c r="O10" s="102">
        <v>43814</v>
      </c>
      <c r="P10" s="102">
        <v>43784</v>
      </c>
      <c r="Q10" s="91">
        <f>MIN('1OZ7GT'!$G$7:$G$3000)</f>
        <v>86790</v>
      </c>
      <c r="R10" s="91">
        <f>(SUMIFS('Other Expense'!$G$9:$G$2995,'Other Expense'!$H$9:$H$2995,"Cost Of Goods",'Other Expense'!$I$9:$I$2995,C10))</f>
        <v>6292.7</v>
      </c>
      <c r="S10" s="91">
        <v>11175</v>
      </c>
      <c r="T10" s="91">
        <f t="shared" ca="1" si="1"/>
        <v>-3541.3</v>
      </c>
      <c r="U10" s="91">
        <f t="shared" ca="1" si="2"/>
        <v>9834</v>
      </c>
      <c r="V10" s="91">
        <f>MAX('1OZ7GT'!$G$7:$G$2989)</f>
        <v>86790</v>
      </c>
      <c r="W10" s="90"/>
      <c r="X10" s="91">
        <f>SUMIFS('Other Expense'!$C$8:$C$3017,'Other Expense'!$D$8:$D$3017,$X$1,'Other Expense'!$E$8:$E$3017,C10)</f>
        <v>0</v>
      </c>
      <c r="Y10" s="91">
        <f>IF(X10=0,0,(X10-(SUMIFS('Other Expense'!$G$9:$G$2995,'Other Expense'!$H$9:$H$2995,"Cost Of Goods",'Other Expense'!$I$9:$I$2995,C10))))</f>
        <v>0</v>
      </c>
      <c r="Z10" s="31">
        <f t="shared" si="3"/>
        <v>1</v>
      </c>
      <c r="AA10">
        <v>180</v>
      </c>
      <c r="AB10" t="s">
        <v>425</v>
      </c>
      <c r="AD10" t="s">
        <v>534</v>
      </c>
      <c r="AE10" s="221">
        <v>44496</v>
      </c>
      <c r="AF10" s="17">
        <v>250</v>
      </c>
      <c r="AG10" t="s">
        <v>264</v>
      </c>
      <c r="AH10" s="217" t="s">
        <v>962</v>
      </c>
      <c r="AI10"/>
      <c r="AJ10" s="79" t="s">
        <v>659</v>
      </c>
      <c r="AK10"/>
      <c r="AL10" s="221">
        <v>44757</v>
      </c>
      <c r="AM10" s="17">
        <v>150</v>
      </c>
      <c r="AO10" t="s">
        <v>745</v>
      </c>
      <c r="AP10" t="s">
        <v>864</v>
      </c>
      <c r="AS10" s="222">
        <v>44427</v>
      </c>
      <c r="AT10" s="223">
        <v>1010.89</v>
      </c>
      <c r="AU10" s="224" t="s">
        <v>264</v>
      </c>
      <c r="AV10" s="224" t="s">
        <v>689</v>
      </c>
      <c r="AW10" s="216"/>
    </row>
    <row r="11" spans="1:56" ht="15" customHeight="1" x14ac:dyDescent="0.25">
      <c r="A11" s="10">
        <v>8</v>
      </c>
      <c r="B11" t="s">
        <v>169</v>
      </c>
      <c r="C11" t="s">
        <v>28</v>
      </c>
      <c r="D11" s="95">
        <f>'1CN8DD'!$O$4</f>
        <v>10063.919999999998</v>
      </c>
      <c r="E11" s="23">
        <f>IFERROR((D11)/((MAX('1CN8DD'!$E$7:$E$2989)-P11)/30),"")</f>
        <v>254.1393939393939</v>
      </c>
      <c r="F11" s="23">
        <f>SUMIF('1CN8DD'!$F$6:$F$292,"Bond Received",'1CN8DD'!$D$6:$D$2992)-SUMIF('1CN8DD'!$L$6:$L$2990,"Bond Return",'1CN8DD'!$K$6:$K$2990)</f>
        <v>850</v>
      </c>
      <c r="G11" s="16" t="s">
        <v>252</v>
      </c>
      <c r="H11" t="str">
        <f t="shared" ca="1" si="0"/>
        <v/>
      </c>
      <c r="I11" s="79">
        <v>125.32</v>
      </c>
      <c r="J11" s="16">
        <v>43809</v>
      </c>
      <c r="K11" s="31">
        <v>133190</v>
      </c>
      <c r="L11" s="103">
        <v>44082</v>
      </c>
      <c r="M11" s="103">
        <v>45031</v>
      </c>
      <c r="N11" s="103">
        <v>44281</v>
      </c>
      <c r="O11" s="103">
        <v>45005</v>
      </c>
      <c r="P11" s="103">
        <v>43797</v>
      </c>
      <c r="Q11" s="31">
        <f>MIN('1CN8DD'!$G$7:$G$3000)</f>
        <v>110808</v>
      </c>
      <c r="R11" s="31">
        <f>(SUMIFS('Other Expense'!$G$9:$G$2995,'Other Expense'!$H$9:$H$2995,"Cost Of Goods",'Other Expense'!$I$9:$I$2995,C11))</f>
        <v>7494.7</v>
      </c>
      <c r="S11" s="31">
        <v>11000</v>
      </c>
      <c r="T11" s="91">
        <f t="shared" ca="1" si="1"/>
        <v>-1965.3000000000002</v>
      </c>
      <c r="U11" s="91">
        <f t="shared" ca="1" si="2"/>
        <v>9460</v>
      </c>
      <c r="V11" s="31">
        <f>MAX('1CN8DD'!$G$7:$G$2989)</f>
        <v>133190</v>
      </c>
      <c r="W11" t="s">
        <v>428</v>
      </c>
      <c r="X11" s="31">
        <f>SUMIFS('Other Expense'!$C$8:$C$3017,'Other Expense'!$D$8:$D$3017,$X$1,'Other Expense'!$E$8:$E$3017,C11)</f>
        <v>0</v>
      </c>
      <c r="Y11" s="31">
        <f>IF(X11=0,0,(X11-(SUMIFS('Other Expense'!$G$9:$G$2995,'Other Expense'!$H$9:$H$2995,"Cost Of Goods",'Other Expense'!$I$9:$I$2995,C11))))</f>
        <v>0</v>
      </c>
      <c r="Z11" s="31">
        <f t="shared" si="3"/>
        <v>1</v>
      </c>
      <c r="AA11">
        <v>250</v>
      </c>
      <c r="AB11" t="s">
        <v>425</v>
      </c>
      <c r="AE11" s="221">
        <v>44508</v>
      </c>
      <c r="AF11" s="17">
        <v>1660</v>
      </c>
      <c r="AG11" t="s">
        <v>264</v>
      </c>
      <c r="AH11" t="s">
        <v>687</v>
      </c>
      <c r="AI11"/>
      <c r="AJ11" s="208"/>
      <c r="AK11" t="s">
        <v>502</v>
      </c>
      <c r="AL11" s="205"/>
      <c r="AM11" s="206"/>
      <c r="AN11" s="207"/>
      <c r="AO11" s="207"/>
      <c r="AP11" s="207"/>
      <c r="AS11" s="222">
        <v>44428</v>
      </c>
      <c r="AT11" s="223">
        <v>21756.6</v>
      </c>
      <c r="AU11" s="224" t="s">
        <v>264</v>
      </c>
      <c r="AV11" s="224" t="s">
        <v>689</v>
      </c>
      <c r="AW11" s="224"/>
    </row>
    <row r="12" spans="1:56" ht="15" customHeight="1" x14ac:dyDescent="0.25">
      <c r="A12" s="89">
        <v>9</v>
      </c>
      <c r="B12" s="90" t="s">
        <v>561</v>
      </c>
      <c r="C12" s="90" t="s">
        <v>721</v>
      </c>
      <c r="D12" s="96">
        <f>'1UT9BR'!$O$4</f>
        <v>3211.17</v>
      </c>
      <c r="E12" s="98">
        <f>IFERROR((D12)/((MAX('1UT9BR'!$E$7:$E$2989)-P12)/30),"")</f>
        <v>87.577363636363643</v>
      </c>
      <c r="F12" s="98">
        <f>SUMIF('1UT9BR'!$F$6:$F$292,"Bond Received",'1UT9BR'!$D$6:$D$2992)-SUMIF('1UT9BR'!$L$6:$L$2990,"Bond Return",'1UT9BR'!$K$6:$K$2990)</f>
        <v>0</v>
      </c>
      <c r="G12" s="92" t="s">
        <v>253</v>
      </c>
      <c r="H12" s="90" t="str">
        <f t="shared" ca="1" si="0"/>
        <v/>
      </c>
      <c r="I12" s="99">
        <v>107.87</v>
      </c>
      <c r="J12" s="92">
        <v>43826</v>
      </c>
      <c r="K12" s="91"/>
      <c r="L12" s="102"/>
      <c r="M12" s="102">
        <v>45035</v>
      </c>
      <c r="N12" s="102">
        <v>44145</v>
      </c>
      <c r="O12" s="102">
        <v>43624</v>
      </c>
      <c r="P12" s="102">
        <v>43823</v>
      </c>
      <c r="Q12" s="91">
        <f>MIN('1UT9BR'!$G$7:$G$3000)</f>
        <v>0</v>
      </c>
      <c r="R12" s="91">
        <f>(SUMIFS('Other Expense'!$G$9:$G$2995,'Other Expense'!$H$9:$H$2995,"Cost Of Goods",'Other Expense'!$I$9:$I$2995,C12))</f>
        <v>13619.289999999997</v>
      </c>
      <c r="S12" s="91">
        <v>0</v>
      </c>
      <c r="T12" s="91">
        <f t="shared" ca="1" si="1"/>
        <v>13619.289999999997</v>
      </c>
      <c r="U12" s="91">
        <f t="shared" ca="1" si="2"/>
        <v>0</v>
      </c>
      <c r="V12" s="91">
        <f>MAX('1UT9BR'!$G$7:$G$2989)</f>
        <v>0</v>
      </c>
      <c r="W12" s="90"/>
      <c r="X12" s="91">
        <f>SUMIFS('Other Expense'!$C$8:$C$3017,'Other Expense'!$D$8:$D$3017,$X$1,'Other Expense'!$E$8:$E$3017,C12)</f>
        <v>0</v>
      </c>
      <c r="Y12" s="91">
        <f>IF(X12=0,0,(X12-(SUMIFS('Other Expense'!$G$9:$G$2995,'Other Expense'!$H$9:$H$2995,"Cost Of Goods",'Other Expense'!$I$9:$I$2995,C12))))</f>
        <v>0</v>
      </c>
      <c r="Z12" s="31">
        <f t="shared" si="3"/>
        <v>1</v>
      </c>
      <c r="AE12" s="221"/>
      <c r="AF12" s="17"/>
      <c r="AH12"/>
      <c r="AI12"/>
      <c r="AJ12"/>
      <c r="AK12"/>
      <c r="AL12" s="221">
        <v>44799</v>
      </c>
      <c r="AM12" s="215">
        <v>153.69</v>
      </c>
      <c r="AN12" s="216"/>
      <c r="AO12" s="216" t="s">
        <v>745</v>
      </c>
      <c r="AP12" s="216" t="s">
        <v>505</v>
      </c>
      <c r="AS12" s="222">
        <v>44448</v>
      </c>
      <c r="AT12" s="223">
        <v>1010.89</v>
      </c>
      <c r="AU12" s="224" t="s">
        <v>264</v>
      </c>
      <c r="AV12" s="224" t="s">
        <v>689</v>
      </c>
    </row>
    <row r="13" spans="1:56" ht="15" customHeight="1" x14ac:dyDescent="0.25">
      <c r="A13" s="10">
        <v>10</v>
      </c>
      <c r="B13" t="s">
        <v>174</v>
      </c>
      <c r="C13" t="s">
        <v>30</v>
      </c>
      <c r="D13" s="95">
        <f>'1MK4UR'!$O$4</f>
        <v>19985.180000000004</v>
      </c>
      <c r="E13" s="23">
        <f>IFERROR((D13)/((MAX('1MK4UR'!$E$7:$E$2989)-P13)/30),"")</f>
        <v>508.09779661016955</v>
      </c>
      <c r="F13" s="23">
        <f>SUMIF('1MK4UR'!$F$6:$F$292,"Bond Received",'1MK4UR'!$D$6:$D$2992)-SUMIF('1MK4UR'!$L$6:$L$2990,"Bond Return",'1MK4UR'!$K$6:$K$2990)</f>
        <v>432.98</v>
      </c>
      <c r="G13" s="16" t="s">
        <v>254</v>
      </c>
      <c r="H13" t="str">
        <f t="shared" ca="1" si="0"/>
        <v>Pay Insurance</v>
      </c>
      <c r="I13" s="79">
        <v>84.78</v>
      </c>
      <c r="J13" s="16">
        <v>43859</v>
      </c>
      <c r="K13" s="31">
        <v>113024</v>
      </c>
      <c r="L13" s="103">
        <v>43889</v>
      </c>
      <c r="M13" s="103">
        <v>45000</v>
      </c>
      <c r="N13" s="103">
        <v>44231</v>
      </c>
      <c r="O13" s="103">
        <v>44979</v>
      </c>
      <c r="P13" s="103">
        <v>43855</v>
      </c>
      <c r="Q13" s="31">
        <f>MIN('1MK4UR'!$G$7:$G$3000)</f>
        <v>106785</v>
      </c>
      <c r="R13" s="31">
        <f>(SUMIFS('Other Expense'!$G$9:$G$2995,'Other Expense'!$H$9:$H$2995,"Cost Of Goods",'Other Expense'!$I$9:$I$2995,C13))</f>
        <v>11500</v>
      </c>
      <c r="S13" s="31">
        <v>13700</v>
      </c>
      <c r="T13" s="91">
        <f t="shared" ca="1" si="1"/>
        <v>266</v>
      </c>
      <c r="U13" s="91">
        <f t="shared" ca="1" si="2"/>
        <v>11234</v>
      </c>
      <c r="V13" s="31">
        <f>MAX('1MK4UR'!$G$7:$G$2989)</f>
        <v>113024</v>
      </c>
      <c r="X13" s="31">
        <f>SUMIFS('Other Expense'!$C$8:$C$3017,'Other Expense'!$D$8:$D$3017,$X$1,'Other Expense'!$E$8:$E$3017,C13)</f>
        <v>0</v>
      </c>
      <c r="Y13" s="31">
        <f>IF(X13=0,0,(X13-(SUMIFS('Other Expense'!$G$9:$G$2995,'Other Expense'!$H$9:$H$2995,"Cost Of Goods",'Other Expense'!$I$9:$I$2995,C13))))</f>
        <v>0</v>
      </c>
      <c r="Z13" s="31">
        <f t="shared" si="3"/>
        <v>1</v>
      </c>
      <c r="AA13">
        <v>220</v>
      </c>
      <c r="AB13" t="s">
        <v>424</v>
      </c>
      <c r="AE13" s="221">
        <v>44551</v>
      </c>
      <c r="AF13" s="17">
        <v>1800</v>
      </c>
      <c r="AG13" t="s">
        <v>264</v>
      </c>
      <c r="AH13" s="73" t="s">
        <v>939</v>
      </c>
      <c r="AI13"/>
      <c r="AJ13" s="208"/>
      <c r="AK13" t="s">
        <v>881</v>
      </c>
      <c r="AL13" s="221">
        <v>44845</v>
      </c>
      <c r="AM13" s="215">
        <v>153.69</v>
      </c>
      <c r="AN13" s="216"/>
      <c r="AO13" s="216" t="s">
        <v>745</v>
      </c>
      <c r="AP13" s="216" t="s">
        <v>505</v>
      </c>
      <c r="AS13" s="222">
        <v>44448</v>
      </c>
      <c r="AT13" s="223">
        <v>20622.07</v>
      </c>
      <c r="AU13" s="224" t="s">
        <v>264</v>
      </c>
      <c r="AV13" s="224" t="s">
        <v>689</v>
      </c>
    </row>
    <row r="14" spans="1:56" ht="15" customHeight="1" x14ac:dyDescent="0.25">
      <c r="A14" s="89">
        <v>11</v>
      </c>
      <c r="B14" s="90" t="s">
        <v>529</v>
      </c>
      <c r="C14" s="90" t="s">
        <v>527</v>
      </c>
      <c r="D14" s="96">
        <f>'1CF1ZO'!$O$4</f>
        <v>10295.050000000007</v>
      </c>
      <c r="E14" s="98" t="str">
        <f>IFERROR((D14)/((MAX(#REF!)-P14)/30),"")</f>
        <v/>
      </c>
      <c r="F14" s="98" t="e">
        <f>SUMIF(#REF!,"Bond Received",#REF!)-SUMIF(#REF!,"Bond Return",#REF!)</f>
        <v>#REF!</v>
      </c>
      <c r="G14" s="92" t="s">
        <v>255</v>
      </c>
      <c r="H14" s="92" t="str">
        <f t="shared" ca="1" si="0"/>
        <v/>
      </c>
      <c r="I14" s="99">
        <v>84.83</v>
      </c>
      <c r="J14" s="92">
        <v>43964</v>
      </c>
      <c r="K14" s="91"/>
      <c r="L14" s="102"/>
      <c r="M14" s="102">
        <v>44941</v>
      </c>
      <c r="N14" s="102">
        <v>47930</v>
      </c>
      <c r="O14" s="102">
        <v>47930</v>
      </c>
      <c r="P14" s="102">
        <v>43905</v>
      </c>
      <c r="Q14" s="91" t="e">
        <f>MIN(#REF!)</f>
        <v>#REF!</v>
      </c>
      <c r="R14" s="99">
        <f>(SUMIFS('Other Expense'!$G$9:$G$2995,'Other Expense'!$H$9:$H$2995,"Cost Of Goods",'Other Expense'!$I$9:$I$2995,C14))</f>
        <v>9076.7000000000007</v>
      </c>
      <c r="S14" s="91">
        <v>9000</v>
      </c>
      <c r="T14" s="91">
        <f t="shared" ca="1" si="1"/>
        <v>2056.7000000000007</v>
      </c>
      <c r="U14" s="91">
        <f t="shared" ca="1" si="2"/>
        <v>7020</v>
      </c>
      <c r="V14" s="91" t="e">
        <f>MAX(#REF!)</f>
        <v>#REF!</v>
      </c>
      <c r="W14" s="90" t="s">
        <v>430</v>
      </c>
      <c r="X14" s="91">
        <f>SUMIFS('Other Expense'!$C$8:$C$3017,'Other Expense'!$D$8:$D$3017,$X$1,'Other Expense'!$E$8:$E$3017,C14)</f>
        <v>0</v>
      </c>
      <c r="Y14" s="91">
        <f>IF(X14=0,0,(X14-(SUMIFS('Other Expense'!$G$9:$G$2995,'Other Expense'!$H$9:$H$2995,"Cost Of Goods",'Other Expense'!$I$9:$I$2995,C14))))</f>
        <v>0</v>
      </c>
      <c r="Z14" s="31">
        <f t="shared" si="3"/>
        <v>1</v>
      </c>
      <c r="AA14">
        <v>180</v>
      </c>
      <c r="AB14" t="s">
        <v>424</v>
      </c>
      <c r="AE14" s="221">
        <v>44614</v>
      </c>
      <c r="AF14" s="17">
        <v>300</v>
      </c>
      <c r="AG14" t="s">
        <v>264</v>
      </c>
      <c r="AH14" s="73" t="s">
        <v>939</v>
      </c>
      <c r="AI14"/>
      <c r="AJ14" s="79" t="s">
        <v>597</v>
      </c>
      <c r="AK14"/>
      <c r="AL14" s="221">
        <v>44909</v>
      </c>
      <c r="AM14" s="215">
        <v>153.69</v>
      </c>
      <c r="AN14" s="216"/>
      <c r="AO14" s="216" t="s">
        <v>745</v>
      </c>
      <c r="AP14" s="216" t="s">
        <v>505</v>
      </c>
      <c r="AS14" s="222">
        <v>44525</v>
      </c>
      <c r="AT14" s="223">
        <v>1200</v>
      </c>
      <c r="AU14" s="224" t="s">
        <v>264</v>
      </c>
      <c r="AV14" s="224" t="s">
        <v>689</v>
      </c>
      <c r="AW14" s="224" t="s">
        <v>659</v>
      </c>
    </row>
    <row r="15" spans="1:56" ht="15" customHeight="1" x14ac:dyDescent="0.25">
      <c r="A15" s="10">
        <v>12</v>
      </c>
      <c r="B15" t="s">
        <v>194</v>
      </c>
      <c r="C15" t="s">
        <v>195</v>
      </c>
      <c r="D15" s="95">
        <f>'1JI2UE'!$O$4</f>
        <v>26444.889999999996</v>
      </c>
      <c r="E15" s="23">
        <f>IFERROR((D15)/((MAX('1JI2UE'!$E$7:$E$2989)-P15)/30),"")</f>
        <v>813.68892307692295</v>
      </c>
      <c r="F15" s="23">
        <f>SUMIF('1JI2UE'!$F$6:$F$292,"Bond Received",'1JI2UE'!$D$6:$D$2992)-SUMIF('1JI2UE'!$L$6:$L$2990,"Bond Return",'1JI2UE'!$K$6:$K$2990)</f>
        <v>150</v>
      </c>
      <c r="H15" t="str">
        <f t="shared" ca="1" si="0"/>
        <v/>
      </c>
      <c r="I15" s="79">
        <v>173.61</v>
      </c>
      <c r="J15" s="16">
        <v>43990</v>
      </c>
      <c r="M15" s="103">
        <v>44979</v>
      </c>
      <c r="N15" s="103">
        <v>43971</v>
      </c>
      <c r="O15" s="103">
        <v>44989</v>
      </c>
      <c r="P15" s="103">
        <v>43953</v>
      </c>
      <c r="Q15" s="31">
        <f>MIN('1JI2UE'!$G$7:$G$3000)</f>
        <v>137304</v>
      </c>
      <c r="R15" s="31">
        <f>(SUMIFS('Other Expense'!$G$9:$G$2995,'Other Expense'!$H$9:$H$2995,"Cost Of Goods",'Other Expense'!$I$9:$I$2995,C15))</f>
        <v>13742.7</v>
      </c>
      <c r="S15" s="31">
        <v>17000</v>
      </c>
      <c r="T15" s="91">
        <f t="shared" ca="1" si="1"/>
        <v>822.70000000000073</v>
      </c>
      <c r="U15" s="91">
        <f t="shared" ca="1" si="2"/>
        <v>12920</v>
      </c>
      <c r="V15" s="31">
        <f>MAX('1JI2UE'!$G$7:$G$2989)</f>
        <v>148792</v>
      </c>
      <c r="W15" t="s">
        <v>429</v>
      </c>
      <c r="X15" s="31">
        <f>SUMIFS('Other Expense'!$C$8:$C$3017,'Other Expense'!$D$8:$D$3017,$X$1,'Other Expense'!$E$8:$E$3017,C15)</f>
        <v>0</v>
      </c>
      <c r="Y15" s="31">
        <f>IF(X15=0,0,(X15-(SUMIFS('Other Expense'!$G$9:$G$2995,'Other Expense'!$H$9:$H$2995,"Cost Of Goods",'Other Expense'!$I$9:$I$2995,C15))))</f>
        <v>0</v>
      </c>
      <c r="Z15" s="31">
        <f t="shared" si="3"/>
        <v>1</v>
      </c>
      <c r="AA15">
        <v>200</v>
      </c>
      <c r="AB15" t="s">
        <v>424</v>
      </c>
      <c r="AE15" s="221">
        <v>44643</v>
      </c>
      <c r="AF15" s="17">
        <v>153.69</v>
      </c>
      <c r="AG15" t="s">
        <v>264</v>
      </c>
      <c r="AH15" s="217" t="s">
        <v>962</v>
      </c>
      <c r="AI15"/>
      <c r="AJ15" s="79" t="s">
        <v>480</v>
      </c>
      <c r="AK15"/>
      <c r="AL15" s="221">
        <v>44931</v>
      </c>
      <c r="AM15" s="215">
        <v>150</v>
      </c>
      <c r="AN15" s="216"/>
      <c r="AO15" s="216" t="s">
        <v>745</v>
      </c>
      <c r="AP15" s="216" t="s">
        <v>505</v>
      </c>
      <c r="AS15" s="222">
        <v>44635</v>
      </c>
      <c r="AT15" s="223">
        <v>278.2</v>
      </c>
      <c r="AU15" s="224" t="s">
        <v>264</v>
      </c>
      <c r="AV15" s="224" t="s">
        <v>689</v>
      </c>
      <c r="AW15" s="224" t="s">
        <v>809</v>
      </c>
    </row>
    <row r="16" spans="1:56" ht="15" customHeight="1" x14ac:dyDescent="0.25">
      <c r="A16" s="89">
        <v>13</v>
      </c>
      <c r="B16" s="8" t="s">
        <v>688</v>
      </c>
      <c r="C16" s="90" t="s">
        <v>689</v>
      </c>
      <c r="D16" s="96" t="e">
        <f>#REF!</f>
        <v>#REF!</v>
      </c>
      <c r="E16" s="98" t="str">
        <f>IFERROR((D16)/((MAX(#REF!)-P16)/30),"")</f>
        <v/>
      </c>
      <c r="F16" s="98" t="e">
        <f>SUMIF(#REF!,"Bond Received",#REF!)-SUMIF(#REF!,"Bond Return",#REF!)</f>
        <v>#REF!</v>
      </c>
      <c r="G16" s="92" t="s">
        <v>256</v>
      </c>
      <c r="H16" s="90" t="str">
        <f t="shared" ca="1" si="0"/>
        <v/>
      </c>
      <c r="I16" s="99">
        <v>150.01</v>
      </c>
      <c r="J16" s="92">
        <v>44009</v>
      </c>
      <c r="K16" s="91"/>
      <c r="L16" s="102"/>
      <c r="M16" s="102">
        <v>48192</v>
      </c>
      <c r="N16" s="102">
        <v>44002</v>
      </c>
      <c r="O16" s="102">
        <v>44002</v>
      </c>
      <c r="P16" s="102">
        <v>43992</v>
      </c>
      <c r="Q16" s="91" t="e">
        <f>MIN(#REF!)</f>
        <v>#REF!</v>
      </c>
      <c r="R16" s="91">
        <f>(SUMIFS('Other Expense'!$G$9:$G$2995,'Other Expense'!$H$9:$H$2995,"Cost Of Goods",'Other Expense'!$I$9:$I$2995,C16))</f>
        <v>57768.84</v>
      </c>
      <c r="S16" s="91">
        <v>0</v>
      </c>
      <c r="T16" s="91">
        <f t="shared" ca="1" si="1"/>
        <v>57768.84</v>
      </c>
      <c r="U16" s="91">
        <f t="shared" ca="1" si="2"/>
        <v>0</v>
      </c>
      <c r="V16" s="91" t="e">
        <f>MAX(#REF!)</f>
        <v>#REF!</v>
      </c>
      <c r="W16" s="90"/>
      <c r="X16" s="91">
        <f>SUMIFS('Other Expense'!$C$8:$C$3017,'Other Expense'!$D$8:$D$3017,$X$1,'Other Expense'!$E$8:$E$3017,C16)</f>
        <v>0</v>
      </c>
      <c r="Y16" s="91">
        <f>IF(X16=0,0,(X16-(SUMIFS('Other Expense'!$G$9:$G$2995,'Other Expense'!$H$9:$H$2995,"Cost Of Goods",'Other Expense'!$I$9:$I$2995,C16))))</f>
        <v>0</v>
      </c>
      <c r="Z16" s="31">
        <f t="shared" si="3"/>
        <v>1</v>
      </c>
      <c r="AA16">
        <v>200</v>
      </c>
      <c r="AB16" t="s">
        <v>444</v>
      </c>
      <c r="AE16" s="221">
        <v>44655</v>
      </c>
      <c r="AF16" s="17">
        <v>150</v>
      </c>
      <c r="AG16" t="s">
        <v>264</v>
      </c>
      <c r="AH16" s="217" t="s">
        <v>962</v>
      </c>
      <c r="AI16"/>
      <c r="AJ16" s="79" t="s">
        <v>796</v>
      </c>
      <c r="AK16"/>
      <c r="AL16" s="221">
        <v>44860</v>
      </c>
      <c r="AM16" s="215">
        <v>300</v>
      </c>
      <c r="AN16" s="216"/>
      <c r="AO16" s="216" t="s">
        <v>745</v>
      </c>
      <c r="AP16" s="216" t="s">
        <v>919</v>
      </c>
      <c r="AS16" s="222">
        <v>44635</v>
      </c>
      <c r="AT16" s="223">
        <v>8.35</v>
      </c>
      <c r="AU16" s="224" t="s">
        <v>264</v>
      </c>
      <c r="AV16" s="224" t="s">
        <v>689</v>
      </c>
      <c r="AW16" s="224" t="s">
        <v>809</v>
      </c>
    </row>
    <row r="17" spans="1:49" ht="15" customHeight="1" x14ac:dyDescent="0.25">
      <c r="A17" s="10">
        <v>14</v>
      </c>
      <c r="B17" t="s">
        <v>194</v>
      </c>
      <c r="C17" t="s">
        <v>200</v>
      </c>
      <c r="D17" s="95">
        <f>'1SI9BW'!$O$4</f>
        <v>13041.970000000001</v>
      </c>
      <c r="E17" s="23">
        <f>IFERROR((D17)/((MAX('1SI9BW'!$E$7:$E$2989)-P17)/30),"")</f>
        <v>378.76001936108429</v>
      </c>
      <c r="F17" s="23">
        <f>SUMIF('1SI9BW'!$F$6:$F$292,"Bond Received",'1SI9BW'!$D$6:$D$2992)-SUMIF('1SI9BW'!$L$6:$L$2990,"Bond Return",'1SI9BW'!$K$6:$K$2990)</f>
        <v>870</v>
      </c>
      <c r="G17" s="16" t="s">
        <v>257</v>
      </c>
      <c r="H17" t="str">
        <f t="shared" ca="1" si="0"/>
        <v/>
      </c>
      <c r="I17" s="79">
        <v>85.25</v>
      </c>
      <c r="J17" s="16">
        <v>44062</v>
      </c>
      <c r="M17" s="103">
        <v>45040</v>
      </c>
      <c r="P17" s="103">
        <v>44036</v>
      </c>
      <c r="Q17" s="31">
        <f>MIN('1SI9BW'!$G$7:$G$3000)</f>
        <v>76573</v>
      </c>
      <c r="R17" s="31">
        <f>(SUMIFS('Other Expense'!$G$9:$G$2995,'Other Expense'!$H$9:$H$2995,"Cost Of Goods",'Other Expense'!$I$9:$I$2995,C17))</f>
        <v>11375.55</v>
      </c>
      <c r="S17" s="31">
        <v>17000</v>
      </c>
      <c r="T17" s="91">
        <f t="shared" ca="1" si="1"/>
        <v>-524.45000000000073</v>
      </c>
      <c r="U17" s="91">
        <f t="shared" ca="1" si="2"/>
        <v>11900</v>
      </c>
      <c r="V17" s="31">
        <f>MAX('1SI9BW'!$G$7:$G$2989)</f>
        <v>76573</v>
      </c>
      <c r="W17" t="s">
        <v>429</v>
      </c>
      <c r="X17" s="31">
        <f>SUMIFS('Other Expense'!$C$8:$C$3017,'Other Expense'!$D$8:$D$3017,$X$1,'Other Expense'!$E$8:$E$3017,C17)</f>
        <v>0</v>
      </c>
      <c r="Y17" s="31">
        <f>IF(X17=0,0,(X17-(SUMIFS('Other Expense'!$G$9:$G$2995,'Other Expense'!$H$9:$H$2995,"Cost Of Goods",'Other Expense'!$I$9:$I$2995,C17))))</f>
        <v>0</v>
      </c>
      <c r="Z17" s="31">
        <f t="shared" si="3"/>
        <v>2</v>
      </c>
      <c r="AA17">
        <v>180</v>
      </c>
      <c r="AB17" t="s">
        <v>444</v>
      </c>
      <c r="AE17" s="221">
        <v>44657</v>
      </c>
      <c r="AF17" s="17">
        <v>30.44</v>
      </c>
      <c r="AG17" t="s">
        <v>264</v>
      </c>
      <c r="AH17" s="217" t="s">
        <v>962</v>
      </c>
      <c r="AI17"/>
      <c r="AJ17" s="79" t="s">
        <v>32</v>
      </c>
      <c r="AK17"/>
      <c r="AL17" s="221">
        <v>44895</v>
      </c>
      <c r="AM17" s="215">
        <v>400</v>
      </c>
      <c r="AN17" s="216"/>
      <c r="AO17" s="216" t="s">
        <v>745</v>
      </c>
      <c r="AP17" s="216" t="s">
        <v>941</v>
      </c>
      <c r="AS17" s="222">
        <v>44706</v>
      </c>
      <c r="AT17" s="223">
        <v>100</v>
      </c>
      <c r="AU17" s="224" t="s">
        <v>264</v>
      </c>
      <c r="AV17" s="224" t="s">
        <v>689</v>
      </c>
      <c r="AW17" s="224" t="s">
        <v>156</v>
      </c>
    </row>
    <row r="18" spans="1:49" ht="15" customHeight="1" x14ac:dyDescent="0.25">
      <c r="A18" s="89">
        <v>15</v>
      </c>
      <c r="B18" s="90" t="s">
        <v>751</v>
      </c>
      <c r="C18" s="90" t="s">
        <v>750</v>
      </c>
      <c r="D18" s="96">
        <f>Suzuki!$O$4</f>
        <v>1337.9299999999994</v>
      </c>
      <c r="E18" s="98">
        <f>IFERROR((D18)/((MAX(Suzuki!$E$7:$E$2989)-P18)/30),"")</f>
        <v>50.235168961201481</v>
      </c>
      <c r="F18" s="98">
        <f>SUMIF(Suzuki!$F$6:$F$292,"Bond Received",Suzuki!$D$6:$D$2992)-SUMIF(Suzuki!$L$6:$L$2990,"Bond Return",Suzuki!$K$6:$K$2990)</f>
        <v>400</v>
      </c>
      <c r="G18" s="92" t="s">
        <v>258</v>
      </c>
      <c r="H18" s="90" t="str">
        <f t="shared" ca="1" si="0"/>
        <v/>
      </c>
      <c r="I18" s="99">
        <v>86.53</v>
      </c>
      <c r="J18" s="92">
        <v>44064</v>
      </c>
      <c r="K18" s="91"/>
      <c r="L18" s="102"/>
      <c r="M18" s="102">
        <v>44590</v>
      </c>
      <c r="N18" s="102"/>
      <c r="O18" s="102"/>
      <c r="P18" s="102">
        <v>44041</v>
      </c>
      <c r="Q18" s="91">
        <f>MIN(Suzuki!$G$7:$G$3000)</f>
        <v>0</v>
      </c>
      <c r="R18" s="91">
        <f>(SUMIFS('Other Expense'!$G$9:$G$2995,'Other Expense'!$H$9:$H$2995,"Cost Of Goods",'Other Expense'!$I$9:$I$2995,C18))</f>
        <v>5754.12</v>
      </c>
      <c r="S18" s="91">
        <v>9000</v>
      </c>
      <c r="T18" s="91">
        <f t="shared" ca="1" si="1"/>
        <v>-545.88000000000011</v>
      </c>
      <c r="U18" s="91">
        <f t="shared" ca="1" si="2"/>
        <v>6300</v>
      </c>
      <c r="V18" s="91">
        <f>MAX(Suzuki!$G$7:$G$2989)</f>
        <v>0</v>
      </c>
      <c r="W18" s="90" t="s">
        <v>431</v>
      </c>
      <c r="X18" s="91">
        <f>SUMIFS('Other Expense'!$C$8:$C$3017,'Other Expense'!$D$8:$D$3017,$X$1,'Other Expense'!$E$8:$E$3017,C18)</f>
        <v>0</v>
      </c>
      <c r="Y18" s="91">
        <f>IF(X18=0,0,(X18-(SUMIFS('Other Expense'!$G$9:$G$2995,'Other Expense'!$H$9:$H$2995,"Cost Of Goods",'Other Expense'!$I$9:$I$2995,C18))))</f>
        <v>0</v>
      </c>
      <c r="Z18" s="31">
        <f t="shared" si="3"/>
        <v>2</v>
      </c>
      <c r="AA18">
        <v>150</v>
      </c>
      <c r="AE18" s="221">
        <v>44657</v>
      </c>
      <c r="AF18" s="17">
        <v>658.57</v>
      </c>
      <c r="AG18" t="s">
        <v>264</v>
      </c>
      <c r="AH18" s="217" t="s">
        <v>962</v>
      </c>
      <c r="AI18"/>
      <c r="AJ18" s="79" t="s">
        <v>816</v>
      </c>
      <c r="AK18"/>
      <c r="AL18" s="214">
        <v>44942</v>
      </c>
      <c r="AM18" s="215">
        <v>150</v>
      </c>
      <c r="AN18" s="216" t="s">
        <v>122</v>
      </c>
      <c r="AO18" s="216" t="s">
        <v>745</v>
      </c>
      <c r="AP18" s="216" t="s">
        <v>970</v>
      </c>
      <c r="AS18" s="222">
        <v>44707</v>
      </c>
      <c r="AT18" s="223">
        <v>860</v>
      </c>
      <c r="AU18" s="224" t="s">
        <v>264</v>
      </c>
      <c r="AV18" s="224" t="s">
        <v>689</v>
      </c>
      <c r="AW18" s="224" t="s">
        <v>836</v>
      </c>
    </row>
    <row r="19" spans="1:49" ht="15" customHeight="1" x14ac:dyDescent="0.25">
      <c r="A19" s="10">
        <v>16</v>
      </c>
      <c r="B19" t="s">
        <v>248</v>
      </c>
      <c r="C19" t="s">
        <v>445</v>
      </c>
      <c r="D19" s="95">
        <f>'1SK3DD'!$O$4</f>
        <v>9809.909999999998</v>
      </c>
      <c r="E19" s="23">
        <f>IFERROR((D19)/((MAX('1SK3DD'!$E$7:$E$2989)-P19)/30),"")</f>
        <v>291.09525222551923</v>
      </c>
      <c r="F19" s="23">
        <f>SUMIF('1SK3DD'!$F$6:$F$292,"Bond Received",'1SK3DD'!$D$6:$D$2992)-SUMIF('1SK3DD'!$L$6:$L$2990,"Bond Return",'1SK3DD'!$K$6:$K$2990)</f>
        <v>255.16999999999996</v>
      </c>
      <c r="G19" s="16"/>
      <c r="H19" t="str">
        <f t="shared" ca="1" si="0"/>
        <v/>
      </c>
      <c r="M19" s="103">
        <v>45059</v>
      </c>
      <c r="P19" s="103">
        <v>44056</v>
      </c>
      <c r="Q19" s="31">
        <f>MIN('1SK3DD'!$G$7:$G$3000)</f>
        <v>0</v>
      </c>
      <c r="R19" s="31">
        <f>(SUMIFS('Other Expense'!$G$9:$G$2995,'Other Expense'!$H$9:$H$2995,"Cost Of Goods",'Other Expense'!$I$9:$I$2995,C19))</f>
        <v>13713.6</v>
      </c>
      <c r="S19" s="31">
        <v>14000</v>
      </c>
      <c r="T19" s="91">
        <f t="shared" ca="1" si="1"/>
        <v>4193.6000000000004</v>
      </c>
      <c r="U19" s="91">
        <f t="shared" ca="1" si="2"/>
        <v>9520</v>
      </c>
      <c r="V19" s="31">
        <f>MAX('1SK3DD'!$G$7:$G$2989)</f>
        <v>0</v>
      </c>
      <c r="X19" s="31">
        <f>SUMIFS('Other Expense'!$C$8:$C$3017,'Other Expense'!$D$8:$D$3017,$X$1,'Other Expense'!$E$8:$E$3017,C19)</f>
        <v>0</v>
      </c>
      <c r="Y19" s="31">
        <f>IF(X19=0,0,(X19-(SUMIFS('Other Expense'!$G$9:$G$2995,'Other Expense'!$H$9:$H$2995,"Cost Of Goods",'Other Expense'!$I$9:$I$2995,C19))))</f>
        <v>0</v>
      </c>
      <c r="Z19" s="31">
        <f t="shared" si="3"/>
        <v>2</v>
      </c>
      <c r="AA19">
        <v>200</v>
      </c>
      <c r="AB19" t="s">
        <v>425</v>
      </c>
      <c r="AE19" s="221">
        <v>44665</v>
      </c>
      <c r="AF19" s="17">
        <v>82.14</v>
      </c>
      <c r="AG19" t="s">
        <v>264</v>
      </c>
      <c r="AH19" s="217" t="s">
        <v>962</v>
      </c>
      <c r="AI19"/>
      <c r="AJ19" s="79" t="s">
        <v>196</v>
      </c>
      <c r="AK19"/>
      <c r="AL19" s="214">
        <v>44942</v>
      </c>
      <c r="AM19" s="215">
        <v>4000</v>
      </c>
      <c r="AN19" s="216" t="s">
        <v>122</v>
      </c>
      <c r="AO19" s="216" t="s">
        <v>745</v>
      </c>
      <c r="AP19" s="216" t="s">
        <v>972</v>
      </c>
      <c r="AS19" s="222">
        <v>44713</v>
      </c>
      <c r="AT19" s="223">
        <v>158.4</v>
      </c>
      <c r="AU19" s="224" t="s">
        <v>264</v>
      </c>
      <c r="AV19" s="224" t="s">
        <v>689</v>
      </c>
      <c r="AW19" s="224" t="s">
        <v>838</v>
      </c>
    </row>
    <row r="20" spans="1:49" ht="15" customHeight="1" x14ac:dyDescent="0.25">
      <c r="A20" s="89">
        <v>17</v>
      </c>
      <c r="B20" s="90" t="s">
        <v>249</v>
      </c>
      <c r="C20" s="90" t="s">
        <v>497</v>
      </c>
      <c r="D20" s="96">
        <f>'1SX5TQ'!$O$4</f>
        <v>22151.64</v>
      </c>
      <c r="E20" s="98">
        <f>IFERROR((D20)/((MAX('1SX5TQ'!$E$7:$E$2989)-P20)/30),"")</f>
        <v>656.02092793682129</v>
      </c>
      <c r="F20" s="98">
        <f>SUMIF('1SX5TQ'!$F$6:$F$292,"Bond Received",'1SX5TQ'!$D$6:$D$2992)-SUMIF('1SX5TQ'!$L$6:$L$2990,"Bond Return",'1SX5TQ'!$K$6:$K$2990)</f>
        <v>399.73</v>
      </c>
      <c r="G20" s="90"/>
      <c r="H20" s="90" t="str">
        <f t="shared" ca="1" si="0"/>
        <v/>
      </c>
      <c r="I20" s="99"/>
      <c r="J20" s="90"/>
      <c r="K20" s="91"/>
      <c r="L20" s="102"/>
      <c r="M20" s="102">
        <v>44993</v>
      </c>
      <c r="N20" s="102"/>
      <c r="O20" s="102"/>
      <c r="P20" s="102">
        <v>44056</v>
      </c>
      <c r="Q20" s="91">
        <f>MIN('1SX5TQ'!$G$7:$G$3000)</f>
        <v>0</v>
      </c>
      <c r="R20" s="91">
        <f>(SUMIFS('Other Expense'!$G$9:$G$2995,'Other Expense'!$H$9:$H$2995,"Cost Of Goods",'Other Expense'!$I$9:$I$2995,C20))</f>
        <v>12269.76</v>
      </c>
      <c r="S20" s="91">
        <v>13100</v>
      </c>
      <c r="T20" s="91">
        <f t="shared" ca="1" si="1"/>
        <v>3361.76</v>
      </c>
      <c r="U20" s="91">
        <f ca="1">(S20*(INT((TODAY()-P20)/30)*2)%)</f>
        <v>8908</v>
      </c>
      <c r="V20" s="91">
        <f>MAX('1SX5TQ'!$G$7:$G$2989)</f>
        <v>0</v>
      </c>
      <c r="W20" s="90"/>
      <c r="X20" s="91">
        <f>SUMIFS('Other Expense'!$C$8:$C$3017,'Other Expense'!$D$8:$D$3017,$X$1,'Other Expense'!$E$8:$E$3017,C20)</f>
        <v>0</v>
      </c>
      <c r="Y20" s="91">
        <f>IF(X20=0,0,(X20-(SUMIFS('Other Expense'!$G$9:$G$2995,'Other Expense'!$H$9:$H$2995,"Cost Of Goods",'Other Expense'!$I$9:$I$2995,C20))))</f>
        <v>0</v>
      </c>
      <c r="Z20" s="31">
        <f t="shared" si="3"/>
        <v>2</v>
      </c>
      <c r="AA20">
        <v>0</v>
      </c>
      <c r="AB20" t="s">
        <v>444</v>
      </c>
      <c r="AE20" s="221">
        <v>44674</v>
      </c>
      <c r="AF20" s="17">
        <v>250</v>
      </c>
      <c r="AG20" t="s">
        <v>264</v>
      </c>
      <c r="AH20" s="217" t="s">
        <v>962</v>
      </c>
      <c r="AI20"/>
      <c r="AJ20" s="79" t="s">
        <v>824</v>
      </c>
      <c r="AK20"/>
      <c r="AL20" s="214">
        <v>44942</v>
      </c>
      <c r="AM20" s="215">
        <v>622.33000000000004</v>
      </c>
      <c r="AN20" s="216" t="s">
        <v>122</v>
      </c>
      <c r="AO20" s="216" t="s">
        <v>745</v>
      </c>
      <c r="AP20" s="216" t="s">
        <v>973</v>
      </c>
      <c r="AS20" s="214">
        <v>44942</v>
      </c>
      <c r="AT20" s="215">
        <v>4500</v>
      </c>
      <c r="AU20" s="216" t="s">
        <v>122</v>
      </c>
      <c r="AV20" s="216" t="s">
        <v>689</v>
      </c>
      <c r="AW20" s="216" t="s">
        <v>769</v>
      </c>
    </row>
    <row r="21" spans="1:49" ht="15" customHeight="1" x14ac:dyDescent="0.25">
      <c r="A21" s="10">
        <v>18</v>
      </c>
      <c r="B21" t="s">
        <v>103</v>
      </c>
      <c r="C21" t="s">
        <v>538</v>
      </c>
      <c r="D21" s="95">
        <f>'BMM465'!$O$4</f>
        <v>17034.420000000002</v>
      </c>
      <c r="E21" s="23">
        <f>IFERROR((D21)/((MAX('BMM465'!$E$7:$E$2989)-P21)/30),"")</f>
        <v>502.98484251968506</v>
      </c>
      <c r="F21" s="23">
        <f>SUMIF('BMM465'!$F$6:$F$292,"Bond Received",'BMM465'!$D$6:$D$2992)-SUMIF('BMM465'!$L$6:$L$2990,"Bond Return",'BMM465'!$K$6:$K$2990)</f>
        <v>1200</v>
      </c>
      <c r="H21" t="str">
        <f t="shared" ca="1" si="0"/>
        <v/>
      </c>
      <c r="M21" s="103">
        <v>45002</v>
      </c>
      <c r="N21" s="103">
        <v>45106</v>
      </c>
      <c r="P21" s="103">
        <v>44056</v>
      </c>
      <c r="Q21" s="31">
        <f>MIN('BMM465'!$G$7:$G$3000)</f>
        <v>0</v>
      </c>
      <c r="R21" s="31">
        <f>(SUMIFS('Other Expense'!$G$9:$G$2995,'Other Expense'!$H$9:$H$2995,"Cost Of Goods",'Other Expense'!$I$9:$I$2995,C21))</f>
        <v>25648.480000000003</v>
      </c>
      <c r="S21" s="31">
        <v>30000</v>
      </c>
      <c r="T21" s="91">
        <f t="shared" ca="1" si="1"/>
        <v>5248.4800000000032</v>
      </c>
      <c r="U21" s="91">
        <f t="shared" ca="1" si="2"/>
        <v>20400</v>
      </c>
      <c r="V21" s="31">
        <f>MAX('BMM465'!$G$7:$G$2989)</f>
        <v>0</v>
      </c>
      <c r="X21" s="31">
        <f>SUMIFS('Other Expense'!$C$8:$C$3017,'Other Expense'!$D$8:$D$3017,$X$1,'Other Expense'!$E$8:$E$3017,C21)</f>
        <v>0</v>
      </c>
      <c r="Y21" s="31">
        <f>IF(X21=0,0,(X21-(SUMIFS('Other Expense'!$G$9:$G$2995,'Other Expense'!$H$9:$H$2995,"Cost Of Goods",'Other Expense'!$I$9:$I$2995,C21))))</f>
        <v>0</v>
      </c>
      <c r="Z21" s="31">
        <f t="shared" si="3"/>
        <v>2</v>
      </c>
      <c r="AA21">
        <v>0</v>
      </c>
      <c r="AB21" t="s">
        <v>444</v>
      </c>
      <c r="AE21" s="221">
        <v>44677</v>
      </c>
      <c r="AF21" s="17">
        <v>189</v>
      </c>
      <c r="AG21" t="s">
        <v>264</v>
      </c>
      <c r="AH21" s="217" t="s">
        <v>962</v>
      </c>
      <c r="AI21"/>
      <c r="AJ21" s="79" t="s">
        <v>825</v>
      </c>
      <c r="AK21"/>
      <c r="AL21" s="16">
        <v>44980</v>
      </c>
      <c r="AM21" s="17">
        <v>-2631.5</v>
      </c>
      <c r="AN21" t="s">
        <v>122</v>
      </c>
      <c r="AO21" t="s">
        <v>745</v>
      </c>
      <c r="AS21" s="214">
        <v>44942</v>
      </c>
      <c r="AT21" s="215">
        <v>140</v>
      </c>
      <c r="AU21" s="216" t="s">
        <v>122</v>
      </c>
      <c r="AV21" s="216" t="s">
        <v>689</v>
      </c>
      <c r="AW21" s="216" t="s">
        <v>796</v>
      </c>
    </row>
    <row r="22" spans="1:49" ht="15" customHeight="1" x14ac:dyDescent="0.25">
      <c r="A22" s="89">
        <v>19</v>
      </c>
      <c r="B22" s="90"/>
      <c r="C22" s="90"/>
      <c r="D22" s="115"/>
      <c r="E22" s="90"/>
      <c r="F22" s="91">
        <f>SUMIF('1CF1ZO'!$F$6:$F$292,"Bond Received",'1CF1ZO'!$D$6:$D$2992)-SUMIF('1CF1ZO'!$L$6:$L$2990,"Bond Return",'1CF1ZO'!$K$6:$K$2990)</f>
        <v>-301.75</v>
      </c>
      <c r="G22" s="90"/>
      <c r="H22" s="90" t="str">
        <f ca="1">IF(INT(DAY(J22)-DAY(TODAY()))&lt;=0,"",IF((INT(DAY(J22)-DAY(TODAY())))&lt;=5,"Pay Insurance",""))</f>
        <v/>
      </c>
      <c r="I22" s="99"/>
      <c r="J22" s="90"/>
      <c r="K22" s="91"/>
      <c r="L22" s="102"/>
      <c r="M22" s="102"/>
      <c r="N22" s="102"/>
      <c r="O22" s="102"/>
      <c r="P22" s="102">
        <v>44146</v>
      </c>
      <c r="Q22" s="91">
        <f>MIN('1CF1ZO'!$G$7:$G$3000)</f>
        <v>0</v>
      </c>
      <c r="R22" s="99">
        <f>(SUMIFS('Other Expense'!$G$9:$G$2995,'Other Expense'!$H$9:$H$2995,"Cost Of Goods",'Other Expense'!$I$9:$I$2995,C22))</f>
        <v>0</v>
      </c>
      <c r="S22" s="91">
        <v>0</v>
      </c>
      <c r="T22" s="91">
        <f ca="1">IF(Y22&lt;&gt;0,0,(R22-(S22*(INT((TODAY()-P22)/30)*2)%)))</f>
        <v>0</v>
      </c>
      <c r="U22" s="91">
        <f t="shared" ca="1" si="2"/>
        <v>0</v>
      </c>
      <c r="V22" s="91">
        <f>MAX('1CF1ZO'!$G$7:$G$2989)</f>
        <v>0</v>
      </c>
      <c r="W22" s="90"/>
      <c r="X22" s="91">
        <f>SUMIFS('Other Expense'!$C$8:$C$3017,'Other Expense'!$D$8:$D$3017,$X$1,'Other Expense'!$E$8:$E$3017,C22)</f>
        <v>0</v>
      </c>
      <c r="Y22" s="91">
        <f>IF(X22=0,0,(X22-(SUMIFS('Other Expense'!$G$9:$G$2995,'Other Expense'!$H$9:$H$2995,"Cost Of Goods",'Other Expense'!$I$9:$I$2995,C22))))</f>
        <v>0</v>
      </c>
      <c r="Z22" s="31">
        <f t="shared" si="3"/>
        <v>2</v>
      </c>
      <c r="AE22" s="221">
        <v>44678</v>
      </c>
      <c r="AF22" s="17">
        <v>2</v>
      </c>
      <c r="AG22" t="s">
        <v>264</v>
      </c>
      <c r="AH22" s="217" t="s">
        <v>962</v>
      </c>
      <c r="AI22"/>
      <c r="AJ22" s="79" t="s">
        <v>57</v>
      </c>
      <c r="AK22"/>
      <c r="AL22" s="16">
        <v>44987</v>
      </c>
      <c r="AM22" s="17">
        <v>83.65</v>
      </c>
      <c r="AN22" t="s">
        <v>122</v>
      </c>
      <c r="AO22" t="s">
        <v>745</v>
      </c>
      <c r="AP22" t="s">
        <v>196</v>
      </c>
      <c r="AS22" s="16">
        <v>44958</v>
      </c>
      <c r="AT22" s="17">
        <v>130.02000000000001</v>
      </c>
      <c r="AU22" t="s">
        <v>122</v>
      </c>
      <c r="AV22" t="s">
        <v>689</v>
      </c>
      <c r="AW22" s="216" t="s">
        <v>813</v>
      </c>
    </row>
    <row r="23" spans="1:49" ht="15" customHeight="1" x14ac:dyDescent="0.25">
      <c r="A23" s="10">
        <v>20</v>
      </c>
      <c r="B23" s="8" t="s">
        <v>590</v>
      </c>
      <c r="C23" t="s">
        <v>720</v>
      </c>
      <c r="D23" s="116">
        <f>'1UK1BK'!$O$4</f>
        <v>2618.34</v>
      </c>
      <c r="F23" s="23">
        <f>SUMIF('1UK1BK'!$F$6:$F$292,"Bond Received",'1UK1BK'!$D$6:$D$2992)-SUMIF('1UK1BK'!$L$6:$L$2990,"Bond Return",'1UK1BK'!$K$6:$K$2990)</f>
        <v>600</v>
      </c>
      <c r="H23" t="str">
        <f ca="1">IF(INT(DAY(J23)-DAY(TODAY()))&lt;=0,"",IF((INT(DAY(J23)-DAY(TODAY())))&lt;=5,"Pay Insurance",""))</f>
        <v/>
      </c>
      <c r="M23" s="103">
        <v>44968</v>
      </c>
      <c r="P23" s="103">
        <v>44146</v>
      </c>
      <c r="Q23" s="31">
        <v>145000</v>
      </c>
      <c r="R23" s="31">
        <f>(SUMIFS('Other Expense'!$G$9:$G$2995,'Other Expense'!$H$9:$H$2995,"Cost Of Goods",'Other Expense'!$I$9:$I$2995,C23))</f>
        <v>12473.539999999997</v>
      </c>
      <c r="S23" s="31">
        <v>15000</v>
      </c>
      <c r="T23" s="91">
        <f ca="1">IF(Y23&lt;&gt;0,0,(R23-(S23*(INT((TODAY()-P23)/30)*2)%)))</f>
        <v>3173.5399999999972</v>
      </c>
      <c r="U23" s="91">
        <f ca="1">(S23*(INT((TODAY()-P23)/30)*2)%)</f>
        <v>9300</v>
      </c>
      <c r="V23" s="31">
        <f>MAX('1UK1BK'!$G$7:$G$2989)</f>
        <v>0</v>
      </c>
      <c r="X23" s="31">
        <f>SUMIFS('Other Expense'!$C$8:$C$3017,'Other Expense'!$D$8:$D$3017,$X$1,'Other Expense'!$E$8:$E$3017,C23)</f>
        <v>0</v>
      </c>
      <c r="Y23" s="31">
        <f>IF(X23=0,0,(X23-(SUMIFS('Other Expense'!$G$9:$G$2995,'Other Expense'!$H$9:$H$2995,"Cost Of Goods",'Other Expense'!$I$9:$I$2995,C23))))</f>
        <v>0</v>
      </c>
      <c r="Z23" s="31">
        <f t="shared" si="3"/>
        <v>2</v>
      </c>
      <c r="AA23">
        <v>360</v>
      </c>
      <c r="AB23" t="s">
        <v>444</v>
      </c>
      <c r="AE23" s="221">
        <v>44678</v>
      </c>
      <c r="AF23" s="17">
        <v>550</v>
      </c>
      <c r="AG23" t="s">
        <v>264</v>
      </c>
      <c r="AH23" s="217" t="s">
        <v>962</v>
      </c>
      <c r="AI23"/>
      <c r="AJ23" s="79" t="s">
        <v>826</v>
      </c>
      <c r="AK23"/>
      <c r="AL23" s="16">
        <v>45015</v>
      </c>
      <c r="AM23" s="17">
        <v>150</v>
      </c>
      <c r="AN23" t="s">
        <v>122</v>
      </c>
      <c r="AO23" t="s">
        <v>745</v>
      </c>
      <c r="AP23" t="s">
        <v>796</v>
      </c>
      <c r="AS23" s="16">
        <v>44965</v>
      </c>
      <c r="AT23" s="17">
        <v>160</v>
      </c>
      <c r="AU23" t="s">
        <v>122</v>
      </c>
      <c r="AV23" t="s">
        <v>689</v>
      </c>
      <c r="AW23" s="216" t="s">
        <v>796</v>
      </c>
    </row>
    <row r="24" spans="1:49" ht="15" customHeight="1" x14ac:dyDescent="0.25">
      <c r="A24" s="10">
        <v>21</v>
      </c>
      <c r="B24" s="90"/>
      <c r="C24" s="90"/>
      <c r="D24" s="115"/>
      <c r="E24" s="90"/>
      <c r="F24" s="91"/>
      <c r="G24" s="91"/>
      <c r="H24" s="91"/>
      <c r="I24" s="91"/>
      <c r="J24" s="91"/>
      <c r="K24" s="91"/>
      <c r="L24" s="91"/>
      <c r="M24" s="102"/>
      <c r="N24" s="91"/>
      <c r="O24" s="91"/>
      <c r="P24" s="103">
        <v>44889</v>
      </c>
      <c r="Q24" s="91"/>
      <c r="R24" s="91">
        <f>(SUMIFS('Other Expense'!$G$9:$G$2995,'Other Expense'!$H$9:$H$2995,"Cost Of Goods",'Other Expense'!$I$9:$I$2995,C24))</f>
        <v>0</v>
      </c>
      <c r="S24" s="91">
        <v>1</v>
      </c>
      <c r="T24" s="91">
        <f t="shared" ca="1" si="1"/>
        <v>-0.14000000000000001</v>
      </c>
      <c r="U24" s="91">
        <f t="shared" ca="1" si="2"/>
        <v>0.14000000000000001</v>
      </c>
      <c r="V24" s="91"/>
      <c r="W24" s="90"/>
      <c r="X24" s="91">
        <f>SUMIFS('Other Expense'!$C$8:$C$3017,'Other Expense'!$D$8:$D$3017,$X$1,'Other Expense'!$E$8:$E$3017,C24)</f>
        <v>0</v>
      </c>
      <c r="Y24" s="91">
        <f>IF(X24=0,0,(X24-(SUMIFS('Other Expense'!$G$9:$G$2995,'Other Expense'!$H$9:$H$2995,"Cost Of Goods",'Other Expense'!$I$9:$I$2995,C24))))</f>
        <v>0</v>
      </c>
      <c r="Z24" s="31">
        <f t="shared" si="3"/>
        <v>4</v>
      </c>
      <c r="AA24" s="90"/>
      <c r="AB24" s="90"/>
      <c r="AE24" s="221">
        <v>44678</v>
      </c>
      <c r="AF24" s="17">
        <v>394.6</v>
      </c>
      <c r="AG24" t="s">
        <v>264</v>
      </c>
      <c r="AH24" s="217" t="s">
        <v>962</v>
      </c>
      <c r="AI24"/>
      <c r="AJ24" s="79" t="s">
        <v>505</v>
      </c>
      <c r="AK24"/>
      <c r="AL24" s="16">
        <v>45017</v>
      </c>
      <c r="AM24" s="17">
        <v>153.69</v>
      </c>
      <c r="AN24" t="s">
        <v>122</v>
      </c>
      <c r="AO24" t="s">
        <v>745</v>
      </c>
      <c r="AP24" t="s">
        <v>505</v>
      </c>
      <c r="AS24" s="16">
        <v>44968</v>
      </c>
      <c r="AT24" s="17">
        <v>1000</v>
      </c>
      <c r="AU24" t="s">
        <v>122</v>
      </c>
      <c r="AV24" t="s">
        <v>689</v>
      </c>
      <c r="AW24" s="216" t="s">
        <v>994</v>
      </c>
    </row>
    <row r="25" spans="1:49" ht="15" customHeight="1" x14ac:dyDescent="0.25">
      <c r="A25" s="10">
        <v>22</v>
      </c>
      <c r="B25" s="90" t="s">
        <v>1017</v>
      </c>
      <c r="C25" s="90" t="s">
        <v>1017</v>
      </c>
      <c r="D25" s="95"/>
      <c r="H25" s="16"/>
      <c r="M25" s="102"/>
      <c r="P25" s="103">
        <v>44889</v>
      </c>
      <c r="R25" s="31">
        <f>(SUMIFS('Other Expense'!$G$9:$G$2995,'Other Expense'!$H$9:$H$2995,"Cost Of Goods",'Other Expense'!$I$9:$I$2995,C25))</f>
        <v>5746.66</v>
      </c>
      <c r="S25" s="31">
        <v>1</v>
      </c>
      <c r="T25" s="91">
        <f t="shared" ca="1" si="1"/>
        <v>5746.5199999999995</v>
      </c>
      <c r="U25" s="91">
        <f t="shared" ca="1" si="2"/>
        <v>0.14000000000000001</v>
      </c>
      <c r="Y25" s="91">
        <f>IF(X25=0,0,(X25-(SUMIFS('Other Expense'!$G$9:$G$2995,'Other Expense'!$H$9:$H$2995,"Cost Of Goods",'Other Expense'!$I$9:$I$2995,C25))))</f>
        <v>0</v>
      </c>
      <c r="Z25" s="31">
        <f t="shared" si="3"/>
        <v>4</v>
      </c>
      <c r="AE25" s="221">
        <v>44686</v>
      </c>
      <c r="AF25" s="17">
        <v>250</v>
      </c>
      <c r="AG25" t="s">
        <v>264</v>
      </c>
      <c r="AH25" s="73" t="s">
        <v>939</v>
      </c>
      <c r="AI25"/>
      <c r="AJ25" s="79" t="s">
        <v>829</v>
      </c>
      <c r="AK25"/>
      <c r="AL25" s="16">
        <v>45023</v>
      </c>
      <c r="AM25" s="17">
        <v>285</v>
      </c>
      <c r="AN25" t="s">
        <v>122</v>
      </c>
      <c r="AO25" t="s">
        <v>745</v>
      </c>
      <c r="AP25" t="s">
        <v>1025</v>
      </c>
      <c r="AS25" s="16">
        <v>44980</v>
      </c>
      <c r="AT25" s="17">
        <v>600</v>
      </c>
      <c r="AU25" t="s">
        <v>122</v>
      </c>
      <c r="AV25" t="s">
        <v>689</v>
      </c>
      <c r="AW25" t="s">
        <v>994</v>
      </c>
    </row>
    <row r="26" spans="1:49" ht="15" customHeight="1" x14ac:dyDescent="0.25">
      <c r="A26" s="66">
        <v>23</v>
      </c>
      <c r="B26" s="8" t="s">
        <v>932</v>
      </c>
      <c r="C26" s="90" t="s">
        <v>931</v>
      </c>
      <c r="D26" s="95"/>
      <c r="E26" s="95"/>
      <c r="F26" s="95"/>
      <c r="I26" s="53"/>
      <c r="P26" s="103">
        <v>44889</v>
      </c>
      <c r="R26" s="31">
        <f>(SUMIFS('Other Expense'!$G$9:$G$2995,'Other Expense'!$H$9:$H$2995,"Cost Of Goods",'Other Expense'!$I$9:$I$2995,C26))</f>
        <v>2518.1</v>
      </c>
      <c r="S26" s="95">
        <f>R26</f>
        <v>2518.1</v>
      </c>
      <c r="T26" s="91">
        <f t="shared" ca="1" si="1"/>
        <v>2165.5659999999998</v>
      </c>
      <c r="U26" s="91">
        <f t="shared" ca="1" si="2"/>
        <v>352.53400000000005</v>
      </c>
      <c r="Y26" s="91">
        <f>IF(X26=0,0,(X26-(SUMIFS('Other Expense'!$G$9:$G$2995,'Other Expense'!$H$9:$H$2995,"Cost Of Goods",'Other Expense'!$I$9:$I$2995,C26))))</f>
        <v>0</v>
      </c>
      <c r="Z26" s="31">
        <f t="shared" si="3"/>
        <v>4</v>
      </c>
      <c r="AB26">
        <v>6016</v>
      </c>
      <c r="AE26" s="221">
        <v>44706</v>
      </c>
      <c r="AF26" s="17">
        <v>120</v>
      </c>
      <c r="AG26" t="s">
        <v>264</v>
      </c>
      <c r="AH26" s="217" t="s">
        <v>962</v>
      </c>
      <c r="AI26"/>
      <c r="AJ26" s="79" t="s">
        <v>156</v>
      </c>
      <c r="AK26"/>
      <c r="AL26" s="16">
        <v>45029</v>
      </c>
      <c r="AM26" s="17">
        <v>120.45</v>
      </c>
      <c r="AN26" t="s">
        <v>122</v>
      </c>
      <c r="AO26" t="s">
        <v>745</v>
      </c>
      <c r="AP26" t="s">
        <v>1015</v>
      </c>
      <c r="AQ26" t="s">
        <v>1030</v>
      </c>
      <c r="AS26" s="16">
        <v>44981</v>
      </c>
      <c r="AT26" s="17">
        <v>300</v>
      </c>
      <c r="AU26" t="s">
        <v>122</v>
      </c>
      <c r="AV26" t="s">
        <v>689</v>
      </c>
      <c r="AW26" t="s">
        <v>796</v>
      </c>
    </row>
    <row r="27" spans="1:49" ht="15" customHeight="1" x14ac:dyDescent="0.25">
      <c r="A27" s="10">
        <v>24</v>
      </c>
      <c r="B27" s="8" t="s">
        <v>744</v>
      </c>
      <c r="C27" t="s">
        <v>745</v>
      </c>
      <c r="D27" s="95"/>
      <c r="E27" s="95"/>
      <c r="F27" s="95"/>
      <c r="I27" s="53"/>
      <c r="P27" s="103">
        <v>44352</v>
      </c>
      <c r="R27" s="31">
        <f>(SUMIFS('Other Expense'!$G$9:$G$2995,'Other Expense'!$H$9:$H$2995,"Cost Of Goods",'Other Expense'!$I$9:$I$2995,C27))</f>
        <v>25193.66</v>
      </c>
      <c r="S27" s="95">
        <f t="shared" ref="S27:S34" si="4">R27</f>
        <v>25193.66</v>
      </c>
      <c r="T27" s="91">
        <f t="shared" ca="1" si="1"/>
        <v>12596.83</v>
      </c>
      <c r="U27" s="91">
        <f t="shared" ca="1" si="2"/>
        <v>12596.83</v>
      </c>
      <c r="Y27" s="91">
        <f>IF(X27=0,0,(X27-(SUMIFS('Other Expense'!$G$9:$G$2995,'Other Expense'!$H$9:$H$2995,"Cost Of Goods",'Other Expense'!$I$9:$I$2995,C27))))</f>
        <v>0</v>
      </c>
      <c r="Z27" s="31">
        <f t="shared" si="3"/>
        <v>2</v>
      </c>
      <c r="AB27" s="201">
        <f ca="1">T9-13657</f>
        <v>1596.5699999999997</v>
      </c>
      <c r="AD27" t="s">
        <v>534</v>
      </c>
      <c r="AE27" s="221">
        <v>44721</v>
      </c>
      <c r="AF27" s="17">
        <v>400</v>
      </c>
      <c r="AG27" t="s">
        <v>264</v>
      </c>
      <c r="AH27" s="217" t="s">
        <v>962</v>
      </c>
      <c r="AI27"/>
      <c r="AJ27" s="79" t="s">
        <v>844</v>
      </c>
      <c r="AK27"/>
      <c r="AL27" s="16">
        <v>45058</v>
      </c>
      <c r="AM27" s="17">
        <v>1350</v>
      </c>
      <c r="AN27" t="s">
        <v>122</v>
      </c>
      <c r="AO27" t="s">
        <v>745</v>
      </c>
      <c r="AP27" t="s">
        <v>1034</v>
      </c>
      <c r="AS27" s="16">
        <v>44985</v>
      </c>
      <c r="AT27" s="17">
        <v>2000</v>
      </c>
      <c r="AU27" t="s">
        <v>122</v>
      </c>
      <c r="AV27" t="s">
        <v>689</v>
      </c>
      <c r="AW27" t="s">
        <v>1026</v>
      </c>
    </row>
    <row r="28" spans="1:49" ht="15" customHeight="1" x14ac:dyDescent="0.25">
      <c r="A28" s="10">
        <v>25</v>
      </c>
      <c r="B28" s="90" t="s">
        <v>1020</v>
      </c>
      <c r="C28" s="90" t="s">
        <v>1014</v>
      </c>
      <c r="D28" s="95"/>
      <c r="E28" s="95"/>
      <c r="F28" s="95"/>
      <c r="I28" s="53"/>
      <c r="P28" s="103">
        <v>44353</v>
      </c>
      <c r="R28" s="31">
        <f>(SUMIFS('Other Expense'!$G$9:$G$2995,'Other Expense'!$H$9:$H$2995,"Cost Of Goods",'Other Expense'!$I$9:$I$2995,C28))</f>
        <v>1205.6100000000001</v>
      </c>
      <c r="S28" s="95">
        <f t="shared" si="4"/>
        <v>1205.6100000000001</v>
      </c>
      <c r="T28" s="91">
        <f t="shared" ca="1" si="1"/>
        <v>602.80500000000006</v>
      </c>
      <c r="U28" s="91">
        <f t="shared" ca="1" si="2"/>
        <v>602.80500000000006</v>
      </c>
      <c r="Y28" s="91">
        <f>IF(X28=0,0,(X28-(SUMIFS('Other Expense'!$G$9:$G$2995,'Other Expense'!$H$9:$H$2995,"Cost Of Goods",'Other Expense'!$I$9:$I$2995,C28))))</f>
        <v>0</v>
      </c>
      <c r="Z28" s="31">
        <f t="shared" si="3"/>
        <v>2</v>
      </c>
      <c r="AE28" s="221">
        <v>44721</v>
      </c>
      <c r="AF28" s="17">
        <v>54.65</v>
      </c>
      <c r="AG28" t="s">
        <v>264</v>
      </c>
      <c r="AH28" s="73" t="s">
        <v>939</v>
      </c>
      <c r="AI28"/>
      <c r="AJ28" s="79" t="s">
        <v>845</v>
      </c>
      <c r="AK28"/>
      <c r="AL28" s="16">
        <v>45013</v>
      </c>
      <c r="AM28" s="17">
        <v>1500</v>
      </c>
      <c r="AN28" t="s">
        <v>122</v>
      </c>
      <c r="AO28" t="s">
        <v>745</v>
      </c>
      <c r="AP28" t="s">
        <v>769</v>
      </c>
      <c r="AS28" s="16">
        <v>44985</v>
      </c>
      <c r="AT28" s="17">
        <v>559.15</v>
      </c>
      <c r="AU28" t="s">
        <v>122</v>
      </c>
      <c r="AV28" t="s">
        <v>689</v>
      </c>
      <c r="AW28" t="s">
        <v>1026</v>
      </c>
    </row>
    <row r="29" spans="1:49" ht="15" customHeight="1" x14ac:dyDescent="0.25">
      <c r="A29" s="10">
        <v>26</v>
      </c>
      <c r="B29" s="8"/>
      <c r="D29" s="95"/>
      <c r="E29" s="95"/>
      <c r="F29" s="95"/>
      <c r="I29" s="53"/>
      <c r="P29" s="103">
        <v>44354</v>
      </c>
      <c r="R29" s="31">
        <f>(SUMIFS('Other Expense'!$G$9:$G$2995,'Other Expense'!$H$9:$H$2995,"Cost Of Goods",'Other Expense'!$I$9:$I$2995,C29))</f>
        <v>0</v>
      </c>
      <c r="S29" s="95">
        <f t="shared" si="4"/>
        <v>0</v>
      </c>
      <c r="T29" s="91">
        <f t="shared" ca="1" si="1"/>
        <v>0</v>
      </c>
      <c r="U29" s="91">
        <f t="shared" ca="1" si="2"/>
        <v>0</v>
      </c>
      <c r="Y29" s="91">
        <f>IF(X29=0,0,(X29-(SUMIFS('Other Expense'!$G$9:$G$2995,'Other Expense'!$H$9:$H$2995,"Cost Of Goods",'Other Expense'!$I$9:$I$2995,C29))))</f>
        <v>0</v>
      </c>
      <c r="Z29" s="31">
        <f t="shared" si="3"/>
        <v>2</v>
      </c>
      <c r="AB29" s="201"/>
      <c r="AE29" s="221">
        <v>44726</v>
      </c>
      <c r="AF29" s="17">
        <v>750</v>
      </c>
      <c r="AG29" t="s">
        <v>264</v>
      </c>
      <c r="AH29" s="73" t="s">
        <v>939</v>
      </c>
      <c r="AI29"/>
      <c r="AJ29" s="208" t="s">
        <v>849</v>
      </c>
      <c r="AK29"/>
      <c r="AL29" s="16">
        <v>45055</v>
      </c>
      <c r="AM29" s="17">
        <v>88.98</v>
      </c>
      <c r="AN29" t="s">
        <v>122</v>
      </c>
      <c r="AO29" t="s">
        <v>745</v>
      </c>
      <c r="AP29" t="s">
        <v>960</v>
      </c>
      <c r="AQ29" t="s">
        <v>1031</v>
      </c>
      <c r="AS29" s="16">
        <v>44986</v>
      </c>
      <c r="AT29" s="17">
        <v>86.97</v>
      </c>
      <c r="AU29" t="s">
        <v>122</v>
      </c>
      <c r="AV29" t="s">
        <v>689</v>
      </c>
      <c r="AW29" t="s">
        <v>196</v>
      </c>
    </row>
    <row r="30" spans="1:49" ht="15" customHeight="1" x14ac:dyDescent="0.25">
      <c r="A30" s="10">
        <v>27</v>
      </c>
      <c r="B30" s="8"/>
      <c r="C30" s="90"/>
      <c r="D30" s="95"/>
      <c r="E30" s="95"/>
      <c r="F30" s="95"/>
      <c r="I30" s="53"/>
      <c r="P30" s="103">
        <v>44355</v>
      </c>
      <c r="R30" s="31">
        <f>(SUMIFS('Other Expense'!$G$9:$G$2995,'Other Expense'!$H$9:$H$2995,"Cost Of Goods",'Other Expense'!$I$9:$I$2995,C30))</f>
        <v>0</v>
      </c>
      <c r="S30" s="95">
        <f t="shared" si="4"/>
        <v>0</v>
      </c>
      <c r="T30" s="91">
        <f t="shared" ca="1" si="1"/>
        <v>0</v>
      </c>
      <c r="U30" s="91">
        <f t="shared" ca="1" si="2"/>
        <v>0</v>
      </c>
      <c r="Y30" s="91">
        <f>IF(X30=0,0,(X30-(SUMIFS('Other Expense'!$G$9:$G$2995,'Other Expense'!$H$9:$H$2995,"Cost Of Goods",'Other Expense'!$I$9:$I$2995,C30))))</f>
        <v>0</v>
      </c>
      <c r="Z30" s="31">
        <f t="shared" si="3"/>
        <v>2</v>
      </c>
      <c r="AB30" s="201">
        <f>11428-R30</f>
        <v>11428</v>
      </c>
      <c r="AE30" s="221">
        <v>44728</v>
      </c>
      <c r="AF30" s="17">
        <v>150</v>
      </c>
      <c r="AG30" t="s">
        <v>264</v>
      </c>
      <c r="AH30" s="73" t="s">
        <v>939</v>
      </c>
      <c r="AI30"/>
      <c r="AJ30" s="79" t="s">
        <v>851</v>
      </c>
      <c r="AK30"/>
      <c r="AL30" s="16">
        <v>45055</v>
      </c>
      <c r="AM30" s="17">
        <v>210.94</v>
      </c>
      <c r="AN30" t="s">
        <v>122</v>
      </c>
      <c r="AO30" t="s">
        <v>745</v>
      </c>
      <c r="AP30" t="s">
        <v>960</v>
      </c>
      <c r="AS30" s="16">
        <v>44987</v>
      </c>
      <c r="AT30" s="17">
        <v>150</v>
      </c>
      <c r="AU30" t="s">
        <v>122</v>
      </c>
      <c r="AV30" t="s">
        <v>689</v>
      </c>
      <c r="AW30" t="s">
        <v>796</v>
      </c>
    </row>
    <row r="31" spans="1:49" ht="15" customHeight="1" x14ac:dyDescent="0.25">
      <c r="A31" s="10">
        <v>28</v>
      </c>
      <c r="B31" s="8"/>
      <c r="C31" s="90"/>
      <c r="D31" s="95"/>
      <c r="E31" s="95"/>
      <c r="F31" s="95"/>
      <c r="I31" s="53"/>
      <c r="P31" s="103">
        <v>44356</v>
      </c>
      <c r="R31" s="31">
        <f>(SUMIFS('Other Expense'!$G$9:$G$2995,'Other Expense'!$H$9:$H$2995,"Cost Of Goods",'Other Expense'!$I$9:$I$2995,C31))</f>
        <v>0</v>
      </c>
      <c r="S31" s="95">
        <f t="shared" si="4"/>
        <v>0</v>
      </c>
      <c r="T31" s="91">
        <f t="shared" ca="1" si="1"/>
        <v>0</v>
      </c>
      <c r="U31" s="91">
        <f t="shared" ca="1" si="2"/>
        <v>0</v>
      </c>
      <c r="Y31" s="91">
        <f>IF(X31=0,0,(X31-(SUMIFS('Other Expense'!$G$9:$G$2995,'Other Expense'!$H$9:$H$2995,"Cost Of Goods",'Other Expense'!$I$9:$I$2995,C31))))</f>
        <v>0</v>
      </c>
      <c r="Z31" s="31">
        <f t="shared" si="3"/>
        <v>2</v>
      </c>
      <c r="AE31" s="221">
        <v>44732</v>
      </c>
      <c r="AF31" s="17">
        <v>300</v>
      </c>
      <c r="AG31" t="s">
        <v>264</v>
      </c>
      <c r="AH31" s="73" t="s">
        <v>939</v>
      </c>
      <c r="AI31"/>
      <c r="AJ31" s="208" t="s">
        <v>843</v>
      </c>
      <c r="AK31"/>
      <c r="AL31" s="16">
        <v>45057</v>
      </c>
      <c r="AM31" s="17">
        <v>83.65</v>
      </c>
      <c r="AN31" t="s">
        <v>122</v>
      </c>
      <c r="AO31" t="s">
        <v>745</v>
      </c>
      <c r="AP31" t="s">
        <v>456</v>
      </c>
      <c r="AS31" s="16">
        <v>44987</v>
      </c>
      <c r="AT31" s="17">
        <v>300</v>
      </c>
      <c r="AU31" t="s">
        <v>122</v>
      </c>
      <c r="AV31" t="s">
        <v>689</v>
      </c>
      <c r="AW31" t="s">
        <v>476</v>
      </c>
    </row>
    <row r="32" spans="1:49" ht="15" customHeight="1" x14ac:dyDescent="0.25">
      <c r="A32" s="10">
        <v>29</v>
      </c>
      <c r="B32" s="8"/>
      <c r="C32" s="90"/>
      <c r="D32" s="95" t="e">
        <f>#REF!</f>
        <v>#REF!</v>
      </c>
      <c r="E32" s="95"/>
      <c r="F32" s="95"/>
      <c r="I32" s="53"/>
      <c r="P32" s="103">
        <v>44357</v>
      </c>
      <c r="R32" s="31">
        <f>(SUMIFS('Other Expense'!$G$9:$G$2995,'Other Expense'!$H$9:$H$2995,"Cost Of Goods",'Other Expense'!$I$9:$I$2995,C32))</f>
        <v>0</v>
      </c>
      <c r="S32" s="95">
        <f t="shared" si="4"/>
        <v>0</v>
      </c>
      <c r="T32" s="91">
        <f t="shared" ca="1" si="1"/>
        <v>0</v>
      </c>
      <c r="U32" s="91">
        <f ca="1">(S32*(INT((TODAY()-P32)/30)*2)%)</f>
        <v>0</v>
      </c>
      <c r="Y32" s="91">
        <f>IF(X32=0,0,(X32-(SUMIFS('Other Expense'!$G$9:$G$2995,'Other Expense'!$H$9:$H$2995,"Cost Of Goods",'Other Expense'!$I$9:$I$2995,C32))))</f>
        <v>0</v>
      </c>
      <c r="Z32" s="31">
        <f t="shared" si="3"/>
        <v>2</v>
      </c>
      <c r="AB32" s="201">
        <f>R29-14324</f>
        <v>-14324</v>
      </c>
      <c r="AE32" s="221">
        <v>44738</v>
      </c>
      <c r="AF32" s="17">
        <v>500</v>
      </c>
      <c r="AG32" t="s">
        <v>264</v>
      </c>
      <c r="AH32" s="73" t="s">
        <v>939</v>
      </c>
      <c r="AI32"/>
      <c r="AJ32" s="208" t="s">
        <v>879</v>
      </c>
      <c r="AK32"/>
      <c r="AL32" s="16">
        <v>45058</v>
      </c>
      <c r="AM32" s="17">
        <v>400</v>
      </c>
      <c r="AN32" t="s">
        <v>122</v>
      </c>
      <c r="AO32" t="s">
        <v>745</v>
      </c>
      <c r="AP32" t="s">
        <v>620</v>
      </c>
      <c r="AS32" s="16">
        <v>44990</v>
      </c>
      <c r="AT32" s="17">
        <v>300</v>
      </c>
      <c r="AU32" t="s">
        <v>122</v>
      </c>
      <c r="AV32" t="s">
        <v>689</v>
      </c>
      <c r="AW32" t="s">
        <v>994</v>
      </c>
    </row>
    <row r="33" spans="1:54" ht="15" customHeight="1" x14ac:dyDescent="0.25">
      <c r="A33" s="10">
        <v>30</v>
      </c>
      <c r="B33" s="8"/>
      <c r="C33" s="90"/>
      <c r="D33" s="95"/>
      <c r="E33" s="95"/>
      <c r="F33" s="95"/>
      <c r="I33" s="53"/>
      <c r="P33" s="103">
        <v>44418</v>
      </c>
      <c r="R33" s="31">
        <f>(SUMIFS('Other Expense'!$G$9:$G$2995,'Other Expense'!$H$9:$H$2995,"Cost Of Goods",'Other Expense'!$I$9:$I$2995,C33))</f>
        <v>0</v>
      </c>
      <c r="S33" s="95">
        <f>R33</f>
        <v>0</v>
      </c>
      <c r="T33" s="91">
        <f ca="1">IF(Y33&lt;&gt;0,0,(R33-(S33*(INT((TODAY()-P33)/30)*2)%)))</f>
        <v>0</v>
      </c>
      <c r="U33" s="91">
        <f ca="1">(S33*(INT((TODAY()-P33)/30)*2)%)</f>
        <v>0</v>
      </c>
      <c r="Y33" s="91">
        <f>IF(X33=0,0,(X33-(SUMIFS('Other Expense'!$G$9:$G$2995,'Other Expense'!$H$9:$H$2995,"Cost Of Goods",'Other Expense'!$I$9:$I$2995,C33))))</f>
        <v>0</v>
      </c>
      <c r="Z33" s="31">
        <f t="shared" si="3"/>
        <v>3</v>
      </c>
      <c r="AE33" s="221">
        <v>44742</v>
      </c>
      <c r="AF33" s="17">
        <v>21.27</v>
      </c>
      <c r="AG33" t="s">
        <v>264</v>
      </c>
      <c r="AH33" s="73" t="s">
        <v>939</v>
      </c>
      <c r="AI33"/>
      <c r="AJ33" s="79" t="s">
        <v>32</v>
      </c>
      <c r="AK33"/>
      <c r="AL33" s="16">
        <v>45062</v>
      </c>
      <c r="AM33" s="17">
        <v>110</v>
      </c>
      <c r="AN33" t="s">
        <v>122</v>
      </c>
      <c r="AO33" t="s">
        <v>745</v>
      </c>
      <c r="AP33" t="s">
        <v>673</v>
      </c>
      <c r="AS33" s="16">
        <v>44992</v>
      </c>
      <c r="AT33" s="17">
        <v>150</v>
      </c>
      <c r="AU33" t="s">
        <v>122</v>
      </c>
      <c r="AV33" t="s">
        <v>689</v>
      </c>
      <c r="AW33" t="s">
        <v>1003</v>
      </c>
    </row>
    <row r="34" spans="1:54" ht="15" customHeight="1" x14ac:dyDescent="0.25">
      <c r="A34" s="10">
        <v>31</v>
      </c>
      <c r="B34" s="8"/>
      <c r="C34" s="90"/>
      <c r="D34" s="95"/>
      <c r="E34" s="95"/>
      <c r="F34" s="95"/>
      <c r="I34" s="53"/>
      <c r="P34" s="103">
        <v>44358</v>
      </c>
      <c r="R34" s="31">
        <f>(SUMIFS('Other Expense'!$G$9:$G$2995,'Other Expense'!$H$9:$H$2995,"Cost Of Goods",'Other Expense'!$I$9:$I$2995,C34))</f>
        <v>0</v>
      </c>
      <c r="S34" s="95">
        <f t="shared" si="4"/>
        <v>0</v>
      </c>
      <c r="T34" s="91">
        <f t="shared" ca="1" si="1"/>
        <v>0</v>
      </c>
      <c r="U34" s="91">
        <f t="shared" ca="1" si="2"/>
        <v>0</v>
      </c>
      <c r="Y34" s="91">
        <f>IF(X34=0,0,(X34-(SUMIFS('Other Expense'!$G$9:$G$2995,'Other Expense'!$H$9:$H$2995,"Cost Of Goods",'Other Expense'!$I$9:$I$2995,C34))))</f>
        <v>0</v>
      </c>
      <c r="Z34" s="31">
        <f t="shared" si="3"/>
        <v>2</v>
      </c>
      <c r="AE34" s="221">
        <v>44743</v>
      </c>
      <c r="AF34" s="17">
        <v>50</v>
      </c>
      <c r="AG34" t="s">
        <v>264</v>
      </c>
      <c r="AH34" s="73" t="s">
        <v>939</v>
      </c>
      <c r="AI34"/>
      <c r="AJ34" s="79" t="s">
        <v>196</v>
      </c>
      <c r="AK34"/>
      <c r="AL34" s="16">
        <v>45069</v>
      </c>
      <c r="AM34" s="17">
        <v>300</v>
      </c>
      <c r="AN34" t="s">
        <v>122</v>
      </c>
      <c r="AO34" t="s">
        <v>745</v>
      </c>
      <c r="AP34" t="s">
        <v>1036</v>
      </c>
      <c r="AS34" s="16">
        <v>45006</v>
      </c>
      <c r="AT34" s="17">
        <v>150</v>
      </c>
      <c r="AU34" t="s">
        <v>122</v>
      </c>
      <c r="AV34" t="s">
        <v>689</v>
      </c>
      <c r="AW34" t="s">
        <v>994</v>
      </c>
    </row>
    <row r="35" spans="1:54" ht="15" customHeight="1" x14ac:dyDescent="0.25">
      <c r="B35" s="8"/>
      <c r="C35" s="90"/>
      <c r="D35" s="95"/>
      <c r="E35" s="95"/>
      <c r="F35" s="95"/>
      <c r="I35" s="53"/>
      <c r="P35" s="103">
        <v>44358</v>
      </c>
      <c r="R35" s="31">
        <f>(SUMIFS('Other Expense'!$G$9:$G$2995,'Other Expense'!$H$9:$H$2995,"Cost Of Goods",'Other Expense'!$I$9:$I$2995,C35))</f>
        <v>0</v>
      </c>
      <c r="S35" s="95">
        <f>R35</f>
        <v>0</v>
      </c>
      <c r="T35" s="91">
        <f ca="1">IF(Y35&lt;&gt;0,0,(R35-(S35*(INT((TODAY()-P35)/30)*2)%)))</f>
        <v>0</v>
      </c>
      <c r="U35" s="91">
        <f ca="1">(S35*(INT((TODAY()-P35)/30)*2)%)</f>
        <v>0</v>
      </c>
      <c r="Y35" s="91"/>
      <c r="Z35" s="31">
        <f t="shared" si="3"/>
        <v>2</v>
      </c>
      <c r="AE35" s="221">
        <v>44753</v>
      </c>
      <c r="AF35" s="17">
        <v>450</v>
      </c>
      <c r="AG35" t="s">
        <v>264</v>
      </c>
      <c r="AH35" s="73" t="s">
        <v>939</v>
      </c>
      <c r="AI35"/>
      <c r="AJ35" s="79" t="s">
        <v>880</v>
      </c>
      <c r="AK35"/>
      <c r="AL35" s="16">
        <v>45072</v>
      </c>
      <c r="AM35" s="17">
        <v>166.32</v>
      </c>
      <c r="AN35" t="s">
        <v>122</v>
      </c>
      <c r="AO35" t="s">
        <v>745</v>
      </c>
      <c r="AP35" t="s">
        <v>1037</v>
      </c>
      <c r="AS35" s="16">
        <v>45020</v>
      </c>
      <c r="AT35" s="17">
        <v>300</v>
      </c>
      <c r="AU35" t="s">
        <v>122</v>
      </c>
      <c r="AV35" t="s">
        <v>689</v>
      </c>
      <c r="AW35" t="s">
        <v>1013</v>
      </c>
    </row>
    <row r="36" spans="1:54" ht="15" customHeight="1" x14ac:dyDescent="0.25">
      <c r="Y36" s="118"/>
      <c r="AE36" s="221">
        <v>44762</v>
      </c>
      <c r="AF36" s="17">
        <v>153.69</v>
      </c>
      <c r="AG36" t="s">
        <v>264</v>
      </c>
      <c r="AH36" s="73" t="s">
        <v>939</v>
      </c>
      <c r="AI36"/>
      <c r="AJ36" s="79" t="s">
        <v>505</v>
      </c>
      <c r="AK36"/>
      <c r="AL36" s="31"/>
      <c r="AM36" s="103"/>
      <c r="AN36" s="103"/>
      <c r="AO36" s="103"/>
      <c r="AP36" s="103"/>
      <c r="AS36" s="16">
        <v>45022</v>
      </c>
      <c r="AT36" s="17">
        <v>83.65</v>
      </c>
      <c r="AU36" t="s">
        <v>122</v>
      </c>
      <c r="AV36" t="s">
        <v>689</v>
      </c>
      <c r="AW36" t="s">
        <v>196</v>
      </c>
    </row>
    <row r="37" spans="1:54" ht="15" customHeight="1" x14ac:dyDescent="0.25">
      <c r="A37" s="326"/>
      <c r="B37" s="326" t="s">
        <v>230</v>
      </c>
      <c r="C37" s="326" t="s">
        <v>1</v>
      </c>
      <c r="D37" s="326" t="s">
        <v>2</v>
      </c>
      <c r="E37" s="326" t="s">
        <v>225</v>
      </c>
      <c r="F37" s="326" t="s">
        <v>273</v>
      </c>
      <c r="G37" s="292" t="s">
        <v>335</v>
      </c>
      <c r="H37" s="326" t="s">
        <v>226</v>
      </c>
      <c r="I37" s="355" t="s">
        <v>227</v>
      </c>
      <c r="J37" s="292" t="s">
        <v>228</v>
      </c>
      <c r="K37" s="348" t="s">
        <v>229</v>
      </c>
      <c r="L37" s="350" t="s">
        <v>234</v>
      </c>
      <c r="M37" s="350" t="s">
        <v>3</v>
      </c>
      <c r="N37" s="352" t="s">
        <v>56</v>
      </c>
      <c r="O37" s="155"/>
      <c r="S37" s="79"/>
      <c r="T37" s="79"/>
      <c r="U37" s="79"/>
      <c r="AE37" s="221">
        <v>44768</v>
      </c>
      <c r="AF37" s="17">
        <v>250</v>
      </c>
      <c r="AG37" t="s">
        <v>264</v>
      </c>
      <c r="AH37" s="217" t="s">
        <v>962</v>
      </c>
      <c r="AI37"/>
      <c r="AJ37" s="79" t="s">
        <v>160</v>
      </c>
      <c r="AK37"/>
      <c r="AL37" s="31"/>
      <c r="AM37" s="103"/>
      <c r="AN37" s="103"/>
      <c r="AO37" s="103"/>
      <c r="AP37" s="103"/>
      <c r="AS37" s="16">
        <v>45023</v>
      </c>
      <c r="AT37" s="17">
        <v>153.69</v>
      </c>
      <c r="AU37" t="s">
        <v>122</v>
      </c>
      <c r="AV37" t="s">
        <v>689</v>
      </c>
      <c r="AW37" t="s">
        <v>505</v>
      </c>
    </row>
    <row r="38" spans="1:54" ht="15" customHeight="1" x14ac:dyDescent="0.25">
      <c r="A38" s="293"/>
      <c r="B38" s="293"/>
      <c r="C38" s="293"/>
      <c r="D38" s="293"/>
      <c r="E38" s="293"/>
      <c r="F38" s="293"/>
      <c r="G38" s="293"/>
      <c r="H38" s="293"/>
      <c r="I38" s="356"/>
      <c r="J38" s="357"/>
      <c r="K38" s="349"/>
      <c r="L38" s="351"/>
      <c r="M38" s="351"/>
      <c r="N38" s="352"/>
      <c r="O38" s="155"/>
      <c r="T38" s="117"/>
      <c r="U38" s="117"/>
      <c r="Y38" s="118"/>
      <c r="AE38" s="221">
        <v>44776</v>
      </c>
      <c r="AF38" s="17">
        <v>83.65</v>
      </c>
      <c r="AG38" t="s">
        <v>264</v>
      </c>
      <c r="AH38" s="73" t="s">
        <v>939</v>
      </c>
      <c r="AI38"/>
      <c r="AJ38" s="79" t="s">
        <v>196</v>
      </c>
      <c r="AK38"/>
      <c r="AL38" s="31"/>
      <c r="AM38" s="103"/>
      <c r="AN38" s="103"/>
      <c r="AO38" s="103"/>
      <c r="AP38" s="103"/>
      <c r="AS38" s="16">
        <v>45029</v>
      </c>
      <c r="AT38" s="17">
        <v>1002.77</v>
      </c>
      <c r="AU38" t="s">
        <v>122</v>
      </c>
      <c r="AV38" t="s">
        <v>689</v>
      </c>
      <c r="AW38" t="s">
        <v>1026</v>
      </c>
    </row>
    <row r="39" spans="1:54" ht="15" customHeight="1" x14ac:dyDescent="0.25">
      <c r="A39" s="120"/>
      <c r="B39" s="120">
        <f ca="1">(((S3*T3%)+(SUM(T3)))/S3)*100</f>
        <v>178355.53218171696</v>
      </c>
      <c r="C39" s="120"/>
      <c r="D39" s="120"/>
      <c r="E39" s="120"/>
      <c r="F39" s="43"/>
      <c r="G39" s="120"/>
      <c r="H39" s="120"/>
      <c r="I39" s="125"/>
      <c r="J39" s="43"/>
      <c r="K39" s="123"/>
      <c r="L39" s="123"/>
      <c r="M39" s="43"/>
      <c r="N39" s="129" t="e">
        <f>SUM(N40:N74)</f>
        <v>#REF!</v>
      </c>
      <c r="O39" s="120"/>
      <c r="P39" s="10"/>
      <c r="Q39"/>
      <c r="R39"/>
      <c r="S39"/>
      <c r="T39"/>
      <c r="U39"/>
      <c r="V39"/>
      <c r="X39" s="79"/>
      <c r="Y39"/>
      <c r="AA39" s="103"/>
      <c r="AB39" s="103"/>
      <c r="AC39" s="103"/>
      <c r="AD39" s="103"/>
      <c r="AE39" s="221">
        <v>44776</v>
      </c>
      <c r="AF39" s="17">
        <v>185</v>
      </c>
      <c r="AG39" t="s">
        <v>264</v>
      </c>
      <c r="AH39" s="217" t="s">
        <v>962</v>
      </c>
      <c r="AI39"/>
      <c r="AJ39" s="79" t="s">
        <v>873</v>
      </c>
      <c r="AK39"/>
      <c r="AL39" s="31"/>
      <c r="AM39" s="103"/>
      <c r="AN39" s="103"/>
      <c r="AO39" s="103"/>
      <c r="AP39" s="103"/>
      <c r="AS39" s="16">
        <v>45058</v>
      </c>
      <c r="AT39" s="17">
        <v>125</v>
      </c>
      <c r="AU39" t="s">
        <v>122</v>
      </c>
      <c r="AV39" t="s">
        <v>689</v>
      </c>
      <c r="AW39" t="s">
        <v>673</v>
      </c>
      <c r="AX39" s="10"/>
      <c r="AY39" s="124"/>
      <c r="AZ39" s="124"/>
      <c r="BA39" s="10"/>
      <c r="BB39" s="130"/>
    </row>
    <row r="40" spans="1:54" ht="15" customHeight="1" x14ac:dyDescent="0.25">
      <c r="A40" s="133">
        <v>1</v>
      </c>
      <c r="B40" s="133" t="s">
        <v>137</v>
      </c>
      <c r="C40" s="133" t="s">
        <v>231</v>
      </c>
      <c r="D40" s="133" t="s">
        <v>275</v>
      </c>
      <c r="E40" s="133" t="s">
        <v>276</v>
      </c>
      <c r="F40" s="134">
        <v>3149</v>
      </c>
      <c r="G40" s="133" t="s">
        <v>388</v>
      </c>
      <c r="H40" s="135" t="s">
        <v>389</v>
      </c>
      <c r="I40" s="136" t="s">
        <v>283</v>
      </c>
      <c r="J40" s="134">
        <v>648149</v>
      </c>
      <c r="K40" s="137">
        <v>34373</v>
      </c>
      <c r="L40" s="137">
        <v>43734</v>
      </c>
      <c r="M40" s="134" t="s">
        <v>390</v>
      </c>
      <c r="N40" s="138" t="e">
        <f>SUMIFS('CEI565'!$D$6:$D$2994,'CEI565'!$I$6:$I$2994,B40,'CEI565'!$F$6:$F$2994,"Bond Received")+SUMIFS('1SM3VL'!$D$6:$D$2994,'1SM3VL'!$I$6:$I$2994,B40,'1SM3VL'!$F$6:$F$2994,"Bond Received")+SUMIFS('1QF4SM'!$D$6:$D$2994,'1QF4SM'!$I$6:$I$2994,B40,'1QF4SM'!$F$6:$F$2994,"Bond Received")+SUMIFS('1UV5KI'!$D$6:$D$2994,'1UV5KI'!$I$6:$I$2994,B40,'1UV5KI'!$F$6:$F$2994,"Bond Received")+SUMIFS(#REF!,#REF!,B40,#REF!,"Bond Received")+SUMIFS('1UL9RY'!$D$6:$D$2994,'1UL9RY'!$I$6:$I$2994,B40,'1UL9RY'!$F$6:$F$2994,"Bond Received")+SUMIFS('1OZ7GT'!$D$6:$D$2994,'1OZ7GT'!$I$6:$I$2994,B40,'1OZ7GT'!$F$6:$F$2994,"Bond Received")+SUMIFS('1CN8DD'!$D$6:$D$2994,'1CN8DD'!$I$6:$I$2994,B40,'1CN8DD'!$F$6:$F$2994,"Bond Received")+SUMIFS('1UT9BR'!$D$6:$D$2994,'1UT9BR'!$I$6:$I$2994,B40,'1UT9BR'!$F$6:$F$2994,"Bond Received")+SUMIFS('1MK4UR'!$D$6:$D$2994,'1MK4UR'!$I$6:$I$2994,B40,'1MK4UR'!$F$6:$F$2994,"Bond Received")+SUMIFS(#REF!,#REF!,B40,#REF!,"Bond Received")+SUMIFS('1JI2UE'!$D$6:$D$2994,'1JI2UE'!$I$6:$I$2994,B40,'1JI2UE'!$F$6:$F$2994,"Bond Received")+SUMIFS(#REF!,#REF!,B40,#REF!,"Bond Received")+SUMIFS('1SI9BW'!$D$6:$D$2994,'1SI9BW'!$I$6:$I$2994,B40,'1SI9BW'!$F$6:$F$2994,"Bond Received")+SUMIFS(Suzuki!$D$6:$D$2994,Suzuki!$I$6:$I$2994,B40,Suzuki!$F$6:$F$2994,"Bond Received")+SUMIFS('1SK3DD'!$D$6:$D$2994,'1SK3DD'!$I$6:$I$2994,B40,'1SK3DD'!$F$6:$F$2994,"Bond Received")+SUMIFS('1SX5TQ'!$D$6:$D$2994,'1SX5TQ'!$I$6:$I$2994,B40,'1SX5TQ'!$F$6:$F$2994,"Bond Received")+SUMIFS('BMM465'!$D$6:$D$2994,'BMM465'!$I$6:$I$2994,B40,'BMM465'!$F$6:$F$2994,"Bond Received")+SUMIFS('1CF1ZO'!$D$6:$D$2994,'1CF1ZO'!$I$6:$I$2994,B40,'1CF1ZO'!$F$6:$F$2994,"Bond Received")+SUMIFS('1UK1BK'!$D$6:$D$2994,'1UK1BK'!$I$6:$I$2994,B40,'1UK1BK'!$F$6:$F$2994,"Bond Received")-(((SUMIFS('CEI565'!$K$6:$K$2990,'CEI565'!$N$6:$N$2990,B40,'CEI565'!$L$6:$L$2990,"Bond Return")+SUMIFS('1SM3VL'!$K$6:$K$2990,'1SM3VL'!$N$6:$N$2990,B40,'1SM3VL'!$L$6:$L$2990,"Bond Return")+SUMIFS('1QF4SM'!$K$6:$K$2990,'1QF4SM'!$N$6:$N$2990,B40,'1QF4SM'!$L$6:$L$2990,"Bond Return")+SUMIFS('1UV5KI'!$K$6:$K$2990,'1UV5KI'!$N$6:$N$2990,B40,'1UV5KI'!$L$6:$L$2990,"Bond Return")+SUMIFS(#REF!,#REF!,B40,#REF!,"Bond Return")+SUMIFS('1UL9RY'!$K$6:$K$2990,'1UL9RY'!$N$6:$N$2990,B40,'1UL9RY'!$L$6:$L$2990,"Bond Return")+SUMIFS('1OZ7GT'!$K$6:$K$2990,'1OZ7GT'!$N$6:$N$2990,B40,'1OZ7GT'!$L$6:$L$2990,"Bond Return")+SUMIFS('1CN8DD'!$K$6:$K$2990,'1CN8DD'!$N$6:$N$2990,B40,'1CN8DD'!$L$6:$L$2990,"Bond Return")+SUMIFS('1UT9BR'!$K$6:$K$2990,'1UT9BR'!$N$6:$N$2990,B40,'1UT9BR'!$L$6:$L$2990,"Bond Return")+SUMIFS('1MK4UR'!$K$6:$K$2990,'1MK4UR'!$N$6:$N$2990,B40,'1MK4UR'!$L$6:$L$2990,"Bond Return")+SUMIFS(#REF!,#REF!,B40,#REF!,"Bond Return")+SUMIFS('1JI2UE'!$K$6:$K$2990,'1JI2UE'!$N$6:$N$2990,B40,'1JI2UE'!$L$6:$L$2990,"Bond Return")+SUMIFS(#REF!,#REF!,B40,#REF!,"Bond Return")+SUMIFS('1SI9BW'!$K$6:$K$2990,'1SI9BW'!$N$6:$N$2990,B40,'1SI9BW'!$L$6:$L$2990,"Bond Return")+SUMIFS(Suzuki!$K$6:$K$2990,Suzuki!$N$6:$N$2990,B40,Suzuki!$L$6:$L$2990,"Bond Return")+SUMIFS('1SK3DD'!$K$6:$K$2990,'1SK3DD'!$N$6:$N$2990,B40,'1SK3DD'!$L$6:$L$2990,"Bond Return")+SUMIFS('1SX5TQ'!$K$6:$K$2990,'1SX5TQ'!$N$6:$N$2990,B40,'1SX5TQ'!$L$6:$L$2990,"Bond Return")+SUMIFS('BMM465'!$K$6:$K$2990,'BMM465'!$N$6:$N$2990,B40,'BMM465'!$L$6:$L$2990,"Bond Return")+SUMIFS('1CF1ZO'!$K$6:$K$2990,'1CF1ZO'!$N$6:$N$2990,B40,'1CF1ZO'!$L$6:$L$2990,"Bond Return")+SUMIFS('1UK1BK'!$K$6:$K$2990,'1UK1BK'!$N$6:$N$2990,B40,'1UK1BK'!$L$6:$L$2990,"Bond Return"))))</f>
        <v>#REF!</v>
      </c>
      <c r="O40" s="139"/>
      <c r="AD40" t="s">
        <v>534</v>
      </c>
      <c r="AE40" s="221">
        <v>44481</v>
      </c>
      <c r="AF40" s="17">
        <v>250</v>
      </c>
      <c r="AG40" t="s">
        <v>264</v>
      </c>
      <c r="AH40" t="s">
        <v>687</v>
      </c>
      <c r="AI40"/>
      <c r="AJ40" s="79"/>
      <c r="AK40"/>
      <c r="AL40" s="31"/>
      <c r="AM40" s="103"/>
      <c r="AN40" s="103"/>
      <c r="AO40" s="103"/>
      <c r="AP40" s="103"/>
      <c r="AS40" s="16">
        <v>45058</v>
      </c>
      <c r="AT40" s="17">
        <f>-280*2</f>
        <v>-560</v>
      </c>
      <c r="AU40" t="s">
        <v>122</v>
      </c>
      <c r="AV40" t="s">
        <v>689</v>
      </c>
    </row>
    <row r="41" spans="1:54" ht="15" customHeight="1" x14ac:dyDescent="0.25">
      <c r="A41" s="128">
        <v>2</v>
      </c>
      <c r="B41" s="128" t="s">
        <v>146</v>
      </c>
      <c r="C41" s="128" t="s">
        <v>279</v>
      </c>
      <c r="D41" s="128" t="s">
        <v>280</v>
      </c>
      <c r="E41" s="128" t="s">
        <v>281</v>
      </c>
      <c r="F41" s="10">
        <v>3029</v>
      </c>
      <c r="G41" s="128" t="s">
        <v>395</v>
      </c>
      <c r="I41" s="127" t="s">
        <v>282</v>
      </c>
      <c r="J41" s="10">
        <v>627242</v>
      </c>
      <c r="K41" s="124">
        <v>34049</v>
      </c>
      <c r="L41" s="124">
        <v>43749</v>
      </c>
      <c r="M41" s="10"/>
      <c r="N41" s="130" t="e">
        <f>SUMIFS('CEI565'!$D$6:$D$2994,'CEI565'!$I$6:$I$2994,B41,'CEI565'!$F$6:$F$2994,"Bond Received")+SUMIFS('1SM3VL'!$D$6:$D$2994,'1SM3VL'!$I$6:$I$2994,B41,'1SM3VL'!$F$6:$F$2994,"Bond Received")+SUMIFS('1QF4SM'!$D$6:$D$2994,'1QF4SM'!$I$6:$I$2994,B41,'1QF4SM'!$F$6:$F$2994,"Bond Received")+SUMIFS('1UV5KI'!$D$6:$D$2994,'1UV5KI'!$I$6:$I$2994,B41,'1UV5KI'!$F$6:$F$2994,"Bond Received")+SUMIFS(#REF!,#REF!,B41,#REF!,"Bond Received")+SUMIFS('1UL9RY'!$D$6:$D$2994,'1UL9RY'!$I$6:$I$2994,B41,'1UL9RY'!$F$6:$F$2994,"Bond Received")+SUMIFS('1OZ7GT'!$D$6:$D$2994,'1OZ7GT'!$I$6:$I$2994,B41,'1OZ7GT'!$F$6:$F$2994,"Bond Received")+SUMIFS('1CN8DD'!$D$6:$D$2994,'1CN8DD'!$I$6:$I$2994,B41,'1CN8DD'!$F$6:$F$2994,"Bond Received")+SUMIFS('1UT9BR'!$D$6:$D$2994,'1UT9BR'!$I$6:$I$2994,B41,'1UT9BR'!$F$6:$F$2994,"Bond Received")+SUMIFS('1MK4UR'!$D$6:$D$2994,'1MK4UR'!$I$6:$I$2994,B41,'1MK4UR'!$F$6:$F$2994,"Bond Received")+SUMIFS(#REF!,#REF!,B41,#REF!,"Bond Received")+SUMIFS('1JI2UE'!$D$6:$D$2994,'1JI2UE'!$I$6:$I$2994,B41,'1JI2UE'!$F$6:$F$2994,"Bond Received")+SUMIFS(#REF!,#REF!,B41,#REF!,"Bond Received")+SUMIFS('1SI9BW'!$D$6:$D$2994,'1SI9BW'!$I$6:$I$2994,B41,'1SI9BW'!$F$6:$F$2994,"Bond Received")+SUMIFS(Suzuki!$D$6:$D$2994,Suzuki!$I$6:$I$2994,B41,Suzuki!$F$6:$F$2994,"Bond Received")+SUMIFS('1SK3DD'!$D$6:$D$2994,'1SK3DD'!$I$6:$I$2994,B41,'1SK3DD'!$F$6:$F$2994,"Bond Received")+SUMIFS('1SX5TQ'!$D$6:$D$2994,'1SX5TQ'!$I$6:$I$2994,B41,'1SX5TQ'!$F$6:$F$2994,"Bond Received")+SUMIFS('BMM465'!$D$6:$D$2994,'BMM465'!$I$6:$I$2994,B41,'BMM465'!$F$6:$F$2994,"Bond Received")+SUMIFS('1CF1ZO'!$D$6:$D$2994,'1CF1ZO'!$I$6:$I$2994,B41,'1CF1ZO'!$F$6:$F$2994,"Bond Received")+SUMIFS('1UK1BK'!$D$6:$D$2994,'1UK1BK'!$I$6:$I$2994,B41,'1UK1BK'!$F$6:$F$2994,"Bond Received")-(((SUMIFS('CEI565'!$K$6:$K$2990,'CEI565'!$N$6:$N$2990,B41,'CEI565'!$L$6:$L$2990,"Bond Return")+SUMIFS('1SM3VL'!$K$6:$K$2990,'1SM3VL'!$N$6:$N$2990,B41,'1SM3VL'!$L$6:$L$2990,"Bond Return")+SUMIFS('1QF4SM'!$K$6:$K$2990,'1QF4SM'!$N$6:$N$2990,B41,'1QF4SM'!$L$6:$L$2990,"Bond Return")+SUMIFS('1UV5KI'!$K$6:$K$2990,'1UV5KI'!$N$6:$N$2990,B41,'1UV5KI'!$L$6:$L$2990,"Bond Return")+SUMIFS(#REF!,#REF!,B41,#REF!,"Bond Return")+SUMIFS('1UL9RY'!$K$6:$K$2990,'1UL9RY'!$N$6:$N$2990,B41,'1UL9RY'!$L$6:$L$2990,"Bond Return")+SUMIFS('1OZ7GT'!$K$6:$K$2990,'1OZ7GT'!$N$6:$N$2990,B41,'1OZ7GT'!$L$6:$L$2990,"Bond Return")+SUMIFS('1CN8DD'!$K$6:$K$2990,'1CN8DD'!$N$6:$N$2990,B41,'1CN8DD'!$L$6:$L$2990,"Bond Return")+SUMIFS('1UT9BR'!$K$6:$K$2990,'1UT9BR'!$N$6:$N$2990,B41,'1UT9BR'!$L$6:$L$2990,"Bond Return")+SUMIFS('1MK4UR'!$K$6:$K$2990,'1MK4UR'!$N$6:$N$2990,B41,'1MK4UR'!$L$6:$L$2990,"Bond Return")+SUMIFS(#REF!,#REF!,B41,#REF!,"Bond Return")+SUMIFS('1JI2UE'!$K$6:$K$2990,'1JI2UE'!$N$6:$N$2990,B41,'1JI2UE'!$L$6:$L$2990,"Bond Return")+SUMIFS(#REF!,#REF!,B41,#REF!,"Bond Return")+SUMIFS('1SI9BW'!$K$6:$K$2990,'1SI9BW'!$N$6:$N$2990,B41,'1SI9BW'!$L$6:$L$2990,"Bond Return")+SUMIFS(Suzuki!$K$6:$K$2990,Suzuki!$N$6:$N$2990,B41,Suzuki!$L$6:$L$2990,"Bond Return")+SUMIFS('1SK3DD'!$K$6:$K$2990,'1SK3DD'!$N$6:$N$2990,B41,'1SK3DD'!$L$6:$L$2990,"Bond Return")+SUMIFS('1SX5TQ'!$K$6:$K$2990,'1SX5TQ'!$N$6:$N$2990,B41,'1SX5TQ'!$L$6:$L$2990,"Bond Return")+SUMIFS('BMM465'!$K$6:$K$2990,'BMM465'!$N$6:$N$2990,B41,'BMM465'!$L$6:$L$2990,"Bond Return")+SUMIFS('1CF1ZO'!$K$6:$K$2990,'1CF1ZO'!$N$6:$N$2990,B41,'1CF1ZO'!$L$6:$L$2990,"Bond Return")+SUMIFS('1UK1BK'!$K$6:$K$2990,'1UK1BK'!$N$6:$N$2990,B41,'1UK1BK'!$L$6:$L$2990,"Bond Return"))))</f>
        <v>#REF!</v>
      </c>
      <c r="O41"/>
      <c r="AE41" s="221">
        <v>44671</v>
      </c>
      <c r="AF41" s="17">
        <v>200</v>
      </c>
      <c r="AG41" t="s">
        <v>264</v>
      </c>
      <c r="AH41" s="73" t="s">
        <v>939</v>
      </c>
      <c r="AI41"/>
      <c r="AJ41" s="208" t="s">
        <v>821</v>
      </c>
      <c r="AK41"/>
      <c r="AL41" s="31"/>
      <c r="AM41" s="103"/>
      <c r="AN41" s="103"/>
      <c r="AO41" s="103"/>
      <c r="AP41" s="103"/>
      <c r="AS41" s="16">
        <v>45048</v>
      </c>
      <c r="AT41" s="17">
        <v>-6000</v>
      </c>
      <c r="AU41" t="s">
        <v>122</v>
      </c>
      <c r="AV41" t="s">
        <v>689</v>
      </c>
    </row>
    <row r="42" spans="1:54" ht="15" customHeight="1" x14ac:dyDescent="0.25">
      <c r="A42" s="133">
        <v>3</v>
      </c>
      <c r="B42" s="133" t="s">
        <v>149</v>
      </c>
      <c r="C42" s="133" t="s">
        <v>391</v>
      </c>
      <c r="D42" s="133" t="s">
        <v>272</v>
      </c>
      <c r="E42" s="133" t="s">
        <v>274</v>
      </c>
      <c r="F42" s="134">
        <v>3171</v>
      </c>
      <c r="G42" s="133" t="s">
        <v>392</v>
      </c>
      <c r="H42" s="139"/>
      <c r="I42" s="136"/>
      <c r="J42" s="134"/>
      <c r="K42" s="137">
        <v>34199</v>
      </c>
      <c r="L42" s="137">
        <v>43755</v>
      </c>
      <c r="M42" s="134"/>
      <c r="N42" s="138" t="e">
        <f>SUMIFS('CEI565'!$D$6:$D$2994,'CEI565'!$I$6:$I$2994,B42,'CEI565'!$F$6:$F$2994,"Bond Received")+SUMIFS('1SM3VL'!$D$6:$D$2994,'1SM3VL'!$I$6:$I$2994,B42,'1SM3VL'!$F$6:$F$2994,"Bond Received")+SUMIFS('1QF4SM'!$D$6:$D$2994,'1QF4SM'!$I$6:$I$2994,B42,'1QF4SM'!$F$6:$F$2994,"Bond Received")+SUMIFS('1UV5KI'!$D$6:$D$2994,'1UV5KI'!$I$6:$I$2994,B42,'1UV5KI'!$F$6:$F$2994,"Bond Received")+SUMIFS(#REF!,#REF!,B42,#REF!,"Bond Received")+SUMIFS('1UL9RY'!$D$6:$D$2994,'1UL9RY'!$I$6:$I$2994,B42,'1UL9RY'!$F$6:$F$2994,"Bond Received")+SUMIFS('1OZ7GT'!$D$6:$D$2994,'1OZ7GT'!$I$6:$I$2994,B42,'1OZ7GT'!$F$6:$F$2994,"Bond Received")+SUMIFS('1CN8DD'!$D$6:$D$2994,'1CN8DD'!$I$6:$I$2994,B42,'1CN8DD'!$F$6:$F$2994,"Bond Received")+SUMIFS('1UT9BR'!$D$6:$D$2994,'1UT9BR'!$I$6:$I$2994,B42,'1UT9BR'!$F$6:$F$2994,"Bond Received")+SUMIFS('1MK4UR'!$D$6:$D$2994,'1MK4UR'!$I$6:$I$2994,B42,'1MK4UR'!$F$6:$F$2994,"Bond Received")+SUMIFS(#REF!,#REF!,B42,#REF!,"Bond Received")+SUMIFS('1JI2UE'!$D$6:$D$2994,'1JI2UE'!$I$6:$I$2994,B42,'1JI2UE'!$F$6:$F$2994,"Bond Received")+SUMIFS(#REF!,#REF!,B42,#REF!,"Bond Received")+SUMIFS('1SI9BW'!$D$6:$D$2994,'1SI9BW'!$I$6:$I$2994,B42,'1SI9BW'!$F$6:$F$2994,"Bond Received")+SUMIFS(Suzuki!$D$6:$D$2994,Suzuki!$I$6:$I$2994,B42,Suzuki!$F$6:$F$2994,"Bond Received")+SUMIFS('1SK3DD'!$D$6:$D$2994,'1SK3DD'!$I$6:$I$2994,B42,'1SK3DD'!$F$6:$F$2994,"Bond Received")+SUMIFS('1SX5TQ'!$D$6:$D$2994,'1SX5TQ'!$I$6:$I$2994,B42,'1SX5TQ'!$F$6:$F$2994,"Bond Received")+SUMIFS('BMM465'!$D$6:$D$2994,'BMM465'!$I$6:$I$2994,B42,'BMM465'!$F$6:$F$2994,"Bond Received")+SUMIFS('1CF1ZO'!$D$6:$D$2994,'1CF1ZO'!$I$6:$I$2994,B42,'1CF1ZO'!$F$6:$F$2994,"Bond Received")+SUMIFS('1UK1BK'!$D$6:$D$2994,'1UK1BK'!$I$6:$I$2994,B42,'1UK1BK'!$F$6:$F$2994,"Bond Received")-(((SUMIFS('CEI565'!$K$6:$K$2990,'CEI565'!$N$6:$N$2990,B42,'CEI565'!$L$6:$L$2990,"Bond Return")+SUMIFS('1SM3VL'!$K$6:$K$2990,'1SM3VL'!$N$6:$N$2990,B42,'1SM3VL'!$L$6:$L$2990,"Bond Return")+SUMIFS('1QF4SM'!$K$6:$K$2990,'1QF4SM'!$N$6:$N$2990,B42,'1QF4SM'!$L$6:$L$2990,"Bond Return")+SUMIFS('1UV5KI'!$K$6:$K$2990,'1UV5KI'!$N$6:$N$2990,B42,'1UV5KI'!$L$6:$L$2990,"Bond Return")+SUMIFS(#REF!,#REF!,B42,#REF!,"Bond Return")+SUMIFS('1UL9RY'!$K$6:$K$2990,'1UL9RY'!$N$6:$N$2990,B42,'1UL9RY'!$L$6:$L$2990,"Bond Return")+SUMIFS('1OZ7GT'!$K$6:$K$2990,'1OZ7GT'!$N$6:$N$2990,B42,'1OZ7GT'!$L$6:$L$2990,"Bond Return")+SUMIFS('1CN8DD'!$K$6:$K$2990,'1CN8DD'!$N$6:$N$2990,B42,'1CN8DD'!$L$6:$L$2990,"Bond Return")+SUMIFS('1UT9BR'!$K$6:$K$2990,'1UT9BR'!$N$6:$N$2990,B42,'1UT9BR'!$L$6:$L$2990,"Bond Return")+SUMIFS('1MK4UR'!$K$6:$K$2990,'1MK4UR'!$N$6:$N$2990,B42,'1MK4UR'!$L$6:$L$2990,"Bond Return")+SUMIFS(#REF!,#REF!,B42,#REF!,"Bond Return")+SUMIFS('1JI2UE'!$K$6:$K$2990,'1JI2UE'!$N$6:$N$2990,B42,'1JI2UE'!$L$6:$L$2990,"Bond Return")+SUMIFS(#REF!,#REF!,B42,#REF!,"Bond Return")+SUMIFS('1SI9BW'!$K$6:$K$2990,'1SI9BW'!$N$6:$N$2990,B42,'1SI9BW'!$L$6:$L$2990,"Bond Return")+SUMIFS(Suzuki!$K$6:$K$2990,Suzuki!$N$6:$N$2990,B42,Suzuki!$L$6:$L$2990,"Bond Return")+SUMIFS('1SK3DD'!$K$6:$K$2990,'1SK3DD'!$N$6:$N$2990,B42,'1SK3DD'!$L$6:$L$2990,"Bond Return")+SUMIFS('1SX5TQ'!$K$6:$K$2990,'1SX5TQ'!$N$6:$N$2990,B42,'1SX5TQ'!$L$6:$L$2990,"Bond Return")+SUMIFS('BMM465'!$K$6:$K$2990,'BMM465'!$N$6:$N$2990,B42,'BMM465'!$L$6:$L$2990,"Bond Return")+SUMIFS('1CF1ZO'!$K$6:$K$2990,'1CF1ZO'!$N$6:$N$2990,B42,'1CF1ZO'!$L$6:$L$2990,"Bond Return")+SUMIFS('1UK1BK'!$K$6:$K$2990,'1UK1BK'!$N$6:$N$2990,B42,'1UK1BK'!$L$6:$L$2990,"Bond Return"))))</f>
        <v>#REF!</v>
      </c>
      <c r="O42" s="139"/>
      <c r="AE42" s="221">
        <v>44720</v>
      </c>
      <c r="AF42" s="17">
        <v>330</v>
      </c>
      <c r="AG42" t="s">
        <v>264</v>
      </c>
      <c r="AH42" s="73" t="s">
        <v>939</v>
      </c>
      <c r="AI42"/>
      <c r="AJ42" s="209" t="s">
        <v>843</v>
      </c>
      <c r="AK42"/>
      <c r="AL42" s="31"/>
      <c r="AM42" s="103"/>
      <c r="AN42" s="103"/>
      <c r="AO42" s="103"/>
      <c r="AP42" s="103"/>
    </row>
    <row r="43" spans="1:54" ht="15" customHeight="1" x14ac:dyDescent="0.25">
      <c r="A43" s="128">
        <v>4</v>
      </c>
      <c r="B43" s="128" t="s">
        <v>159</v>
      </c>
      <c r="C43" s="128" t="s">
        <v>278</v>
      </c>
      <c r="D43" s="128" t="s">
        <v>288</v>
      </c>
      <c r="E43" s="128" t="s">
        <v>277</v>
      </c>
      <c r="F43" s="10">
        <v>3171</v>
      </c>
      <c r="G43" s="128" t="s">
        <v>393</v>
      </c>
      <c r="H43" s="132" t="s">
        <v>394</v>
      </c>
      <c r="I43" s="127"/>
      <c r="J43" s="10"/>
      <c r="K43" s="124">
        <v>35432</v>
      </c>
      <c r="L43" s="124">
        <v>43808</v>
      </c>
      <c r="M43" s="10" t="s">
        <v>300</v>
      </c>
      <c r="N43" s="130" t="e">
        <f>SUMIFS('CEI565'!$D$6:$D$2994,'CEI565'!$I$6:$I$2994,B43,'CEI565'!$F$6:$F$2994,"Bond Received")+SUMIFS('1SM3VL'!$D$6:$D$2994,'1SM3VL'!$I$6:$I$2994,B43,'1SM3VL'!$F$6:$F$2994,"Bond Received")+SUMIFS('1QF4SM'!$D$6:$D$2994,'1QF4SM'!$I$6:$I$2994,B43,'1QF4SM'!$F$6:$F$2994,"Bond Received")+SUMIFS('1UV5KI'!$D$6:$D$2994,'1UV5KI'!$I$6:$I$2994,B43,'1UV5KI'!$F$6:$F$2994,"Bond Received")+SUMIFS(#REF!,#REF!,B43,#REF!,"Bond Received")+SUMIFS('1UL9RY'!$D$6:$D$2994,'1UL9RY'!$I$6:$I$2994,B43,'1UL9RY'!$F$6:$F$2994,"Bond Received")+SUMIFS('1OZ7GT'!$D$6:$D$2994,'1OZ7GT'!$I$6:$I$2994,B43,'1OZ7GT'!$F$6:$F$2994,"Bond Received")+SUMIFS('1CN8DD'!$D$6:$D$2994,'1CN8DD'!$I$6:$I$2994,B43,'1CN8DD'!$F$6:$F$2994,"Bond Received")+SUMIFS('1UT9BR'!$D$6:$D$2994,'1UT9BR'!$I$6:$I$2994,B43,'1UT9BR'!$F$6:$F$2994,"Bond Received")+SUMIFS('1MK4UR'!$D$6:$D$2994,'1MK4UR'!$I$6:$I$2994,B43,'1MK4UR'!$F$6:$F$2994,"Bond Received")+SUMIFS(#REF!,#REF!,B43,#REF!,"Bond Received")+SUMIFS('1JI2UE'!$D$6:$D$2994,'1JI2UE'!$I$6:$I$2994,B43,'1JI2UE'!$F$6:$F$2994,"Bond Received")+SUMIFS(#REF!,#REF!,B43,#REF!,"Bond Received")+SUMIFS('1SI9BW'!$D$6:$D$2994,'1SI9BW'!$I$6:$I$2994,B43,'1SI9BW'!$F$6:$F$2994,"Bond Received")+SUMIFS(Suzuki!$D$6:$D$2994,Suzuki!$I$6:$I$2994,B43,Suzuki!$F$6:$F$2994,"Bond Received")+SUMIFS('1SK3DD'!$D$6:$D$2994,'1SK3DD'!$I$6:$I$2994,B43,'1SK3DD'!$F$6:$F$2994,"Bond Received")+SUMIFS('1SX5TQ'!$D$6:$D$2994,'1SX5TQ'!$I$6:$I$2994,B43,'1SX5TQ'!$F$6:$F$2994,"Bond Received")+SUMIFS('BMM465'!$D$6:$D$2994,'BMM465'!$I$6:$I$2994,B43,'BMM465'!$F$6:$F$2994,"Bond Received")+SUMIFS('1CF1ZO'!$D$6:$D$2994,'1CF1ZO'!$I$6:$I$2994,B43,'1CF1ZO'!$F$6:$F$2994,"Bond Received")+SUMIFS('1UK1BK'!$D$6:$D$2994,'1UK1BK'!$I$6:$I$2994,B43,'1UK1BK'!$F$6:$F$2994,"Bond Received")-(((SUMIFS('CEI565'!$K$6:$K$2990,'CEI565'!$N$6:$N$2990,B43,'CEI565'!$L$6:$L$2990,"Bond Return")+SUMIFS('1SM3VL'!$K$6:$K$2990,'1SM3VL'!$N$6:$N$2990,B43,'1SM3VL'!$L$6:$L$2990,"Bond Return")+SUMIFS('1QF4SM'!$K$6:$K$2990,'1QF4SM'!$N$6:$N$2990,B43,'1QF4SM'!$L$6:$L$2990,"Bond Return")+SUMIFS('1UV5KI'!$K$6:$K$2990,'1UV5KI'!$N$6:$N$2990,B43,'1UV5KI'!$L$6:$L$2990,"Bond Return")+SUMIFS(#REF!,#REF!,B43,#REF!,"Bond Return")+SUMIFS('1UL9RY'!$K$6:$K$2990,'1UL9RY'!$N$6:$N$2990,B43,'1UL9RY'!$L$6:$L$2990,"Bond Return")+SUMIFS('1OZ7GT'!$K$6:$K$2990,'1OZ7GT'!$N$6:$N$2990,B43,'1OZ7GT'!$L$6:$L$2990,"Bond Return")+SUMIFS('1CN8DD'!$K$6:$K$2990,'1CN8DD'!$N$6:$N$2990,B43,'1CN8DD'!$L$6:$L$2990,"Bond Return")+SUMIFS('1UT9BR'!$K$6:$K$2990,'1UT9BR'!$N$6:$N$2990,B43,'1UT9BR'!$L$6:$L$2990,"Bond Return")+SUMIFS('1MK4UR'!$K$6:$K$2990,'1MK4UR'!$N$6:$N$2990,B43,'1MK4UR'!$L$6:$L$2990,"Bond Return")+SUMIFS(#REF!,#REF!,B43,#REF!,"Bond Return")+SUMIFS('1JI2UE'!$K$6:$K$2990,'1JI2UE'!$N$6:$N$2990,B43,'1JI2UE'!$L$6:$L$2990,"Bond Return")+SUMIFS(#REF!,#REF!,B43,#REF!,"Bond Return")+SUMIFS('1SI9BW'!$K$6:$K$2990,'1SI9BW'!$N$6:$N$2990,B43,'1SI9BW'!$L$6:$L$2990,"Bond Return")+SUMIFS(Suzuki!$K$6:$K$2990,Suzuki!$N$6:$N$2990,B43,Suzuki!$L$6:$L$2990,"Bond Return")+SUMIFS('1SK3DD'!$K$6:$K$2990,'1SK3DD'!$N$6:$N$2990,B43,'1SK3DD'!$L$6:$L$2990,"Bond Return")+SUMIFS('1SX5TQ'!$K$6:$K$2990,'1SX5TQ'!$N$6:$N$2990,B43,'1SX5TQ'!$L$6:$L$2990,"Bond Return")+SUMIFS('BMM465'!$K$6:$K$2990,'BMM465'!$N$6:$N$2990,B43,'BMM465'!$L$6:$L$2990,"Bond Return")+SUMIFS('1CF1ZO'!$K$6:$K$2990,'1CF1ZO'!$N$6:$N$2990,B43,'1CF1ZO'!$L$6:$L$2990,"Bond Return")+SUMIFS('1UK1BK'!$K$6:$K$2990,'1UK1BK'!$N$6:$N$2990,B43,'1UK1BK'!$L$6:$L$2990,"Bond Return"))))</f>
        <v>#REF!</v>
      </c>
      <c r="O43"/>
      <c r="AE43" s="221">
        <v>44721</v>
      </c>
      <c r="AF43" s="17">
        <v>20.66</v>
      </c>
      <c r="AG43" t="s">
        <v>264</v>
      </c>
      <c r="AH43" s="73" t="s">
        <v>939</v>
      </c>
      <c r="AI43"/>
      <c r="AJ43" s="79" t="s">
        <v>32</v>
      </c>
      <c r="AK43"/>
      <c r="AL43" s="31"/>
      <c r="AM43" s="103"/>
      <c r="AN43" s="103"/>
      <c r="AO43" s="103"/>
      <c r="AP43" s="103"/>
    </row>
    <row r="44" spans="1:54" ht="15" customHeight="1" x14ac:dyDescent="0.25">
      <c r="A44" s="133">
        <v>5</v>
      </c>
      <c r="B44" s="133" t="s">
        <v>155</v>
      </c>
      <c r="C44" s="133" t="s">
        <v>398</v>
      </c>
      <c r="D44" s="133" t="s">
        <v>284</v>
      </c>
      <c r="E44" s="133" t="s">
        <v>285</v>
      </c>
      <c r="F44" s="134">
        <v>3340</v>
      </c>
      <c r="G44" s="133" t="s">
        <v>396</v>
      </c>
      <c r="H44" s="135" t="s">
        <v>397</v>
      </c>
      <c r="I44" s="136" t="s">
        <v>286</v>
      </c>
      <c r="J44" s="136">
        <v>652523</v>
      </c>
      <c r="K44" s="137">
        <v>35818</v>
      </c>
      <c r="L44" s="137">
        <v>43774</v>
      </c>
      <c r="M44" s="134" t="s">
        <v>399</v>
      </c>
      <c r="N44" s="138" t="e">
        <f>SUMIFS('CEI565'!$D$6:$D$2994,'CEI565'!$I$6:$I$2994,B44,'CEI565'!$F$6:$F$2994,"Bond Received")+SUMIFS('1SM3VL'!$D$6:$D$2994,'1SM3VL'!$I$6:$I$2994,B44,'1SM3VL'!$F$6:$F$2994,"Bond Received")+SUMIFS('1QF4SM'!$D$6:$D$2994,'1QF4SM'!$I$6:$I$2994,B44,'1QF4SM'!$F$6:$F$2994,"Bond Received")+SUMIFS('1UV5KI'!$D$6:$D$2994,'1UV5KI'!$I$6:$I$2994,B44,'1UV5KI'!$F$6:$F$2994,"Bond Received")+SUMIFS(#REF!,#REF!,B44,#REF!,"Bond Received")+SUMIFS('1UL9RY'!$D$6:$D$2994,'1UL9RY'!$I$6:$I$2994,B44,'1UL9RY'!$F$6:$F$2994,"Bond Received")+SUMIFS('1OZ7GT'!$D$6:$D$2994,'1OZ7GT'!$I$6:$I$2994,B44,'1OZ7GT'!$F$6:$F$2994,"Bond Received")+SUMIFS('1CN8DD'!$D$6:$D$2994,'1CN8DD'!$I$6:$I$2994,B44,'1CN8DD'!$F$6:$F$2994,"Bond Received")+SUMIFS('1UT9BR'!$D$6:$D$2994,'1UT9BR'!$I$6:$I$2994,B44,'1UT9BR'!$F$6:$F$2994,"Bond Received")+SUMIFS('1MK4UR'!$D$6:$D$2994,'1MK4UR'!$I$6:$I$2994,B44,'1MK4UR'!$F$6:$F$2994,"Bond Received")+SUMIFS(#REF!,#REF!,B44,#REF!,"Bond Received")+SUMIFS('1JI2UE'!$D$6:$D$2994,'1JI2UE'!$I$6:$I$2994,B44,'1JI2UE'!$F$6:$F$2994,"Bond Received")+SUMIFS(#REF!,#REF!,B44,#REF!,"Bond Received")+SUMIFS('1SI9BW'!$D$6:$D$2994,'1SI9BW'!$I$6:$I$2994,B44,'1SI9BW'!$F$6:$F$2994,"Bond Received")+SUMIFS(Suzuki!$D$6:$D$2994,Suzuki!$I$6:$I$2994,B44,Suzuki!$F$6:$F$2994,"Bond Received")+SUMIFS('1SK3DD'!$D$6:$D$2994,'1SK3DD'!$I$6:$I$2994,B44,'1SK3DD'!$F$6:$F$2994,"Bond Received")+SUMIFS('1SX5TQ'!$D$6:$D$2994,'1SX5TQ'!$I$6:$I$2994,B44,'1SX5TQ'!$F$6:$F$2994,"Bond Received")+SUMIFS('BMM465'!$D$6:$D$2994,'BMM465'!$I$6:$I$2994,B44,'BMM465'!$F$6:$F$2994,"Bond Received")+SUMIFS('1CF1ZO'!$D$6:$D$2994,'1CF1ZO'!$I$6:$I$2994,B44,'1CF1ZO'!$F$6:$F$2994,"Bond Received")+SUMIFS('1UK1BK'!$D$6:$D$2994,'1UK1BK'!$I$6:$I$2994,B44,'1UK1BK'!$F$6:$F$2994,"Bond Received")-(((SUMIFS('CEI565'!$K$6:$K$2990,'CEI565'!$N$6:$N$2990,B44,'CEI565'!$L$6:$L$2990,"Bond Return")+SUMIFS('1SM3VL'!$K$6:$K$2990,'1SM3VL'!$N$6:$N$2990,B44,'1SM3VL'!$L$6:$L$2990,"Bond Return")+SUMIFS('1QF4SM'!$K$6:$K$2990,'1QF4SM'!$N$6:$N$2990,B44,'1QF4SM'!$L$6:$L$2990,"Bond Return")+SUMIFS('1UV5KI'!$K$6:$K$2990,'1UV5KI'!$N$6:$N$2990,B44,'1UV5KI'!$L$6:$L$2990,"Bond Return")+SUMIFS(#REF!,#REF!,B44,#REF!,"Bond Return")+SUMIFS('1UL9RY'!$K$6:$K$2990,'1UL9RY'!$N$6:$N$2990,B44,'1UL9RY'!$L$6:$L$2990,"Bond Return")+SUMIFS('1OZ7GT'!$K$6:$K$2990,'1OZ7GT'!$N$6:$N$2990,B44,'1OZ7GT'!$L$6:$L$2990,"Bond Return")+SUMIFS('1CN8DD'!$K$6:$K$2990,'1CN8DD'!$N$6:$N$2990,B44,'1CN8DD'!$L$6:$L$2990,"Bond Return")+SUMIFS('1UT9BR'!$K$6:$K$2990,'1UT9BR'!$N$6:$N$2990,B44,'1UT9BR'!$L$6:$L$2990,"Bond Return")+SUMIFS('1MK4UR'!$K$6:$K$2990,'1MK4UR'!$N$6:$N$2990,B44,'1MK4UR'!$L$6:$L$2990,"Bond Return")+SUMIFS(#REF!,#REF!,B44,#REF!,"Bond Return")+SUMIFS('1JI2UE'!$K$6:$K$2990,'1JI2UE'!$N$6:$N$2990,B44,'1JI2UE'!$L$6:$L$2990,"Bond Return")+SUMIFS(#REF!,#REF!,B44,#REF!,"Bond Return")+SUMIFS('1SI9BW'!$K$6:$K$2990,'1SI9BW'!$N$6:$N$2990,B44,'1SI9BW'!$L$6:$L$2990,"Bond Return")+SUMIFS(Suzuki!$K$6:$K$2990,Suzuki!$N$6:$N$2990,B44,Suzuki!$L$6:$L$2990,"Bond Return")+SUMIFS('1SK3DD'!$K$6:$K$2990,'1SK3DD'!$N$6:$N$2990,B44,'1SK3DD'!$L$6:$L$2990,"Bond Return")+SUMIFS('1SX5TQ'!$K$6:$K$2990,'1SX5TQ'!$N$6:$N$2990,B44,'1SX5TQ'!$L$6:$L$2990,"Bond Return")+SUMIFS('BMM465'!$K$6:$K$2990,'BMM465'!$N$6:$N$2990,B44,'BMM465'!$L$6:$L$2990,"Bond Return")+SUMIFS('1CF1ZO'!$K$6:$K$2990,'1CF1ZO'!$N$6:$N$2990,B44,'1CF1ZO'!$L$6:$L$2990,"Bond Return")+SUMIFS('1UK1BK'!$K$6:$K$2990,'1UK1BK'!$N$6:$N$2990,B44,'1UK1BK'!$L$6:$L$2990,"Bond Return"))))</f>
        <v>#REF!</v>
      </c>
      <c r="O44" s="139"/>
      <c r="AE44" s="221">
        <v>44734</v>
      </c>
      <c r="AF44" s="17">
        <v>6000</v>
      </c>
      <c r="AG44" t="s">
        <v>264</v>
      </c>
      <c r="AH44" s="217" t="s">
        <v>962</v>
      </c>
      <c r="AI44"/>
      <c r="AJ44" s="209" t="s">
        <v>769</v>
      </c>
      <c r="AK44"/>
      <c r="AL44" s="31"/>
      <c r="AM44" s="103"/>
      <c r="AN44" s="103"/>
      <c r="AO44" s="103"/>
      <c r="AP44" s="103"/>
    </row>
    <row r="45" spans="1:54" ht="15" customHeight="1" x14ac:dyDescent="0.25">
      <c r="A45" s="128">
        <v>6</v>
      </c>
      <c r="B45" s="128" t="s">
        <v>162</v>
      </c>
      <c r="C45" s="128" t="s">
        <v>287</v>
      </c>
      <c r="D45" s="128" t="s">
        <v>289</v>
      </c>
      <c r="E45" s="128" t="s">
        <v>290</v>
      </c>
      <c r="F45" s="10">
        <v>3156</v>
      </c>
      <c r="G45" s="128" t="s">
        <v>378</v>
      </c>
      <c r="H45" s="132" t="s">
        <v>379</v>
      </c>
      <c r="I45" s="127" t="s">
        <v>291</v>
      </c>
      <c r="J45" s="127">
        <v>604433</v>
      </c>
      <c r="K45" s="124">
        <v>33060</v>
      </c>
      <c r="L45" s="124">
        <v>43852</v>
      </c>
      <c r="M45" s="10" t="s">
        <v>380</v>
      </c>
      <c r="N45" s="130" t="e">
        <f>SUMIFS('CEI565'!$D$6:$D$2994,'CEI565'!$I$6:$I$2994,B45,'CEI565'!$F$6:$F$2994,"Bond Received")+SUMIFS('1SM3VL'!$D$6:$D$2994,'1SM3VL'!$I$6:$I$2994,B45,'1SM3VL'!$F$6:$F$2994,"Bond Received")+SUMIFS('1QF4SM'!$D$6:$D$2994,'1QF4SM'!$I$6:$I$2994,B45,'1QF4SM'!$F$6:$F$2994,"Bond Received")+SUMIFS('1UV5KI'!$D$6:$D$2994,'1UV5KI'!$I$6:$I$2994,B45,'1UV5KI'!$F$6:$F$2994,"Bond Received")+SUMIFS(#REF!,#REF!,B45,#REF!,"Bond Received")+SUMIFS('1UL9RY'!$D$6:$D$2994,'1UL9RY'!$I$6:$I$2994,B45,'1UL9RY'!$F$6:$F$2994,"Bond Received")+SUMIFS('1OZ7GT'!$D$6:$D$2994,'1OZ7GT'!$I$6:$I$2994,B45,'1OZ7GT'!$F$6:$F$2994,"Bond Received")+SUMIFS('1CN8DD'!$D$6:$D$2994,'1CN8DD'!$I$6:$I$2994,B45,'1CN8DD'!$F$6:$F$2994,"Bond Received")+SUMIFS('1UT9BR'!$D$6:$D$2994,'1UT9BR'!$I$6:$I$2994,B45,'1UT9BR'!$F$6:$F$2994,"Bond Received")+SUMIFS('1MK4UR'!$D$6:$D$2994,'1MK4UR'!$I$6:$I$2994,B45,'1MK4UR'!$F$6:$F$2994,"Bond Received")+SUMIFS(#REF!,#REF!,B45,#REF!,"Bond Received")+SUMIFS('1JI2UE'!$D$6:$D$2994,'1JI2UE'!$I$6:$I$2994,B45,'1JI2UE'!$F$6:$F$2994,"Bond Received")+SUMIFS(#REF!,#REF!,B45,#REF!,"Bond Received")+SUMIFS('1SI9BW'!$D$6:$D$2994,'1SI9BW'!$I$6:$I$2994,B45,'1SI9BW'!$F$6:$F$2994,"Bond Received")+SUMIFS(Suzuki!$D$6:$D$2994,Suzuki!$I$6:$I$2994,B45,Suzuki!$F$6:$F$2994,"Bond Received")+SUMIFS('1SK3DD'!$D$6:$D$2994,'1SK3DD'!$I$6:$I$2994,B45,'1SK3DD'!$F$6:$F$2994,"Bond Received")+SUMIFS('1SX5TQ'!$D$6:$D$2994,'1SX5TQ'!$I$6:$I$2994,B45,'1SX5TQ'!$F$6:$F$2994,"Bond Received")+SUMIFS('BMM465'!$D$6:$D$2994,'BMM465'!$I$6:$I$2994,B45,'BMM465'!$F$6:$F$2994,"Bond Received")+SUMIFS('1CF1ZO'!$D$6:$D$2994,'1CF1ZO'!$I$6:$I$2994,B45,'1CF1ZO'!$F$6:$F$2994,"Bond Received")+SUMIFS('1UK1BK'!$D$6:$D$2994,'1UK1BK'!$I$6:$I$2994,B45,'1UK1BK'!$F$6:$F$2994,"Bond Received")-(((SUMIFS('CEI565'!$K$6:$K$2990,'CEI565'!$N$6:$N$2990,B45,'CEI565'!$L$6:$L$2990,"Bond Return")+SUMIFS('1SM3VL'!$K$6:$K$2990,'1SM3VL'!$N$6:$N$2990,B45,'1SM3VL'!$L$6:$L$2990,"Bond Return")+SUMIFS('1QF4SM'!$K$6:$K$2990,'1QF4SM'!$N$6:$N$2990,B45,'1QF4SM'!$L$6:$L$2990,"Bond Return")+SUMIFS('1UV5KI'!$K$6:$K$2990,'1UV5KI'!$N$6:$N$2990,B45,'1UV5KI'!$L$6:$L$2990,"Bond Return")+SUMIFS(#REF!,#REF!,B45,#REF!,"Bond Return")+SUMIFS('1UL9RY'!$K$6:$K$2990,'1UL9RY'!$N$6:$N$2990,B45,'1UL9RY'!$L$6:$L$2990,"Bond Return")+SUMIFS('1OZ7GT'!$K$6:$K$2990,'1OZ7GT'!$N$6:$N$2990,B45,'1OZ7GT'!$L$6:$L$2990,"Bond Return")+SUMIFS('1CN8DD'!$K$6:$K$2990,'1CN8DD'!$N$6:$N$2990,B45,'1CN8DD'!$L$6:$L$2990,"Bond Return")+SUMIFS('1UT9BR'!$K$6:$K$2990,'1UT9BR'!$N$6:$N$2990,B45,'1UT9BR'!$L$6:$L$2990,"Bond Return")+SUMIFS('1MK4UR'!$K$6:$K$2990,'1MK4UR'!$N$6:$N$2990,B45,'1MK4UR'!$L$6:$L$2990,"Bond Return")+SUMIFS(#REF!,#REF!,B45,#REF!,"Bond Return")+SUMIFS('1JI2UE'!$K$6:$K$2990,'1JI2UE'!$N$6:$N$2990,B45,'1JI2UE'!$L$6:$L$2990,"Bond Return")+SUMIFS(#REF!,#REF!,B45,#REF!,"Bond Return")+SUMIFS('1SI9BW'!$K$6:$K$2990,'1SI9BW'!$N$6:$N$2990,B45,'1SI9BW'!$L$6:$L$2990,"Bond Return")+SUMIFS(Suzuki!$K$6:$K$2990,Suzuki!$N$6:$N$2990,B45,Suzuki!$L$6:$L$2990,"Bond Return")+SUMIFS('1SK3DD'!$K$6:$K$2990,'1SK3DD'!$N$6:$N$2990,B45,'1SK3DD'!$L$6:$L$2990,"Bond Return")+SUMIFS('1SX5TQ'!$K$6:$K$2990,'1SX5TQ'!$N$6:$N$2990,B45,'1SX5TQ'!$L$6:$L$2990,"Bond Return")+SUMIFS('BMM465'!$K$6:$K$2990,'BMM465'!$N$6:$N$2990,B45,'BMM465'!$L$6:$L$2990,"Bond Return")+SUMIFS('1CF1ZO'!$K$6:$K$2990,'1CF1ZO'!$N$6:$N$2990,B45,'1CF1ZO'!$L$6:$L$2990,"Bond Return")+SUMIFS('1UK1BK'!$K$6:$K$2990,'1UK1BK'!$N$6:$N$2990,B45,'1UK1BK'!$L$6:$L$2990,"Bond Return"))))</f>
        <v>#REF!</v>
      </c>
      <c r="O45"/>
      <c r="AE45" s="221">
        <v>44791</v>
      </c>
      <c r="AF45" s="17">
        <v>1044.07</v>
      </c>
      <c r="AG45" t="s">
        <v>264</v>
      </c>
      <c r="AH45" s="73" t="s">
        <v>939</v>
      </c>
      <c r="AI45"/>
      <c r="AJ45" s="124" t="s">
        <v>940</v>
      </c>
      <c r="AM45" s="103"/>
      <c r="AN45" s="103"/>
      <c r="AO45" s="103"/>
      <c r="AP45" s="103"/>
    </row>
    <row r="46" spans="1:54" ht="15" customHeight="1" x14ac:dyDescent="0.25">
      <c r="A46" s="133">
        <v>7</v>
      </c>
      <c r="B46" s="133" t="s">
        <v>139</v>
      </c>
      <c r="C46" s="133" t="s">
        <v>292</v>
      </c>
      <c r="D46" s="133" t="s">
        <v>293</v>
      </c>
      <c r="E46" s="133" t="s">
        <v>294</v>
      </c>
      <c r="F46" s="134"/>
      <c r="G46" s="139"/>
      <c r="H46" s="139"/>
      <c r="I46" s="136" t="s">
        <v>295</v>
      </c>
      <c r="J46" s="136">
        <v>630510</v>
      </c>
      <c r="K46" s="137">
        <v>34308</v>
      </c>
      <c r="L46" s="137">
        <v>43845</v>
      </c>
      <c r="M46" s="134" t="s">
        <v>301</v>
      </c>
      <c r="N46" s="140" t="e">
        <f>SUMIFS('CEI565'!$D$6:$D$2994,'CEI565'!$I$6:$I$2994,B46,'CEI565'!$F$6:$F$2994,"Bond Received")+SUMIFS('1SM3VL'!$D$6:$D$2994,'1SM3VL'!$I$6:$I$2994,B46,'1SM3VL'!$F$6:$F$2994,"Bond Received")+SUMIFS('1QF4SM'!$D$6:$D$2994,'1QF4SM'!$I$6:$I$2994,B46,'1QF4SM'!$F$6:$F$2994,"Bond Received")+SUMIFS('1UV5KI'!$D$6:$D$2994,'1UV5KI'!$I$6:$I$2994,B46,'1UV5KI'!$F$6:$F$2994,"Bond Received")+SUMIFS(#REF!,#REF!,B46,#REF!,"Bond Received")+SUMIFS('1UL9RY'!$D$6:$D$2994,'1UL9RY'!$I$6:$I$2994,B46,'1UL9RY'!$F$6:$F$2994,"Bond Received")+SUMIFS('1OZ7GT'!$D$6:$D$2994,'1OZ7GT'!$I$6:$I$2994,B46,'1OZ7GT'!$F$6:$F$2994,"Bond Received")+SUMIFS('1CN8DD'!$D$6:$D$2994,'1CN8DD'!$I$6:$I$2994,B46,'1CN8DD'!$F$6:$F$2994,"Bond Received")+SUMIFS('1UT9BR'!$D$6:$D$2994,'1UT9BR'!$I$6:$I$2994,B46,'1UT9BR'!$F$6:$F$2994,"Bond Received")+SUMIFS('1MK4UR'!$D$6:$D$2994,'1MK4UR'!$I$6:$I$2994,B46,'1MK4UR'!$F$6:$F$2994,"Bond Received")+SUMIFS(#REF!,#REF!,B46,#REF!,"Bond Received")+SUMIFS('1JI2UE'!$D$6:$D$2994,'1JI2UE'!$I$6:$I$2994,B46,'1JI2UE'!$F$6:$F$2994,"Bond Received")+SUMIFS(#REF!,#REF!,B46,#REF!,"Bond Received")+SUMIFS('1SI9BW'!$D$6:$D$2994,'1SI9BW'!$I$6:$I$2994,B46,'1SI9BW'!$F$6:$F$2994,"Bond Received")+SUMIFS(Suzuki!$D$6:$D$2994,Suzuki!$I$6:$I$2994,B46,Suzuki!$F$6:$F$2994,"Bond Received")+SUMIFS('1SK3DD'!$D$6:$D$2994,'1SK3DD'!$I$6:$I$2994,B46,'1SK3DD'!$F$6:$F$2994,"Bond Received")+SUMIFS('1SX5TQ'!$D$6:$D$2994,'1SX5TQ'!$I$6:$I$2994,B46,'1SX5TQ'!$F$6:$F$2994,"Bond Received")+SUMIFS('BMM465'!$D$6:$D$2994,'BMM465'!$I$6:$I$2994,B46,'BMM465'!$F$6:$F$2994,"Bond Received")+SUMIFS('1CF1ZO'!$D$6:$D$2994,'1CF1ZO'!$I$6:$I$2994,B46,'1CF1ZO'!$F$6:$F$2994,"Bond Received")+SUMIFS('1UK1BK'!$D$6:$D$2994,'1UK1BK'!$I$6:$I$2994,B46,'1UK1BK'!$F$6:$F$2994,"Bond Received")-(((SUMIFS('CEI565'!$K$6:$K$2990,'CEI565'!$N$6:$N$2990,B46,'CEI565'!$L$6:$L$2990,"Bond Return")+SUMIFS('1SM3VL'!$K$6:$K$2990,'1SM3VL'!$N$6:$N$2990,B46,'1SM3VL'!$L$6:$L$2990,"Bond Return")+SUMIFS('1QF4SM'!$K$6:$K$2990,'1QF4SM'!$N$6:$N$2990,B46,'1QF4SM'!$L$6:$L$2990,"Bond Return")+SUMIFS('1UV5KI'!$K$6:$K$2990,'1UV5KI'!$N$6:$N$2990,B46,'1UV5KI'!$L$6:$L$2990,"Bond Return")+SUMIFS(#REF!,#REF!,B46,#REF!,"Bond Return")+SUMIFS('1UL9RY'!$K$6:$K$2990,'1UL9RY'!$N$6:$N$2990,B46,'1UL9RY'!$L$6:$L$2990,"Bond Return")+SUMIFS('1OZ7GT'!$K$6:$K$2990,'1OZ7GT'!$N$6:$N$2990,B46,'1OZ7GT'!$L$6:$L$2990,"Bond Return")+SUMIFS('1CN8DD'!$K$6:$K$2990,'1CN8DD'!$N$6:$N$2990,B46,'1CN8DD'!$L$6:$L$2990,"Bond Return")+SUMIFS('1UT9BR'!$K$6:$K$2990,'1UT9BR'!$N$6:$N$2990,B46,'1UT9BR'!$L$6:$L$2990,"Bond Return")+SUMIFS('1MK4UR'!$K$6:$K$2990,'1MK4UR'!$N$6:$N$2990,B46,'1MK4UR'!$L$6:$L$2990,"Bond Return")+SUMIFS(#REF!,#REF!,B46,#REF!,"Bond Return")+SUMIFS('1JI2UE'!$K$6:$K$2990,'1JI2UE'!$N$6:$N$2990,B46,'1JI2UE'!$L$6:$L$2990,"Bond Return")+SUMIFS(#REF!,#REF!,B46,#REF!,"Bond Return")+SUMIFS('1SI9BW'!$K$6:$K$2990,'1SI9BW'!$N$6:$N$2990,B46,'1SI9BW'!$L$6:$L$2990,"Bond Return")+SUMIFS(Suzuki!$K$6:$K$2990,Suzuki!$N$6:$N$2990,B46,Suzuki!$L$6:$L$2990,"Bond Return")+SUMIFS('1SK3DD'!$K$6:$K$2990,'1SK3DD'!$N$6:$N$2990,B46,'1SK3DD'!$L$6:$L$2990,"Bond Return")+SUMIFS('1SX5TQ'!$K$6:$K$2990,'1SX5TQ'!$N$6:$N$2990,B46,'1SX5TQ'!$L$6:$L$2990,"Bond Return")+SUMIFS('BMM465'!$K$6:$K$2990,'BMM465'!$N$6:$N$2990,B46,'BMM465'!$L$6:$L$2990,"Bond Return")+SUMIFS('1CF1ZO'!$K$6:$K$2990,'1CF1ZO'!$N$6:$N$2990,B46,'1CF1ZO'!$L$6:$L$2990,"Bond Return")+SUMIFS('1UK1BK'!$K$6:$K$2990,'1UK1BK'!$N$6:$N$2990,B46,'1UK1BK'!$L$6:$L$2990,"Bond Return"))))</f>
        <v>#REF!</v>
      </c>
      <c r="O46" s="139"/>
      <c r="AE46" s="221">
        <v>44797</v>
      </c>
      <c r="AF46" s="17">
        <v>400</v>
      </c>
      <c r="AG46" t="s">
        <v>264</v>
      </c>
      <c r="AH46" s="73" t="s">
        <v>939</v>
      </c>
      <c r="AI46"/>
      <c r="AJ46" s="124" t="s">
        <v>880</v>
      </c>
      <c r="AM46" s="103"/>
      <c r="AN46" s="103"/>
      <c r="AO46" s="103"/>
      <c r="AP46" s="103"/>
    </row>
    <row r="47" spans="1:54" ht="15" customHeight="1" x14ac:dyDescent="0.25">
      <c r="A47" s="128">
        <v>8</v>
      </c>
      <c r="B47" s="128" t="s">
        <v>173</v>
      </c>
      <c r="C47" s="128" t="s">
        <v>296</v>
      </c>
      <c r="D47" s="128" t="s">
        <v>297</v>
      </c>
      <c r="E47" s="128" t="s">
        <v>298</v>
      </c>
      <c r="F47" s="10">
        <v>3173</v>
      </c>
      <c r="G47" s="128" t="s">
        <v>360</v>
      </c>
      <c r="H47" s="132" t="s">
        <v>361</v>
      </c>
      <c r="I47" s="127" t="s">
        <v>299</v>
      </c>
      <c r="J47" s="127">
        <v>676727</v>
      </c>
      <c r="K47" s="124">
        <v>30900</v>
      </c>
      <c r="L47" s="124">
        <v>44192</v>
      </c>
      <c r="M47" s="10" t="s">
        <v>300</v>
      </c>
      <c r="N47" s="131" t="e">
        <f>SUMIFS('CEI565'!$D$6:$D$2994,'CEI565'!$I$6:$I$2994,B47,'CEI565'!$F$6:$F$2994,"Bond Received")+SUMIFS('1SM3VL'!$D$6:$D$2994,'1SM3VL'!$I$6:$I$2994,B47,'1SM3VL'!$F$6:$F$2994,"Bond Received")+SUMIFS('1QF4SM'!$D$6:$D$2994,'1QF4SM'!$I$6:$I$2994,B47,'1QF4SM'!$F$6:$F$2994,"Bond Received")+SUMIFS('1UV5KI'!$D$6:$D$2994,'1UV5KI'!$I$6:$I$2994,B47,'1UV5KI'!$F$6:$F$2994,"Bond Received")+SUMIFS(#REF!,#REF!,B47,#REF!,"Bond Received")+SUMIFS('1UL9RY'!$D$6:$D$2994,'1UL9RY'!$I$6:$I$2994,B47,'1UL9RY'!$F$6:$F$2994,"Bond Received")+SUMIFS('1OZ7GT'!$D$6:$D$2994,'1OZ7GT'!$I$6:$I$2994,B47,'1OZ7GT'!$F$6:$F$2994,"Bond Received")+SUMIFS('1CN8DD'!$D$6:$D$2994,'1CN8DD'!$I$6:$I$2994,B47,'1CN8DD'!$F$6:$F$2994,"Bond Received")+SUMIFS('1UT9BR'!$D$6:$D$2994,'1UT9BR'!$I$6:$I$2994,B47,'1UT9BR'!$F$6:$F$2994,"Bond Received")+SUMIFS('1MK4UR'!$D$6:$D$2994,'1MK4UR'!$I$6:$I$2994,B47,'1MK4UR'!$F$6:$F$2994,"Bond Received")+SUMIFS(#REF!,#REF!,B47,#REF!,"Bond Received")+SUMIFS('1JI2UE'!$D$6:$D$2994,'1JI2UE'!$I$6:$I$2994,B47,'1JI2UE'!$F$6:$F$2994,"Bond Received")+SUMIFS(#REF!,#REF!,B47,#REF!,"Bond Received")+SUMIFS('1SI9BW'!$D$6:$D$2994,'1SI9BW'!$I$6:$I$2994,B47,'1SI9BW'!$F$6:$F$2994,"Bond Received")+SUMIFS(Suzuki!$D$6:$D$2994,Suzuki!$I$6:$I$2994,B47,Suzuki!$F$6:$F$2994,"Bond Received")+SUMIFS('1SK3DD'!$D$6:$D$2994,'1SK3DD'!$I$6:$I$2994,B47,'1SK3DD'!$F$6:$F$2994,"Bond Received")+SUMIFS('1SX5TQ'!$D$6:$D$2994,'1SX5TQ'!$I$6:$I$2994,B47,'1SX5TQ'!$F$6:$F$2994,"Bond Received")+SUMIFS('BMM465'!$D$6:$D$2994,'BMM465'!$I$6:$I$2994,B47,'BMM465'!$F$6:$F$2994,"Bond Received")+SUMIFS('1CF1ZO'!$D$6:$D$2994,'1CF1ZO'!$I$6:$I$2994,B47,'1CF1ZO'!$F$6:$F$2994,"Bond Received")+SUMIFS('1UK1BK'!$D$6:$D$2994,'1UK1BK'!$I$6:$I$2994,B47,'1UK1BK'!$F$6:$F$2994,"Bond Received")-(((SUMIFS('CEI565'!$K$6:$K$2990,'CEI565'!$N$6:$N$2990,B47,'CEI565'!$L$6:$L$2990,"Bond Return")+SUMIFS('1SM3VL'!$K$6:$K$2990,'1SM3VL'!$N$6:$N$2990,B47,'1SM3VL'!$L$6:$L$2990,"Bond Return")+SUMIFS('1QF4SM'!$K$6:$K$2990,'1QF4SM'!$N$6:$N$2990,B47,'1QF4SM'!$L$6:$L$2990,"Bond Return")+SUMIFS('1UV5KI'!$K$6:$K$2990,'1UV5KI'!$N$6:$N$2990,B47,'1UV5KI'!$L$6:$L$2990,"Bond Return")+SUMIFS(#REF!,#REF!,B47,#REF!,"Bond Return")+SUMIFS('1UL9RY'!$K$6:$K$2990,'1UL9RY'!$N$6:$N$2990,B47,'1UL9RY'!$L$6:$L$2990,"Bond Return")+SUMIFS('1OZ7GT'!$K$6:$K$2990,'1OZ7GT'!$N$6:$N$2990,B47,'1OZ7GT'!$L$6:$L$2990,"Bond Return")+SUMIFS('1CN8DD'!$K$6:$K$2990,'1CN8DD'!$N$6:$N$2990,B47,'1CN8DD'!$L$6:$L$2990,"Bond Return")+SUMIFS('1UT9BR'!$K$6:$K$2990,'1UT9BR'!$N$6:$N$2990,B47,'1UT9BR'!$L$6:$L$2990,"Bond Return")+SUMIFS('1MK4UR'!$K$6:$K$2990,'1MK4UR'!$N$6:$N$2990,B47,'1MK4UR'!$L$6:$L$2990,"Bond Return")+SUMIFS(#REF!,#REF!,B47,#REF!,"Bond Return")+SUMIFS('1JI2UE'!$K$6:$K$2990,'1JI2UE'!$N$6:$N$2990,B47,'1JI2UE'!$L$6:$L$2990,"Bond Return")+SUMIFS(#REF!,#REF!,B47,#REF!,"Bond Return")+SUMIFS('1SI9BW'!$K$6:$K$2990,'1SI9BW'!$N$6:$N$2990,B47,'1SI9BW'!$L$6:$L$2990,"Bond Return")+SUMIFS(Suzuki!$K$6:$K$2990,Suzuki!$N$6:$N$2990,B47,Suzuki!$L$6:$L$2990,"Bond Return")+SUMIFS('1SK3DD'!$K$6:$K$2990,'1SK3DD'!$N$6:$N$2990,B47,'1SK3DD'!$L$6:$L$2990,"Bond Return")+SUMIFS('1SX5TQ'!$K$6:$K$2990,'1SX5TQ'!$N$6:$N$2990,B47,'1SX5TQ'!$L$6:$L$2990,"Bond Return")+SUMIFS('BMM465'!$K$6:$K$2990,'BMM465'!$N$6:$N$2990,B47,'BMM465'!$L$6:$L$2990,"Bond Return")+SUMIFS('1CF1ZO'!$K$6:$K$2990,'1CF1ZO'!$N$6:$N$2990,B47,'1CF1ZO'!$L$6:$L$2990,"Bond Return")+SUMIFS('1UK1BK'!$K$6:$K$2990,'1UK1BK'!$N$6:$N$2990,B47,'1UK1BK'!$L$6:$L$2990,"Bond Return"))))</f>
        <v>#REF!</v>
      </c>
      <c r="O47"/>
      <c r="AE47" s="221">
        <v>44799</v>
      </c>
      <c r="AF47" s="17">
        <v>153.69</v>
      </c>
      <c r="AG47" t="s">
        <v>264</v>
      </c>
      <c r="AH47" s="73" t="s">
        <v>939</v>
      </c>
      <c r="AI47"/>
      <c r="AJ47" s="124" t="s">
        <v>505</v>
      </c>
    </row>
    <row r="48" spans="1:54" ht="15" customHeight="1" x14ac:dyDescent="0.25">
      <c r="A48" s="133">
        <v>9</v>
      </c>
      <c r="B48" s="133" t="s">
        <v>175</v>
      </c>
      <c r="C48" s="133" t="s">
        <v>304</v>
      </c>
      <c r="D48" s="133" t="s">
        <v>302</v>
      </c>
      <c r="E48" s="133" t="s">
        <v>305</v>
      </c>
      <c r="F48" s="134">
        <v>3169</v>
      </c>
      <c r="G48" s="133" t="s">
        <v>358</v>
      </c>
      <c r="H48" s="135" t="s">
        <v>359</v>
      </c>
      <c r="I48" s="136" t="s">
        <v>306</v>
      </c>
      <c r="J48" s="136">
        <v>544439</v>
      </c>
      <c r="K48" s="137">
        <v>29766</v>
      </c>
      <c r="L48" s="137">
        <v>43859</v>
      </c>
      <c r="M48" s="134" t="s">
        <v>303</v>
      </c>
      <c r="N48" s="140" t="e">
        <f>SUMIFS('CEI565'!$D$6:$D$2994,'CEI565'!$I$6:$I$2994,B48,'CEI565'!$F$6:$F$2994,"Bond Received")+SUMIFS('1SM3VL'!$D$6:$D$2994,'1SM3VL'!$I$6:$I$2994,B48,'1SM3VL'!$F$6:$F$2994,"Bond Received")+SUMIFS('1QF4SM'!$D$6:$D$2994,'1QF4SM'!$I$6:$I$2994,B48,'1QF4SM'!$F$6:$F$2994,"Bond Received")+SUMIFS('1UV5KI'!$D$6:$D$2994,'1UV5KI'!$I$6:$I$2994,B48,'1UV5KI'!$F$6:$F$2994,"Bond Received")+SUMIFS(#REF!,#REF!,B48,#REF!,"Bond Received")+SUMIFS('1UL9RY'!$D$6:$D$2994,'1UL9RY'!$I$6:$I$2994,B48,'1UL9RY'!$F$6:$F$2994,"Bond Received")+SUMIFS('1OZ7GT'!$D$6:$D$2994,'1OZ7GT'!$I$6:$I$2994,B48,'1OZ7GT'!$F$6:$F$2994,"Bond Received")+SUMIFS('1CN8DD'!$D$6:$D$2994,'1CN8DD'!$I$6:$I$2994,B48,'1CN8DD'!$F$6:$F$2994,"Bond Received")+SUMIFS('1UT9BR'!$D$6:$D$2994,'1UT9BR'!$I$6:$I$2994,B48,'1UT9BR'!$F$6:$F$2994,"Bond Received")+SUMIFS('1MK4UR'!$D$6:$D$2994,'1MK4UR'!$I$6:$I$2994,B48,'1MK4UR'!$F$6:$F$2994,"Bond Received")+SUMIFS(#REF!,#REF!,B48,#REF!,"Bond Received")+SUMIFS('1JI2UE'!$D$6:$D$2994,'1JI2UE'!$I$6:$I$2994,B48,'1JI2UE'!$F$6:$F$2994,"Bond Received")+SUMIFS(#REF!,#REF!,B48,#REF!,"Bond Received")+SUMIFS('1SI9BW'!$D$6:$D$2994,'1SI9BW'!$I$6:$I$2994,B48,'1SI9BW'!$F$6:$F$2994,"Bond Received")+SUMIFS(Suzuki!$D$6:$D$2994,Suzuki!$I$6:$I$2994,B48,Suzuki!$F$6:$F$2994,"Bond Received")+SUMIFS('1SK3DD'!$D$6:$D$2994,'1SK3DD'!$I$6:$I$2994,B48,'1SK3DD'!$F$6:$F$2994,"Bond Received")+SUMIFS('1SX5TQ'!$D$6:$D$2994,'1SX5TQ'!$I$6:$I$2994,B48,'1SX5TQ'!$F$6:$F$2994,"Bond Received")+SUMIFS('BMM465'!$D$6:$D$2994,'BMM465'!$I$6:$I$2994,B48,'BMM465'!$F$6:$F$2994,"Bond Received")+SUMIFS('1CF1ZO'!$D$6:$D$2994,'1CF1ZO'!$I$6:$I$2994,B48,'1CF1ZO'!$F$6:$F$2994,"Bond Received")+SUMIFS('1UK1BK'!$D$6:$D$2994,'1UK1BK'!$I$6:$I$2994,B48,'1UK1BK'!$F$6:$F$2994,"Bond Received")-(((SUMIFS('CEI565'!$K$6:$K$2990,'CEI565'!$N$6:$N$2990,B48,'CEI565'!$L$6:$L$2990,"Bond Return")+SUMIFS('1SM3VL'!$K$6:$K$2990,'1SM3VL'!$N$6:$N$2990,B48,'1SM3VL'!$L$6:$L$2990,"Bond Return")+SUMIFS('1QF4SM'!$K$6:$K$2990,'1QF4SM'!$N$6:$N$2990,B48,'1QF4SM'!$L$6:$L$2990,"Bond Return")+SUMIFS('1UV5KI'!$K$6:$K$2990,'1UV5KI'!$N$6:$N$2990,B48,'1UV5KI'!$L$6:$L$2990,"Bond Return")+SUMIFS(#REF!,#REF!,B48,#REF!,"Bond Return")+SUMIFS('1UL9RY'!$K$6:$K$2990,'1UL9RY'!$N$6:$N$2990,B48,'1UL9RY'!$L$6:$L$2990,"Bond Return")+SUMIFS('1OZ7GT'!$K$6:$K$2990,'1OZ7GT'!$N$6:$N$2990,B48,'1OZ7GT'!$L$6:$L$2990,"Bond Return")+SUMIFS('1CN8DD'!$K$6:$K$2990,'1CN8DD'!$N$6:$N$2990,B48,'1CN8DD'!$L$6:$L$2990,"Bond Return")+SUMIFS('1UT9BR'!$K$6:$K$2990,'1UT9BR'!$N$6:$N$2990,B48,'1UT9BR'!$L$6:$L$2990,"Bond Return")+SUMIFS('1MK4UR'!$K$6:$K$2990,'1MK4UR'!$N$6:$N$2990,B48,'1MK4UR'!$L$6:$L$2990,"Bond Return")+SUMIFS(#REF!,#REF!,B48,#REF!,"Bond Return")+SUMIFS('1JI2UE'!$K$6:$K$2990,'1JI2UE'!$N$6:$N$2990,B48,'1JI2UE'!$L$6:$L$2990,"Bond Return")+SUMIFS(#REF!,#REF!,B48,#REF!,"Bond Return")+SUMIFS('1SI9BW'!$K$6:$K$2990,'1SI9BW'!$N$6:$N$2990,B48,'1SI9BW'!$L$6:$L$2990,"Bond Return")+SUMIFS(Suzuki!$K$6:$K$2990,Suzuki!$N$6:$N$2990,B48,Suzuki!$L$6:$L$2990,"Bond Return")+SUMIFS('1SK3DD'!$K$6:$K$2990,'1SK3DD'!$N$6:$N$2990,B48,'1SK3DD'!$L$6:$L$2990,"Bond Return")+SUMIFS('1SX5TQ'!$K$6:$K$2990,'1SX5TQ'!$N$6:$N$2990,B48,'1SX5TQ'!$L$6:$L$2990,"Bond Return")+SUMIFS('BMM465'!$K$6:$K$2990,'BMM465'!$N$6:$N$2990,B48,'BMM465'!$L$6:$L$2990,"Bond Return")+SUMIFS('1CF1ZO'!$K$6:$K$2990,'1CF1ZO'!$N$6:$N$2990,B48,'1CF1ZO'!$L$6:$L$2990,"Bond Return")+SUMIFS('1UK1BK'!$K$6:$K$2990,'1UK1BK'!$N$6:$N$2990,B48,'1UK1BK'!$L$6:$L$2990,"Bond Return"))))</f>
        <v>#REF!</v>
      </c>
      <c r="O48" s="139"/>
      <c r="AE48" s="221">
        <v>44799</v>
      </c>
      <c r="AF48" s="17">
        <v>3.69</v>
      </c>
      <c r="AG48" t="s">
        <v>264</v>
      </c>
      <c r="AH48" s="73" t="s">
        <v>939</v>
      </c>
      <c r="AI48"/>
    </row>
    <row r="49" spans="1:39" ht="15" customHeight="1" x14ac:dyDescent="0.25">
      <c r="A49" s="128">
        <v>10</v>
      </c>
      <c r="B49" s="128" t="s">
        <v>150</v>
      </c>
      <c r="C49" s="128" t="s">
        <v>307</v>
      </c>
      <c r="D49" s="128" t="s">
        <v>308</v>
      </c>
      <c r="E49" s="128" t="s">
        <v>274</v>
      </c>
      <c r="F49" s="10">
        <v>3171</v>
      </c>
      <c r="G49" s="128" t="s">
        <v>376</v>
      </c>
      <c r="H49" s="132" t="s">
        <v>377</v>
      </c>
      <c r="I49" s="127" t="s">
        <v>310</v>
      </c>
      <c r="J49" s="127">
        <v>672549</v>
      </c>
      <c r="K49" s="124">
        <v>34956</v>
      </c>
      <c r="L49" s="124">
        <v>43848</v>
      </c>
      <c r="M49" s="10" t="s">
        <v>309</v>
      </c>
      <c r="N49" s="131" t="e">
        <f>SUMIFS('CEI565'!$D$6:$D$2994,'CEI565'!$I$6:$I$2994,B49,'CEI565'!$F$6:$F$2994,"Bond Received")+SUMIFS('1SM3VL'!$D$6:$D$2994,'1SM3VL'!$I$6:$I$2994,B49,'1SM3VL'!$F$6:$F$2994,"Bond Received")+SUMIFS('1QF4SM'!$D$6:$D$2994,'1QF4SM'!$I$6:$I$2994,B49,'1QF4SM'!$F$6:$F$2994,"Bond Received")+SUMIFS('1UV5KI'!$D$6:$D$2994,'1UV5KI'!$I$6:$I$2994,B49,'1UV5KI'!$F$6:$F$2994,"Bond Received")+SUMIFS(#REF!,#REF!,B49,#REF!,"Bond Received")+SUMIFS('1UL9RY'!$D$6:$D$2994,'1UL9RY'!$I$6:$I$2994,B49,'1UL9RY'!$F$6:$F$2994,"Bond Received")+SUMIFS('1OZ7GT'!$D$6:$D$2994,'1OZ7GT'!$I$6:$I$2994,B49,'1OZ7GT'!$F$6:$F$2994,"Bond Received")+SUMIFS('1CN8DD'!$D$6:$D$2994,'1CN8DD'!$I$6:$I$2994,B49,'1CN8DD'!$F$6:$F$2994,"Bond Received")+SUMIFS('1UT9BR'!$D$6:$D$2994,'1UT9BR'!$I$6:$I$2994,B49,'1UT9BR'!$F$6:$F$2994,"Bond Received")+SUMIFS('1MK4UR'!$D$6:$D$2994,'1MK4UR'!$I$6:$I$2994,B49,'1MK4UR'!$F$6:$F$2994,"Bond Received")+SUMIFS(#REF!,#REF!,B49,#REF!,"Bond Received")+SUMIFS('1JI2UE'!$D$6:$D$2994,'1JI2UE'!$I$6:$I$2994,B49,'1JI2UE'!$F$6:$F$2994,"Bond Received")+SUMIFS(#REF!,#REF!,B49,#REF!,"Bond Received")+SUMIFS('1SI9BW'!$D$6:$D$2994,'1SI9BW'!$I$6:$I$2994,B49,'1SI9BW'!$F$6:$F$2994,"Bond Received")+SUMIFS(Suzuki!$D$6:$D$2994,Suzuki!$I$6:$I$2994,B49,Suzuki!$F$6:$F$2994,"Bond Received")+SUMIFS('1SK3DD'!$D$6:$D$2994,'1SK3DD'!$I$6:$I$2994,B49,'1SK3DD'!$F$6:$F$2994,"Bond Received")+SUMIFS('1SX5TQ'!$D$6:$D$2994,'1SX5TQ'!$I$6:$I$2994,B49,'1SX5TQ'!$F$6:$F$2994,"Bond Received")+SUMIFS('BMM465'!$D$6:$D$2994,'BMM465'!$I$6:$I$2994,B49,'BMM465'!$F$6:$F$2994,"Bond Received")+SUMIFS('1CF1ZO'!$D$6:$D$2994,'1CF1ZO'!$I$6:$I$2994,B49,'1CF1ZO'!$F$6:$F$2994,"Bond Received")+SUMIFS('1UK1BK'!$D$6:$D$2994,'1UK1BK'!$I$6:$I$2994,B49,'1UK1BK'!$F$6:$F$2994,"Bond Received")-(((SUMIFS('CEI565'!$K$6:$K$2990,'CEI565'!$N$6:$N$2990,B49,'CEI565'!$L$6:$L$2990,"Bond Return")+SUMIFS('1SM3VL'!$K$6:$K$2990,'1SM3VL'!$N$6:$N$2990,B49,'1SM3VL'!$L$6:$L$2990,"Bond Return")+SUMIFS('1QF4SM'!$K$6:$K$2990,'1QF4SM'!$N$6:$N$2990,B49,'1QF4SM'!$L$6:$L$2990,"Bond Return")+SUMIFS('1UV5KI'!$K$6:$K$2990,'1UV5KI'!$N$6:$N$2990,B49,'1UV5KI'!$L$6:$L$2990,"Bond Return")+SUMIFS(#REF!,#REF!,B49,#REF!,"Bond Return")+SUMIFS('1UL9RY'!$K$6:$K$2990,'1UL9RY'!$N$6:$N$2990,B49,'1UL9RY'!$L$6:$L$2990,"Bond Return")+SUMIFS('1OZ7GT'!$K$6:$K$2990,'1OZ7GT'!$N$6:$N$2990,B49,'1OZ7GT'!$L$6:$L$2990,"Bond Return")+SUMIFS('1CN8DD'!$K$6:$K$2990,'1CN8DD'!$N$6:$N$2990,B49,'1CN8DD'!$L$6:$L$2990,"Bond Return")+SUMIFS('1UT9BR'!$K$6:$K$2990,'1UT9BR'!$N$6:$N$2990,B49,'1UT9BR'!$L$6:$L$2990,"Bond Return")+SUMIFS('1MK4UR'!$K$6:$K$2990,'1MK4UR'!$N$6:$N$2990,B49,'1MK4UR'!$L$6:$L$2990,"Bond Return")+SUMIFS(#REF!,#REF!,B49,#REF!,"Bond Return")+SUMIFS('1JI2UE'!$K$6:$K$2990,'1JI2UE'!$N$6:$N$2990,B49,'1JI2UE'!$L$6:$L$2990,"Bond Return")+SUMIFS(#REF!,#REF!,B49,#REF!,"Bond Return")+SUMIFS('1SI9BW'!$K$6:$K$2990,'1SI9BW'!$N$6:$N$2990,B49,'1SI9BW'!$L$6:$L$2990,"Bond Return")+SUMIFS(Suzuki!$K$6:$K$2990,Suzuki!$N$6:$N$2990,B49,Suzuki!$L$6:$L$2990,"Bond Return")+SUMIFS('1SK3DD'!$K$6:$K$2990,'1SK3DD'!$N$6:$N$2990,B49,'1SK3DD'!$L$6:$L$2990,"Bond Return")+SUMIFS('1SX5TQ'!$K$6:$K$2990,'1SX5TQ'!$N$6:$N$2990,B49,'1SX5TQ'!$L$6:$L$2990,"Bond Return")+SUMIFS('BMM465'!$K$6:$K$2990,'BMM465'!$N$6:$N$2990,B49,'BMM465'!$L$6:$L$2990,"Bond Return")+SUMIFS('1CF1ZO'!$K$6:$K$2990,'1CF1ZO'!$N$6:$N$2990,B49,'1CF1ZO'!$L$6:$L$2990,"Bond Return")+SUMIFS('1UK1BK'!$K$6:$K$2990,'1UK1BK'!$N$6:$N$2990,B49,'1UK1BK'!$L$6:$L$2990,"Bond Return"))))</f>
        <v>#REF!</v>
      </c>
      <c r="O49"/>
      <c r="AE49" s="221">
        <v>44801</v>
      </c>
      <c r="AF49" s="17">
        <v>150</v>
      </c>
      <c r="AG49" t="s">
        <v>264</v>
      </c>
      <c r="AH49" s="73" t="s">
        <v>939</v>
      </c>
      <c r="AI49"/>
      <c r="AJ49" s="124" t="s">
        <v>824</v>
      </c>
    </row>
    <row r="50" spans="1:39" ht="15" customHeight="1" x14ac:dyDescent="0.25">
      <c r="A50" s="133">
        <v>11</v>
      </c>
      <c r="B50" s="133" t="s">
        <v>313</v>
      </c>
      <c r="C50" s="133" t="s">
        <v>312</v>
      </c>
      <c r="D50" s="133" t="s">
        <v>311</v>
      </c>
      <c r="E50" s="133" t="s">
        <v>314</v>
      </c>
      <c r="F50" s="134">
        <v>3083</v>
      </c>
      <c r="G50" s="139"/>
      <c r="H50" s="139"/>
      <c r="I50" s="136"/>
      <c r="J50" s="136"/>
      <c r="K50" s="137"/>
      <c r="L50" s="137">
        <v>43835</v>
      </c>
      <c r="M50" s="134"/>
      <c r="N50" s="138" t="e">
        <f>SUMIFS('CEI565'!$D$6:$D$2994,'CEI565'!$I$6:$I$2994,B50,'CEI565'!$F$6:$F$2994,"Bond Received")+SUMIFS('1SM3VL'!$D$6:$D$2994,'1SM3VL'!$I$6:$I$2994,B50,'1SM3VL'!$F$6:$F$2994,"Bond Received")+SUMIFS('1QF4SM'!$D$6:$D$2994,'1QF4SM'!$I$6:$I$2994,B50,'1QF4SM'!$F$6:$F$2994,"Bond Received")+SUMIFS('1UV5KI'!$D$6:$D$2994,'1UV5KI'!$I$6:$I$2994,B50,'1UV5KI'!$F$6:$F$2994,"Bond Received")+SUMIFS(#REF!,#REF!,B50,#REF!,"Bond Received")+SUMIFS('1UL9RY'!$D$6:$D$2994,'1UL9RY'!$I$6:$I$2994,B50,'1UL9RY'!$F$6:$F$2994,"Bond Received")+SUMIFS('1OZ7GT'!$D$6:$D$2994,'1OZ7GT'!$I$6:$I$2994,B50,'1OZ7GT'!$F$6:$F$2994,"Bond Received")+SUMIFS('1CN8DD'!$D$6:$D$2994,'1CN8DD'!$I$6:$I$2994,B50,'1CN8DD'!$F$6:$F$2994,"Bond Received")+SUMIFS('1UT9BR'!$D$6:$D$2994,'1UT9BR'!$I$6:$I$2994,B50,'1UT9BR'!$F$6:$F$2994,"Bond Received")+SUMIFS('1MK4UR'!$D$6:$D$2994,'1MK4UR'!$I$6:$I$2994,B50,'1MK4UR'!$F$6:$F$2994,"Bond Received")+SUMIFS(#REF!,#REF!,B50,#REF!,"Bond Received")+SUMIFS('1JI2UE'!$D$6:$D$2994,'1JI2UE'!$I$6:$I$2994,B50,'1JI2UE'!$F$6:$F$2994,"Bond Received")+SUMIFS(#REF!,#REF!,B50,#REF!,"Bond Received")+SUMIFS('1SI9BW'!$D$6:$D$2994,'1SI9BW'!$I$6:$I$2994,B50,'1SI9BW'!$F$6:$F$2994,"Bond Received")+SUMIFS(Suzuki!$D$6:$D$2994,Suzuki!$I$6:$I$2994,B50,Suzuki!$F$6:$F$2994,"Bond Received")+SUMIFS('1SK3DD'!$D$6:$D$2994,'1SK3DD'!$I$6:$I$2994,B50,'1SK3DD'!$F$6:$F$2994,"Bond Received")+SUMIFS('1SX5TQ'!$D$6:$D$2994,'1SX5TQ'!$I$6:$I$2994,B50,'1SX5TQ'!$F$6:$F$2994,"Bond Received")+SUMIFS('BMM465'!$D$6:$D$2994,'BMM465'!$I$6:$I$2994,B50,'BMM465'!$F$6:$F$2994,"Bond Received")+SUMIFS('1CF1ZO'!$D$6:$D$2994,'1CF1ZO'!$I$6:$I$2994,B50,'1CF1ZO'!$F$6:$F$2994,"Bond Received")+SUMIFS('1UK1BK'!$D$6:$D$2994,'1UK1BK'!$I$6:$I$2994,B50,'1UK1BK'!$F$6:$F$2994,"Bond Received")-(((SUMIFS('CEI565'!$K$6:$K$2990,'CEI565'!$N$6:$N$2990,B50,'CEI565'!$L$6:$L$2990,"Bond Return")+SUMIFS('1SM3VL'!$K$6:$K$2990,'1SM3VL'!$N$6:$N$2990,B50,'1SM3VL'!$L$6:$L$2990,"Bond Return")+SUMIFS('1QF4SM'!$K$6:$K$2990,'1QF4SM'!$N$6:$N$2990,B50,'1QF4SM'!$L$6:$L$2990,"Bond Return")+SUMIFS('1UV5KI'!$K$6:$K$2990,'1UV5KI'!$N$6:$N$2990,B50,'1UV5KI'!$L$6:$L$2990,"Bond Return")+SUMIFS(#REF!,#REF!,B50,#REF!,"Bond Return")+SUMIFS('1UL9RY'!$K$6:$K$2990,'1UL9RY'!$N$6:$N$2990,B50,'1UL9RY'!$L$6:$L$2990,"Bond Return")+SUMIFS('1OZ7GT'!$K$6:$K$2990,'1OZ7GT'!$N$6:$N$2990,B50,'1OZ7GT'!$L$6:$L$2990,"Bond Return")+SUMIFS('1CN8DD'!$K$6:$K$2990,'1CN8DD'!$N$6:$N$2990,B50,'1CN8DD'!$L$6:$L$2990,"Bond Return")+SUMIFS('1UT9BR'!$K$6:$K$2990,'1UT9BR'!$N$6:$N$2990,B50,'1UT9BR'!$L$6:$L$2990,"Bond Return")+SUMIFS('1MK4UR'!$K$6:$K$2990,'1MK4UR'!$N$6:$N$2990,B50,'1MK4UR'!$L$6:$L$2990,"Bond Return")+SUMIFS(#REF!,#REF!,B50,#REF!,"Bond Return")+SUMIFS('1JI2UE'!$K$6:$K$2990,'1JI2UE'!$N$6:$N$2990,B50,'1JI2UE'!$L$6:$L$2990,"Bond Return")+SUMIFS(#REF!,#REF!,B50,#REF!,"Bond Return")+SUMIFS('1SI9BW'!$K$6:$K$2990,'1SI9BW'!$N$6:$N$2990,B50,'1SI9BW'!$L$6:$L$2990,"Bond Return")+SUMIFS(Suzuki!$K$6:$K$2990,Suzuki!$N$6:$N$2990,B50,Suzuki!$L$6:$L$2990,"Bond Return")+SUMIFS('1SK3DD'!$K$6:$K$2990,'1SK3DD'!$N$6:$N$2990,B50,'1SK3DD'!$L$6:$L$2990,"Bond Return")+SUMIFS('1SX5TQ'!$K$6:$K$2990,'1SX5TQ'!$N$6:$N$2990,B50,'1SX5TQ'!$L$6:$L$2990,"Bond Return")+SUMIFS('BMM465'!$K$6:$K$2990,'BMM465'!$N$6:$N$2990,B50,'BMM465'!$L$6:$L$2990,"Bond Return")+SUMIFS('1CF1ZO'!$K$6:$K$2990,'1CF1ZO'!$N$6:$N$2990,B50,'1CF1ZO'!$L$6:$L$2990,"Bond Return")+SUMIFS('1UK1BK'!$K$6:$K$2990,'1UK1BK'!$N$6:$N$2990,B50,'1UK1BK'!$L$6:$L$2990,"Bond Return"))))</f>
        <v>#REF!</v>
      </c>
      <c r="O50" s="139"/>
      <c r="AE50" s="221">
        <v>44802</v>
      </c>
      <c r="AF50" s="17">
        <v>100</v>
      </c>
      <c r="AG50" t="s">
        <v>264</v>
      </c>
      <c r="AH50" s="217" t="s">
        <v>962</v>
      </c>
      <c r="AI50"/>
      <c r="AJ50" s="124" t="s">
        <v>673</v>
      </c>
    </row>
    <row r="51" spans="1:39" ht="15" customHeight="1" x14ac:dyDescent="0.25">
      <c r="A51" s="128">
        <v>12</v>
      </c>
      <c r="B51" s="128" t="s">
        <v>316</v>
      </c>
      <c r="C51" s="128" t="s">
        <v>321</v>
      </c>
      <c r="D51" s="128" t="s">
        <v>320</v>
      </c>
      <c r="E51" s="128" t="s">
        <v>319</v>
      </c>
      <c r="F51" s="10"/>
      <c r="H51" s="15" t="s">
        <v>315</v>
      </c>
      <c r="I51" s="127" t="s">
        <v>317</v>
      </c>
      <c r="J51" s="127"/>
      <c r="K51" s="124">
        <v>33199</v>
      </c>
      <c r="L51" s="124">
        <v>43943</v>
      </c>
      <c r="M51" s="10" t="s">
        <v>318</v>
      </c>
      <c r="N51" s="131" t="e">
        <f>SUMIFS('CEI565'!$D$6:$D$2994,'CEI565'!$I$6:$I$2994,B51,'CEI565'!$F$6:$F$2994,"Bond Received")+SUMIFS('1SM3VL'!$D$6:$D$2994,'1SM3VL'!$I$6:$I$2994,B51,'1SM3VL'!$F$6:$F$2994,"Bond Received")+SUMIFS('1QF4SM'!$D$6:$D$2994,'1QF4SM'!$I$6:$I$2994,B51,'1QF4SM'!$F$6:$F$2994,"Bond Received")+SUMIFS('1UV5KI'!$D$6:$D$2994,'1UV5KI'!$I$6:$I$2994,B51,'1UV5KI'!$F$6:$F$2994,"Bond Received")+SUMIFS(#REF!,#REF!,B51,#REF!,"Bond Received")+SUMIFS('1UL9RY'!$D$6:$D$2994,'1UL9RY'!$I$6:$I$2994,B51,'1UL9RY'!$F$6:$F$2994,"Bond Received")+SUMIFS('1OZ7GT'!$D$6:$D$2994,'1OZ7GT'!$I$6:$I$2994,B51,'1OZ7GT'!$F$6:$F$2994,"Bond Received")+SUMIFS('1CN8DD'!$D$6:$D$2994,'1CN8DD'!$I$6:$I$2994,B51,'1CN8DD'!$F$6:$F$2994,"Bond Received")+SUMIFS('1UT9BR'!$D$6:$D$2994,'1UT9BR'!$I$6:$I$2994,B51,'1UT9BR'!$F$6:$F$2994,"Bond Received")+SUMIFS('1MK4UR'!$D$6:$D$2994,'1MK4UR'!$I$6:$I$2994,B51,'1MK4UR'!$F$6:$F$2994,"Bond Received")+SUMIFS(#REF!,#REF!,B51,#REF!,"Bond Received")+SUMIFS('1JI2UE'!$D$6:$D$2994,'1JI2UE'!$I$6:$I$2994,B51,'1JI2UE'!$F$6:$F$2994,"Bond Received")+SUMIFS(#REF!,#REF!,B51,#REF!,"Bond Received")+SUMIFS('1SI9BW'!$D$6:$D$2994,'1SI9BW'!$I$6:$I$2994,B51,'1SI9BW'!$F$6:$F$2994,"Bond Received")+SUMIFS(Suzuki!$D$6:$D$2994,Suzuki!$I$6:$I$2994,B51,Suzuki!$F$6:$F$2994,"Bond Received")+SUMIFS('1SK3DD'!$D$6:$D$2994,'1SK3DD'!$I$6:$I$2994,B51,'1SK3DD'!$F$6:$F$2994,"Bond Received")+SUMIFS('1SX5TQ'!$D$6:$D$2994,'1SX5TQ'!$I$6:$I$2994,B51,'1SX5TQ'!$F$6:$F$2994,"Bond Received")+SUMIFS('BMM465'!$D$6:$D$2994,'BMM465'!$I$6:$I$2994,B51,'BMM465'!$F$6:$F$2994,"Bond Received")+SUMIFS('1CF1ZO'!$D$6:$D$2994,'1CF1ZO'!$I$6:$I$2994,B51,'1CF1ZO'!$F$6:$F$2994,"Bond Received")+SUMIFS('1UK1BK'!$D$6:$D$2994,'1UK1BK'!$I$6:$I$2994,B51,'1UK1BK'!$F$6:$F$2994,"Bond Received")-(((SUMIFS('CEI565'!$K$6:$K$2990,'CEI565'!$N$6:$N$2990,B51,'CEI565'!$L$6:$L$2990,"Bond Return")+SUMIFS('1SM3VL'!$K$6:$K$2990,'1SM3VL'!$N$6:$N$2990,B51,'1SM3VL'!$L$6:$L$2990,"Bond Return")+SUMIFS('1QF4SM'!$K$6:$K$2990,'1QF4SM'!$N$6:$N$2990,B51,'1QF4SM'!$L$6:$L$2990,"Bond Return")+SUMIFS('1UV5KI'!$K$6:$K$2990,'1UV5KI'!$N$6:$N$2990,B51,'1UV5KI'!$L$6:$L$2990,"Bond Return")+SUMIFS(#REF!,#REF!,B51,#REF!,"Bond Return")+SUMIFS('1UL9RY'!$K$6:$K$2990,'1UL9RY'!$N$6:$N$2990,B51,'1UL9RY'!$L$6:$L$2990,"Bond Return")+SUMIFS('1OZ7GT'!$K$6:$K$2990,'1OZ7GT'!$N$6:$N$2990,B51,'1OZ7GT'!$L$6:$L$2990,"Bond Return")+SUMIFS('1CN8DD'!$K$6:$K$2990,'1CN8DD'!$N$6:$N$2990,B51,'1CN8DD'!$L$6:$L$2990,"Bond Return")+SUMIFS('1UT9BR'!$K$6:$K$2990,'1UT9BR'!$N$6:$N$2990,B51,'1UT9BR'!$L$6:$L$2990,"Bond Return")+SUMIFS('1MK4UR'!$K$6:$K$2990,'1MK4UR'!$N$6:$N$2990,B51,'1MK4UR'!$L$6:$L$2990,"Bond Return")+SUMIFS(#REF!,#REF!,B51,#REF!,"Bond Return")+SUMIFS('1JI2UE'!$K$6:$K$2990,'1JI2UE'!$N$6:$N$2990,B51,'1JI2UE'!$L$6:$L$2990,"Bond Return")+SUMIFS(#REF!,#REF!,B51,#REF!,"Bond Return")+SUMIFS('1SI9BW'!$K$6:$K$2990,'1SI9BW'!$N$6:$N$2990,B51,'1SI9BW'!$L$6:$L$2990,"Bond Return")+SUMIFS(Suzuki!$K$6:$K$2990,Suzuki!$N$6:$N$2990,B51,Suzuki!$L$6:$L$2990,"Bond Return")+SUMIFS('1SK3DD'!$K$6:$K$2990,'1SK3DD'!$N$6:$N$2990,B51,'1SK3DD'!$L$6:$L$2990,"Bond Return")+SUMIFS('1SX5TQ'!$K$6:$K$2990,'1SX5TQ'!$N$6:$N$2990,B51,'1SX5TQ'!$L$6:$L$2990,"Bond Return")+SUMIFS('BMM465'!$K$6:$K$2990,'BMM465'!$N$6:$N$2990,B51,'BMM465'!$L$6:$L$2990,"Bond Return")+SUMIFS('1CF1ZO'!$K$6:$K$2990,'1CF1ZO'!$N$6:$N$2990,B51,'1CF1ZO'!$L$6:$L$2990,"Bond Return")+SUMIFS('1UK1BK'!$K$6:$K$2990,'1UK1BK'!$N$6:$N$2990,B51,'1UK1BK'!$L$6:$L$2990,"Bond Return"))))</f>
        <v>#REF!</v>
      </c>
      <c r="O51"/>
      <c r="AE51" s="221">
        <v>44804</v>
      </c>
      <c r="AF51" s="17">
        <v>74.8</v>
      </c>
      <c r="AG51" t="s">
        <v>264</v>
      </c>
      <c r="AH51" s="73" t="s">
        <v>939</v>
      </c>
      <c r="AI51"/>
      <c r="AJ51" s="124" t="s">
        <v>196</v>
      </c>
    </row>
    <row r="52" spans="1:39" ht="15" customHeight="1" x14ac:dyDescent="0.25">
      <c r="A52" s="133">
        <v>13</v>
      </c>
      <c r="B52" s="133" t="s">
        <v>151</v>
      </c>
      <c r="C52" s="133" t="s">
        <v>323</v>
      </c>
      <c r="D52" s="133" t="s">
        <v>325</v>
      </c>
      <c r="E52" s="133" t="s">
        <v>326</v>
      </c>
      <c r="F52" s="134">
        <v>3021</v>
      </c>
      <c r="G52" s="139"/>
      <c r="H52" s="141" t="s">
        <v>322</v>
      </c>
      <c r="I52" s="136" t="s">
        <v>324</v>
      </c>
      <c r="J52" s="136">
        <v>860440327</v>
      </c>
      <c r="K52" s="137">
        <v>33972</v>
      </c>
      <c r="L52" s="137">
        <v>43882</v>
      </c>
      <c r="M52" s="134" t="s">
        <v>301</v>
      </c>
      <c r="N52" s="140" t="e">
        <f>SUMIFS('CEI565'!$D$6:$D$2994,'CEI565'!$I$6:$I$2994,B52,'CEI565'!$F$6:$F$2994,"Bond Received")+SUMIFS('1SM3VL'!$D$6:$D$2994,'1SM3VL'!$I$6:$I$2994,B52,'1SM3VL'!$F$6:$F$2994,"Bond Received")+SUMIFS('1QF4SM'!$D$6:$D$2994,'1QF4SM'!$I$6:$I$2994,B52,'1QF4SM'!$F$6:$F$2994,"Bond Received")+SUMIFS('1UV5KI'!$D$6:$D$2994,'1UV5KI'!$I$6:$I$2994,B52,'1UV5KI'!$F$6:$F$2994,"Bond Received")+SUMIFS(#REF!,#REF!,B52,#REF!,"Bond Received")+SUMIFS('1UL9RY'!$D$6:$D$2994,'1UL9RY'!$I$6:$I$2994,B52,'1UL9RY'!$F$6:$F$2994,"Bond Received")+SUMIFS('1OZ7GT'!$D$6:$D$2994,'1OZ7GT'!$I$6:$I$2994,B52,'1OZ7GT'!$F$6:$F$2994,"Bond Received")+SUMIFS('1CN8DD'!$D$6:$D$2994,'1CN8DD'!$I$6:$I$2994,B52,'1CN8DD'!$F$6:$F$2994,"Bond Received")+SUMIFS('1UT9BR'!$D$6:$D$2994,'1UT9BR'!$I$6:$I$2994,B52,'1UT9BR'!$F$6:$F$2994,"Bond Received")+SUMIFS('1MK4UR'!$D$6:$D$2994,'1MK4UR'!$I$6:$I$2994,B52,'1MK4UR'!$F$6:$F$2994,"Bond Received")+SUMIFS(#REF!,#REF!,B52,#REF!,"Bond Received")+SUMIFS('1JI2UE'!$D$6:$D$2994,'1JI2UE'!$I$6:$I$2994,B52,'1JI2UE'!$F$6:$F$2994,"Bond Received")+SUMIFS(#REF!,#REF!,B52,#REF!,"Bond Received")+SUMIFS('1SI9BW'!$D$6:$D$2994,'1SI9BW'!$I$6:$I$2994,B52,'1SI9BW'!$F$6:$F$2994,"Bond Received")+SUMIFS(Suzuki!$D$6:$D$2994,Suzuki!$I$6:$I$2994,B52,Suzuki!$F$6:$F$2994,"Bond Received")+SUMIFS('1SK3DD'!$D$6:$D$2994,'1SK3DD'!$I$6:$I$2994,B52,'1SK3DD'!$F$6:$F$2994,"Bond Received")+SUMIFS('1SX5TQ'!$D$6:$D$2994,'1SX5TQ'!$I$6:$I$2994,B52,'1SX5TQ'!$F$6:$F$2994,"Bond Received")+SUMIFS('BMM465'!$D$6:$D$2994,'BMM465'!$I$6:$I$2994,B52,'BMM465'!$F$6:$F$2994,"Bond Received")+SUMIFS('1CF1ZO'!$D$6:$D$2994,'1CF1ZO'!$I$6:$I$2994,B52,'1CF1ZO'!$F$6:$F$2994,"Bond Received")+SUMIFS('1UK1BK'!$D$6:$D$2994,'1UK1BK'!$I$6:$I$2994,B52,'1UK1BK'!$F$6:$F$2994,"Bond Received")-(((SUMIFS('CEI565'!$K$6:$K$2990,'CEI565'!$N$6:$N$2990,B52,'CEI565'!$L$6:$L$2990,"Bond Return")+SUMIFS('1SM3VL'!$K$6:$K$2990,'1SM3VL'!$N$6:$N$2990,B52,'1SM3VL'!$L$6:$L$2990,"Bond Return")+SUMIFS('1QF4SM'!$K$6:$K$2990,'1QF4SM'!$N$6:$N$2990,B52,'1QF4SM'!$L$6:$L$2990,"Bond Return")+SUMIFS('1UV5KI'!$K$6:$K$2990,'1UV5KI'!$N$6:$N$2990,B52,'1UV5KI'!$L$6:$L$2990,"Bond Return")+SUMIFS(#REF!,#REF!,B52,#REF!,"Bond Return")+SUMIFS('1UL9RY'!$K$6:$K$2990,'1UL9RY'!$N$6:$N$2990,B52,'1UL9RY'!$L$6:$L$2990,"Bond Return")+SUMIFS('1OZ7GT'!$K$6:$K$2990,'1OZ7GT'!$N$6:$N$2990,B52,'1OZ7GT'!$L$6:$L$2990,"Bond Return")+SUMIFS('1CN8DD'!$K$6:$K$2990,'1CN8DD'!$N$6:$N$2990,B52,'1CN8DD'!$L$6:$L$2990,"Bond Return")+SUMIFS('1UT9BR'!$K$6:$K$2990,'1UT9BR'!$N$6:$N$2990,B52,'1UT9BR'!$L$6:$L$2990,"Bond Return")+SUMIFS('1MK4UR'!$K$6:$K$2990,'1MK4UR'!$N$6:$N$2990,B52,'1MK4UR'!$L$6:$L$2990,"Bond Return")+SUMIFS(#REF!,#REF!,B52,#REF!,"Bond Return")+SUMIFS('1JI2UE'!$K$6:$K$2990,'1JI2UE'!$N$6:$N$2990,B52,'1JI2UE'!$L$6:$L$2990,"Bond Return")+SUMIFS(#REF!,#REF!,B52,#REF!,"Bond Return")+SUMIFS('1SI9BW'!$K$6:$K$2990,'1SI9BW'!$N$6:$N$2990,B52,'1SI9BW'!$L$6:$L$2990,"Bond Return")+SUMIFS(Suzuki!$K$6:$K$2990,Suzuki!$N$6:$N$2990,B52,Suzuki!$L$6:$L$2990,"Bond Return")+SUMIFS('1SK3DD'!$K$6:$K$2990,'1SK3DD'!$N$6:$N$2990,B52,'1SK3DD'!$L$6:$L$2990,"Bond Return")+SUMIFS('1SX5TQ'!$K$6:$K$2990,'1SX5TQ'!$N$6:$N$2990,B52,'1SX5TQ'!$L$6:$L$2990,"Bond Return")+SUMIFS('BMM465'!$K$6:$K$2990,'BMM465'!$N$6:$N$2990,B52,'BMM465'!$L$6:$L$2990,"Bond Return")+SUMIFS('1CF1ZO'!$K$6:$K$2990,'1CF1ZO'!$N$6:$N$2990,B52,'1CF1ZO'!$L$6:$L$2990,"Bond Return")+SUMIFS('1UK1BK'!$K$6:$K$2990,'1UK1BK'!$N$6:$N$2990,B52,'1UK1BK'!$L$6:$L$2990,"Bond Return"))))</f>
        <v>#REF!</v>
      </c>
      <c r="O52" s="139"/>
      <c r="AE52" s="221">
        <v>44804</v>
      </c>
      <c r="AF52" s="17">
        <v>404.1</v>
      </c>
      <c r="AG52" t="s">
        <v>264</v>
      </c>
      <c r="AH52" s="217" t="s">
        <v>962</v>
      </c>
      <c r="AI52"/>
      <c r="AJ52" s="124" t="s">
        <v>505</v>
      </c>
      <c r="AM52" s="149"/>
    </row>
    <row r="53" spans="1:39" ht="15" customHeight="1" x14ac:dyDescent="0.25">
      <c r="A53" s="128">
        <v>14</v>
      </c>
      <c r="B53" s="128" t="s">
        <v>94</v>
      </c>
      <c r="F53" s="10"/>
      <c r="I53" s="127"/>
      <c r="J53" s="127"/>
      <c r="K53" s="124"/>
      <c r="L53" s="124"/>
      <c r="M53" s="10"/>
      <c r="N53" s="130" t="e">
        <f>SUMIFS('CEI565'!$D$6:$D$2994,'CEI565'!$I$6:$I$2994,B53,'CEI565'!$F$6:$F$2994,"Bond Received")+SUMIFS('1SM3VL'!$D$6:$D$2994,'1SM3VL'!$I$6:$I$2994,B53,'1SM3VL'!$F$6:$F$2994,"Bond Received")+SUMIFS('1QF4SM'!$D$6:$D$2994,'1QF4SM'!$I$6:$I$2994,B53,'1QF4SM'!$F$6:$F$2994,"Bond Received")+SUMIFS('1UV5KI'!$D$6:$D$2994,'1UV5KI'!$I$6:$I$2994,B53,'1UV5KI'!$F$6:$F$2994,"Bond Received")+SUMIFS(#REF!,#REF!,B53,#REF!,"Bond Received")+SUMIFS('1UL9RY'!$D$6:$D$2994,'1UL9RY'!$I$6:$I$2994,B53,'1UL9RY'!$F$6:$F$2994,"Bond Received")+SUMIFS('1OZ7GT'!$D$6:$D$2994,'1OZ7GT'!$I$6:$I$2994,B53,'1OZ7GT'!$F$6:$F$2994,"Bond Received")+SUMIFS('1CN8DD'!$D$6:$D$2994,'1CN8DD'!$I$6:$I$2994,B53,'1CN8DD'!$F$6:$F$2994,"Bond Received")+SUMIFS('1UT9BR'!$D$6:$D$2994,'1UT9BR'!$I$6:$I$2994,B53,'1UT9BR'!$F$6:$F$2994,"Bond Received")+SUMIFS('1MK4UR'!$D$6:$D$2994,'1MK4UR'!$I$6:$I$2994,B53,'1MK4UR'!$F$6:$F$2994,"Bond Received")+SUMIFS(#REF!,#REF!,B53,#REF!,"Bond Received")+SUMIFS('1JI2UE'!$D$6:$D$2994,'1JI2UE'!$I$6:$I$2994,B53,'1JI2UE'!$F$6:$F$2994,"Bond Received")+SUMIFS(#REF!,#REF!,B53,#REF!,"Bond Received")+SUMIFS('1SI9BW'!$D$6:$D$2994,'1SI9BW'!$I$6:$I$2994,B53,'1SI9BW'!$F$6:$F$2994,"Bond Received")+SUMIFS(Suzuki!$D$6:$D$2994,Suzuki!$I$6:$I$2994,B53,Suzuki!$F$6:$F$2994,"Bond Received")+SUMIFS('1SK3DD'!$D$6:$D$2994,'1SK3DD'!$I$6:$I$2994,B53,'1SK3DD'!$F$6:$F$2994,"Bond Received")+SUMIFS('1SX5TQ'!$D$6:$D$2994,'1SX5TQ'!$I$6:$I$2994,B53,'1SX5TQ'!$F$6:$F$2994,"Bond Received")+SUMIFS('BMM465'!$D$6:$D$2994,'BMM465'!$I$6:$I$2994,B53,'BMM465'!$F$6:$F$2994,"Bond Received")+SUMIFS('1CF1ZO'!$D$6:$D$2994,'1CF1ZO'!$I$6:$I$2994,B53,'1CF1ZO'!$F$6:$F$2994,"Bond Received")+SUMIFS('1UK1BK'!$D$6:$D$2994,'1UK1BK'!$I$6:$I$2994,B53,'1UK1BK'!$F$6:$F$2994,"Bond Received")-(((SUMIFS('CEI565'!$K$6:$K$2990,'CEI565'!$N$6:$N$2990,B53,'CEI565'!$L$6:$L$2990,"Bond Return")+SUMIFS('1SM3VL'!$K$6:$K$2990,'1SM3VL'!$N$6:$N$2990,B53,'1SM3VL'!$L$6:$L$2990,"Bond Return")+SUMIFS('1QF4SM'!$K$6:$K$2990,'1QF4SM'!$N$6:$N$2990,B53,'1QF4SM'!$L$6:$L$2990,"Bond Return")+SUMIFS('1UV5KI'!$K$6:$K$2990,'1UV5KI'!$N$6:$N$2990,B53,'1UV5KI'!$L$6:$L$2990,"Bond Return")+SUMIFS(#REF!,#REF!,B53,#REF!,"Bond Return")+SUMIFS('1UL9RY'!$K$6:$K$2990,'1UL9RY'!$N$6:$N$2990,B53,'1UL9RY'!$L$6:$L$2990,"Bond Return")+SUMIFS('1OZ7GT'!$K$6:$K$2990,'1OZ7GT'!$N$6:$N$2990,B53,'1OZ7GT'!$L$6:$L$2990,"Bond Return")+SUMIFS('1CN8DD'!$K$6:$K$2990,'1CN8DD'!$N$6:$N$2990,B53,'1CN8DD'!$L$6:$L$2990,"Bond Return")+SUMIFS('1UT9BR'!$K$6:$K$2990,'1UT9BR'!$N$6:$N$2990,B53,'1UT9BR'!$L$6:$L$2990,"Bond Return")+SUMIFS('1MK4UR'!$K$6:$K$2990,'1MK4UR'!$N$6:$N$2990,B53,'1MK4UR'!$L$6:$L$2990,"Bond Return")+SUMIFS(#REF!,#REF!,B53,#REF!,"Bond Return")+SUMIFS('1JI2UE'!$K$6:$K$2990,'1JI2UE'!$N$6:$N$2990,B53,'1JI2UE'!$L$6:$L$2990,"Bond Return")+SUMIFS(#REF!,#REF!,B53,#REF!,"Bond Return")+SUMIFS('1SI9BW'!$K$6:$K$2990,'1SI9BW'!$N$6:$N$2990,B53,'1SI9BW'!$L$6:$L$2990,"Bond Return")+SUMIFS(Suzuki!$K$6:$K$2990,Suzuki!$N$6:$N$2990,B53,Suzuki!$L$6:$L$2990,"Bond Return")+SUMIFS('1SK3DD'!$K$6:$K$2990,'1SK3DD'!$N$6:$N$2990,B53,'1SK3DD'!$L$6:$L$2990,"Bond Return")+SUMIFS('1SX5TQ'!$K$6:$K$2990,'1SX5TQ'!$N$6:$N$2990,B53,'1SX5TQ'!$L$6:$L$2990,"Bond Return")+SUMIFS('BMM465'!$K$6:$K$2990,'BMM465'!$N$6:$N$2990,B53,'BMM465'!$L$6:$L$2990,"Bond Return")+SUMIFS('1CF1ZO'!$K$6:$K$2990,'1CF1ZO'!$N$6:$N$2990,B53,'1CF1ZO'!$L$6:$L$2990,"Bond Return")+SUMIFS('1UK1BK'!$K$6:$K$2990,'1UK1BK'!$N$6:$N$2990,B53,'1UK1BK'!$L$6:$L$2990,"Bond Return"))))</f>
        <v>#REF!</v>
      </c>
      <c r="O53"/>
      <c r="AE53" s="221">
        <v>44817</v>
      </c>
      <c r="AF53" s="17">
        <v>98.87</v>
      </c>
      <c r="AG53" t="s">
        <v>264</v>
      </c>
      <c r="AH53" s="73" t="s">
        <v>939</v>
      </c>
      <c r="AI53"/>
      <c r="AJ53" s="124" t="s">
        <v>956</v>
      </c>
    </row>
    <row r="54" spans="1:39" ht="15" customHeight="1" x14ac:dyDescent="0.25">
      <c r="A54" s="133">
        <v>15</v>
      </c>
      <c r="B54" s="133" t="s">
        <v>147</v>
      </c>
      <c r="C54" s="139"/>
      <c r="D54" s="139"/>
      <c r="E54" s="139"/>
      <c r="F54" s="134"/>
      <c r="G54" s="139"/>
      <c r="H54" s="139"/>
      <c r="I54" s="136"/>
      <c r="J54" s="136"/>
      <c r="K54" s="137"/>
      <c r="L54" s="137"/>
      <c r="M54" s="134"/>
      <c r="N54" s="138" t="e">
        <f>SUMIFS('CEI565'!$D$6:$D$2994,'CEI565'!$I$6:$I$2994,B54,'CEI565'!$F$6:$F$2994,"Bond Received")+SUMIFS('1SM3VL'!$D$6:$D$2994,'1SM3VL'!$I$6:$I$2994,B54,'1SM3VL'!$F$6:$F$2994,"Bond Received")+SUMIFS('1QF4SM'!$D$6:$D$2994,'1QF4SM'!$I$6:$I$2994,B54,'1QF4SM'!$F$6:$F$2994,"Bond Received")+SUMIFS('1UV5KI'!$D$6:$D$2994,'1UV5KI'!$I$6:$I$2994,B54,'1UV5KI'!$F$6:$F$2994,"Bond Received")+SUMIFS(#REF!,#REF!,B54,#REF!,"Bond Received")+SUMIFS('1UL9RY'!$D$6:$D$2994,'1UL9RY'!$I$6:$I$2994,B54,'1UL9RY'!$F$6:$F$2994,"Bond Received")+SUMIFS('1OZ7GT'!$D$6:$D$2994,'1OZ7GT'!$I$6:$I$2994,B54,'1OZ7GT'!$F$6:$F$2994,"Bond Received")+SUMIFS('1CN8DD'!$D$6:$D$2994,'1CN8DD'!$I$6:$I$2994,B54,'1CN8DD'!$F$6:$F$2994,"Bond Received")+SUMIFS('1UT9BR'!$D$6:$D$2994,'1UT9BR'!$I$6:$I$2994,B54,'1UT9BR'!$F$6:$F$2994,"Bond Received")+SUMIFS('1MK4UR'!$D$6:$D$2994,'1MK4UR'!$I$6:$I$2994,B54,'1MK4UR'!$F$6:$F$2994,"Bond Received")+SUMIFS(#REF!,#REF!,B54,#REF!,"Bond Received")+SUMIFS('1JI2UE'!$D$6:$D$2994,'1JI2UE'!$I$6:$I$2994,B54,'1JI2UE'!$F$6:$F$2994,"Bond Received")+SUMIFS(#REF!,#REF!,B54,#REF!,"Bond Received")+SUMIFS('1SI9BW'!$D$6:$D$2994,'1SI9BW'!$I$6:$I$2994,B54,'1SI9BW'!$F$6:$F$2994,"Bond Received")+SUMIFS(Suzuki!$D$6:$D$2994,Suzuki!$I$6:$I$2994,B54,Suzuki!$F$6:$F$2994,"Bond Received")+SUMIFS('1SK3DD'!$D$6:$D$2994,'1SK3DD'!$I$6:$I$2994,B54,'1SK3DD'!$F$6:$F$2994,"Bond Received")+SUMIFS('1SX5TQ'!$D$6:$D$2994,'1SX5TQ'!$I$6:$I$2994,B54,'1SX5TQ'!$F$6:$F$2994,"Bond Received")+SUMIFS('BMM465'!$D$6:$D$2994,'BMM465'!$I$6:$I$2994,B54,'BMM465'!$F$6:$F$2994,"Bond Received")+SUMIFS('1CF1ZO'!$D$6:$D$2994,'1CF1ZO'!$I$6:$I$2994,B54,'1CF1ZO'!$F$6:$F$2994,"Bond Received")+SUMIFS('1UK1BK'!$D$6:$D$2994,'1UK1BK'!$I$6:$I$2994,B54,'1UK1BK'!$F$6:$F$2994,"Bond Received")-(((SUMIFS('CEI565'!$K$6:$K$2990,'CEI565'!$N$6:$N$2990,B54,'CEI565'!$L$6:$L$2990,"Bond Return")+SUMIFS('1SM3VL'!$K$6:$K$2990,'1SM3VL'!$N$6:$N$2990,B54,'1SM3VL'!$L$6:$L$2990,"Bond Return")+SUMIFS('1QF4SM'!$K$6:$K$2990,'1QF4SM'!$N$6:$N$2990,B54,'1QF4SM'!$L$6:$L$2990,"Bond Return")+SUMIFS('1UV5KI'!$K$6:$K$2990,'1UV5KI'!$N$6:$N$2990,B54,'1UV5KI'!$L$6:$L$2990,"Bond Return")+SUMIFS(#REF!,#REF!,B54,#REF!,"Bond Return")+SUMIFS('1UL9RY'!$K$6:$K$2990,'1UL9RY'!$N$6:$N$2990,B54,'1UL9RY'!$L$6:$L$2990,"Bond Return")+SUMIFS('1OZ7GT'!$K$6:$K$2990,'1OZ7GT'!$N$6:$N$2990,B54,'1OZ7GT'!$L$6:$L$2990,"Bond Return")+SUMIFS('1CN8DD'!$K$6:$K$2990,'1CN8DD'!$N$6:$N$2990,B54,'1CN8DD'!$L$6:$L$2990,"Bond Return")+SUMIFS('1UT9BR'!$K$6:$K$2990,'1UT9BR'!$N$6:$N$2990,B54,'1UT9BR'!$L$6:$L$2990,"Bond Return")+SUMIFS('1MK4UR'!$K$6:$K$2990,'1MK4UR'!$N$6:$N$2990,B54,'1MK4UR'!$L$6:$L$2990,"Bond Return")+SUMIFS(#REF!,#REF!,B54,#REF!,"Bond Return")+SUMIFS('1JI2UE'!$K$6:$K$2990,'1JI2UE'!$N$6:$N$2990,B54,'1JI2UE'!$L$6:$L$2990,"Bond Return")+SUMIFS(#REF!,#REF!,B54,#REF!,"Bond Return")+SUMIFS('1SI9BW'!$K$6:$K$2990,'1SI9BW'!$N$6:$N$2990,B54,'1SI9BW'!$L$6:$L$2990,"Bond Return")+SUMIFS(Suzuki!$K$6:$K$2990,Suzuki!$N$6:$N$2990,B54,Suzuki!$L$6:$L$2990,"Bond Return")+SUMIFS('1SK3DD'!$K$6:$K$2990,'1SK3DD'!$N$6:$N$2990,B54,'1SK3DD'!$L$6:$L$2990,"Bond Return")+SUMIFS('1SX5TQ'!$K$6:$K$2990,'1SX5TQ'!$N$6:$N$2990,B54,'1SX5TQ'!$L$6:$L$2990,"Bond Return")+SUMIFS('BMM465'!$K$6:$K$2990,'BMM465'!$N$6:$N$2990,B54,'BMM465'!$L$6:$L$2990,"Bond Return")+SUMIFS('1CF1ZO'!$K$6:$K$2990,'1CF1ZO'!$N$6:$N$2990,B54,'1CF1ZO'!$L$6:$L$2990,"Bond Return")+SUMIFS('1UK1BK'!$K$6:$K$2990,'1UK1BK'!$N$6:$N$2990,B54,'1UK1BK'!$L$6:$L$2990,"Bond Return"))))</f>
        <v>#REF!</v>
      </c>
      <c r="O54" s="139"/>
      <c r="AE54" s="221">
        <v>44817</v>
      </c>
      <c r="AF54" s="17">
        <v>4000</v>
      </c>
      <c r="AG54" t="s">
        <v>264</v>
      </c>
      <c r="AH54" s="73" t="s">
        <v>939</v>
      </c>
      <c r="AI54"/>
      <c r="AJ54" s="124" t="s">
        <v>769</v>
      </c>
    </row>
    <row r="55" spans="1:39" ht="15" customHeight="1" x14ac:dyDescent="0.25">
      <c r="A55" s="128">
        <v>16</v>
      </c>
      <c r="B55" s="128" t="s">
        <v>158</v>
      </c>
      <c r="C55" s="128" t="s">
        <v>369</v>
      </c>
      <c r="D55" s="128" t="s">
        <v>370</v>
      </c>
      <c r="E55" s="128" t="s">
        <v>371</v>
      </c>
      <c r="F55" s="10">
        <v>3174</v>
      </c>
      <c r="G55" s="128" t="s">
        <v>372</v>
      </c>
      <c r="H55" s="132" t="s">
        <v>373</v>
      </c>
      <c r="I55" s="127" t="s">
        <v>374</v>
      </c>
      <c r="J55" s="127"/>
      <c r="K55" s="124">
        <v>30189</v>
      </c>
      <c r="L55" s="124">
        <v>43920</v>
      </c>
      <c r="M55" s="10" t="s">
        <v>375</v>
      </c>
      <c r="N55" s="130" t="e">
        <f>SUMIFS('CEI565'!$D$6:$D$2994,'CEI565'!$I$6:$I$2994,B55,'CEI565'!$F$6:$F$2994,"Bond Received")+SUMIFS('1SM3VL'!$D$6:$D$2994,'1SM3VL'!$I$6:$I$2994,B55,'1SM3VL'!$F$6:$F$2994,"Bond Received")+SUMIFS('1QF4SM'!$D$6:$D$2994,'1QF4SM'!$I$6:$I$2994,B55,'1QF4SM'!$F$6:$F$2994,"Bond Received")+SUMIFS('1UV5KI'!$D$6:$D$2994,'1UV5KI'!$I$6:$I$2994,B55,'1UV5KI'!$F$6:$F$2994,"Bond Received")+SUMIFS(#REF!,#REF!,B55,#REF!,"Bond Received")+SUMIFS('1UL9RY'!$D$6:$D$2994,'1UL9RY'!$I$6:$I$2994,B55,'1UL9RY'!$F$6:$F$2994,"Bond Received")+SUMIFS('1OZ7GT'!$D$6:$D$2994,'1OZ7GT'!$I$6:$I$2994,B55,'1OZ7GT'!$F$6:$F$2994,"Bond Received")+SUMIFS('1CN8DD'!$D$6:$D$2994,'1CN8DD'!$I$6:$I$2994,B55,'1CN8DD'!$F$6:$F$2994,"Bond Received")+SUMIFS('1UT9BR'!$D$6:$D$2994,'1UT9BR'!$I$6:$I$2994,B55,'1UT9BR'!$F$6:$F$2994,"Bond Received")+SUMIFS('1MK4UR'!$D$6:$D$2994,'1MK4UR'!$I$6:$I$2994,B55,'1MK4UR'!$F$6:$F$2994,"Bond Received")+SUMIFS(#REF!,#REF!,B55,#REF!,"Bond Received")+SUMIFS('1JI2UE'!$D$6:$D$2994,'1JI2UE'!$I$6:$I$2994,B55,'1JI2UE'!$F$6:$F$2994,"Bond Received")+SUMIFS(#REF!,#REF!,B55,#REF!,"Bond Received")+SUMIFS('1SI9BW'!$D$6:$D$2994,'1SI9BW'!$I$6:$I$2994,B55,'1SI9BW'!$F$6:$F$2994,"Bond Received")+SUMIFS(Suzuki!$D$6:$D$2994,Suzuki!$I$6:$I$2994,B55,Suzuki!$F$6:$F$2994,"Bond Received")+SUMIFS('1SK3DD'!$D$6:$D$2994,'1SK3DD'!$I$6:$I$2994,B55,'1SK3DD'!$F$6:$F$2994,"Bond Received")+SUMIFS('1SX5TQ'!$D$6:$D$2994,'1SX5TQ'!$I$6:$I$2994,B55,'1SX5TQ'!$F$6:$F$2994,"Bond Received")+SUMIFS('BMM465'!$D$6:$D$2994,'BMM465'!$I$6:$I$2994,B55,'BMM465'!$F$6:$F$2994,"Bond Received")+SUMIFS('1CF1ZO'!$D$6:$D$2994,'1CF1ZO'!$I$6:$I$2994,B55,'1CF1ZO'!$F$6:$F$2994,"Bond Received")+SUMIFS('1UK1BK'!$D$6:$D$2994,'1UK1BK'!$I$6:$I$2994,B55,'1UK1BK'!$F$6:$F$2994,"Bond Received")-(((SUMIFS('CEI565'!$K$6:$K$2990,'CEI565'!$N$6:$N$2990,B55,'CEI565'!$L$6:$L$2990,"Bond Return")+SUMIFS('1SM3VL'!$K$6:$K$2990,'1SM3VL'!$N$6:$N$2990,B55,'1SM3VL'!$L$6:$L$2990,"Bond Return")+SUMIFS('1QF4SM'!$K$6:$K$2990,'1QF4SM'!$N$6:$N$2990,B55,'1QF4SM'!$L$6:$L$2990,"Bond Return")+SUMIFS('1UV5KI'!$K$6:$K$2990,'1UV5KI'!$N$6:$N$2990,B55,'1UV5KI'!$L$6:$L$2990,"Bond Return")+SUMIFS(#REF!,#REF!,B55,#REF!,"Bond Return")+SUMIFS('1UL9RY'!$K$6:$K$2990,'1UL9RY'!$N$6:$N$2990,B55,'1UL9RY'!$L$6:$L$2990,"Bond Return")+SUMIFS('1OZ7GT'!$K$6:$K$2990,'1OZ7GT'!$N$6:$N$2990,B55,'1OZ7GT'!$L$6:$L$2990,"Bond Return")+SUMIFS('1CN8DD'!$K$6:$K$2990,'1CN8DD'!$N$6:$N$2990,B55,'1CN8DD'!$L$6:$L$2990,"Bond Return")+SUMIFS('1UT9BR'!$K$6:$K$2990,'1UT9BR'!$N$6:$N$2990,B55,'1UT9BR'!$L$6:$L$2990,"Bond Return")+SUMIFS('1MK4UR'!$K$6:$K$2990,'1MK4UR'!$N$6:$N$2990,B55,'1MK4UR'!$L$6:$L$2990,"Bond Return")+SUMIFS(#REF!,#REF!,B55,#REF!,"Bond Return")+SUMIFS('1JI2UE'!$K$6:$K$2990,'1JI2UE'!$N$6:$N$2990,B55,'1JI2UE'!$L$6:$L$2990,"Bond Return")+SUMIFS(#REF!,#REF!,B55,#REF!,"Bond Return")+SUMIFS('1SI9BW'!$K$6:$K$2990,'1SI9BW'!$N$6:$N$2990,B55,'1SI9BW'!$L$6:$L$2990,"Bond Return")+SUMIFS(Suzuki!$K$6:$K$2990,Suzuki!$N$6:$N$2990,B55,Suzuki!$L$6:$L$2990,"Bond Return")+SUMIFS('1SK3DD'!$K$6:$K$2990,'1SK3DD'!$N$6:$N$2990,B55,'1SK3DD'!$L$6:$L$2990,"Bond Return")+SUMIFS('1SX5TQ'!$K$6:$K$2990,'1SX5TQ'!$N$6:$N$2990,B55,'1SX5TQ'!$L$6:$L$2990,"Bond Return")+SUMIFS('BMM465'!$K$6:$K$2990,'BMM465'!$N$6:$N$2990,B55,'BMM465'!$L$6:$L$2990,"Bond Return")+SUMIFS('1CF1ZO'!$K$6:$K$2990,'1CF1ZO'!$N$6:$N$2990,B55,'1CF1ZO'!$L$6:$L$2990,"Bond Return")+SUMIFS('1UK1BK'!$K$6:$K$2990,'1UK1BK'!$N$6:$N$2990,B55,'1UK1BK'!$L$6:$L$2990,"Bond Return"))))</f>
        <v>#REF!</v>
      </c>
      <c r="O55"/>
      <c r="AE55" s="221">
        <v>44829</v>
      </c>
      <c r="AF55" s="17">
        <v>80</v>
      </c>
      <c r="AG55" t="s">
        <v>264</v>
      </c>
      <c r="AH55" s="73" t="s">
        <v>939</v>
      </c>
      <c r="AI55"/>
      <c r="AJ55" s="124" t="s">
        <v>957</v>
      </c>
    </row>
    <row r="56" spans="1:39" ht="15" customHeight="1" x14ac:dyDescent="0.25">
      <c r="A56" s="133">
        <v>17</v>
      </c>
      <c r="B56" s="133" t="s">
        <v>176</v>
      </c>
      <c r="C56" s="133" t="s">
        <v>400</v>
      </c>
      <c r="D56" s="133" t="s">
        <v>401</v>
      </c>
      <c r="E56" s="133" t="s">
        <v>340</v>
      </c>
      <c r="F56" s="134">
        <v>3174</v>
      </c>
      <c r="G56" s="133" t="s">
        <v>402</v>
      </c>
      <c r="H56" s="135" t="s">
        <v>403</v>
      </c>
      <c r="I56" s="136" t="s">
        <v>404</v>
      </c>
      <c r="J56" s="136"/>
      <c r="K56" s="137">
        <v>35449</v>
      </c>
      <c r="L56" s="137">
        <v>43899</v>
      </c>
      <c r="M56" s="134" t="s">
        <v>405</v>
      </c>
      <c r="N56" s="138" t="e">
        <f>SUMIFS('CEI565'!$D$6:$D$2994,'CEI565'!$I$6:$I$2994,B56,'CEI565'!$F$6:$F$2994,"Bond Received")+SUMIFS('1SM3VL'!$D$6:$D$2994,'1SM3VL'!$I$6:$I$2994,B56,'1SM3VL'!$F$6:$F$2994,"Bond Received")+SUMIFS('1QF4SM'!$D$6:$D$2994,'1QF4SM'!$I$6:$I$2994,B56,'1QF4SM'!$F$6:$F$2994,"Bond Received")+SUMIFS('1UV5KI'!$D$6:$D$2994,'1UV5KI'!$I$6:$I$2994,B56,'1UV5KI'!$F$6:$F$2994,"Bond Received")+SUMIFS(#REF!,#REF!,B56,#REF!,"Bond Received")+SUMIFS('1UL9RY'!$D$6:$D$2994,'1UL9RY'!$I$6:$I$2994,B56,'1UL9RY'!$F$6:$F$2994,"Bond Received")+SUMIFS('1OZ7GT'!$D$6:$D$2994,'1OZ7GT'!$I$6:$I$2994,B56,'1OZ7GT'!$F$6:$F$2994,"Bond Received")+SUMIFS('1CN8DD'!$D$6:$D$2994,'1CN8DD'!$I$6:$I$2994,B56,'1CN8DD'!$F$6:$F$2994,"Bond Received")+SUMIFS('1UT9BR'!$D$6:$D$2994,'1UT9BR'!$I$6:$I$2994,B56,'1UT9BR'!$F$6:$F$2994,"Bond Received")+SUMIFS('1MK4UR'!$D$6:$D$2994,'1MK4UR'!$I$6:$I$2994,B56,'1MK4UR'!$F$6:$F$2994,"Bond Received")+SUMIFS(#REF!,#REF!,B56,#REF!,"Bond Received")+SUMIFS('1JI2UE'!$D$6:$D$2994,'1JI2UE'!$I$6:$I$2994,B56,'1JI2UE'!$F$6:$F$2994,"Bond Received")+SUMIFS(#REF!,#REF!,B56,#REF!,"Bond Received")+SUMIFS('1SI9BW'!$D$6:$D$2994,'1SI9BW'!$I$6:$I$2994,B56,'1SI9BW'!$F$6:$F$2994,"Bond Received")+SUMIFS(Suzuki!$D$6:$D$2994,Suzuki!$I$6:$I$2994,B56,Suzuki!$F$6:$F$2994,"Bond Received")+SUMIFS('1SK3DD'!$D$6:$D$2994,'1SK3DD'!$I$6:$I$2994,B56,'1SK3DD'!$F$6:$F$2994,"Bond Received")+SUMIFS('1SX5TQ'!$D$6:$D$2994,'1SX5TQ'!$I$6:$I$2994,B56,'1SX5TQ'!$F$6:$F$2994,"Bond Received")+SUMIFS('BMM465'!$D$6:$D$2994,'BMM465'!$I$6:$I$2994,B56,'BMM465'!$F$6:$F$2994,"Bond Received")+SUMIFS('1CF1ZO'!$D$6:$D$2994,'1CF1ZO'!$I$6:$I$2994,B56,'1CF1ZO'!$F$6:$F$2994,"Bond Received")+SUMIFS('1UK1BK'!$D$6:$D$2994,'1UK1BK'!$I$6:$I$2994,B56,'1UK1BK'!$F$6:$F$2994,"Bond Received")-(((SUMIFS('CEI565'!$K$6:$K$2990,'CEI565'!$N$6:$N$2990,B56,'CEI565'!$L$6:$L$2990,"Bond Return")+SUMIFS('1SM3VL'!$K$6:$K$2990,'1SM3VL'!$N$6:$N$2990,B56,'1SM3VL'!$L$6:$L$2990,"Bond Return")+SUMIFS('1QF4SM'!$K$6:$K$2990,'1QF4SM'!$N$6:$N$2990,B56,'1QF4SM'!$L$6:$L$2990,"Bond Return")+SUMIFS('1UV5KI'!$K$6:$K$2990,'1UV5KI'!$N$6:$N$2990,B56,'1UV5KI'!$L$6:$L$2990,"Bond Return")+SUMIFS(#REF!,#REF!,B56,#REF!,"Bond Return")+SUMIFS('1UL9RY'!$K$6:$K$2990,'1UL9RY'!$N$6:$N$2990,B56,'1UL9RY'!$L$6:$L$2990,"Bond Return")+SUMIFS('1OZ7GT'!$K$6:$K$2990,'1OZ7GT'!$N$6:$N$2990,B56,'1OZ7GT'!$L$6:$L$2990,"Bond Return")+SUMIFS('1CN8DD'!$K$6:$K$2990,'1CN8DD'!$N$6:$N$2990,B56,'1CN8DD'!$L$6:$L$2990,"Bond Return")+SUMIFS('1UT9BR'!$K$6:$K$2990,'1UT9BR'!$N$6:$N$2990,B56,'1UT9BR'!$L$6:$L$2990,"Bond Return")+SUMIFS('1MK4UR'!$K$6:$K$2990,'1MK4UR'!$N$6:$N$2990,B56,'1MK4UR'!$L$6:$L$2990,"Bond Return")+SUMIFS(#REF!,#REF!,B56,#REF!,"Bond Return")+SUMIFS('1JI2UE'!$K$6:$K$2990,'1JI2UE'!$N$6:$N$2990,B56,'1JI2UE'!$L$6:$L$2990,"Bond Return")+SUMIFS(#REF!,#REF!,B56,#REF!,"Bond Return")+SUMIFS('1SI9BW'!$K$6:$K$2990,'1SI9BW'!$N$6:$N$2990,B56,'1SI9BW'!$L$6:$L$2990,"Bond Return")+SUMIFS(Suzuki!$K$6:$K$2990,Suzuki!$N$6:$N$2990,B56,Suzuki!$L$6:$L$2990,"Bond Return")+SUMIFS('1SK3DD'!$K$6:$K$2990,'1SK3DD'!$N$6:$N$2990,B56,'1SK3DD'!$L$6:$L$2990,"Bond Return")+SUMIFS('1SX5TQ'!$K$6:$K$2990,'1SX5TQ'!$N$6:$N$2990,B56,'1SX5TQ'!$L$6:$L$2990,"Bond Return")+SUMIFS('BMM465'!$K$6:$K$2990,'BMM465'!$N$6:$N$2990,B56,'BMM465'!$L$6:$L$2990,"Bond Return")+SUMIFS('1CF1ZO'!$K$6:$K$2990,'1CF1ZO'!$N$6:$N$2990,B56,'1CF1ZO'!$L$6:$L$2990,"Bond Return")+SUMIFS('1UK1BK'!$K$6:$K$2990,'1UK1BK'!$N$6:$N$2990,B56,'1UK1BK'!$L$6:$L$2990,"Bond Return"))))</f>
        <v>#REF!</v>
      </c>
      <c r="O56" s="139"/>
      <c r="AE56" s="221">
        <v>44833</v>
      </c>
      <c r="AF56" s="17">
        <v>20.3</v>
      </c>
      <c r="AG56" t="s">
        <v>264</v>
      </c>
      <c r="AH56" s="73" t="s">
        <v>939</v>
      </c>
      <c r="AJ56" s="124" t="s">
        <v>32</v>
      </c>
    </row>
    <row r="57" spans="1:39" ht="15" customHeight="1" x14ac:dyDescent="0.25">
      <c r="A57" s="128">
        <v>18</v>
      </c>
      <c r="B57" s="128" t="s">
        <v>143</v>
      </c>
      <c r="F57" s="10"/>
      <c r="I57" s="127"/>
      <c r="J57" s="127"/>
      <c r="K57" s="124"/>
      <c r="L57" s="124"/>
      <c r="M57" s="10"/>
      <c r="N57" s="130" t="e">
        <f>SUMIFS('CEI565'!$D$6:$D$2994,'CEI565'!$I$6:$I$2994,B57,'CEI565'!$F$6:$F$2994,"Bond Received")+SUMIFS('1SM3VL'!$D$6:$D$2994,'1SM3VL'!$I$6:$I$2994,B57,'1SM3VL'!$F$6:$F$2994,"Bond Received")+SUMIFS('1QF4SM'!$D$6:$D$2994,'1QF4SM'!$I$6:$I$2994,B57,'1QF4SM'!$F$6:$F$2994,"Bond Received")+SUMIFS('1UV5KI'!$D$6:$D$2994,'1UV5KI'!$I$6:$I$2994,B57,'1UV5KI'!$F$6:$F$2994,"Bond Received")+SUMIFS(#REF!,#REF!,B57,#REF!,"Bond Received")+SUMIFS('1UL9RY'!$D$6:$D$2994,'1UL9RY'!$I$6:$I$2994,B57,'1UL9RY'!$F$6:$F$2994,"Bond Received")+SUMIFS('1OZ7GT'!$D$6:$D$2994,'1OZ7GT'!$I$6:$I$2994,B57,'1OZ7GT'!$F$6:$F$2994,"Bond Received")+SUMIFS('1CN8DD'!$D$6:$D$2994,'1CN8DD'!$I$6:$I$2994,B57,'1CN8DD'!$F$6:$F$2994,"Bond Received")+SUMIFS('1UT9BR'!$D$6:$D$2994,'1UT9BR'!$I$6:$I$2994,B57,'1UT9BR'!$F$6:$F$2994,"Bond Received")+SUMIFS('1MK4UR'!$D$6:$D$2994,'1MK4UR'!$I$6:$I$2994,B57,'1MK4UR'!$F$6:$F$2994,"Bond Received")+SUMIFS(#REF!,#REF!,B57,#REF!,"Bond Received")+SUMIFS('1JI2UE'!$D$6:$D$2994,'1JI2UE'!$I$6:$I$2994,B57,'1JI2UE'!$F$6:$F$2994,"Bond Received")+SUMIFS(#REF!,#REF!,B57,#REF!,"Bond Received")+SUMIFS('1SI9BW'!$D$6:$D$2994,'1SI9BW'!$I$6:$I$2994,B57,'1SI9BW'!$F$6:$F$2994,"Bond Received")+SUMIFS(Suzuki!$D$6:$D$2994,Suzuki!$I$6:$I$2994,B57,Suzuki!$F$6:$F$2994,"Bond Received")+SUMIFS('1SK3DD'!$D$6:$D$2994,'1SK3DD'!$I$6:$I$2994,B57,'1SK3DD'!$F$6:$F$2994,"Bond Received")+SUMIFS('1SX5TQ'!$D$6:$D$2994,'1SX5TQ'!$I$6:$I$2994,B57,'1SX5TQ'!$F$6:$F$2994,"Bond Received")+SUMIFS('BMM465'!$D$6:$D$2994,'BMM465'!$I$6:$I$2994,B57,'BMM465'!$F$6:$F$2994,"Bond Received")+SUMIFS('1CF1ZO'!$D$6:$D$2994,'1CF1ZO'!$I$6:$I$2994,B57,'1CF1ZO'!$F$6:$F$2994,"Bond Received")+SUMIFS('1UK1BK'!$D$6:$D$2994,'1UK1BK'!$I$6:$I$2994,B57,'1UK1BK'!$F$6:$F$2994,"Bond Received")-(((SUMIFS('CEI565'!$K$6:$K$2990,'CEI565'!$N$6:$N$2990,B57,'CEI565'!$L$6:$L$2990,"Bond Return")+SUMIFS('1SM3VL'!$K$6:$K$2990,'1SM3VL'!$N$6:$N$2990,B57,'1SM3VL'!$L$6:$L$2990,"Bond Return")+SUMIFS('1QF4SM'!$K$6:$K$2990,'1QF4SM'!$N$6:$N$2990,B57,'1QF4SM'!$L$6:$L$2990,"Bond Return")+SUMIFS('1UV5KI'!$K$6:$K$2990,'1UV5KI'!$N$6:$N$2990,B57,'1UV5KI'!$L$6:$L$2990,"Bond Return")+SUMIFS(#REF!,#REF!,B57,#REF!,"Bond Return")+SUMIFS('1UL9RY'!$K$6:$K$2990,'1UL9RY'!$N$6:$N$2990,B57,'1UL9RY'!$L$6:$L$2990,"Bond Return")+SUMIFS('1OZ7GT'!$K$6:$K$2990,'1OZ7GT'!$N$6:$N$2990,B57,'1OZ7GT'!$L$6:$L$2990,"Bond Return")+SUMIFS('1CN8DD'!$K$6:$K$2990,'1CN8DD'!$N$6:$N$2990,B57,'1CN8DD'!$L$6:$L$2990,"Bond Return")+SUMIFS('1UT9BR'!$K$6:$K$2990,'1UT9BR'!$N$6:$N$2990,B57,'1UT9BR'!$L$6:$L$2990,"Bond Return")+SUMIFS('1MK4UR'!$K$6:$K$2990,'1MK4UR'!$N$6:$N$2990,B57,'1MK4UR'!$L$6:$L$2990,"Bond Return")+SUMIFS(#REF!,#REF!,B57,#REF!,"Bond Return")+SUMIFS('1JI2UE'!$K$6:$K$2990,'1JI2UE'!$N$6:$N$2990,B57,'1JI2UE'!$L$6:$L$2990,"Bond Return")+SUMIFS(#REF!,#REF!,B57,#REF!,"Bond Return")+SUMIFS('1SI9BW'!$K$6:$K$2990,'1SI9BW'!$N$6:$N$2990,B57,'1SI9BW'!$L$6:$L$2990,"Bond Return")+SUMIFS(Suzuki!$K$6:$K$2990,Suzuki!$N$6:$N$2990,B57,Suzuki!$L$6:$L$2990,"Bond Return")+SUMIFS('1SK3DD'!$K$6:$K$2990,'1SK3DD'!$N$6:$N$2990,B57,'1SK3DD'!$L$6:$L$2990,"Bond Return")+SUMIFS('1SX5TQ'!$K$6:$K$2990,'1SX5TQ'!$N$6:$N$2990,B57,'1SX5TQ'!$L$6:$L$2990,"Bond Return")+SUMIFS('BMM465'!$K$6:$K$2990,'BMM465'!$N$6:$N$2990,B57,'BMM465'!$L$6:$L$2990,"Bond Return")+SUMIFS('1CF1ZO'!$K$6:$K$2990,'1CF1ZO'!$N$6:$N$2990,B57,'1CF1ZO'!$L$6:$L$2990,"Bond Return")+SUMIFS('1UK1BK'!$K$6:$K$2990,'1UK1BK'!$N$6:$N$2990,B57,'1UK1BK'!$L$6:$L$2990,"Bond Return"))))</f>
        <v>#REF!</v>
      </c>
      <c r="O57"/>
      <c r="AE57" s="221">
        <v>44835</v>
      </c>
      <c r="AF57" s="17">
        <v>150</v>
      </c>
      <c r="AG57" t="s">
        <v>264</v>
      </c>
      <c r="AH57" s="73" t="s">
        <v>939</v>
      </c>
      <c r="AI57"/>
      <c r="AJ57" s="124" t="s">
        <v>900</v>
      </c>
    </row>
    <row r="58" spans="1:39" ht="15" customHeight="1" x14ac:dyDescent="0.25">
      <c r="A58" s="133">
        <v>19</v>
      </c>
      <c r="B58" s="133" t="s">
        <v>327</v>
      </c>
      <c r="C58" s="139"/>
      <c r="D58" s="139"/>
      <c r="E58" s="139"/>
      <c r="F58" s="134"/>
      <c r="G58" s="139"/>
      <c r="H58" s="139"/>
      <c r="I58" s="136"/>
      <c r="J58" s="136"/>
      <c r="K58" s="137"/>
      <c r="L58" s="137"/>
      <c r="M58" s="134"/>
      <c r="N58" s="138" t="e">
        <f>SUMIFS('CEI565'!$D$6:$D$2994,'CEI565'!$I$6:$I$2994,B58,'CEI565'!$F$6:$F$2994,"Bond Received")+SUMIFS('1SM3VL'!$D$6:$D$2994,'1SM3VL'!$I$6:$I$2994,B58,'1SM3VL'!$F$6:$F$2994,"Bond Received")+SUMIFS('1QF4SM'!$D$6:$D$2994,'1QF4SM'!$I$6:$I$2994,B58,'1QF4SM'!$F$6:$F$2994,"Bond Received")+SUMIFS('1UV5KI'!$D$6:$D$2994,'1UV5KI'!$I$6:$I$2994,B58,'1UV5KI'!$F$6:$F$2994,"Bond Received")+SUMIFS(#REF!,#REF!,B58,#REF!,"Bond Received")+SUMIFS('1UL9RY'!$D$6:$D$2994,'1UL9RY'!$I$6:$I$2994,B58,'1UL9RY'!$F$6:$F$2994,"Bond Received")+SUMIFS('1OZ7GT'!$D$6:$D$2994,'1OZ7GT'!$I$6:$I$2994,B58,'1OZ7GT'!$F$6:$F$2994,"Bond Received")+SUMIFS('1CN8DD'!$D$6:$D$2994,'1CN8DD'!$I$6:$I$2994,B58,'1CN8DD'!$F$6:$F$2994,"Bond Received")+SUMIFS('1UT9BR'!$D$6:$D$2994,'1UT9BR'!$I$6:$I$2994,B58,'1UT9BR'!$F$6:$F$2994,"Bond Received")+SUMIFS('1MK4UR'!$D$6:$D$2994,'1MK4UR'!$I$6:$I$2994,B58,'1MK4UR'!$F$6:$F$2994,"Bond Received")+SUMIFS(#REF!,#REF!,B58,#REF!,"Bond Received")+SUMIFS('1JI2UE'!$D$6:$D$2994,'1JI2UE'!$I$6:$I$2994,B58,'1JI2UE'!$F$6:$F$2994,"Bond Received")+SUMIFS(#REF!,#REF!,B58,#REF!,"Bond Received")+SUMIFS('1SI9BW'!$D$6:$D$2994,'1SI9BW'!$I$6:$I$2994,B58,'1SI9BW'!$F$6:$F$2994,"Bond Received")+SUMIFS(Suzuki!$D$6:$D$2994,Suzuki!$I$6:$I$2994,B58,Suzuki!$F$6:$F$2994,"Bond Received")+SUMIFS('1SK3DD'!$D$6:$D$2994,'1SK3DD'!$I$6:$I$2994,B58,'1SK3DD'!$F$6:$F$2994,"Bond Received")+SUMIFS('1SX5TQ'!$D$6:$D$2994,'1SX5TQ'!$I$6:$I$2994,B58,'1SX5TQ'!$F$6:$F$2994,"Bond Received")+SUMIFS('BMM465'!$D$6:$D$2994,'BMM465'!$I$6:$I$2994,B58,'BMM465'!$F$6:$F$2994,"Bond Received")+SUMIFS('1CF1ZO'!$D$6:$D$2994,'1CF1ZO'!$I$6:$I$2994,B58,'1CF1ZO'!$F$6:$F$2994,"Bond Received")+SUMIFS('1UK1BK'!$D$6:$D$2994,'1UK1BK'!$I$6:$I$2994,B58,'1UK1BK'!$F$6:$F$2994,"Bond Received")-(((SUMIFS('CEI565'!$K$6:$K$2990,'CEI565'!$N$6:$N$2990,B58,'CEI565'!$L$6:$L$2990,"Bond Return")+SUMIFS('1SM3VL'!$K$6:$K$2990,'1SM3VL'!$N$6:$N$2990,B58,'1SM3VL'!$L$6:$L$2990,"Bond Return")+SUMIFS('1QF4SM'!$K$6:$K$2990,'1QF4SM'!$N$6:$N$2990,B58,'1QF4SM'!$L$6:$L$2990,"Bond Return")+SUMIFS('1UV5KI'!$K$6:$K$2990,'1UV5KI'!$N$6:$N$2990,B58,'1UV5KI'!$L$6:$L$2990,"Bond Return")+SUMIFS(#REF!,#REF!,B58,#REF!,"Bond Return")+SUMIFS('1UL9RY'!$K$6:$K$2990,'1UL9RY'!$N$6:$N$2990,B58,'1UL9RY'!$L$6:$L$2990,"Bond Return")+SUMIFS('1OZ7GT'!$K$6:$K$2990,'1OZ7GT'!$N$6:$N$2990,B58,'1OZ7GT'!$L$6:$L$2990,"Bond Return")+SUMIFS('1CN8DD'!$K$6:$K$2990,'1CN8DD'!$N$6:$N$2990,B58,'1CN8DD'!$L$6:$L$2990,"Bond Return")+SUMIFS('1UT9BR'!$K$6:$K$2990,'1UT9BR'!$N$6:$N$2990,B58,'1UT9BR'!$L$6:$L$2990,"Bond Return")+SUMIFS('1MK4UR'!$K$6:$K$2990,'1MK4UR'!$N$6:$N$2990,B58,'1MK4UR'!$L$6:$L$2990,"Bond Return")+SUMIFS(#REF!,#REF!,B58,#REF!,"Bond Return")+SUMIFS('1JI2UE'!$K$6:$K$2990,'1JI2UE'!$N$6:$N$2990,B58,'1JI2UE'!$L$6:$L$2990,"Bond Return")+SUMIFS(#REF!,#REF!,B58,#REF!,"Bond Return")+SUMIFS('1SI9BW'!$K$6:$K$2990,'1SI9BW'!$N$6:$N$2990,B58,'1SI9BW'!$L$6:$L$2990,"Bond Return")+SUMIFS(Suzuki!$K$6:$K$2990,Suzuki!$N$6:$N$2990,B58,Suzuki!$L$6:$L$2990,"Bond Return")+SUMIFS('1SK3DD'!$K$6:$K$2990,'1SK3DD'!$N$6:$N$2990,B58,'1SK3DD'!$L$6:$L$2990,"Bond Return")+SUMIFS('1SX5TQ'!$K$6:$K$2990,'1SX5TQ'!$N$6:$N$2990,B58,'1SX5TQ'!$L$6:$L$2990,"Bond Return")+SUMIFS('BMM465'!$K$6:$K$2990,'BMM465'!$N$6:$N$2990,B58,'BMM465'!$L$6:$L$2990,"Bond Return")+SUMIFS('1CF1ZO'!$K$6:$K$2990,'1CF1ZO'!$N$6:$N$2990,B58,'1CF1ZO'!$L$6:$L$2990,"Bond Return")+SUMIFS('1UK1BK'!$K$6:$K$2990,'1UK1BK'!$N$6:$N$2990,B58,'1UK1BK'!$L$6:$L$2990,"Bond Return"))))</f>
        <v>#REF!</v>
      </c>
      <c r="O58" s="139"/>
      <c r="AE58" s="221">
        <v>44838</v>
      </c>
      <c r="AF58" s="17">
        <v>500</v>
      </c>
      <c r="AG58" t="s">
        <v>264</v>
      </c>
      <c r="AH58" s="217" t="s">
        <v>962</v>
      </c>
      <c r="AI58"/>
      <c r="AJ58" s="124" t="s">
        <v>505</v>
      </c>
    </row>
    <row r="59" spans="1:39" ht="15" customHeight="1" x14ac:dyDescent="0.25">
      <c r="A59" s="128">
        <v>20</v>
      </c>
      <c r="B59" s="128" t="s">
        <v>328</v>
      </c>
      <c r="C59" t="s">
        <v>338</v>
      </c>
      <c r="D59" t="s">
        <v>339</v>
      </c>
      <c r="E59" t="s">
        <v>340</v>
      </c>
      <c r="F59" s="10">
        <v>3174</v>
      </c>
      <c r="G59" t="s">
        <v>341</v>
      </c>
      <c r="I59" s="127" t="s">
        <v>342</v>
      </c>
      <c r="J59" s="127"/>
      <c r="K59" s="124">
        <v>32927</v>
      </c>
      <c r="L59" s="124">
        <v>44010</v>
      </c>
      <c r="M59" s="10" t="s">
        <v>343</v>
      </c>
      <c r="N59" s="130" t="e">
        <f>SUMIFS('CEI565'!$D$6:$D$2994,'CEI565'!$I$6:$I$2994,B59,'CEI565'!$F$6:$F$2994,"Bond Received")+SUMIFS('1SM3VL'!$D$6:$D$2994,'1SM3VL'!$I$6:$I$2994,B59,'1SM3VL'!$F$6:$F$2994,"Bond Received")+SUMIFS('1QF4SM'!$D$6:$D$2994,'1QF4SM'!$I$6:$I$2994,B59,'1QF4SM'!$F$6:$F$2994,"Bond Received")+SUMIFS('1UV5KI'!$D$6:$D$2994,'1UV5KI'!$I$6:$I$2994,B59,'1UV5KI'!$F$6:$F$2994,"Bond Received")+SUMIFS(#REF!,#REF!,B59,#REF!,"Bond Received")+SUMIFS('1UL9RY'!$D$6:$D$2994,'1UL9RY'!$I$6:$I$2994,B59,'1UL9RY'!$F$6:$F$2994,"Bond Received")+SUMIFS('1OZ7GT'!$D$6:$D$2994,'1OZ7GT'!$I$6:$I$2994,B59,'1OZ7GT'!$F$6:$F$2994,"Bond Received")+SUMIFS('1CN8DD'!$D$6:$D$2994,'1CN8DD'!$I$6:$I$2994,B59,'1CN8DD'!$F$6:$F$2994,"Bond Received")+SUMIFS('1UT9BR'!$D$6:$D$2994,'1UT9BR'!$I$6:$I$2994,B59,'1UT9BR'!$F$6:$F$2994,"Bond Received")+SUMIFS('1MK4UR'!$D$6:$D$2994,'1MK4UR'!$I$6:$I$2994,B59,'1MK4UR'!$F$6:$F$2994,"Bond Received")+SUMIFS(#REF!,#REF!,B59,#REF!,"Bond Received")+SUMIFS('1JI2UE'!$D$6:$D$2994,'1JI2UE'!$I$6:$I$2994,B59,'1JI2UE'!$F$6:$F$2994,"Bond Received")+SUMIFS(#REF!,#REF!,B59,#REF!,"Bond Received")+SUMIFS('1SI9BW'!$D$6:$D$2994,'1SI9BW'!$I$6:$I$2994,B59,'1SI9BW'!$F$6:$F$2994,"Bond Received")+SUMIFS(Suzuki!$D$6:$D$2994,Suzuki!$I$6:$I$2994,B59,Suzuki!$F$6:$F$2994,"Bond Received")+SUMIFS('1SK3DD'!$D$6:$D$2994,'1SK3DD'!$I$6:$I$2994,B59,'1SK3DD'!$F$6:$F$2994,"Bond Received")+SUMIFS('1SX5TQ'!$D$6:$D$2994,'1SX5TQ'!$I$6:$I$2994,B59,'1SX5TQ'!$F$6:$F$2994,"Bond Received")+SUMIFS('BMM465'!$D$6:$D$2994,'BMM465'!$I$6:$I$2994,B59,'BMM465'!$F$6:$F$2994,"Bond Received")+SUMIFS('1CF1ZO'!$D$6:$D$2994,'1CF1ZO'!$I$6:$I$2994,B59,'1CF1ZO'!$F$6:$F$2994,"Bond Received")+SUMIFS('1UK1BK'!$D$6:$D$2994,'1UK1BK'!$I$6:$I$2994,B59,'1UK1BK'!$F$6:$F$2994,"Bond Received")-(((SUMIFS('CEI565'!$K$6:$K$2990,'CEI565'!$N$6:$N$2990,B59,'CEI565'!$L$6:$L$2990,"Bond Return")+SUMIFS('1SM3VL'!$K$6:$K$2990,'1SM3VL'!$N$6:$N$2990,B59,'1SM3VL'!$L$6:$L$2990,"Bond Return")+SUMIFS('1QF4SM'!$K$6:$K$2990,'1QF4SM'!$N$6:$N$2990,B59,'1QF4SM'!$L$6:$L$2990,"Bond Return")+SUMIFS('1UV5KI'!$K$6:$K$2990,'1UV5KI'!$N$6:$N$2990,B59,'1UV5KI'!$L$6:$L$2990,"Bond Return")+SUMIFS(#REF!,#REF!,B59,#REF!,"Bond Return")+SUMIFS('1UL9RY'!$K$6:$K$2990,'1UL9RY'!$N$6:$N$2990,B59,'1UL9RY'!$L$6:$L$2990,"Bond Return")+SUMIFS('1OZ7GT'!$K$6:$K$2990,'1OZ7GT'!$N$6:$N$2990,B59,'1OZ7GT'!$L$6:$L$2990,"Bond Return")+SUMIFS('1CN8DD'!$K$6:$K$2990,'1CN8DD'!$N$6:$N$2990,B59,'1CN8DD'!$L$6:$L$2990,"Bond Return")+SUMIFS('1UT9BR'!$K$6:$K$2990,'1UT9BR'!$N$6:$N$2990,B59,'1UT9BR'!$L$6:$L$2990,"Bond Return")+SUMIFS('1MK4UR'!$K$6:$K$2990,'1MK4UR'!$N$6:$N$2990,B59,'1MK4UR'!$L$6:$L$2990,"Bond Return")+SUMIFS(#REF!,#REF!,B59,#REF!,"Bond Return")+SUMIFS('1JI2UE'!$K$6:$K$2990,'1JI2UE'!$N$6:$N$2990,B59,'1JI2UE'!$L$6:$L$2990,"Bond Return")+SUMIFS(#REF!,#REF!,B59,#REF!,"Bond Return")+SUMIFS('1SI9BW'!$K$6:$K$2990,'1SI9BW'!$N$6:$N$2990,B59,'1SI9BW'!$L$6:$L$2990,"Bond Return")+SUMIFS(Suzuki!$K$6:$K$2990,Suzuki!$N$6:$N$2990,B59,Suzuki!$L$6:$L$2990,"Bond Return")+SUMIFS('1SK3DD'!$K$6:$K$2990,'1SK3DD'!$N$6:$N$2990,B59,'1SK3DD'!$L$6:$L$2990,"Bond Return")+SUMIFS('1SX5TQ'!$K$6:$K$2990,'1SX5TQ'!$N$6:$N$2990,B59,'1SX5TQ'!$L$6:$L$2990,"Bond Return")+SUMIFS('BMM465'!$K$6:$K$2990,'BMM465'!$N$6:$N$2990,B59,'BMM465'!$L$6:$L$2990,"Bond Return")+SUMIFS('1CF1ZO'!$K$6:$K$2990,'1CF1ZO'!$N$6:$N$2990,B59,'1CF1ZO'!$L$6:$L$2990,"Bond Return")+SUMIFS('1UK1BK'!$K$6:$K$2990,'1UK1BK'!$N$6:$N$2990,B59,'1UK1BK'!$L$6:$L$2990,"Bond Return"))))</f>
        <v>#REF!</v>
      </c>
      <c r="O59"/>
      <c r="AE59" s="221">
        <v>44841</v>
      </c>
      <c r="AF59" s="17">
        <v>86.97</v>
      </c>
      <c r="AG59" t="s">
        <v>264</v>
      </c>
      <c r="AH59" s="217" t="s">
        <v>962</v>
      </c>
      <c r="AI59"/>
      <c r="AJ59" s="124" t="s">
        <v>196</v>
      </c>
    </row>
    <row r="60" spans="1:39" ht="15" customHeight="1" x14ac:dyDescent="0.25">
      <c r="A60" s="133">
        <v>21</v>
      </c>
      <c r="B60" s="133" t="s">
        <v>92</v>
      </c>
      <c r="C60" s="139"/>
      <c r="D60" s="139"/>
      <c r="E60" s="139"/>
      <c r="F60" s="134"/>
      <c r="G60" s="139"/>
      <c r="H60" s="139"/>
      <c r="I60" s="136"/>
      <c r="J60" s="136"/>
      <c r="K60" s="137"/>
      <c r="L60" s="137"/>
      <c r="M60" s="134"/>
      <c r="N60" s="138" t="e">
        <f>SUMIFS('CEI565'!$D$6:$D$2994,'CEI565'!$I$6:$I$2994,B60,'CEI565'!$F$6:$F$2994,"Bond Received")+SUMIFS('1SM3VL'!$D$6:$D$2994,'1SM3VL'!$I$6:$I$2994,B60,'1SM3VL'!$F$6:$F$2994,"Bond Received")+SUMIFS('1QF4SM'!$D$6:$D$2994,'1QF4SM'!$I$6:$I$2994,B60,'1QF4SM'!$F$6:$F$2994,"Bond Received")+SUMIFS('1UV5KI'!$D$6:$D$2994,'1UV5KI'!$I$6:$I$2994,B60,'1UV5KI'!$F$6:$F$2994,"Bond Received")+SUMIFS(#REF!,#REF!,B60,#REF!,"Bond Received")+SUMIFS('1UL9RY'!$D$6:$D$2994,'1UL9RY'!$I$6:$I$2994,B60,'1UL9RY'!$F$6:$F$2994,"Bond Received")+SUMIFS('1OZ7GT'!$D$6:$D$2994,'1OZ7GT'!$I$6:$I$2994,B60,'1OZ7GT'!$F$6:$F$2994,"Bond Received")+SUMIFS('1CN8DD'!$D$6:$D$2994,'1CN8DD'!$I$6:$I$2994,B60,'1CN8DD'!$F$6:$F$2994,"Bond Received")+SUMIFS('1UT9BR'!$D$6:$D$2994,'1UT9BR'!$I$6:$I$2994,B60,'1UT9BR'!$F$6:$F$2994,"Bond Received")+SUMIFS('1MK4UR'!$D$6:$D$2994,'1MK4UR'!$I$6:$I$2994,B60,'1MK4UR'!$F$6:$F$2994,"Bond Received")+SUMIFS(#REF!,#REF!,B60,#REF!,"Bond Received")+SUMIFS('1JI2UE'!$D$6:$D$2994,'1JI2UE'!$I$6:$I$2994,B60,'1JI2UE'!$F$6:$F$2994,"Bond Received")+SUMIFS(#REF!,#REF!,B60,#REF!,"Bond Received")+SUMIFS('1SI9BW'!$D$6:$D$2994,'1SI9BW'!$I$6:$I$2994,B60,'1SI9BW'!$F$6:$F$2994,"Bond Received")+SUMIFS(Suzuki!$D$6:$D$2994,Suzuki!$I$6:$I$2994,B60,Suzuki!$F$6:$F$2994,"Bond Received")+SUMIFS('1SK3DD'!$D$6:$D$2994,'1SK3DD'!$I$6:$I$2994,B60,'1SK3DD'!$F$6:$F$2994,"Bond Received")+SUMIFS('1SX5TQ'!$D$6:$D$2994,'1SX5TQ'!$I$6:$I$2994,B60,'1SX5TQ'!$F$6:$F$2994,"Bond Received")+SUMIFS('BMM465'!$D$6:$D$2994,'BMM465'!$I$6:$I$2994,B60,'BMM465'!$F$6:$F$2994,"Bond Received")+SUMIFS('1CF1ZO'!$D$6:$D$2994,'1CF1ZO'!$I$6:$I$2994,B60,'1CF1ZO'!$F$6:$F$2994,"Bond Received")+SUMIFS('1UK1BK'!$D$6:$D$2994,'1UK1BK'!$I$6:$I$2994,B60,'1UK1BK'!$F$6:$F$2994,"Bond Received")-(((SUMIFS('CEI565'!$K$6:$K$2990,'CEI565'!$N$6:$N$2990,B60,'CEI565'!$L$6:$L$2990,"Bond Return")+SUMIFS('1SM3VL'!$K$6:$K$2990,'1SM3VL'!$N$6:$N$2990,B60,'1SM3VL'!$L$6:$L$2990,"Bond Return")+SUMIFS('1QF4SM'!$K$6:$K$2990,'1QF4SM'!$N$6:$N$2990,B60,'1QF4SM'!$L$6:$L$2990,"Bond Return")+SUMIFS('1UV5KI'!$K$6:$K$2990,'1UV5KI'!$N$6:$N$2990,B60,'1UV5KI'!$L$6:$L$2990,"Bond Return")+SUMIFS(#REF!,#REF!,B60,#REF!,"Bond Return")+SUMIFS('1UL9RY'!$K$6:$K$2990,'1UL9RY'!$N$6:$N$2990,B60,'1UL9RY'!$L$6:$L$2990,"Bond Return")+SUMIFS('1OZ7GT'!$K$6:$K$2990,'1OZ7GT'!$N$6:$N$2990,B60,'1OZ7GT'!$L$6:$L$2990,"Bond Return")+SUMIFS('1CN8DD'!$K$6:$K$2990,'1CN8DD'!$N$6:$N$2990,B60,'1CN8DD'!$L$6:$L$2990,"Bond Return")+SUMIFS('1UT9BR'!$K$6:$K$2990,'1UT9BR'!$N$6:$N$2990,B60,'1UT9BR'!$L$6:$L$2990,"Bond Return")+SUMIFS('1MK4UR'!$K$6:$K$2990,'1MK4UR'!$N$6:$N$2990,B60,'1MK4UR'!$L$6:$L$2990,"Bond Return")+SUMIFS(#REF!,#REF!,B60,#REF!,"Bond Return")+SUMIFS('1JI2UE'!$K$6:$K$2990,'1JI2UE'!$N$6:$N$2990,B60,'1JI2UE'!$L$6:$L$2990,"Bond Return")+SUMIFS(#REF!,#REF!,B60,#REF!,"Bond Return")+SUMIFS('1SI9BW'!$K$6:$K$2990,'1SI9BW'!$N$6:$N$2990,B60,'1SI9BW'!$L$6:$L$2990,"Bond Return")+SUMIFS(Suzuki!$K$6:$K$2990,Suzuki!$N$6:$N$2990,B60,Suzuki!$L$6:$L$2990,"Bond Return")+SUMIFS('1SK3DD'!$K$6:$K$2990,'1SK3DD'!$N$6:$N$2990,B60,'1SK3DD'!$L$6:$L$2990,"Bond Return")+SUMIFS('1SX5TQ'!$K$6:$K$2990,'1SX5TQ'!$N$6:$N$2990,B60,'1SX5TQ'!$L$6:$L$2990,"Bond Return")+SUMIFS('BMM465'!$K$6:$K$2990,'BMM465'!$N$6:$N$2990,B60,'BMM465'!$L$6:$L$2990,"Bond Return")+SUMIFS('1CF1ZO'!$K$6:$K$2990,'1CF1ZO'!$N$6:$N$2990,B60,'1CF1ZO'!$L$6:$L$2990,"Bond Return")+SUMIFS('1UK1BK'!$K$6:$K$2990,'1UK1BK'!$N$6:$N$2990,B60,'1UK1BK'!$L$6:$L$2990,"Bond Return"))))</f>
        <v>#REF!</v>
      </c>
      <c r="O60" s="139"/>
      <c r="AE60" s="221">
        <v>44843</v>
      </c>
      <c r="AF60" s="17">
        <v>100</v>
      </c>
      <c r="AG60" t="s">
        <v>264</v>
      </c>
      <c r="AH60" s="217" t="s">
        <v>962</v>
      </c>
      <c r="AI60"/>
      <c r="AJ60" s="124" t="s">
        <v>880</v>
      </c>
    </row>
    <row r="61" spans="1:39" ht="15" customHeight="1" x14ac:dyDescent="0.25">
      <c r="A61" s="128">
        <v>22</v>
      </c>
      <c r="B61" s="128" t="s">
        <v>199</v>
      </c>
      <c r="D61" t="s">
        <v>512</v>
      </c>
      <c r="E61" t="s">
        <v>513</v>
      </c>
      <c r="F61" s="10"/>
      <c r="G61" t="s">
        <v>514</v>
      </c>
      <c r="I61" s="127" t="s">
        <v>515</v>
      </c>
      <c r="J61" s="127"/>
      <c r="K61" s="124"/>
      <c r="L61" s="124"/>
      <c r="M61" s="10"/>
      <c r="N61" s="165" t="e">
        <f>SUMIFS('CEI565'!$D$6:$D$2994,'CEI565'!$I$6:$I$2994,B61,'CEI565'!$F$6:$F$2994,"Bond Received")+SUMIFS('1SM3VL'!$D$6:$D$2994,'1SM3VL'!$I$6:$I$2994,B61,'1SM3VL'!$F$6:$F$2994,"Bond Received")+SUMIFS('1QF4SM'!$D$6:$D$2994,'1QF4SM'!$I$6:$I$2994,B61,'1QF4SM'!$F$6:$F$2994,"Bond Received")+SUMIFS('1UV5KI'!$D$6:$D$2994,'1UV5KI'!$I$6:$I$2994,B61,'1UV5KI'!$F$6:$F$2994,"Bond Received")+SUMIFS(#REF!,#REF!,B61,#REF!,"Bond Received")+SUMIFS('1UL9RY'!$D$6:$D$2994,'1UL9RY'!$I$6:$I$2994,B61,'1UL9RY'!$F$6:$F$2994,"Bond Received")+SUMIFS('1OZ7GT'!$D$6:$D$2994,'1OZ7GT'!$I$6:$I$2994,B61,'1OZ7GT'!$F$6:$F$2994,"Bond Received")+SUMIFS('1CN8DD'!$D$6:$D$2994,'1CN8DD'!$I$6:$I$2994,B61,'1CN8DD'!$F$6:$F$2994,"Bond Received")+SUMIFS('1UT9BR'!$D$6:$D$2994,'1UT9BR'!$I$6:$I$2994,B61,'1UT9BR'!$F$6:$F$2994,"Bond Received")+SUMIFS('1MK4UR'!$D$6:$D$2994,'1MK4UR'!$I$6:$I$2994,B61,'1MK4UR'!$F$6:$F$2994,"Bond Received")+SUMIFS(#REF!,#REF!,B61,#REF!,"Bond Received")+SUMIFS('1JI2UE'!$D$6:$D$2994,'1JI2UE'!$I$6:$I$2994,B61,'1JI2UE'!$F$6:$F$2994,"Bond Received")+SUMIFS(#REF!,#REF!,B61,#REF!,"Bond Received")+SUMIFS('1SI9BW'!$D$6:$D$2994,'1SI9BW'!$I$6:$I$2994,B61,'1SI9BW'!$F$6:$F$2994,"Bond Received")+SUMIFS(Suzuki!$D$6:$D$2994,Suzuki!$I$6:$I$2994,B61,Suzuki!$F$6:$F$2994,"Bond Received")+SUMIFS('1SK3DD'!$D$6:$D$2994,'1SK3DD'!$I$6:$I$2994,B61,'1SK3DD'!$F$6:$F$2994,"Bond Received")+SUMIFS('1SX5TQ'!$D$6:$D$2994,'1SX5TQ'!$I$6:$I$2994,B61,'1SX5TQ'!$F$6:$F$2994,"Bond Received")+SUMIFS('BMM465'!$D$6:$D$2994,'BMM465'!$I$6:$I$2994,B61,'BMM465'!$F$6:$F$2994,"Bond Received")+SUMIFS('1CF1ZO'!$D$6:$D$2994,'1CF1ZO'!$I$6:$I$2994,B61,'1CF1ZO'!$F$6:$F$2994,"Bond Received")+SUMIFS('1UK1BK'!$D$6:$D$2994,'1UK1BK'!$I$6:$I$2994,B61,'1UK1BK'!$F$6:$F$2994,"Bond Received")-(((SUMIFS('CEI565'!$K$6:$K$2990,'CEI565'!$N$6:$N$2990,B61,'CEI565'!$L$6:$L$2990,"Bond Return")+SUMIFS('1SM3VL'!$K$6:$K$2990,'1SM3VL'!$N$6:$N$2990,B61,'1SM3VL'!$L$6:$L$2990,"Bond Return")+SUMIFS('1QF4SM'!$K$6:$K$2990,'1QF4SM'!$N$6:$N$2990,B61,'1QF4SM'!$L$6:$L$2990,"Bond Return")+SUMIFS('1UV5KI'!$K$6:$K$2990,'1UV5KI'!$N$6:$N$2990,B61,'1UV5KI'!$L$6:$L$2990,"Bond Return")+SUMIFS(#REF!,#REF!,B61,#REF!,"Bond Return")+SUMIFS('1UL9RY'!$K$6:$K$2990,'1UL9RY'!$N$6:$N$2990,B61,'1UL9RY'!$L$6:$L$2990,"Bond Return")+SUMIFS('1OZ7GT'!$K$6:$K$2990,'1OZ7GT'!$N$6:$N$2990,B61,'1OZ7GT'!$L$6:$L$2990,"Bond Return")+SUMIFS('1CN8DD'!$K$6:$K$2990,'1CN8DD'!$N$6:$N$2990,B61,'1CN8DD'!$L$6:$L$2990,"Bond Return")+SUMIFS('1UT9BR'!$K$6:$K$2990,'1UT9BR'!$N$6:$N$2990,B61,'1UT9BR'!$L$6:$L$2990,"Bond Return")+SUMIFS('1MK4UR'!$K$6:$K$2990,'1MK4UR'!$N$6:$N$2990,B61,'1MK4UR'!$L$6:$L$2990,"Bond Return")+SUMIFS(#REF!,#REF!,B61,#REF!,"Bond Return")+SUMIFS('1JI2UE'!$K$6:$K$2990,'1JI2UE'!$N$6:$N$2990,B61,'1JI2UE'!$L$6:$L$2990,"Bond Return")+SUMIFS(#REF!,#REF!,B61,#REF!,"Bond Return")+SUMIFS('1SI9BW'!$K$6:$K$2990,'1SI9BW'!$N$6:$N$2990,B61,'1SI9BW'!$L$6:$L$2990,"Bond Return")+SUMIFS(Suzuki!$K$6:$K$2990,Suzuki!$N$6:$N$2990,B61,Suzuki!$L$6:$L$2990,"Bond Return")+SUMIFS('1SK3DD'!$K$6:$K$2990,'1SK3DD'!$N$6:$N$2990,B61,'1SK3DD'!$L$6:$L$2990,"Bond Return")+SUMIFS('1SX5TQ'!$K$6:$K$2990,'1SX5TQ'!$N$6:$N$2990,B61,'1SX5TQ'!$L$6:$L$2990,"Bond Return")+SUMIFS('BMM465'!$K$6:$K$2990,'BMM465'!$N$6:$N$2990,B61,'BMM465'!$L$6:$L$2990,"Bond Return")+SUMIFS('1CF1ZO'!$K$6:$K$2990,'1CF1ZO'!$N$6:$N$2990,B61,'1CF1ZO'!$L$6:$L$2990,"Bond Return")+SUMIFS('1UK1BK'!$K$6:$K$2990,'1UK1BK'!$N$6:$N$2990,B61,'1UK1BK'!$L$6:$L$2990,"Bond Return"))))</f>
        <v>#REF!</v>
      </c>
      <c r="O61"/>
      <c r="AE61" s="221">
        <v>44843</v>
      </c>
      <c r="AF61" s="17">
        <v>200</v>
      </c>
      <c r="AG61" t="s">
        <v>264</v>
      </c>
      <c r="AH61" s="73" t="s">
        <v>939</v>
      </c>
      <c r="AI61"/>
      <c r="AJ61" s="124" t="s">
        <v>905</v>
      </c>
    </row>
    <row r="62" spans="1:39" ht="15" customHeight="1" x14ac:dyDescent="0.25">
      <c r="A62" s="133">
        <v>23</v>
      </c>
      <c r="B62" s="133" t="s">
        <v>329</v>
      </c>
      <c r="C62" s="139" t="s">
        <v>344</v>
      </c>
      <c r="D62" s="139" t="s">
        <v>345</v>
      </c>
      <c r="E62" s="139" t="s">
        <v>346</v>
      </c>
      <c r="F62" s="134">
        <v>3168</v>
      </c>
      <c r="G62" s="139" t="s">
        <v>347</v>
      </c>
      <c r="H62" s="141" t="s">
        <v>348</v>
      </c>
      <c r="I62" s="136" t="s">
        <v>349</v>
      </c>
      <c r="J62" s="136"/>
      <c r="K62" s="137">
        <v>35809</v>
      </c>
      <c r="L62" s="137">
        <v>44022</v>
      </c>
      <c r="M62" s="134" t="s">
        <v>350</v>
      </c>
      <c r="N62" s="138" t="e">
        <f>SUMIFS('CEI565'!$D$6:$D$2994,'CEI565'!$I$6:$I$2994,B62,'CEI565'!$F$6:$F$2994,"Bond Received")+SUMIFS('1SM3VL'!$D$6:$D$2994,'1SM3VL'!$I$6:$I$2994,B62,'1SM3VL'!$F$6:$F$2994,"Bond Received")+SUMIFS('1QF4SM'!$D$6:$D$2994,'1QF4SM'!$I$6:$I$2994,B62,'1QF4SM'!$F$6:$F$2994,"Bond Received")+SUMIFS('1UV5KI'!$D$6:$D$2994,'1UV5KI'!$I$6:$I$2994,B62,'1UV5KI'!$F$6:$F$2994,"Bond Received")+SUMIFS(#REF!,#REF!,B62,#REF!,"Bond Received")+SUMIFS('1UL9RY'!$D$6:$D$2994,'1UL9RY'!$I$6:$I$2994,B62,'1UL9RY'!$F$6:$F$2994,"Bond Received")+SUMIFS('1OZ7GT'!$D$6:$D$2994,'1OZ7GT'!$I$6:$I$2994,B62,'1OZ7GT'!$F$6:$F$2994,"Bond Received")+SUMIFS('1CN8DD'!$D$6:$D$2994,'1CN8DD'!$I$6:$I$2994,B62,'1CN8DD'!$F$6:$F$2994,"Bond Received")+SUMIFS('1UT9BR'!$D$6:$D$2994,'1UT9BR'!$I$6:$I$2994,B62,'1UT9BR'!$F$6:$F$2994,"Bond Received")+SUMIFS('1MK4UR'!$D$6:$D$2994,'1MK4UR'!$I$6:$I$2994,B62,'1MK4UR'!$F$6:$F$2994,"Bond Received")+SUMIFS(#REF!,#REF!,B62,#REF!,"Bond Received")+SUMIFS('1JI2UE'!$D$6:$D$2994,'1JI2UE'!$I$6:$I$2994,B62,'1JI2UE'!$F$6:$F$2994,"Bond Received")+SUMIFS(#REF!,#REF!,B62,#REF!,"Bond Received")+SUMIFS('1SI9BW'!$D$6:$D$2994,'1SI9BW'!$I$6:$I$2994,B62,'1SI9BW'!$F$6:$F$2994,"Bond Received")+SUMIFS(Suzuki!$D$6:$D$2994,Suzuki!$I$6:$I$2994,B62,Suzuki!$F$6:$F$2994,"Bond Received")+SUMIFS('1SK3DD'!$D$6:$D$2994,'1SK3DD'!$I$6:$I$2994,B62,'1SK3DD'!$F$6:$F$2994,"Bond Received")+SUMIFS('1SX5TQ'!$D$6:$D$2994,'1SX5TQ'!$I$6:$I$2994,B62,'1SX5TQ'!$F$6:$F$2994,"Bond Received")+SUMIFS('BMM465'!$D$6:$D$2994,'BMM465'!$I$6:$I$2994,B62,'BMM465'!$F$6:$F$2994,"Bond Received")+SUMIFS('1CF1ZO'!$D$6:$D$2994,'1CF1ZO'!$I$6:$I$2994,B62,'1CF1ZO'!$F$6:$F$2994,"Bond Received")+SUMIFS('1UK1BK'!$D$6:$D$2994,'1UK1BK'!$I$6:$I$2994,B62,'1UK1BK'!$F$6:$F$2994,"Bond Received")-(((SUMIFS('CEI565'!$K$6:$K$2990,'CEI565'!$N$6:$N$2990,B62,'CEI565'!$L$6:$L$2990,"Bond Return")+SUMIFS('1SM3VL'!$K$6:$K$2990,'1SM3VL'!$N$6:$N$2990,B62,'1SM3VL'!$L$6:$L$2990,"Bond Return")+SUMIFS('1QF4SM'!$K$6:$K$2990,'1QF4SM'!$N$6:$N$2990,B62,'1QF4SM'!$L$6:$L$2990,"Bond Return")+SUMIFS('1UV5KI'!$K$6:$K$2990,'1UV5KI'!$N$6:$N$2990,B62,'1UV5KI'!$L$6:$L$2990,"Bond Return")+SUMIFS(#REF!,#REF!,B62,#REF!,"Bond Return")+SUMIFS('1UL9RY'!$K$6:$K$2990,'1UL9RY'!$N$6:$N$2990,B62,'1UL9RY'!$L$6:$L$2990,"Bond Return")+SUMIFS('1OZ7GT'!$K$6:$K$2990,'1OZ7GT'!$N$6:$N$2990,B62,'1OZ7GT'!$L$6:$L$2990,"Bond Return")+SUMIFS('1CN8DD'!$K$6:$K$2990,'1CN8DD'!$N$6:$N$2990,B62,'1CN8DD'!$L$6:$L$2990,"Bond Return")+SUMIFS('1UT9BR'!$K$6:$K$2990,'1UT9BR'!$N$6:$N$2990,B62,'1UT9BR'!$L$6:$L$2990,"Bond Return")+SUMIFS('1MK4UR'!$K$6:$K$2990,'1MK4UR'!$N$6:$N$2990,B62,'1MK4UR'!$L$6:$L$2990,"Bond Return")+SUMIFS(#REF!,#REF!,B62,#REF!,"Bond Return")+SUMIFS('1JI2UE'!$K$6:$K$2990,'1JI2UE'!$N$6:$N$2990,B62,'1JI2UE'!$L$6:$L$2990,"Bond Return")+SUMIFS(#REF!,#REF!,B62,#REF!,"Bond Return")+SUMIFS('1SI9BW'!$K$6:$K$2990,'1SI9BW'!$N$6:$N$2990,B62,'1SI9BW'!$L$6:$L$2990,"Bond Return")+SUMIFS(Suzuki!$K$6:$K$2990,Suzuki!$N$6:$N$2990,B62,Suzuki!$L$6:$L$2990,"Bond Return")+SUMIFS('1SK3DD'!$K$6:$K$2990,'1SK3DD'!$N$6:$N$2990,B62,'1SK3DD'!$L$6:$L$2990,"Bond Return")+SUMIFS('1SX5TQ'!$K$6:$K$2990,'1SX5TQ'!$N$6:$N$2990,B62,'1SX5TQ'!$L$6:$L$2990,"Bond Return")+SUMIFS('BMM465'!$K$6:$K$2990,'BMM465'!$N$6:$N$2990,B62,'BMM465'!$L$6:$L$2990,"Bond Return")+SUMIFS('1CF1ZO'!$K$6:$K$2990,'1CF1ZO'!$N$6:$N$2990,B62,'1CF1ZO'!$L$6:$L$2990,"Bond Return")+SUMIFS('1UK1BK'!$K$6:$K$2990,'1UK1BK'!$N$6:$N$2990,B62,'1UK1BK'!$L$6:$L$2990,"Bond Return"))))</f>
        <v>#REF!</v>
      </c>
      <c r="O62" s="139"/>
      <c r="AE62" s="221">
        <v>44843</v>
      </c>
      <c r="AF62" s="17">
        <v>100</v>
      </c>
      <c r="AG62" t="s">
        <v>264</v>
      </c>
      <c r="AH62" s="217" t="s">
        <v>962</v>
      </c>
      <c r="AI62"/>
      <c r="AJ62" s="124" t="s">
        <v>905</v>
      </c>
    </row>
    <row r="63" spans="1:39" ht="15" customHeight="1" x14ac:dyDescent="0.25">
      <c r="A63" s="128">
        <v>24</v>
      </c>
      <c r="B63" s="128" t="s">
        <v>109</v>
      </c>
      <c r="C63" t="s">
        <v>332</v>
      </c>
      <c r="D63" t="s">
        <v>333</v>
      </c>
      <c r="E63" t="s">
        <v>334</v>
      </c>
      <c r="F63" s="10">
        <v>3163</v>
      </c>
      <c r="G63" t="s">
        <v>336</v>
      </c>
      <c r="I63" s="127" t="s">
        <v>357</v>
      </c>
      <c r="J63" s="127">
        <v>678375</v>
      </c>
      <c r="K63" s="124">
        <v>34476</v>
      </c>
      <c r="L63" s="124">
        <v>44009</v>
      </c>
      <c r="M63" s="10" t="s">
        <v>337</v>
      </c>
      <c r="N63" s="130" t="e">
        <f>SUMIFS('CEI565'!$D$6:$D$2994,'CEI565'!$I$6:$I$2994,B63,'CEI565'!$F$6:$F$2994,"Bond Received")+SUMIFS('1SM3VL'!$D$6:$D$2994,'1SM3VL'!$I$6:$I$2994,B63,'1SM3VL'!$F$6:$F$2994,"Bond Received")+SUMIFS('1QF4SM'!$D$6:$D$2994,'1QF4SM'!$I$6:$I$2994,B63,'1QF4SM'!$F$6:$F$2994,"Bond Received")+SUMIFS('1UV5KI'!$D$6:$D$2994,'1UV5KI'!$I$6:$I$2994,B63,'1UV5KI'!$F$6:$F$2994,"Bond Received")+SUMIFS(#REF!,#REF!,B63,#REF!,"Bond Received")+SUMIFS('1UL9RY'!$D$6:$D$2994,'1UL9RY'!$I$6:$I$2994,B63,'1UL9RY'!$F$6:$F$2994,"Bond Received")+SUMIFS('1OZ7GT'!$D$6:$D$2994,'1OZ7GT'!$I$6:$I$2994,B63,'1OZ7GT'!$F$6:$F$2994,"Bond Received")+SUMIFS('1CN8DD'!$D$6:$D$2994,'1CN8DD'!$I$6:$I$2994,B63,'1CN8DD'!$F$6:$F$2994,"Bond Received")+SUMIFS('1UT9BR'!$D$6:$D$2994,'1UT9BR'!$I$6:$I$2994,B63,'1UT9BR'!$F$6:$F$2994,"Bond Received")+SUMIFS('1MK4UR'!$D$6:$D$2994,'1MK4UR'!$I$6:$I$2994,B63,'1MK4UR'!$F$6:$F$2994,"Bond Received")+SUMIFS(#REF!,#REF!,B63,#REF!,"Bond Received")+SUMIFS('1JI2UE'!$D$6:$D$2994,'1JI2UE'!$I$6:$I$2994,B63,'1JI2UE'!$F$6:$F$2994,"Bond Received")+SUMIFS(#REF!,#REF!,B63,#REF!,"Bond Received")+SUMIFS('1SI9BW'!$D$6:$D$2994,'1SI9BW'!$I$6:$I$2994,B63,'1SI9BW'!$F$6:$F$2994,"Bond Received")+SUMIFS(Suzuki!$D$6:$D$2994,Suzuki!$I$6:$I$2994,B63,Suzuki!$F$6:$F$2994,"Bond Received")+SUMIFS('1SK3DD'!$D$6:$D$2994,'1SK3DD'!$I$6:$I$2994,B63,'1SK3DD'!$F$6:$F$2994,"Bond Received")+SUMIFS('1SX5TQ'!$D$6:$D$2994,'1SX5TQ'!$I$6:$I$2994,B63,'1SX5TQ'!$F$6:$F$2994,"Bond Received")+SUMIFS('BMM465'!$D$6:$D$2994,'BMM465'!$I$6:$I$2994,B63,'BMM465'!$F$6:$F$2994,"Bond Received")+SUMIFS('1CF1ZO'!$D$6:$D$2994,'1CF1ZO'!$I$6:$I$2994,B63,'1CF1ZO'!$F$6:$F$2994,"Bond Received")+SUMIFS('1UK1BK'!$D$6:$D$2994,'1UK1BK'!$I$6:$I$2994,B63,'1UK1BK'!$F$6:$F$2994,"Bond Received")-(((SUMIFS('CEI565'!$K$6:$K$2990,'CEI565'!$N$6:$N$2990,B63,'CEI565'!$L$6:$L$2990,"Bond Return")+SUMIFS('1SM3VL'!$K$6:$K$2990,'1SM3VL'!$N$6:$N$2990,B63,'1SM3VL'!$L$6:$L$2990,"Bond Return")+SUMIFS('1QF4SM'!$K$6:$K$2990,'1QF4SM'!$N$6:$N$2990,B63,'1QF4SM'!$L$6:$L$2990,"Bond Return")+SUMIFS('1UV5KI'!$K$6:$K$2990,'1UV5KI'!$N$6:$N$2990,B63,'1UV5KI'!$L$6:$L$2990,"Bond Return")+SUMIFS(#REF!,#REF!,B63,#REF!,"Bond Return")+SUMIFS('1UL9RY'!$K$6:$K$2990,'1UL9RY'!$N$6:$N$2990,B63,'1UL9RY'!$L$6:$L$2990,"Bond Return")+SUMIFS('1OZ7GT'!$K$6:$K$2990,'1OZ7GT'!$N$6:$N$2990,B63,'1OZ7GT'!$L$6:$L$2990,"Bond Return")+SUMIFS('1CN8DD'!$K$6:$K$2990,'1CN8DD'!$N$6:$N$2990,B63,'1CN8DD'!$L$6:$L$2990,"Bond Return")+SUMIFS('1UT9BR'!$K$6:$K$2990,'1UT9BR'!$N$6:$N$2990,B63,'1UT9BR'!$L$6:$L$2990,"Bond Return")+SUMIFS('1MK4UR'!$K$6:$K$2990,'1MK4UR'!$N$6:$N$2990,B63,'1MK4UR'!$L$6:$L$2990,"Bond Return")+SUMIFS(#REF!,#REF!,B63,#REF!,"Bond Return")+SUMIFS('1JI2UE'!$K$6:$K$2990,'1JI2UE'!$N$6:$N$2990,B63,'1JI2UE'!$L$6:$L$2990,"Bond Return")+SUMIFS(#REF!,#REF!,B63,#REF!,"Bond Return")+SUMIFS('1SI9BW'!$K$6:$K$2990,'1SI9BW'!$N$6:$N$2990,B63,'1SI9BW'!$L$6:$L$2990,"Bond Return")+SUMIFS(Suzuki!$K$6:$K$2990,Suzuki!$N$6:$N$2990,B63,Suzuki!$L$6:$L$2990,"Bond Return")+SUMIFS('1SK3DD'!$K$6:$K$2990,'1SK3DD'!$N$6:$N$2990,B63,'1SK3DD'!$L$6:$L$2990,"Bond Return")+SUMIFS('1SX5TQ'!$K$6:$K$2990,'1SX5TQ'!$N$6:$N$2990,B63,'1SX5TQ'!$L$6:$L$2990,"Bond Return")+SUMIFS('BMM465'!$K$6:$K$2990,'BMM465'!$N$6:$N$2990,B63,'BMM465'!$L$6:$L$2990,"Bond Return")+SUMIFS('1CF1ZO'!$K$6:$K$2990,'1CF1ZO'!$N$6:$N$2990,B63,'1CF1ZO'!$L$6:$L$2990,"Bond Return")+SUMIFS('1UK1BK'!$K$6:$K$2990,'1UK1BK'!$N$6:$N$2990,B63,'1UK1BK'!$L$6:$L$2990,"Bond Return"))))</f>
        <v>#REF!</v>
      </c>
      <c r="O63"/>
      <c r="AE63" s="221">
        <v>44843</v>
      </c>
      <c r="AF63" s="17">
        <v>2000</v>
      </c>
      <c r="AG63" t="s">
        <v>264</v>
      </c>
      <c r="AH63" s="217" t="s">
        <v>962</v>
      </c>
      <c r="AI63"/>
      <c r="AJ63" s="124" t="s">
        <v>958</v>
      </c>
    </row>
    <row r="64" spans="1:39" ht="15" customHeight="1" x14ac:dyDescent="0.25">
      <c r="A64" s="133">
        <v>25</v>
      </c>
      <c r="B64" s="133" t="s">
        <v>186</v>
      </c>
      <c r="C64" s="139" t="s">
        <v>351</v>
      </c>
      <c r="D64" s="139" t="s">
        <v>352</v>
      </c>
      <c r="E64" s="139" t="s">
        <v>353</v>
      </c>
      <c r="F64" s="134">
        <v>3122</v>
      </c>
      <c r="G64" s="139" t="s">
        <v>354</v>
      </c>
      <c r="H64" s="139"/>
      <c r="I64" s="136" t="s">
        <v>355</v>
      </c>
      <c r="J64" s="136"/>
      <c r="K64" s="137">
        <v>34397</v>
      </c>
      <c r="L64" s="137">
        <v>44047</v>
      </c>
      <c r="M64" s="134" t="s">
        <v>356</v>
      </c>
      <c r="N64" s="138" t="e">
        <f>SUMIFS('CEI565'!$D$6:$D$2994,'CEI565'!$I$6:$I$2994,B64,'CEI565'!$F$6:$F$2994,"Bond Received")+SUMIFS('1SM3VL'!$D$6:$D$2994,'1SM3VL'!$I$6:$I$2994,B64,'1SM3VL'!$F$6:$F$2994,"Bond Received")+SUMIFS('1QF4SM'!$D$6:$D$2994,'1QF4SM'!$I$6:$I$2994,B64,'1QF4SM'!$F$6:$F$2994,"Bond Received")+SUMIFS('1UV5KI'!$D$6:$D$2994,'1UV5KI'!$I$6:$I$2994,B64,'1UV5KI'!$F$6:$F$2994,"Bond Received")+SUMIFS(#REF!,#REF!,B64,#REF!,"Bond Received")+SUMIFS('1UL9RY'!$D$6:$D$2994,'1UL9RY'!$I$6:$I$2994,B64,'1UL9RY'!$F$6:$F$2994,"Bond Received")+SUMIFS('1OZ7GT'!$D$6:$D$2994,'1OZ7GT'!$I$6:$I$2994,B64,'1OZ7GT'!$F$6:$F$2994,"Bond Received")+SUMIFS('1CN8DD'!$D$6:$D$2994,'1CN8DD'!$I$6:$I$2994,B64,'1CN8DD'!$F$6:$F$2994,"Bond Received")+SUMIFS('1UT9BR'!$D$6:$D$2994,'1UT9BR'!$I$6:$I$2994,B64,'1UT9BR'!$F$6:$F$2994,"Bond Received")+SUMIFS('1MK4UR'!$D$6:$D$2994,'1MK4UR'!$I$6:$I$2994,B64,'1MK4UR'!$F$6:$F$2994,"Bond Received")+SUMIFS(#REF!,#REF!,B64,#REF!,"Bond Received")+SUMIFS('1JI2UE'!$D$6:$D$2994,'1JI2UE'!$I$6:$I$2994,B64,'1JI2UE'!$F$6:$F$2994,"Bond Received")+SUMIFS(#REF!,#REF!,B64,#REF!,"Bond Received")+SUMIFS('1SI9BW'!$D$6:$D$2994,'1SI9BW'!$I$6:$I$2994,B64,'1SI9BW'!$F$6:$F$2994,"Bond Received")+SUMIFS(Suzuki!$D$6:$D$2994,Suzuki!$I$6:$I$2994,B64,Suzuki!$F$6:$F$2994,"Bond Received")+SUMIFS('1SK3DD'!$D$6:$D$2994,'1SK3DD'!$I$6:$I$2994,B64,'1SK3DD'!$F$6:$F$2994,"Bond Received")+SUMIFS('1SX5TQ'!$D$6:$D$2994,'1SX5TQ'!$I$6:$I$2994,B64,'1SX5TQ'!$F$6:$F$2994,"Bond Received")+SUMIFS('BMM465'!$D$6:$D$2994,'BMM465'!$I$6:$I$2994,B64,'BMM465'!$F$6:$F$2994,"Bond Received")+SUMIFS('1CF1ZO'!$D$6:$D$2994,'1CF1ZO'!$I$6:$I$2994,B64,'1CF1ZO'!$F$6:$F$2994,"Bond Received")+SUMIFS('1UK1BK'!$D$6:$D$2994,'1UK1BK'!$I$6:$I$2994,B64,'1UK1BK'!$F$6:$F$2994,"Bond Received")-(((SUMIFS('CEI565'!$K$6:$K$2990,'CEI565'!$N$6:$N$2990,B64,'CEI565'!$L$6:$L$2990,"Bond Return")+SUMIFS('1SM3VL'!$K$6:$K$2990,'1SM3VL'!$N$6:$N$2990,B64,'1SM3VL'!$L$6:$L$2990,"Bond Return")+SUMIFS('1QF4SM'!$K$6:$K$2990,'1QF4SM'!$N$6:$N$2990,B64,'1QF4SM'!$L$6:$L$2990,"Bond Return")+SUMIFS('1UV5KI'!$K$6:$K$2990,'1UV5KI'!$N$6:$N$2990,B64,'1UV5KI'!$L$6:$L$2990,"Bond Return")+SUMIFS(#REF!,#REF!,B64,#REF!,"Bond Return")+SUMIFS('1UL9RY'!$K$6:$K$2990,'1UL9RY'!$N$6:$N$2990,B64,'1UL9RY'!$L$6:$L$2990,"Bond Return")+SUMIFS('1OZ7GT'!$K$6:$K$2990,'1OZ7GT'!$N$6:$N$2990,B64,'1OZ7GT'!$L$6:$L$2990,"Bond Return")+SUMIFS('1CN8DD'!$K$6:$K$2990,'1CN8DD'!$N$6:$N$2990,B64,'1CN8DD'!$L$6:$L$2990,"Bond Return")+SUMIFS('1UT9BR'!$K$6:$K$2990,'1UT9BR'!$N$6:$N$2990,B64,'1UT9BR'!$L$6:$L$2990,"Bond Return")+SUMIFS('1MK4UR'!$K$6:$K$2990,'1MK4UR'!$N$6:$N$2990,B64,'1MK4UR'!$L$6:$L$2990,"Bond Return")+SUMIFS(#REF!,#REF!,B64,#REF!,"Bond Return")+SUMIFS('1JI2UE'!$K$6:$K$2990,'1JI2UE'!$N$6:$N$2990,B64,'1JI2UE'!$L$6:$L$2990,"Bond Return")+SUMIFS(#REF!,#REF!,B64,#REF!,"Bond Return")+SUMIFS('1SI9BW'!$K$6:$K$2990,'1SI9BW'!$N$6:$N$2990,B64,'1SI9BW'!$L$6:$L$2990,"Bond Return")+SUMIFS(Suzuki!$K$6:$K$2990,Suzuki!$N$6:$N$2990,B64,Suzuki!$L$6:$L$2990,"Bond Return")+SUMIFS('1SK3DD'!$K$6:$K$2990,'1SK3DD'!$N$6:$N$2990,B64,'1SK3DD'!$L$6:$L$2990,"Bond Return")+SUMIFS('1SX5TQ'!$K$6:$K$2990,'1SX5TQ'!$N$6:$N$2990,B64,'1SX5TQ'!$L$6:$L$2990,"Bond Return")+SUMIFS('BMM465'!$K$6:$K$2990,'BMM465'!$N$6:$N$2990,B64,'BMM465'!$L$6:$L$2990,"Bond Return")+SUMIFS('1CF1ZO'!$K$6:$K$2990,'1CF1ZO'!$N$6:$N$2990,B64,'1CF1ZO'!$L$6:$L$2990,"Bond Return")+SUMIFS('1UK1BK'!$K$6:$K$2990,'1UK1BK'!$N$6:$N$2990,B64,'1UK1BK'!$L$6:$L$2990,"Bond Return"))))</f>
        <v>#REF!</v>
      </c>
      <c r="O64" s="139"/>
      <c r="AE64" s="221">
        <v>44845</v>
      </c>
      <c r="AF64" s="17">
        <v>200</v>
      </c>
      <c r="AG64" t="s">
        <v>264</v>
      </c>
      <c r="AH64" s="73" t="s">
        <v>939</v>
      </c>
      <c r="AI64"/>
      <c r="AJ64" s="124" t="s">
        <v>907</v>
      </c>
    </row>
    <row r="65" spans="1:36" ht="15" customHeight="1" x14ac:dyDescent="0.25">
      <c r="A65" s="128">
        <v>26</v>
      </c>
      <c r="B65" s="128" t="s">
        <v>93</v>
      </c>
      <c r="F65" s="10"/>
      <c r="H65" s="127"/>
      <c r="I65" s="127"/>
      <c r="J65" s="127"/>
      <c r="K65" s="124"/>
      <c r="L65" s="124"/>
      <c r="M65" s="10"/>
      <c r="N65" s="130" t="e">
        <f>SUMIFS('CEI565'!$D$6:$D$2994,'CEI565'!$I$6:$I$2994,B65,'CEI565'!$F$6:$F$2994,"Bond Received")+SUMIFS('1SM3VL'!$D$6:$D$2994,'1SM3VL'!$I$6:$I$2994,B65,'1SM3VL'!$F$6:$F$2994,"Bond Received")+SUMIFS('1QF4SM'!$D$6:$D$2994,'1QF4SM'!$I$6:$I$2994,B65,'1QF4SM'!$F$6:$F$2994,"Bond Received")+SUMIFS('1UV5KI'!$D$6:$D$2994,'1UV5KI'!$I$6:$I$2994,B65,'1UV5KI'!$F$6:$F$2994,"Bond Received")+SUMIFS(#REF!,#REF!,B65,#REF!,"Bond Received")+SUMIFS('1UL9RY'!$D$6:$D$2994,'1UL9RY'!$I$6:$I$2994,B65,'1UL9RY'!$F$6:$F$2994,"Bond Received")+SUMIFS('1OZ7GT'!$D$6:$D$2994,'1OZ7GT'!$I$6:$I$2994,B65,'1OZ7GT'!$F$6:$F$2994,"Bond Received")+SUMIFS('1CN8DD'!$D$6:$D$2994,'1CN8DD'!$I$6:$I$2994,B65,'1CN8DD'!$F$6:$F$2994,"Bond Received")+SUMIFS('1UT9BR'!$D$6:$D$2994,'1UT9BR'!$I$6:$I$2994,B65,'1UT9BR'!$F$6:$F$2994,"Bond Received")+SUMIFS('1MK4UR'!$D$6:$D$2994,'1MK4UR'!$I$6:$I$2994,B65,'1MK4UR'!$F$6:$F$2994,"Bond Received")+SUMIFS(#REF!,#REF!,B65,#REF!,"Bond Received")+SUMIFS('1JI2UE'!$D$6:$D$2994,'1JI2UE'!$I$6:$I$2994,B65,'1JI2UE'!$F$6:$F$2994,"Bond Received")+SUMIFS(#REF!,#REF!,B65,#REF!,"Bond Received")+SUMIFS('1SI9BW'!$D$6:$D$2994,'1SI9BW'!$I$6:$I$2994,B65,'1SI9BW'!$F$6:$F$2994,"Bond Received")+SUMIFS(Suzuki!$D$6:$D$2994,Suzuki!$I$6:$I$2994,B65,Suzuki!$F$6:$F$2994,"Bond Received")+SUMIFS('1SK3DD'!$D$6:$D$2994,'1SK3DD'!$I$6:$I$2994,B65,'1SK3DD'!$F$6:$F$2994,"Bond Received")+SUMIFS('1SX5TQ'!$D$6:$D$2994,'1SX5TQ'!$I$6:$I$2994,B65,'1SX5TQ'!$F$6:$F$2994,"Bond Received")+SUMIFS('BMM465'!$D$6:$D$2994,'BMM465'!$I$6:$I$2994,B65,'BMM465'!$F$6:$F$2994,"Bond Received")+SUMIFS('1CF1ZO'!$D$6:$D$2994,'1CF1ZO'!$I$6:$I$2994,B65,'1CF1ZO'!$F$6:$F$2994,"Bond Received")+SUMIFS('1UK1BK'!$D$6:$D$2994,'1UK1BK'!$I$6:$I$2994,B65,'1UK1BK'!$F$6:$F$2994,"Bond Received")-(((SUMIFS('CEI565'!$K$6:$K$2990,'CEI565'!$N$6:$N$2990,B65,'CEI565'!$L$6:$L$2990,"Bond Return")+SUMIFS('1SM3VL'!$K$6:$K$2990,'1SM3VL'!$N$6:$N$2990,B65,'1SM3VL'!$L$6:$L$2990,"Bond Return")+SUMIFS('1QF4SM'!$K$6:$K$2990,'1QF4SM'!$N$6:$N$2990,B65,'1QF4SM'!$L$6:$L$2990,"Bond Return")+SUMIFS('1UV5KI'!$K$6:$K$2990,'1UV5KI'!$N$6:$N$2990,B65,'1UV5KI'!$L$6:$L$2990,"Bond Return")+SUMIFS(#REF!,#REF!,B65,#REF!,"Bond Return")+SUMIFS('1UL9RY'!$K$6:$K$2990,'1UL9RY'!$N$6:$N$2990,B65,'1UL9RY'!$L$6:$L$2990,"Bond Return")+SUMIFS('1OZ7GT'!$K$6:$K$2990,'1OZ7GT'!$N$6:$N$2990,B65,'1OZ7GT'!$L$6:$L$2990,"Bond Return")+SUMIFS('1CN8DD'!$K$6:$K$2990,'1CN8DD'!$N$6:$N$2990,B65,'1CN8DD'!$L$6:$L$2990,"Bond Return")+SUMIFS('1UT9BR'!$K$6:$K$2990,'1UT9BR'!$N$6:$N$2990,B65,'1UT9BR'!$L$6:$L$2990,"Bond Return")+SUMIFS('1MK4UR'!$K$6:$K$2990,'1MK4UR'!$N$6:$N$2990,B65,'1MK4UR'!$L$6:$L$2990,"Bond Return")+SUMIFS(#REF!,#REF!,B65,#REF!,"Bond Return")+SUMIFS('1JI2UE'!$K$6:$K$2990,'1JI2UE'!$N$6:$N$2990,B65,'1JI2UE'!$L$6:$L$2990,"Bond Return")+SUMIFS(#REF!,#REF!,B65,#REF!,"Bond Return")+SUMIFS('1SI9BW'!$K$6:$K$2990,'1SI9BW'!$N$6:$N$2990,B65,'1SI9BW'!$L$6:$L$2990,"Bond Return")+SUMIFS(Suzuki!$K$6:$K$2990,Suzuki!$N$6:$N$2990,B65,Suzuki!$L$6:$L$2990,"Bond Return")+SUMIFS('1SK3DD'!$K$6:$K$2990,'1SK3DD'!$N$6:$N$2990,B65,'1SK3DD'!$L$6:$L$2990,"Bond Return")+SUMIFS('1SX5TQ'!$K$6:$K$2990,'1SX5TQ'!$N$6:$N$2990,B65,'1SX5TQ'!$L$6:$L$2990,"Bond Return")+SUMIFS('BMM465'!$K$6:$K$2990,'BMM465'!$N$6:$N$2990,B65,'BMM465'!$L$6:$L$2990,"Bond Return")+SUMIFS('1CF1ZO'!$K$6:$K$2990,'1CF1ZO'!$N$6:$N$2990,B65,'1CF1ZO'!$L$6:$L$2990,"Bond Return")+SUMIFS('1UK1BK'!$K$6:$K$2990,'1UK1BK'!$N$6:$N$2990,B65,'1UK1BK'!$L$6:$L$2990,"Bond Return"))))</f>
        <v>#REF!</v>
      </c>
      <c r="O65"/>
      <c r="AD65" t="s">
        <v>534</v>
      </c>
      <c r="AE65" s="221">
        <v>44860</v>
      </c>
      <c r="AF65" s="17">
        <v>803</v>
      </c>
      <c r="AG65" t="s">
        <v>264</v>
      </c>
      <c r="AH65" s="217" t="s">
        <v>962</v>
      </c>
      <c r="AI65"/>
      <c r="AJ65" s="124" t="s">
        <v>714</v>
      </c>
    </row>
    <row r="66" spans="1:36" ht="15" customHeight="1" x14ac:dyDescent="0.25">
      <c r="A66" s="133">
        <v>27</v>
      </c>
      <c r="B66" s="133" t="s">
        <v>215</v>
      </c>
      <c r="C66" s="139"/>
      <c r="D66" s="139"/>
      <c r="E66" s="139"/>
      <c r="F66" s="134"/>
      <c r="G66" s="139"/>
      <c r="H66" s="139"/>
      <c r="I66" s="136"/>
      <c r="J66" s="136"/>
      <c r="K66" s="137"/>
      <c r="L66" s="137"/>
      <c r="M66" s="134"/>
      <c r="N66" s="138" t="e">
        <f>SUMIFS('CEI565'!$D$6:$D$2994,'CEI565'!$I$6:$I$2994,B66,'CEI565'!$F$6:$F$2994,"Bond Received")+SUMIFS('1SM3VL'!$D$6:$D$2994,'1SM3VL'!$I$6:$I$2994,B66,'1SM3VL'!$F$6:$F$2994,"Bond Received")+SUMIFS('1QF4SM'!$D$6:$D$2994,'1QF4SM'!$I$6:$I$2994,B66,'1QF4SM'!$F$6:$F$2994,"Bond Received")+SUMIFS('1UV5KI'!$D$6:$D$2994,'1UV5KI'!$I$6:$I$2994,B66,'1UV5KI'!$F$6:$F$2994,"Bond Received")+SUMIFS(#REF!,#REF!,B66,#REF!,"Bond Received")+SUMIFS('1UL9RY'!$D$6:$D$2994,'1UL9RY'!$I$6:$I$2994,B66,'1UL9RY'!$F$6:$F$2994,"Bond Received")+SUMIFS('1OZ7GT'!$D$6:$D$2994,'1OZ7GT'!$I$6:$I$2994,B66,'1OZ7GT'!$F$6:$F$2994,"Bond Received")+SUMIFS('1CN8DD'!$D$6:$D$2994,'1CN8DD'!$I$6:$I$2994,B66,'1CN8DD'!$F$6:$F$2994,"Bond Received")+SUMIFS('1UT9BR'!$D$6:$D$2994,'1UT9BR'!$I$6:$I$2994,B66,'1UT9BR'!$F$6:$F$2994,"Bond Received")+SUMIFS('1MK4UR'!$D$6:$D$2994,'1MK4UR'!$I$6:$I$2994,B66,'1MK4UR'!$F$6:$F$2994,"Bond Received")+SUMIFS(#REF!,#REF!,B66,#REF!,"Bond Received")+SUMIFS('1JI2UE'!$D$6:$D$2994,'1JI2UE'!$I$6:$I$2994,B66,'1JI2UE'!$F$6:$F$2994,"Bond Received")+SUMIFS(#REF!,#REF!,B66,#REF!,"Bond Received")+SUMIFS('1SI9BW'!$D$6:$D$2994,'1SI9BW'!$I$6:$I$2994,B66,'1SI9BW'!$F$6:$F$2994,"Bond Received")+SUMIFS(Suzuki!$D$6:$D$2994,Suzuki!$I$6:$I$2994,B66,Suzuki!$F$6:$F$2994,"Bond Received")+SUMIFS('1SK3DD'!$D$6:$D$2994,'1SK3DD'!$I$6:$I$2994,B66,'1SK3DD'!$F$6:$F$2994,"Bond Received")+SUMIFS('1SX5TQ'!$D$6:$D$2994,'1SX5TQ'!$I$6:$I$2994,B66,'1SX5TQ'!$F$6:$F$2994,"Bond Received")+SUMIFS('BMM465'!$D$6:$D$2994,'BMM465'!$I$6:$I$2994,B66,'BMM465'!$F$6:$F$2994,"Bond Received")+SUMIFS('1CF1ZO'!$D$6:$D$2994,'1CF1ZO'!$I$6:$I$2994,B66,'1CF1ZO'!$F$6:$F$2994,"Bond Received")+SUMIFS('1UK1BK'!$D$6:$D$2994,'1UK1BK'!$I$6:$I$2994,B66,'1UK1BK'!$F$6:$F$2994,"Bond Received")-(((SUMIFS('CEI565'!$K$6:$K$2990,'CEI565'!$N$6:$N$2990,B66,'CEI565'!$L$6:$L$2990,"Bond Return")+SUMIFS('1SM3VL'!$K$6:$K$2990,'1SM3VL'!$N$6:$N$2990,B66,'1SM3VL'!$L$6:$L$2990,"Bond Return")+SUMIFS('1QF4SM'!$K$6:$K$2990,'1QF4SM'!$N$6:$N$2990,B66,'1QF4SM'!$L$6:$L$2990,"Bond Return")+SUMIFS('1UV5KI'!$K$6:$K$2990,'1UV5KI'!$N$6:$N$2990,B66,'1UV5KI'!$L$6:$L$2990,"Bond Return")+SUMIFS(#REF!,#REF!,B66,#REF!,"Bond Return")+SUMIFS('1UL9RY'!$K$6:$K$2990,'1UL9RY'!$N$6:$N$2990,B66,'1UL9RY'!$L$6:$L$2990,"Bond Return")+SUMIFS('1OZ7GT'!$K$6:$K$2990,'1OZ7GT'!$N$6:$N$2990,B66,'1OZ7GT'!$L$6:$L$2990,"Bond Return")+SUMIFS('1CN8DD'!$K$6:$K$2990,'1CN8DD'!$N$6:$N$2990,B66,'1CN8DD'!$L$6:$L$2990,"Bond Return")+SUMIFS('1UT9BR'!$K$6:$K$2990,'1UT9BR'!$N$6:$N$2990,B66,'1UT9BR'!$L$6:$L$2990,"Bond Return")+SUMIFS('1MK4UR'!$K$6:$K$2990,'1MK4UR'!$N$6:$N$2990,B66,'1MK4UR'!$L$6:$L$2990,"Bond Return")+SUMIFS(#REF!,#REF!,B66,#REF!,"Bond Return")+SUMIFS('1JI2UE'!$K$6:$K$2990,'1JI2UE'!$N$6:$N$2990,B66,'1JI2UE'!$L$6:$L$2990,"Bond Return")+SUMIFS(#REF!,#REF!,B66,#REF!,"Bond Return")+SUMIFS('1SI9BW'!$K$6:$K$2990,'1SI9BW'!$N$6:$N$2990,B66,'1SI9BW'!$L$6:$L$2990,"Bond Return")+SUMIFS(Suzuki!$K$6:$K$2990,Suzuki!$N$6:$N$2990,B66,Suzuki!$L$6:$L$2990,"Bond Return")+SUMIFS('1SK3DD'!$K$6:$K$2990,'1SK3DD'!$N$6:$N$2990,B66,'1SK3DD'!$L$6:$L$2990,"Bond Return")+SUMIFS('1SX5TQ'!$K$6:$K$2990,'1SX5TQ'!$N$6:$N$2990,B66,'1SX5TQ'!$L$6:$L$2990,"Bond Return")+SUMIFS('BMM465'!$K$6:$K$2990,'BMM465'!$N$6:$N$2990,B66,'BMM465'!$L$6:$L$2990,"Bond Return")+SUMIFS('1CF1ZO'!$K$6:$K$2990,'1CF1ZO'!$N$6:$N$2990,B66,'1CF1ZO'!$L$6:$L$2990,"Bond Return")+SUMIFS('1UK1BK'!$K$6:$K$2990,'1UK1BK'!$N$6:$N$2990,B66,'1UK1BK'!$L$6:$L$2990,"Bond Return"))))</f>
        <v>#REF!</v>
      </c>
      <c r="O66" s="139"/>
      <c r="AE66" s="221">
        <v>44860</v>
      </c>
      <c r="AF66" s="17">
        <v>698</v>
      </c>
      <c r="AG66" t="s">
        <v>264</v>
      </c>
      <c r="AH66" s="217" t="s">
        <v>962</v>
      </c>
      <c r="AI66"/>
      <c r="AJ66" s="124" t="s">
        <v>940</v>
      </c>
    </row>
    <row r="67" spans="1:36" ht="15" customHeight="1" x14ac:dyDescent="0.25">
      <c r="A67" s="128">
        <v>28</v>
      </c>
      <c r="B67" s="128" t="s">
        <v>95</v>
      </c>
      <c r="F67" s="10"/>
      <c r="I67" s="127"/>
      <c r="J67" s="10"/>
      <c r="K67" s="124"/>
      <c r="L67" s="124"/>
      <c r="M67" s="10"/>
      <c r="N67" s="130" t="e">
        <f>SUMIFS('CEI565'!$D$6:$D$2994,'CEI565'!$I$6:$I$2994,B67,'CEI565'!$F$6:$F$2994,"Bond Received")+SUMIFS('1SM3VL'!$D$6:$D$2994,'1SM3VL'!$I$6:$I$2994,B67,'1SM3VL'!$F$6:$F$2994,"Bond Received")+SUMIFS('1QF4SM'!$D$6:$D$2994,'1QF4SM'!$I$6:$I$2994,B67,'1QF4SM'!$F$6:$F$2994,"Bond Received")+SUMIFS('1UV5KI'!$D$6:$D$2994,'1UV5KI'!$I$6:$I$2994,B67,'1UV5KI'!$F$6:$F$2994,"Bond Received")+SUMIFS(#REF!,#REF!,B67,#REF!,"Bond Received")+SUMIFS('1UL9RY'!$D$6:$D$2994,'1UL9RY'!$I$6:$I$2994,B67,'1UL9RY'!$F$6:$F$2994,"Bond Received")+SUMIFS('1OZ7GT'!$D$6:$D$2994,'1OZ7GT'!$I$6:$I$2994,B67,'1OZ7GT'!$F$6:$F$2994,"Bond Received")+SUMIFS('1CN8DD'!$D$6:$D$2994,'1CN8DD'!$I$6:$I$2994,B67,'1CN8DD'!$F$6:$F$2994,"Bond Received")+SUMIFS('1UT9BR'!$D$6:$D$2994,'1UT9BR'!$I$6:$I$2994,B67,'1UT9BR'!$F$6:$F$2994,"Bond Received")+SUMIFS('1MK4UR'!$D$6:$D$2994,'1MK4UR'!$I$6:$I$2994,B67,'1MK4UR'!$F$6:$F$2994,"Bond Received")+SUMIFS(#REF!,#REF!,B67,#REF!,"Bond Received")+SUMIFS('1JI2UE'!$D$6:$D$2994,'1JI2UE'!$I$6:$I$2994,B67,'1JI2UE'!$F$6:$F$2994,"Bond Received")+SUMIFS(#REF!,#REF!,B67,#REF!,"Bond Received")+SUMIFS('1SI9BW'!$D$6:$D$2994,'1SI9BW'!$I$6:$I$2994,B67,'1SI9BW'!$F$6:$F$2994,"Bond Received")+SUMIFS(Suzuki!$D$6:$D$2994,Suzuki!$I$6:$I$2994,B67,Suzuki!$F$6:$F$2994,"Bond Received")+SUMIFS('1SK3DD'!$D$6:$D$2994,'1SK3DD'!$I$6:$I$2994,B67,'1SK3DD'!$F$6:$F$2994,"Bond Received")+SUMIFS('1SX5TQ'!$D$6:$D$2994,'1SX5TQ'!$I$6:$I$2994,B67,'1SX5TQ'!$F$6:$F$2994,"Bond Received")+SUMIFS('BMM465'!$D$6:$D$2994,'BMM465'!$I$6:$I$2994,B67,'BMM465'!$F$6:$F$2994,"Bond Received")+SUMIFS('1CF1ZO'!$D$6:$D$2994,'1CF1ZO'!$I$6:$I$2994,B67,'1CF1ZO'!$F$6:$F$2994,"Bond Received")+SUMIFS('1UK1BK'!$D$6:$D$2994,'1UK1BK'!$I$6:$I$2994,B67,'1UK1BK'!$F$6:$F$2994,"Bond Received")-(((SUMIFS('CEI565'!$K$6:$K$2990,'CEI565'!$N$6:$N$2990,B67,'CEI565'!$L$6:$L$2990,"Bond Return")+SUMIFS('1SM3VL'!$K$6:$K$2990,'1SM3VL'!$N$6:$N$2990,B67,'1SM3VL'!$L$6:$L$2990,"Bond Return")+SUMIFS('1QF4SM'!$K$6:$K$2990,'1QF4SM'!$N$6:$N$2990,B67,'1QF4SM'!$L$6:$L$2990,"Bond Return")+SUMIFS('1UV5KI'!$K$6:$K$2990,'1UV5KI'!$N$6:$N$2990,B67,'1UV5KI'!$L$6:$L$2990,"Bond Return")+SUMIFS(#REF!,#REF!,B67,#REF!,"Bond Return")+SUMIFS('1UL9RY'!$K$6:$K$2990,'1UL9RY'!$N$6:$N$2990,B67,'1UL9RY'!$L$6:$L$2990,"Bond Return")+SUMIFS('1OZ7GT'!$K$6:$K$2990,'1OZ7GT'!$N$6:$N$2990,B67,'1OZ7GT'!$L$6:$L$2990,"Bond Return")+SUMIFS('1CN8DD'!$K$6:$K$2990,'1CN8DD'!$N$6:$N$2990,B67,'1CN8DD'!$L$6:$L$2990,"Bond Return")+SUMIFS('1UT9BR'!$K$6:$K$2990,'1UT9BR'!$N$6:$N$2990,B67,'1UT9BR'!$L$6:$L$2990,"Bond Return")+SUMIFS('1MK4UR'!$K$6:$K$2990,'1MK4UR'!$N$6:$N$2990,B67,'1MK4UR'!$L$6:$L$2990,"Bond Return")+SUMIFS(#REF!,#REF!,B67,#REF!,"Bond Return")+SUMIFS('1JI2UE'!$K$6:$K$2990,'1JI2UE'!$N$6:$N$2990,B67,'1JI2UE'!$L$6:$L$2990,"Bond Return")+SUMIFS(#REF!,#REF!,B67,#REF!,"Bond Return")+SUMIFS('1SI9BW'!$K$6:$K$2990,'1SI9BW'!$N$6:$N$2990,B67,'1SI9BW'!$L$6:$L$2990,"Bond Return")+SUMIFS(Suzuki!$K$6:$K$2990,Suzuki!$N$6:$N$2990,B67,Suzuki!$L$6:$L$2990,"Bond Return")+SUMIFS('1SK3DD'!$K$6:$K$2990,'1SK3DD'!$N$6:$N$2990,B67,'1SK3DD'!$L$6:$L$2990,"Bond Return")+SUMIFS('1SX5TQ'!$K$6:$K$2990,'1SX5TQ'!$N$6:$N$2990,B67,'1SX5TQ'!$L$6:$L$2990,"Bond Return")+SUMIFS('BMM465'!$K$6:$K$2990,'BMM465'!$N$6:$N$2990,B67,'BMM465'!$L$6:$L$2990,"Bond Return")+SUMIFS('1CF1ZO'!$K$6:$K$2990,'1CF1ZO'!$N$6:$N$2990,B67,'1CF1ZO'!$L$6:$L$2990,"Bond Return")+SUMIFS('1UK1BK'!$K$6:$K$2990,'1UK1BK'!$N$6:$N$2990,B67,'1UK1BK'!$L$6:$L$2990,"Bond Return"))))</f>
        <v>#REF!</v>
      </c>
      <c r="O67"/>
      <c r="AE67" s="221">
        <v>44860</v>
      </c>
      <c r="AF67" s="17">
        <v>1500</v>
      </c>
      <c r="AG67" t="s">
        <v>264</v>
      </c>
      <c r="AH67" s="217" t="s">
        <v>962</v>
      </c>
      <c r="AI67"/>
      <c r="AJ67" s="124" t="s">
        <v>963</v>
      </c>
    </row>
    <row r="68" spans="1:36" ht="15" customHeight="1" x14ac:dyDescent="0.25">
      <c r="A68" s="133">
        <v>28</v>
      </c>
      <c r="B68" s="133" t="s">
        <v>96</v>
      </c>
      <c r="C68" s="139"/>
      <c r="D68" s="139"/>
      <c r="E68" s="139"/>
      <c r="F68" s="134"/>
      <c r="G68" s="139"/>
      <c r="H68" s="139"/>
      <c r="I68" s="136"/>
      <c r="J68" s="134"/>
      <c r="K68" s="137"/>
      <c r="L68" s="137"/>
      <c r="M68" s="134"/>
      <c r="N68" s="138" t="e">
        <f>SUMIFS('CEI565'!$D$6:$D$2994,'CEI565'!$I$6:$I$2994,B68,'CEI565'!$F$6:$F$2994,"Bond Received")+SUMIFS('1SM3VL'!$D$6:$D$2994,'1SM3VL'!$I$6:$I$2994,B68,'1SM3VL'!$F$6:$F$2994,"Bond Received")+SUMIFS('1QF4SM'!$D$6:$D$2994,'1QF4SM'!$I$6:$I$2994,B68,'1QF4SM'!$F$6:$F$2994,"Bond Received")+SUMIFS('1UV5KI'!$D$6:$D$2994,'1UV5KI'!$I$6:$I$2994,B68,'1UV5KI'!$F$6:$F$2994,"Bond Received")+SUMIFS(#REF!,#REF!,B68,#REF!,"Bond Received")+SUMIFS('1UL9RY'!$D$6:$D$2994,'1UL9RY'!$I$6:$I$2994,B68,'1UL9RY'!$F$6:$F$2994,"Bond Received")+SUMIFS('1OZ7GT'!$D$6:$D$2994,'1OZ7GT'!$I$6:$I$2994,B68,'1OZ7GT'!$F$6:$F$2994,"Bond Received")+SUMIFS('1CN8DD'!$D$6:$D$2994,'1CN8DD'!$I$6:$I$2994,B68,'1CN8DD'!$F$6:$F$2994,"Bond Received")+SUMIFS('1UT9BR'!$D$6:$D$2994,'1UT9BR'!$I$6:$I$2994,B68,'1UT9BR'!$F$6:$F$2994,"Bond Received")+SUMIFS('1MK4UR'!$D$6:$D$2994,'1MK4UR'!$I$6:$I$2994,B68,'1MK4UR'!$F$6:$F$2994,"Bond Received")+SUMIFS(#REF!,#REF!,B68,#REF!,"Bond Received")+SUMIFS('1JI2UE'!$D$6:$D$2994,'1JI2UE'!$I$6:$I$2994,B68,'1JI2UE'!$F$6:$F$2994,"Bond Received")+SUMIFS(#REF!,#REF!,B68,#REF!,"Bond Received")+SUMIFS('1SI9BW'!$D$6:$D$2994,'1SI9BW'!$I$6:$I$2994,B68,'1SI9BW'!$F$6:$F$2994,"Bond Received")+SUMIFS(Suzuki!$D$6:$D$2994,Suzuki!$I$6:$I$2994,B68,Suzuki!$F$6:$F$2994,"Bond Received")+SUMIFS('1SK3DD'!$D$6:$D$2994,'1SK3DD'!$I$6:$I$2994,B68,'1SK3DD'!$F$6:$F$2994,"Bond Received")+SUMIFS('1SX5TQ'!$D$6:$D$2994,'1SX5TQ'!$I$6:$I$2994,B68,'1SX5TQ'!$F$6:$F$2994,"Bond Received")+SUMIFS('BMM465'!$D$6:$D$2994,'BMM465'!$I$6:$I$2994,B68,'BMM465'!$F$6:$F$2994,"Bond Received")+SUMIFS('1CF1ZO'!$D$6:$D$2994,'1CF1ZO'!$I$6:$I$2994,B68,'1CF1ZO'!$F$6:$F$2994,"Bond Received")+SUMIFS('1UK1BK'!$D$6:$D$2994,'1UK1BK'!$I$6:$I$2994,B68,'1UK1BK'!$F$6:$F$2994,"Bond Received")-(((SUMIFS('CEI565'!$K$6:$K$2990,'CEI565'!$N$6:$N$2990,B68,'CEI565'!$L$6:$L$2990,"Bond Return")+SUMIFS('1SM3VL'!$K$6:$K$2990,'1SM3VL'!$N$6:$N$2990,B68,'1SM3VL'!$L$6:$L$2990,"Bond Return")+SUMIFS('1QF4SM'!$K$6:$K$2990,'1QF4SM'!$N$6:$N$2990,B68,'1QF4SM'!$L$6:$L$2990,"Bond Return")+SUMIFS('1UV5KI'!$K$6:$K$2990,'1UV5KI'!$N$6:$N$2990,B68,'1UV5KI'!$L$6:$L$2990,"Bond Return")+SUMIFS(#REF!,#REF!,B68,#REF!,"Bond Return")+SUMIFS('1UL9RY'!$K$6:$K$2990,'1UL9RY'!$N$6:$N$2990,B68,'1UL9RY'!$L$6:$L$2990,"Bond Return")+SUMIFS('1OZ7GT'!$K$6:$K$2990,'1OZ7GT'!$N$6:$N$2990,B68,'1OZ7GT'!$L$6:$L$2990,"Bond Return")+SUMIFS('1CN8DD'!$K$6:$K$2990,'1CN8DD'!$N$6:$N$2990,B68,'1CN8DD'!$L$6:$L$2990,"Bond Return")+SUMIFS('1UT9BR'!$K$6:$K$2990,'1UT9BR'!$N$6:$N$2990,B68,'1UT9BR'!$L$6:$L$2990,"Bond Return")+SUMIFS('1MK4UR'!$K$6:$K$2990,'1MK4UR'!$N$6:$N$2990,B68,'1MK4UR'!$L$6:$L$2990,"Bond Return")+SUMIFS(#REF!,#REF!,B68,#REF!,"Bond Return")+SUMIFS('1JI2UE'!$K$6:$K$2990,'1JI2UE'!$N$6:$N$2990,B68,'1JI2UE'!$L$6:$L$2990,"Bond Return")+SUMIFS(#REF!,#REF!,B68,#REF!,"Bond Return")+SUMIFS('1SI9BW'!$K$6:$K$2990,'1SI9BW'!$N$6:$N$2990,B68,'1SI9BW'!$L$6:$L$2990,"Bond Return")+SUMIFS(Suzuki!$K$6:$K$2990,Suzuki!$N$6:$N$2990,B68,Suzuki!$L$6:$L$2990,"Bond Return")+SUMIFS('1SK3DD'!$K$6:$K$2990,'1SK3DD'!$N$6:$N$2990,B68,'1SK3DD'!$L$6:$L$2990,"Bond Return")+SUMIFS('1SX5TQ'!$K$6:$K$2990,'1SX5TQ'!$N$6:$N$2990,B68,'1SX5TQ'!$L$6:$L$2990,"Bond Return")+SUMIFS('BMM465'!$K$6:$K$2990,'BMM465'!$N$6:$N$2990,B68,'BMM465'!$L$6:$L$2990,"Bond Return")+SUMIFS('1CF1ZO'!$K$6:$K$2990,'1CF1ZO'!$N$6:$N$2990,B68,'1CF1ZO'!$L$6:$L$2990,"Bond Return")+SUMIFS('1UK1BK'!$K$6:$K$2990,'1UK1BK'!$N$6:$N$2990,B68,'1UK1BK'!$L$6:$L$2990,"Bond Return"))))</f>
        <v>#REF!</v>
      </c>
      <c r="O68" s="139"/>
      <c r="AE68" s="221">
        <v>44860</v>
      </c>
      <c r="AF68" s="17">
        <v>1000</v>
      </c>
      <c r="AG68" t="s">
        <v>264</v>
      </c>
      <c r="AH68" s="217" t="s">
        <v>962</v>
      </c>
      <c r="AI68"/>
      <c r="AJ68" s="124" t="s">
        <v>963</v>
      </c>
    </row>
    <row r="69" spans="1:36" ht="15" customHeight="1" x14ac:dyDescent="0.25">
      <c r="A69" s="128">
        <v>29</v>
      </c>
      <c r="B69" s="128" t="s">
        <v>330</v>
      </c>
      <c r="F69" s="10"/>
      <c r="I69" s="127"/>
      <c r="J69" s="10"/>
      <c r="K69" s="124"/>
      <c r="L69" s="124"/>
      <c r="M69" s="10"/>
      <c r="N69" s="130" t="e">
        <f>SUMIFS('CEI565'!$D$6:$D$2994,'CEI565'!$I$6:$I$2994,B69,'CEI565'!$F$6:$F$2994,"Bond Received")+SUMIFS('1SM3VL'!$D$6:$D$2994,'1SM3VL'!$I$6:$I$2994,B69,'1SM3VL'!$F$6:$F$2994,"Bond Received")+SUMIFS('1QF4SM'!$D$6:$D$2994,'1QF4SM'!$I$6:$I$2994,B69,'1QF4SM'!$F$6:$F$2994,"Bond Received")+SUMIFS('1UV5KI'!$D$6:$D$2994,'1UV5KI'!$I$6:$I$2994,B69,'1UV5KI'!$F$6:$F$2994,"Bond Received")+SUMIFS(#REF!,#REF!,B69,#REF!,"Bond Received")+SUMIFS('1UL9RY'!$D$6:$D$2994,'1UL9RY'!$I$6:$I$2994,B69,'1UL9RY'!$F$6:$F$2994,"Bond Received")+SUMIFS('1OZ7GT'!$D$6:$D$2994,'1OZ7GT'!$I$6:$I$2994,B69,'1OZ7GT'!$F$6:$F$2994,"Bond Received")+SUMIFS('1CN8DD'!$D$6:$D$2994,'1CN8DD'!$I$6:$I$2994,B69,'1CN8DD'!$F$6:$F$2994,"Bond Received")+SUMIFS('1UT9BR'!$D$6:$D$2994,'1UT9BR'!$I$6:$I$2994,B69,'1UT9BR'!$F$6:$F$2994,"Bond Received")+SUMIFS('1MK4UR'!$D$6:$D$2994,'1MK4UR'!$I$6:$I$2994,B69,'1MK4UR'!$F$6:$F$2994,"Bond Received")+SUMIFS(#REF!,#REF!,B69,#REF!,"Bond Received")+SUMIFS('1JI2UE'!$D$6:$D$2994,'1JI2UE'!$I$6:$I$2994,B69,'1JI2UE'!$F$6:$F$2994,"Bond Received")+SUMIFS(#REF!,#REF!,B69,#REF!,"Bond Received")+SUMIFS('1SI9BW'!$D$6:$D$2994,'1SI9BW'!$I$6:$I$2994,B69,'1SI9BW'!$F$6:$F$2994,"Bond Received")+SUMIFS(Suzuki!$D$6:$D$2994,Suzuki!$I$6:$I$2994,B69,Suzuki!$F$6:$F$2994,"Bond Received")+SUMIFS('1SK3DD'!$D$6:$D$2994,'1SK3DD'!$I$6:$I$2994,B69,'1SK3DD'!$F$6:$F$2994,"Bond Received")+SUMIFS('1SX5TQ'!$D$6:$D$2994,'1SX5TQ'!$I$6:$I$2994,B69,'1SX5TQ'!$F$6:$F$2994,"Bond Received")+SUMIFS('BMM465'!$D$6:$D$2994,'BMM465'!$I$6:$I$2994,B69,'BMM465'!$F$6:$F$2994,"Bond Received")+SUMIFS('1CF1ZO'!$D$6:$D$2994,'1CF1ZO'!$I$6:$I$2994,B69,'1CF1ZO'!$F$6:$F$2994,"Bond Received")+SUMIFS('1UK1BK'!$D$6:$D$2994,'1UK1BK'!$I$6:$I$2994,B69,'1UK1BK'!$F$6:$F$2994,"Bond Received")-(((SUMIFS('CEI565'!$K$6:$K$2990,'CEI565'!$N$6:$N$2990,B69,'CEI565'!$L$6:$L$2990,"Bond Return")+SUMIFS('1SM3VL'!$K$6:$K$2990,'1SM3VL'!$N$6:$N$2990,B69,'1SM3VL'!$L$6:$L$2990,"Bond Return")+SUMIFS('1QF4SM'!$K$6:$K$2990,'1QF4SM'!$N$6:$N$2990,B69,'1QF4SM'!$L$6:$L$2990,"Bond Return")+SUMIFS('1UV5KI'!$K$6:$K$2990,'1UV5KI'!$N$6:$N$2990,B69,'1UV5KI'!$L$6:$L$2990,"Bond Return")+SUMIFS(#REF!,#REF!,B69,#REF!,"Bond Return")+SUMIFS('1UL9RY'!$K$6:$K$2990,'1UL9RY'!$N$6:$N$2990,B69,'1UL9RY'!$L$6:$L$2990,"Bond Return")+SUMIFS('1OZ7GT'!$K$6:$K$2990,'1OZ7GT'!$N$6:$N$2990,B69,'1OZ7GT'!$L$6:$L$2990,"Bond Return")+SUMIFS('1CN8DD'!$K$6:$K$2990,'1CN8DD'!$N$6:$N$2990,B69,'1CN8DD'!$L$6:$L$2990,"Bond Return")+SUMIFS('1UT9BR'!$K$6:$K$2990,'1UT9BR'!$N$6:$N$2990,B69,'1UT9BR'!$L$6:$L$2990,"Bond Return")+SUMIFS('1MK4UR'!$K$6:$K$2990,'1MK4UR'!$N$6:$N$2990,B69,'1MK4UR'!$L$6:$L$2990,"Bond Return")+SUMIFS(#REF!,#REF!,B69,#REF!,"Bond Return")+SUMIFS('1JI2UE'!$K$6:$K$2990,'1JI2UE'!$N$6:$N$2990,B69,'1JI2UE'!$L$6:$L$2990,"Bond Return")+SUMIFS(#REF!,#REF!,B69,#REF!,"Bond Return")+SUMIFS('1SI9BW'!$K$6:$K$2990,'1SI9BW'!$N$6:$N$2990,B69,'1SI9BW'!$L$6:$L$2990,"Bond Return")+SUMIFS(Suzuki!$K$6:$K$2990,Suzuki!$N$6:$N$2990,B69,Suzuki!$L$6:$L$2990,"Bond Return")+SUMIFS('1SK3DD'!$K$6:$K$2990,'1SK3DD'!$N$6:$N$2990,B69,'1SK3DD'!$L$6:$L$2990,"Bond Return")+SUMIFS('1SX5TQ'!$K$6:$K$2990,'1SX5TQ'!$N$6:$N$2990,B69,'1SX5TQ'!$L$6:$L$2990,"Bond Return")+SUMIFS('BMM465'!$K$6:$K$2990,'BMM465'!$N$6:$N$2990,B69,'BMM465'!$L$6:$L$2990,"Bond Return")+SUMIFS('1CF1ZO'!$K$6:$K$2990,'1CF1ZO'!$N$6:$N$2990,B69,'1CF1ZO'!$L$6:$L$2990,"Bond Return")+SUMIFS('1UK1BK'!$K$6:$K$2990,'1UK1BK'!$N$6:$N$2990,B69,'1UK1BK'!$L$6:$L$2990,"Bond Return"))))</f>
        <v>#REF!</v>
      </c>
      <c r="O69"/>
      <c r="AE69" s="221">
        <v>44860</v>
      </c>
      <c r="AF69" s="17">
        <v>1000</v>
      </c>
      <c r="AG69" t="s">
        <v>264</v>
      </c>
      <c r="AH69" s="73" t="s">
        <v>939</v>
      </c>
      <c r="AI69"/>
      <c r="AJ69" s="124" t="s">
        <v>855</v>
      </c>
    </row>
    <row r="70" spans="1:36" ht="15" customHeight="1" x14ac:dyDescent="0.25">
      <c r="A70" s="133">
        <v>30</v>
      </c>
      <c r="B70" s="133" t="s">
        <v>331</v>
      </c>
      <c r="C70" s="139" t="s">
        <v>362</v>
      </c>
      <c r="D70" s="139" t="s">
        <v>363</v>
      </c>
      <c r="E70" s="139" t="s">
        <v>364</v>
      </c>
      <c r="F70" s="134">
        <v>3150</v>
      </c>
      <c r="G70" s="139" t="s">
        <v>365</v>
      </c>
      <c r="H70" s="141" t="s">
        <v>366</v>
      </c>
      <c r="I70" s="136" t="s">
        <v>367</v>
      </c>
      <c r="J70" s="134">
        <v>663931</v>
      </c>
      <c r="K70" s="137">
        <v>32975</v>
      </c>
      <c r="L70" s="137">
        <v>43991</v>
      </c>
      <c r="M70" s="134" t="s">
        <v>368</v>
      </c>
      <c r="N70" s="138" t="e">
        <f>SUMIFS('CEI565'!$D$6:$D$2994,'CEI565'!$I$6:$I$2994,B70,'CEI565'!$F$6:$F$2994,"Bond Received")+SUMIFS('1SM3VL'!$D$6:$D$2994,'1SM3VL'!$I$6:$I$2994,B70,'1SM3VL'!$F$6:$F$2994,"Bond Received")+SUMIFS('1QF4SM'!$D$6:$D$2994,'1QF4SM'!$I$6:$I$2994,B70,'1QF4SM'!$F$6:$F$2994,"Bond Received")+SUMIFS('1UV5KI'!$D$6:$D$2994,'1UV5KI'!$I$6:$I$2994,B70,'1UV5KI'!$F$6:$F$2994,"Bond Received")+SUMIFS(#REF!,#REF!,B70,#REF!,"Bond Received")+SUMIFS('1UL9RY'!$D$6:$D$2994,'1UL9RY'!$I$6:$I$2994,B70,'1UL9RY'!$F$6:$F$2994,"Bond Received")+SUMIFS('1OZ7GT'!$D$6:$D$2994,'1OZ7GT'!$I$6:$I$2994,B70,'1OZ7GT'!$F$6:$F$2994,"Bond Received")+SUMIFS('1CN8DD'!$D$6:$D$2994,'1CN8DD'!$I$6:$I$2994,B70,'1CN8DD'!$F$6:$F$2994,"Bond Received")+SUMIFS('1UT9BR'!$D$6:$D$2994,'1UT9BR'!$I$6:$I$2994,B70,'1UT9BR'!$F$6:$F$2994,"Bond Received")+SUMIFS('1MK4UR'!$D$6:$D$2994,'1MK4UR'!$I$6:$I$2994,B70,'1MK4UR'!$F$6:$F$2994,"Bond Received")+SUMIFS(#REF!,#REF!,B70,#REF!,"Bond Received")+SUMIFS('1JI2UE'!$D$6:$D$2994,'1JI2UE'!$I$6:$I$2994,B70,'1JI2UE'!$F$6:$F$2994,"Bond Received")+SUMIFS(#REF!,#REF!,B70,#REF!,"Bond Received")+SUMIFS('1SI9BW'!$D$6:$D$2994,'1SI9BW'!$I$6:$I$2994,B70,'1SI9BW'!$F$6:$F$2994,"Bond Received")+SUMIFS(Suzuki!$D$6:$D$2994,Suzuki!$I$6:$I$2994,B70,Suzuki!$F$6:$F$2994,"Bond Received")+SUMIFS('1SK3DD'!$D$6:$D$2994,'1SK3DD'!$I$6:$I$2994,B70,'1SK3DD'!$F$6:$F$2994,"Bond Received")+SUMIFS('1SX5TQ'!$D$6:$D$2994,'1SX5TQ'!$I$6:$I$2994,B70,'1SX5TQ'!$F$6:$F$2994,"Bond Received")+SUMIFS('BMM465'!$D$6:$D$2994,'BMM465'!$I$6:$I$2994,B70,'BMM465'!$F$6:$F$2994,"Bond Received")+SUMIFS('1CF1ZO'!$D$6:$D$2994,'1CF1ZO'!$I$6:$I$2994,B70,'1CF1ZO'!$F$6:$F$2994,"Bond Received")+SUMIFS('1UK1BK'!$D$6:$D$2994,'1UK1BK'!$I$6:$I$2994,B70,'1UK1BK'!$F$6:$F$2994,"Bond Received")-(((SUMIFS('CEI565'!$K$6:$K$2990,'CEI565'!$N$6:$N$2990,B70,'CEI565'!$L$6:$L$2990,"Bond Return")+SUMIFS('1SM3VL'!$K$6:$K$2990,'1SM3VL'!$N$6:$N$2990,B70,'1SM3VL'!$L$6:$L$2990,"Bond Return")+SUMIFS('1QF4SM'!$K$6:$K$2990,'1QF4SM'!$N$6:$N$2990,B70,'1QF4SM'!$L$6:$L$2990,"Bond Return")+SUMIFS('1UV5KI'!$K$6:$K$2990,'1UV5KI'!$N$6:$N$2990,B70,'1UV5KI'!$L$6:$L$2990,"Bond Return")+SUMIFS(#REF!,#REF!,B70,#REF!,"Bond Return")+SUMIFS('1UL9RY'!$K$6:$K$2990,'1UL9RY'!$N$6:$N$2990,B70,'1UL9RY'!$L$6:$L$2990,"Bond Return")+SUMIFS('1OZ7GT'!$K$6:$K$2990,'1OZ7GT'!$N$6:$N$2990,B70,'1OZ7GT'!$L$6:$L$2990,"Bond Return")+SUMIFS('1CN8DD'!$K$6:$K$2990,'1CN8DD'!$N$6:$N$2990,B70,'1CN8DD'!$L$6:$L$2990,"Bond Return")+SUMIFS('1UT9BR'!$K$6:$K$2990,'1UT9BR'!$N$6:$N$2990,B70,'1UT9BR'!$L$6:$L$2990,"Bond Return")+SUMIFS('1MK4UR'!$K$6:$K$2990,'1MK4UR'!$N$6:$N$2990,B70,'1MK4UR'!$L$6:$L$2990,"Bond Return")+SUMIFS(#REF!,#REF!,B70,#REF!,"Bond Return")+SUMIFS('1JI2UE'!$K$6:$K$2990,'1JI2UE'!$N$6:$N$2990,B70,'1JI2UE'!$L$6:$L$2990,"Bond Return")+SUMIFS(#REF!,#REF!,B70,#REF!,"Bond Return")+SUMIFS('1SI9BW'!$K$6:$K$2990,'1SI9BW'!$N$6:$N$2990,B70,'1SI9BW'!$L$6:$L$2990,"Bond Return")+SUMIFS(Suzuki!$K$6:$K$2990,Suzuki!$N$6:$N$2990,B70,Suzuki!$L$6:$L$2990,"Bond Return")+SUMIFS('1SK3DD'!$K$6:$K$2990,'1SK3DD'!$N$6:$N$2990,B70,'1SK3DD'!$L$6:$L$2990,"Bond Return")+SUMIFS('1SX5TQ'!$K$6:$K$2990,'1SX5TQ'!$N$6:$N$2990,B70,'1SX5TQ'!$L$6:$L$2990,"Bond Return")+SUMIFS('BMM465'!$K$6:$K$2990,'BMM465'!$N$6:$N$2990,B70,'BMM465'!$L$6:$L$2990,"Bond Return")+SUMIFS('1CF1ZO'!$K$6:$K$2990,'1CF1ZO'!$N$6:$N$2990,B70,'1CF1ZO'!$L$6:$L$2990,"Bond Return")+SUMIFS('1UK1BK'!$K$6:$K$2990,'1UK1BK'!$N$6:$N$2990,B70,'1UK1BK'!$L$6:$L$2990,"Bond Return"))))</f>
        <v>#REF!</v>
      </c>
      <c r="O70" s="139"/>
      <c r="AE70" s="221">
        <v>44860</v>
      </c>
      <c r="AF70" s="17">
        <v>145</v>
      </c>
      <c r="AG70" t="s">
        <v>264</v>
      </c>
      <c r="AH70" s="217" t="s">
        <v>962</v>
      </c>
      <c r="AI70"/>
      <c r="AJ70" s="124" t="s">
        <v>588</v>
      </c>
    </row>
    <row r="71" spans="1:36" ht="15" customHeight="1" x14ac:dyDescent="0.25">
      <c r="A71" s="128">
        <v>31</v>
      </c>
      <c r="B71" s="128" t="s">
        <v>218</v>
      </c>
      <c r="C71" t="s">
        <v>407</v>
      </c>
      <c r="D71" t="s">
        <v>408</v>
      </c>
      <c r="E71" t="s">
        <v>406</v>
      </c>
      <c r="F71" s="10">
        <v>3029</v>
      </c>
      <c r="G71" t="s">
        <v>409</v>
      </c>
      <c r="H71" s="15" t="s">
        <v>410</v>
      </c>
      <c r="I71" s="127" t="s">
        <v>411</v>
      </c>
      <c r="J71" s="10"/>
      <c r="K71" s="124">
        <v>32586</v>
      </c>
      <c r="L71" s="124">
        <v>44067</v>
      </c>
      <c r="M71" s="10" t="s">
        <v>412</v>
      </c>
      <c r="N71" s="130" t="e">
        <f>SUMIFS('CEI565'!$D$6:$D$2994,'CEI565'!$I$6:$I$2994,B71,'CEI565'!$F$6:$F$2994,"Bond Received")+SUMIFS('1SM3VL'!$D$6:$D$2994,'1SM3VL'!$I$6:$I$2994,B71,'1SM3VL'!$F$6:$F$2994,"Bond Received")+SUMIFS('1QF4SM'!$D$6:$D$2994,'1QF4SM'!$I$6:$I$2994,B71,'1QF4SM'!$F$6:$F$2994,"Bond Received")+SUMIFS('1UV5KI'!$D$6:$D$2994,'1UV5KI'!$I$6:$I$2994,B71,'1UV5KI'!$F$6:$F$2994,"Bond Received")+SUMIFS(#REF!,#REF!,B71,#REF!,"Bond Received")+SUMIFS('1UL9RY'!$D$6:$D$2994,'1UL9RY'!$I$6:$I$2994,B71,'1UL9RY'!$F$6:$F$2994,"Bond Received")+SUMIFS('1OZ7GT'!$D$6:$D$2994,'1OZ7GT'!$I$6:$I$2994,B71,'1OZ7GT'!$F$6:$F$2994,"Bond Received")+SUMIFS('1CN8DD'!$D$6:$D$2994,'1CN8DD'!$I$6:$I$2994,B71,'1CN8DD'!$F$6:$F$2994,"Bond Received")+SUMIFS('1UT9BR'!$D$6:$D$2994,'1UT9BR'!$I$6:$I$2994,B71,'1UT9BR'!$F$6:$F$2994,"Bond Received")+SUMIFS('1MK4UR'!$D$6:$D$2994,'1MK4UR'!$I$6:$I$2994,B71,'1MK4UR'!$F$6:$F$2994,"Bond Received")+SUMIFS(#REF!,#REF!,B71,#REF!,"Bond Received")+SUMIFS('1JI2UE'!$D$6:$D$2994,'1JI2UE'!$I$6:$I$2994,B71,'1JI2UE'!$F$6:$F$2994,"Bond Received")+SUMIFS(#REF!,#REF!,B71,#REF!,"Bond Received")+SUMIFS('1SI9BW'!$D$6:$D$2994,'1SI9BW'!$I$6:$I$2994,B71,'1SI9BW'!$F$6:$F$2994,"Bond Received")+SUMIFS(Suzuki!$D$6:$D$2994,Suzuki!$I$6:$I$2994,B71,Suzuki!$F$6:$F$2994,"Bond Received")+SUMIFS('1SK3DD'!$D$6:$D$2994,'1SK3DD'!$I$6:$I$2994,B71,'1SK3DD'!$F$6:$F$2994,"Bond Received")+SUMIFS('1SX5TQ'!$D$6:$D$2994,'1SX5TQ'!$I$6:$I$2994,B71,'1SX5TQ'!$F$6:$F$2994,"Bond Received")+SUMIFS('BMM465'!$D$6:$D$2994,'BMM465'!$I$6:$I$2994,B71,'BMM465'!$F$6:$F$2994,"Bond Received")+SUMIFS('1CF1ZO'!$D$6:$D$2994,'1CF1ZO'!$I$6:$I$2994,B71,'1CF1ZO'!$F$6:$F$2994,"Bond Received")+SUMIFS('1UK1BK'!$D$6:$D$2994,'1UK1BK'!$I$6:$I$2994,B71,'1UK1BK'!$F$6:$F$2994,"Bond Received")-(((SUMIFS('CEI565'!$K$6:$K$2990,'CEI565'!$N$6:$N$2990,B71,'CEI565'!$L$6:$L$2990,"Bond Return")+SUMIFS('1SM3VL'!$K$6:$K$2990,'1SM3VL'!$N$6:$N$2990,B71,'1SM3VL'!$L$6:$L$2990,"Bond Return")+SUMIFS('1QF4SM'!$K$6:$K$2990,'1QF4SM'!$N$6:$N$2990,B71,'1QF4SM'!$L$6:$L$2990,"Bond Return")+SUMIFS('1UV5KI'!$K$6:$K$2990,'1UV5KI'!$N$6:$N$2990,B71,'1UV5KI'!$L$6:$L$2990,"Bond Return")+SUMIFS(#REF!,#REF!,B71,#REF!,"Bond Return")+SUMIFS('1UL9RY'!$K$6:$K$2990,'1UL9RY'!$N$6:$N$2990,B71,'1UL9RY'!$L$6:$L$2990,"Bond Return")+SUMIFS('1OZ7GT'!$K$6:$K$2990,'1OZ7GT'!$N$6:$N$2990,B71,'1OZ7GT'!$L$6:$L$2990,"Bond Return")+SUMIFS('1CN8DD'!$K$6:$K$2990,'1CN8DD'!$N$6:$N$2990,B71,'1CN8DD'!$L$6:$L$2990,"Bond Return")+SUMIFS('1UT9BR'!$K$6:$K$2990,'1UT9BR'!$N$6:$N$2990,B71,'1UT9BR'!$L$6:$L$2990,"Bond Return")+SUMIFS('1MK4UR'!$K$6:$K$2990,'1MK4UR'!$N$6:$N$2990,B71,'1MK4UR'!$L$6:$L$2990,"Bond Return")+SUMIFS(#REF!,#REF!,B71,#REF!,"Bond Return")+SUMIFS('1JI2UE'!$K$6:$K$2990,'1JI2UE'!$N$6:$N$2990,B71,'1JI2UE'!$L$6:$L$2990,"Bond Return")+SUMIFS(#REF!,#REF!,B71,#REF!,"Bond Return")+SUMIFS('1SI9BW'!$K$6:$K$2990,'1SI9BW'!$N$6:$N$2990,B71,'1SI9BW'!$L$6:$L$2990,"Bond Return")+SUMIFS(Suzuki!$K$6:$K$2990,Suzuki!$N$6:$N$2990,B71,Suzuki!$L$6:$L$2990,"Bond Return")+SUMIFS('1SK3DD'!$K$6:$K$2990,'1SK3DD'!$N$6:$N$2990,B71,'1SK3DD'!$L$6:$L$2990,"Bond Return")+SUMIFS('1SX5TQ'!$K$6:$K$2990,'1SX5TQ'!$N$6:$N$2990,B71,'1SX5TQ'!$L$6:$L$2990,"Bond Return")+SUMIFS('BMM465'!$K$6:$K$2990,'BMM465'!$N$6:$N$2990,B71,'BMM465'!$L$6:$L$2990,"Bond Return")+SUMIFS('1CF1ZO'!$K$6:$K$2990,'1CF1ZO'!$N$6:$N$2990,B71,'1CF1ZO'!$L$6:$L$2990,"Bond Return")+SUMIFS('1UK1BK'!$K$6:$K$2990,'1UK1BK'!$N$6:$N$2990,B71,'1UK1BK'!$L$6:$L$2990,"Bond Return"))))</f>
        <v>#REF!</v>
      </c>
      <c r="O71"/>
      <c r="AE71" s="221">
        <v>44862</v>
      </c>
      <c r="AF71" s="17">
        <f>330+280</f>
        <v>610</v>
      </c>
      <c r="AG71" t="s">
        <v>264</v>
      </c>
      <c r="AH71" s="73" t="s">
        <v>939</v>
      </c>
      <c r="AI71"/>
      <c r="AJ71" s="124" t="s">
        <v>620</v>
      </c>
    </row>
    <row r="72" spans="1:36" ht="15" customHeight="1" x14ac:dyDescent="0.25">
      <c r="A72" s="133">
        <v>32</v>
      </c>
      <c r="B72" s="133" t="s">
        <v>216</v>
      </c>
      <c r="C72" s="139"/>
      <c r="D72" s="139"/>
      <c r="E72" s="139"/>
      <c r="F72" s="134"/>
      <c r="G72" s="139"/>
      <c r="H72" s="139"/>
      <c r="I72" s="142"/>
      <c r="J72" s="134"/>
      <c r="K72" s="137"/>
      <c r="L72" s="137"/>
      <c r="M72" s="134"/>
      <c r="N72" s="138" t="e">
        <f>SUMIFS('CEI565'!$D$6:$D$2994,'CEI565'!$I$6:$I$2994,B72,'CEI565'!$F$6:$F$2994,"Bond Received")+SUMIFS('1SM3VL'!$D$6:$D$2994,'1SM3VL'!$I$6:$I$2994,B72,'1SM3VL'!$F$6:$F$2994,"Bond Received")+SUMIFS('1QF4SM'!$D$6:$D$2994,'1QF4SM'!$I$6:$I$2994,B72,'1QF4SM'!$F$6:$F$2994,"Bond Received")+SUMIFS('1UV5KI'!$D$6:$D$2994,'1UV5KI'!$I$6:$I$2994,B72,'1UV5KI'!$F$6:$F$2994,"Bond Received")+SUMIFS(#REF!,#REF!,B72,#REF!,"Bond Received")+SUMIFS('1UL9RY'!$D$6:$D$2994,'1UL9RY'!$I$6:$I$2994,B72,'1UL9RY'!$F$6:$F$2994,"Bond Received")+SUMIFS('1OZ7GT'!$D$6:$D$2994,'1OZ7GT'!$I$6:$I$2994,B72,'1OZ7GT'!$F$6:$F$2994,"Bond Received")+SUMIFS('1CN8DD'!$D$6:$D$2994,'1CN8DD'!$I$6:$I$2994,B72,'1CN8DD'!$F$6:$F$2994,"Bond Received")+SUMIFS('1UT9BR'!$D$6:$D$2994,'1UT9BR'!$I$6:$I$2994,B72,'1UT9BR'!$F$6:$F$2994,"Bond Received")+SUMIFS('1MK4UR'!$D$6:$D$2994,'1MK4UR'!$I$6:$I$2994,B72,'1MK4UR'!$F$6:$F$2994,"Bond Received")+SUMIFS(#REF!,#REF!,B72,#REF!,"Bond Received")+SUMIFS('1JI2UE'!$D$6:$D$2994,'1JI2UE'!$I$6:$I$2994,B72,'1JI2UE'!$F$6:$F$2994,"Bond Received")+SUMIFS(#REF!,#REF!,B72,#REF!,"Bond Received")+SUMIFS('1SI9BW'!$D$6:$D$2994,'1SI9BW'!$I$6:$I$2994,B72,'1SI9BW'!$F$6:$F$2994,"Bond Received")+SUMIFS(Suzuki!$D$6:$D$2994,Suzuki!$I$6:$I$2994,B72,Suzuki!$F$6:$F$2994,"Bond Received")+SUMIFS('1SK3DD'!$D$6:$D$2994,'1SK3DD'!$I$6:$I$2994,B72,'1SK3DD'!$F$6:$F$2994,"Bond Received")+SUMIFS('1SX5TQ'!$D$6:$D$2994,'1SX5TQ'!$I$6:$I$2994,B72,'1SX5TQ'!$F$6:$F$2994,"Bond Received")+SUMIFS('BMM465'!$D$6:$D$2994,'BMM465'!$I$6:$I$2994,B72,'BMM465'!$F$6:$F$2994,"Bond Received")+SUMIFS('1CF1ZO'!$D$6:$D$2994,'1CF1ZO'!$I$6:$I$2994,B72,'1CF1ZO'!$F$6:$F$2994,"Bond Received")+SUMIFS('1UK1BK'!$D$6:$D$2994,'1UK1BK'!$I$6:$I$2994,B72,'1UK1BK'!$F$6:$F$2994,"Bond Received")-(((SUMIFS('CEI565'!$K$6:$K$2990,'CEI565'!$N$6:$N$2990,B72,'CEI565'!$L$6:$L$2990,"Bond Return")+SUMIFS('1SM3VL'!$K$6:$K$2990,'1SM3VL'!$N$6:$N$2990,B72,'1SM3VL'!$L$6:$L$2990,"Bond Return")+SUMIFS('1QF4SM'!$K$6:$K$2990,'1QF4SM'!$N$6:$N$2990,B72,'1QF4SM'!$L$6:$L$2990,"Bond Return")+SUMIFS('1UV5KI'!$K$6:$K$2990,'1UV5KI'!$N$6:$N$2990,B72,'1UV5KI'!$L$6:$L$2990,"Bond Return")+SUMIFS(#REF!,#REF!,B72,#REF!,"Bond Return")+SUMIFS('1UL9RY'!$K$6:$K$2990,'1UL9RY'!$N$6:$N$2990,B72,'1UL9RY'!$L$6:$L$2990,"Bond Return")+SUMIFS('1OZ7GT'!$K$6:$K$2990,'1OZ7GT'!$N$6:$N$2990,B72,'1OZ7GT'!$L$6:$L$2990,"Bond Return")+SUMIFS('1CN8DD'!$K$6:$K$2990,'1CN8DD'!$N$6:$N$2990,B72,'1CN8DD'!$L$6:$L$2990,"Bond Return")+SUMIFS('1UT9BR'!$K$6:$K$2990,'1UT9BR'!$N$6:$N$2990,B72,'1UT9BR'!$L$6:$L$2990,"Bond Return")+SUMIFS('1MK4UR'!$K$6:$K$2990,'1MK4UR'!$N$6:$N$2990,B72,'1MK4UR'!$L$6:$L$2990,"Bond Return")+SUMIFS(#REF!,#REF!,B72,#REF!,"Bond Return")+SUMIFS('1JI2UE'!$K$6:$K$2990,'1JI2UE'!$N$6:$N$2990,B72,'1JI2UE'!$L$6:$L$2990,"Bond Return")+SUMIFS(#REF!,#REF!,B72,#REF!,"Bond Return")+SUMIFS('1SI9BW'!$K$6:$K$2990,'1SI9BW'!$N$6:$N$2990,B72,'1SI9BW'!$L$6:$L$2990,"Bond Return")+SUMIFS(Suzuki!$K$6:$K$2990,Suzuki!$N$6:$N$2990,B72,Suzuki!$L$6:$L$2990,"Bond Return")+SUMIFS('1SK3DD'!$K$6:$K$2990,'1SK3DD'!$N$6:$N$2990,B72,'1SK3DD'!$L$6:$L$2990,"Bond Return")+SUMIFS('1SX5TQ'!$K$6:$K$2990,'1SX5TQ'!$N$6:$N$2990,B72,'1SX5TQ'!$L$6:$L$2990,"Bond Return")+SUMIFS('BMM465'!$K$6:$K$2990,'BMM465'!$N$6:$N$2990,B72,'BMM465'!$L$6:$L$2990,"Bond Return")+SUMIFS('1CF1ZO'!$K$6:$K$2990,'1CF1ZO'!$N$6:$N$2990,B72,'1CF1ZO'!$L$6:$L$2990,"Bond Return")+SUMIFS('1UK1BK'!$K$6:$K$2990,'1UK1BK'!$N$6:$N$2990,B72,'1UK1BK'!$L$6:$L$2990,"Bond Return"))))</f>
        <v>#REF!</v>
      </c>
      <c r="O72" s="139"/>
      <c r="AE72" s="221">
        <v>44865</v>
      </c>
      <c r="AF72" s="17">
        <v>220</v>
      </c>
      <c r="AG72" t="s">
        <v>264</v>
      </c>
      <c r="AH72" s="73" t="s">
        <v>939</v>
      </c>
      <c r="AI72"/>
      <c r="AJ72" s="124" t="s">
        <v>48</v>
      </c>
    </row>
    <row r="73" spans="1:36" ht="15" customHeight="1" x14ac:dyDescent="0.25">
      <c r="A73" s="128">
        <v>33</v>
      </c>
      <c r="B73" s="128" t="s">
        <v>381</v>
      </c>
      <c r="C73" t="s">
        <v>382</v>
      </c>
      <c r="D73" t="s">
        <v>383</v>
      </c>
      <c r="E73" t="s">
        <v>384</v>
      </c>
      <c r="F73" s="10">
        <v>3178</v>
      </c>
      <c r="G73" t="s">
        <v>385</v>
      </c>
      <c r="H73" s="15" t="s">
        <v>386</v>
      </c>
      <c r="I73" s="126" t="s">
        <v>387</v>
      </c>
      <c r="J73" s="10"/>
      <c r="K73" s="124">
        <v>30383</v>
      </c>
      <c r="L73" s="124">
        <v>43859</v>
      </c>
      <c r="M73" s="10" t="s">
        <v>301</v>
      </c>
      <c r="N73" s="130" t="e">
        <f>SUMIFS('CEI565'!$D$6:$D$2994,'CEI565'!$I$6:$I$2994,B73,'CEI565'!$F$6:$F$2994,"Bond Received")+SUMIFS('1SM3VL'!$D$6:$D$2994,'1SM3VL'!$I$6:$I$2994,B73,'1SM3VL'!$F$6:$F$2994,"Bond Received")+SUMIFS('1QF4SM'!$D$6:$D$2994,'1QF4SM'!$I$6:$I$2994,B73,'1QF4SM'!$F$6:$F$2994,"Bond Received")+SUMIFS('1UV5KI'!$D$6:$D$2994,'1UV5KI'!$I$6:$I$2994,B73,'1UV5KI'!$F$6:$F$2994,"Bond Received")+SUMIFS(#REF!,#REF!,B73,#REF!,"Bond Received")+SUMIFS('1UL9RY'!$D$6:$D$2994,'1UL9RY'!$I$6:$I$2994,B73,'1UL9RY'!$F$6:$F$2994,"Bond Received")+SUMIFS('1OZ7GT'!$D$6:$D$2994,'1OZ7GT'!$I$6:$I$2994,B73,'1OZ7GT'!$F$6:$F$2994,"Bond Received")+SUMIFS('1CN8DD'!$D$6:$D$2994,'1CN8DD'!$I$6:$I$2994,B73,'1CN8DD'!$F$6:$F$2994,"Bond Received")+SUMIFS('1UT9BR'!$D$6:$D$2994,'1UT9BR'!$I$6:$I$2994,B73,'1UT9BR'!$F$6:$F$2994,"Bond Received")+SUMIFS('1MK4UR'!$D$6:$D$2994,'1MK4UR'!$I$6:$I$2994,B73,'1MK4UR'!$F$6:$F$2994,"Bond Received")+SUMIFS(#REF!,#REF!,B73,#REF!,"Bond Received")+SUMIFS('1JI2UE'!$D$6:$D$2994,'1JI2UE'!$I$6:$I$2994,B73,'1JI2UE'!$F$6:$F$2994,"Bond Received")+SUMIFS(#REF!,#REF!,B73,#REF!,"Bond Received")+SUMIFS('1SI9BW'!$D$6:$D$2994,'1SI9BW'!$I$6:$I$2994,B73,'1SI9BW'!$F$6:$F$2994,"Bond Received")+SUMIFS(Suzuki!$D$6:$D$2994,Suzuki!$I$6:$I$2994,B73,Suzuki!$F$6:$F$2994,"Bond Received")+SUMIFS('1SK3DD'!$D$6:$D$2994,'1SK3DD'!$I$6:$I$2994,B73,'1SK3DD'!$F$6:$F$2994,"Bond Received")+SUMIFS('1SX5TQ'!$D$6:$D$2994,'1SX5TQ'!$I$6:$I$2994,B73,'1SX5TQ'!$F$6:$F$2994,"Bond Received")+SUMIFS('BMM465'!$D$6:$D$2994,'BMM465'!$I$6:$I$2994,B73,'BMM465'!$F$6:$F$2994,"Bond Received")+SUMIFS('1CF1ZO'!$D$6:$D$2994,'1CF1ZO'!$I$6:$I$2994,B73,'1CF1ZO'!$F$6:$F$2994,"Bond Received")+SUMIFS('1UK1BK'!$D$6:$D$2994,'1UK1BK'!$I$6:$I$2994,B73,'1UK1BK'!$F$6:$F$2994,"Bond Received")-(((SUMIFS('CEI565'!$K$6:$K$2990,'CEI565'!$N$6:$N$2990,B73,'CEI565'!$L$6:$L$2990,"Bond Return")+SUMIFS('1SM3VL'!$K$6:$K$2990,'1SM3VL'!$N$6:$N$2990,B73,'1SM3VL'!$L$6:$L$2990,"Bond Return")+SUMIFS('1QF4SM'!$K$6:$K$2990,'1QF4SM'!$N$6:$N$2990,B73,'1QF4SM'!$L$6:$L$2990,"Bond Return")+SUMIFS('1UV5KI'!$K$6:$K$2990,'1UV5KI'!$N$6:$N$2990,B73,'1UV5KI'!$L$6:$L$2990,"Bond Return")+SUMIFS(#REF!,#REF!,B73,#REF!,"Bond Return")+SUMIFS('1UL9RY'!$K$6:$K$2990,'1UL9RY'!$N$6:$N$2990,B73,'1UL9RY'!$L$6:$L$2990,"Bond Return")+SUMIFS('1OZ7GT'!$K$6:$K$2990,'1OZ7GT'!$N$6:$N$2990,B73,'1OZ7GT'!$L$6:$L$2990,"Bond Return")+SUMIFS('1CN8DD'!$K$6:$K$2990,'1CN8DD'!$N$6:$N$2990,B73,'1CN8DD'!$L$6:$L$2990,"Bond Return")+SUMIFS('1UT9BR'!$K$6:$K$2990,'1UT9BR'!$N$6:$N$2990,B73,'1UT9BR'!$L$6:$L$2990,"Bond Return")+SUMIFS('1MK4UR'!$K$6:$K$2990,'1MK4UR'!$N$6:$N$2990,B73,'1MK4UR'!$L$6:$L$2990,"Bond Return")+SUMIFS(#REF!,#REF!,B73,#REF!,"Bond Return")+SUMIFS('1JI2UE'!$K$6:$K$2990,'1JI2UE'!$N$6:$N$2990,B73,'1JI2UE'!$L$6:$L$2990,"Bond Return")+SUMIFS(#REF!,#REF!,B73,#REF!,"Bond Return")+SUMIFS('1SI9BW'!$K$6:$K$2990,'1SI9BW'!$N$6:$N$2990,B73,'1SI9BW'!$L$6:$L$2990,"Bond Return")+SUMIFS(Suzuki!$K$6:$K$2990,Suzuki!$N$6:$N$2990,B73,Suzuki!$L$6:$L$2990,"Bond Return")+SUMIFS('1SK3DD'!$K$6:$K$2990,'1SK3DD'!$N$6:$N$2990,B73,'1SK3DD'!$L$6:$L$2990,"Bond Return")+SUMIFS('1SX5TQ'!$K$6:$K$2990,'1SX5TQ'!$N$6:$N$2990,B73,'1SX5TQ'!$L$6:$L$2990,"Bond Return")+SUMIFS('BMM465'!$K$6:$K$2990,'BMM465'!$N$6:$N$2990,B73,'BMM465'!$L$6:$L$2990,"Bond Return")+SUMIFS('1CF1ZO'!$K$6:$K$2990,'1CF1ZO'!$N$6:$N$2990,B73,'1CF1ZO'!$L$6:$L$2990,"Bond Return")+SUMIFS('1UK1BK'!$K$6:$K$2990,'1UK1BK'!$N$6:$N$2990,B73,'1UK1BK'!$L$6:$L$2990,"Bond Return"))))</f>
        <v>#REF!</v>
      </c>
      <c r="O73"/>
      <c r="AE73" s="221">
        <v>44866</v>
      </c>
      <c r="AF73" s="17">
        <v>51.07</v>
      </c>
      <c r="AG73" t="s">
        <v>264</v>
      </c>
      <c r="AH73" s="73" t="s">
        <v>939</v>
      </c>
      <c r="AI73"/>
      <c r="AJ73" s="124" t="s">
        <v>196</v>
      </c>
    </row>
    <row r="74" spans="1:36" ht="15" customHeight="1" x14ac:dyDescent="0.25">
      <c r="A74" s="143">
        <v>34</v>
      </c>
      <c r="B74" s="139" t="s">
        <v>413</v>
      </c>
      <c r="C74" s="139"/>
      <c r="D74" s="139"/>
      <c r="E74" s="139"/>
      <c r="F74" s="134"/>
      <c r="G74" s="139"/>
      <c r="H74" s="139"/>
      <c r="I74" s="142"/>
      <c r="J74" s="134"/>
      <c r="K74" s="137"/>
      <c r="L74" s="137"/>
      <c r="M74" s="134"/>
      <c r="N74" s="138" t="e">
        <f>SUMIFS('CEI565'!$D$6:$D$2994,'CEI565'!$I$6:$I$2994,B74,'CEI565'!$F$6:$F$2994,"Bond Received")+SUMIFS('1SM3VL'!$D$6:$D$2994,'1SM3VL'!$I$6:$I$2994,B74,'1SM3VL'!$F$6:$F$2994,"Bond Received")+SUMIFS('1QF4SM'!$D$6:$D$2994,'1QF4SM'!$I$6:$I$2994,B74,'1QF4SM'!$F$6:$F$2994,"Bond Received")+SUMIFS('1UV5KI'!$D$6:$D$2994,'1UV5KI'!$I$6:$I$2994,B74,'1UV5KI'!$F$6:$F$2994,"Bond Received")+SUMIFS(#REF!,#REF!,B74,#REF!,"Bond Received")+SUMIFS('1UL9RY'!$D$6:$D$2994,'1UL9RY'!$I$6:$I$2994,B74,'1UL9RY'!$F$6:$F$2994,"Bond Received")+SUMIFS('1OZ7GT'!$D$6:$D$2994,'1OZ7GT'!$I$6:$I$2994,B74,'1OZ7GT'!$F$6:$F$2994,"Bond Received")+SUMIFS('1CN8DD'!$D$6:$D$2994,'1CN8DD'!$I$6:$I$2994,B74,'1CN8DD'!$F$6:$F$2994,"Bond Received")+SUMIFS('1UT9BR'!$D$6:$D$2994,'1UT9BR'!$I$6:$I$2994,B74,'1UT9BR'!$F$6:$F$2994,"Bond Received")+SUMIFS('1MK4UR'!$D$6:$D$2994,'1MK4UR'!$I$6:$I$2994,B74,'1MK4UR'!$F$6:$F$2994,"Bond Received")+SUMIFS(#REF!,#REF!,B74,#REF!,"Bond Received")+SUMIFS('1JI2UE'!$D$6:$D$2994,'1JI2UE'!$I$6:$I$2994,B74,'1JI2UE'!$F$6:$F$2994,"Bond Received")+SUMIFS(#REF!,#REF!,B74,#REF!,"Bond Received")+SUMIFS('1SI9BW'!$D$6:$D$2994,'1SI9BW'!$I$6:$I$2994,B74,'1SI9BW'!$F$6:$F$2994,"Bond Received")+SUMIFS(Suzuki!$D$6:$D$2994,Suzuki!$I$6:$I$2994,B74,Suzuki!$F$6:$F$2994,"Bond Received")+SUMIFS('1SK3DD'!$D$6:$D$2994,'1SK3DD'!$I$6:$I$2994,B74,'1SK3DD'!$F$6:$F$2994,"Bond Received")+SUMIFS('1SX5TQ'!$D$6:$D$2994,'1SX5TQ'!$I$6:$I$2994,B74,'1SX5TQ'!$F$6:$F$2994,"Bond Received")+SUMIFS('BMM465'!$D$6:$D$2994,'BMM465'!$I$6:$I$2994,B74,'BMM465'!$F$6:$F$2994,"Bond Received")+SUMIFS('1CF1ZO'!$D$6:$D$2994,'1CF1ZO'!$I$6:$I$2994,B74,'1CF1ZO'!$F$6:$F$2994,"Bond Received")+SUMIFS('1UK1BK'!$D$6:$D$2994,'1UK1BK'!$I$6:$I$2994,B74,'1UK1BK'!$F$6:$F$2994,"Bond Received")-(((SUMIFS('CEI565'!$K$6:$K$2990,'CEI565'!$N$6:$N$2990,B74,'CEI565'!$L$6:$L$2990,"Bond Return")+SUMIFS('1SM3VL'!$K$6:$K$2990,'1SM3VL'!$N$6:$N$2990,B74,'1SM3VL'!$L$6:$L$2990,"Bond Return")+SUMIFS('1QF4SM'!$K$6:$K$2990,'1QF4SM'!$N$6:$N$2990,B74,'1QF4SM'!$L$6:$L$2990,"Bond Return")+SUMIFS('1UV5KI'!$K$6:$K$2990,'1UV5KI'!$N$6:$N$2990,B74,'1UV5KI'!$L$6:$L$2990,"Bond Return")+SUMIFS(#REF!,#REF!,B74,#REF!,"Bond Return")+SUMIFS('1UL9RY'!$K$6:$K$2990,'1UL9RY'!$N$6:$N$2990,B74,'1UL9RY'!$L$6:$L$2990,"Bond Return")+SUMIFS('1OZ7GT'!$K$6:$K$2990,'1OZ7GT'!$N$6:$N$2990,B74,'1OZ7GT'!$L$6:$L$2990,"Bond Return")+SUMIFS('1CN8DD'!$K$6:$K$2990,'1CN8DD'!$N$6:$N$2990,B74,'1CN8DD'!$L$6:$L$2990,"Bond Return")+SUMIFS('1UT9BR'!$K$6:$K$2990,'1UT9BR'!$N$6:$N$2990,B74,'1UT9BR'!$L$6:$L$2990,"Bond Return")+SUMIFS('1MK4UR'!$K$6:$K$2990,'1MK4UR'!$N$6:$N$2990,B74,'1MK4UR'!$L$6:$L$2990,"Bond Return")+SUMIFS(#REF!,#REF!,B74,#REF!,"Bond Return")+SUMIFS('1JI2UE'!$K$6:$K$2990,'1JI2UE'!$N$6:$N$2990,B74,'1JI2UE'!$L$6:$L$2990,"Bond Return")+SUMIFS(#REF!,#REF!,B74,#REF!,"Bond Return")+SUMIFS('1SI9BW'!$K$6:$K$2990,'1SI9BW'!$N$6:$N$2990,B74,'1SI9BW'!$L$6:$L$2990,"Bond Return")+SUMIFS(Suzuki!$K$6:$K$2990,Suzuki!$N$6:$N$2990,B74,Suzuki!$L$6:$L$2990,"Bond Return")+SUMIFS('1SK3DD'!$K$6:$K$2990,'1SK3DD'!$N$6:$N$2990,B74,'1SK3DD'!$L$6:$L$2990,"Bond Return")+SUMIFS('1SX5TQ'!$K$6:$K$2990,'1SX5TQ'!$N$6:$N$2990,B74,'1SX5TQ'!$L$6:$L$2990,"Bond Return")+SUMIFS('BMM465'!$K$6:$K$2990,'BMM465'!$N$6:$N$2990,B74,'BMM465'!$L$6:$L$2990,"Bond Return")+SUMIFS('1CF1ZO'!$K$6:$K$2990,'1CF1ZO'!$N$6:$N$2990,B74,'1CF1ZO'!$L$6:$L$2990,"Bond Return")+SUMIFS('1UK1BK'!$K$6:$K$2990,'1UK1BK'!$N$6:$N$2990,B74,'1UK1BK'!$L$6:$L$2990,"Bond Return"))))</f>
        <v>#REF!</v>
      </c>
      <c r="O74" s="139"/>
      <c r="AE74" s="221">
        <v>44877</v>
      </c>
      <c r="AF74" s="17">
        <v>20</v>
      </c>
      <c r="AG74" t="s">
        <v>264</v>
      </c>
      <c r="AH74" s="217" t="s">
        <v>962</v>
      </c>
      <c r="AI74"/>
      <c r="AJ74" s="124" t="s">
        <v>673</v>
      </c>
    </row>
    <row r="75" spans="1:36" ht="15" customHeight="1" x14ac:dyDescent="0.25">
      <c r="A75" s="31">
        <v>35</v>
      </c>
      <c r="B75" t="s">
        <v>418</v>
      </c>
      <c r="F75" s="10"/>
      <c r="I75" s="126"/>
      <c r="J75" s="10"/>
      <c r="K75" s="124"/>
      <c r="L75" s="124"/>
      <c r="M75" s="10"/>
      <c r="N75" s="149" t="e">
        <f>SUMIFS('CEI565'!$D$6:$D$2994,'CEI565'!$I$6:$I$2994,B75,'CEI565'!$F$6:$F$2994,"Bond Received")+SUMIFS('1SM3VL'!$D$6:$D$2994,'1SM3VL'!$I$6:$I$2994,B75,'1SM3VL'!$F$6:$F$2994,"Bond Received")+SUMIFS('1QF4SM'!$D$6:$D$2994,'1QF4SM'!$I$6:$I$2994,B75,'1QF4SM'!$F$6:$F$2994,"Bond Received")+SUMIFS('1UV5KI'!$D$6:$D$2994,'1UV5KI'!$I$6:$I$2994,B75,'1UV5KI'!$F$6:$F$2994,"Bond Received")+SUMIFS(#REF!,#REF!,B75,#REF!,"Bond Received")+SUMIFS('1UL9RY'!$D$6:$D$2994,'1UL9RY'!$I$6:$I$2994,B75,'1UL9RY'!$F$6:$F$2994,"Bond Received")+SUMIFS('1OZ7GT'!$D$6:$D$2994,'1OZ7GT'!$I$6:$I$2994,B75,'1OZ7GT'!$F$6:$F$2994,"Bond Received")+SUMIFS('1CN8DD'!$D$6:$D$2994,'1CN8DD'!$I$6:$I$2994,B75,'1CN8DD'!$F$6:$F$2994,"Bond Received")+SUMIFS('1UT9BR'!$D$6:$D$2994,'1UT9BR'!$I$6:$I$2994,B75,'1UT9BR'!$F$6:$F$2994,"Bond Received")+SUMIFS('1MK4UR'!$D$6:$D$2994,'1MK4UR'!$I$6:$I$2994,B75,'1MK4UR'!$F$6:$F$2994,"Bond Received")+SUMIFS(#REF!,#REF!,B75,#REF!,"Bond Received")+SUMIFS('1JI2UE'!$D$6:$D$2994,'1JI2UE'!$I$6:$I$2994,B75,'1JI2UE'!$F$6:$F$2994,"Bond Received")+SUMIFS(#REF!,#REF!,B75,#REF!,"Bond Received")+SUMIFS('1SI9BW'!$D$6:$D$2994,'1SI9BW'!$I$6:$I$2994,B75,'1SI9BW'!$F$6:$F$2994,"Bond Received")+SUMIFS(Suzuki!$D$6:$D$2994,Suzuki!$I$6:$I$2994,B75,Suzuki!$F$6:$F$2994,"Bond Received")+SUMIFS('1SK3DD'!$D$6:$D$2994,'1SK3DD'!$I$6:$I$2994,B75,'1SK3DD'!$F$6:$F$2994,"Bond Received")+SUMIFS('1SX5TQ'!$D$6:$D$2994,'1SX5TQ'!$I$6:$I$2994,B75,'1SX5TQ'!$F$6:$F$2994,"Bond Received")+SUMIFS('BMM465'!$D$6:$D$2994,'BMM465'!$I$6:$I$2994,B75,'BMM465'!$F$6:$F$2994,"Bond Received")+SUMIFS('1CF1ZO'!$D$6:$D$2994,'1CF1ZO'!$I$6:$I$2994,B75,'1CF1ZO'!$F$6:$F$2994,"Bond Received")+SUMIFS('1UK1BK'!$D$6:$D$2994,'1UK1BK'!$I$6:$I$2994,B75,'1UK1BK'!$F$6:$F$2994,"Bond Received")-(((SUMIFS('CEI565'!$K$6:$K$2990,'CEI565'!$N$6:$N$2990,B75,'CEI565'!$L$6:$L$2990,"Bond Return")+SUMIFS('1SM3VL'!$K$6:$K$2990,'1SM3VL'!$N$6:$N$2990,B75,'1SM3VL'!$L$6:$L$2990,"Bond Return")+SUMIFS('1QF4SM'!$K$6:$K$2990,'1QF4SM'!$N$6:$N$2990,B75,'1QF4SM'!$L$6:$L$2990,"Bond Return")+SUMIFS('1UV5KI'!$K$6:$K$2990,'1UV5KI'!$N$6:$N$2990,B75,'1UV5KI'!$L$6:$L$2990,"Bond Return")+SUMIFS(#REF!,#REF!,B75,#REF!,"Bond Return")+SUMIFS('1UL9RY'!$K$6:$K$2990,'1UL9RY'!$N$6:$N$2990,B75,'1UL9RY'!$L$6:$L$2990,"Bond Return")+SUMIFS('1OZ7GT'!$K$6:$K$2990,'1OZ7GT'!$N$6:$N$2990,B75,'1OZ7GT'!$L$6:$L$2990,"Bond Return")+SUMIFS('1CN8DD'!$K$6:$K$2990,'1CN8DD'!$N$6:$N$2990,B75,'1CN8DD'!$L$6:$L$2990,"Bond Return")+SUMIFS('1UT9BR'!$K$6:$K$2990,'1UT9BR'!$N$6:$N$2990,B75,'1UT9BR'!$L$6:$L$2990,"Bond Return")+SUMIFS('1MK4UR'!$K$6:$K$2990,'1MK4UR'!$N$6:$N$2990,B75,'1MK4UR'!$L$6:$L$2990,"Bond Return")+SUMIFS(#REF!,#REF!,B75,#REF!,"Bond Return")+SUMIFS('1JI2UE'!$K$6:$K$2990,'1JI2UE'!$N$6:$N$2990,B75,'1JI2UE'!$L$6:$L$2990,"Bond Return")+SUMIFS(#REF!,#REF!,B75,#REF!,"Bond Return")+SUMIFS('1SI9BW'!$K$6:$K$2990,'1SI9BW'!$N$6:$N$2990,B75,'1SI9BW'!$L$6:$L$2990,"Bond Return")+SUMIFS(Suzuki!$K$6:$K$2990,Suzuki!$N$6:$N$2990,B75,Suzuki!$L$6:$L$2990,"Bond Return")+SUMIFS('1SK3DD'!$K$6:$K$2990,'1SK3DD'!$N$6:$N$2990,B75,'1SK3DD'!$L$6:$L$2990,"Bond Return")+SUMIFS('1SX5TQ'!$K$6:$K$2990,'1SX5TQ'!$N$6:$N$2990,B75,'1SX5TQ'!$L$6:$L$2990,"Bond Return")+SUMIFS('BMM465'!$K$6:$K$2990,'BMM465'!$N$6:$N$2990,B75,'BMM465'!$L$6:$L$2990,"Bond Return")+SUMIFS('1CF1ZO'!$K$6:$K$2990,'1CF1ZO'!$N$6:$N$2990,B75,'1CF1ZO'!$L$6:$L$2990,"Bond Return")+SUMIFS('1UK1BK'!$K$6:$K$2990,'1UK1BK'!$N$6:$N$2990,B75,'1UK1BK'!$L$6:$L$2990,"Bond Return"))))</f>
        <v>#REF!</v>
      </c>
      <c r="O75"/>
      <c r="AE75" s="221">
        <v>44880</v>
      </c>
      <c r="AF75" s="17">
        <v>683.58</v>
      </c>
      <c r="AG75" t="s">
        <v>264</v>
      </c>
      <c r="AH75" s="73" t="s">
        <v>939</v>
      </c>
      <c r="AI75"/>
      <c r="AJ75" s="124" t="s">
        <v>535</v>
      </c>
    </row>
    <row r="76" spans="1:36" ht="15" customHeight="1" x14ac:dyDescent="0.25">
      <c r="A76" s="31">
        <v>36</v>
      </c>
      <c r="B76" t="s">
        <v>420</v>
      </c>
      <c r="F76" s="10"/>
      <c r="I76" s="126"/>
      <c r="J76" s="10"/>
      <c r="K76" s="124"/>
      <c r="L76" s="124"/>
      <c r="M76" s="10"/>
      <c r="N76" s="138" t="e">
        <f>SUMIFS('CEI565'!$D$6:$D$2994,'CEI565'!$I$6:$I$2994,B76,'CEI565'!$F$6:$F$2994,"Bond Received")+SUMIFS('1SM3VL'!$D$6:$D$2994,'1SM3VL'!$I$6:$I$2994,B76,'1SM3VL'!$F$6:$F$2994,"Bond Received")+SUMIFS('1QF4SM'!$D$6:$D$2994,'1QF4SM'!$I$6:$I$2994,B76,'1QF4SM'!$F$6:$F$2994,"Bond Received")+SUMIFS('1UV5KI'!$D$6:$D$2994,'1UV5KI'!$I$6:$I$2994,B76,'1UV5KI'!$F$6:$F$2994,"Bond Received")+SUMIFS(#REF!,#REF!,B76,#REF!,"Bond Received")+SUMIFS('1UL9RY'!$D$6:$D$2994,'1UL9RY'!$I$6:$I$2994,B76,'1UL9RY'!$F$6:$F$2994,"Bond Received")+SUMIFS('1OZ7GT'!$D$6:$D$2994,'1OZ7GT'!$I$6:$I$2994,B76,'1OZ7GT'!$F$6:$F$2994,"Bond Received")+SUMIFS('1CN8DD'!$D$6:$D$2994,'1CN8DD'!$I$6:$I$2994,B76,'1CN8DD'!$F$6:$F$2994,"Bond Received")+SUMIFS('1UT9BR'!$D$6:$D$2994,'1UT9BR'!$I$6:$I$2994,B76,'1UT9BR'!$F$6:$F$2994,"Bond Received")+SUMIFS('1MK4UR'!$D$6:$D$2994,'1MK4UR'!$I$6:$I$2994,B76,'1MK4UR'!$F$6:$F$2994,"Bond Received")+SUMIFS(#REF!,#REF!,B76,#REF!,"Bond Received")+SUMIFS('1JI2UE'!$D$6:$D$2994,'1JI2UE'!$I$6:$I$2994,B76,'1JI2UE'!$F$6:$F$2994,"Bond Received")+SUMIFS(#REF!,#REF!,B76,#REF!,"Bond Received")+SUMIFS('1SI9BW'!$D$6:$D$2994,'1SI9BW'!$I$6:$I$2994,B76,'1SI9BW'!$F$6:$F$2994,"Bond Received")+SUMIFS(Suzuki!$D$6:$D$2994,Suzuki!$I$6:$I$2994,B76,Suzuki!$F$6:$F$2994,"Bond Received")+SUMIFS('1SK3DD'!$D$6:$D$2994,'1SK3DD'!$I$6:$I$2994,B76,'1SK3DD'!$F$6:$F$2994,"Bond Received")+SUMIFS('1SX5TQ'!$D$6:$D$2994,'1SX5TQ'!$I$6:$I$2994,B76,'1SX5TQ'!$F$6:$F$2994,"Bond Received")+SUMIFS('BMM465'!$D$6:$D$2994,'BMM465'!$I$6:$I$2994,B76,'BMM465'!$F$6:$F$2994,"Bond Received")+SUMIFS('1CF1ZO'!$D$6:$D$2994,'1CF1ZO'!$I$6:$I$2994,B76,'1CF1ZO'!$F$6:$F$2994,"Bond Received")+SUMIFS('1UK1BK'!$D$6:$D$2994,'1UK1BK'!$I$6:$I$2994,B76,'1UK1BK'!$F$6:$F$2994,"Bond Received")-(((SUMIFS('CEI565'!$K$6:$K$2990,'CEI565'!$N$6:$N$2990,B76,'CEI565'!$L$6:$L$2990,"Bond Return")+SUMIFS('1SM3VL'!$K$6:$K$2990,'1SM3VL'!$N$6:$N$2990,B76,'1SM3VL'!$L$6:$L$2990,"Bond Return")+SUMIFS('1QF4SM'!$K$6:$K$2990,'1QF4SM'!$N$6:$N$2990,B76,'1QF4SM'!$L$6:$L$2990,"Bond Return")+SUMIFS('1UV5KI'!$K$6:$K$2990,'1UV5KI'!$N$6:$N$2990,B76,'1UV5KI'!$L$6:$L$2990,"Bond Return")+SUMIFS(#REF!,#REF!,B76,#REF!,"Bond Return")+SUMIFS('1UL9RY'!$K$6:$K$2990,'1UL9RY'!$N$6:$N$2990,B76,'1UL9RY'!$L$6:$L$2990,"Bond Return")+SUMIFS('1OZ7GT'!$K$6:$K$2990,'1OZ7GT'!$N$6:$N$2990,B76,'1OZ7GT'!$L$6:$L$2990,"Bond Return")+SUMIFS('1CN8DD'!$K$6:$K$2990,'1CN8DD'!$N$6:$N$2990,B76,'1CN8DD'!$L$6:$L$2990,"Bond Return")+SUMIFS('1UT9BR'!$K$6:$K$2990,'1UT9BR'!$N$6:$N$2990,B76,'1UT9BR'!$L$6:$L$2990,"Bond Return")+SUMIFS('1MK4UR'!$K$6:$K$2990,'1MK4UR'!$N$6:$N$2990,B76,'1MK4UR'!$L$6:$L$2990,"Bond Return")+SUMIFS(#REF!,#REF!,B76,#REF!,"Bond Return")+SUMIFS('1JI2UE'!$K$6:$K$2990,'1JI2UE'!$N$6:$N$2990,B76,'1JI2UE'!$L$6:$L$2990,"Bond Return")+SUMIFS(#REF!,#REF!,B76,#REF!,"Bond Return")+SUMIFS('1SI9BW'!$K$6:$K$2990,'1SI9BW'!$N$6:$N$2990,B76,'1SI9BW'!$L$6:$L$2990,"Bond Return")+SUMIFS(Suzuki!$K$6:$K$2990,Suzuki!$N$6:$N$2990,B76,Suzuki!$L$6:$L$2990,"Bond Return")+SUMIFS('1SK3DD'!$K$6:$K$2990,'1SK3DD'!$N$6:$N$2990,B76,'1SK3DD'!$L$6:$L$2990,"Bond Return")+SUMIFS('1SX5TQ'!$K$6:$K$2990,'1SX5TQ'!$N$6:$N$2990,B76,'1SX5TQ'!$L$6:$L$2990,"Bond Return")+SUMIFS('BMM465'!$K$6:$K$2990,'BMM465'!$N$6:$N$2990,B76,'BMM465'!$L$6:$L$2990,"Bond Return")+SUMIFS('1CF1ZO'!$K$6:$K$2990,'1CF1ZO'!$N$6:$N$2990,B76,'1CF1ZO'!$L$6:$L$2990,"Bond Return")+SUMIFS('1UK1BK'!$K$6:$K$2990,'1UK1BK'!$N$6:$N$2990,B76,'1UK1BK'!$L$6:$L$2990,"Bond Return"))))</f>
        <v>#REF!</v>
      </c>
      <c r="O76"/>
      <c r="AE76" s="221">
        <v>44881</v>
      </c>
      <c r="AF76" s="17">
        <v>404.1</v>
      </c>
      <c r="AG76" t="s">
        <v>264</v>
      </c>
      <c r="AH76" s="217" t="s">
        <v>962</v>
      </c>
      <c r="AI76"/>
      <c r="AJ76" s="124" t="s">
        <v>505</v>
      </c>
    </row>
    <row r="77" spans="1:36" ht="15" customHeight="1" x14ac:dyDescent="0.25">
      <c r="A77" s="31">
        <v>37</v>
      </c>
      <c r="B77" t="s">
        <v>419</v>
      </c>
      <c r="F77" s="10"/>
      <c r="H77" s="15" t="s">
        <v>432</v>
      </c>
      <c r="I77" s="126"/>
      <c r="J77" s="10"/>
      <c r="K77" s="124"/>
      <c r="L77" s="124"/>
      <c r="M77" s="10"/>
      <c r="N77" s="164" t="e">
        <f>SUMIFS('CEI565'!$D$6:$D$2994,'CEI565'!$I$6:$I$2994,B77,'CEI565'!$F$6:$F$2994,"Bond Received")+SUMIFS('1SM3VL'!$D$6:$D$2994,'1SM3VL'!$I$6:$I$2994,B77,'1SM3VL'!$F$6:$F$2994,"Bond Received")+SUMIFS('1QF4SM'!$D$6:$D$2994,'1QF4SM'!$I$6:$I$2994,B77,'1QF4SM'!$F$6:$F$2994,"Bond Received")+SUMIFS('1UV5KI'!$D$6:$D$2994,'1UV5KI'!$I$6:$I$2994,B77,'1UV5KI'!$F$6:$F$2994,"Bond Received")+SUMIFS(#REF!,#REF!,B77,#REF!,"Bond Received")+SUMIFS('1UL9RY'!$D$6:$D$2994,'1UL9RY'!$I$6:$I$2994,B77,'1UL9RY'!$F$6:$F$2994,"Bond Received")+SUMIFS('1OZ7GT'!$D$6:$D$2994,'1OZ7GT'!$I$6:$I$2994,B77,'1OZ7GT'!$F$6:$F$2994,"Bond Received")+SUMIFS('1CN8DD'!$D$6:$D$2994,'1CN8DD'!$I$6:$I$2994,B77,'1CN8DD'!$F$6:$F$2994,"Bond Received")+SUMIFS('1UT9BR'!$D$6:$D$2994,'1UT9BR'!$I$6:$I$2994,B77,'1UT9BR'!$F$6:$F$2994,"Bond Received")+SUMIFS('1MK4UR'!$D$6:$D$2994,'1MK4UR'!$I$6:$I$2994,B77,'1MK4UR'!$F$6:$F$2994,"Bond Received")+SUMIFS(#REF!,#REF!,B77,#REF!,"Bond Received")+SUMIFS('1JI2UE'!$D$6:$D$2994,'1JI2UE'!$I$6:$I$2994,B77,'1JI2UE'!$F$6:$F$2994,"Bond Received")+SUMIFS(#REF!,#REF!,B77,#REF!,"Bond Received")+SUMIFS('1SI9BW'!$D$6:$D$2994,'1SI9BW'!$I$6:$I$2994,B77,'1SI9BW'!$F$6:$F$2994,"Bond Received")+SUMIFS(Suzuki!$D$6:$D$2994,Suzuki!$I$6:$I$2994,B77,Suzuki!$F$6:$F$2994,"Bond Received")+SUMIFS('1SK3DD'!$D$6:$D$2994,'1SK3DD'!$I$6:$I$2994,B77,'1SK3DD'!$F$6:$F$2994,"Bond Received")+SUMIFS('1SX5TQ'!$D$6:$D$2994,'1SX5TQ'!$I$6:$I$2994,B77,'1SX5TQ'!$F$6:$F$2994,"Bond Received")+SUMIFS('BMM465'!$D$6:$D$2994,'BMM465'!$I$6:$I$2994,B77,'BMM465'!$F$6:$F$2994,"Bond Received")+SUMIFS('1CF1ZO'!$D$6:$D$2994,'1CF1ZO'!$I$6:$I$2994,B77,'1CF1ZO'!$F$6:$F$2994,"Bond Received")+SUMIFS('1UK1BK'!$D$6:$D$2994,'1UK1BK'!$I$6:$I$2994,B77,'1UK1BK'!$F$6:$F$2994,"Bond Received")-(((SUMIFS('CEI565'!$K$6:$K$2990,'CEI565'!$N$6:$N$2990,B77,'CEI565'!$L$6:$L$2990,"Bond Return")+SUMIFS('1SM3VL'!$K$6:$K$2990,'1SM3VL'!$N$6:$N$2990,B77,'1SM3VL'!$L$6:$L$2990,"Bond Return")+SUMIFS('1QF4SM'!$K$6:$K$2990,'1QF4SM'!$N$6:$N$2990,B77,'1QF4SM'!$L$6:$L$2990,"Bond Return")+SUMIFS('1UV5KI'!$K$6:$K$2990,'1UV5KI'!$N$6:$N$2990,B77,'1UV5KI'!$L$6:$L$2990,"Bond Return")+SUMIFS(#REF!,#REF!,B77,#REF!,"Bond Return")+SUMIFS('1UL9RY'!$K$6:$K$2990,'1UL9RY'!$N$6:$N$2990,B77,'1UL9RY'!$L$6:$L$2990,"Bond Return")+SUMIFS('1OZ7GT'!$K$6:$K$2990,'1OZ7GT'!$N$6:$N$2990,B77,'1OZ7GT'!$L$6:$L$2990,"Bond Return")+SUMIFS('1CN8DD'!$K$6:$K$2990,'1CN8DD'!$N$6:$N$2990,B77,'1CN8DD'!$L$6:$L$2990,"Bond Return")+SUMIFS('1UT9BR'!$K$6:$K$2990,'1UT9BR'!$N$6:$N$2990,B77,'1UT9BR'!$L$6:$L$2990,"Bond Return")+SUMIFS('1MK4UR'!$K$6:$K$2990,'1MK4UR'!$N$6:$N$2990,B77,'1MK4UR'!$L$6:$L$2990,"Bond Return")+SUMIFS(#REF!,#REF!,B77,#REF!,"Bond Return")+SUMIFS('1JI2UE'!$K$6:$K$2990,'1JI2UE'!$N$6:$N$2990,B77,'1JI2UE'!$L$6:$L$2990,"Bond Return")+SUMIFS(#REF!,#REF!,B77,#REF!,"Bond Return")+SUMIFS('1SI9BW'!$K$6:$K$2990,'1SI9BW'!$N$6:$N$2990,B77,'1SI9BW'!$L$6:$L$2990,"Bond Return")+SUMIFS(Suzuki!$K$6:$K$2990,Suzuki!$N$6:$N$2990,B77,Suzuki!$L$6:$L$2990,"Bond Return")+SUMIFS('1SK3DD'!$K$6:$K$2990,'1SK3DD'!$N$6:$N$2990,B77,'1SK3DD'!$L$6:$L$2990,"Bond Return")+SUMIFS('1SX5TQ'!$K$6:$K$2990,'1SX5TQ'!$N$6:$N$2990,B77,'1SX5TQ'!$L$6:$L$2990,"Bond Return")+SUMIFS('BMM465'!$K$6:$K$2990,'BMM465'!$N$6:$N$2990,B77,'BMM465'!$L$6:$L$2990,"Bond Return")+SUMIFS('1CF1ZO'!$K$6:$K$2990,'1CF1ZO'!$N$6:$N$2990,B77,'1CF1ZO'!$L$6:$L$2990,"Bond Return")+SUMIFS('1UK1BK'!$K$6:$K$2990,'1UK1BK'!$N$6:$N$2990,B77,'1UK1BK'!$L$6:$L$2990,"Bond Return"))))</f>
        <v>#REF!</v>
      </c>
      <c r="O77"/>
      <c r="AE77" s="221">
        <v>44883</v>
      </c>
      <c r="AF77" s="17">
        <v>83.65</v>
      </c>
      <c r="AG77" t="s">
        <v>264</v>
      </c>
      <c r="AH77" s="217" t="s">
        <v>962</v>
      </c>
      <c r="AI77"/>
      <c r="AJ77" s="124" t="s">
        <v>196</v>
      </c>
    </row>
    <row r="78" spans="1:36" ht="15" customHeight="1" x14ac:dyDescent="0.25">
      <c r="A78" s="31">
        <v>38</v>
      </c>
      <c r="B78" t="s">
        <v>440</v>
      </c>
      <c r="F78" s="10"/>
      <c r="I78" s="126"/>
      <c r="J78" s="10"/>
      <c r="K78" s="124"/>
      <c r="L78" s="124"/>
      <c r="M78" s="10"/>
      <c r="N78" s="149" t="e">
        <f>SUMIFS('CEI565'!$D$6:$D$2994,'CEI565'!$I$6:$I$2994,B78,'CEI565'!$F$6:$F$2994,"Bond Received")+SUMIFS('1SM3VL'!$D$6:$D$2994,'1SM3VL'!$I$6:$I$2994,B78,'1SM3VL'!$F$6:$F$2994,"Bond Received")+SUMIFS('1QF4SM'!$D$6:$D$2994,'1QF4SM'!$I$6:$I$2994,B78,'1QF4SM'!$F$6:$F$2994,"Bond Received")+SUMIFS('1UV5KI'!$D$6:$D$2994,'1UV5KI'!$I$6:$I$2994,B78,'1UV5KI'!$F$6:$F$2994,"Bond Received")+SUMIFS(#REF!,#REF!,B78,#REF!,"Bond Received")+SUMIFS('1UL9RY'!$D$6:$D$2994,'1UL9RY'!$I$6:$I$2994,B78,'1UL9RY'!$F$6:$F$2994,"Bond Received")+SUMIFS('1OZ7GT'!$D$6:$D$2994,'1OZ7GT'!$I$6:$I$2994,B78,'1OZ7GT'!$F$6:$F$2994,"Bond Received")+SUMIFS('1CN8DD'!$D$6:$D$2994,'1CN8DD'!$I$6:$I$2994,B78,'1CN8DD'!$F$6:$F$2994,"Bond Received")+SUMIFS('1UT9BR'!$D$6:$D$2994,'1UT9BR'!$I$6:$I$2994,B78,'1UT9BR'!$F$6:$F$2994,"Bond Received")+SUMIFS('1MK4UR'!$D$6:$D$2994,'1MK4UR'!$I$6:$I$2994,B78,'1MK4UR'!$F$6:$F$2994,"Bond Received")+SUMIFS(#REF!,#REF!,B78,#REF!,"Bond Received")+SUMIFS('1JI2UE'!$D$6:$D$2994,'1JI2UE'!$I$6:$I$2994,B78,'1JI2UE'!$F$6:$F$2994,"Bond Received")+SUMIFS(#REF!,#REF!,B78,#REF!,"Bond Received")+SUMIFS('1SI9BW'!$D$6:$D$2994,'1SI9BW'!$I$6:$I$2994,B78,'1SI9BW'!$F$6:$F$2994,"Bond Received")+SUMIFS(Suzuki!$D$6:$D$2994,Suzuki!$I$6:$I$2994,B78,Suzuki!$F$6:$F$2994,"Bond Received")+SUMIFS('1SK3DD'!$D$6:$D$2994,'1SK3DD'!$I$6:$I$2994,B78,'1SK3DD'!$F$6:$F$2994,"Bond Received")+SUMIFS('1SX5TQ'!$D$6:$D$2994,'1SX5TQ'!$I$6:$I$2994,B78,'1SX5TQ'!$F$6:$F$2994,"Bond Received")+SUMIFS('BMM465'!$D$6:$D$2994,'BMM465'!$I$6:$I$2994,B78,'BMM465'!$F$6:$F$2994,"Bond Received")+SUMIFS('1CF1ZO'!$D$6:$D$2994,'1CF1ZO'!$I$6:$I$2994,B78,'1CF1ZO'!$F$6:$F$2994,"Bond Received")+SUMIFS('1UK1BK'!$D$6:$D$2994,'1UK1BK'!$I$6:$I$2994,B78,'1UK1BK'!$F$6:$F$2994,"Bond Received")-(((SUMIFS('CEI565'!$K$6:$K$2990,'CEI565'!$N$6:$N$2990,B78,'CEI565'!$L$6:$L$2990,"Bond Return")+SUMIFS('1SM3VL'!$K$6:$K$2990,'1SM3VL'!$N$6:$N$2990,B78,'1SM3VL'!$L$6:$L$2990,"Bond Return")+SUMIFS('1QF4SM'!$K$6:$K$2990,'1QF4SM'!$N$6:$N$2990,B78,'1QF4SM'!$L$6:$L$2990,"Bond Return")+SUMIFS('1UV5KI'!$K$6:$K$2990,'1UV5KI'!$N$6:$N$2990,B78,'1UV5KI'!$L$6:$L$2990,"Bond Return")+SUMIFS(#REF!,#REF!,B78,#REF!,"Bond Return")+SUMIFS('1UL9RY'!$K$6:$K$2990,'1UL9RY'!$N$6:$N$2990,B78,'1UL9RY'!$L$6:$L$2990,"Bond Return")+SUMIFS('1OZ7GT'!$K$6:$K$2990,'1OZ7GT'!$N$6:$N$2990,B78,'1OZ7GT'!$L$6:$L$2990,"Bond Return")+SUMIFS('1CN8DD'!$K$6:$K$2990,'1CN8DD'!$N$6:$N$2990,B78,'1CN8DD'!$L$6:$L$2990,"Bond Return")+SUMIFS('1UT9BR'!$K$6:$K$2990,'1UT9BR'!$N$6:$N$2990,B78,'1UT9BR'!$L$6:$L$2990,"Bond Return")+SUMIFS('1MK4UR'!$K$6:$K$2990,'1MK4UR'!$N$6:$N$2990,B78,'1MK4UR'!$L$6:$L$2990,"Bond Return")+SUMIFS(#REF!,#REF!,B78,#REF!,"Bond Return")+SUMIFS('1JI2UE'!$K$6:$K$2990,'1JI2UE'!$N$6:$N$2990,B78,'1JI2UE'!$L$6:$L$2990,"Bond Return")+SUMIFS(#REF!,#REF!,B78,#REF!,"Bond Return")+SUMIFS('1SI9BW'!$K$6:$K$2990,'1SI9BW'!$N$6:$N$2990,B78,'1SI9BW'!$L$6:$L$2990,"Bond Return")+SUMIFS(Suzuki!$K$6:$K$2990,Suzuki!$N$6:$N$2990,B78,Suzuki!$L$6:$L$2990,"Bond Return")+SUMIFS('1SK3DD'!$K$6:$K$2990,'1SK3DD'!$N$6:$N$2990,B78,'1SK3DD'!$L$6:$L$2990,"Bond Return")+SUMIFS('1SX5TQ'!$K$6:$K$2990,'1SX5TQ'!$N$6:$N$2990,B78,'1SX5TQ'!$L$6:$L$2990,"Bond Return")+SUMIFS('BMM465'!$K$6:$K$2990,'BMM465'!$N$6:$N$2990,B78,'BMM465'!$L$6:$L$2990,"Bond Return")+SUMIFS('1CF1ZO'!$K$6:$K$2990,'1CF1ZO'!$N$6:$N$2990,B78,'1CF1ZO'!$L$6:$L$2990,"Bond Return")+SUMIFS('1UK1BK'!$K$6:$K$2990,'1UK1BK'!$N$6:$N$2990,B78,'1UK1BK'!$L$6:$L$2990,"Bond Return"))))</f>
        <v>#REF!</v>
      </c>
      <c r="O78"/>
      <c r="AE78" s="221">
        <v>44890</v>
      </c>
      <c r="AF78" s="17">
        <v>1124.96</v>
      </c>
      <c r="AG78" t="s">
        <v>264</v>
      </c>
      <c r="AH78" s="73" t="s">
        <v>939</v>
      </c>
      <c r="AI78"/>
      <c r="AJ78" s="124" t="s">
        <v>959</v>
      </c>
    </row>
    <row r="79" spans="1:36" ht="15" customHeight="1" x14ac:dyDescent="0.25">
      <c r="A79" s="10">
        <v>39</v>
      </c>
      <c r="B79" t="s">
        <v>446</v>
      </c>
      <c r="N79" s="149" t="e">
        <f>SUMIFS('CEI565'!$D$6:$D$2994,'CEI565'!$I$6:$I$2994,B79,'CEI565'!$F$6:$F$2994,"Bond Received")+SUMIFS('1SM3VL'!$D$6:$D$2994,'1SM3VL'!$I$6:$I$2994,B79,'1SM3VL'!$F$6:$F$2994,"Bond Received")+SUMIFS('1QF4SM'!$D$6:$D$2994,'1QF4SM'!$I$6:$I$2994,B79,'1QF4SM'!$F$6:$F$2994,"Bond Received")+SUMIFS('1UV5KI'!$D$6:$D$2994,'1UV5KI'!$I$6:$I$2994,B79,'1UV5KI'!$F$6:$F$2994,"Bond Received")+SUMIFS(#REF!,#REF!,B79,#REF!,"Bond Received")+SUMIFS('1UL9RY'!$D$6:$D$2994,'1UL9RY'!$I$6:$I$2994,B79,'1UL9RY'!$F$6:$F$2994,"Bond Received")+SUMIFS('1OZ7GT'!$D$6:$D$2994,'1OZ7GT'!$I$6:$I$2994,B79,'1OZ7GT'!$F$6:$F$2994,"Bond Received")+SUMIFS('1CN8DD'!$D$6:$D$2994,'1CN8DD'!$I$6:$I$2994,B79,'1CN8DD'!$F$6:$F$2994,"Bond Received")+SUMIFS('1UT9BR'!$D$6:$D$2994,'1UT9BR'!$I$6:$I$2994,B79,'1UT9BR'!$F$6:$F$2994,"Bond Received")+SUMIFS('1MK4UR'!$D$6:$D$2994,'1MK4UR'!$I$6:$I$2994,B79,'1MK4UR'!$F$6:$F$2994,"Bond Received")+SUMIFS(#REF!,#REF!,B79,#REF!,"Bond Received")+SUMIFS('1JI2UE'!$D$6:$D$2994,'1JI2UE'!$I$6:$I$2994,B79,'1JI2UE'!$F$6:$F$2994,"Bond Received")+SUMIFS(#REF!,#REF!,B79,#REF!,"Bond Received")+SUMIFS('1SI9BW'!$D$6:$D$2994,'1SI9BW'!$I$6:$I$2994,B79,'1SI9BW'!$F$6:$F$2994,"Bond Received")+SUMIFS(Suzuki!$D$6:$D$2994,Suzuki!$I$6:$I$2994,B79,Suzuki!$F$6:$F$2994,"Bond Received")+SUMIFS('1SK3DD'!$D$6:$D$2994,'1SK3DD'!$I$6:$I$2994,B79,'1SK3DD'!$F$6:$F$2994,"Bond Received")+SUMIFS('1SX5TQ'!$D$6:$D$2994,'1SX5TQ'!$I$6:$I$2994,B79,'1SX5TQ'!$F$6:$F$2994,"Bond Received")+SUMIFS('BMM465'!$D$6:$D$2994,'BMM465'!$I$6:$I$2994,B79,'BMM465'!$F$6:$F$2994,"Bond Received")+SUMIFS('1CF1ZO'!$D$6:$D$2994,'1CF1ZO'!$I$6:$I$2994,B79,'1CF1ZO'!$F$6:$F$2994,"Bond Received")+SUMIFS('1UK1BK'!$D$6:$D$2994,'1UK1BK'!$I$6:$I$2994,B79,'1UK1BK'!$F$6:$F$2994,"Bond Received")-(((SUMIFS('CEI565'!$K$6:$K$2990,'CEI565'!$N$6:$N$2990,B79,'CEI565'!$L$6:$L$2990,"Bond Return")+SUMIFS('1SM3VL'!$K$6:$K$2990,'1SM3VL'!$N$6:$N$2990,B79,'1SM3VL'!$L$6:$L$2990,"Bond Return")+SUMIFS('1QF4SM'!$K$6:$K$2990,'1QF4SM'!$N$6:$N$2990,B79,'1QF4SM'!$L$6:$L$2990,"Bond Return")+SUMIFS('1UV5KI'!$K$6:$K$2990,'1UV5KI'!$N$6:$N$2990,B79,'1UV5KI'!$L$6:$L$2990,"Bond Return")+SUMIFS(#REF!,#REF!,B79,#REF!,"Bond Return")+SUMIFS('1UL9RY'!$K$6:$K$2990,'1UL9RY'!$N$6:$N$2990,B79,'1UL9RY'!$L$6:$L$2990,"Bond Return")+SUMIFS('1OZ7GT'!$K$6:$K$2990,'1OZ7GT'!$N$6:$N$2990,B79,'1OZ7GT'!$L$6:$L$2990,"Bond Return")+SUMIFS('1CN8DD'!$K$6:$K$2990,'1CN8DD'!$N$6:$N$2990,B79,'1CN8DD'!$L$6:$L$2990,"Bond Return")+SUMIFS('1UT9BR'!$K$6:$K$2990,'1UT9BR'!$N$6:$N$2990,B79,'1UT9BR'!$L$6:$L$2990,"Bond Return")+SUMIFS('1MK4UR'!$K$6:$K$2990,'1MK4UR'!$N$6:$N$2990,B79,'1MK4UR'!$L$6:$L$2990,"Bond Return")+SUMIFS(#REF!,#REF!,B79,#REF!,"Bond Return")+SUMIFS('1JI2UE'!$K$6:$K$2990,'1JI2UE'!$N$6:$N$2990,B79,'1JI2UE'!$L$6:$L$2990,"Bond Return")+SUMIFS(#REF!,#REF!,B79,#REF!,"Bond Return")+SUMIFS('1SI9BW'!$K$6:$K$2990,'1SI9BW'!$N$6:$N$2990,B79,'1SI9BW'!$L$6:$L$2990,"Bond Return")+SUMIFS(Suzuki!$K$6:$K$2990,Suzuki!$N$6:$N$2990,B79,Suzuki!$L$6:$L$2990,"Bond Return")+SUMIFS('1SK3DD'!$K$6:$K$2990,'1SK3DD'!$N$6:$N$2990,B79,'1SK3DD'!$L$6:$L$2990,"Bond Return")+SUMIFS('1SX5TQ'!$K$6:$K$2990,'1SX5TQ'!$N$6:$N$2990,B79,'1SX5TQ'!$L$6:$L$2990,"Bond Return")+SUMIFS('BMM465'!$K$6:$K$2990,'BMM465'!$N$6:$N$2990,B79,'BMM465'!$L$6:$L$2990,"Bond Return")+SUMIFS('1CF1ZO'!$K$6:$K$2990,'1CF1ZO'!$N$6:$N$2990,B79,'1CF1ZO'!$L$6:$L$2990,"Bond Return")+SUMIFS('1UK1BK'!$K$6:$K$2990,'1UK1BK'!$N$6:$N$2990,B79,'1UK1BK'!$L$6:$L$2990,"Bond Return"))))</f>
        <v>#REF!</v>
      </c>
      <c r="AE79" s="221">
        <v>44894</v>
      </c>
      <c r="AF79" s="17">
        <v>149</v>
      </c>
      <c r="AG79" t="s">
        <v>264</v>
      </c>
      <c r="AH79" s="73" t="s">
        <v>939</v>
      </c>
      <c r="AI79"/>
    </row>
    <row r="80" spans="1:36" ht="15" customHeight="1" x14ac:dyDescent="0.25">
      <c r="A80" s="10">
        <v>40</v>
      </c>
      <c r="B80" t="s">
        <v>449</v>
      </c>
      <c r="N80" s="149" t="e">
        <f>SUMIFS('CEI565'!$D$6:$D$2994,'CEI565'!$I$6:$I$2994,B80,'CEI565'!$F$6:$F$2994,"Bond Received")+SUMIFS('1SM3VL'!$D$6:$D$2994,'1SM3VL'!$I$6:$I$2994,B80,'1SM3VL'!$F$6:$F$2994,"Bond Received")+SUMIFS('1QF4SM'!$D$6:$D$2994,'1QF4SM'!$I$6:$I$2994,B80,'1QF4SM'!$F$6:$F$2994,"Bond Received")+SUMIFS('1UV5KI'!$D$6:$D$2994,'1UV5KI'!$I$6:$I$2994,B80,'1UV5KI'!$F$6:$F$2994,"Bond Received")+SUMIFS(#REF!,#REF!,B80,#REF!,"Bond Received")+SUMIFS('1UL9RY'!$D$6:$D$2994,'1UL9RY'!$I$6:$I$2994,B80,'1UL9RY'!$F$6:$F$2994,"Bond Received")+SUMIFS('1OZ7GT'!$D$6:$D$2994,'1OZ7GT'!$I$6:$I$2994,B80,'1OZ7GT'!$F$6:$F$2994,"Bond Received")+SUMIFS('1CN8DD'!$D$6:$D$2994,'1CN8DD'!$I$6:$I$2994,B80,'1CN8DD'!$F$6:$F$2994,"Bond Received")+SUMIFS('1UT9BR'!$D$6:$D$2994,'1UT9BR'!$I$6:$I$2994,B80,'1UT9BR'!$F$6:$F$2994,"Bond Received")+SUMIFS('1MK4UR'!$D$6:$D$2994,'1MK4UR'!$I$6:$I$2994,B80,'1MK4UR'!$F$6:$F$2994,"Bond Received")+SUMIFS(#REF!,#REF!,B80,#REF!,"Bond Received")+SUMIFS('1JI2UE'!$D$6:$D$2994,'1JI2UE'!$I$6:$I$2994,B80,'1JI2UE'!$F$6:$F$2994,"Bond Received")+SUMIFS(#REF!,#REF!,B80,#REF!,"Bond Received")+SUMIFS('1SI9BW'!$D$6:$D$2994,'1SI9BW'!$I$6:$I$2994,B80,'1SI9BW'!$F$6:$F$2994,"Bond Received")+SUMIFS(Suzuki!$D$6:$D$2994,Suzuki!$I$6:$I$2994,B80,Suzuki!$F$6:$F$2994,"Bond Received")+SUMIFS('1SK3DD'!$D$6:$D$2994,'1SK3DD'!$I$6:$I$2994,B80,'1SK3DD'!$F$6:$F$2994,"Bond Received")+SUMIFS('1SX5TQ'!$D$6:$D$2994,'1SX5TQ'!$I$6:$I$2994,B80,'1SX5TQ'!$F$6:$F$2994,"Bond Received")+SUMIFS('BMM465'!$D$6:$D$2994,'BMM465'!$I$6:$I$2994,B80,'BMM465'!$F$6:$F$2994,"Bond Received")+SUMIFS('1CF1ZO'!$D$6:$D$2994,'1CF1ZO'!$I$6:$I$2994,B80,'1CF1ZO'!$F$6:$F$2994,"Bond Received")+SUMIFS('1UK1BK'!$D$6:$D$2994,'1UK1BK'!$I$6:$I$2994,B80,'1UK1BK'!$F$6:$F$2994,"Bond Received")-(((SUMIFS('CEI565'!$K$6:$K$2990,'CEI565'!$N$6:$N$2990,B80,'CEI565'!$L$6:$L$2990,"Bond Return")+SUMIFS('1SM3VL'!$K$6:$K$2990,'1SM3VL'!$N$6:$N$2990,B80,'1SM3VL'!$L$6:$L$2990,"Bond Return")+SUMIFS('1QF4SM'!$K$6:$K$2990,'1QF4SM'!$N$6:$N$2990,B80,'1QF4SM'!$L$6:$L$2990,"Bond Return")+SUMIFS('1UV5KI'!$K$6:$K$2990,'1UV5KI'!$N$6:$N$2990,B80,'1UV5KI'!$L$6:$L$2990,"Bond Return")+SUMIFS(#REF!,#REF!,B80,#REF!,"Bond Return")+SUMIFS('1UL9RY'!$K$6:$K$2990,'1UL9RY'!$N$6:$N$2990,B80,'1UL9RY'!$L$6:$L$2990,"Bond Return")+SUMIFS('1OZ7GT'!$K$6:$K$2990,'1OZ7GT'!$N$6:$N$2990,B80,'1OZ7GT'!$L$6:$L$2990,"Bond Return")+SUMIFS('1CN8DD'!$K$6:$K$2990,'1CN8DD'!$N$6:$N$2990,B80,'1CN8DD'!$L$6:$L$2990,"Bond Return")+SUMIFS('1UT9BR'!$K$6:$K$2990,'1UT9BR'!$N$6:$N$2990,B80,'1UT9BR'!$L$6:$L$2990,"Bond Return")+SUMIFS('1MK4UR'!$K$6:$K$2990,'1MK4UR'!$N$6:$N$2990,B80,'1MK4UR'!$L$6:$L$2990,"Bond Return")+SUMIFS(#REF!,#REF!,B80,#REF!,"Bond Return")+SUMIFS('1JI2UE'!$K$6:$K$2990,'1JI2UE'!$N$6:$N$2990,B80,'1JI2UE'!$L$6:$L$2990,"Bond Return")+SUMIFS(#REF!,#REF!,B80,#REF!,"Bond Return")+SUMIFS('1SI9BW'!$K$6:$K$2990,'1SI9BW'!$N$6:$N$2990,B80,'1SI9BW'!$L$6:$L$2990,"Bond Return")+SUMIFS(Suzuki!$K$6:$K$2990,Suzuki!$N$6:$N$2990,B80,Suzuki!$L$6:$L$2990,"Bond Return")+SUMIFS('1SK3DD'!$K$6:$K$2990,'1SK3DD'!$N$6:$N$2990,B80,'1SK3DD'!$L$6:$L$2990,"Bond Return")+SUMIFS('1SX5TQ'!$K$6:$K$2990,'1SX5TQ'!$N$6:$N$2990,B80,'1SX5TQ'!$L$6:$L$2990,"Bond Return")+SUMIFS('BMM465'!$K$6:$K$2990,'BMM465'!$N$6:$N$2990,B80,'BMM465'!$L$6:$L$2990,"Bond Return")+SUMIFS('1CF1ZO'!$K$6:$K$2990,'1CF1ZO'!$N$6:$N$2990,B80,'1CF1ZO'!$L$6:$L$2990,"Bond Return")+SUMIFS('1UK1BK'!$K$6:$K$2990,'1UK1BK'!$N$6:$N$2990,B80,'1UK1BK'!$L$6:$L$2990,"Bond Return"))))</f>
        <v>#REF!</v>
      </c>
      <c r="AE80" s="221">
        <v>44895</v>
      </c>
      <c r="AF80" s="17">
        <v>295.23</v>
      </c>
      <c r="AG80" t="s">
        <v>264</v>
      </c>
      <c r="AH80" s="73" t="s">
        <v>939</v>
      </c>
      <c r="AI80"/>
      <c r="AJ80" s="124" t="s">
        <v>960</v>
      </c>
    </row>
    <row r="81" spans="1:36" ht="15" customHeight="1" x14ac:dyDescent="0.25">
      <c r="A81" s="10">
        <v>41</v>
      </c>
      <c r="B81" t="s">
        <v>461</v>
      </c>
      <c r="N81" s="149" t="e">
        <f>SUMIFS('CEI565'!$D$6:$D$2994,'CEI565'!$I$6:$I$2994,B81,'CEI565'!$F$6:$F$2994,"Bond Received")+SUMIFS('1SM3VL'!$D$6:$D$2994,'1SM3VL'!$I$6:$I$2994,B81,'1SM3VL'!$F$6:$F$2994,"Bond Received")+SUMIFS('1QF4SM'!$D$6:$D$2994,'1QF4SM'!$I$6:$I$2994,B81,'1QF4SM'!$F$6:$F$2994,"Bond Received")+SUMIFS('1UV5KI'!$D$6:$D$2994,'1UV5KI'!$I$6:$I$2994,B81,'1UV5KI'!$F$6:$F$2994,"Bond Received")+SUMIFS(#REF!,#REF!,B81,#REF!,"Bond Received")+SUMIFS('1UL9RY'!$D$6:$D$2994,'1UL9RY'!$I$6:$I$2994,B81,'1UL9RY'!$F$6:$F$2994,"Bond Received")+SUMIFS('1OZ7GT'!$D$6:$D$2994,'1OZ7GT'!$I$6:$I$2994,B81,'1OZ7GT'!$F$6:$F$2994,"Bond Received")+SUMIFS('1CN8DD'!$D$6:$D$2994,'1CN8DD'!$I$6:$I$2994,B81,'1CN8DD'!$F$6:$F$2994,"Bond Received")+SUMIFS('1UT9BR'!$D$6:$D$2994,'1UT9BR'!$I$6:$I$2994,B81,'1UT9BR'!$F$6:$F$2994,"Bond Received")+SUMIFS('1MK4UR'!$D$6:$D$2994,'1MK4UR'!$I$6:$I$2994,B81,'1MK4UR'!$F$6:$F$2994,"Bond Received")+SUMIFS(#REF!,#REF!,B81,#REF!,"Bond Received")+SUMIFS('1JI2UE'!$D$6:$D$2994,'1JI2UE'!$I$6:$I$2994,B81,'1JI2UE'!$F$6:$F$2994,"Bond Received")+SUMIFS(#REF!,#REF!,B81,#REF!,"Bond Received")+SUMIFS('1SI9BW'!$D$6:$D$2994,'1SI9BW'!$I$6:$I$2994,B81,'1SI9BW'!$F$6:$F$2994,"Bond Received")+SUMIFS(Suzuki!$D$6:$D$2994,Suzuki!$I$6:$I$2994,B81,Suzuki!$F$6:$F$2994,"Bond Received")+SUMIFS('1SK3DD'!$D$6:$D$2994,'1SK3DD'!$I$6:$I$2994,B81,'1SK3DD'!$F$6:$F$2994,"Bond Received")+SUMIFS('1SX5TQ'!$D$6:$D$2994,'1SX5TQ'!$I$6:$I$2994,B81,'1SX5TQ'!$F$6:$F$2994,"Bond Received")+SUMIFS('BMM465'!$D$6:$D$2994,'BMM465'!$I$6:$I$2994,B81,'BMM465'!$F$6:$F$2994,"Bond Received")+SUMIFS('1CF1ZO'!$D$6:$D$2994,'1CF1ZO'!$I$6:$I$2994,B81,'1CF1ZO'!$F$6:$F$2994,"Bond Received")+SUMIFS('1UK1BK'!$D$6:$D$2994,'1UK1BK'!$I$6:$I$2994,B81,'1UK1BK'!$F$6:$F$2994,"Bond Received")-(((SUMIFS('CEI565'!$K$6:$K$2990,'CEI565'!$N$6:$N$2990,B81,'CEI565'!$L$6:$L$2990,"Bond Return")+SUMIFS('1SM3VL'!$K$6:$K$2990,'1SM3VL'!$N$6:$N$2990,B81,'1SM3VL'!$L$6:$L$2990,"Bond Return")+SUMIFS('1QF4SM'!$K$6:$K$2990,'1QF4SM'!$N$6:$N$2990,B81,'1QF4SM'!$L$6:$L$2990,"Bond Return")+SUMIFS('1UV5KI'!$K$6:$K$2990,'1UV5KI'!$N$6:$N$2990,B81,'1UV5KI'!$L$6:$L$2990,"Bond Return")+SUMIFS(#REF!,#REF!,B81,#REF!,"Bond Return")+SUMIFS('1UL9RY'!$K$6:$K$2990,'1UL9RY'!$N$6:$N$2990,B81,'1UL9RY'!$L$6:$L$2990,"Bond Return")+SUMIFS('1OZ7GT'!$K$6:$K$2990,'1OZ7GT'!$N$6:$N$2990,B81,'1OZ7GT'!$L$6:$L$2990,"Bond Return")+SUMIFS('1CN8DD'!$K$6:$K$2990,'1CN8DD'!$N$6:$N$2990,B81,'1CN8DD'!$L$6:$L$2990,"Bond Return")+SUMIFS('1UT9BR'!$K$6:$K$2990,'1UT9BR'!$N$6:$N$2990,B81,'1UT9BR'!$L$6:$L$2990,"Bond Return")+SUMIFS('1MK4UR'!$K$6:$K$2990,'1MK4UR'!$N$6:$N$2990,B81,'1MK4UR'!$L$6:$L$2990,"Bond Return")+SUMIFS(#REF!,#REF!,B81,#REF!,"Bond Return")+SUMIFS('1JI2UE'!$K$6:$K$2990,'1JI2UE'!$N$6:$N$2990,B81,'1JI2UE'!$L$6:$L$2990,"Bond Return")+SUMIFS(#REF!,#REF!,B81,#REF!,"Bond Return")+SUMIFS('1SI9BW'!$K$6:$K$2990,'1SI9BW'!$N$6:$N$2990,B81,'1SI9BW'!$L$6:$L$2990,"Bond Return")+SUMIFS(Suzuki!$K$6:$K$2990,Suzuki!$N$6:$N$2990,B81,Suzuki!$L$6:$L$2990,"Bond Return")+SUMIFS('1SK3DD'!$K$6:$K$2990,'1SK3DD'!$N$6:$N$2990,B81,'1SK3DD'!$L$6:$L$2990,"Bond Return")+SUMIFS('1SX5TQ'!$K$6:$K$2990,'1SX5TQ'!$N$6:$N$2990,B81,'1SX5TQ'!$L$6:$L$2990,"Bond Return")+SUMIFS('BMM465'!$K$6:$K$2990,'BMM465'!$N$6:$N$2990,B81,'BMM465'!$L$6:$L$2990,"Bond Return")+SUMIFS('1CF1ZO'!$K$6:$K$2990,'1CF1ZO'!$N$6:$N$2990,B81,'1CF1ZO'!$L$6:$L$2990,"Bond Return")+SUMIFS('1UK1BK'!$K$6:$K$2990,'1UK1BK'!$N$6:$N$2990,B81,'1UK1BK'!$L$6:$L$2990,"Bond Return"))))</f>
        <v>#REF!</v>
      </c>
      <c r="AE81" s="221">
        <v>44895</v>
      </c>
      <c r="AF81" s="17">
        <v>70</v>
      </c>
      <c r="AG81" t="s">
        <v>264</v>
      </c>
      <c r="AH81" s="73" t="s">
        <v>939</v>
      </c>
      <c r="AI81"/>
      <c r="AJ81" s="124" t="s">
        <v>897</v>
      </c>
    </row>
    <row r="82" spans="1:36" ht="15" customHeight="1" x14ac:dyDescent="0.25">
      <c r="A82" s="10">
        <v>42</v>
      </c>
      <c r="B82" t="s">
        <v>467</v>
      </c>
      <c r="N82" s="149" t="e">
        <f>SUMIFS('CEI565'!$D$6:$D$2994,'CEI565'!$I$6:$I$2994,B82,'CEI565'!$F$6:$F$2994,"Bond Received")+SUMIFS('1SM3VL'!$D$6:$D$2994,'1SM3VL'!$I$6:$I$2994,B82,'1SM3VL'!$F$6:$F$2994,"Bond Received")+SUMIFS('1QF4SM'!$D$6:$D$2994,'1QF4SM'!$I$6:$I$2994,B82,'1QF4SM'!$F$6:$F$2994,"Bond Received")+SUMIFS('1UV5KI'!$D$6:$D$2994,'1UV5KI'!$I$6:$I$2994,B82,'1UV5KI'!$F$6:$F$2994,"Bond Received")+SUMIFS(#REF!,#REF!,B82,#REF!,"Bond Received")+SUMIFS('1UL9RY'!$D$6:$D$2994,'1UL9RY'!$I$6:$I$2994,B82,'1UL9RY'!$F$6:$F$2994,"Bond Received")+SUMIFS('1OZ7GT'!$D$6:$D$2994,'1OZ7GT'!$I$6:$I$2994,B82,'1OZ7GT'!$F$6:$F$2994,"Bond Received")+SUMIFS('1CN8DD'!$D$6:$D$2994,'1CN8DD'!$I$6:$I$2994,B82,'1CN8DD'!$F$6:$F$2994,"Bond Received")+SUMIFS('1UT9BR'!$D$6:$D$2994,'1UT9BR'!$I$6:$I$2994,B82,'1UT9BR'!$F$6:$F$2994,"Bond Received")+SUMIFS('1MK4UR'!$D$6:$D$2994,'1MK4UR'!$I$6:$I$2994,B82,'1MK4UR'!$F$6:$F$2994,"Bond Received")+SUMIFS(#REF!,#REF!,B82,#REF!,"Bond Received")+SUMIFS('1JI2UE'!$D$6:$D$2994,'1JI2UE'!$I$6:$I$2994,B82,'1JI2UE'!$F$6:$F$2994,"Bond Received")+SUMIFS(#REF!,#REF!,B82,#REF!,"Bond Received")+SUMIFS('1SI9BW'!$D$6:$D$2994,'1SI9BW'!$I$6:$I$2994,B82,'1SI9BW'!$F$6:$F$2994,"Bond Received")+SUMIFS(Suzuki!$D$6:$D$2994,Suzuki!$I$6:$I$2994,B82,Suzuki!$F$6:$F$2994,"Bond Received")+SUMIFS('1SK3DD'!$D$6:$D$2994,'1SK3DD'!$I$6:$I$2994,B82,'1SK3DD'!$F$6:$F$2994,"Bond Received")+SUMIFS('1SX5TQ'!$D$6:$D$2994,'1SX5TQ'!$I$6:$I$2994,B82,'1SX5TQ'!$F$6:$F$2994,"Bond Received")+SUMIFS('BMM465'!$D$6:$D$2994,'BMM465'!$I$6:$I$2994,B82,'BMM465'!$F$6:$F$2994,"Bond Received")+SUMIFS('1CF1ZO'!$D$6:$D$2994,'1CF1ZO'!$I$6:$I$2994,B82,'1CF1ZO'!$F$6:$F$2994,"Bond Received")+SUMIFS('1UK1BK'!$D$6:$D$2994,'1UK1BK'!$I$6:$I$2994,B82,'1UK1BK'!$F$6:$F$2994,"Bond Received")-(((SUMIFS('CEI565'!$K$6:$K$2990,'CEI565'!$N$6:$N$2990,B82,'CEI565'!$L$6:$L$2990,"Bond Return")+SUMIFS('1SM3VL'!$K$6:$K$2990,'1SM3VL'!$N$6:$N$2990,B82,'1SM3VL'!$L$6:$L$2990,"Bond Return")+SUMIFS('1QF4SM'!$K$6:$K$2990,'1QF4SM'!$N$6:$N$2990,B82,'1QF4SM'!$L$6:$L$2990,"Bond Return")+SUMIFS('1UV5KI'!$K$6:$K$2990,'1UV5KI'!$N$6:$N$2990,B82,'1UV5KI'!$L$6:$L$2990,"Bond Return")+SUMIFS(#REF!,#REF!,B82,#REF!,"Bond Return")+SUMIFS('1UL9RY'!$K$6:$K$2990,'1UL9RY'!$N$6:$N$2990,B82,'1UL9RY'!$L$6:$L$2990,"Bond Return")+SUMIFS('1OZ7GT'!$K$6:$K$2990,'1OZ7GT'!$N$6:$N$2990,B82,'1OZ7GT'!$L$6:$L$2990,"Bond Return")+SUMIFS('1CN8DD'!$K$6:$K$2990,'1CN8DD'!$N$6:$N$2990,B82,'1CN8DD'!$L$6:$L$2990,"Bond Return")+SUMIFS('1UT9BR'!$K$6:$K$2990,'1UT9BR'!$N$6:$N$2990,B82,'1UT9BR'!$L$6:$L$2990,"Bond Return")+SUMIFS('1MK4UR'!$K$6:$K$2990,'1MK4UR'!$N$6:$N$2990,B82,'1MK4UR'!$L$6:$L$2990,"Bond Return")+SUMIFS(#REF!,#REF!,B82,#REF!,"Bond Return")+SUMIFS('1JI2UE'!$K$6:$K$2990,'1JI2UE'!$N$6:$N$2990,B82,'1JI2UE'!$L$6:$L$2990,"Bond Return")+SUMIFS(#REF!,#REF!,B82,#REF!,"Bond Return")+SUMIFS('1SI9BW'!$K$6:$K$2990,'1SI9BW'!$N$6:$N$2990,B82,'1SI9BW'!$L$6:$L$2990,"Bond Return")+SUMIFS(Suzuki!$K$6:$K$2990,Suzuki!$N$6:$N$2990,B82,Suzuki!$L$6:$L$2990,"Bond Return")+SUMIFS('1SK3DD'!$K$6:$K$2990,'1SK3DD'!$N$6:$N$2990,B82,'1SK3DD'!$L$6:$L$2990,"Bond Return")+SUMIFS('1SX5TQ'!$K$6:$K$2990,'1SX5TQ'!$N$6:$N$2990,B82,'1SX5TQ'!$L$6:$L$2990,"Bond Return")+SUMIFS('BMM465'!$K$6:$K$2990,'BMM465'!$N$6:$N$2990,B82,'BMM465'!$L$6:$L$2990,"Bond Return")+SUMIFS('1CF1ZO'!$K$6:$K$2990,'1CF1ZO'!$N$6:$N$2990,B82,'1CF1ZO'!$L$6:$L$2990,"Bond Return")+SUMIFS('1UK1BK'!$K$6:$K$2990,'1UK1BK'!$N$6:$N$2990,B82,'1UK1BK'!$L$6:$L$2990,"Bond Return"))))</f>
        <v>#REF!</v>
      </c>
      <c r="AE82" s="221">
        <v>44897</v>
      </c>
      <c r="AF82" s="17">
        <v>51.07</v>
      </c>
      <c r="AG82" t="s">
        <v>264</v>
      </c>
      <c r="AH82" s="73" t="s">
        <v>939</v>
      </c>
      <c r="AI82"/>
      <c r="AJ82" s="124" t="s">
        <v>196</v>
      </c>
    </row>
    <row r="83" spans="1:36" ht="15" customHeight="1" x14ac:dyDescent="0.25">
      <c r="A83" s="10">
        <v>43</v>
      </c>
      <c r="B83" t="s">
        <v>422</v>
      </c>
      <c r="C83" t="s">
        <v>473</v>
      </c>
      <c r="H83" s="15" t="s">
        <v>474</v>
      </c>
      <c r="N83" s="149" t="e">
        <f>SUMIFS('CEI565'!$D$6:$D$2994,'CEI565'!$I$6:$I$2994,B83,'CEI565'!$F$6:$F$2994,"Bond Received")+SUMIFS('1SM3VL'!$D$6:$D$2994,'1SM3VL'!$I$6:$I$2994,B83,'1SM3VL'!$F$6:$F$2994,"Bond Received")+SUMIFS('1QF4SM'!$D$6:$D$2994,'1QF4SM'!$I$6:$I$2994,B83,'1QF4SM'!$F$6:$F$2994,"Bond Received")+SUMIFS('1UV5KI'!$D$6:$D$2994,'1UV5KI'!$I$6:$I$2994,B83,'1UV5KI'!$F$6:$F$2994,"Bond Received")+SUMIFS(#REF!,#REF!,B83,#REF!,"Bond Received")+SUMIFS('1UL9RY'!$D$6:$D$2994,'1UL9RY'!$I$6:$I$2994,B83,'1UL9RY'!$F$6:$F$2994,"Bond Received")+SUMIFS('1OZ7GT'!$D$6:$D$2994,'1OZ7GT'!$I$6:$I$2994,B83,'1OZ7GT'!$F$6:$F$2994,"Bond Received")+SUMIFS('1CN8DD'!$D$6:$D$2994,'1CN8DD'!$I$6:$I$2994,B83,'1CN8DD'!$F$6:$F$2994,"Bond Received")+SUMIFS('1UT9BR'!$D$6:$D$2994,'1UT9BR'!$I$6:$I$2994,B83,'1UT9BR'!$F$6:$F$2994,"Bond Received")+SUMIFS('1MK4UR'!$D$6:$D$2994,'1MK4UR'!$I$6:$I$2994,B83,'1MK4UR'!$F$6:$F$2994,"Bond Received")+SUMIFS(#REF!,#REF!,B83,#REF!,"Bond Received")+SUMIFS('1JI2UE'!$D$6:$D$2994,'1JI2UE'!$I$6:$I$2994,B83,'1JI2UE'!$F$6:$F$2994,"Bond Received")+SUMIFS(#REF!,#REF!,B83,#REF!,"Bond Received")+SUMIFS('1SI9BW'!$D$6:$D$2994,'1SI9BW'!$I$6:$I$2994,B83,'1SI9BW'!$F$6:$F$2994,"Bond Received")+SUMIFS(Suzuki!$D$6:$D$2994,Suzuki!$I$6:$I$2994,B83,Suzuki!$F$6:$F$2994,"Bond Received")+SUMIFS('1SK3DD'!$D$6:$D$2994,'1SK3DD'!$I$6:$I$2994,B83,'1SK3DD'!$F$6:$F$2994,"Bond Received")+SUMIFS('1SX5TQ'!$D$6:$D$2994,'1SX5TQ'!$I$6:$I$2994,B83,'1SX5TQ'!$F$6:$F$2994,"Bond Received")+SUMIFS('BMM465'!$D$6:$D$2994,'BMM465'!$I$6:$I$2994,B83,'BMM465'!$F$6:$F$2994,"Bond Received")+SUMIFS('1CF1ZO'!$D$6:$D$2994,'1CF1ZO'!$I$6:$I$2994,B83,'1CF1ZO'!$F$6:$F$2994,"Bond Received")+SUMIFS('1UK1BK'!$D$6:$D$2994,'1UK1BK'!$I$6:$I$2994,B83,'1UK1BK'!$F$6:$F$2994,"Bond Received")-(((SUMIFS('CEI565'!$K$6:$K$2990,'CEI565'!$N$6:$N$2990,B83,'CEI565'!$L$6:$L$2990,"Bond Return")+SUMIFS('1SM3VL'!$K$6:$K$2990,'1SM3VL'!$N$6:$N$2990,B83,'1SM3VL'!$L$6:$L$2990,"Bond Return")+SUMIFS('1QF4SM'!$K$6:$K$2990,'1QF4SM'!$N$6:$N$2990,B83,'1QF4SM'!$L$6:$L$2990,"Bond Return")+SUMIFS('1UV5KI'!$K$6:$K$2990,'1UV5KI'!$N$6:$N$2990,B83,'1UV5KI'!$L$6:$L$2990,"Bond Return")+SUMIFS(#REF!,#REF!,B83,#REF!,"Bond Return")+SUMIFS('1UL9RY'!$K$6:$K$2990,'1UL9RY'!$N$6:$N$2990,B83,'1UL9RY'!$L$6:$L$2990,"Bond Return")+SUMIFS('1OZ7GT'!$K$6:$K$2990,'1OZ7GT'!$N$6:$N$2990,B83,'1OZ7GT'!$L$6:$L$2990,"Bond Return")+SUMIFS('1CN8DD'!$K$6:$K$2990,'1CN8DD'!$N$6:$N$2990,B83,'1CN8DD'!$L$6:$L$2990,"Bond Return")+SUMIFS('1UT9BR'!$K$6:$K$2990,'1UT9BR'!$N$6:$N$2990,B83,'1UT9BR'!$L$6:$L$2990,"Bond Return")+SUMIFS('1MK4UR'!$K$6:$K$2990,'1MK4UR'!$N$6:$N$2990,B83,'1MK4UR'!$L$6:$L$2990,"Bond Return")+SUMIFS(#REF!,#REF!,B83,#REF!,"Bond Return")+SUMIFS('1JI2UE'!$K$6:$K$2990,'1JI2UE'!$N$6:$N$2990,B83,'1JI2UE'!$L$6:$L$2990,"Bond Return")+SUMIFS(#REF!,#REF!,B83,#REF!,"Bond Return")+SUMIFS('1SI9BW'!$K$6:$K$2990,'1SI9BW'!$N$6:$N$2990,B83,'1SI9BW'!$L$6:$L$2990,"Bond Return")+SUMIFS(Suzuki!$K$6:$K$2990,Suzuki!$N$6:$N$2990,B83,Suzuki!$L$6:$L$2990,"Bond Return")+SUMIFS('1SK3DD'!$K$6:$K$2990,'1SK3DD'!$N$6:$N$2990,B83,'1SK3DD'!$L$6:$L$2990,"Bond Return")+SUMIFS('1SX5TQ'!$K$6:$K$2990,'1SX5TQ'!$N$6:$N$2990,B83,'1SX5TQ'!$L$6:$L$2990,"Bond Return")+SUMIFS('BMM465'!$K$6:$K$2990,'BMM465'!$N$6:$N$2990,B83,'BMM465'!$L$6:$L$2990,"Bond Return")+SUMIFS('1CF1ZO'!$K$6:$K$2990,'1CF1ZO'!$N$6:$N$2990,B83,'1CF1ZO'!$L$6:$L$2990,"Bond Return")+SUMIFS('1UK1BK'!$K$6:$K$2990,'1UK1BK'!$N$6:$N$2990,B83,'1UK1BK'!$L$6:$L$2990,"Bond Return"))))</f>
        <v>#REF!</v>
      </c>
      <c r="AE83" s="221">
        <v>44902</v>
      </c>
      <c r="AF83" s="17">
        <v>220</v>
      </c>
      <c r="AG83" t="s">
        <v>264</v>
      </c>
      <c r="AH83" s="73" t="s">
        <v>939</v>
      </c>
      <c r="AI83"/>
      <c r="AJ83" s="124" t="s">
        <v>48</v>
      </c>
    </row>
    <row r="84" spans="1:36" ht="15" customHeight="1" x14ac:dyDescent="0.25">
      <c r="A84" s="10">
        <v>44</v>
      </c>
      <c r="B84" t="s">
        <v>475</v>
      </c>
      <c r="N84" s="149" t="e">
        <f>SUMIFS('CEI565'!$D$6:$D$2994,'CEI565'!$I$6:$I$2994,B84,'CEI565'!$F$6:$F$2994,"Bond Received")+SUMIFS('1SM3VL'!$D$6:$D$2994,'1SM3VL'!$I$6:$I$2994,B84,'1SM3VL'!$F$6:$F$2994,"Bond Received")+SUMIFS('1QF4SM'!$D$6:$D$2994,'1QF4SM'!$I$6:$I$2994,B84,'1QF4SM'!$F$6:$F$2994,"Bond Received")+SUMIFS('1UV5KI'!$D$6:$D$2994,'1UV5KI'!$I$6:$I$2994,B84,'1UV5KI'!$F$6:$F$2994,"Bond Received")+SUMIFS(#REF!,#REF!,B84,#REF!,"Bond Received")+SUMIFS('1UL9RY'!$D$6:$D$2994,'1UL9RY'!$I$6:$I$2994,B84,'1UL9RY'!$F$6:$F$2994,"Bond Received")+SUMIFS('1OZ7GT'!$D$6:$D$2994,'1OZ7GT'!$I$6:$I$2994,B84,'1OZ7GT'!$F$6:$F$2994,"Bond Received")+SUMIFS('1CN8DD'!$D$6:$D$2994,'1CN8DD'!$I$6:$I$2994,B84,'1CN8DD'!$F$6:$F$2994,"Bond Received")+SUMIFS('1UT9BR'!$D$6:$D$2994,'1UT9BR'!$I$6:$I$2994,B84,'1UT9BR'!$F$6:$F$2994,"Bond Received")+SUMIFS('1MK4UR'!$D$6:$D$2994,'1MK4UR'!$I$6:$I$2994,B84,'1MK4UR'!$F$6:$F$2994,"Bond Received")+SUMIFS(#REF!,#REF!,B84,#REF!,"Bond Received")+SUMIFS('1JI2UE'!$D$6:$D$2994,'1JI2UE'!$I$6:$I$2994,B84,'1JI2UE'!$F$6:$F$2994,"Bond Received")+SUMIFS(#REF!,#REF!,B84,#REF!,"Bond Received")+SUMIFS('1SI9BW'!$D$6:$D$2994,'1SI9BW'!$I$6:$I$2994,B84,'1SI9BW'!$F$6:$F$2994,"Bond Received")+SUMIFS(Suzuki!$D$6:$D$2994,Suzuki!$I$6:$I$2994,B84,Suzuki!$F$6:$F$2994,"Bond Received")+SUMIFS('1SK3DD'!$D$6:$D$2994,'1SK3DD'!$I$6:$I$2994,B84,'1SK3DD'!$F$6:$F$2994,"Bond Received")+SUMIFS('1SX5TQ'!$D$6:$D$2994,'1SX5TQ'!$I$6:$I$2994,B84,'1SX5TQ'!$F$6:$F$2994,"Bond Received")+SUMIFS('BMM465'!$D$6:$D$2994,'BMM465'!$I$6:$I$2994,B84,'BMM465'!$F$6:$F$2994,"Bond Received")+SUMIFS('1CF1ZO'!$D$6:$D$2994,'1CF1ZO'!$I$6:$I$2994,B84,'1CF1ZO'!$F$6:$F$2994,"Bond Received")+SUMIFS('1UK1BK'!$D$6:$D$2994,'1UK1BK'!$I$6:$I$2994,B84,'1UK1BK'!$F$6:$F$2994,"Bond Received")-(((SUMIFS('CEI565'!$K$6:$K$2990,'CEI565'!$N$6:$N$2990,B84,'CEI565'!$L$6:$L$2990,"Bond Return")+SUMIFS('1SM3VL'!$K$6:$K$2990,'1SM3VL'!$N$6:$N$2990,B84,'1SM3VL'!$L$6:$L$2990,"Bond Return")+SUMIFS('1QF4SM'!$K$6:$K$2990,'1QF4SM'!$N$6:$N$2990,B84,'1QF4SM'!$L$6:$L$2990,"Bond Return")+SUMIFS('1UV5KI'!$K$6:$K$2990,'1UV5KI'!$N$6:$N$2990,B84,'1UV5KI'!$L$6:$L$2990,"Bond Return")+SUMIFS(#REF!,#REF!,B84,#REF!,"Bond Return")+SUMIFS('1UL9RY'!$K$6:$K$2990,'1UL9RY'!$N$6:$N$2990,B84,'1UL9RY'!$L$6:$L$2990,"Bond Return")+SUMIFS('1OZ7GT'!$K$6:$K$2990,'1OZ7GT'!$N$6:$N$2990,B84,'1OZ7GT'!$L$6:$L$2990,"Bond Return")+SUMIFS('1CN8DD'!$K$6:$K$2990,'1CN8DD'!$N$6:$N$2990,B84,'1CN8DD'!$L$6:$L$2990,"Bond Return")+SUMIFS('1UT9BR'!$K$6:$K$2990,'1UT9BR'!$N$6:$N$2990,B84,'1UT9BR'!$L$6:$L$2990,"Bond Return")+SUMIFS('1MK4UR'!$K$6:$K$2990,'1MK4UR'!$N$6:$N$2990,B84,'1MK4UR'!$L$6:$L$2990,"Bond Return")+SUMIFS(#REF!,#REF!,B84,#REF!,"Bond Return")+SUMIFS('1JI2UE'!$K$6:$K$2990,'1JI2UE'!$N$6:$N$2990,B84,'1JI2UE'!$L$6:$L$2990,"Bond Return")+SUMIFS(#REF!,#REF!,B84,#REF!,"Bond Return")+SUMIFS('1SI9BW'!$K$6:$K$2990,'1SI9BW'!$N$6:$N$2990,B84,'1SI9BW'!$L$6:$L$2990,"Bond Return")+SUMIFS(Suzuki!$K$6:$K$2990,Suzuki!$N$6:$N$2990,B84,Suzuki!$L$6:$L$2990,"Bond Return")+SUMIFS('1SK3DD'!$K$6:$K$2990,'1SK3DD'!$N$6:$N$2990,B84,'1SK3DD'!$L$6:$L$2990,"Bond Return")+SUMIFS('1SX5TQ'!$K$6:$K$2990,'1SX5TQ'!$N$6:$N$2990,B84,'1SX5TQ'!$L$6:$L$2990,"Bond Return")+SUMIFS('BMM465'!$K$6:$K$2990,'BMM465'!$N$6:$N$2990,B84,'BMM465'!$L$6:$L$2990,"Bond Return")+SUMIFS('1CF1ZO'!$K$6:$K$2990,'1CF1ZO'!$N$6:$N$2990,B84,'1CF1ZO'!$L$6:$L$2990,"Bond Return")+SUMIFS('1UK1BK'!$K$6:$K$2990,'1UK1BK'!$N$6:$N$2990,B84,'1UK1BK'!$L$6:$L$2990,"Bond Return"))))</f>
        <v>#REF!</v>
      </c>
      <c r="AD84" t="s">
        <v>534</v>
      </c>
      <c r="AE84" s="221">
        <v>44908</v>
      </c>
      <c r="AF84" s="17">
        <v>641.58000000000004</v>
      </c>
      <c r="AG84" t="s">
        <v>264</v>
      </c>
      <c r="AH84" s="73" t="s">
        <v>939</v>
      </c>
      <c r="AI84"/>
      <c r="AJ84" s="124" t="s">
        <v>535</v>
      </c>
    </row>
    <row r="85" spans="1:36" ht="15" customHeight="1" x14ac:dyDescent="0.25">
      <c r="B85" t="s">
        <v>472</v>
      </c>
      <c r="AE85" s="221">
        <v>44909</v>
      </c>
      <c r="AF85" s="17">
        <v>85</v>
      </c>
      <c r="AG85" t="s">
        <v>264</v>
      </c>
      <c r="AH85" s="73" t="s">
        <v>939</v>
      </c>
      <c r="AI85"/>
      <c r="AJ85" s="124" t="s">
        <v>98</v>
      </c>
    </row>
    <row r="86" spans="1:36" ht="15" customHeight="1" x14ac:dyDescent="0.25">
      <c r="A86" s="10">
        <v>45</v>
      </c>
      <c r="B86" t="s">
        <v>464</v>
      </c>
      <c r="N86" s="149" t="e">
        <f>SUMIFS('CEI565'!$D$6:$D$2994,'CEI565'!$I$6:$I$2994,B86,'CEI565'!$F$6:$F$2994,"Bond Received")+SUMIFS('1SM3VL'!$D$6:$D$2994,'1SM3VL'!$I$6:$I$2994,B86,'1SM3VL'!$F$6:$F$2994,"Bond Received")+SUMIFS('1QF4SM'!$D$6:$D$2994,'1QF4SM'!$I$6:$I$2994,B86,'1QF4SM'!$F$6:$F$2994,"Bond Received")+SUMIFS('1UV5KI'!$D$6:$D$2994,'1UV5KI'!$I$6:$I$2994,B86,'1UV5KI'!$F$6:$F$2994,"Bond Received")+SUMIFS(#REF!,#REF!,B86,#REF!,"Bond Received")+SUMIFS('1UL9RY'!$D$6:$D$2994,'1UL9RY'!$I$6:$I$2994,B86,'1UL9RY'!$F$6:$F$2994,"Bond Received")+SUMIFS('1OZ7GT'!$D$6:$D$2994,'1OZ7GT'!$I$6:$I$2994,B86,'1OZ7GT'!$F$6:$F$2994,"Bond Received")+SUMIFS('1CN8DD'!$D$6:$D$2994,'1CN8DD'!$I$6:$I$2994,B86,'1CN8DD'!$F$6:$F$2994,"Bond Received")+SUMIFS('1UT9BR'!$D$6:$D$2994,'1UT9BR'!$I$6:$I$2994,B86,'1UT9BR'!$F$6:$F$2994,"Bond Received")+SUMIFS('1MK4UR'!$D$6:$D$2994,'1MK4UR'!$I$6:$I$2994,B86,'1MK4UR'!$F$6:$F$2994,"Bond Received")+SUMIFS(#REF!,#REF!,B86,#REF!,"Bond Received")+SUMIFS('1JI2UE'!$D$6:$D$2994,'1JI2UE'!$I$6:$I$2994,B86,'1JI2UE'!$F$6:$F$2994,"Bond Received")+SUMIFS(#REF!,#REF!,B86,#REF!,"Bond Received")+SUMIFS('1SI9BW'!$D$6:$D$2994,'1SI9BW'!$I$6:$I$2994,B86,'1SI9BW'!$F$6:$F$2994,"Bond Received")+SUMIFS(Suzuki!$D$6:$D$2994,Suzuki!$I$6:$I$2994,B86,Suzuki!$F$6:$F$2994,"Bond Received")+SUMIFS('1SK3DD'!$D$6:$D$2994,'1SK3DD'!$I$6:$I$2994,B86,'1SK3DD'!$F$6:$F$2994,"Bond Received")+SUMIFS('1SX5TQ'!$D$6:$D$2994,'1SX5TQ'!$I$6:$I$2994,B86,'1SX5TQ'!$F$6:$F$2994,"Bond Received")+SUMIFS('BMM465'!$D$6:$D$2994,'BMM465'!$I$6:$I$2994,B86,'BMM465'!$F$6:$F$2994,"Bond Received")+SUMIFS('1CF1ZO'!$D$6:$D$2994,'1CF1ZO'!$I$6:$I$2994,B86,'1CF1ZO'!$F$6:$F$2994,"Bond Received")+SUMIFS('1UK1BK'!$D$6:$D$2994,'1UK1BK'!$I$6:$I$2994,B86,'1UK1BK'!$F$6:$F$2994,"Bond Received")-(((SUMIFS('CEI565'!$K$6:$K$2990,'CEI565'!$N$6:$N$2990,B86,'CEI565'!$L$6:$L$2990,"Bond Return")+SUMIFS('1SM3VL'!$K$6:$K$2990,'1SM3VL'!$N$6:$N$2990,B86,'1SM3VL'!$L$6:$L$2990,"Bond Return")+SUMIFS('1QF4SM'!$K$6:$K$2990,'1QF4SM'!$N$6:$N$2990,B86,'1QF4SM'!$L$6:$L$2990,"Bond Return")+SUMIFS('1UV5KI'!$K$6:$K$2990,'1UV5KI'!$N$6:$N$2990,B86,'1UV5KI'!$L$6:$L$2990,"Bond Return")+SUMIFS(#REF!,#REF!,B86,#REF!,"Bond Return")+SUMIFS('1UL9RY'!$K$6:$K$2990,'1UL9RY'!$N$6:$N$2990,B86,'1UL9RY'!$L$6:$L$2990,"Bond Return")+SUMIFS('1OZ7GT'!$K$6:$K$2990,'1OZ7GT'!$N$6:$N$2990,B86,'1OZ7GT'!$L$6:$L$2990,"Bond Return")+SUMIFS('1CN8DD'!$K$6:$K$2990,'1CN8DD'!$N$6:$N$2990,B86,'1CN8DD'!$L$6:$L$2990,"Bond Return")+SUMIFS('1UT9BR'!$K$6:$K$2990,'1UT9BR'!$N$6:$N$2990,B86,'1UT9BR'!$L$6:$L$2990,"Bond Return")+SUMIFS('1MK4UR'!$K$6:$K$2990,'1MK4UR'!$N$6:$N$2990,B86,'1MK4UR'!$L$6:$L$2990,"Bond Return")+SUMIFS(#REF!,#REF!,B86,#REF!,"Bond Return")+SUMIFS('1JI2UE'!$K$6:$K$2990,'1JI2UE'!$N$6:$N$2990,B86,'1JI2UE'!$L$6:$L$2990,"Bond Return")+SUMIFS(#REF!,#REF!,B86,#REF!,"Bond Return")+SUMIFS('1SI9BW'!$K$6:$K$2990,'1SI9BW'!$N$6:$N$2990,B86,'1SI9BW'!$L$6:$L$2990,"Bond Return")+SUMIFS(Suzuki!$K$6:$K$2990,Suzuki!$N$6:$N$2990,B86,Suzuki!$L$6:$L$2990,"Bond Return")+SUMIFS('1SK3DD'!$K$6:$K$2990,'1SK3DD'!$N$6:$N$2990,B86,'1SK3DD'!$L$6:$L$2990,"Bond Return")+SUMIFS('1SX5TQ'!$K$6:$K$2990,'1SX5TQ'!$N$6:$N$2990,B86,'1SX5TQ'!$L$6:$L$2990,"Bond Return")+SUMIFS('BMM465'!$K$6:$K$2990,'BMM465'!$N$6:$N$2990,B86,'BMM465'!$L$6:$L$2990,"Bond Return")+SUMIFS('1CF1ZO'!$K$6:$K$2990,'1CF1ZO'!$N$6:$N$2990,B86,'1CF1ZO'!$L$6:$L$2990,"Bond Return")+SUMIFS('1UK1BK'!$K$6:$K$2990,'1UK1BK'!$N$6:$N$2990,B86,'1UK1BK'!$L$6:$L$2990,"Bond Return"))))</f>
        <v>#REF!</v>
      </c>
      <c r="AE86" s="221">
        <v>44917</v>
      </c>
      <c r="AF86" s="17">
        <v>5.05</v>
      </c>
      <c r="AG86" t="s">
        <v>264</v>
      </c>
      <c r="AH86" s="217" t="s">
        <v>962</v>
      </c>
      <c r="AI86"/>
      <c r="AJ86" s="124" t="s">
        <v>949</v>
      </c>
    </row>
    <row r="87" spans="1:36" ht="15" customHeight="1" x14ac:dyDescent="0.25">
      <c r="A87" s="10">
        <v>46</v>
      </c>
      <c r="B87" t="s">
        <v>478</v>
      </c>
      <c r="N87" s="149" t="e">
        <f>SUMIFS('CEI565'!$D$6:$D$2994,'CEI565'!$I$6:$I$2994,B87,'CEI565'!$F$6:$F$2994,"Bond Received")+SUMIFS('1SM3VL'!$D$6:$D$2994,'1SM3VL'!$I$6:$I$2994,B87,'1SM3VL'!$F$6:$F$2994,"Bond Received")+SUMIFS('1QF4SM'!$D$6:$D$2994,'1QF4SM'!$I$6:$I$2994,B87,'1QF4SM'!$F$6:$F$2994,"Bond Received")+SUMIFS('1UV5KI'!$D$6:$D$2994,'1UV5KI'!$I$6:$I$2994,B87,'1UV5KI'!$F$6:$F$2994,"Bond Received")+SUMIFS(#REF!,#REF!,B87,#REF!,"Bond Received")+SUMIFS('1UL9RY'!$D$6:$D$2994,'1UL9RY'!$I$6:$I$2994,B87,'1UL9RY'!$F$6:$F$2994,"Bond Received")+SUMIFS('1OZ7GT'!$D$6:$D$2994,'1OZ7GT'!$I$6:$I$2994,B87,'1OZ7GT'!$F$6:$F$2994,"Bond Received")+SUMIFS('1CN8DD'!$D$6:$D$2994,'1CN8DD'!$I$6:$I$2994,B87,'1CN8DD'!$F$6:$F$2994,"Bond Received")+SUMIFS('1UT9BR'!$D$6:$D$2994,'1UT9BR'!$I$6:$I$2994,B87,'1UT9BR'!$F$6:$F$2994,"Bond Received")+SUMIFS('1MK4UR'!$D$6:$D$2994,'1MK4UR'!$I$6:$I$2994,B87,'1MK4UR'!$F$6:$F$2994,"Bond Received")+SUMIFS(#REF!,#REF!,B87,#REF!,"Bond Received")+SUMIFS('1JI2UE'!$D$6:$D$2994,'1JI2UE'!$I$6:$I$2994,B87,'1JI2UE'!$F$6:$F$2994,"Bond Received")+SUMIFS(#REF!,#REF!,B87,#REF!,"Bond Received")+SUMIFS('1SI9BW'!$D$6:$D$2994,'1SI9BW'!$I$6:$I$2994,B87,'1SI9BW'!$F$6:$F$2994,"Bond Received")+SUMIFS(Suzuki!$D$6:$D$2994,Suzuki!$I$6:$I$2994,B87,Suzuki!$F$6:$F$2994,"Bond Received")+SUMIFS('1SK3DD'!$D$6:$D$2994,'1SK3DD'!$I$6:$I$2994,B87,'1SK3DD'!$F$6:$F$2994,"Bond Received")+SUMIFS('1SX5TQ'!$D$6:$D$2994,'1SX5TQ'!$I$6:$I$2994,B87,'1SX5TQ'!$F$6:$F$2994,"Bond Received")+SUMIFS('BMM465'!$D$6:$D$2994,'BMM465'!$I$6:$I$2994,B87,'BMM465'!$F$6:$F$2994,"Bond Received")+SUMIFS('1CF1ZO'!$D$6:$D$2994,'1CF1ZO'!$I$6:$I$2994,B87,'1CF1ZO'!$F$6:$F$2994,"Bond Received")+SUMIFS('1UK1BK'!$D$6:$D$2994,'1UK1BK'!$I$6:$I$2994,B87,'1UK1BK'!$F$6:$F$2994,"Bond Received")-(((SUMIFS('CEI565'!$K$6:$K$2990,'CEI565'!$N$6:$N$2990,B87,'CEI565'!$L$6:$L$2990,"Bond Return")+SUMIFS('1SM3VL'!$K$6:$K$2990,'1SM3VL'!$N$6:$N$2990,B87,'1SM3VL'!$L$6:$L$2990,"Bond Return")+SUMIFS('1QF4SM'!$K$6:$K$2990,'1QF4SM'!$N$6:$N$2990,B87,'1QF4SM'!$L$6:$L$2990,"Bond Return")+SUMIFS('1UV5KI'!$K$6:$K$2990,'1UV5KI'!$N$6:$N$2990,B87,'1UV5KI'!$L$6:$L$2990,"Bond Return")+SUMIFS(#REF!,#REF!,B87,#REF!,"Bond Return")+SUMIFS('1UL9RY'!$K$6:$K$2990,'1UL9RY'!$N$6:$N$2990,B87,'1UL9RY'!$L$6:$L$2990,"Bond Return")+SUMIFS('1OZ7GT'!$K$6:$K$2990,'1OZ7GT'!$N$6:$N$2990,B87,'1OZ7GT'!$L$6:$L$2990,"Bond Return")+SUMIFS('1CN8DD'!$K$6:$K$2990,'1CN8DD'!$N$6:$N$2990,B87,'1CN8DD'!$L$6:$L$2990,"Bond Return")+SUMIFS('1UT9BR'!$K$6:$K$2990,'1UT9BR'!$N$6:$N$2990,B87,'1UT9BR'!$L$6:$L$2990,"Bond Return")+SUMIFS('1MK4UR'!$K$6:$K$2990,'1MK4UR'!$N$6:$N$2990,B87,'1MK4UR'!$L$6:$L$2990,"Bond Return")+SUMIFS(#REF!,#REF!,B87,#REF!,"Bond Return")+SUMIFS('1JI2UE'!$K$6:$K$2990,'1JI2UE'!$N$6:$N$2990,B87,'1JI2UE'!$L$6:$L$2990,"Bond Return")+SUMIFS(#REF!,#REF!,B87,#REF!,"Bond Return")+SUMIFS('1SI9BW'!$K$6:$K$2990,'1SI9BW'!$N$6:$N$2990,B87,'1SI9BW'!$L$6:$L$2990,"Bond Return")+SUMIFS(Suzuki!$K$6:$K$2990,Suzuki!$N$6:$N$2990,B87,Suzuki!$L$6:$L$2990,"Bond Return")+SUMIFS('1SK3DD'!$K$6:$K$2990,'1SK3DD'!$N$6:$N$2990,B87,'1SK3DD'!$L$6:$L$2990,"Bond Return")+SUMIFS('1SX5TQ'!$K$6:$K$2990,'1SX5TQ'!$N$6:$N$2990,B87,'1SX5TQ'!$L$6:$L$2990,"Bond Return")+SUMIFS('BMM465'!$K$6:$K$2990,'BMM465'!$N$6:$N$2990,B87,'BMM465'!$L$6:$L$2990,"Bond Return")+SUMIFS('1CF1ZO'!$K$6:$K$2990,'1CF1ZO'!$N$6:$N$2990,B87,'1CF1ZO'!$L$6:$L$2990,"Bond Return")+SUMIFS('1UK1BK'!$K$6:$K$2990,'1UK1BK'!$N$6:$N$2990,B87,'1UK1BK'!$L$6:$L$2990,"Bond Return"))))</f>
        <v>#REF!</v>
      </c>
      <c r="AE87" s="221">
        <v>44918</v>
      </c>
      <c r="AF87" s="17">
        <v>3.5</v>
      </c>
      <c r="AG87" t="s">
        <v>264</v>
      </c>
      <c r="AH87" s="217" t="s">
        <v>962</v>
      </c>
      <c r="AI87"/>
      <c r="AJ87" s="124" t="s">
        <v>961</v>
      </c>
    </row>
    <row r="88" spans="1:36" ht="15" customHeight="1" x14ac:dyDescent="0.25">
      <c r="A88" s="10">
        <v>47</v>
      </c>
      <c r="B88" t="s">
        <v>455</v>
      </c>
      <c r="N88" s="149" t="e">
        <f>SUMIFS('CEI565'!$D$6:$D$2994,'CEI565'!$I$6:$I$2994,B88,'CEI565'!$F$6:$F$2994,"Bond Received")+SUMIFS('1SM3VL'!$D$6:$D$2994,'1SM3VL'!$I$6:$I$2994,B88,'1SM3VL'!$F$6:$F$2994,"Bond Received")+SUMIFS('1QF4SM'!$D$6:$D$2994,'1QF4SM'!$I$6:$I$2994,B88,'1QF4SM'!$F$6:$F$2994,"Bond Received")+SUMIFS('1UV5KI'!$D$6:$D$2994,'1UV5KI'!$I$6:$I$2994,B88,'1UV5KI'!$F$6:$F$2994,"Bond Received")+SUMIFS(#REF!,#REF!,B88,#REF!,"Bond Received")+SUMIFS('1UL9RY'!$D$6:$D$2994,'1UL9RY'!$I$6:$I$2994,B88,'1UL9RY'!$F$6:$F$2994,"Bond Received")+SUMIFS('1OZ7GT'!$D$6:$D$2994,'1OZ7GT'!$I$6:$I$2994,B88,'1OZ7GT'!$F$6:$F$2994,"Bond Received")+SUMIFS('1CN8DD'!$D$6:$D$2994,'1CN8DD'!$I$6:$I$2994,B88,'1CN8DD'!$F$6:$F$2994,"Bond Received")+SUMIFS('1UT9BR'!$D$6:$D$2994,'1UT9BR'!$I$6:$I$2994,B88,'1UT9BR'!$F$6:$F$2994,"Bond Received")+SUMIFS('1MK4UR'!$D$6:$D$2994,'1MK4UR'!$I$6:$I$2994,B88,'1MK4UR'!$F$6:$F$2994,"Bond Received")+SUMIFS(#REF!,#REF!,B88,#REF!,"Bond Received")+SUMIFS('1JI2UE'!$D$6:$D$2994,'1JI2UE'!$I$6:$I$2994,B88,'1JI2UE'!$F$6:$F$2994,"Bond Received")+SUMIFS(#REF!,#REF!,B88,#REF!,"Bond Received")+SUMIFS('1SI9BW'!$D$6:$D$2994,'1SI9BW'!$I$6:$I$2994,B88,'1SI9BW'!$F$6:$F$2994,"Bond Received")+SUMIFS(Suzuki!$D$6:$D$2994,Suzuki!$I$6:$I$2994,B88,Suzuki!$F$6:$F$2994,"Bond Received")+SUMIFS('1SK3DD'!$D$6:$D$2994,'1SK3DD'!$I$6:$I$2994,B88,'1SK3DD'!$F$6:$F$2994,"Bond Received")+SUMIFS('1SX5TQ'!$D$6:$D$2994,'1SX5TQ'!$I$6:$I$2994,B88,'1SX5TQ'!$F$6:$F$2994,"Bond Received")+SUMIFS('BMM465'!$D$6:$D$2994,'BMM465'!$I$6:$I$2994,B88,'BMM465'!$F$6:$F$2994,"Bond Received")+SUMIFS('1CF1ZO'!$D$6:$D$2994,'1CF1ZO'!$I$6:$I$2994,B88,'1CF1ZO'!$F$6:$F$2994,"Bond Received")+SUMIFS('1UK1BK'!$D$6:$D$2994,'1UK1BK'!$I$6:$I$2994,B88,'1UK1BK'!$F$6:$F$2994,"Bond Received")-(((SUMIFS('CEI565'!$K$6:$K$2990,'CEI565'!$N$6:$N$2990,B88,'CEI565'!$L$6:$L$2990,"Bond Return")+SUMIFS('1SM3VL'!$K$6:$K$2990,'1SM3VL'!$N$6:$N$2990,B88,'1SM3VL'!$L$6:$L$2990,"Bond Return")+SUMIFS('1QF4SM'!$K$6:$K$2990,'1QF4SM'!$N$6:$N$2990,B88,'1QF4SM'!$L$6:$L$2990,"Bond Return")+SUMIFS('1UV5KI'!$K$6:$K$2990,'1UV5KI'!$N$6:$N$2990,B88,'1UV5KI'!$L$6:$L$2990,"Bond Return")+SUMIFS(#REF!,#REF!,B88,#REF!,"Bond Return")+SUMIFS('1UL9RY'!$K$6:$K$2990,'1UL9RY'!$N$6:$N$2990,B88,'1UL9RY'!$L$6:$L$2990,"Bond Return")+SUMIFS('1OZ7GT'!$K$6:$K$2990,'1OZ7GT'!$N$6:$N$2990,B88,'1OZ7GT'!$L$6:$L$2990,"Bond Return")+SUMIFS('1CN8DD'!$K$6:$K$2990,'1CN8DD'!$N$6:$N$2990,B88,'1CN8DD'!$L$6:$L$2990,"Bond Return")+SUMIFS('1UT9BR'!$K$6:$K$2990,'1UT9BR'!$N$6:$N$2990,B88,'1UT9BR'!$L$6:$L$2990,"Bond Return")+SUMIFS('1MK4UR'!$K$6:$K$2990,'1MK4UR'!$N$6:$N$2990,B88,'1MK4UR'!$L$6:$L$2990,"Bond Return")+SUMIFS(#REF!,#REF!,B88,#REF!,"Bond Return")+SUMIFS('1JI2UE'!$K$6:$K$2990,'1JI2UE'!$N$6:$N$2990,B88,'1JI2UE'!$L$6:$L$2990,"Bond Return")+SUMIFS(#REF!,#REF!,B88,#REF!,"Bond Return")+SUMIFS('1SI9BW'!$K$6:$K$2990,'1SI9BW'!$N$6:$N$2990,B88,'1SI9BW'!$L$6:$L$2990,"Bond Return")+SUMIFS(Suzuki!$K$6:$K$2990,Suzuki!$N$6:$N$2990,B88,Suzuki!$L$6:$L$2990,"Bond Return")+SUMIFS('1SK3DD'!$K$6:$K$2990,'1SK3DD'!$N$6:$N$2990,B88,'1SK3DD'!$L$6:$L$2990,"Bond Return")+SUMIFS('1SX5TQ'!$K$6:$K$2990,'1SX5TQ'!$N$6:$N$2990,B88,'1SX5TQ'!$L$6:$L$2990,"Bond Return")+SUMIFS('BMM465'!$K$6:$K$2990,'BMM465'!$N$6:$N$2990,B88,'BMM465'!$L$6:$L$2990,"Bond Return")+SUMIFS('1CF1ZO'!$K$6:$K$2990,'1CF1ZO'!$N$6:$N$2990,B88,'1CF1ZO'!$L$6:$L$2990,"Bond Return")+SUMIFS('1UK1BK'!$K$6:$K$2990,'1UK1BK'!$N$6:$N$2990,B88,'1UK1BK'!$L$6:$L$2990,"Bond Return"))))</f>
        <v>#REF!</v>
      </c>
      <c r="AE88" s="214">
        <v>44942</v>
      </c>
      <c r="AF88" s="215">
        <v>1500</v>
      </c>
      <c r="AG88" s="216" t="s">
        <v>122</v>
      </c>
      <c r="AH88" s="73" t="s">
        <v>939</v>
      </c>
      <c r="AI88"/>
      <c r="AJ88" s="124" t="s">
        <v>966</v>
      </c>
    </row>
    <row r="89" spans="1:36" ht="15" customHeight="1" x14ac:dyDescent="0.25">
      <c r="A89" s="10">
        <v>48</v>
      </c>
      <c r="B89" t="s">
        <v>498</v>
      </c>
      <c r="N89" s="149" t="e">
        <f>SUMIFS('CEI565'!$D$6:$D$2994,'CEI565'!$I$6:$I$2994,B89,'CEI565'!$F$6:$F$2994,"Bond Received")+SUMIFS('1SM3VL'!$D$6:$D$2994,'1SM3VL'!$I$6:$I$2994,B89,'1SM3VL'!$F$6:$F$2994,"Bond Received")+SUMIFS('1QF4SM'!$D$6:$D$2994,'1QF4SM'!$I$6:$I$2994,B89,'1QF4SM'!$F$6:$F$2994,"Bond Received")+SUMIFS('1UV5KI'!$D$6:$D$2994,'1UV5KI'!$I$6:$I$2994,B89,'1UV5KI'!$F$6:$F$2994,"Bond Received")+SUMIFS(#REF!,#REF!,B89,#REF!,"Bond Received")+SUMIFS('1UL9RY'!$D$6:$D$2994,'1UL9RY'!$I$6:$I$2994,B89,'1UL9RY'!$F$6:$F$2994,"Bond Received")+SUMIFS('1OZ7GT'!$D$6:$D$2994,'1OZ7GT'!$I$6:$I$2994,B89,'1OZ7GT'!$F$6:$F$2994,"Bond Received")+SUMIFS('1CN8DD'!$D$6:$D$2994,'1CN8DD'!$I$6:$I$2994,B89,'1CN8DD'!$F$6:$F$2994,"Bond Received")+SUMIFS('1UT9BR'!$D$6:$D$2994,'1UT9BR'!$I$6:$I$2994,B89,'1UT9BR'!$F$6:$F$2994,"Bond Received")+SUMIFS('1MK4UR'!$D$6:$D$2994,'1MK4UR'!$I$6:$I$2994,B89,'1MK4UR'!$F$6:$F$2994,"Bond Received")+SUMIFS(#REF!,#REF!,B89,#REF!,"Bond Received")+SUMIFS('1JI2UE'!$D$6:$D$2994,'1JI2UE'!$I$6:$I$2994,B89,'1JI2UE'!$F$6:$F$2994,"Bond Received")+SUMIFS(#REF!,#REF!,B89,#REF!,"Bond Received")+SUMIFS('1SI9BW'!$D$6:$D$2994,'1SI9BW'!$I$6:$I$2994,B89,'1SI9BW'!$F$6:$F$2994,"Bond Received")+SUMIFS(Suzuki!$D$6:$D$2994,Suzuki!$I$6:$I$2994,B89,Suzuki!$F$6:$F$2994,"Bond Received")+SUMIFS('1SK3DD'!$D$6:$D$2994,'1SK3DD'!$I$6:$I$2994,B89,'1SK3DD'!$F$6:$F$2994,"Bond Received")+SUMIFS('1SX5TQ'!$D$6:$D$2994,'1SX5TQ'!$I$6:$I$2994,B89,'1SX5TQ'!$F$6:$F$2994,"Bond Received")+SUMIFS('BMM465'!$D$6:$D$2994,'BMM465'!$I$6:$I$2994,B89,'BMM465'!$F$6:$F$2994,"Bond Received")+SUMIFS('1CF1ZO'!$D$6:$D$2994,'1CF1ZO'!$I$6:$I$2994,B89,'1CF1ZO'!$F$6:$F$2994,"Bond Received")+SUMIFS('1UK1BK'!$D$6:$D$2994,'1UK1BK'!$I$6:$I$2994,B89,'1UK1BK'!$F$6:$F$2994,"Bond Received")-(((SUMIFS('CEI565'!$K$6:$K$2990,'CEI565'!$N$6:$N$2990,B89,'CEI565'!$L$6:$L$2990,"Bond Return")+SUMIFS('1SM3VL'!$K$6:$K$2990,'1SM3VL'!$N$6:$N$2990,B89,'1SM3VL'!$L$6:$L$2990,"Bond Return")+SUMIFS('1QF4SM'!$K$6:$K$2990,'1QF4SM'!$N$6:$N$2990,B89,'1QF4SM'!$L$6:$L$2990,"Bond Return")+SUMIFS('1UV5KI'!$K$6:$K$2990,'1UV5KI'!$N$6:$N$2990,B89,'1UV5KI'!$L$6:$L$2990,"Bond Return")+SUMIFS(#REF!,#REF!,B89,#REF!,"Bond Return")+SUMIFS('1UL9RY'!$K$6:$K$2990,'1UL9RY'!$N$6:$N$2990,B89,'1UL9RY'!$L$6:$L$2990,"Bond Return")+SUMIFS('1OZ7GT'!$K$6:$K$2990,'1OZ7GT'!$N$6:$N$2990,B89,'1OZ7GT'!$L$6:$L$2990,"Bond Return")+SUMIFS('1CN8DD'!$K$6:$K$2990,'1CN8DD'!$N$6:$N$2990,B89,'1CN8DD'!$L$6:$L$2990,"Bond Return")+SUMIFS('1UT9BR'!$K$6:$K$2990,'1UT9BR'!$N$6:$N$2990,B89,'1UT9BR'!$L$6:$L$2990,"Bond Return")+SUMIFS('1MK4UR'!$K$6:$K$2990,'1MK4UR'!$N$6:$N$2990,B89,'1MK4UR'!$L$6:$L$2990,"Bond Return")+SUMIFS(#REF!,#REF!,B89,#REF!,"Bond Return")+SUMIFS('1JI2UE'!$K$6:$K$2990,'1JI2UE'!$N$6:$N$2990,B89,'1JI2UE'!$L$6:$L$2990,"Bond Return")+SUMIFS(#REF!,#REF!,B89,#REF!,"Bond Return")+SUMIFS('1SI9BW'!$K$6:$K$2990,'1SI9BW'!$N$6:$N$2990,B89,'1SI9BW'!$L$6:$L$2990,"Bond Return")+SUMIFS(Suzuki!$K$6:$K$2990,Suzuki!$N$6:$N$2990,B89,Suzuki!$L$6:$L$2990,"Bond Return")+SUMIFS('1SK3DD'!$K$6:$K$2990,'1SK3DD'!$N$6:$N$2990,B89,'1SK3DD'!$L$6:$L$2990,"Bond Return")+SUMIFS('1SX5TQ'!$K$6:$K$2990,'1SX5TQ'!$N$6:$N$2990,B89,'1SX5TQ'!$L$6:$L$2990,"Bond Return")+SUMIFS('BMM465'!$K$6:$K$2990,'BMM465'!$N$6:$N$2990,B89,'BMM465'!$L$6:$L$2990,"Bond Return")+SUMIFS('1CF1ZO'!$K$6:$K$2990,'1CF1ZO'!$N$6:$N$2990,B89,'1CF1ZO'!$L$6:$L$2990,"Bond Return")+SUMIFS('1UK1BK'!$K$6:$K$2990,'1UK1BK'!$N$6:$N$2990,B89,'1UK1BK'!$L$6:$L$2990,"Bond Return"))))</f>
        <v>#REF!</v>
      </c>
      <c r="P89" s="149" t="e">
        <f>SUMIFS('CEI565'!$D$6:$D$2994,'CEI565'!$I$6:$I$2994,B89,'CEI565'!$F$6:$F$2994,"Bond Received")+SUMIFS('1SM3VL'!$D$6:$D$2994,'1SM3VL'!$I$6:$I$2994,B89,'1SM3VL'!$F$6:$F$2994,"Bond Received")+SUMIFS('1QF4SM'!$D$6:$D$2994,'1QF4SM'!$I$6:$I$2994,B89,'1QF4SM'!$F$6:$F$2994,"Bond Received")+SUMIFS('1UV5KI'!$D$6:$D$2994,'1UV5KI'!$I$6:$I$2994,B89,'1UV5KI'!$F$6:$F$2994,"Bond Received")+SUMIFS(#REF!,#REF!,B89,#REF!,"Bond Received")+SUMIFS('1UL9RY'!$D$6:$D$2994,'1UL9RY'!$I$6:$I$2994,B89,'1UL9RY'!$F$6:$F$2994,"Bond Received")+SUMIFS('1OZ7GT'!$D$6:$D$2994,'1OZ7GT'!$I$6:$I$2994,B89,'1OZ7GT'!$F$6:$F$2994,"Bond Received")+SUMIFS('1CN8DD'!$D$6:$D$2994,'1CN8DD'!$I$6:$I$2994,B89,'1CN8DD'!$F$6:$F$2994,"Bond Received")+SUMIFS('1UT9BR'!$D$6:$D$2994,'1UT9BR'!$I$6:$I$2994,B89,'1UT9BR'!$F$6:$F$2994,"Bond Received")+SUMIFS('1MK4UR'!$D$6:$D$2994,'1MK4UR'!$I$6:$I$2994,B89,'1MK4UR'!$F$6:$F$2994,"Bond Received")+SUMIFS(#REF!,#REF!,B89,#REF!,"Bond Received")+SUMIFS('1JI2UE'!$D$6:$D$2994,'1JI2UE'!$I$6:$I$2994,B89,'1JI2UE'!$F$6:$F$2994,"Bond Received")+SUMIFS(#REF!,#REF!,B89,#REF!,"Bond Received")+SUMIFS('1SI9BW'!$D$6:$D$2994,'1SI9BW'!$I$6:$I$2994,B89,'1SI9BW'!$F$6:$F$2994,"Bond Received")+SUMIFS(Suzuki!$D$6:$D$2994,Suzuki!$I$6:$I$2994,B89,Suzuki!$F$6:$F$2994,"Bond Received")+SUMIFS('1SK3DD'!$D$6:$D$2994,'1SK3DD'!$I$6:$I$2994,B89,'1SK3DD'!$F$6:$F$2994,"Bond Received")+SUMIFS('1SX5TQ'!$D$6:$D$2994,'1SX5TQ'!$I$6:$I$2994,B89,'1SX5TQ'!$F$6:$F$2994,"Bond Received")+SUMIFS('BMM465'!$D$6:$D$2994,'BMM465'!$I$6:$I$2994,B89,'BMM465'!$F$6:$F$2994,"Bond Received")+SUMIFS('1CF1ZO'!$D$6:$D$2994,'1CF1ZO'!$I$6:$I$2994,B89,'1CF1ZO'!$F$6:$F$2994,"Bond Received")+SUMIFS('1UK1BK'!$D$6:$D$2994,'1UK1BK'!$I$6:$I$2994,B89,'1UK1BK'!$F$6:$F$2994,"Bond Received")</f>
        <v>#REF!</v>
      </c>
      <c r="Q89" s="31">
        <f>-((SUMIFS('1SI9BW'!$K$6:$K$2990,'1SI9BW'!$N$6:$N$2990,B89,'1SI9BW'!$L$6:$L$2990,"Bond Return")+SUMIFS(Suzuki!$K$6:$K$2990,Suzuki!$N$6:$N$2990,B89,Suzuki!$L$6:$L$2990,"Bond Return")+SUMIFS('1SK3DD'!$K$6:$K$2990,'1SK3DD'!$N$6:$N$2990,B89,'1SK3DD'!$L$6:$L$2990,"Bond Return")+SUMIFS('1SX5TQ'!$K$6:$K$2990,'1SX5TQ'!$N$6:$N$2990,B89,'1SX5TQ'!$L$6:$L$2990,"Bond Return")+SUMIFS('BMM465'!$K$6:$K$2990,'BMM465'!$N$6:$N$2990,B89,'BMM465'!$L$6:$L$2990,"Bond Return")+SUMIFS('1CF1ZO'!$K$6:$K$2990,'1CF1ZO'!$N$6:$N$2990,B89,'1CF1ZO'!$L$6:$L$2990,"Bond Return")+SUMIFS('1UK1BK'!$K$6:$K$2990,'1UK1BK'!$N$6:$N$2990,B89,'1UK1BK'!$L$6:$L$2990,"Bond Return")))</f>
        <v>-320</v>
      </c>
      <c r="AE89" s="214">
        <v>44946</v>
      </c>
      <c r="AF89" s="215">
        <v>82.5</v>
      </c>
      <c r="AG89" s="216" t="s">
        <v>122</v>
      </c>
      <c r="AH89" s="216" t="s">
        <v>962</v>
      </c>
      <c r="AI89" s="216" t="s">
        <v>960</v>
      </c>
    </row>
    <row r="90" spans="1:36" ht="15" customHeight="1" x14ac:dyDescent="0.25">
      <c r="A90" s="10">
        <v>49</v>
      </c>
      <c r="B90" t="s">
        <v>520</v>
      </c>
      <c r="N90" s="149" t="e">
        <f>SUMIFS('CEI565'!$D$6:$D$2994,'CEI565'!$I$6:$I$2994,B90,'CEI565'!$F$6:$F$2994,"Bond Received")+SUMIFS('1SM3VL'!$D$6:$D$2994,'1SM3VL'!$I$6:$I$2994,B90,'1SM3VL'!$F$6:$F$2994,"Bond Received")+SUMIFS('1QF4SM'!$D$6:$D$2994,'1QF4SM'!$I$6:$I$2994,B90,'1QF4SM'!$F$6:$F$2994,"Bond Received")+SUMIFS('1UV5KI'!$D$6:$D$2994,'1UV5KI'!$I$6:$I$2994,B90,'1UV5KI'!$F$6:$F$2994,"Bond Received")+SUMIFS(#REF!,#REF!,B90,#REF!,"Bond Received")+SUMIFS('1UL9RY'!$D$6:$D$2994,'1UL9RY'!$I$6:$I$2994,B90,'1UL9RY'!$F$6:$F$2994,"Bond Received")+SUMIFS('1OZ7GT'!$D$6:$D$2994,'1OZ7GT'!$I$6:$I$2994,B90,'1OZ7GT'!$F$6:$F$2994,"Bond Received")+SUMIFS('1CN8DD'!$D$6:$D$2994,'1CN8DD'!$I$6:$I$2994,B90,'1CN8DD'!$F$6:$F$2994,"Bond Received")+SUMIFS('1UT9BR'!$D$6:$D$2994,'1UT9BR'!$I$6:$I$2994,B90,'1UT9BR'!$F$6:$F$2994,"Bond Received")+SUMIFS('1MK4UR'!$D$6:$D$2994,'1MK4UR'!$I$6:$I$2994,B90,'1MK4UR'!$F$6:$F$2994,"Bond Received")+SUMIFS(#REF!,#REF!,B90,#REF!,"Bond Received")+SUMIFS('1JI2UE'!$D$6:$D$2994,'1JI2UE'!$I$6:$I$2994,B90,'1JI2UE'!$F$6:$F$2994,"Bond Received")+SUMIFS(#REF!,#REF!,B90,#REF!,"Bond Received")+SUMIFS('1SI9BW'!$D$6:$D$2994,'1SI9BW'!$I$6:$I$2994,B90,'1SI9BW'!$F$6:$F$2994,"Bond Received")+SUMIFS(Suzuki!$D$6:$D$2994,Suzuki!$I$6:$I$2994,B90,Suzuki!$F$6:$F$2994,"Bond Received")+SUMIFS('1SK3DD'!$D$6:$D$2994,'1SK3DD'!$I$6:$I$2994,B90,'1SK3DD'!$F$6:$F$2994,"Bond Received")+SUMIFS('1SX5TQ'!$D$6:$D$2994,'1SX5TQ'!$I$6:$I$2994,B90,'1SX5TQ'!$F$6:$F$2994,"Bond Received")+SUMIFS('BMM465'!$D$6:$D$2994,'BMM465'!$I$6:$I$2994,B90,'BMM465'!$F$6:$F$2994,"Bond Received")+SUMIFS('1CF1ZO'!$D$6:$D$2994,'1CF1ZO'!$I$6:$I$2994,B90,'1CF1ZO'!$F$6:$F$2994,"Bond Received")+SUMIFS('1UK1BK'!$D$6:$D$2994,'1UK1BK'!$I$6:$I$2994,B90,'1UK1BK'!$F$6:$F$2994,"Bond Received")-(((SUMIFS('CEI565'!$K$6:$K$2990,'CEI565'!$N$6:$N$2990,B90,'CEI565'!$L$6:$L$2990,"Bond Return")+SUMIFS('1SM3VL'!$K$6:$K$2990,'1SM3VL'!$N$6:$N$2990,B90,'1SM3VL'!$L$6:$L$2990,"Bond Return")+SUMIFS('1QF4SM'!$K$6:$K$2990,'1QF4SM'!$N$6:$N$2990,B90,'1QF4SM'!$L$6:$L$2990,"Bond Return")+SUMIFS('1UV5KI'!$K$6:$K$2990,'1UV5KI'!$N$6:$N$2990,B90,'1UV5KI'!$L$6:$L$2990,"Bond Return")+SUMIFS(#REF!,#REF!,B90,#REF!,"Bond Return")+SUMIFS('1UL9RY'!$K$6:$K$2990,'1UL9RY'!$N$6:$N$2990,B90,'1UL9RY'!$L$6:$L$2990,"Bond Return")+SUMIFS('1OZ7GT'!$K$6:$K$2990,'1OZ7GT'!$N$6:$N$2990,B90,'1OZ7GT'!$L$6:$L$2990,"Bond Return")+SUMIFS('1CN8DD'!$K$6:$K$2990,'1CN8DD'!$N$6:$N$2990,B90,'1CN8DD'!$L$6:$L$2990,"Bond Return")+SUMIFS('1UT9BR'!$K$6:$K$2990,'1UT9BR'!$N$6:$N$2990,B90,'1UT9BR'!$L$6:$L$2990,"Bond Return")+SUMIFS('1MK4UR'!$K$6:$K$2990,'1MK4UR'!$N$6:$N$2990,B90,'1MK4UR'!$L$6:$L$2990,"Bond Return")+SUMIFS(#REF!,#REF!,B90,#REF!,"Bond Return")+SUMIFS('1JI2UE'!$K$6:$K$2990,'1JI2UE'!$N$6:$N$2990,B90,'1JI2UE'!$L$6:$L$2990,"Bond Return")+SUMIFS(#REF!,#REF!,B90,#REF!,"Bond Return")+SUMIFS('1SI9BW'!$K$6:$K$2990,'1SI9BW'!$N$6:$N$2990,B90,'1SI9BW'!$L$6:$L$2990,"Bond Return")+SUMIFS(Suzuki!$K$6:$K$2990,Suzuki!$N$6:$N$2990,B90,Suzuki!$L$6:$L$2990,"Bond Return")+SUMIFS('1SK3DD'!$K$6:$K$2990,'1SK3DD'!$N$6:$N$2990,B90,'1SK3DD'!$L$6:$L$2990,"Bond Return")+SUMIFS('1SX5TQ'!$K$6:$K$2990,'1SX5TQ'!$N$6:$N$2990,B90,'1SX5TQ'!$L$6:$L$2990,"Bond Return")+SUMIFS('BMM465'!$K$6:$K$2990,'BMM465'!$N$6:$N$2990,B90,'BMM465'!$L$6:$L$2990,"Bond Return")+SUMIFS('1CF1ZO'!$K$6:$K$2990,'1CF1ZO'!$N$6:$N$2990,B90,'1CF1ZO'!$L$6:$L$2990,"Bond Return")+SUMIFS('1UK1BK'!$K$6:$K$2990,'1UK1BK'!$N$6:$N$2990,B90,'1UK1BK'!$L$6:$L$2990,"Bond Return"))))</f>
        <v>#REF!</v>
      </c>
      <c r="AE90" s="198">
        <v>44947</v>
      </c>
      <c r="AF90">
        <v>350</v>
      </c>
      <c r="AG90" t="s">
        <v>264</v>
      </c>
      <c r="AH90" s="126" t="s">
        <v>962</v>
      </c>
      <c r="AJ90" s="124" t="s">
        <v>597</v>
      </c>
    </row>
    <row r="91" spans="1:36" ht="15" customHeight="1" x14ac:dyDescent="0.25">
      <c r="A91" s="10">
        <v>50</v>
      </c>
      <c r="B91" t="s">
        <v>524</v>
      </c>
      <c r="N91" s="149" t="e">
        <f>SUMIFS('CEI565'!$D$6:$D$2994,'CEI565'!$I$6:$I$2994,B91,'CEI565'!$F$6:$F$2994,"Bond Received")+SUMIFS('1SM3VL'!$D$6:$D$2994,'1SM3VL'!$I$6:$I$2994,B91,'1SM3VL'!$F$6:$F$2994,"Bond Received")+SUMIFS('1QF4SM'!$D$6:$D$2994,'1QF4SM'!$I$6:$I$2994,B91,'1QF4SM'!$F$6:$F$2994,"Bond Received")+SUMIFS('1UV5KI'!$D$6:$D$2994,'1UV5KI'!$I$6:$I$2994,B91,'1UV5KI'!$F$6:$F$2994,"Bond Received")+SUMIFS(#REF!,#REF!,B91,#REF!,"Bond Received")+SUMIFS('1UL9RY'!$D$6:$D$2994,'1UL9RY'!$I$6:$I$2994,B91,'1UL9RY'!$F$6:$F$2994,"Bond Received")+SUMIFS('1OZ7GT'!$D$6:$D$2994,'1OZ7GT'!$I$6:$I$2994,B91,'1OZ7GT'!$F$6:$F$2994,"Bond Received")+SUMIFS('1CN8DD'!$D$6:$D$2994,'1CN8DD'!$I$6:$I$2994,B91,'1CN8DD'!$F$6:$F$2994,"Bond Received")+SUMIFS('1UT9BR'!$D$6:$D$2994,'1UT9BR'!$I$6:$I$2994,B91,'1UT9BR'!$F$6:$F$2994,"Bond Received")+SUMIFS('1MK4UR'!$D$6:$D$2994,'1MK4UR'!$I$6:$I$2994,B91,'1MK4UR'!$F$6:$F$2994,"Bond Received")+SUMIFS(#REF!,#REF!,B91,#REF!,"Bond Received")+SUMIFS('1JI2UE'!$D$6:$D$2994,'1JI2UE'!$I$6:$I$2994,B91,'1JI2UE'!$F$6:$F$2994,"Bond Received")+SUMIFS(#REF!,#REF!,B91,#REF!,"Bond Received")+SUMIFS('1SI9BW'!$D$6:$D$2994,'1SI9BW'!$I$6:$I$2994,B91,'1SI9BW'!$F$6:$F$2994,"Bond Received")+SUMIFS(Suzuki!$D$6:$D$2994,Suzuki!$I$6:$I$2994,B91,Suzuki!$F$6:$F$2994,"Bond Received")+SUMIFS('1SK3DD'!$D$6:$D$2994,'1SK3DD'!$I$6:$I$2994,B91,'1SK3DD'!$F$6:$F$2994,"Bond Received")+SUMIFS('1SX5TQ'!$D$6:$D$2994,'1SX5TQ'!$I$6:$I$2994,B91,'1SX5TQ'!$F$6:$F$2994,"Bond Received")+SUMIFS('BMM465'!$D$6:$D$2994,'BMM465'!$I$6:$I$2994,B91,'BMM465'!$F$6:$F$2994,"Bond Received")+SUMIFS('1CF1ZO'!$D$6:$D$2994,'1CF1ZO'!$I$6:$I$2994,B91,'1CF1ZO'!$F$6:$F$2994,"Bond Received")+SUMIFS('1UK1BK'!$D$6:$D$2994,'1UK1BK'!$I$6:$I$2994,B91,'1UK1BK'!$F$6:$F$2994,"Bond Received")-(((SUMIFS('CEI565'!$K$6:$K$2990,'CEI565'!$N$6:$N$2990,B91,'CEI565'!$L$6:$L$2990,"Bond Return")+SUMIFS('1SM3VL'!$K$6:$K$2990,'1SM3VL'!$N$6:$N$2990,B91,'1SM3VL'!$L$6:$L$2990,"Bond Return")+SUMIFS('1QF4SM'!$K$6:$K$2990,'1QF4SM'!$N$6:$N$2990,B91,'1QF4SM'!$L$6:$L$2990,"Bond Return")+SUMIFS('1UV5KI'!$K$6:$K$2990,'1UV5KI'!$N$6:$N$2990,B91,'1UV5KI'!$L$6:$L$2990,"Bond Return")+SUMIFS(#REF!,#REF!,B91,#REF!,"Bond Return")+SUMIFS('1UL9RY'!$K$6:$K$2990,'1UL9RY'!$N$6:$N$2990,B91,'1UL9RY'!$L$6:$L$2990,"Bond Return")+SUMIFS('1OZ7GT'!$K$6:$K$2990,'1OZ7GT'!$N$6:$N$2990,B91,'1OZ7GT'!$L$6:$L$2990,"Bond Return")+SUMIFS('1CN8DD'!$K$6:$K$2990,'1CN8DD'!$N$6:$N$2990,B91,'1CN8DD'!$L$6:$L$2990,"Bond Return")+SUMIFS('1UT9BR'!$K$6:$K$2990,'1UT9BR'!$N$6:$N$2990,B91,'1UT9BR'!$L$6:$L$2990,"Bond Return")+SUMIFS('1MK4UR'!$K$6:$K$2990,'1MK4UR'!$N$6:$N$2990,B91,'1MK4UR'!$L$6:$L$2990,"Bond Return")+SUMIFS(#REF!,#REF!,B91,#REF!,"Bond Return")+SUMIFS('1JI2UE'!$K$6:$K$2990,'1JI2UE'!$N$6:$N$2990,B91,'1JI2UE'!$L$6:$L$2990,"Bond Return")+SUMIFS(#REF!,#REF!,B91,#REF!,"Bond Return")+SUMIFS('1SI9BW'!$K$6:$K$2990,'1SI9BW'!$N$6:$N$2990,B91,'1SI9BW'!$L$6:$L$2990,"Bond Return")+SUMIFS(Suzuki!$K$6:$K$2990,Suzuki!$N$6:$N$2990,B91,Suzuki!$L$6:$L$2990,"Bond Return")+SUMIFS('1SK3DD'!$K$6:$K$2990,'1SK3DD'!$N$6:$N$2990,B91,'1SK3DD'!$L$6:$L$2990,"Bond Return")+SUMIFS('1SX5TQ'!$K$6:$K$2990,'1SX5TQ'!$N$6:$N$2990,B91,'1SX5TQ'!$L$6:$L$2990,"Bond Return")+SUMIFS('BMM465'!$K$6:$K$2990,'BMM465'!$N$6:$N$2990,B91,'BMM465'!$L$6:$L$2990,"Bond Return")+SUMIFS('1CF1ZO'!$K$6:$K$2990,'1CF1ZO'!$N$6:$N$2990,B91,'1CF1ZO'!$L$6:$L$2990,"Bond Return")+SUMIFS('1UK1BK'!$K$6:$K$2990,'1UK1BK'!$N$6:$N$2990,B91,'1UK1BK'!$L$6:$L$2990,"Bond Return"))))</f>
        <v>#REF!</v>
      </c>
      <c r="AE91" s="16">
        <v>44967</v>
      </c>
      <c r="AF91" s="17">
        <v>404.1</v>
      </c>
      <c r="AG91" t="s">
        <v>122</v>
      </c>
      <c r="AH91" t="s">
        <v>939</v>
      </c>
    </row>
    <row r="92" spans="1:36" ht="15" customHeight="1" x14ac:dyDescent="0.25">
      <c r="A92" s="10">
        <v>51</v>
      </c>
      <c r="B92" t="s">
        <v>488</v>
      </c>
      <c r="N92" s="149" t="e">
        <f>SUMIFS('CEI565'!$D$6:$D$2994,'CEI565'!$I$6:$I$2994,B92,'CEI565'!$F$6:$F$2994,"Bond Received")+SUMIFS('1SM3VL'!$D$6:$D$2994,'1SM3VL'!$I$6:$I$2994,B92,'1SM3VL'!$F$6:$F$2994,"Bond Received")+SUMIFS('1QF4SM'!$D$6:$D$2994,'1QF4SM'!$I$6:$I$2994,B92,'1QF4SM'!$F$6:$F$2994,"Bond Received")+SUMIFS('1UV5KI'!$D$6:$D$2994,'1UV5KI'!$I$6:$I$2994,B92,'1UV5KI'!$F$6:$F$2994,"Bond Received")+SUMIFS(#REF!,#REF!,B92,#REF!,"Bond Received")+SUMIFS('1UL9RY'!$D$6:$D$2994,'1UL9RY'!$I$6:$I$2994,B92,'1UL9RY'!$F$6:$F$2994,"Bond Received")+SUMIFS('1OZ7GT'!$D$6:$D$2994,'1OZ7GT'!$I$6:$I$2994,B92,'1OZ7GT'!$F$6:$F$2994,"Bond Received")+SUMIFS('1CN8DD'!$D$6:$D$2994,'1CN8DD'!$I$6:$I$2994,B92,'1CN8DD'!$F$6:$F$2994,"Bond Received")+SUMIFS('1UT9BR'!$D$6:$D$2994,'1UT9BR'!$I$6:$I$2994,B92,'1UT9BR'!$F$6:$F$2994,"Bond Received")+SUMIFS('1MK4UR'!$D$6:$D$2994,'1MK4UR'!$I$6:$I$2994,B92,'1MK4UR'!$F$6:$F$2994,"Bond Received")+SUMIFS(#REF!,#REF!,B92,#REF!,"Bond Received")+SUMIFS('1JI2UE'!$D$6:$D$2994,'1JI2UE'!$I$6:$I$2994,B92,'1JI2UE'!$F$6:$F$2994,"Bond Received")+SUMIFS(#REF!,#REF!,B92,#REF!,"Bond Received")+SUMIFS('1SI9BW'!$D$6:$D$2994,'1SI9BW'!$I$6:$I$2994,B92,'1SI9BW'!$F$6:$F$2994,"Bond Received")+SUMIFS(Suzuki!$D$6:$D$2994,Suzuki!$I$6:$I$2994,B92,Suzuki!$F$6:$F$2994,"Bond Received")+SUMIFS('1SK3DD'!$D$6:$D$2994,'1SK3DD'!$I$6:$I$2994,B92,'1SK3DD'!$F$6:$F$2994,"Bond Received")+SUMIFS('1SX5TQ'!$D$6:$D$2994,'1SX5TQ'!$I$6:$I$2994,B92,'1SX5TQ'!$F$6:$F$2994,"Bond Received")+SUMIFS('BMM465'!$D$6:$D$2994,'BMM465'!$I$6:$I$2994,B92,'BMM465'!$F$6:$F$2994,"Bond Received")+SUMIFS('1CF1ZO'!$D$6:$D$2994,'1CF1ZO'!$I$6:$I$2994,B92,'1CF1ZO'!$F$6:$F$2994,"Bond Received")+SUMIFS('1UK1BK'!$D$6:$D$2994,'1UK1BK'!$I$6:$I$2994,B92,'1UK1BK'!$F$6:$F$2994,"Bond Received")-(((SUMIFS('CEI565'!$K$6:$K$2990,'CEI565'!$N$6:$N$2990,B92,'CEI565'!$L$6:$L$2990,"Bond Return")+SUMIFS('1SM3VL'!$K$6:$K$2990,'1SM3VL'!$N$6:$N$2990,B92,'1SM3VL'!$L$6:$L$2990,"Bond Return")+SUMIFS('1QF4SM'!$K$6:$K$2990,'1QF4SM'!$N$6:$N$2990,B92,'1QF4SM'!$L$6:$L$2990,"Bond Return")+SUMIFS('1UV5KI'!$K$6:$K$2990,'1UV5KI'!$N$6:$N$2990,B92,'1UV5KI'!$L$6:$L$2990,"Bond Return")+SUMIFS(#REF!,#REF!,B92,#REF!,"Bond Return")+SUMIFS('1UL9RY'!$K$6:$K$2990,'1UL9RY'!$N$6:$N$2990,B92,'1UL9RY'!$L$6:$L$2990,"Bond Return")+SUMIFS('1OZ7GT'!$K$6:$K$2990,'1OZ7GT'!$N$6:$N$2990,B92,'1OZ7GT'!$L$6:$L$2990,"Bond Return")+SUMIFS('1CN8DD'!$K$6:$K$2990,'1CN8DD'!$N$6:$N$2990,B92,'1CN8DD'!$L$6:$L$2990,"Bond Return")+SUMIFS('1UT9BR'!$K$6:$K$2990,'1UT9BR'!$N$6:$N$2990,B92,'1UT9BR'!$L$6:$L$2990,"Bond Return")+SUMIFS('1MK4UR'!$K$6:$K$2990,'1MK4UR'!$N$6:$N$2990,B92,'1MK4UR'!$L$6:$L$2990,"Bond Return")+SUMIFS(#REF!,#REF!,B92,#REF!,"Bond Return")+SUMIFS('1JI2UE'!$K$6:$K$2990,'1JI2UE'!$N$6:$N$2990,B92,'1JI2UE'!$L$6:$L$2990,"Bond Return")+SUMIFS(#REF!,#REF!,B92,#REF!,"Bond Return")+SUMIFS('1SI9BW'!$K$6:$K$2990,'1SI9BW'!$N$6:$N$2990,B92,'1SI9BW'!$L$6:$L$2990,"Bond Return")+SUMIFS(Suzuki!$K$6:$K$2990,Suzuki!$N$6:$N$2990,B92,Suzuki!$L$6:$L$2990,"Bond Return")+SUMIFS('1SK3DD'!$K$6:$K$2990,'1SK3DD'!$N$6:$N$2990,B92,'1SK3DD'!$L$6:$L$2990,"Bond Return")+SUMIFS('1SX5TQ'!$K$6:$K$2990,'1SX5TQ'!$N$6:$N$2990,B92,'1SX5TQ'!$L$6:$L$2990,"Bond Return")+SUMIFS('BMM465'!$K$6:$K$2990,'BMM465'!$N$6:$N$2990,B92,'BMM465'!$L$6:$L$2990,"Bond Return")+SUMIFS('1CF1ZO'!$K$6:$K$2990,'1CF1ZO'!$N$6:$N$2990,B92,'1CF1ZO'!$L$6:$L$2990,"Bond Return")+SUMIFS('1UK1BK'!$K$6:$K$2990,'1UK1BK'!$N$6:$N$2990,B92,'1UK1BK'!$L$6:$L$2990,"Bond Return"))))</f>
        <v>#REF!</v>
      </c>
      <c r="AE92" s="16">
        <v>44977</v>
      </c>
      <c r="AF92" s="17">
        <v>308</v>
      </c>
      <c r="AG92" t="s">
        <v>122</v>
      </c>
      <c r="AH92" s="216" t="s">
        <v>962</v>
      </c>
      <c r="AI92" s="10" t="s">
        <v>675</v>
      </c>
    </row>
    <row r="93" spans="1:36" ht="15" customHeight="1" x14ac:dyDescent="0.25">
      <c r="A93" s="10">
        <v>52</v>
      </c>
      <c r="B93" t="s">
        <v>552</v>
      </c>
      <c r="N93" s="149" t="e">
        <f>SUMIFS('CEI565'!$D$6:$D$2994,'CEI565'!$I$6:$I$2994,B93,'CEI565'!$F$6:$F$2994,"Bond Received")+SUMIFS('1SM3VL'!$D$6:$D$2994,'1SM3VL'!$I$6:$I$2994,B93,'1SM3VL'!$F$6:$F$2994,"Bond Received")+SUMIFS('1QF4SM'!$D$6:$D$2994,'1QF4SM'!$I$6:$I$2994,B93,'1QF4SM'!$F$6:$F$2994,"Bond Received")+SUMIFS('1UV5KI'!$D$6:$D$2994,'1UV5KI'!$I$6:$I$2994,B93,'1UV5KI'!$F$6:$F$2994,"Bond Received")+SUMIFS(#REF!,#REF!,B93,#REF!,"Bond Received")+SUMIFS('1UL9RY'!$D$6:$D$2994,'1UL9RY'!$I$6:$I$2994,B93,'1UL9RY'!$F$6:$F$2994,"Bond Received")+SUMIFS('1OZ7GT'!$D$6:$D$2994,'1OZ7GT'!$I$6:$I$2994,B93,'1OZ7GT'!$F$6:$F$2994,"Bond Received")+SUMIFS('1CN8DD'!$D$6:$D$2994,'1CN8DD'!$I$6:$I$2994,B93,'1CN8DD'!$F$6:$F$2994,"Bond Received")+SUMIFS('1UT9BR'!$D$6:$D$2994,'1UT9BR'!$I$6:$I$2994,B93,'1UT9BR'!$F$6:$F$2994,"Bond Received")+SUMIFS('1MK4UR'!$D$6:$D$2994,'1MK4UR'!$I$6:$I$2994,B93,'1MK4UR'!$F$6:$F$2994,"Bond Received")+SUMIFS(#REF!,#REF!,B93,#REF!,"Bond Received")+SUMIFS('1JI2UE'!$D$6:$D$2994,'1JI2UE'!$I$6:$I$2994,B93,'1JI2UE'!$F$6:$F$2994,"Bond Received")+SUMIFS(#REF!,#REF!,B93,#REF!,"Bond Received")+SUMIFS('1SI9BW'!$D$6:$D$2994,'1SI9BW'!$I$6:$I$2994,B93,'1SI9BW'!$F$6:$F$2994,"Bond Received")+SUMIFS(Suzuki!$D$6:$D$2994,Suzuki!$I$6:$I$2994,B93,Suzuki!$F$6:$F$2994,"Bond Received")+SUMIFS('1SK3DD'!$D$6:$D$2994,'1SK3DD'!$I$6:$I$2994,B93,'1SK3DD'!$F$6:$F$2994,"Bond Received")+SUMIFS('1SX5TQ'!$D$6:$D$2994,'1SX5TQ'!$I$6:$I$2994,B93,'1SX5TQ'!$F$6:$F$2994,"Bond Received")+SUMIFS('BMM465'!$D$6:$D$2994,'BMM465'!$I$6:$I$2994,B93,'BMM465'!$F$6:$F$2994,"Bond Received")+SUMIFS('1CF1ZO'!$D$6:$D$2994,'1CF1ZO'!$I$6:$I$2994,B93,'1CF1ZO'!$F$6:$F$2994,"Bond Received")+SUMIFS('1UK1BK'!$D$6:$D$2994,'1UK1BK'!$I$6:$I$2994,B93,'1UK1BK'!$F$6:$F$2994,"Bond Received")-(((SUMIFS('CEI565'!$K$6:$K$2990,'CEI565'!$N$6:$N$2990,B93,'CEI565'!$L$6:$L$2990,"Bond Return")+SUMIFS('1SM3VL'!$K$6:$K$2990,'1SM3VL'!$N$6:$N$2990,B93,'1SM3VL'!$L$6:$L$2990,"Bond Return")+SUMIFS('1QF4SM'!$K$6:$K$2990,'1QF4SM'!$N$6:$N$2990,B93,'1QF4SM'!$L$6:$L$2990,"Bond Return")+SUMIFS('1UV5KI'!$K$6:$K$2990,'1UV5KI'!$N$6:$N$2990,B93,'1UV5KI'!$L$6:$L$2990,"Bond Return")+SUMIFS(#REF!,#REF!,B93,#REF!,"Bond Return")+SUMIFS('1UL9RY'!$K$6:$K$2990,'1UL9RY'!$N$6:$N$2990,B93,'1UL9RY'!$L$6:$L$2990,"Bond Return")+SUMIFS('1OZ7GT'!$K$6:$K$2990,'1OZ7GT'!$N$6:$N$2990,B93,'1OZ7GT'!$L$6:$L$2990,"Bond Return")+SUMIFS('1CN8DD'!$K$6:$K$2990,'1CN8DD'!$N$6:$N$2990,B93,'1CN8DD'!$L$6:$L$2990,"Bond Return")+SUMIFS('1UT9BR'!$K$6:$K$2990,'1UT9BR'!$N$6:$N$2990,B93,'1UT9BR'!$L$6:$L$2990,"Bond Return")+SUMIFS('1MK4UR'!$K$6:$K$2990,'1MK4UR'!$N$6:$N$2990,B93,'1MK4UR'!$L$6:$L$2990,"Bond Return")+SUMIFS(#REF!,#REF!,B93,#REF!,"Bond Return")+SUMIFS('1JI2UE'!$K$6:$K$2990,'1JI2UE'!$N$6:$N$2990,B93,'1JI2UE'!$L$6:$L$2990,"Bond Return")+SUMIFS(#REF!,#REF!,B93,#REF!,"Bond Return")+SUMIFS('1SI9BW'!$K$6:$K$2990,'1SI9BW'!$N$6:$N$2990,B93,'1SI9BW'!$L$6:$L$2990,"Bond Return")+SUMIFS(Suzuki!$K$6:$K$2990,Suzuki!$N$6:$N$2990,B93,Suzuki!$L$6:$L$2990,"Bond Return")+SUMIFS('1SK3DD'!$K$6:$K$2990,'1SK3DD'!$N$6:$N$2990,B93,'1SK3DD'!$L$6:$L$2990,"Bond Return")+SUMIFS('1SX5TQ'!$K$6:$K$2990,'1SX5TQ'!$N$6:$N$2990,B93,'1SX5TQ'!$L$6:$L$2990,"Bond Return")+SUMIFS('BMM465'!$K$6:$K$2990,'BMM465'!$N$6:$N$2990,B93,'BMM465'!$L$6:$L$2990,"Bond Return")+SUMIFS('1CF1ZO'!$K$6:$K$2990,'1CF1ZO'!$N$6:$N$2990,B93,'1CF1ZO'!$L$6:$L$2990,"Bond Return")+SUMIFS('1UK1BK'!$K$6:$K$2990,'1UK1BK'!$N$6:$N$2990,B93,'1UK1BK'!$L$6:$L$2990,"Bond Return"))))</f>
        <v>#REF!</v>
      </c>
      <c r="O93" s="149"/>
      <c r="AE93" s="16">
        <v>44978</v>
      </c>
      <c r="AF93" s="17">
        <v>85</v>
      </c>
      <c r="AG93" t="s">
        <v>122</v>
      </c>
      <c r="AH93" s="216" t="s">
        <v>962</v>
      </c>
      <c r="AI93" t="s">
        <v>98</v>
      </c>
    </row>
    <row r="94" spans="1:36" ht="15" customHeight="1" x14ac:dyDescent="0.25">
      <c r="A94" s="10">
        <v>53</v>
      </c>
      <c r="B94" t="s">
        <v>706</v>
      </c>
      <c r="N94" s="149" t="e">
        <f>SUMIFS('CEI565'!$D$6:$D$2994,'CEI565'!$I$6:$I$2994,B94,'CEI565'!$F$6:$F$2994,"Bond Received")+SUMIFS('1SM3VL'!$D$6:$D$2994,'1SM3VL'!$I$6:$I$2994,B94,'1SM3VL'!$F$6:$F$2994,"Bond Received")+SUMIFS('1QF4SM'!$D$6:$D$2994,'1QF4SM'!$I$6:$I$2994,B94,'1QF4SM'!$F$6:$F$2994,"Bond Received")+SUMIFS('1UV5KI'!$D$6:$D$2994,'1UV5KI'!$I$6:$I$2994,B94,'1UV5KI'!$F$6:$F$2994,"Bond Received")+SUMIFS(#REF!,#REF!,B94,#REF!,"Bond Received")+SUMIFS('1UL9RY'!$D$6:$D$2994,'1UL9RY'!$I$6:$I$2994,B94,'1UL9RY'!$F$6:$F$2994,"Bond Received")+SUMIFS('1OZ7GT'!$D$6:$D$2994,'1OZ7GT'!$I$6:$I$2994,B94,'1OZ7GT'!$F$6:$F$2994,"Bond Received")+SUMIFS('1CN8DD'!$D$6:$D$2994,'1CN8DD'!$I$6:$I$2994,B94,'1CN8DD'!$F$6:$F$2994,"Bond Received")+SUMIFS('1UT9BR'!$D$6:$D$2994,'1UT9BR'!$I$6:$I$2994,B94,'1UT9BR'!$F$6:$F$2994,"Bond Received")+SUMIFS('1MK4UR'!$D$6:$D$2994,'1MK4UR'!$I$6:$I$2994,B94,'1MK4UR'!$F$6:$F$2994,"Bond Received")+SUMIFS(#REF!,#REF!,B94,#REF!,"Bond Received")+SUMIFS('1JI2UE'!$D$6:$D$2994,'1JI2UE'!$I$6:$I$2994,B94,'1JI2UE'!$F$6:$F$2994,"Bond Received")+SUMIFS(#REF!,#REF!,B94,#REF!,"Bond Received")+SUMIFS('1SI9BW'!$D$6:$D$2994,'1SI9BW'!$I$6:$I$2994,B94,'1SI9BW'!$F$6:$F$2994,"Bond Received")+SUMIFS(Suzuki!$D$6:$D$2994,Suzuki!$I$6:$I$2994,B94,Suzuki!$F$6:$F$2994,"Bond Received")+SUMIFS('1SK3DD'!$D$6:$D$2994,'1SK3DD'!$I$6:$I$2994,B94,'1SK3DD'!$F$6:$F$2994,"Bond Received")+SUMIFS('1SX5TQ'!$D$6:$D$2994,'1SX5TQ'!$I$6:$I$2994,B94,'1SX5TQ'!$F$6:$F$2994,"Bond Received")+SUMIFS('BMM465'!$D$6:$D$2994,'BMM465'!$I$6:$I$2994,B94,'BMM465'!$F$6:$F$2994,"Bond Received")+SUMIFS('1CF1ZO'!$D$6:$D$2994,'1CF1ZO'!$I$6:$I$2994,B94,'1CF1ZO'!$F$6:$F$2994,"Bond Received")+SUMIFS('1UK1BK'!$D$6:$D$2994,'1UK1BK'!$I$6:$I$2994,B94,'1UK1BK'!$F$6:$F$2994,"Bond Received")-(((SUMIFS('CEI565'!$K$6:$K$2990,'CEI565'!$N$6:$N$2990,B94,'CEI565'!$L$6:$L$2990,"Bond Return")+SUMIFS('1SM3VL'!$K$6:$K$2990,'1SM3VL'!$N$6:$N$2990,B94,'1SM3VL'!$L$6:$L$2990,"Bond Return")+SUMIFS('1QF4SM'!$K$6:$K$2990,'1QF4SM'!$N$6:$N$2990,B94,'1QF4SM'!$L$6:$L$2990,"Bond Return")+SUMIFS('1UV5KI'!$K$6:$K$2990,'1UV5KI'!$N$6:$N$2990,B94,'1UV5KI'!$L$6:$L$2990,"Bond Return")+SUMIFS(#REF!,#REF!,B94,#REF!,"Bond Return")+SUMIFS('1UL9RY'!$K$6:$K$2990,'1UL9RY'!$N$6:$N$2990,B94,'1UL9RY'!$L$6:$L$2990,"Bond Return")+SUMIFS('1OZ7GT'!$K$6:$K$2990,'1OZ7GT'!$N$6:$N$2990,B94,'1OZ7GT'!$L$6:$L$2990,"Bond Return")+SUMIFS('1CN8DD'!$K$6:$K$2990,'1CN8DD'!$N$6:$N$2990,B94,'1CN8DD'!$L$6:$L$2990,"Bond Return")+SUMIFS('1UT9BR'!$K$6:$K$2990,'1UT9BR'!$N$6:$N$2990,B94,'1UT9BR'!$L$6:$L$2990,"Bond Return")+SUMIFS('1MK4UR'!$K$6:$K$2990,'1MK4UR'!$N$6:$N$2990,B94,'1MK4UR'!$L$6:$L$2990,"Bond Return")+SUMIFS(#REF!,#REF!,B94,#REF!,"Bond Return")+SUMIFS('1JI2UE'!$K$6:$K$2990,'1JI2UE'!$N$6:$N$2990,B94,'1JI2UE'!$L$6:$L$2990,"Bond Return")+SUMIFS(#REF!,#REF!,B94,#REF!,"Bond Return")+SUMIFS('1SI9BW'!$K$6:$K$2990,'1SI9BW'!$N$6:$N$2990,B94,'1SI9BW'!$L$6:$L$2990,"Bond Return")+SUMIFS(Suzuki!$K$6:$K$2990,Suzuki!$N$6:$N$2990,B94,Suzuki!$L$6:$L$2990,"Bond Return")+SUMIFS('1SK3DD'!$K$6:$K$2990,'1SK3DD'!$N$6:$N$2990,B94,'1SK3DD'!$L$6:$L$2990,"Bond Return")+SUMIFS('1SX5TQ'!$K$6:$K$2990,'1SX5TQ'!$N$6:$N$2990,B94,'1SX5TQ'!$L$6:$L$2990,"Bond Return")+SUMIFS('BMM465'!$K$6:$K$2990,'BMM465'!$N$6:$N$2990,B94,'BMM465'!$L$6:$L$2990,"Bond Return")+SUMIFS('1CF1ZO'!$K$6:$K$2990,'1CF1ZO'!$N$6:$N$2990,B94,'1CF1ZO'!$L$6:$L$2990,"Bond Return")+SUMIFS('1UK1BK'!$K$6:$K$2990,'1UK1BK'!$N$6:$N$2990,B94,'1UK1BK'!$L$6:$L$2990,"Bond Return"))))</f>
        <v>#REF!</v>
      </c>
      <c r="AE94" s="16">
        <v>45003</v>
      </c>
      <c r="AF94" s="17">
        <v>82.5</v>
      </c>
      <c r="AG94" t="s">
        <v>122</v>
      </c>
      <c r="AH94" s="216" t="s">
        <v>962</v>
      </c>
      <c r="AI94" t="s">
        <v>960</v>
      </c>
      <c r="AJ94" s="124" t="s">
        <v>1005</v>
      </c>
    </row>
    <row r="95" spans="1:36" ht="15" customHeight="1" x14ac:dyDescent="0.25">
      <c r="I95" s="209"/>
      <c r="K95" s="16"/>
      <c r="L95" s="17"/>
      <c r="M95"/>
      <c r="N95" s="149" t="e">
        <f>SUMIFS('CEI565'!$D$6:$D$2994,'CEI565'!$I$6:$I$2994,B95,'CEI565'!$F$6:$F$2994,"Bond Received")+SUMIFS('1SM3VL'!$D$6:$D$2994,'1SM3VL'!$I$6:$I$2994,B95,'1SM3VL'!$F$6:$F$2994,"Bond Received")+SUMIFS('1QF4SM'!$D$6:$D$2994,'1QF4SM'!$I$6:$I$2994,B95,'1QF4SM'!$F$6:$F$2994,"Bond Received")+SUMIFS('1UV5KI'!$D$6:$D$2994,'1UV5KI'!$I$6:$I$2994,B95,'1UV5KI'!$F$6:$F$2994,"Bond Received")+SUMIFS(#REF!,#REF!,B95,#REF!,"Bond Received")+SUMIFS('1UL9RY'!$D$6:$D$2994,'1UL9RY'!$I$6:$I$2994,B95,'1UL9RY'!$F$6:$F$2994,"Bond Received")+SUMIFS('1OZ7GT'!$D$6:$D$2994,'1OZ7GT'!$I$6:$I$2994,B95,'1OZ7GT'!$F$6:$F$2994,"Bond Received")+SUMIFS('1CN8DD'!$D$6:$D$2994,'1CN8DD'!$I$6:$I$2994,B95,'1CN8DD'!$F$6:$F$2994,"Bond Received")+SUMIFS('1UT9BR'!$D$6:$D$2994,'1UT9BR'!$I$6:$I$2994,B95,'1UT9BR'!$F$6:$F$2994,"Bond Received")+SUMIFS('1MK4UR'!$D$6:$D$2994,'1MK4UR'!$I$6:$I$2994,B95,'1MK4UR'!$F$6:$F$2994,"Bond Received")+SUMIFS(#REF!,#REF!,B95,#REF!,"Bond Received")+SUMIFS('1JI2UE'!$D$6:$D$2994,'1JI2UE'!$I$6:$I$2994,B95,'1JI2UE'!$F$6:$F$2994,"Bond Received")+SUMIFS(#REF!,#REF!,B95,#REF!,"Bond Received")+SUMIFS('1SI9BW'!$D$6:$D$2994,'1SI9BW'!$I$6:$I$2994,B95,'1SI9BW'!$F$6:$F$2994,"Bond Received")+SUMIFS(Suzuki!$D$6:$D$2994,Suzuki!$I$6:$I$2994,B95,Suzuki!$F$6:$F$2994,"Bond Received")+SUMIFS('1SK3DD'!$D$6:$D$2994,'1SK3DD'!$I$6:$I$2994,B95,'1SK3DD'!$F$6:$F$2994,"Bond Received")+SUMIFS('1SX5TQ'!$D$6:$D$2994,'1SX5TQ'!$I$6:$I$2994,B95,'1SX5TQ'!$F$6:$F$2994,"Bond Received")+SUMIFS('BMM465'!$D$6:$D$2994,'BMM465'!$I$6:$I$2994,B95,'BMM465'!$F$6:$F$2994,"Bond Received")+SUMIFS('1CF1ZO'!$D$6:$D$2994,'1CF1ZO'!$I$6:$I$2994,B95,'1CF1ZO'!$F$6:$F$2994,"Bond Received")+SUMIFS('1UK1BK'!$D$6:$D$2994,'1UK1BK'!$I$6:$I$2994,B95,'1UK1BK'!$F$6:$F$2994,"Bond Received")-(((SUMIFS('CEI565'!$K$6:$K$2990,'CEI565'!$N$6:$N$2990,B95,'CEI565'!$L$6:$L$2990,"Bond Return")+SUMIFS('1SM3VL'!$K$6:$K$2990,'1SM3VL'!$N$6:$N$2990,B95,'1SM3VL'!$L$6:$L$2990,"Bond Return")+SUMIFS('1QF4SM'!$K$6:$K$2990,'1QF4SM'!$N$6:$N$2990,B95,'1QF4SM'!$L$6:$L$2990,"Bond Return")+SUMIFS('1UV5KI'!$K$6:$K$2990,'1UV5KI'!$N$6:$N$2990,B95,'1UV5KI'!$L$6:$L$2990,"Bond Return")+SUMIFS(#REF!,#REF!,B95,#REF!,"Bond Return")+SUMIFS('1UL9RY'!$K$6:$K$2990,'1UL9RY'!$N$6:$N$2990,B95,'1UL9RY'!$L$6:$L$2990,"Bond Return")+SUMIFS('1OZ7GT'!$K$6:$K$2990,'1OZ7GT'!$N$6:$N$2990,B95,'1OZ7GT'!$L$6:$L$2990,"Bond Return")+SUMIFS('1CN8DD'!$K$6:$K$2990,'1CN8DD'!$N$6:$N$2990,B95,'1CN8DD'!$L$6:$L$2990,"Bond Return")+SUMIFS('1UT9BR'!$K$6:$K$2990,'1UT9BR'!$N$6:$N$2990,B95,'1UT9BR'!$L$6:$L$2990,"Bond Return")+SUMIFS('1MK4UR'!$K$6:$K$2990,'1MK4UR'!$N$6:$N$2990,B95,'1MK4UR'!$L$6:$L$2990,"Bond Return")+SUMIFS(#REF!,#REF!,B95,#REF!,"Bond Return")+SUMIFS('1JI2UE'!$K$6:$K$2990,'1JI2UE'!$N$6:$N$2990,B95,'1JI2UE'!$L$6:$L$2990,"Bond Return")+SUMIFS(#REF!,#REF!,B95,#REF!,"Bond Return")+SUMIFS('1SI9BW'!$K$6:$K$2990,'1SI9BW'!$N$6:$N$2990,B95,'1SI9BW'!$L$6:$L$2990,"Bond Return")+SUMIFS(Suzuki!$K$6:$K$2990,Suzuki!$N$6:$N$2990,B95,Suzuki!$L$6:$L$2990,"Bond Return")+SUMIFS('1SK3DD'!$K$6:$K$2990,'1SK3DD'!$N$6:$N$2990,B95,'1SK3DD'!$L$6:$L$2990,"Bond Return")+SUMIFS('1SX5TQ'!$K$6:$K$2990,'1SX5TQ'!$N$6:$N$2990,B95,'1SX5TQ'!$L$6:$L$2990,"Bond Return")+SUMIFS('BMM465'!$K$6:$K$2990,'BMM465'!$N$6:$N$2990,B95,'BMM465'!$L$6:$L$2990,"Bond Return")+SUMIFS('1CF1ZO'!$K$6:$K$2990,'1CF1ZO'!$N$6:$N$2990,B95,'1CF1ZO'!$L$6:$L$2990,"Bond Return")+SUMIFS('1UK1BK'!$K$6:$K$2990,'1UK1BK'!$N$6:$N$2990,B95,'1UK1BK'!$L$6:$L$2990,"Bond Return"))))</f>
        <v>#REF!</v>
      </c>
      <c r="O95"/>
    </row>
    <row r="96" spans="1:36" ht="15" customHeight="1" x14ac:dyDescent="0.25">
      <c r="D96" s="16"/>
      <c r="E96" s="54"/>
      <c r="I96" s="209"/>
      <c r="K96" s="16"/>
      <c r="L96" s="17"/>
      <c r="M96"/>
      <c r="N96"/>
      <c r="O96"/>
    </row>
    <row r="97" spans="4:15" ht="15" customHeight="1" x14ac:dyDescent="0.25">
      <c r="D97" s="16"/>
      <c r="E97" s="17"/>
      <c r="I97" s="209"/>
      <c r="K97" s="16"/>
      <c r="L97" s="17"/>
      <c r="M97"/>
      <c r="N97"/>
      <c r="O97"/>
    </row>
    <row r="98" spans="4:15" ht="15" customHeight="1" x14ac:dyDescent="0.25">
      <c r="D98" s="16"/>
      <c r="E98" s="17"/>
      <c r="I98" s="209"/>
      <c r="K98" s="16"/>
      <c r="L98" s="17"/>
      <c r="M98"/>
      <c r="N98"/>
      <c r="O98"/>
    </row>
    <row r="99" spans="4:15" ht="15" customHeight="1" x14ac:dyDescent="0.25">
      <c r="D99" s="16"/>
      <c r="E99" s="17"/>
      <c r="I99" s="209"/>
      <c r="K99" s="16"/>
      <c r="L99" s="17"/>
      <c r="M99"/>
      <c r="N99"/>
      <c r="O99"/>
    </row>
    <row r="100" spans="4:15" ht="15" customHeight="1" x14ac:dyDescent="0.25">
      <c r="D100" s="16"/>
      <c r="E100" s="17"/>
      <c r="I100" s="209"/>
      <c r="K100" s="16"/>
      <c r="L100" s="17"/>
      <c r="M100"/>
      <c r="N100"/>
      <c r="O100"/>
    </row>
    <row r="101" spans="4:15" ht="15" customHeight="1" x14ac:dyDescent="0.25">
      <c r="D101" s="16"/>
      <c r="E101" s="17"/>
      <c r="I101" s="209"/>
      <c r="K101" s="210"/>
    </row>
    <row r="102" spans="4:15" ht="15" customHeight="1" x14ac:dyDescent="0.25">
      <c r="D102" s="16"/>
      <c r="E102" s="17"/>
      <c r="I102" s="209"/>
      <c r="K102" s="210"/>
    </row>
    <row r="103" spans="4:15" ht="15" customHeight="1" x14ac:dyDescent="0.25">
      <c r="D103" s="16"/>
      <c r="E103" s="17"/>
      <c r="I103" s="209"/>
      <c r="K103" s="210"/>
    </row>
    <row r="104" spans="4:15" ht="15" customHeight="1" x14ac:dyDescent="0.25">
      <c r="D104" s="16"/>
      <c r="E104" s="17"/>
      <c r="I104" s="209"/>
      <c r="K104" s="210"/>
    </row>
    <row r="105" spans="4:15" ht="15" customHeight="1" x14ac:dyDescent="0.25">
      <c r="D105" s="16"/>
      <c r="E105" s="17"/>
      <c r="I105" s="209"/>
      <c r="K105" s="210"/>
    </row>
    <row r="106" spans="4:15" ht="15" customHeight="1" x14ac:dyDescent="0.25">
      <c r="D106" s="16"/>
      <c r="E106" s="17"/>
      <c r="I106" s="209"/>
      <c r="K106" s="210"/>
    </row>
    <row r="107" spans="4:15" ht="15" customHeight="1" x14ac:dyDescent="0.25">
      <c r="D107" s="16"/>
      <c r="E107" s="17"/>
      <c r="I107" s="209"/>
      <c r="K107" s="210"/>
    </row>
    <row r="108" spans="4:15" ht="15" customHeight="1" x14ac:dyDescent="0.25">
      <c r="D108" s="16"/>
      <c r="E108" s="17"/>
      <c r="I108" s="209"/>
      <c r="K108" s="210"/>
    </row>
    <row r="109" spans="4:15" ht="15" customHeight="1" x14ac:dyDescent="0.25">
      <c r="D109" s="16"/>
      <c r="E109" s="17"/>
      <c r="I109" s="209"/>
      <c r="K109" s="210"/>
    </row>
    <row r="110" spans="4:15" ht="15" customHeight="1" x14ac:dyDescent="0.25">
      <c r="D110" s="16"/>
      <c r="E110" s="17"/>
      <c r="I110" s="209"/>
      <c r="K110" s="210"/>
    </row>
    <row r="111" spans="4:15" ht="15" customHeight="1" x14ac:dyDescent="0.25">
      <c r="D111" s="16"/>
      <c r="E111" s="17"/>
      <c r="I111" s="209"/>
      <c r="K111" s="210"/>
    </row>
    <row r="112" spans="4:15" ht="15" customHeight="1" x14ac:dyDescent="0.25">
      <c r="D112" s="16"/>
      <c r="E112" s="17"/>
      <c r="I112" s="209"/>
      <c r="K112" s="210"/>
    </row>
    <row r="113" spans="4:11" ht="15" customHeight="1" x14ac:dyDescent="0.25">
      <c r="D113" s="16"/>
      <c r="E113" s="17"/>
      <c r="I113" s="209"/>
      <c r="K113" s="210"/>
    </row>
    <row r="114" spans="4:11" ht="15" customHeight="1" x14ac:dyDescent="0.25">
      <c r="D114" s="16"/>
      <c r="E114" s="17"/>
      <c r="I114" s="209"/>
      <c r="K114" s="210"/>
    </row>
    <row r="115" spans="4:11" ht="15" customHeight="1" x14ac:dyDescent="0.25">
      <c r="D115" s="16"/>
      <c r="E115" s="17"/>
      <c r="I115" s="209"/>
      <c r="K115" s="210"/>
    </row>
    <row r="116" spans="4:11" ht="15" customHeight="1" x14ac:dyDescent="0.25">
      <c r="D116" s="16"/>
      <c r="E116" s="17"/>
      <c r="I116" s="209"/>
      <c r="K116" s="210"/>
    </row>
    <row r="117" spans="4:11" ht="15" customHeight="1" x14ac:dyDescent="0.25">
      <c r="D117" s="16"/>
      <c r="E117" s="17"/>
      <c r="I117" s="209"/>
      <c r="K117" s="210"/>
    </row>
    <row r="118" spans="4:11" ht="15" customHeight="1" x14ac:dyDescent="0.25">
      <c r="D118" s="16"/>
      <c r="E118" s="17"/>
      <c r="I118" s="209"/>
      <c r="K118" s="210"/>
    </row>
    <row r="119" spans="4:11" ht="15" customHeight="1" x14ac:dyDescent="0.25">
      <c r="D119" s="16"/>
      <c r="E119" s="17"/>
      <c r="I119" s="209"/>
      <c r="K119" s="210"/>
    </row>
    <row r="120" spans="4:11" ht="15" customHeight="1" x14ac:dyDescent="0.25">
      <c r="D120" s="16"/>
      <c r="E120" s="17"/>
      <c r="I120" s="209"/>
      <c r="K120" s="210"/>
    </row>
    <row r="121" spans="4:11" ht="15" customHeight="1" x14ac:dyDescent="0.25">
      <c r="D121" s="16"/>
      <c r="E121" s="17"/>
      <c r="I121" s="209"/>
      <c r="K121" s="210"/>
    </row>
    <row r="122" spans="4:11" ht="15" customHeight="1" x14ac:dyDescent="0.25">
      <c r="D122" s="16"/>
      <c r="E122" s="17"/>
      <c r="I122" s="209"/>
      <c r="K122" s="210"/>
    </row>
    <row r="123" spans="4:11" ht="15" customHeight="1" x14ac:dyDescent="0.25">
      <c r="D123" s="16"/>
      <c r="E123" s="17"/>
      <c r="I123" s="209"/>
      <c r="K123" s="210"/>
    </row>
    <row r="124" spans="4:11" ht="15" customHeight="1" x14ac:dyDescent="0.25">
      <c r="D124" s="16"/>
      <c r="E124" s="17"/>
      <c r="I124" s="209"/>
      <c r="K124" s="210"/>
    </row>
    <row r="125" spans="4:11" ht="15" customHeight="1" x14ac:dyDescent="0.25">
      <c r="D125" s="16"/>
      <c r="E125" s="17"/>
      <c r="I125" s="209"/>
      <c r="K125" s="210"/>
    </row>
    <row r="126" spans="4:11" ht="15" customHeight="1" x14ac:dyDescent="0.25">
      <c r="D126" s="16"/>
      <c r="E126" s="17"/>
      <c r="I126" s="209"/>
      <c r="K126" s="210"/>
    </row>
    <row r="127" spans="4:11" ht="15" customHeight="1" x14ac:dyDescent="0.25">
      <c r="D127" s="16"/>
      <c r="E127" s="17"/>
      <c r="I127" s="209"/>
      <c r="K127" s="210"/>
    </row>
    <row r="128" spans="4:11" ht="15" customHeight="1" x14ac:dyDescent="0.25">
      <c r="D128" s="16"/>
      <c r="E128" s="17"/>
      <c r="I128" s="209"/>
      <c r="K128" s="210"/>
    </row>
    <row r="129" spans="4:11" ht="15" customHeight="1" x14ac:dyDescent="0.25">
      <c r="D129" s="16"/>
      <c r="E129" s="17"/>
      <c r="I129" s="209"/>
      <c r="K129" s="210"/>
    </row>
    <row r="130" spans="4:11" ht="15" customHeight="1" x14ac:dyDescent="0.25">
      <c r="D130" s="16"/>
      <c r="E130" s="17"/>
      <c r="I130" s="209"/>
      <c r="K130" s="210"/>
    </row>
    <row r="131" spans="4:11" ht="15" customHeight="1" x14ac:dyDescent="0.25">
      <c r="D131" s="16"/>
      <c r="E131" s="17"/>
      <c r="I131" s="209"/>
      <c r="K131" s="210"/>
    </row>
    <row r="132" spans="4:11" ht="15" customHeight="1" x14ac:dyDescent="0.25">
      <c r="D132" s="16"/>
      <c r="E132" s="17"/>
      <c r="I132" s="209"/>
      <c r="K132" s="210"/>
    </row>
    <row r="133" spans="4:11" ht="15" customHeight="1" x14ac:dyDescent="0.25">
      <c r="D133" s="16"/>
      <c r="E133" s="17"/>
      <c r="I133" s="209"/>
      <c r="K133" s="210"/>
    </row>
    <row r="134" spans="4:11" ht="15" customHeight="1" x14ac:dyDescent="0.25">
      <c r="D134" s="16"/>
      <c r="E134" s="17"/>
      <c r="I134" s="209"/>
      <c r="K134" s="210"/>
    </row>
    <row r="135" spans="4:11" ht="15" customHeight="1" x14ac:dyDescent="0.25">
      <c r="I135" s="209"/>
      <c r="K135" s="210"/>
    </row>
    <row r="136" spans="4:11" ht="15" customHeight="1" x14ac:dyDescent="0.25">
      <c r="I136" s="209"/>
      <c r="K136" s="210"/>
    </row>
    <row r="137" spans="4:11" ht="15" customHeight="1" x14ac:dyDescent="0.25">
      <c r="I137" s="209"/>
      <c r="K137" s="210"/>
    </row>
    <row r="138" spans="4:11" ht="15" customHeight="1" x14ac:dyDescent="0.25">
      <c r="E138" s="54"/>
      <c r="G138" s="201"/>
      <c r="H138" s="112"/>
      <c r="I138" s="209"/>
      <c r="K138" s="210"/>
    </row>
    <row r="139" spans="4:11" ht="15" customHeight="1" x14ac:dyDescent="0.25">
      <c r="I139" s="209"/>
      <c r="K139" s="210"/>
    </row>
    <row r="140" spans="4:11" ht="15" customHeight="1" x14ac:dyDescent="0.25">
      <c r="I140" s="209"/>
      <c r="K140" s="210"/>
    </row>
    <row r="141" spans="4:11" ht="15" customHeight="1" x14ac:dyDescent="0.25">
      <c r="I141" s="209"/>
      <c r="K141" s="210"/>
    </row>
    <row r="142" spans="4:11" ht="15" customHeight="1" x14ac:dyDescent="0.25">
      <c r="I142" s="209"/>
      <c r="K142" s="210"/>
    </row>
    <row r="143" spans="4:11" ht="15" customHeight="1" x14ac:dyDescent="0.25">
      <c r="I143" s="209"/>
      <c r="K143" s="210"/>
    </row>
    <row r="144" spans="4:11" ht="15" customHeight="1" x14ac:dyDescent="0.25">
      <c r="I144" s="209"/>
      <c r="K144" s="210"/>
    </row>
    <row r="145" spans="9:11" ht="15" customHeight="1" x14ac:dyDescent="0.25">
      <c r="I145" s="209"/>
      <c r="K145" s="210"/>
    </row>
    <row r="146" spans="9:11" ht="15" customHeight="1" x14ac:dyDescent="0.25">
      <c r="I146" s="209"/>
      <c r="K146" s="210"/>
    </row>
    <row r="147" spans="9:11" ht="15" customHeight="1" x14ac:dyDescent="0.25">
      <c r="I147" s="209"/>
      <c r="K147" s="210"/>
    </row>
    <row r="148" spans="9:11" ht="15" customHeight="1" x14ac:dyDescent="0.25">
      <c r="I148" s="209"/>
      <c r="K148" s="210"/>
    </row>
    <row r="149" spans="9:11" ht="15" customHeight="1" x14ac:dyDescent="0.25">
      <c r="I149" s="209"/>
      <c r="K149" s="210"/>
    </row>
    <row r="150" spans="9:11" ht="15" customHeight="1" x14ac:dyDescent="0.25">
      <c r="I150" s="209"/>
      <c r="K150" s="210"/>
    </row>
    <row r="151" spans="9:11" ht="15" customHeight="1" x14ac:dyDescent="0.25">
      <c r="I151" s="209"/>
      <c r="K151" s="210"/>
    </row>
    <row r="152" spans="9:11" ht="15" customHeight="1" x14ac:dyDescent="0.25">
      <c r="I152" s="209"/>
      <c r="K152" s="210"/>
    </row>
    <row r="153" spans="9:11" ht="15" customHeight="1" x14ac:dyDescent="0.25">
      <c r="I153" s="209"/>
      <c r="K153" s="210"/>
    </row>
  </sheetData>
  <mergeCells count="37">
    <mergeCell ref="B1:B2"/>
    <mergeCell ref="R1:R2"/>
    <mergeCell ref="S1:S2"/>
    <mergeCell ref="G1:G2"/>
    <mergeCell ref="D1:D2"/>
    <mergeCell ref="E1:E2"/>
    <mergeCell ref="Q1:Q2"/>
    <mergeCell ref="J1:J2"/>
    <mergeCell ref="O1:O2"/>
    <mergeCell ref="I1:I2"/>
    <mergeCell ref="F1:F2"/>
    <mergeCell ref="N1:N2"/>
    <mergeCell ref="P1:P2"/>
    <mergeCell ref="H1:H2"/>
    <mergeCell ref="M1:M2"/>
    <mergeCell ref="K1:L1"/>
    <mergeCell ref="F37:F38"/>
    <mergeCell ref="G37:G38"/>
    <mergeCell ref="H37:H38"/>
    <mergeCell ref="I37:I38"/>
    <mergeCell ref="J37:J38"/>
    <mergeCell ref="A37:A38"/>
    <mergeCell ref="B37:B38"/>
    <mergeCell ref="C37:C38"/>
    <mergeCell ref="D37:D38"/>
    <mergeCell ref="E37:E38"/>
    <mergeCell ref="AA1:AA2"/>
    <mergeCell ref="K37:K38"/>
    <mergeCell ref="L37:L38"/>
    <mergeCell ref="M37:M38"/>
    <mergeCell ref="N37:N38"/>
    <mergeCell ref="Z1:Z2"/>
    <mergeCell ref="T1:T2"/>
    <mergeCell ref="W1:W2"/>
    <mergeCell ref="Y1:Y2"/>
    <mergeCell ref="X1:X2"/>
    <mergeCell ref="V1:V2"/>
  </mergeCells>
  <conditionalFormatting sqref="N4:O23">
    <cfRule type="cellIs" priority="1393" operator="greaterThan">
      <formula>TODAY()-355</formula>
    </cfRule>
    <cfRule type="cellIs" dxfId="1288" priority="1394" operator="lessThanOrEqual">
      <formula>TODAY()-365</formula>
    </cfRule>
  </conditionalFormatting>
  <conditionalFormatting sqref="O4">
    <cfRule type="cellIs" dxfId="1287" priority="1390" operator="between">
      <formula>TODAY()</formula>
      <formula>TODAY()+7</formula>
    </cfRule>
    <cfRule type="cellIs" priority="1391" operator="lessThan">
      <formula>TODAY()</formula>
    </cfRule>
    <cfRule type="cellIs" dxfId="1286" priority="1392" stopIfTrue="1" operator="lessThan">
      <formula>TODAY()</formula>
    </cfRule>
  </conditionalFormatting>
  <conditionalFormatting sqref="H7">
    <cfRule type="containsText" dxfId="1285" priority="1381" operator="containsText" text="Insurance Number, Amount &amp; Date">
      <formula>NOT(ISERROR(SEARCH("Insurance Number, Amount &amp; Date",H7)))</formula>
    </cfRule>
    <cfRule type="containsText" dxfId="1284" priority="1382" stopIfTrue="1" operator="containsText" text="Pay Insurance">
      <formula>NOT(ISERROR(SEARCH("Pay Insurance",H7)))</formula>
    </cfRule>
  </conditionalFormatting>
  <conditionalFormatting sqref="H4:H23">
    <cfRule type="containsText" dxfId="1283" priority="1388" operator="containsText" text="Insurance Number, Amount &amp; Date">
      <formula>NOT(ISERROR(SEARCH("Insurance Number, Amount &amp; Date",H4)))</formula>
    </cfRule>
    <cfRule type="containsText" dxfId="1282" priority="1389" stopIfTrue="1" operator="containsText" text="Pay Insurance">
      <formula>NOT(ISERROR(SEARCH("Pay Insurance",H4)))</formula>
    </cfRule>
  </conditionalFormatting>
  <conditionalFormatting sqref="M4:M23">
    <cfRule type="cellIs" dxfId="1281" priority="1396" operator="between">
      <formula>TODAY()</formula>
      <formula>TODAY()+7</formula>
    </cfRule>
    <cfRule type="cellIs" priority="1397" operator="lessThan">
      <formula>TODAY()</formula>
    </cfRule>
    <cfRule type="cellIs" dxfId="1280" priority="1398" stopIfTrue="1" operator="lessThan">
      <formula>TODAY()</formula>
    </cfRule>
  </conditionalFormatting>
  <conditionalFormatting sqref="L4:L23">
    <cfRule type="cellIs" dxfId="1279" priority="1380" operator="greaterThan">
      <formula>TODAY()-83</formula>
    </cfRule>
    <cfRule type="cellIs" dxfId="1278" priority="1399" operator="between">
      <formula>TODAY()</formula>
      <formula>TODAY()+7</formula>
    </cfRule>
    <cfRule type="cellIs" dxfId="1277" priority="1400" stopIfTrue="1" operator="lessThanOrEqual">
      <formula>TODAY()-90</formula>
    </cfRule>
  </conditionalFormatting>
  <conditionalFormatting sqref="K4:K23">
    <cfRule type="cellIs" dxfId="1276" priority="1386" operator="greaterThan">
      <formula>V4-8000</formula>
    </cfRule>
    <cfRule type="cellIs" dxfId="1275" priority="1387" stopIfTrue="1" operator="lessThanOrEqual">
      <formula>V4-10000</formula>
    </cfRule>
  </conditionalFormatting>
  <conditionalFormatting sqref="M24">
    <cfRule type="cellIs" dxfId="1274" priority="1374" operator="between">
      <formula>TODAY()</formula>
      <formula>TODAY()+7</formula>
    </cfRule>
    <cfRule type="cellIs" priority="1375" operator="lessThan">
      <formula>TODAY()</formula>
    </cfRule>
    <cfRule type="cellIs" dxfId="1273" priority="1376" stopIfTrue="1" operator="lessThan">
      <formula>TODAY()</formula>
    </cfRule>
  </conditionalFormatting>
  <conditionalFormatting sqref="M25">
    <cfRule type="cellIs" dxfId="1272" priority="1371" operator="between">
      <formula>TODAY()</formula>
      <formula>TODAY()+7</formula>
    </cfRule>
    <cfRule type="cellIs" priority="1372" operator="lessThan">
      <formula>TODAY()</formula>
    </cfRule>
    <cfRule type="cellIs" dxfId="1271" priority="1373" stopIfTrue="1" operator="lessThan">
      <formula>TODAY()</formula>
    </cfRule>
  </conditionalFormatting>
  <conditionalFormatting sqref="F96">
    <cfRule type="expression" dxfId="1270" priority="1370">
      <formula>AND(#REF!&lt;&gt;"",MOD(ROW(),2))</formula>
    </cfRule>
  </conditionalFormatting>
  <conditionalFormatting sqref="F96">
    <cfRule type="expression" dxfId="1269" priority="1369">
      <formula>AND(#REF!&lt;&gt;"",MOD(ROW(),2))</formula>
    </cfRule>
  </conditionalFormatting>
  <conditionalFormatting sqref="F96">
    <cfRule type="expression" dxfId="1268" priority="1368">
      <formula>AND(#REF!&lt;&gt;"",MOD(ROW(),2))</formula>
    </cfRule>
  </conditionalFormatting>
  <conditionalFormatting sqref="F96">
    <cfRule type="expression" dxfId="1267" priority="1367">
      <formula>AND(#REF!&lt;&gt;"",MOD(ROW(),2))</formula>
    </cfRule>
  </conditionalFormatting>
  <conditionalFormatting sqref="F96">
    <cfRule type="expression" dxfId="1266" priority="1366">
      <formula>AND(#REF!&lt;&gt;"",MOD(ROW(),2))</formula>
    </cfRule>
  </conditionalFormatting>
  <conditionalFormatting sqref="F96">
    <cfRule type="expression" dxfId="1265" priority="1365">
      <formula>AND(#REF!&lt;&gt;"",MOD(ROW(),2))</formula>
    </cfRule>
  </conditionalFormatting>
  <conditionalFormatting sqref="F96">
    <cfRule type="expression" dxfId="1264" priority="1364">
      <formula>AND(#REF!&lt;&gt;"",MOD(ROW(),2))</formula>
    </cfRule>
  </conditionalFormatting>
  <conditionalFormatting sqref="E97 AM14 AT16">
    <cfRule type="expression" dxfId="1263" priority="1363">
      <formula>AND($A1048574&lt;&gt;"",MOD(ROW(),2))</formula>
    </cfRule>
  </conditionalFormatting>
  <conditionalFormatting sqref="E97">
    <cfRule type="cellIs" dxfId="1262" priority="1360" operator="equal">
      <formula>#REF!</formula>
    </cfRule>
    <cfRule type="cellIs" dxfId="1261" priority="1361" operator="greaterThan">
      <formula>#REF!</formula>
    </cfRule>
    <cfRule type="cellIs" dxfId="1260" priority="1362" operator="lessThan">
      <formula>#REF!</formula>
    </cfRule>
  </conditionalFormatting>
  <conditionalFormatting sqref="E98:E99">
    <cfRule type="expression" dxfId="1259" priority="1355">
      <formula>AND($A82&lt;&gt;"",MOD(ROW(),2))</formula>
    </cfRule>
  </conditionalFormatting>
  <conditionalFormatting sqref="E98:E99">
    <cfRule type="cellIs" dxfId="1258" priority="1352" operator="equal">
      <formula>#REF!</formula>
    </cfRule>
    <cfRule type="cellIs" dxfId="1257" priority="1353" operator="greaterThan">
      <formula>#REF!</formula>
    </cfRule>
    <cfRule type="cellIs" dxfId="1256" priority="1354" operator="lessThan">
      <formula>#REF!</formula>
    </cfRule>
  </conditionalFormatting>
  <conditionalFormatting sqref="E100">
    <cfRule type="expression" dxfId="1255" priority="1351">
      <formula>AND($A84&lt;&gt;"",MOD(ROW(),2))</formula>
    </cfRule>
  </conditionalFormatting>
  <conditionalFormatting sqref="E100">
    <cfRule type="cellIs" dxfId="1254" priority="1348" operator="equal">
      <formula>#REF!</formula>
    </cfRule>
    <cfRule type="cellIs" dxfId="1253" priority="1349" operator="greaterThan">
      <formula>#REF!</formula>
    </cfRule>
    <cfRule type="cellIs" dxfId="1252" priority="1350" operator="lessThan">
      <formula>#REF!</formula>
    </cfRule>
  </conditionalFormatting>
  <conditionalFormatting sqref="E100">
    <cfRule type="expression" dxfId="1251" priority="1347">
      <formula>AND($A84&lt;&gt;"",MOD(ROW(),2))</formula>
    </cfRule>
  </conditionalFormatting>
  <conditionalFormatting sqref="E100">
    <cfRule type="cellIs" dxfId="1250" priority="1344" operator="equal">
      <formula>#REF!</formula>
    </cfRule>
    <cfRule type="cellIs" dxfId="1249" priority="1345" operator="greaterThan">
      <formula>#REF!</formula>
    </cfRule>
    <cfRule type="cellIs" dxfId="1248" priority="1346" operator="lessThan">
      <formula>#REF!</formula>
    </cfRule>
  </conditionalFormatting>
  <conditionalFormatting sqref="E101">
    <cfRule type="expression" dxfId="1247" priority="1343">
      <formula>AND($A85&lt;&gt;"",MOD(ROW(),2))</formula>
    </cfRule>
  </conditionalFormatting>
  <conditionalFormatting sqref="E101">
    <cfRule type="cellIs" dxfId="1246" priority="1340" operator="equal">
      <formula>#REF!</formula>
    </cfRule>
    <cfRule type="cellIs" dxfId="1245" priority="1341" operator="greaterThan">
      <formula>#REF!</formula>
    </cfRule>
    <cfRule type="cellIs" dxfId="1244" priority="1342" operator="lessThan">
      <formula>#REF!</formula>
    </cfRule>
  </conditionalFormatting>
  <conditionalFormatting sqref="E101">
    <cfRule type="expression" dxfId="1243" priority="1339">
      <formula>AND($A85&lt;&gt;"",MOD(ROW(),2))</formula>
    </cfRule>
  </conditionalFormatting>
  <conditionalFormatting sqref="E101">
    <cfRule type="cellIs" dxfId="1242" priority="1336" operator="equal">
      <formula>#REF!</formula>
    </cfRule>
    <cfRule type="cellIs" dxfId="1241" priority="1337" operator="greaterThan">
      <formula>#REF!</formula>
    </cfRule>
    <cfRule type="cellIs" dxfId="1240" priority="1338" operator="lessThan">
      <formula>#REF!</formula>
    </cfRule>
  </conditionalFormatting>
  <conditionalFormatting sqref="L95">
    <cfRule type="expression" dxfId="1239" priority="1335">
      <formula>AND($A79&lt;&gt;"",MOD(ROW(),2))</formula>
    </cfRule>
  </conditionalFormatting>
  <conditionalFormatting sqref="L95">
    <cfRule type="cellIs" dxfId="1238" priority="1332" operator="equal">
      <formula>#REF!</formula>
    </cfRule>
    <cfRule type="cellIs" dxfId="1237" priority="1333" operator="greaterThan">
      <formula>#REF!</formula>
    </cfRule>
    <cfRule type="cellIs" dxfId="1236" priority="1334" operator="lessThan">
      <formula>#REF!</formula>
    </cfRule>
  </conditionalFormatting>
  <conditionalFormatting sqref="L95">
    <cfRule type="expression" dxfId="1235" priority="1331">
      <formula>AND($A79&lt;&gt;"",MOD(ROW(),2))</formula>
    </cfRule>
  </conditionalFormatting>
  <conditionalFormatting sqref="L95">
    <cfRule type="cellIs" dxfId="1234" priority="1328" operator="equal">
      <formula>#REF!</formula>
    </cfRule>
    <cfRule type="cellIs" dxfId="1233" priority="1329" operator="greaterThan">
      <formula>#REF!</formula>
    </cfRule>
    <cfRule type="cellIs" dxfId="1232" priority="1330" operator="lessThan">
      <formula>#REF!</formula>
    </cfRule>
  </conditionalFormatting>
  <conditionalFormatting sqref="L96">
    <cfRule type="expression" dxfId="1231" priority="1327">
      <formula>AND($A80&lt;&gt;"",MOD(ROW(),2))</formula>
    </cfRule>
  </conditionalFormatting>
  <conditionalFormatting sqref="L96">
    <cfRule type="cellIs" dxfId="1230" priority="1324" operator="equal">
      <formula>#REF!</formula>
    </cfRule>
    <cfRule type="cellIs" dxfId="1229" priority="1325" operator="greaterThan">
      <formula>#REF!</formula>
    </cfRule>
    <cfRule type="cellIs" dxfId="1228" priority="1326" operator="lessThan">
      <formula>#REF!</formula>
    </cfRule>
  </conditionalFormatting>
  <conditionalFormatting sqref="L96">
    <cfRule type="expression" dxfId="1227" priority="1323">
      <formula>AND($A80&lt;&gt;"",MOD(ROW(),2))</formula>
    </cfRule>
  </conditionalFormatting>
  <conditionalFormatting sqref="L96">
    <cfRule type="cellIs" dxfId="1226" priority="1320" operator="equal">
      <formula>#REF!</formula>
    </cfRule>
    <cfRule type="cellIs" dxfId="1225" priority="1321" operator="greaterThan">
      <formula>#REF!</formula>
    </cfRule>
    <cfRule type="cellIs" dxfId="1224" priority="1322" operator="lessThan">
      <formula>#REF!</formula>
    </cfRule>
  </conditionalFormatting>
  <conditionalFormatting sqref="E102">
    <cfRule type="expression" dxfId="1223" priority="1319">
      <formula>AND($A86&lt;&gt;"",MOD(ROW(),2))</formula>
    </cfRule>
  </conditionalFormatting>
  <conditionalFormatting sqref="E102">
    <cfRule type="cellIs" dxfId="1222" priority="1316" operator="equal">
      <formula>#REF!</formula>
    </cfRule>
    <cfRule type="cellIs" dxfId="1221" priority="1317" operator="greaterThan">
      <formula>#REF!</formula>
    </cfRule>
    <cfRule type="cellIs" dxfId="1220" priority="1318" operator="lessThan">
      <formula>#REF!</formula>
    </cfRule>
  </conditionalFormatting>
  <conditionalFormatting sqref="E102">
    <cfRule type="expression" dxfId="1219" priority="1315">
      <formula>AND($A86&lt;&gt;"",MOD(ROW(),2))</formula>
    </cfRule>
  </conditionalFormatting>
  <conditionalFormatting sqref="E102">
    <cfRule type="cellIs" dxfId="1218" priority="1312" operator="equal">
      <formula>#REF!</formula>
    </cfRule>
    <cfRule type="cellIs" dxfId="1217" priority="1313" operator="greaterThan">
      <formula>#REF!</formula>
    </cfRule>
    <cfRule type="cellIs" dxfId="1216" priority="1314" operator="lessThan">
      <formula>#REF!</formula>
    </cfRule>
  </conditionalFormatting>
  <conditionalFormatting sqref="E103">
    <cfRule type="expression" dxfId="1215" priority="1311">
      <formula>AND($A87&lt;&gt;"",MOD(ROW(),2))</formula>
    </cfRule>
  </conditionalFormatting>
  <conditionalFormatting sqref="E103">
    <cfRule type="cellIs" dxfId="1214" priority="1308" operator="equal">
      <formula>#REF!</formula>
    </cfRule>
    <cfRule type="cellIs" dxfId="1213" priority="1309" operator="greaterThan">
      <formula>#REF!</formula>
    </cfRule>
    <cfRule type="cellIs" dxfId="1212" priority="1310" operator="lessThan">
      <formula>#REF!</formula>
    </cfRule>
  </conditionalFormatting>
  <conditionalFormatting sqref="E103">
    <cfRule type="expression" dxfId="1211" priority="1307">
      <formula>AND($A87&lt;&gt;"",MOD(ROW(),2))</formula>
    </cfRule>
  </conditionalFormatting>
  <conditionalFormatting sqref="E103">
    <cfRule type="cellIs" dxfId="1210" priority="1304" operator="equal">
      <formula>#REF!</formula>
    </cfRule>
    <cfRule type="cellIs" dxfId="1209" priority="1305" operator="greaterThan">
      <formula>#REF!</formula>
    </cfRule>
    <cfRule type="cellIs" dxfId="1208" priority="1306" operator="lessThan">
      <formula>#REF!</formula>
    </cfRule>
  </conditionalFormatting>
  <conditionalFormatting sqref="E104">
    <cfRule type="expression" dxfId="1207" priority="1303">
      <formula>AND($A88&lt;&gt;"",MOD(ROW(),2))</formula>
    </cfRule>
  </conditionalFormatting>
  <conditionalFormatting sqref="E104">
    <cfRule type="cellIs" dxfId="1206" priority="1300" operator="equal">
      <formula>#REF!</formula>
    </cfRule>
    <cfRule type="cellIs" dxfId="1205" priority="1301" operator="greaterThan">
      <formula>#REF!</formula>
    </cfRule>
    <cfRule type="cellIs" dxfId="1204" priority="1302" operator="lessThan">
      <formula>#REF!</formula>
    </cfRule>
  </conditionalFormatting>
  <conditionalFormatting sqref="E104">
    <cfRule type="expression" dxfId="1203" priority="1299">
      <formula>AND($A88&lt;&gt;"",MOD(ROW(),2))</formula>
    </cfRule>
  </conditionalFormatting>
  <conditionalFormatting sqref="E104">
    <cfRule type="cellIs" dxfId="1202" priority="1296" operator="equal">
      <formula>#REF!</formula>
    </cfRule>
    <cfRule type="cellIs" dxfId="1201" priority="1297" operator="greaterThan">
      <formula>#REF!</formula>
    </cfRule>
    <cfRule type="cellIs" dxfId="1200" priority="1298" operator="lessThan">
      <formula>#REF!</formula>
    </cfRule>
  </conditionalFormatting>
  <conditionalFormatting sqref="E105:E106">
    <cfRule type="expression" dxfId="1199" priority="1295">
      <formula>AND($A89&lt;&gt;"",MOD(ROW(),2))</formula>
    </cfRule>
  </conditionalFormatting>
  <conditionalFormatting sqref="E105:E106">
    <cfRule type="cellIs" dxfId="1198" priority="1292" operator="equal">
      <formula>#REF!</formula>
    </cfRule>
    <cfRule type="cellIs" dxfId="1197" priority="1293" operator="greaterThan">
      <formula>#REF!</formula>
    </cfRule>
    <cfRule type="cellIs" dxfId="1196" priority="1294" operator="lessThan">
      <formula>#REF!</formula>
    </cfRule>
  </conditionalFormatting>
  <conditionalFormatting sqref="E105:E106">
    <cfRule type="expression" dxfId="1195" priority="1291">
      <formula>AND($A89&lt;&gt;"",MOD(ROW(),2))</formula>
    </cfRule>
  </conditionalFormatting>
  <conditionalFormatting sqref="E105:E106">
    <cfRule type="cellIs" dxfId="1194" priority="1288" operator="equal">
      <formula>#REF!</formula>
    </cfRule>
    <cfRule type="cellIs" dxfId="1193" priority="1289" operator="greaterThan">
      <formula>#REF!</formula>
    </cfRule>
    <cfRule type="cellIs" dxfId="1192" priority="1290" operator="lessThan">
      <formula>#REF!</formula>
    </cfRule>
  </conditionalFormatting>
  <conditionalFormatting sqref="E107:E108">
    <cfRule type="expression" dxfId="1191" priority="1287">
      <formula>AND($A91&lt;&gt;"",MOD(ROW(),2))</formula>
    </cfRule>
  </conditionalFormatting>
  <conditionalFormatting sqref="E107:E108">
    <cfRule type="cellIs" dxfId="1190" priority="1284" operator="equal">
      <formula>#REF!</formula>
    </cfRule>
    <cfRule type="cellIs" dxfId="1189" priority="1285" operator="greaterThan">
      <formula>#REF!</formula>
    </cfRule>
    <cfRule type="cellIs" dxfId="1188" priority="1286" operator="lessThan">
      <formula>#REF!</formula>
    </cfRule>
  </conditionalFormatting>
  <conditionalFormatting sqref="E107:E108">
    <cfRule type="expression" dxfId="1187" priority="1283">
      <formula>AND($A91&lt;&gt;"",MOD(ROW(),2))</formula>
    </cfRule>
  </conditionalFormatting>
  <conditionalFormatting sqref="E107:E108">
    <cfRule type="cellIs" dxfId="1186" priority="1280" operator="equal">
      <formula>#REF!</formula>
    </cfRule>
    <cfRule type="cellIs" dxfId="1185" priority="1281" operator="greaterThan">
      <formula>#REF!</formula>
    </cfRule>
    <cfRule type="cellIs" dxfId="1184" priority="1282" operator="lessThan">
      <formula>#REF!</formula>
    </cfRule>
  </conditionalFormatting>
  <conditionalFormatting sqref="E109">
    <cfRule type="expression" dxfId="1183" priority="1279">
      <formula>AND($A93&lt;&gt;"",MOD(ROW(),2))</formula>
    </cfRule>
  </conditionalFormatting>
  <conditionalFormatting sqref="E109">
    <cfRule type="cellIs" dxfId="1182" priority="1276" operator="equal">
      <formula>#REF!</formula>
    </cfRule>
    <cfRule type="cellIs" dxfId="1181" priority="1277" operator="greaterThan">
      <formula>#REF!</formula>
    </cfRule>
    <cfRule type="cellIs" dxfId="1180" priority="1278" operator="lessThan">
      <formula>#REF!</formula>
    </cfRule>
  </conditionalFormatting>
  <conditionalFormatting sqref="E109">
    <cfRule type="expression" dxfId="1179" priority="1275">
      <formula>AND($A93&lt;&gt;"",MOD(ROW(),2))</formula>
    </cfRule>
  </conditionalFormatting>
  <conditionalFormatting sqref="E109">
    <cfRule type="cellIs" dxfId="1178" priority="1272" operator="equal">
      <formula>#REF!</formula>
    </cfRule>
    <cfRule type="cellIs" dxfId="1177" priority="1273" operator="greaterThan">
      <formula>#REF!</formula>
    </cfRule>
    <cfRule type="cellIs" dxfId="1176" priority="1274" operator="lessThan">
      <formula>#REF!</formula>
    </cfRule>
  </conditionalFormatting>
  <conditionalFormatting sqref="L97">
    <cfRule type="expression" dxfId="1175" priority="1271">
      <formula>AND($A81&lt;&gt;"",MOD(ROW(),2))</formula>
    </cfRule>
  </conditionalFormatting>
  <conditionalFormatting sqref="L97">
    <cfRule type="cellIs" dxfId="1174" priority="1268" operator="equal">
      <formula>#REF!</formula>
    </cfRule>
    <cfRule type="cellIs" dxfId="1173" priority="1269" operator="greaterThan">
      <formula>#REF!</formula>
    </cfRule>
    <cfRule type="cellIs" dxfId="1172" priority="1270" operator="lessThan">
      <formula>#REF!</formula>
    </cfRule>
  </conditionalFormatting>
  <conditionalFormatting sqref="L97">
    <cfRule type="expression" dxfId="1171" priority="1267">
      <formula>AND($A81&lt;&gt;"",MOD(ROW(),2))</formula>
    </cfRule>
  </conditionalFormatting>
  <conditionalFormatting sqref="L97">
    <cfRule type="cellIs" dxfId="1170" priority="1264" operator="equal">
      <formula>#REF!</formula>
    </cfRule>
    <cfRule type="cellIs" dxfId="1169" priority="1265" operator="greaterThan">
      <formula>#REF!</formula>
    </cfRule>
    <cfRule type="cellIs" dxfId="1168" priority="1266" operator="lessThan">
      <formula>#REF!</formula>
    </cfRule>
  </conditionalFormatting>
  <conditionalFormatting sqref="E110:E112">
    <cfRule type="expression" dxfId="1167" priority="1263">
      <formula>AND($A94&lt;&gt;"",MOD(ROW(),2))</formula>
    </cfRule>
  </conditionalFormatting>
  <conditionalFormatting sqref="E110:E112">
    <cfRule type="cellIs" dxfId="1166" priority="1260" operator="equal">
      <formula>#REF!</formula>
    </cfRule>
    <cfRule type="cellIs" dxfId="1165" priority="1261" operator="greaterThan">
      <formula>#REF!</formula>
    </cfRule>
    <cfRule type="cellIs" dxfId="1164" priority="1262" operator="lessThan">
      <formula>#REF!</formula>
    </cfRule>
  </conditionalFormatting>
  <conditionalFormatting sqref="E110:E112">
    <cfRule type="expression" dxfId="1163" priority="1259">
      <formula>AND($A94&lt;&gt;"",MOD(ROW(),2))</formula>
    </cfRule>
  </conditionalFormatting>
  <conditionalFormatting sqref="E110:E112">
    <cfRule type="cellIs" dxfId="1162" priority="1256" operator="equal">
      <formula>#REF!</formula>
    </cfRule>
    <cfRule type="cellIs" dxfId="1161" priority="1257" operator="greaterThan">
      <formula>#REF!</formula>
    </cfRule>
    <cfRule type="cellIs" dxfId="1160" priority="1258" operator="lessThan">
      <formula>#REF!</formula>
    </cfRule>
  </conditionalFormatting>
  <conditionalFormatting sqref="E113:E114">
    <cfRule type="expression" dxfId="1159" priority="1255">
      <formula>AND($A97&lt;&gt;"",MOD(ROW(),2))</formula>
    </cfRule>
  </conditionalFormatting>
  <conditionalFormatting sqref="E113:E114">
    <cfRule type="cellIs" dxfId="1158" priority="1252" operator="equal">
      <formula>#REF!</formula>
    </cfRule>
    <cfRule type="cellIs" dxfId="1157" priority="1253" operator="greaterThan">
      <formula>#REF!</formula>
    </cfRule>
    <cfRule type="cellIs" dxfId="1156" priority="1254" operator="lessThan">
      <formula>#REF!</formula>
    </cfRule>
  </conditionalFormatting>
  <conditionalFormatting sqref="E113:E114">
    <cfRule type="expression" dxfId="1155" priority="1251">
      <formula>AND($A97&lt;&gt;"",MOD(ROW(),2))</formula>
    </cfRule>
  </conditionalFormatting>
  <conditionalFormatting sqref="E113:E114">
    <cfRule type="cellIs" dxfId="1154" priority="1248" operator="equal">
      <formula>#REF!</formula>
    </cfRule>
    <cfRule type="cellIs" dxfId="1153" priority="1249" operator="greaterThan">
      <formula>#REF!</formula>
    </cfRule>
    <cfRule type="cellIs" dxfId="1152" priority="1250" operator="lessThan">
      <formula>#REF!</formula>
    </cfRule>
  </conditionalFormatting>
  <conditionalFormatting sqref="L98">
    <cfRule type="expression" dxfId="1151" priority="1247">
      <formula>AND($A82&lt;&gt;"",MOD(ROW(),2))</formula>
    </cfRule>
  </conditionalFormatting>
  <conditionalFormatting sqref="L98">
    <cfRule type="cellIs" dxfId="1150" priority="1244" operator="equal">
      <formula>#REF!</formula>
    </cfRule>
    <cfRule type="cellIs" dxfId="1149" priority="1245" operator="greaterThan">
      <formula>#REF!</formula>
    </cfRule>
    <cfRule type="cellIs" dxfId="1148" priority="1246" operator="lessThan">
      <formula>#REF!</formula>
    </cfRule>
  </conditionalFormatting>
  <conditionalFormatting sqref="L98">
    <cfRule type="expression" dxfId="1147" priority="1243">
      <formula>AND($A82&lt;&gt;"",MOD(ROW(),2))</formula>
    </cfRule>
  </conditionalFormatting>
  <conditionalFormatting sqref="L98">
    <cfRule type="cellIs" dxfId="1146" priority="1240" operator="equal">
      <formula>#REF!</formula>
    </cfRule>
    <cfRule type="cellIs" dxfId="1145" priority="1241" operator="greaterThan">
      <formula>#REF!</formula>
    </cfRule>
    <cfRule type="cellIs" dxfId="1144" priority="1242" operator="lessThan">
      <formula>#REF!</formula>
    </cfRule>
  </conditionalFormatting>
  <conditionalFormatting sqref="E115">
    <cfRule type="expression" dxfId="1143" priority="1239">
      <formula>AND($A99&lt;&gt;"",MOD(ROW(),2))</formula>
    </cfRule>
  </conditionalFormatting>
  <conditionalFormatting sqref="E115">
    <cfRule type="cellIs" dxfId="1142" priority="1236" operator="equal">
      <formula>#REF!</formula>
    </cfRule>
    <cfRule type="cellIs" dxfId="1141" priority="1237" operator="greaterThan">
      <formula>#REF!</formula>
    </cfRule>
    <cfRule type="cellIs" dxfId="1140" priority="1238" operator="lessThan">
      <formula>#REF!</formula>
    </cfRule>
  </conditionalFormatting>
  <conditionalFormatting sqref="E115">
    <cfRule type="expression" dxfId="1139" priority="1235">
      <formula>AND($A99&lt;&gt;"",MOD(ROW(),2))</formula>
    </cfRule>
  </conditionalFormatting>
  <conditionalFormatting sqref="E115">
    <cfRule type="cellIs" dxfId="1138" priority="1232" operator="equal">
      <formula>#REF!</formula>
    </cfRule>
    <cfRule type="cellIs" dxfId="1137" priority="1233" operator="greaterThan">
      <formula>#REF!</formula>
    </cfRule>
    <cfRule type="cellIs" dxfId="1136" priority="1234" operator="lessThan">
      <formula>#REF!</formula>
    </cfRule>
  </conditionalFormatting>
  <conditionalFormatting sqref="L99">
    <cfRule type="expression" dxfId="1135" priority="1231">
      <formula>AND($A83&lt;&gt;"",MOD(ROW(),2))</formula>
    </cfRule>
  </conditionalFormatting>
  <conditionalFormatting sqref="L99">
    <cfRule type="cellIs" dxfId="1134" priority="1228" operator="equal">
      <formula>#REF!</formula>
    </cfRule>
    <cfRule type="cellIs" dxfId="1133" priority="1229" operator="greaterThan">
      <formula>#REF!</formula>
    </cfRule>
    <cfRule type="cellIs" dxfId="1132" priority="1230" operator="lessThan">
      <formula>#REF!</formula>
    </cfRule>
  </conditionalFormatting>
  <conditionalFormatting sqref="L99">
    <cfRule type="expression" dxfId="1131" priority="1227">
      <formula>AND($A83&lt;&gt;"",MOD(ROW(),2))</formula>
    </cfRule>
  </conditionalFormatting>
  <conditionalFormatting sqref="L99">
    <cfRule type="cellIs" dxfId="1130" priority="1224" operator="equal">
      <formula>#REF!</formula>
    </cfRule>
    <cfRule type="cellIs" dxfId="1129" priority="1225" operator="greaterThan">
      <formula>#REF!</formula>
    </cfRule>
    <cfRule type="cellIs" dxfId="1128" priority="1226" operator="lessThan">
      <formula>#REF!</formula>
    </cfRule>
  </conditionalFormatting>
  <conditionalFormatting sqref="E116">
    <cfRule type="expression" dxfId="1127" priority="1223">
      <formula>AND($A100&lt;&gt;"",MOD(ROW(),2))</formula>
    </cfRule>
  </conditionalFormatting>
  <conditionalFormatting sqref="E116">
    <cfRule type="cellIs" dxfId="1126" priority="1220" operator="equal">
      <formula>#REF!</formula>
    </cfRule>
    <cfRule type="cellIs" dxfId="1125" priority="1221" operator="greaterThan">
      <formula>#REF!</formula>
    </cfRule>
    <cfRule type="cellIs" dxfId="1124" priority="1222" operator="lessThan">
      <formula>#REF!</formula>
    </cfRule>
  </conditionalFormatting>
  <conditionalFormatting sqref="E116">
    <cfRule type="expression" dxfId="1123" priority="1219">
      <formula>AND($A100&lt;&gt;"",MOD(ROW(),2))</formula>
    </cfRule>
  </conditionalFormatting>
  <conditionalFormatting sqref="E116">
    <cfRule type="cellIs" dxfId="1122" priority="1216" operator="equal">
      <formula>#REF!</formula>
    </cfRule>
    <cfRule type="cellIs" dxfId="1121" priority="1217" operator="greaterThan">
      <formula>#REF!</formula>
    </cfRule>
    <cfRule type="cellIs" dxfId="1120" priority="1218" operator="lessThan">
      <formula>#REF!</formula>
    </cfRule>
  </conditionalFormatting>
  <conditionalFormatting sqref="E117:E118">
    <cfRule type="expression" dxfId="1119" priority="1215">
      <formula>AND($A101&lt;&gt;"",MOD(ROW(),2))</formula>
    </cfRule>
  </conditionalFormatting>
  <conditionalFormatting sqref="E117:E118">
    <cfRule type="cellIs" dxfId="1118" priority="1212" operator="equal">
      <formula>#REF!</formula>
    </cfRule>
    <cfRule type="cellIs" dxfId="1117" priority="1213" operator="greaterThan">
      <formula>#REF!</formula>
    </cfRule>
    <cfRule type="cellIs" dxfId="1116" priority="1214" operator="lessThan">
      <formula>#REF!</formula>
    </cfRule>
  </conditionalFormatting>
  <conditionalFormatting sqref="E117:E118">
    <cfRule type="expression" dxfId="1115" priority="1211">
      <formula>AND($A101&lt;&gt;"",MOD(ROW(),2))</formula>
    </cfRule>
  </conditionalFormatting>
  <conditionalFormatting sqref="E117:E118">
    <cfRule type="cellIs" dxfId="1114" priority="1208" operator="equal">
      <formula>#REF!</formula>
    </cfRule>
    <cfRule type="cellIs" dxfId="1113" priority="1209" operator="greaterThan">
      <formula>#REF!</formula>
    </cfRule>
    <cfRule type="cellIs" dxfId="1112" priority="1210" operator="lessThan">
      <formula>#REF!</formula>
    </cfRule>
  </conditionalFormatting>
  <conditionalFormatting sqref="E119">
    <cfRule type="expression" dxfId="1111" priority="1207">
      <formula>AND($A103&lt;&gt;"",MOD(ROW(),2))</formula>
    </cfRule>
  </conditionalFormatting>
  <conditionalFormatting sqref="E119">
    <cfRule type="cellIs" dxfId="1110" priority="1204" operator="equal">
      <formula>#REF!</formula>
    </cfRule>
    <cfRule type="cellIs" dxfId="1109" priority="1205" operator="greaterThan">
      <formula>#REF!</formula>
    </cfRule>
    <cfRule type="cellIs" dxfId="1108" priority="1206" operator="lessThan">
      <formula>#REF!</formula>
    </cfRule>
  </conditionalFormatting>
  <conditionalFormatting sqref="E119">
    <cfRule type="expression" dxfId="1107" priority="1203">
      <formula>AND($A103&lt;&gt;"",MOD(ROW(),2))</formula>
    </cfRule>
  </conditionalFormatting>
  <conditionalFormatting sqref="E119">
    <cfRule type="cellIs" dxfId="1106" priority="1200" operator="equal">
      <formula>#REF!</formula>
    </cfRule>
    <cfRule type="cellIs" dxfId="1105" priority="1201" operator="greaterThan">
      <formula>#REF!</formula>
    </cfRule>
    <cfRule type="cellIs" dxfId="1104" priority="1202" operator="lessThan">
      <formula>#REF!</formula>
    </cfRule>
  </conditionalFormatting>
  <conditionalFormatting sqref="E120">
    <cfRule type="expression" dxfId="1103" priority="1199">
      <formula>AND($A104&lt;&gt;"",MOD(ROW(),2))</formula>
    </cfRule>
  </conditionalFormatting>
  <conditionalFormatting sqref="E120">
    <cfRule type="cellIs" dxfId="1102" priority="1196" operator="equal">
      <formula>#REF!</formula>
    </cfRule>
    <cfRule type="cellIs" dxfId="1101" priority="1197" operator="greaterThan">
      <formula>#REF!</formula>
    </cfRule>
    <cfRule type="cellIs" dxfId="1100" priority="1198" operator="lessThan">
      <formula>#REF!</formula>
    </cfRule>
  </conditionalFormatting>
  <conditionalFormatting sqref="E120">
    <cfRule type="expression" dxfId="1099" priority="1195">
      <formula>AND($A104&lt;&gt;"",MOD(ROW(),2))</formula>
    </cfRule>
  </conditionalFormatting>
  <conditionalFormatting sqref="E120">
    <cfRule type="cellIs" dxfId="1098" priority="1192" operator="equal">
      <formula>#REF!</formula>
    </cfRule>
    <cfRule type="cellIs" dxfId="1097" priority="1193" operator="greaterThan">
      <formula>#REF!</formula>
    </cfRule>
    <cfRule type="cellIs" dxfId="1096" priority="1194" operator="lessThan">
      <formula>#REF!</formula>
    </cfRule>
  </conditionalFormatting>
  <conditionalFormatting sqref="E121">
    <cfRule type="expression" dxfId="1095" priority="1191">
      <formula>AND($A105&lt;&gt;"",MOD(ROW(),2))</formula>
    </cfRule>
  </conditionalFormatting>
  <conditionalFormatting sqref="E121">
    <cfRule type="cellIs" dxfId="1094" priority="1188" operator="equal">
      <formula>#REF!</formula>
    </cfRule>
    <cfRule type="cellIs" dxfId="1093" priority="1189" operator="greaterThan">
      <formula>#REF!</formula>
    </cfRule>
    <cfRule type="cellIs" dxfId="1092" priority="1190" operator="lessThan">
      <formula>#REF!</formula>
    </cfRule>
  </conditionalFormatting>
  <conditionalFormatting sqref="E121">
    <cfRule type="expression" dxfId="1091" priority="1187">
      <formula>AND($A105&lt;&gt;"",MOD(ROW(),2))</formula>
    </cfRule>
  </conditionalFormatting>
  <conditionalFormatting sqref="E121">
    <cfRule type="cellIs" dxfId="1090" priority="1184" operator="equal">
      <formula>#REF!</formula>
    </cfRule>
    <cfRule type="cellIs" dxfId="1089" priority="1185" operator="greaterThan">
      <formula>#REF!</formula>
    </cfRule>
    <cfRule type="cellIs" dxfId="1088" priority="1186" operator="lessThan">
      <formula>#REF!</formula>
    </cfRule>
  </conditionalFormatting>
  <conditionalFormatting sqref="E122">
    <cfRule type="expression" dxfId="1087" priority="1183">
      <formula>AND($A106&lt;&gt;"",MOD(ROW(),2))</formula>
    </cfRule>
  </conditionalFormatting>
  <conditionalFormatting sqref="E122">
    <cfRule type="cellIs" dxfId="1086" priority="1180" operator="equal">
      <formula>#REF!</formula>
    </cfRule>
    <cfRule type="cellIs" dxfId="1085" priority="1181" operator="greaterThan">
      <formula>#REF!</formula>
    </cfRule>
    <cfRule type="cellIs" dxfId="1084" priority="1182" operator="lessThan">
      <formula>#REF!</formula>
    </cfRule>
  </conditionalFormatting>
  <conditionalFormatting sqref="E122">
    <cfRule type="expression" dxfId="1083" priority="1179">
      <formula>AND($A106&lt;&gt;"",MOD(ROW(),2))</formula>
    </cfRule>
  </conditionalFormatting>
  <conditionalFormatting sqref="E122">
    <cfRule type="cellIs" dxfId="1082" priority="1176" operator="equal">
      <formula>#REF!</formula>
    </cfRule>
    <cfRule type="cellIs" dxfId="1081" priority="1177" operator="greaterThan">
      <formula>#REF!</formula>
    </cfRule>
    <cfRule type="cellIs" dxfId="1080" priority="1178" operator="lessThan">
      <formula>#REF!</formula>
    </cfRule>
  </conditionalFormatting>
  <conditionalFormatting sqref="E123">
    <cfRule type="expression" dxfId="1079" priority="1175">
      <formula>AND($A107&lt;&gt;"",MOD(ROW(),2))</formula>
    </cfRule>
  </conditionalFormatting>
  <conditionalFormatting sqref="E123">
    <cfRule type="cellIs" dxfId="1078" priority="1172" operator="equal">
      <formula>#REF!</formula>
    </cfRule>
    <cfRule type="cellIs" dxfId="1077" priority="1173" operator="greaterThan">
      <formula>#REF!</formula>
    </cfRule>
    <cfRule type="cellIs" dxfId="1076" priority="1174" operator="lessThan">
      <formula>#REF!</formula>
    </cfRule>
  </conditionalFormatting>
  <conditionalFormatting sqref="E123">
    <cfRule type="expression" dxfId="1075" priority="1171">
      <formula>AND($A107&lt;&gt;"",MOD(ROW(),2))</formula>
    </cfRule>
  </conditionalFormatting>
  <conditionalFormatting sqref="E123">
    <cfRule type="cellIs" dxfId="1074" priority="1168" operator="equal">
      <formula>#REF!</formula>
    </cfRule>
    <cfRule type="cellIs" dxfId="1073" priority="1169" operator="greaterThan">
      <formula>#REF!</formula>
    </cfRule>
    <cfRule type="cellIs" dxfId="1072" priority="1170" operator="lessThan">
      <formula>#REF!</formula>
    </cfRule>
  </conditionalFormatting>
  <conditionalFormatting sqref="E124">
    <cfRule type="expression" dxfId="1071" priority="1167">
      <formula>AND($A108&lt;&gt;"",MOD(ROW(),2))</formula>
    </cfRule>
  </conditionalFormatting>
  <conditionalFormatting sqref="E124">
    <cfRule type="cellIs" dxfId="1070" priority="1164" operator="equal">
      <formula>#REF!</formula>
    </cfRule>
    <cfRule type="cellIs" dxfId="1069" priority="1165" operator="greaterThan">
      <formula>#REF!</formula>
    </cfRule>
    <cfRule type="cellIs" dxfId="1068" priority="1166" operator="lessThan">
      <formula>#REF!</formula>
    </cfRule>
  </conditionalFormatting>
  <conditionalFormatting sqref="E124">
    <cfRule type="expression" dxfId="1067" priority="1163">
      <formula>AND($A108&lt;&gt;"",MOD(ROW(),2))</formula>
    </cfRule>
  </conditionalFormatting>
  <conditionalFormatting sqref="E124">
    <cfRule type="cellIs" dxfId="1066" priority="1160" operator="equal">
      <formula>#REF!</formula>
    </cfRule>
    <cfRule type="cellIs" dxfId="1065" priority="1161" operator="greaterThan">
      <formula>#REF!</formula>
    </cfRule>
    <cfRule type="cellIs" dxfId="1064" priority="1162" operator="lessThan">
      <formula>#REF!</formula>
    </cfRule>
  </conditionalFormatting>
  <conditionalFormatting sqref="E125">
    <cfRule type="expression" dxfId="1063" priority="1159">
      <formula>AND($A109&lt;&gt;"",MOD(ROW(),2))</formula>
    </cfRule>
  </conditionalFormatting>
  <conditionalFormatting sqref="E125">
    <cfRule type="cellIs" dxfId="1062" priority="1156" operator="equal">
      <formula>#REF!</formula>
    </cfRule>
    <cfRule type="cellIs" dxfId="1061" priority="1157" operator="greaterThan">
      <formula>#REF!</formula>
    </cfRule>
    <cfRule type="cellIs" dxfId="1060" priority="1158" operator="lessThan">
      <formula>#REF!</formula>
    </cfRule>
  </conditionalFormatting>
  <conditionalFormatting sqref="E125">
    <cfRule type="expression" dxfId="1059" priority="1155">
      <formula>AND($A109&lt;&gt;"",MOD(ROW(),2))</formula>
    </cfRule>
  </conditionalFormatting>
  <conditionalFormatting sqref="E125">
    <cfRule type="cellIs" dxfId="1058" priority="1152" operator="equal">
      <formula>#REF!</formula>
    </cfRule>
    <cfRule type="cellIs" dxfId="1057" priority="1153" operator="greaterThan">
      <formula>#REF!</formula>
    </cfRule>
    <cfRule type="cellIs" dxfId="1056" priority="1154" operator="lessThan">
      <formula>#REF!</formula>
    </cfRule>
  </conditionalFormatting>
  <conditionalFormatting sqref="E126">
    <cfRule type="expression" dxfId="1055" priority="1151">
      <formula>AND($A110&lt;&gt;"",MOD(ROW(),2))</formula>
    </cfRule>
  </conditionalFormatting>
  <conditionalFormatting sqref="E126">
    <cfRule type="cellIs" dxfId="1054" priority="1148" operator="equal">
      <formula>#REF!</formula>
    </cfRule>
    <cfRule type="cellIs" dxfId="1053" priority="1149" operator="greaterThan">
      <formula>#REF!</formula>
    </cfRule>
    <cfRule type="cellIs" dxfId="1052" priority="1150" operator="lessThan">
      <formula>#REF!</formula>
    </cfRule>
  </conditionalFormatting>
  <conditionalFormatting sqref="E126">
    <cfRule type="expression" dxfId="1051" priority="1147">
      <formula>AND($A110&lt;&gt;"",MOD(ROW(),2))</formula>
    </cfRule>
  </conditionalFormatting>
  <conditionalFormatting sqref="E126">
    <cfRule type="cellIs" dxfId="1050" priority="1144" operator="equal">
      <formula>#REF!</formula>
    </cfRule>
    <cfRule type="cellIs" dxfId="1049" priority="1145" operator="greaterThan">
      <formula>#REF!</formula>
    </cfRule>
    <cfRule type="cellIs" dxfId="1048" priority="1146" operator="lessThan">
      <formula>#REF!</formula>
    </cfRule>
  </conditionalFormatting>
  <conditionalFormatting sqref="E126:E127">
    <cfRule type="expression" dxfId="1047" priority="1143">
      <formula>AND($A110&lt;&gt;"",MOD(ROW(),2))</formula>
    </cfRule>
  </conditionalFormatting>
  <conditionalFormatting sqref="E126:E127">
    <cfRule type="cellIs" dxfId="1046" priority="1140" operator="equal">
      <formula>#REF!</formula>
    </cfRule>
    <cfRule type="cellIs" dxfId="1045" priority="1141" operator="greaterThan">
      <formula>#REF!</formula>
    </cfRule>
    <cfRule type="cellIs" dxfId="1044" priority="1142" operator="lessThan">
      <formula>#REF!</formula>
    </cfRule>
  </conditionalFormatting>
  <conditionalFormatting sqref="E126:E127">
    <cfRule type="expression" dxfId="1043" priority="1139">
      <formula>AND($A110&lt;&gt;"",MOD(ROW(),2))</formula>
    </cfRule>
  </conditionalFormatting>
  <conditionalFormatting sqref="E126:E127">
    <cfRule type="cellIs" dxfId="1042" priority="1136" operator="equal">
      <formula>#REF!</formula>
    </cfRule>
    <cfRule type="cellIs" dxfId="1041" priority="1137" operator="greaterThan">
      <formula>#REF!</formula>
    </cfRule>
    <cfRule type="cellIs" dxfId="1040" priority="1138" operator="lessThan">
      <formula>#REF!</formula>
    </cfRule>
  </conditionalFormatting>
  <conditionalFormatting sqref="E127:E128">
    <cfRule type="expression" dxfId="1039" priority="1135">
      <formula>AND($A111&lt;&gt;"",MOD(ROW(),2))</formula>
    </cfRule>
  </conditionalFormatting>
  <conditionalFormatting sqref="E127:E128">
    <cfRule type="cellIs" dxfId="1038" priority="1132" operator="equal">
      <formula>#REF!</formula>
    </cfRule>
    <cfRule type="cellIs" dxfId="1037" priority="1133" operator="greaterThan">
      <formula>#REF!</formula>
    </cfRule>
    <cfRule type="cellIs" dxfId="1036" priority="1134" operator="lessThan">
      <formula>#REF!</formula>
    </cfRule>
  </conditionalFormatting>
  <conditionalFormatting sqref="E127:E128">
    <cfRule type="expression" dxfId="1035" priority="1131">
      <formula>AND($A111&lt;&gt;"",MOD(ROW(),2))</formula>
    </cfRule>
  </conditionalFormatting>
  <conditionalFormatting sqref="E127:E128">
    <cfRule type="cellIs" dxfId="1034" priority="1128" operator="equal">
      <formula>#REF!</formula>
    </cfRule>
    <cfRule type="cellIs" dxfId="1033" priority="1129" operator="greaterThan">
      <formula>#REF!</formula>
    </cfRule>
    <cfRule type="cellIs" dxfId="1032" priority="1130" operator="lessThan">
      <formula>#REF!</formula>
    </cfRule>
  </conditionalFormatting>
  <conditionalFormatting sqref="E128:E130">
    <cfRule type="expression" dxfId="1031" priority="1127">
      <formula>AND($A112&lt;&gt;"",MOD(ROW(),2))</formula>
    </cfRule>
  </conditionalFormatting>
  <conditionalFormatting sqref="E128:E130">
    <cfRule type="cellIs" dxfId="1030" priority="1124" operator="equal">
      <formula>#REF!</formula>
    </cfRule>
    <cfRule type="cellIs" dxfId="1029" priority="1125" operator="greaterThan">
      <formula>#REF!</formula>
    </cfRule>
    <cfRule type="cellIs" dxfId="1028" priority="1126" operator="lessThan">
      <formula>#REF!</formula>
    </cfRule>
  </conditionalFormatting>
  <conditionalFormatting sqref="E128:E130">
    <cfRule type="expression" dxfId="1027" priority="1123">
      <formula>AND($A112&lt;&gt;"",MOD(ROW(),2))</formula>
    </cfRule>
  </conditionalFormatting>
  <conditionalFormatting sqref="E128:E130">
    <cfRule type="cellIs" dxfId="1026" priority="1120" operator="equal">
      <formula>#REF!</formula>
    </cfRule>
    <cfRule type="cellIs" dxfId="1025" priority="1121" operator="greaterThan">
      <formula>#REF!</formula>
    </cfRule>
    <cfRule type="cellIs" dxfId="1024" priority="1122" operator="lessThan">
      <formula>#REF!</formula>
    </cfRule>
  </conditionalFormatting>
  <conditionalFormatting sqref="E130:E131">
    <cfRule type="expression" dxfId="1023" priority="1119">
      <formula>AND($A114&lt;&gt;"",MOD(ROW(),2))</formula>
    </cfRule>
  </conditionalFormatting>
  <conditionalFormatting sqref="E130:E131">
    <cfRule type="cellIs" dxfId="1022" priority="1116" operator="equal">
      <formula>#REF!</formula>
    </cfRule>
    <cfRule type="cellIs" dxfId="1021" priority="1117" operator="greaterThan">
      <formula>#REF!</formula>
    </cfRule>
    <cfRule type="cellIs" dxfId="1020" priority="1118" operator="lessThan">
      <formula>#REF!</formula>
    </cfRule>
  </conditionalFormatting>
  <conditionalFormatting sqref="E131:E132">
    <cfRule type="expression" dxfId="1019" priority="1115">
      <formula>AND($A115&lt;&gt;"",MOD(ROW(),2))</formula>
    </cfRule>
  </conditionalFormatting>
  <conditionalFormatting sqref="E131:E132">
    <cfRule type="cellIs" dxfId="1018" priority="1112" operator="equal">
      <formula>#REF!</formula>
    </cfRule>
    <cfRule type="cellIs" dxfId="1017" priority="1113" operator="greaterThan">
      <formula>#REF!</formula>
    </cfRule>
    <cfRule type="cellIs" dxfId="1016" priority="1114" operator="lessThan">
      <formula>#REF!</formula>
    </cfRule>
  </conditionalFormatting>
  <conditionalFormatting sqref="E131:E132">
    <cfRule type="expression" dxfId="1015" priority="1111">
      <formula>AND($A115&lt;&gt;"",MOD(ROW(),2))</formula>
    </cfRule>
  </conditionalFormatting>
  <conditionalFormatting sqref="E131:E132">
    <cfRule type="cellIs" dxfId="1014" priority="1108" operator="equal">
      <formula>#REF!</formula>
    </cfRule>
    <cfRule type="cellIs" dxfId="1013" priority="1109" operator="greaterThan">
      <formula>#REF!</formula>
    </cfRule>
    <cfRule type="cellIs" dxfId="1012" priority="1110" operator="lessThan">
      <formula>#REF!</formula>
    </cfRule>
  </conditionalFormatting>
  <conditionalFormatting sqref="E132:E134">
    <cfRule type="expression" dxfId="1011" priority="1107">
      <formula>AND($A116&lt;&gt;"",MOD(ROW(),2))</formula>
    </cfRule>
  </conditionalFormatting>
  <conditionalFormatting sqref="E132:E134">
    <cfRule type="cellIs" dxfId="1010" priority="1104" operator="equal">
      <formula>#REF!</formula>
    </cfRule>
    <cfRule type="cellIs" dxfId="1009" priority="1105" operator="greaterThan">
      <formula>#REF!</formula>
    </cfRule>
    <cfRule type="cellIs" dxfId="1008" priority="1106" operator="lessThan">
      <formula>#REF!</formula>
    </cfRule>
  </conditionalFormatting>
  <conditionalFormatting sqref="E132:E134">
    <cfRule type="expression" dxfId="1007" priority="1103">
      <formula>AND($A116&lt;&gt;"",MOD(ROW(),2))</formula>
    </cfRule>
  </conditionalFormatting>
  <conditionalFormatting sqref="E132:E134">
    <cfRule type="cellIs" dxfId="1006" priority="1100" operator="equal">
      <formula>#REF!</formula>
    </cfRule>
    <cfRule type="cellIs" dxfId="1005" priority="1101" operator="greaterThan">
      <formula>#REF!</formula>
    </cfRule>
    <cfRule type="cellIs" dxfId="1004" priority="1102" operator="lessThan">
      <formula>#REF!</formula>
    </cfRule>
  </conditionalFormatting>
  <conditionalFormatting sqref="L100">
    <cfRule type="expression" dxfId="1003" priority="1099">
      <formula>AND($A84&lt;&gt;"",MOD(ROW(),2))</formula>
    </cfRule>
  </conditionalFormatting>
  <conditionalFormatting sqref="L100">
    <cfRule type="cellIs" dxfId="1002" priority="1096" operator="equal">
      <formula>#REF!</formula>
    </cfRule>
    <cfRule type="cellIs" dxfId="1001" priority="1097" operator="greaterThan">
      <formula>#REF!</formula>
    </cfRule>
    <cfRule type="cellIs" dxfId="1000" priority="1098" operator="lessThan">
      <formula>#REF!</formula>
    </cfRule>
  </conditionalFormatting>
  <conditionalFormatting sqref="L100">
    <cfRule type="expression" dxfId="999" priority="1095">
      <formula>AND($A84&lt;&gt;"",MOD(ROW(),2))</formula>
    </cfRule>
  </conditionalFormatting>
  <conditionalFormatting sqref="L100">
    <cfRule type="cellIs" dxfId="998" priority="1092" operator="equal">
      <formula>#REF!</formula>
    </cfRule>
    <cfRule type="cellIs" dxfId="997" priority="1093" operator="greaterThan">
      <formula>#REF!</formula>
    </cfRule>
    <cfRule type="cellIs" dxfId="996" priority="1094" operator="lessThan">
      <formula>#REF!</formula>
    </cfRule>
  </conditionalFormatting>
  <conditionalFormatting sqref="AG6">
    <cfRule type="expression" dxfId="995" priority="1091">
      <formula>AND(#REF!&lt;&gt;"",MOD(ROW(),2))</formula>
    </cfRule>
  </conditionalFormatting>
  <conditionalFormatting sqref="AG6">
    <cfRule type="expression" dxfId="994" priority="1090">
      <formula>AND(#REF!&lt;&gt;"",MOD(ROW(),2))</formula>
    </cfRule>
  </conditionalFormatting>
  <conditionalFormatting sqref="AG6">
    <cfRule type="expression" dxfId="993" priority="1089">
      <formula>AND(#REF!&lt;&gt;"",MOD(ROW(),2))</formula>
    </cfRule>
  </conditionalFormatting>
  <conditionalFormatting sqref="AG6">
    <cfRule type="expression" dxfId="992" priority="1088">
      <formula>AND(#REF!&lt;&gt;"",MOD(ROW(),2))</formula>
    </cfRule>
  </conditionalFormatting>
  <conditionalFormatting sqref="AG6">
    <cfRule type="expression" dxfId="991" priority="1087">
      <formula>AND(#REF!&lt;&gt;"",MOD(ROW(),2))</formula>
    </cfRule>
  </conditionalFormatting>
  <conditionalFormatting sqref="AG6">
    <cfRule type="expression" dxfId="990" priority="1086">
      <formula>AND(#REF!&lt;&gt;"",MOD(ROW(),2))</formula>
    </cfRule>
  </conditionalFormatting>
  <conditionalFormatting sqref="AG6">
    <cfRule type="expression" dxfId="989" priority="1085">
      <formula>AND(#REF!&lt;&gt;"",MOD(ROW(),2))</formula>
    </cfRule>
  </conditionalFormatting>
  <conditionalFormatting sqref="AF7">
    <cfRule type="expression" dxfId="988" priority="1084">
      <formula>AND($A1048567&lt;&gt;"",MOD(ROW(),2))</formula>
    </cfRule>
  </conditionalFormatting>
  <conditionalFormatting sqref="AF7">
    <cfRule type="cellIs" dxfId="987" priority="1081" operator="equal">
      <formula>#REF!</formula>
    </cfRule>
    <cfRule type="cellIs" dxfId="986" priority="1082" operator="greaterThan">
      <formula>#REF!</formula>
    </cfRule>
    <cfRule type="cellIs" dxfId="985" priority="1083" operator="lessThan">
      <formula>#REF!</formula>
    </cfRule>
  </conditionalFormatting>
  <conditionalFormatting sqref="AF8:AF9">
    <cfRule type="expression" dxfId="984" priority="1080">
      <formula>AND($A1048568&lt;&gt;"",MOD(ROW(),2))</formula>
    </cfRule>
  </conditionalFormatting>
  <conditionalFormatting sqref="AF8:AF9">
    <cfRule type="cellIs" dxfId="983" priority="1077" operator="equal">
      <formula>#REF!</formula>
    </cfRule>
    <cfRule type="cellIs" dxfId="982" priority="1078" operator="greaterThan">
      <formula>#REF!</formula>
    </cfRule>
    <cfRule type="cellIs" dxfId="981" priority="1079" operator="lessThan">
      <formula>#REF!</formula>
    </cfRule>
  </conditionalFormatting>
  <conditionalFormatting sqref="AF10">
    <cfRule type="expression" dxfId="980" priority="1076">
      <formula>AND($A1048570&lt;&gt;"",MOD(ROW(),2))</formula>
    </cfRule>
  </conditionalFormatting>
  <conditionalFormatting sqref="AF10">
    <cfRule type="cellIs" dxfId="979" priority="1073" operator="equal">
      <formula>#REF!</formula>
    </cfRule>
    <cfRule type="cellIs" dxfId="978" priority="1074" operator="greaterThan">
      <formula>#REF!</formula>
    </cfRule>
    <cfRule type="cellIs" dxfId="977" priority="1075" operator="lessThan">
      <formula>#REF!</formula>
    </cfRule>
  </conditionalFormatting>
  <conditionalFormatting sqref="AF10">
    <cfRule type="expression" dxfId="976" priority="1072">
      <formula>AND($A1048570&lt;&gt;"",MOD(ROW(),2))</formula>
    </cfRule>
  </conditionalFormatting>
  <conditionalFormatting sqref="AF10">
    <cfRule type="cellIs" dxfId="975" priority="1069" operator="equal">
      <formula>#REF!</formula>
    </cfRule>
    <cfRule type="cellIs" dxfId="974" priority="1070" operator="greaterThan">
      <formula>#REF!</formula>
    </cfRule>
    <cfRule type="cellIs" dxfId="973" priority="1071" operator="lessThan">
      <formula>#REF!</formula>
    </cfRule>
  </conditionalFormatting>
  <conditionalFormatting sqref="AF11">
    <cfRule type="expression" dxfId="972" priority="1068">
      <formula>AND($A1048571&lt;&gt;"",MOD(ROW(),2))</formula>
    </cfRule>
  </conditionalFormatting>
  <conditionalFormatting sqref="AF11">
    <cfRule type="cellIs" dxfId="971" priority="1065" operator="equal">
      <formula>#REF!</formula>
    </cfRule>
    <cfRule type="cellIs" dxfId="970" priority="1066" operator="greaterThan">
      <formula>#REF!</formula>
    </cfRule>
    <cfRule type="cellIs" dxfId="969" priority="1067" operator="lessThan">
      <formula>#REF!</formula>
    </cfRule>
  </conditionalFormatting>
  <conditionalFormatting sqref="AF11">
    <cfRule type="expression" dxfId="968" priority="1064">
      <formula>AND($A1048571&lt;&gt;"",MOD(ROW(),2))</formula>
    </cfRule>
  </conditionalFormatting>
  <conditionalFormatting sqref="AF11">
    <cfRule type="cellIs" dxfId="967" priority="1061" operator="equal">
      <formula>#REF!</formula>
    </cfRule>
    <cfRule type="cellIs" dxfId="966" priority="1062" operator="greaterThan">
      <formula>#REF!</formula>
    </cfRule>
    <cfRule type="cellIs" dxfId="965" priority="1063" operator="lessThan">
      <formula>#REF!</formula>
    </cfRule>
  </conditionalFormatting>
  <conditionalFormatting sqref="AM5">
    <cfRule type="expression" dxfId="964" priority="1060">
      <formula>AND($A1048565&lt;&gt;"",MOD(ROW(),2))</formula>
    </cfRule>
  </conditionalFormatting>
  <conditionalFormatting sqref="AM5">
    <cfRule type="cellIs" dxfId="963" priority="1057" operator="equal">
      <formula>#REF!</formula>
    </cfRule>
    <cfRule type="cellIs" dxfId="962" priority="1058" operator="greaterThan">
      <formula>#REF!</formula>
    </cfRule>
    <cfRule type="cellIs" dxfId="961" priority="1059" operator="lessThan">
      <formula>#REF!</formula>
    </cfRule>
  </conditionalFormatting>
  <conditionalFormatting sqref="AM5">
    <cfRule type="expression" dxfId="960" priority="1056">
      <formula>AND($A1048565&lt;&gt;"",MOD(ROW(),2))</formula>
    </cfRule>
  </conditionalFormatting>
  <conditionalFormatting sqref="AM5">
    <cfRule type="cellIs" dxfId="959" priority="1053" operator="equal">
      <formula>#REF!</formula>
    </cfRule>
    <cfRule type="cellIs" dxfId="958" priority="1054" operator="greaterThan">
      <formula>#REF!</formula>
    </cfRule>
    <cfRule type="cellIs" dxfId="957" priority="1055" operator="lessThan">
      <formula>#REF!</formula>
    </cfRule>
  </conditionalFormatting>
  <conditionalFormatting sqref="AM6">
    <cfRule type="expression" dxfId="956" priority="1052">
      <formula>AND($A1048566&lt;&gt;"",MOD(ROW(),2))</formula>
    </cfRule>
  </conditionalFormatting>
  <conditionalFormatting sqref="AM6">
    <cfRule type="cellIs" dxfId="955" priority="1049" operator="equal">
      <formula>#REF!</formula>
    </cfRule>
    <cfRule type="cellIs" dxfId="954" priority="1050" operator="greaterThan">
      <formula>#REF!</formula>
    </cfRule>
    <cfRule type="cellIs" dxfId="953" priority="1051" operator="lessThan">
      <formula>#REF!</formula>
    </cfRule>
  </conditionalFormatting>
  <conditionalFormatting sqref="AM6">
    <cfRule type="expression" dxfId="952" priority="1048">
      <formula>AND($A1048566&lt;&gt;"",MOD(ROW(),2))</formula>
    </cfRule>
  </conditionalFormatting>
  <conditionalFormatting sqref="AM6">
    <cfRule type="cellIs" dxfId="951" priority="1045" operator="equal">
      <formula>#REF!</formula>
    </cfRule>
    <cfRule type="cellIs" dxfId="950" priority="1046" operator="greaterThan">
      <formula>#REF!</formula>
    </cfRule>
    <cfRule type="cellIs" dxfId="949" priority="1047" operator="lessThan">
      <formula>#REF!</formula>
    </cfRule>
  </conditionalFormatting>
  <conditionalFormatting sqref="AF13 AF16:AF17 AM17">
    <cfRule type="expression" dxfId="948" priority="1044">
      <formula>AND($A1048572&lt;&gt;"",MOD(ROW(),2))</formula>
    </cfRule>
  </conditionalFormatting>
  <conditionalFormatting sqref="AF13 AF80:AF81 AF65:AF70">
    <cfRule type="cellIs" dxfId="947" priority="1041" operator="equal">
      <formula>#REF!</formula>
    </cfRule>
    <cfRule type="cellIs" dxfId="946" priority="1042" operator="greaterThan">
      <formula>#REF!</formula>
    </cfRule>
    <cfRule type="cellIs" dxfId="945" priority="1043" operator="lessThan">
      <formula>#REF!</formula>
    </cfRule>
  </conditionalFormatting>
  <conditionalFormatting sqref="AF13">
    <cfRule type="expression" dxfId="944" priority="1040">
      <formula>AND($A1048572&lt;&gt;"",MOD(ROW(),2))</formula>
    </cfRule>
  </conditionalFormatting>
  <conditionalFormatting sqref="AF13">
    <cfRule type="cellIs" dxfId="943" priority="1037" operator="equal">
      <formula>#REF!</formula>
    </cfRule>
    <cfRule type="cellIs" dxfId="942" priority="1038" operator="greaterThan">
      <formula>#REF!</formula>
    </cfRule>
    <cfRule type="cellIs" dxfId="941" priority="1039" operator="lessThan">
      <formula>#REF!</formula>
    </cfRule>
  </conditionalFormatting>
  <conditionalFormatting sqref="AF14">
    <cfRule type="expression" dxfId="940" priority="1036">
      <formula>AND($A1048573&lt;&gt;"",MOD(ROW(),2))</formula>
    </cfRule>
  </conditionalFormatting>
  <conditionalFormatting sqref="AF14">
    <cfRule type="cellIs" dxfId="939" priority="1033" operator="equal">
      <formula>#REF!</formula>
    </cfRule>
    <cfRule type="cellIs" dxfId="938" priority="1034" operator="greaterThan">
      <formula>#REF!</formula>
    </cfRule>
    <cfRule type="cellIs" dxfId="937" priority="1035" operator="lessThan">
      <formula>#REF!</formula>
    </cfRule>
  </conditionalFormatting>
  <conditionalFormatting sqref="AF14">
    <cfRule type="expression" dxfId="936" priority="1032">
      <formula>AND($A1048573&lt;&gt;"",MOD(ROW(),2))</formula>
    </cfRule>
  </conditionalFormatting>
  <conditionalFormatting sqref="AF14">
    <cfRule type="cellIs" dxfId="935" priority="1029" operator="equal">
      <formula>#REF!</formula>
    </cfRule>
    <cfRule type="cellIs" dxfId="934" priority="1030" operator="greaterThan">
      <formula>#REF!</formula>
    </cfRule>
    <cfRule type="cellIs" dxfId="933" priority="1031" operator="lessThan">
      <formula>#REF!</formula>
    </cfRule>
  </conditionalFormatting>
  <conditionalFormatting sqref="AF15">
    <cfRule type="expression" dxfId="932" priority="1028">
      <formula>AND($A1048574&lt;&gt;"",MOD(ROW(),2))</formula>
    </cfRule>
  </conditionalFormatting>
  <conditionalFormatting sqref="AF15">
    <cfRule type="cellIs" dxfId="931" priority="1025" operator="equal">
      <formula>#REF!</formula>
    </cfRule>
    <cfRule type="cellIs" dxfId="930" priority="1026" operator="greaterThan">
      <formula>#REF!</formula>
    </cfRule>
    <cfRule type="cellIs" dxfId="929" priority="1027" operator="lessThan">
      <formula>#REF!</formula>
    </cfRule>
  </conditionalFormatting>
  <conditionalFormatting sqref="AF15">
    <cfRule type="expression" dxfId="928" priority="1024">
      <formula>AND($A1048574&lt;&gt;"",MOD(ROW(),2))</formula>
    </cfRule>
  </conditionalFormatting>
  <conditionalFormatting sqref="AF15">
    <cfRule type="cellIs" dxfId="927" priority="1021" operator="equal">
      <formula>#REF!</formula>
    </cfRule>
    <cfRule type="cellIs" dxfId="926" priority="1022" operator="greaterThan">
      <formula>#REF!</formula>
    </cfRule>
    <cfRule type="cellIs" dxfId="925" priority="1023" operator="lessThan">
      <formula>#REF!</formula>
    </cfRule>
  </conditionalFormatting>
  <conditionalFormatting sqref="AF16:AF17">
    <cfRule type="cellIs" dxfId="924" priority="1017" operator="equal">
      <formula>#REF!</formula>
    </cfRule>
    <cfRule type="cellIs" dxfId="923" priority="1018" operator="greaterThan">
      <formula>#REF!</formula>
    </cfRule>
    <cfRule type="cellIs" dxfId="922" priority="1019" operator="lessThan">
      <formula>#REF!</formula>
    </cfRule>
  </conditionalFormatting>
  <conditionalFormatting sqref="AF16:AF17">
    <cfRule type="cellIs" dxfId="921" priority="1013" operator="equal">
      <formula>#REF!</formula>
    </cfRule>
    <cfRule type="cellIs" dxfId="920" priority="1014" operator="greaterThan">
      <formula>#REF!</formula>
    </cfRule>
    <cfRule type="cellIs" dxfId="919" priority="1015" operator="lessThan">
      <formula>#REF!</formula>
    </cfRule>
  </conditionalFormatting>
  <conditionalFormatting sqref="AF17:AF19">
    <cfRule type="expression" dxfId="918" priority="1012">
      <formula>AND($A1&lt;&gt;"",MOD(ROW(),2))</formula>
    </cfRule>
  </conditionalFormatting>
  <conditionalFormatting sqref="AF17:AF19">
    <cfRule type="cellIs" dxfId="917" priority="1009" operator="equal">
      <formula>#REF!</formula>
    </cfRule>
    <cfRule type="cellIs" dxfId="916" priority="1010" operator="greaterThan">
      <formula>#REF!</formula>
    </cfRule>
    <cfRule type="cellIs" dxfId="915" priority="1011" operator="lessThan">
      <formula>#REF!</formula>
    </cfRule>
  </conditionalFormatting>
  <conditionalFormatting sqref="AF17:AF19">
    <cfRule type="expression" dxfId="914" priority="1008">
      <formula>AND($A1&lt;&gt;"",MOD(ROW(),2))</formula>
    </cfRule>
  </conditionalFormatting>
  <conditionalFormatting sqref="AF17:AF19">
    <cfRule type="cellIs" dxfId="913" priority="1005" operator="equal">
      <formula>#REF!</formula>
    </cfRule>
    <cfRule type="cellIs" dxfId="912" priority="1006" operator="greaterThan">
      <formula>#REF!</formula>
    </cfRule>
    <cfRule type="cellIs" dxfId="911" priority="1007" operator="lessThan">
      <formula>#REF!</formula>
    </cfRule>
  </conditionalFormatting>
  <conditionalFormatting sqref="AF19:AF20">
    <cfRule type="expression" dxfId="910" priority="1004">
      <formula>AND($A2&lt;&gt;"",MOD(ROW(),2))</formula>
    </cfRule>
  </conditionalFormatting>
  <conditionalFormatting sqref="AF19:AF20">
    <cfRule type="cellIs" dxfId="909" priority="1001" operator="equal">
      <formula>#REF!</formula>
    </cfRule>
    <cfRule type="cellIs" dxfId="908" priority="1002" operator="greaterThan">
      <formula>#REF!</formula>
    </cfRule>
    <cfRule type="cellIs" dxfId="907" priority="1003" operator="lessThan">
      <formula>#REF!</formula>
    </cfRule>
  </conditionalFormatting>
  <conditionalFormatting sqref="AF19:AF20">
    <cfRule type="expression" dxfId="906" priority="1000">
      <formula>AND($A2&lt;&gt;"",MOD(ROW(),2))</formula>
    </cfRule>
  </conditionalFormatting>
  <conditionalFormatting sqref="AF19:AF20">
    <cfRule type="cellIs" dxfId="905" priority="997" operator="equal">
      <formula>#REF!</formula>
    </cfRule>
    <cfRule type="cellIs" dxfId="904" priority="998" operator="greaterThan">
      <formula>#REF!</formula>
    </cfRule>
    <cfRule type="cellIs" dxfId="903" priority="999" operator="lessThan">
      <formula>#REF!</formula>
    </cfRule>
  </conditionalFormatting>
  <conditionalFormatting sqref="AM7">
    <cfRule type="expression" dxfId="902" priority="996">
      <formula>AND($A1048567&lt;&gt;"",MOD(ROW(),2))</formula>
    </cfRule>
  </conditionalFormatting>
  <conditionalFormatting sqref="AM7">
    <cfRule type="cellIs" dxfId="901" priority="993" operator="equal">
      <formula>#REF!</formula>
    </cfRule>
    <cfRule type="cellIs" dxfId="900" priority="994" operator="greaterThan">
      <formula>#REF!</formula>
    </cfRule>
    <cfRule type="cellIs" dxfId="899" priority="995" operator="lessThan">
      <formula>#REF!</formula>
    </cfRule>
  </conditionalFormatting>
  <conditionalFormatting sqref="AM7">
    <cfRule type="expression" dxfId="898" priority="992">
      <formula>AND($A1048567&lt;&gt;"",MOD(ROW(),2))</formula>
    </cfRule>
  </conditionalFormatting>
  <conditionalFormatting sqref="AM7">
    <cfRule type="cellIs" dxfId="897" priority="989" operator="equal">
      <formula>#REF!</formula>
    </cfRule>
    <cfRule type="cellIs" dxfId="896" priority="990" operator="greaterThan">
      <formula>#REF!</formula>
    </cfRule>
    <cfRule type="cellIs" dxfId="895" priority="991" operator="lessThan">
      <formula>#REF!</formula>
    </cfRule>
  </conditionalFormatting>
  <conditionalFormatting sqref="AF20:AF23">
    <cfRule type="expression" dxfId="894" priority="988">
      <formula>AND($A3&lt;&gt;"",MOD(ROW(),2))</formula>
    </cfRule>
  </conditionalFormatting>
  <conditionalFormatting sqref="AF20:AF23">
    <cfRule type="cellIs" dxfId="893" priority="985" operator="equal">
      <formula>#REF!</formula>
    </cfRule>
    <cfRule type="cellIs" dxfId="892" priority="986" operator="greaterThan">
      <formula>#REF!</formula>
    </cfRule>
    <cfRule type="cellIs" dxfId="891" priority="987" operator="lessThan">
      <formula>#REF!</formula>
    </cfRule>
  </conditionalFormatting>
  <conditionalFormatting sqref="AF20:AF23">
    <cfRule type="expression" dxfId="890" priority="984">
      <formula>AND($A3&lt;&gt;"",MOD(ROW(),2))</formula>
    </cfRule>
  </conditionalFormatting>
  <conditionalFormatting sqref="AF20:AF23">
    <cfRule type="cellIs" dxfId="889" priority="981" operator="equal">
      <formula>#REF!</formula>
    </cfRule>
    <cfRule type="cellIs" dxfId="888" priority="982" operator="greaterThan">
      <formula>#REF!</formula>
    </cfRule>
    <cfRule type="cellIs" dxfId="887" priority="983" operator="lessThan">
      <formula>#REF!</formula>
    </cfRule>
  </conditionalFormatting>
  <conditionalFormatting sqref="AF23:AF25">
    <cfRule type="expression" dxfId="886" priority="980">
      <formula>AND($A6&lt;&gt;"",MOD(ROW(),2))</formula>
    </cfRule>
  </conditionalFormatting>
  <conditionalFormatting sqref="AF23:AF25">
    <cfRule type="cellIs" dxfId="885" priority="977" operator="equal">
      <formula>#REF!</formula>
    </cfRule>
    <cfRule type="cellIs" dxfId="884" priority="978" operator="greaterThan">
      <formula>#REF!</formula>
    </cfRule>
    <cfRule type="cellIs" dxfId="883" priority="979" operator="lessThan">
      <formula>#REF!</formula>
    </cfRule>
  </conditionalFormatting>
  <conditionalFormatting sqref="AF23:AF25">
    <cfRule type="expression" dxfId="882" priority="976">
      <formula>AND($A6&lt;&gt;"",MOD(ROW(),2))</formula>
    </cfRule>
  </conditionalFormatting>
  <conditionalFormatting sqref="AF23:AF25">
    <cfRule type="cellIs" dxfId="881" priority="973" operator="equal">
      <formula>#REF!</formula>
    </cfRule>
    <cfRule type="cellIs" dxfId="880" priority="974" operator="greaterThan">
      <formula>#REF!</formula>
    </cfRule>
    <cfRule type="cellIs" dxfId="879" priority="975" operator="lessThan">
      <formula>#REF!</formula>
    </cfRule>
  </conditionalFormatting>
  <conditionalFormatting sqref="AM8">
    <cfRule type="expression" dxfId="878" priority="972">
      <formula>AND($A1048568&lt;&gt;"",MOD(ROW(),2))</formula>
    </cfRule>
  </conditionalFormatting>
  <conditionalFormatting sqref="AM8">
    <cfRule type="cellIs" dxfId="877" priority="969" operator="equal">
      <formula>#REF!</formula>
    </cfRule>
    <cfRule type="cellIs" dxfId="876" priority="970" operator="greaterThan">
      <formula>#REF!</formula>
    </cfRule>
    <cfRule type="cellIs" dxfId="875" priority="971" operator="lessThan">
      <formula>#REF!</formula>
    </cfRule>
  </conditionalFormatting>
  <conditionalFormatting sqref="AM8">
    <cfRule type="expression" dxfId="874" priority="968">
      <formula>AND($A1048568&lt;&gt;"",MOD(ROW(),2))</formula>
    </cfRule>
  </conditionalFormatting>
  <conditionalFormatting sqref="AM8">
    <cfRule type="cellIs" dxfId="873" priority="965" operator="equal">
      <formula>#REF!</formula>
    </cfRule>
    <cfRule type="cellIs" dxfId="872" priority="966" operator="greaterThan">
      <formula>#REF!</formula>
    </cfRule>
    <cfRule type="cellIs" dxfId="871" priority="967" operator="lessThan">
      <formula>#REF!</formula>
    </cfRule>
  </conditionalFormatting>
  <conditionalFormatting sqref="AF25:AF26">
    <cfRule type="expression" dxfId="870" priority="964">
      <formula>AND($A8&lt;&gt;"",MOD(ROW(),2))</formula>
    </cfRule>
  </conditionalFormatting>
  <conditionalFormatting sqref="AF25:AF26">
    <cfRule type="cellIs" dxfId="869" priority="961" operator="equal">
      <formula>#REF!</formula>
    </cfRule>
    <cfRule type="cellIs" dxfId="868" priority="962" operator="greaterThan">
      <formula>#REF!</formula>
    </cfRule>
    <cfRule type="cellIs" dxfId="867" priority="963" operator="lessThan">
      <formula>#REF!</formula>
    </cfRule>
  </conditionalFormatting>
  <conditionalFormatting sqref="AF25:AF26">
    <cfRule type="expression" dxfId="866" priority="960">
      <formula>AND($A8&lt;&gt;"",MOD(ROW(),2))</formula>
    </cfRule>
  </conditionalFormatting>
  <conditionalFormatting sqref="AF25:AF26">
    <cfRule type="cellIs" dxfId="865" priority="957" operator="equal">
      <formula>#REF!</formula>
    </cfRule>
    <cfRule type="cellIs" dxfId="864" priority="958" operator="greaterThan">
      <formula>#REF!</formula>
    </cfRule>
    <cfRule type="cellIs" dxfId="863" priority="959" operator="lessThan">
      <formula>#REF!</formula>
    </cfRule>
  </conditionalFormatting>
  <conditionalFormatting sqref="AM9">
    <cfRule type="expression" dxfId="862" priority="956">
      <formula>AND($A1048569&lt;&gt;"",MOD(ROW(),2))</formula>
    </cfRule>
  </conditionalFormatting>
  <conditionalFormatting sqref="AM9">
    <cfRule type="cellIs" dxfId="861" priority="953" operator="equal">
      <formula>#REF!</formula>
    </cfRule>
    <cfRule type="cellIs" dxfId="860" priority="954" operator="greaterThan">
      <formula>#REF!</formula>
    </cfRule>
    <cfRule type="cellIs" dxfId="859" priority="955" operator="lessThan">
      <formula>#REF!</formula>
    </cfRule>
  </conditionalFormatting>
  <conditionalFormatting sqref="AM9">
    <cfRule type="expression" dxfId="858" priority="952">
      <formula>AND($A1048569&lt;&gt;"",MOD(ROW(),2))</formula>
    </cfRule>
  </conditionalFormatting>
  <conditionalFormatting sqref="AM9">
    <cfRule type="cellIs" dxfId="857" priority="949" operator="equal">
      <formula>#REF!</formula>
    </cfRule>
    <cfRule type="cellIs" dxfId="856" priority="950" operator="greaterThan">
      <formula>#REF!</formula>
    </cfRule>
    <cfRule type="cellIs" dxfId="855" priority="951" operator="lessThan">
      <formula>#REF!</formula>
    </cfRule>
  </conditionalFormatting>
  <conditionalFormatting sqref="AF26:AF27">
    <cfRule type="expression" dxfId="854" priority="948">
      <formula>AND($A9&lt;&gt;"",MOD(ROW(),2))</formula>
    </cfRule>
  </conditionalFormatting>
  <conditionalFormatting sqref="AF26:AF27">
    <cfRule type="cellIs" dxfId="853" priority="945" operator="equal">
      <formula>#REF!</formula>
    </cfRule>
    <cfRule type="cellIs" dxfId="852" priority="946" operator="greaterThan">
      <formula>#REF!</formula>
    </cfRule>
    <cfRule type="cellIs" dxfId="851" priority="947" operator="lessThan">
      <formula>#REF!</formula>
    </cfRule>
  </conditionalFormatting>
  <conditionalFormatting sqref="AF26:AF27">
    <cfRule type="expression" dxfId="850" priority="944">
      <formula>AND($A9&lt;&gt;"",MOD(ROW(),2))</formula>
    </cfRule>
  </conditionalFormatting>
  <conditionalFormatting sqref="AF26:AF27">
    <cfRule type="cellIs" dxfId="849" priority="941" operator="equal">
      <formula>#REF!</formula>
    </cfRule>
    <cfRule type="cellIs" dxfId="848" priority="942" operator="greaterThan">
      <formula>#REF!</formula>
    </cfRule>
    <cfRule type="cellIs" dxfId="847" priority="943" operator="lessThan">
      <formula>#REF!</formula>
    </cfRule>
  </conditionalFormatting>
  <conditionalFormatting sqref="AF27:AF29">
    <cfRule type="expression" dxfId="846" priority="940">
      <formula>AND($A10&lt;&gt;"",MOD(ROW(),2))</formula>
    </cfRule>
  </conditionalFormatting>
  <conditionalFormatting sqref="AF27:AF29">
    <cfRule type="cellIs" dxfId="845" priority="937" operator="equal">
      <formula>#REF!</formula>
    </cfRule>
    <cfRule type="cellIs" dxfId="844" priority="938" operator="greaterThan">
      <formula>#REF!</formula>
    </cfRule>
    <cfRule type="cellIs" dxfId="843" priority="939" operator="lessThan">
      <formula>#REF!</formula>
    </cfRule>
  </conditionalFormatting>
  <conditionalFormatting sqref="AF27:AF29">
    <cfRule type="expression" dxfId="842" priority="936">
      <formula>AND($A10&lt;&gt;"",MOD(ROW(),2))</formula>
    </cfRule>
  </conditionalFormatting>
  <conditionalFormatting sqref="AF27:AF29">
    <cfRule type="cellIs" dxfId="841" priority="933" operator="equal">
      <formula>#REF!</formula>
    </cfRule>
    <cfRule type="cellIs" dxfId="840" priority="934" operator="greaterThan">
      <formula>#REF!</formula>
    </cfRule>
    <cfRule type="cellIs" dxfId="839" priority="935" operator="lessThan">
      <formula>#REF!</formula>
    </cfRule>
  </conditionalFormatting>
  <conditionalFormatting sqref="AF29:AF30">
    <cfRule type="expression" dxfId="838" priority="932">
      <formula>AND($A12&lt;&gt;"",MOD(ROW(),2))</formula>
    </cfRule>
  </conditionalFormatting>
  <conditionalFormatting sqref="AF29:AF30">
    <cfRule type="cellIs" dxfId="837" priority="929" operator="equal">
      <formula>#REF!</formula>
    </cfRule>
    <cfRule type="cellIs" dxfId="836" priority="930" operator="greaterThan">
      <formula>#REF!</formula>
    </cfRule>
    <cfRule type="cellIs" dxfId="835" priority="931" operator="lessThan">
      <formula>#REF!</formula>
    </cfRule>
  </conditionalFormatting>
  <conditionalFormatting sqref="AF29:AF30">
    <cfRule type="expression" dxfId="834" priority="928">
      <formula>AND($A12&lt;&gt;"",MOD(ROW(),2))</formula>
    </cfRule>
  </conditionalFormatting>
  <conditionalFormatting sqref="AF29:AF30">
    <cfRule type="cellIs" dxfId="833" priority="925" operator="equal">
      <formula>#REF!</formula>
    </cfRule>
    <cfRule type="cellIs" dxfId="832" priority="926" operator="greaterThan">
      <formula>#REF!</formula>
    </cfRule>
    <cfRule type="cellIs" dxfId="831" priority="927" operator="lessThan">
      <formula>#REF!</formula>
    </cfRule>
  </conditionalFormatting>
  <conditionalFormatting sqref="AF30:AF31">
    <cfRule type="expression" dxfId="830" priority="924">
      <formula>AND($A13&lt;&gt;"",MOD(ROW(),2))</formula>
    </cfRule>
  </conditionalFormatting>
  <conditionalFormatting sqref="AF30:AF31">
    <cfRule type="cellIs" dxfId="829" priority="921" operator="equal">
      <formula>#REF!</formula>
    </cfRule>
    <cfRule type="cellIs" dxfId="828" priority="922" operator="greaterThan">
      <formula>#REF!</formula>
    </cfRule>
    <cfRule type="cellIs" dxfId="827" priority="923" operator="lessThan">
      <formula>#REF!</formula>
    </cfRule>
  </conditionalFormatting>
  <conditionalFormatting sqref="AF30:AF31">
    <cfRule type="expression" dxfId="826" priority="920">
      <formula>AND($A13&lt;&gt;"",MOD(ROW(),2))</formula>
    </cfRule>
  </conditionalFormatting>
  <conditionalFormatting sqref="AF30:AF31">
    <cfRule type="cellIs" dxfId="825" priority="917" operator="equal">
      <formula>#REF!</formula>
    </cfRule>
    <cfRule type="cellIs" dxfId="824" priority="918" operator="greaterThan">
      <formula>#REF!</formula>
    </cfRule>
    <cfRule type="cellIs" dxfId="823" priority="919" operator="lessThan">
      <formula>#REF!</formula>
    </cfRule>
  </conditionalFormatting>
  <conditionalFormatting sqref="AF31:AF32">
    <cfRule type="expression" dxfId="822" priority="916">
      <formula>AND($A14&lt;&gt;"",MOD(ROW(),2))</formula>
    </cfRule>
  </conditionalFormatting>
  <conditionalFormatting sqref="AF31:AF32">
    <cfRule type="cellIs" dxfId="821" priority="913" operator="equal">
      <formula>#REF!</formula>
    </cfRule>
    <cfRule type="cellIs" dxfId="820" priority="914" operator="greaterThan">
      <formula>#REF!</formula>
    </cfRule>
    <cfRule type="cellIs" dxfId="819" priority="915" operator="lessThan">
      <formula>#REF!</formula>
    </cfRule>
  </conditionalFormatting>
  <conditionalFormatting sqref="AF31:AF32">
    <cfRule type="expression" dxfId="818" priority="912">
      <formula>AND($A14&lt;&gt;"",MOD(ROW(),2))</formula>
    </cfRule>
  </conditionalFormatting>
  <conditionalFormatting sqref="AF31:AF32">
    <cfRule type="cellIs" dxfId="817" priority="909" operator="equal">
      <formula>#REF!</formula>
    </cfRule>
    <cfRule type="cellIs" dxfId="816" priority="910" operator="greaterThan">
      <formula>#REF!</formula>
    </cfRule>
    <cfRule type="cellIs" dxfId="815" priority="911" operator="lessThan">
      <formula>#REF!</formula>
    </cfRule>
  </conditionalFormatting>
  <conditionalFormatting sqref="AF32:AF33">
    <cfRule type="expression" dxfId="814" priority="908">
      <formula>AND($A15&lt;&gt;"",MOD(ROW(),2))</formula>
    </cfRule>
  </conditionalFormatting>
  <conditionalFormatting sqref="AF32:AF33">
    <cfRule type="cellIs" dxfId="813" priority="905" operator="equal">
      <formula>#REF!</formula>
    </cfRule>
    <cfRule type="cellIs" dxfId="812" priority="906" operator="greaterThan">
      <formula>#REF!</formula>
    </cfRule>
    <cfRule type="cellIs" dxfId="811" priority="907" operator="lessThan">
      <formula>#REF!</formula>
    </cfRule>
  </conditionalFormatting>
  <conditionalFormatting sqref="AF32:AF33">
    <cfRule type="expression" dxfId="810" priority="904">
      <formula>AND($A15&lt;&gt;"",MOD(ROW(),2))</formula>
    </cfRule>
  </conditionalFormatting>
  <conditionalFormatting sqref="AF32:AF33">
    <cfRule type="cellIs" dxfId="809" priority="901" operator="equal">
      <formula>#REF!</formula>
    </cfRule>
    <cfRule type="cellIs" dxfId="808" priority="902" operator="greaterThan">
      <formula>#REF!</formula>
    </cfRule>
    <cfRule type="cellIs" dxfId="807" priority="903" operator="lessThan">
      <formula>#REF!</formula>
    </cfRule>
  </conditionalFormatting>
  <conditionalFormatting sqref="AF33:AF34">
    <cfRule type="expression" dxfId="806" priority="900">
      <formula>AND($A16&lt;&gt;"",MOD(ROW(),2))</formula>
    </cfRule>
  </conditionalFormatting>
  <conditionalFormatting sqref="AF33:AF34">
    <cfRule type="cellIs" dxfId="805" priority="897" operator="equal">
      <formula>#REF!</formula>
    </cfRule>
    <cfRule type="cellIs" dxfId="804" priority="898" operator="greaterThan">
      <formula>#REF!</formula>
    </cfRule>
    <cfRule type="cellIs" dxfId="803" priority="899" operator="lessThan">
      <formula>#REF!</formula>
    </cfRule>
  </conditionalFormatting>
  <conditionalFormatting sqref="AF33:AF34">
    <cfRule type="expression" dxfId="802" priority="896">
      <formula>AND($A16&lt;&gt;"",MOD(ROW(),2))</formula>
    </cfRule>
  </conditionalFormatting>
  <conditionalFormatting sqref="AF33:AF34">
    <cfRule type="cellIs" dxfId="801" priority="893" operator="equal">
      <formula>#REF!</formula>
    </cfRule>
    <cfRule type="cellIs" dxfId="800" priority="894" operator="greaterThan">
      <formula>#REF!</formula>
    </cfRule>
    <cfRule type="cellIs" dxfId="799" priority="895" operator="lessThan">
      <formula>#REF!</formula>
    </cfRule>
  </conditionalFormatting>
  <conditionalFormatting sqref="AF34:AF35">
    <cfRule type="expression" dxfId="798" priority="892">
      <formula>AND($A17&lt;&gt;"",MOD(ROW(),2))</formula>
    </cfRule>
  </conditionalFormatting>
  <conditionalFormatting sqref="AF34:AF35">
    <cfRule type="cellIs" dxfId="797" priority="889" operator="equal">
      <formula>#REF!</formula>
    </cfRule>
    <cfRule type="cellIs" dxfId="796" priority="890" operator="greaterThan">
      <formula>#REF!</formula>
    </cfRule>
    <cfRule type="cellIs" dxfId="795" priority="891" operator="lessThan">
      <formula>#REF!</formula>
    </cfRule>
  </conditionalFormatting>
  <conditionalFormatting sqref="AF34:AF35">
    <cfRule type="expression" dxfId="794" priority="888">
      <formula>AND($A17&lt;&gt;"",MOD(ROW(),2))</formula>
    </cfRule>
  </conditionalFormatting>
  <conditionalFormatting sqref="AF34:AF35">
    <cfRule type="cellIs" dxfId="793" priority="885" operator="equal">
      <formula>#REF!</formula>
    </cfRule>
    <cfRule type="cellIs" dxfId="792" priority="886" operator="greaterThan">
      <formula>#REF!</formula>
    </cfRule>
    <cfRule type="cellIs" dxfId="791" priority="887" operator="lessThan">
      <formula>#REF!</formula>
    </cfRule>
  </conditionalFormatting>
  <conditionalFormatting sqref="AF35:AF36">
    <cfRule type="expression" dxfId="790" priority="884">
      <formula>AND($A18&lt;&gt;"",MOD(ROW(),2))</formula>
    </cfRule>
  </conditionalFormatting>
  <conditionalFormatting sqref="AF35:AF36">
    <cfRule type="cellIs" dxfId="789" priority="881" operator="equal">
      <formula>#REF!</formula>
    </cfRule>
    <cfRule type="cellIs" dxfId="788" priority="882" operator="greaterThan">
      <formula>#REF!</formula>
    </cfRule>
    <cfRule type="cellIs" dxfId="787" priority="883" operator="lessThan">
      <formula>#REF!</formula>
    </cfRule>
  </conditionalFormatting>
  <conditionalFormatting sqref="AF35:AF36">
    <cfRule type="expression" dxfId="786" priority="880">
      <formula>AND($A18&lt;&gt;"",MOD(ROW(),2))</formula>
    </cfRule>
  </conditionalFormatting>
  <conditionalFormatting sqref="AF35:AF36">
    <cfRule type="cellIs" dxfId="785" priority="877" operator="equal">
      <formula>#REF!</formula>
    </cfRule>
    <cfRule type="cellIs" dxfId="784" priority="878" operator="greaterThan">
      <formula>#REF!</formula>
    </cfRule>
    <cfRule type="cellIs" dxfId="783" priority="879" operator="lessThan">
      <formula>#REF!</formula>
    </cfRule>
  </conditionalFormatting>
  <conditionalFormatting sqref="AF36:AF37">
    <cfRule type="expression" dxfId="782" priority="876">
      <formula>AND($A19&lt;&gt;"",MOD(ROW(),2))</formula>
    </cfRule>
  </conditionalFormatting>
  <conditionalFormatting sqref="AF36:AF37">
    <cfRule type="cellIs" dxfId="781" priority="873" operator="equal">
      <formula>#REF!</formula>
    </cfRule>
    <cfRule type="cellIs" dxfId="780" priority="874" operator="greaterThan">
      <formula>#REF!</formula>
    </cfRule>
    <cfRule type="cellIs" dxfId="779" priority="875" operator="lessThan">
      <formula>#REF!</formula>
    </cfRule>
  </conditionalFormatting>
  <conditionalFormatting sqref="AF36:AF37">
    <cfRule type="expression" dxfId="778" priority="872">
      <formula>AND($A19&lt;&gt;"",MOD(ROW(),2))</formula>
    </cfRule>
  </conditionalFormatting>
  <conditionalFormatting sqref="AF36:AF37">
    <cfRule type="cellIs" dxfId="777" priority="869" operator="equal">
      <formula>#REF!</formula>
    </cfRule>
    <cfRule type="cellIs" dxfId="776" priority="870" operator="greaterThan">
      <formula>#REF!</formula>
    </cfRule>
    <cfRule type="cellIs" dxfId="775" priority="871" operator="lessThan">
      <formula>#REF!</formula>
    </cfRule>
  </conditionalFormatting>
  <conditionalFormatting sqref="AF36:AF38">
    <cfRule type="expression" dxfId="774" priority="868">
      <formula>AND($A19&lt;&gt;"",MOD(ROW(),2))</formula>
    </cfRule>
  </conditionalFormatting>
  <conditionalFormatting sqref="AF36:AF38">
    <cfRule type="cellIs" dxfId="773" priority="865" operator="equal">
      <formula>#REF!</formula>
    </cfRule>
    <cfRule type="cellIs" dxfId="772" priority="866" operator="greaterThan">
      <formula>#REF!</formula>
    </cfRule>
    <cfRule type="cellIs" dxfId="771" priority="867" operator="lessThan">
      <formula>#REF!</formula>
    </cfRule>
  </conditionalFormatting>
  <conditionalFormatting sqref="AF36:AF38">
    <cfRule type="expression" dxfId="770" priority="864">
      <formula>AND($A19&lt;&gt;"",MOD(ROW(),2))</formula>
    </cfRule>
  </conditionalFormatting>
  <conditionalFormatting sqref="AF36:AF38">
    <cfRule type="cellIs" dxfId="769" priority="861" operator="equal">
      <formula>#REF!</formula>
    </cfRule>
    <cfRule type="cellIs" dxfId="768" priority="862" operator="greaterThan">
      <formula>#REF!</formula>
    </cfRule>
    <cfRule type="cellIs" dxfId="767" priority="863" operator="lessThan">
      <formula>#REF!</formula>
    </cfRule>
  </conditionalFormatting>
  <conditionalFormatting sqref="AF37:AF39">
    <cfRule type="expression" dxfId="766" priority="860">
      <formula>AND($A20&lt;&gt;"",MOD(ROW(),2))</formula>
    </cfRule>
  </conditionalFormatting>
  <conditionalFormatting sqref="AF37:AF39">
    <cfRule type="cellIs" dxfId="765" priority="857" operator="equal">
      <formula>#REF!</formula>
    </cfRule>
    <cfRule type="cellIs" dxfId="764" priority="858" operator="greaterThan">
      <formula>#REF!</formula>
    </cfRule>
    <cfRule type="cellIs" dxfId="763" priority="859" operator="lessThan">
      <formula>#REF!</formula>
    </cfRule>
  </conditionalFormatting>
  <conditionalFormatting sqref="AF37:AF39">
    <cfRule type="expression" dxfId="762" priority="856">
      <formula>AND($A20&lt;&gt;"",MOD(ROW(),2))</formula>
    </cfRule>
  </conditionalFormatting>
  <conditionalFormatting sqref="AF37:AF39">
    <cfRule type="cellIs" dxfId="761" priority="853" operator="equal">
      <formula>#REF!</formula>
    </cfRule>
    <cfRule type="cellIs" dxfId="760" priority="854" operator="greaterThan">
      <formula>#REF!</formula>
    </cfRule>
    <cfRule type="cellIs" dxfId="759" priority="855" operator="lessThan">
      <formula>#REF!</formula>
    </cfRule>
  </conditionalFormatting>
  <conditionalFormatting sqref="AF38:AF41">
    <cfRule type="expression" dxfId="758" priority="852">
      <formula>AND($A21&lt;&gt;"",MOD(ROW(),2))</formula>
    </cfRule>
  </conditionalFormatting>
  <conditionalFormatting sqref="AF38:AF41">
    <cfRule type="cellIs" dxfId="757" priority="849" operator="equal">
      <formula>#REF!</formula>
    </cfRule>
    <cfRule type="cellIs" dxfId="756" priority="850" operator="greaterThan">
      <formula>#REF!</formula>
    </cfRule>
    <cfRule type="cellIs" dxfId="755" priority="851" operator="lessThan">
      <formula>#REF!</formula>
    </cfRule>
  </conditionalFormatting>
  <conditionalFormatting sqref="AF38:AF41">
    <cfRule type="expression" dxfId="754" priority="848">
      <formula>AND($A21&lt;&gt;"",MOD(ROW(),2))</formula>
    </cfRule>
  </conditionalFormatting>
  <conditionalFormatting sqref="AF38:AF41">
    <cfRule type="cellIs" dxfId="753" priority="845" operator="equal">
      <formula>#REF!</formula>
    </cfRule>
    <cfRule type="cellIs" dxfId="752" priority="846" operator="greaterThan">
      <formula>#REF!</formula>
    </cfRule>
    <cfRule type="cellIs" dxfId="751" priority="847" operator="lessThan">
      <formula>#REF!</formula>
    </cfRule>
  </conditionalFormatting>
  <conditionalFormatting sqref="AF40:AF42">
    <cfRule type="expression" dxfId="750" priority="844">
      <formula>AND($A23&lt;&gt;"",MOD(ROW(),2))</formula>
    </cfRule>
  </conditionalFormatting>
  <conditionalFormatting sqref="AF40:AF42">
    <cfRule type="cellIs" dxfId="749" priority="841" operator="equal">
      <formula>#REF!</formula>
    </cfRule>
    <cfRule type="cellIs" dxfId="748" priority="842" operator="greaterThan">
      <formula>#REF!</formula>
    </cfRule>
    <cfRule type="cellIs" dxfId="747" priority="843" operator="lessThan">
      <formula>#REF!</formula>
    </cfRule>
  </conditionalFormatting>
  <conditionalFormatting sqref="AF41:AF43">
    <cfRule type="expression" dxfId="746" priority="840">
      <formula>AND($A24&lt;&gt;"",MOD(ROW(),2))</formula>
    </cfRule>
  </conditionalFormatting>
  <conditionalFormatting sqref="AF41:AF43">
    <cfRule type="cellIs" dxfId="745" priority="837" operator="equal">
      <formula>#REF!</formula>
    </cfRule>
    <cfRule type="cellIs" dxfId="744" priority="838" operator="greaterThan">
      <formula>#REF!</formula>
    </cfRule>
    <cfRule type="cellIs" dxfId="743" priority="839" operator="lessThan">
      <formula>#REF!</formula>
    </cfRule>
  </conditionalFormatting>
  <conditionalFormatting sqref="AF41:AF43">
    <cfRule type="expression" dxfId="742" priority="836">
      <formula>AND($A24&lt;&gt;"",MOD(ROW(),2))</formula>
    </cfRule>
  </conditionalFormatting>
  <conditionalFormatting sqref="AF41:AF43">
    <cfRule type="cellIs" dxfId="741" priority="833" operator="equal">
      <formula>#REF!</formula>
    </cfRule>
    <cfRule type="cellIs" dxfId="740" priority="834" operator="greaterThan">
      <formula>#REF!</formula>
    </cfRule>
    <cfRule type="cellIs" dxfId="739" priority="835" operator="lessThan">
      <formula>#REF!</formula>
    </cfRule>
  </conditionalFormatting>
  <conditionalFormatting sqref="AF42:AF43">
    <cfRule type="expression" dxfId="738" priority="832">
      <formula>AND($A25&lt;&gt;"",MOD(ROW(),2))</formula>
    </cfRule>
  </conditionalFormatting>
  <conditionalFormatting sqref="AF42:AF43">
    <cfRule type="cellIs" dxfId="737" priority="829" operator="equal">
      <formula>#REF!</formula>
    </cfRule>
    <cfRule type="cellIs" dxfId="736" priority="830" operator="greaterThan">
      <formula>#REF!</formula>
    </cfRule>
    <cfRule type="cellIs" dxfId="735" priority="831" operator="lessThan">
      <formula>#REF!</formula>
    </cfRule>
  </conditionalFormatting>
  <conditionalFormatting sqref="AF42:AF43">
    <cfRule type="expression" dxfId="734" priority="828">
      <formula>AND($A25&lt;&gt;"",MOD(ROW(),2))</formula>
    </cfRule>
  </conditionalFormatting>
  <conditionalFormatting sqref="AF42:AF43">
    <cfRule type="cellIs" dxfId="733" priority="825" operator="equal">
      <formula>#REF!</formula>
    </cfRule>
    <cfRule type="cellIs" dxfId="732" priority="826" operator="greaterThan">
      <formula>#REF!</formula>
    </cfRule>
    <cfRule type="cellIs" dxfId="731" priority="827" operator="lessThan">
      <formula>#REF!</formula>
    </cfRule>
  </conditionalFormatting>
  <conditionalFormatting sqref="AM10">
    <cfRule type="expression" dxfId="730" priority="824">
      <formula>AND($A1048570&lt;&gt;"",MOD(ROW(),2))</formula>
    </cfRule>
  </conditionalFormatting>
  <conditionalFormatting sqref="AM10">
    <cfRule type="cellIs" dxfId="729" priority="821" operator="equal">
      <formula>#REF!</formula>
    </cfRule>
    <cfRule type="cellIs" dxfId="728" priority="822" operator="greaterThan">
      <formula>#REF!</formula>
    </cfRule>
    <cfRule type="cellIs" dxfId="727" priority="823" operator="lessThan">
      <formula>#REF!</formula>
    </cfRule>
  </conditionalFormatting>
  <conditionalFormatting sqref="AM10">
    <cfRule type="expression" dxfId="726" priority="820">
      <formula>AND($A1048570&lt;&gt;"",MOD(ROW(),2))</formula>
    </cfRule>
  </conditionalFormatting>
  <conditionalFormatting sqref="AM10">
    <cfRule type="cellIs" dxfId="725" priority="817" operator="equal">
      <formula>#REF!</formula>
    </cfRule>
    <cfRule type="cellIs" dxfId="724" priority="818" operator="greaterThan">
      <formula>#REF!</formula>
    </cfRule>
    <cfRule type="cellIs" dxfId="723" priority="819" operator="lessThan">
      <formula>#REF!</formula>
    </cfRule>
  </conditionalFormatting>
  <conditionalFormatting sqref="AF44">
    <cfRule type="expression" dxfId="722" priority="816">
      <formula>AND($A27&lt;&gt;"",MOD(ROW(),2))</formula>
    </cfRule>
  </conditionalFormatting>
  <conditionalFormatting sqref="AF44">
    <cfRule type="cellIs" dxfId="721" priority="813" operator="equal">
      <formula>#REF!</formula>
    </cfRule>
    <cfRule type="cellIs" dxfId="720" priority="814" operator="greaterThan">
      <formula>#REF!</formula>
    </cfRule>
    <cfRule type="cellIs" dxfId="719" priority="815" operator="lessThan">
      <formula>#REF!</formula>
    </cfRule>
  </conditionalFormatting>
  <conditionalFormatting sqref="AF44">
    <cfRule type="expression" dxfId="718" priority="812">
      <formula>AND($A27&lt;&gt;"",MOD(ROW(),2))</formula>
    </cfRule>
  </conditionalFormatting>
  <conditionalFormatting sqref="AF44">
    <cfRule type="cellIs" dxfId="717" priority="809" operator="equal">
      <formula>#REF!</formula>
    </cfRule>
    <cfRule type="cellIs" dxfId="716" priority="810" operator="greaterThan">
      <formula>#REF!</formula>
    </cfRule>
    <cfRule type="cellIs" dxfId="715" priority="811" operator="lessThan">
      <formula>#REF!</formula>
    </cfRule>
  </conditionalFormatting>
  <conditionalFormatting sqref="AT5">
    <cfRule type="expression" dxfId="714" priority="808">
      <formula>AND($A1048565&lt;&gt;"",MOD(ROW(),2))</formula>
    </cfRule>
  </conditionalFormatting>
  <conditionalFormatting sqref="AT5">
    <cfRule type="cellIs" dxfId="713" priority="805" operator="equal">
      <formula>#REF!</formula>
    </cfRule>
    <cfRule type="cellIs" dxfId="712" priority="806" operator="greaterThan">
      <formula>#REF!</formula>
    </cfRule>
    <cfRule type="cellIs" dxfId="711" priority="807" operator="lessThan">
      <formula>#REF!</formula>
    </cfRule>
  </conditionalFormatting>
  <conditionalFormatting sqref="AT5">
    <cfRule type="expression" dxfId="710" priority="804">
      <formula>AND($A1048565&lt;&gt;"",MOD(ROW(),2))</formula>
    </cfRule>
  </conditionalFormatting>
  <conditionalFormatting sqref="AT5">
    <cfRule type="cellIs" dxfId="709" priority="801" operator="equal">
      <formula>#REF!</formula>
    </cfRule>
    <cfRule type="cellIs" dxfId="708" priority="802" operator="greaterThan">
      <formula>#REF!</formula>
    </cfRule>
    <cfRule type="cellIs" dxfId="707" priority="803" operator="lessThan">
      <formula>#REF!</formula>
    </cfRule>
  </conditionalFormatting>
  <conditionalFormatting sqref="AM11">
    <cfRule type="expression" dxfId="706" priority="768">
      <formula>AND($A1048571&lt;&gt;"",MOD(ROW(),2))</formula>
    </cfRule>
  </conditionalFormatting>
  <conditionalFormatting sqref="AM11">
    <cfRule type="cellIs" dxfId="705" priority="765" operator="equal">
      <formula>#REF!</formula>
    </cfRule>
    <cfRule type="cellIs" dxfId="704" priority="766" operator="greaterThan">
      <formula>#REF!</formula>
    </cfRule>
    <cfRule type="cellIs" dxfId="703" priority="767" operator="lessThan">
      <formula>#REF!</formula>
    </cfRule>
  </conditionalFormatting>
  <conditionalFormatting sqref="AM11">
    <cfRule type="expression" dxfId="702" priority="764">
      <formula>AND($A1048571&lt;&gt;"",MOD(ROW(),2))</formula>
    </cfRule>
  </conditionalFormatting>
  <conditionalFormatting sqref="AM11">
    <cfRule type="cellIs" dxfId="701" priority="761" operator="equal">
      <formula>#REF!</formula>
    </cfRule>
    <cfRule type="cellIs" dxfId="700" priority="762" operator="greaterThan">
      <formula>#REF!</formula>
    </cfRule>
    <cfRule type="cellIs" dxfId="699" priority="763" operator="lessThan">
      <formula>#REF!</formula>
    </cfRule>
  </conditionalFormatting>
  <conditionalFormatting sqref="AT6">
    <cfRule type="expression" dxfId="698" priority="752">
      <formula>AND($A1048566&lt;&gt;"",MOD(ROW(),2))</formula>
    </cfRule>
  </conditionalFormatting>
  <conditionalFormatting sqref="AT6">
    <cfRule type="cellIs" dxfId="697" priority="749" operator="equal">
      <formula>#REF!</formula>
    </cfRule>
    <cfRule type="cellIs" dxfId="696" priority="750" operator="greaterThan">
      <formula>#REF!</formula>
    </cfRule>
    <cfRule type="cellIs" dxfId="695" priority="751" operator="lessThan">
      <formula>#REF!</formula>
    </cfRule>
  </conditionalFormatting>
  <conditionalFormatting sqref="AT6">
    <cfRule type="expression" dxfId="694" priority="748">
      <formula>AND($A1048566&lt;&gt;"",MOD(ROW(),2))</formula>
    </cfRule>
  </conditionalFormatting>
  <conditionalFormatting sqref="AT6">
    <cfRule type="cellIs" dxfId="693" priority="745" operator="equal">
      <formula>#REF!</formula>
    </cfRule>
    <cfRule type="cellIs" dxfId="692" priority="746" operator="greaterThan">
      <formula>#REF!</formula>
    </cfRule>
    <cfRule type="cellIs" dxfId="691" priority="747" operator="lessThan">
      <formula>#REF!</formula>
    </cfRule>
  </conditionalFormatting>
  <conditionalFormatting sqref="AF45 AF65:AF69">
    <cfRule type="expression" dxfId="690" priority="728">
      <formula>AND($A36&lt;&gt;"",MOD(ROW(),2))</formula>
    </cfRule>
  </conditionalFormatting>
  <conditionalFormatting sqref="AF45">
    <cfRule type="cellIs" dxfId="689" priority="725" operator="equal">
      <formula>#REF!</formula>
    </cfRule>
    <cfRule type="cellIs" dxfId="688" priority="726" operator="greaterThan">
      <formula>#REF!</formula>
    </cfRule>
    <cfRule type="cellIs" dxfId="687" priority="727" operator="lessThan">
      <formula>#REF!</formula>
    </cfRule>
  </conditionalFormatting>
  <conditionalFormatting sqref="AF45">
    <cfRule type="expression" dxfId="686" priority="724">
      <formula>AND($A36&lt;&gt;"",MOD(ROW(),2))</formula>
    </cfRule>
  </conditionalFormatting>
  <conditionalFormatting sqref="AF45">
    <cfRule type="cellIs" dxfId="685" priority="721" operator="equal">
      <formula>#REF!</formula>
    </cfRule>
    <cfRule type="cellIs" dxfId="684" priority="722" operator="greaterThan">
      <formula>#REF!</formula>
    </cfRule>
    <cfRule type="cellIs" dxfId="683" priority="723" operator="lessThan">
      <formula>#REF!</formula>
    </cfRule>
  </conditionalFormatting>
  <conditionalFormatting sqref="AF46">
    <cfRule type="expression" dxfId="682" priority="720">
      <formula>AND($A37&lt;&gt;"",MOD(ROW(),2))</formula>
    </cfRule>
  </conditionalFormatting>
  <conditionalFormatting sqref="AF46">
    <cfRule type="cellIs" dxfId="681" priority="717" operator="equal">
      <formula>#REF!</formula>
    </cfRule>
    <cfRule type="cellIs" dxfId="680" priority="718" operator="greaterThan">
      <formula>#REF!</formula>
    </cfRule>
    <cfRule type="cellIs" dxfId="679" priority="719" operator="lessThan">
      <formula>#REF!</formula>
    </cfRule>
  </conditionalFormatting>
  <conditionalFormatting sqref="AF46">
    <cfRule type="expression" dxfId="678" priority="716">
      <formula>AND($A37&lt;&gt;"",MOD(ROW(),2))</formula>
    </cfRule>
  </conditionalFormatting>
  <conditionalFormatting sqref="AF46">
    <cfRule type="cellIs" dxfId="677" priority="713" operator="equal">
      <formula>#REF!</formula>
    </cfRule>
    <cfRule type="cellIs" dxfId="676" priority="714" operator="greaterThan">
      <formula>#REF!</formula>
    </cfRule>
    <cfRule type="cellIs" dxfId="675" priority="715" operator="lessThan">
      <formula>#REF!</formula>
    </cfRule>
  </conditionalFormatting>
  <conditionalFormatting sqref="AF47:AF48">
    <cfRule type="expression" dxfId="674" priority="712">
      <formula>AND($A38&lt;&gt;"",MOD(ROW(),2))</formula>
    </cfRule>
  </conditionalFormatting>
  <conditionalFormatting sqref="AF47:AF48">
    <cfRule type="cellIs" dxfId="673" priority="709" operator="equal">
      <formula>#REF!</formula>
    </cfRule>
    <cfRule type="cellIs" dxfId="672" priority="710" operator="greaterThan">
      <formula>#REF!</formula>
    </cfRule>
    <cfRule type="cellIs" dxfId="671" priority="711" operator="lessThan">
      <formula>#REF!</formula>
    </cfRule>
  </conditionalFormatting>
  <conditionalFormatting sqref="AF47:AF48">
    <cfRule type="expression" dxfId="670" priority="708">
      <formula>AND($A38&lt;&gt;"",MOD(ROW(),2))</formula>
    </cfRule>
  </conditionalFormatting>
  <conditionalFormatting sqref="AF47:AF48">
    <cfRule type="cellIs" dxfId="669" priority="705" operator="equal">
      <formula>#REF!</formula>
    </cfRule>
    <cfRule type="cellIs" dxfId="668" priority="706" operator="greaterThan">
      <formula>#REF!</formula>
    </cfRule>
    <cfRule type="cellIs" dxfId="667" priority="707" operator="lessThan">
      <formula>#REF!</formula>
    </cfRule>
  </conditionalFormatting>
  <conditionalFormatting sqref="AM12">
    <cfRule type="expression" dxfId="666" priority="704">
      <formula>AND($A1048572&lt;&gt;"",MOD(ROW(),2))</formula>
    </cfRule>
  </conditionalFormatting>
  <conditionalFormatting sqref="AM12">
    <cfRule type="cellIs" dxfId="665" priority="701" operator="equal">
      <formula>#REF!</formula>
    </cfRule>
    <cfRule type="cellIs" dxfId="664" priority="702" operator="greaterThan">
      <formula>#REF!</formula>
    </cfRule>
    <cfRule type="cellIs" dxfId="663" priority="703" operator="lessThan">
      <formula>#REF!</formula>
    </cfRule>
  </conditionalFormatting>
  <conditionalFormatting sqref="AM12">
    <cfRule type="expression" dxfId="662" priority="700">
      <formula>AND($A1048572&lt;&gt;"",MOD(ROW(),2))</formula>
    </cfRule>
  </conditionalFormatting>
  <conditionalFormatting sqref="AM12">
    <cfRule type="cellIs" dxfId="661" priority="697" operator="equal">
      <formula>#REF!</formula>
    </cfRule>
    <cfRule type="cellIs" dxfId="660" priority="698" operator="greaterThan">
      <formula>#REF!</formula>
    </cfRule>
    <cfRule type="cellIs" dxfId="659" priority="699" operator="lessThan">
      <formula>#REF!</formula>
    </cfRule>
  </conditionalFormatting>
  <conditionalFormatting sqref="AF49:AF50">
    <cfRule type="expression" dxfId="658" priority="696">
      <formula>AND($A40&lt;&gt;"",MOD(ROW(),2))</formula>
    </cfRule>
  </conditionalFormatting>
  <conditionalFormatting sqref="AF49:AF50">
    <cfRule type="cellIs" dxfId="657" priority="693" operator="equal">
      <formula>#REF!</formula>
    </cfRule>
    <cfRule type="cellIs" dxfId="656" priority="694" operator="greaterThan">
      <formula>#REF!</formula>
    </cfRule>
    <cfRule type="cellIs" dxfId="655" priority="695" operator="lessThan">
      <formula>#REF!</formula>
    </cfRule>
  </conditionalFormatting>
  <conditionalFormatting sqref="AF49:AF50">
    <cfRule type="expression" dxfId="654" priority="692">
      <formula>AND($A40&lt;&gt;"",MOD(ROW(),2))</formula>
    </cfRule>
  </conditionalFormatting>
  <conditionalFormatting sqref="AF49:AF50">
    <cfRule type="cellIs" dxfId="653" priority="689" operator="equal">
      <formula>#REF!</formula>
    </cfRule>
    <cfRule type="cellIs" dxfId="652" priority="690" operator="greaterThan">
      <formula>#REF!</formula>
    </cfRule>
    <cfRule type="cellIs" dxfId="651" priority="691" operator="lessThan">
      <formula>#REF!</formula>
    </cfRule>
  </conditionalFormatting>
  <conditionalFormatting sqref="AF51:AF52">
    <cfRule type="expression" dxfId="650" priority="688">
      <formula>AND($A42&lt;&gt;"",MOD(ROW(),2))</formula>
    </cfRule>
  </conditionalFormatting>
  <conditionalFormatting sqref="AF51:AF52">
    <cfRule type="cellIs" dxfId="649" priority="685" operator="equal">
      <formula>#REF!</formula>
    </cfRule>
    <cfRule type="cellIs" dxfId="648" priority="686" operator="greaterThan">
      <formula>#REF!</formula>
    </cfRule>
    <cfRule type="cellIs" dxfId="647" priority="687" operator="lessThan">
      <formula>#REF!</formula>
    </cfRule>
  </conditionalFormatting>
  <conditionalFormatting sqref="AF51:AF52">
    <cfRule type="expression" dxfId="646" priority="684">
      <formula>AND($A42&lt;&gt;"",MOD(ROW(),2))</formula>
    </cfRule>
  </conditionalFormatting>
  <conditionalFormatting sqref="AF51:AF52">
    <cfRule type="cellIs" dxfId="645" priority="681" operator="equal">
      <formula>#REF!</formula>
    </cfRule>
    <cfRule type="cellIs" dxfId="644" priority="682" operator="greaterThan">
      <formula>#REF!</formula>
    </cfRule>
    <cfRule type="cellIs" dxfId="643" priority="683" operator="lessThan">
      <formula>#REF!</formula>
    </cfRule>
  </conditionalFormatting>
  <conditionalFormatting sqref="AF53">
    <cfRule type="expression" dxfId="642" priority="680">
      <formula>AND($A44&lt;&gt;"",MOD(ROW(),2))</formula>
    </cfRule>
  </conditionalFormatting>
  <conditionalFormatting sqref="AF53">
    <cfRule type="cellIs" dxfId="641" priority="677" operator="equal">
      <formula>#REF!</formula>
    </cfRule>
    <cfRule type="cellIs" dxfId="640" priority="678" operator="greaterThan">
      <formula>#REF!</formula>
    </cfRule>
    <cfRule type="cellIs" dxfId="639" priority="679" operator="lessThan">
      <formula>#REF!</formula>
    </cfRule>
  </conditionalFormatting>
  <conditionalFormatting sqref="AF53">
    <cfRule type="expression" dxfId="638" priority="676">
      <formula>AND($A44&lt;&gt;"",MOD(ROW(),2))</formula>
    </cfRule>
  </conditionalFormatting>
  <conditionalFormatting sqref="AF53">
    <cfRule type="cellIs" dxfId="637" priority="673" operator="equal">
      <formula>#REF!</formula>
    </cfRule>
    <cfRule type="cellIs" dxfId="636" priority="674" operator="greaterThan">
      <formula>#REF!</formula>
    </cfRule>
    <cfRule type="cellIs" dxfId="635" priority="675" operator="lessThan">
      <formula>#REF!</formula>
    </cfRule>
  </conditionalFormatting>
  <conditionalFormatting sqref="AF54">
    <cfRule type="expression" dxfId="634" priority="672">
      <formula>AND($A45&lt;&gt;"",MOD(ROW(),2))</formula>
    </cfRule>
  </conditionalFormatting>
  <conditionalFormatting sqref="AF54">
    <cfRule type="cellIs" dxfId="633" priority="669" operator="equal">
      <formula>#REF!</formula>
    </cfRule>
    <cfRule type="cellIs" dxfId="632" priority="670" operator="greaterThan">
      <formula>#REF!</formula>
    </cfRule>
    <cfRule type="cellIs" dxfId="631" priority="671" operator="lessThan">
      <formula>#REF!</formula>
    </cfRule>
  </conditionalFormatting>
  <conditionalFormatting sqref="AF54">
    <cfRule type="expression" dxfId="630" priority="668">
      <formula>AND($A45&lt;&gt;"",MOD(ROW(),2))</formula>
    </cfRule>
  </conditionalFormatting>
  <conditionalFormatting sqref="AF54">
    <cfRule type="cellIs" dxfId="629" priority="665" operator="equal">
      <formula>#REF!</formula>
    </cfRule>
    <cfRule type="cellIs" dxfId="628" priority="666" operator="greaterThan">
      <formula>#REF!</formula>
    </cfRule>
    <cfRule type="cellIs" dxfId="627" priority="667" operator="lessThan">
      <formula>#REF!</formula>
    </cfRule>
  </conditionalFormatting>
  <conditionalFormatting sqref="AF55">
    <cfRule type="expression" dxfId="626" priority="664">
      <formula>AND($A46&lt;&gt;"",MOD(ROW(),2))</formula>
    </cfRule>
  </conditionalFormatting>
  <conditionalFormatting sqref="AF55">
    <cfRule type="cellIs" dxfId="625" priority="661" operator="equal">
      <formula>#REF!</formula>
    </cfRule>
    <cfRule type="cellIs" dxfId="624" priority="662" operator="greaterThan">
      <formula>#REF!</formula>
    </cfRule>
    <cfRule type="cellIs" dxfId="623" priority="663" operator="lessThan">
      <formula>#REF!</formula>
    </cfRule>
  </conditionalFormatting>
  <conditionalFormatting sqref="AF55">
    <cfRule type="expression" dxfId="622" priority="660">
      <formula>AND($A46&lt;&gt;"",MOD(ROW(),2))</formula>
    </cfRule>
  </conditionalFormatting>
  <conditionalFormatting sqref="AF55">
    <cfRule type="cellIs" dxfId="621" priority="657" operator="equal">
      <formula>#REF!</formula>
    </cfRule>
    <cfRule type="cellIs" dxfId="620" priority="658" operator="greaterThan">
      <formula>#REF!</formula>
    </cfRule>
    <cfRule type="cellIs" dxfId="619" priority="659" operator="lessThan">
      <formula>#REF!</formula>
    </cfRule>
  </conditionalFormatting>
  <conditionalFormatting sqref="AF56">
    <cfRule type="expression" dxfId="618" priority="656">
      <formula>AND($A47&lt;&gt;"",MOD(ROW(),2))</formula>
    </cfRule>
  </conditionalFormatting>
  <conditionalFormatting sqref="AF56">
    <cfRule type="cellIs" dxfId="617" priority="653" operator="equal">
      <formula>#REF!</formula>
    </cfRule>
    <cfRule type="cellIs" dxfId="616" priority="654" operator="greaterThan">
      <formula>#REF!</formula>
    </cfRule>
    <cfRule type="cellIs" dxfId="615" priority="655" operator="lessThan">
      <formula>#REF!</formula>
    </cfRule>
  </conditionalFormatting>
  <conditionalFormatting sqref="AF56">
    <cfRule type="expression" dxfId="614" priority="652">
      <formula>AND($A47&lt;&gt;"",MOD(ROW(),2))</formula>
    </cfRule>
  </conditionalFormatting>
  <conditionalFormatting sqref="AF56">
    <cfRule type="cellIs" dxfId="613" priority="649" operator="equal">
      <formula>#REF!</formula>
    </cfRule>
    <cfRule type="cellIs" dxfId="612" priority="650" operator="greaterThan">
      <formula>#REF!</formula>
    </cfRule>
    <cfRule type="cellIs" dxfId="611" priority="651" operator="lessThan">
      <formula>#REF!</formula>
    </cfRule>
  </conditionalFormatting>
  <conditionalFormatting sqref="AF57">
    <cfRule type="expression" dxfId="610" priority="648">
      <formula>AND($A48&lt;&gt;"",MOD(ROW(),2))</formula>
    </cfRule>
  </conditionalFormatting>
  <conditionalFormatting sqref="AF57">
    <cfRule type="cellIs" dxfId="609" priority="645" operator="equal">
      <formula>#REF!</formula>
    </cfRule>
    <cfRule type="cellIs" dxfId="608" priority="646" operator="greaterThan">
      <formula>#REF!</formula>
    </cfRule>
    <cfRule type="cellIs" dxfId="607" priority="647" operator="lessThan">
      <formula>#REF!</formula>
    </cfRule>
  </conditionalFormatting>
  <conditionalFormatting sqref="AF57">
    <cfRule type="expression" dxfId="606" priority="644">
      <formula>AND($A48&lt;&gt;"",MOD(ROW(),2))</formula>
    </cfRule>
  </conditionalFormatting>
  <conditionalFormatting sqref="AF57">
    <cfRule type="cellIs" dxfId="605" priority="641" operator="equal">
      <formula>#REF!</formula>
    </cfRule>
    <cfRule type="cellIs" dxfId="604" priority="642" operator="greaterThan">
      <formula>#REF!</formula>
    </cfRule>
    <cfRule type="cellIs" dxfId="603" priority="643" operator="lessThan">
      <formula>#REF!</formula>
    </cfRule>
  </conditionalFormatting>
  <conditionalFormatting sqref="AF58">
    <cfRule type="expression" dxfId="602" priority="640">
      <formula>AND($A49&lt;&gt;"",MOD(ROW(),2))</formula>
    </cfRule>
  </conditionalFormatting>
  <conditionalFormatting sqref="AF58">
    <cfRule type="cellIs" dxfId="601" priority="637" operator="equal">
      <formula>#REF!</formula>
    </cfRule>
    <cfRule type="cellIs" dxfId="600" priority="638" operator="greaterThan">
      <formula>#REF!</formula>
    </cfRule>
    <cfRule type="cellIs" dxfId="599" priority="639" operator="lessThan">
      <formula>#REF!</formula>
    </cfRule>
  </conditionalFormatting>
  <conditionalFormatting sqref="AF58">
    <cfRule type="expression" dxfId="598" priority="636">
      <formula>AND($A49&lt;&gt;"",MOD(ROW(),2))</formula>
    </cfRule>
  </conditionalFormatting>
  <conditionalFormatting sqref="AF58">
    <cfRule type="cellIs" dxfId="597" priority="633" operator="equal">
      <formula>#REF!</formula>
    </cfRule>
    <cfRule type="cellIs" dxfId="596" priority="634" operator="greaterThan">
      <formula>#REF!</formula>
    </cfRule>
    <cfRule type="cellIs" dxfId="595" priority="635" operator="lessThan">
      <formula>#REF!</formula>
    </cfRule>
  </conditionalFormatting>
  <conditionalFormatting sqref="AT7">
    <cfRule type="expression" dxfId="594" priority="632">
      <formula>AND($A1048567&lt;&gt;"",MOD(ROW(),2))</formula>
    </cfRule>
  </conditionalFormatting>
  <conditionalFormatting sqref="AT7">
    <cfRule type="cellIs" dxfId="593" priority="629" operator="equal">
      <formula>#REF!</formula>
    </cfRule>
    <cfRule type="cellIs" dxfId="592" priority="630" operator="greaterThan">
      <formula>#REF!</formula>
    </cfRule>
    <cfRule type="cellIs" dxfId="591" priority="631" operator="lessThan">
      <formula>#REF!</formula>
    </cfRule>
  </conditionalFormatting>
  <conditionalFormatting sqref="AT7">
    <cfRule type="expression" dxfId="590" priority="628">
      <formula>AND($A1048567&lt;&gt;"",MOD(ROW(),2))</formula>
    </cfRule>
  </conditionalFormatting>
  <conditionalFormatting sqref="AT7">
    <cfRule type="cellIs" dxfId="589" priority="625" operator="equal">
      <formula>#REF!</formula>
    </cfRule>
    <cfRule type="cellIs" dxfId="588" priority="626" operator="greaterThan">
      <formula>#REF!</formula>
    </cfRule>
    <cfRule type="cellIs" dxfId="587" priority="627" operator="lessThan">
      <formula>#REF!</formula>
    </cfRule>
  </conditionalFormatting>
  <conditionalFormatting sqref="AF59">
    <cfRule type="expression" dxfId="586" priority="624">
      <formula>AND($A50&lt;&gt;"",MOD(ROW(),2))</formula>
    </cfRule>
  </conditionalFormatting>
  <conditionalFormatting sqref="AF59">
    <cfRule type="cellIs" dxfId="585" priority="621" operator="equal">
      <formula>#REF!</formula>
    </cfRule>
    <cfRule type="cellIs" dxfId="584" priority="622" operator="greaterThan">
      <formula>#REF!</formula>
    </cfRule>
    <cfRule type="cellIs" dxfId="583" priority="623" operator="lessThan">
      <formula>#REF!</formula>
    </cfRule>
  </conditionalFormatting>
  <conditionalFormatting sqref="AF59">
    <cfRule type="expression" dxfId="582" priority="620">
      <formula>AND($A50&lt;&gt;"",MOD(ROW(),2))</formula>
    </cfRule>
  </conditionalFormatting>
  <conditionalFormatting sqref="AF59">
    <cfRule type="cellIs" dxfId="581" priority="617" operator="equal">
      <formula>#REF!</formula>
    </cfRule>
    <cfRule type="cellIs" dxfId="580" priority="618" operator="greaterThan">
      <formula>#REF!</formula>
    </cfRule>
    <cfRule type="cellIs" dxfId="579" priority="619" operator="lessThan">
      <formula>#REF!</formula>
    </cfRule>
  </conditionalFormatting>
  <conditionalFormatting sqref="AF60:AF63">
    <cfRule type="expression" dxfId="578" priority="616">
      <formula>AND($A51&lt;&gt;"",MOD(ROW(),2))</formula>
    </cfRule>
  </conditionalFormatting>
  <conditionalFormatting sqref="AF60:AF63">
    <cfRule type="cellIs" dxfId="577" priority="613" operator="equal">
      <formula>#REF!</formula>
    </cfRule>
    <cfRule type="cellIs" dxfId="576" priority="614" operator="greaterThan">
      <formula>#REF!</formula>
    </cfRule>
    <cfRule type="cellIs" dxfId="575" priority="615" operator="lessThan">
      <formula>#REF!</formula>
    </cfRule>
  </conditionalFormatting>
  <conditionalFormatting sqref="AF60:AF63">
    <cfRule type="expression" dxfId="574" priority="612">
      <formula>AND($A51&lt;&gt;"",MOD(ROW(),2))</formula>
    </cfRule>
  </conditionalFormatting>
  <conditionalFormatting sqref="AF60:AF63">
    <cfRule type="cellIs" dxfId="573" priority="609" operator="equal">
      <formula>#REF!</formula>
    </cfRule>
    <cfRule type="cellIs" dxfId="572" priority="610" operator="greaterThan">
      <formula>#REF!</formula>
    </cfRule>
    <cfRule type="cellIs" dxfId="571" priority="611" operator="lessThan">
      <formula>#REF!</formula>
    </cfRule>
  </conditionalFormatting>
  <conditionalFormatting sqref="AM13">
    <cfRule type="expression" dxfId="570" priority="608">
      <formula>AND($A1048573&lt;&gt;"",MOD(ROW(),2))</formula>
    </cfRule>
  </conditionalFormatting>
  <conditionalFormatting sqref="AM13">
    <cfRule type="cellIs" dxfId="569" priority="605" operator="equal">
      <formula>#REF!</formula>
    </cfRule>
    <cfRule type="cellIs" dxfId="568" priority="606" operator="greaterThan">
      <formula>#REF!</formula>
    </cfRule>
    <cfRule type="cellIs" dxfId="567" priority="607" operator="lessThan">
      <formula>#REF!</formula>
    </cfRule>
  </conditionalFormatting>
  <conditionalFormatting sqref="AM13">
    <cfRule type="expression" dxfId="566" priority="604">
      <formula>AND($A1048573&lt;&gt;"",MOD(ROW(),2))</formula>
    </cfRule>
  </conditionalFormatting>
  <conditionalFormatting sqref="AM13">
    <cfRule type="cellIs" dxfId="565" priority="601" operator="equal">
      <formula>#REF!</formula>
    </cfRule>
    <cfRule type="cellIs" dxfId="564" priority="602" operator="greaterThan">
      <formula>#REF!</formula>
    </cfRule>
    <cfRule type="cellIs" dxfId="563" priority="603" operator="lessThan">
      <formula>#REF!</formula>
    </cfRule>
  </conditionalFormatting>
  <conditionalFormatting sqref="AF64">
    <cfRule type="expression" dxfId="562" priority="600">
      <formula>AND($A55&lt;&gt;"",MOD(ROW(),2))</formula>
    </cfRule>
  </conditionalFormatting>
  <conditionalFormatting sqref="AF64">
    <cfRule type="cellIs" dxfId="561" priority="597" operator="equal">
      <formula>#REF!</formula>
    </cfRule>
    <cfRule type="cellIs" dxfId="560" priority="598" operator="greaterThan">
      <formula>#REF!</formula>
    </cfRule>
    <cfRule type="cellIs" dxfId="559" priority="599" operator="lessThan">
      <formula>#REF!</formula>
    </cfRule>
  </conditionalFormatting>
  <conditionalFormatting sqref="AF64">
    <cfRule type="expression" dxfId="558" priority="596">
      <formula>AND($A55&lt;&gt;"",MOD(ROW(),2))</formula>
    </cfRule>
  </conditionalFormatting>
  <conditionalFormatting sqref="AF64">
    <cfRule type="cellIs" dxfId="557" priority="593" operator="equal">
      <formula>#REF!</formula>
    </cfRule>
    <cfRule type="cellIs" dxfId="556" priority="594" operator="greaterThan">
      <formula>#REF!</formula>
    </cfRule>
    <cfRule type="cellIs" dxfId="555" priority="595" operator="lessThan">
      <formula>#REF!</formula>
    </cfRule>
  </conditionalFormatting>
  <conditionalFormatting sqref="AF71 AF80">
    <cfRule type="expression" dxfId="554" priority="584">
      <formula>AND($A64&lt;&gt;"",MOD(ROW(),2))</formula>
    </cfRule>
  </conditionalFormatting>
  <conditionalFormatting sqref="AF71">
    <cfRule type="cellIs" dxfId="553" priority="581" operator="equal">
      <formula>#REF!</formula>
    </cfRule>
    <cfRule type="cellIs" dxfId="552" priority="582" operator="greaterThan">
      <formula>#REF!</formula>
    </cfRule>
    <cfRule type="cellIs" dxfId="551" priority="583" operator="lessThan">
      <formula>#REF!</formula>
    </cfRule>
  </conditionalFormatting>
  <conditionalFormatting sqref="AF71">
    <cfRule type="expression" dxfId="550" priority="580">
      <formula>AND($A64&lt;&gt;"",MOD(ROW(),2))</formula>
    </cfRule>
  </conditionalFormatting>
  <conditionalFormatting sqref="AF71">
    <cfRule type="cellIs" dxfId="549" priority="577" operator="equal">
      <formula>#REF!</formula>
    </cfRule>
    <cfRule type="cellIs" dxfId="548" priority="578" operator="greaterThan">
      <formula>#REF!</formula>
    </cfRule>
    <cfRule type="cellIs" dxfId="547" priority="579" operator="lessThan">
      <formula>#REF!</formula>
    </cfRule>
  </conditionalFormatting>
  <conditionalFormatting sqref="AF72:AF73">
    <cfRule type="expression" dxfId="546" priority="576">
      <formula>AND($A65&lt;&gt;"",MOD(ROW(),2))</formula>
    </cfRule>
  </conditionalFormatting>
  <conditionalFormatting sqref="AF72:AF73">
    <cfRule type="cellIs" dxfId="545" priority="573" operator="equal">
      <formula>#REF!</formula>
    </cfRule>
    <cfRule type="cellIs" dxfId="544" priority="574" operator="greaterThan">
      <formula>#REF!</formula>
    </cfRule>
    <cfRule type="cellIs" dxfId="543" priority="575" operator="lessThan">
      <formula>#REF!</formula>
    </cfRule>
  </conditionalFormatting>
  <conditionalFormatting sqref="AF72:AF73">
    <cfRule type="expression" dxfId="542" priority="572">
      <formula>AND($A65&lt;&gt;"",MOD(ROW(),2))</formula>
    </cfRule>
  </conditionalFormatting>
  <conditionalFormatting sqref="AF72:AF73">
    <cfRule type="cellIs" dxfId="541" priority="569" operator="equal">
      <formula>#REF!</formula>
    </cfRule>
    <cfRule type="cellIs" dxfId="540" priority="570" operator="greaterThan">
      <formula>#REF!</formula>
    </cfRule>
    <cfRule type="cellIs" dxfId="539" priority="571" operator="lessThan">
      <formula>#REF!</formula>
    </cfRule>
  </conditionalFormatting>
  <conditionalFormatting sqref="AT8">
    <cfRule type="expression" dxfId="538" priority="568">
      <formula>AND($A1048568&lt;&gt;"",MOD(ROW(),2))</formula>
    </cfRule>
  </conditionalFormatting>
  <conditionalFormatting sqref="AT8">
    <cfRule type="cellIs" dxfId="537" priority="565" operator="equal">
      <formula>#REF!</formula>
    </cfRule>
    <cfRule type="cellIs" dxfId="536" priority="566" operator="greaterThan">
      <formula>#REF!</formula>
    </cfRule>
    <cfRule type="cellIs" dxfId="535" priority="567" operator="lessThan">
      <formula>#REF!</formula>
    </cfRule>
  </conditionalFormatting>
  <conditionalFormatting sqref="AT8">
    <cfRule type="expression" dxfId="534" priority="564">
      <formula>AND($A1048568&lt;&gt;"",MOD(ROW(),2))</formula>
    </cfRule>
  </conditionalFormatting>
  <conditionalFormatting sqref="AT8">
    <cfRule type="cellIs" dxfId="533" priority="561" operator="equal">
      <formula>#REF!</formula>
    </cfRule>
    <cfRule type="cellIs" dxfId="532" priority="562" operator="greaterThan">
      <formula>#REF!</formula>
    </cfRule>
    <cfRule type="cellIs" dxfId="531" priority="563" operator="lessThan">
      <formula>#REF!</formula>
    </cfRule>
  </conditionalFormatting>
  <conditionalFormatting sqref="AF74">
    <cfRule type="expression" dxfId="530" priority="560">
      <formula>AND($A67&lt;&gt;"",MOD(ROW(),2))</formula>
    </cfRule>
  </conditionalFormatting>
  <conditionalFormatting sqref="AF74">
    <cfRule type="cellIs" dxfId="529" priority="557" operator="equal">
      <formula>#REF!</formula>
    </cfRule>
    <cfRule type="cellIs" dxfId="528" priority="558" operator="greaterThan">
      <formula>#REF!</formula>
    </cfRule>
    <cfRule type="cellIs" dxfId="527" priority="559" operator="lessThan">
      <formula>#REF!</formula>
    </cfRule>
  </conditionalFormatting>
  <conditionalFormatting sqref="AF74">
    <cfRule type="expression" dxfId="526" priority="556">
      <formula>AND($A67&lt;&gt;"",MOD(ROW(),2))</formula>
    </cfRule>
  </conditionalFormatting>
  <conditionalFormatting sqref="AF74">
    <cfRule type="cellIs" dxfId="525" priority="553" operator="equal">
      <formula>#REF!</formula>
    </cfRule>
    <cfRule type="cellIs" dxfId="524" priority="554" operator="greaterThan">
      <formula>#REF!</formula>
    </cfRule>
    <cfRule type="cellIs" dxfId="523" priority="555" operator="lessThan">
      <formula>#REF!</formula>
    </cfRule>
  </conditionalFormatting>
  <conditionalFormatting sqref="AF75">
    <cfRule type="expression" dxfId="522" priority="552">
      <formula>AND($A68&lt;&gt;"",MOD(ROW(),2))</formula>
    </cfRule>
  </conditionalFormatting>
  <conditionalFormatting sqref="AF75">
    <cfRule type="cellIs" dxfId="521" priority="549" operator="equal">
      <formula>#REF!</formula>
    </cfRule>
    <cfRule type="cellIs" dxfId="520" priority="550" operator="greaterThan">
      <formula>#REF!</formula>
    </cfRule>
    <cfRule type="cellIs" dxfId="519" priority="551" operator="lessThan">
      <formula>#REF!</formula>
    </cfRule>
  </conditionalFormatting>
  <conditionalFormatting sqref="AF75">
    <cfRule type="expression" dxfId="518" priority="548">
      <formula>AND($A68&lt;&gt;"",MOD(ROW(),2))</formula>
    </cfRule>
  </conditionalFormatting>
  <conditionalFormatting sqref="AF75">
    <cfRule type="cellIs" dxfId="517" priority="545" operator="equal">
      <formula>#REF!</formula>
    </cfRule>
    <cfRule type="cellIs" dxfId="516" priority="546" operator="greaterThan">
      <formula>#REF!</formula>
    </cfRule>
    <cfRule type="cellIs" dxfId="515" priority="547" operator="lessThan">
      <formula>#REF!</formula>
    </cfRule>
  </conditionalFormatting>
  <conditionalFormatting sqref="AF76">
    <cfRule type="expression" dxfId="514" priority="544">
      <formula>AND($A69&lt;&gt;"",MOD(ROW(),2))</formula>
    </cfRule>
  </conditionalFormatting>
  <conditionalFormatting sqref="AF76">
    <cfRule type="cellIs" dxfId="513" priority="541" operator="equal">
      <formula>#REF!</formula>
    </cfRule>
    <cfRule type="cellIs" dxfId="512" priority="542" operator="greaterThan">
      <formula>#REF!</formula>
    </cfRule>
    <cfRule type="cellIs" dxfId="511" priority="543" operator="lessThan">
      <formula>#REF!</formula>
    </cfRule>
  </conditionalFormatting>
  <conditionalFormatting sqref="AF76">
    <cfRule type="expression" dxfId="510" priority="540">
      <formula>AND($A69&lt;&gt;"",MOD(ROW(),2))</formula>
    </cfRule>
  </conditionalFormatting>
  <conditionalFormatting sqref="AF76">
    <cfRule type="cellIs" dxfId="509" priority="537" operator="equal">
      <formula>#REF!</formula>
    </cfRule>
    <cfRule type="cellIs" dxfId="508" priority="538" operator="greaterThan">
      <formula>#REF!</formula>
    </cfRule>
    <cfRule type="cellIs" dxfId="507" priority="539" operator="lessThan">
      <formula>#REF!</formula>
    </cfRule>
  </conditionalFormatting>
  <conditionalFormatting sqref="AF77">
    <cfRule type="expression" dxfId="506" priority="536">
      <formula>AND($A70&lt;&gt;"",MOD(ROW(),2))</formula>
    </cfRule>
  </conditionalFormatting>
  <conditionalFormatting sqref="AF77">
    <cfRule type="cellIs" dxfId="505" priority="533" operator="equal">
      <formula>#REF!</formula>
    </cfRule>
    <cfRule type="cellIs" dxfId="504" priority="534" operator="greaterThan">
      <formula>#REF!</formula>
    </cfRule>
    <cfRule type="cellIs" dxfId="503" priority="535" operator="lessThan">
      <formula>#REF!</formula>
    </cfRule>
  </conditionalFormatting>
  <conditionalFormatting sqref="AF77">
    <cfRule type="expression" dxfId="502" priority="532">
      <formula>AND($A70&lt;&gt;"",MOD(ROW(),2))</formula>
    </cfRule>
  </conditionalFormatting>
  <conditionalFormatting sqref="AF77">
    <cfRule type="cellIs" dxfId="501" priority="529" operator="equal">
      <formula>#REF!</formula>
    </cfRule>
    <cfRule type="cellIs" dxfId="500" priority="530" operator="greaterThan">
      <formula>#REF!</formula>
    </cfRule>
    <cfRule type="cellIs" dxfId="499" priority="531" operator="lessThan">
      <formula>#REF!</formula>
    </cfRule>
  </conditionalFormatting>
  <conditionalFormatting sqref="AF78">
    <cfRule type="expression" dxfId="498" priority="528">
      <formula>AND($A71&lt;&gt;"",MOD(ROW(),2))</formula>
    </cfRule>
  </conditionalFormatting>
  <conditionalFormatting sqref="AF78">
    <cfRule type="cellIs" dxfId="497" priority="525" operator="equal">
      <formula>#REF!</formula>
    </cfRule>
    <cfRule type="cellIs" dxfId="496" priority="526" operator="greaterThan">
      <formula>#REF!</formula>
    </cfRule>
    <cfRule type="cellIs" dxfId="495" priority="527" operator="lessThan">
      <formula>#REF!</formula>
    </cfRule>
  </conditionalFormatting>
  <conditionalFormatting sqref="AF78">
    <cfRule type="expression" dxfId="494" priority="524">
      <formula>AND($A71&lt;&gt;"",MOD(ROW(),2))</formula>
    </cfRule>
  </conditionalFormatting>
  <conditionalFormatting sqref="AF78">
    <cfRule type="cellIs" dxfId="493" priority="521" operator="equal">
      <formula>#REF!</formula>
    </cfRule>
    <cfRule type="cellIs" dxfId="492" priority="522" operator="greaterThan">
      <formula>#REF!</formula>
    </cfRule>
    <cfRule type="cellIs" dxfId="491" priority="523" operator="lessThan">
      <formula>#REF!</formula>
    </cfRule>
  </conditionalFormatting>
  <conditionalFormatting sqref="AF79">
    <cfRule type="expression" dxfId="490" priority="512">
      <formula>AND($A72&lt;&gt;"",MOD(ROW(),2))</formula>
    </cfRule>
  </conditionalFormatting>
  <conditionalFormatting sqref="AF79">
    <cfRule type="cellIs" dxfId="489" priority="509" operator="equal">
      <formula>#REF!</formula>
    </cfRule>
    <cfRule type="cellIs" dxfId="488" priority="510" operator="greaterThan">
      <formula>#REF!</formula>
    </cfRule>
    <cfRule type="cellIs" dxfId="487" priority="511" operator="lessThan">
      <formula>#REF!</formula>
    </cfRule>
  </conditionalFormatting>
  <conditionalFormatting sqref="AF79">
    <cfRule type="expression" dxfId="486" priority="508">
      <formula>AND($A72&lt;&gt;"",MOD(ROW(),2))</formula>
    </cfRule>
  </conditionalFormatting>
  <conditionalFormatting sqref="AF79">
    <cfRule type="cellIs" dxfId="485" priority="505" operator="equal">
      <formula>#REF!</formula>
    </cfRule>
    <cfRule type="cellIs" dxfId="484" priority="506" operator="greaterThan">
      <formula>#REF!</formula>
    </cfRule>
    <cfRule type="cellIs" dxfId="483" priority="507" operator="lessThan">
      <formula>#REF!</formula>
    </cfRule>
  </conditionalFormatting>
  <conditionalFormatting sqref="AF81:AF82">
    <cfRule type="expression" dxfId="482" priority="496">
      <formula>AND($A75&lt;&gt;"",MOD(ROW(),2))</formula>
    </cfRule>
  </conditionalFormatting>
  <conditionalFormatting sqref="AF82">
    <cfRule type="cellIs" dxfId="481" priority="493" operator="equal">
      <formula>#REF!</formula>
    </cfRule>
    <cfRule type="cellIs" dxfId="480" priority="494" operator="greaterThan">
      <formula>#REF!</formula>
    </cfRule>
    <cfRule type="cellIs" dxfId="479" priority="495" operator="lessThan">
      <formula>#REF!</formula>
    </cfRule>
  </conditionalFormatting>
  <conditionalFormatting sqref="AF82">
    <cfRule type="expression" dxfId="478" priority="492">
      <formula>AND($A76&lt;&gt;"",MOD(ROW(),2))</formula>
    </cfRule>
  </conditionalFormatting>
  <conditionalFormatting sqref="AF82">
    <cfRule type="cellIs" dxfId="477" priority="489" operator="equal">
      <formula>#REF!</formula>
    </cfRule>
    <cfRule type="cellIs" dxfId="476" priority="490" operator="greaterThan">
      <formula>#REF!</formula>
    </cfRule>
    <cfRule type="cellIs" dxfId="475" priority="491" operator="lessThan">
      <formula>#REF!</formula>
    </cfRule>
  </conditionalFormatting>
  <conditionalFormatting sqref="AF83">
    <cfRule type="expression" dxfId="474" priority="488">
      <formula>AND($A77&lt;&gt;"",MOD(ROW(),2))</formula>
    </cfRule>
  </conditionalFormatting>
  <conditionalFormatting sqref="AF83">
    <cfRule type="cellIs" dxfId="473" priority="485" operator="equal">
      <formula>#REF!</formula>
    </cfRule>
    <cfRule type="cellIs" dxfId="472" priority="486" operator="greaterThan">
      <formula>#REF!</formula>
    </cfRule>
    <cfRule type="cellIs" dxfId="471" priority="487" operator="lessThan">
      <formula>#REF!</formula>
    </cfRule>
  </conditionalFormatting>
  <conditionalFormatting sqref="AF83">
    <cfRule type="expression" dxfId="470" priority="484">
      <formula>AND($A77&lt;&gt;"",MOD(ROW(),2))</formula>
    </cfRule>
  </conditionalFormatting>
  <conditionalFormatting sqref="AF83">
    <cfRule type="cellIs" dxfId="469" priority="481" operator="equal">
      <formula>#REF!</formula>
    </cfRule>
    <cfRule type="cellIs" dxfId="468" priority="482" operator="greaterThan">
      <formula>#REF!</formula>
    </cfRule>
    <cfRule type="cellIs" dxfId="467" priority="483" operator="lessThan">
      <formula>#REF!</formula>
    </cfRule>
  </conditionalFormatting>
  <conditionalFormatting sqref="AF84">
    <cfRule type="expression" dxfId="466" priority="480">
      <formula>AND($A78&lt;&gt;"",MOD(ROW(),2))</formula>
    </cfRule>
  </conditionalFormatting>
  <conditionalFormatting sqref="AF84">
    <cfRule type="cellIs" dxfId="465" priority="477" operator="equal">
      <formula>#REF!</formula>
    </cfRule>
    <cfRule type="cellIs" dxfId="464" priority="478" operator="greaterThan">
      <formula>#REF!</formula>
    </cfRule>
    <cfRule type="cellIs" dxfId="463" priority="479" operator="lessThan">
      <formula>#REF!</formula>
    </cfRule>
  </conditionalFormatting>
  <conditionalFormatting sqref="AF84">
    <cfRule type="expression" dxfId="462" priority="476">
      <formula>AND($A78&lt;&gt;"",MOD(ROW(),2))</formula>
    </cfRule>
  </conditionalFormatting>
  <conditionalFormatting sqref="AF84">
    <cfRule type="cellIs" dxfId="461" priority="473" operator="equal">
      <formula>#REF!</formula>
    </cfRule>
    <cfRule type="cellIs" dxfId="460" priority="474" operator="greaterThan">
      <formula>#REF!</formula>
    </cfRule>
    <cfRule type="cellIs" dxfId="459" priority="475" operator="lessThan">
      <formula>#REF!</formula>
    </cfRule>
  </conditionalFormatting>
  <conditionalFormatting sqref="AM14">
    <cfRule type="cellIs" dxfId="458" priority="469" operator="equal">
      <formula>#REF!</formula>
    </cfRule>
    <cfRule type="cellIs" dxfId="457" priority="470" operator="greaterThan">
      <formula>#REF!</formula>
    </cfRule>
    <cfRule type="cellIs" dxfId="456" priority="471" operator="lessThan">
      <formula>#REF!</formula>
    </cfRule>
  </conditionalFormatting>
  <conditionalFormatting sqref="AM14">
    <cfRule type="cellIs" dxfId="455" priority="465" operator="equal">
      <formula>#REF!</formula>
    </cfRule>
    <cfRule type="cellIs" dxfId="454" priority="466" operator="greaterThan">
      <formula>#REF!</formula>
    </cfRule>
    <cfRule type="cellIs" dxfId="453" priority="467" operator="lessThan">
      <formula>#REF!</formula>
    </cfRule>
  </conditionalFormatting>
  <conditionalFormatting sqref="AT9">
    <cfRule type="expression" dxfId="452" priority="464">
      <formula>AND($A1048569&lt;&gt;"",MOD(ROW(),2))</formula>
    </cfRule>
  </conditionalFormatting>
  <conditionalFormatting sqref="AT9">
    <cfRule type="cellIs" dxfId="451" priority="461" operator="equal">
      <formula>#REF!</formula>
    </cfRule>
    <cfRule type="cellIs" dxfId="450" priority="462" operator="greaterThan">
      <formula>#REF!</formula>
    </cfRule>
    <cfRule type="cellIs" dxfId="449" priority="463" operator="lessThan">
      <formula>#REF!</formula>
    </cfRule>
  </conditionalFormatting>
  <conditionalFormatting sqref="AT9">
    <cfRule type="expression" dxfId="448" priority="460">
      <formula>AND($A1048569&lt;&gt;"",MOD(ROW(),2))</formula>
    </cfRule>
  </conditionalFormatting>
  <conditionalFormatting sqref="AT9">
    <cfRule type="cellIs" dxfId="447" priority="457" operator="equal">
      <formula>#REF!</formula>
    </cfRule>
    <cfRule type="cellIs" dxfId="446" priority="458" operator="greaterThan">
      <formula>#REF!</formula>
    </cfRule>
    <cfRule type="cellIs" dxfId="445" priority="459" operator="lessThan">
      <formula>#REF!</formula>
    </cfRule>
  </conditionalFormatting>
  <conditionalFormatting sqref="AF85">
    <cfRule type="expression" dxfId="444" priority="456">
      <formula>AND($A79&lt;&gt;"",MOD(ROW(),2))</formula>
    </cfRule>
  </conditionalFormatting>
  <conditionalFormatting sqref="AF85">
    <cfRule type="cellIs" dxfId="443" priority="453" operator="equal">
      <formula>#REF!</formula>
    </cfRule>
    <cfRule type="cellIs" dxfId="442" priority="454" operator="greaterThan">
      <formula>#REF!</formula>
    </cfRule>
    <cfRule type="cellIs" dxfId="441" priority="455" operator="lessThan">
      <formula>#REF!</formula>
    </cfRule>
  </conditionalFormatting>
  <conditionalFormatting sqref="AF85">
    <cfRule type="expression" dxfId="440" priority="452">
      <formula>AND($A79&lt;&gt;"",MOD(ROW(),2))</formula>
    </cfRule>
  </conditionalFormatting>
  <conditionalFormatting sqref="AF85">
    <cfRule type="cellIs" dxfId="439" priority="449" operator="equal">
      <formula>#REF!</formula>
    </cfRule>
    <cfRule type="cellIs" dxfId="438" priority="450" operator="greaterThan">
      <formula>#REF!</formula>
    </cfRule>
    <cfRule type="cellIs" dxfId="437" priority="451" operator="lessThan">
      <formula>#REF!</formula>
    </cfRule>
  </conditionalFormatting>
  <conditionalFormatting sqref="AF86:AF87">
    <cfRule type="expression" dxfId="436" priority="448">
      <formula>AND($A80&lt;&gt;"",MOD(ROW(),2))</formula>
    </cfRule>
  </conditionalFormatting>
  <conditionalFormatting sqref="AF86:AF87">
    <cfRule type="cellIs" dxfId="435" priority="445" operator="equal">
      <formula>#REF!</formula>
    </cfRule>
    <cfRule type="cellIs" dxfId="434" priority="446" operator="greaterThan">
      <formula>#REF!</formula>
    </cfRule>
    <cfRule type="cellIs" dxfId="433" priority="447" operator="lessThan">
      <formula>#REF!</formula>
    </cfRule>
  </conditionalFormatting>
  <conditionalFormatting sqref="AF86:AF87">
    <cfRule type="expression" dxfId="432" priority="444">
      <formula>AND($A80&lt;&gt;"",MOD(ROW(),2))</formula>
    </cfRule>
  </conditionalFormatting>
  <conditionalFormatting sqref="AF86:AF87">
    <cfRule type="cellIs" dxfId="431" priority="441" operator="equal">
      <formula>#REF!</formula>
    </cfRule>
    <cfRule type="cellIs" dxfId="430" priority="442" operator="greaterThan">
      <formula>#REF!</formula>
    </cfRule>
    <cfRule type="cellIs" dxfId="429" priority="443" operator="lessThan">
      <formula>#REF!</formula>
    </cfRule>
  </conditionalFormatting>
  <conditionalFormatting sqref="AM15">
    <cfRule type="expression" dxfId="428" priority="432">
      <formula>AND($A1048574&lt;&gt;"",MOD(ROW(),2))</formula>
    </cfRule>
  </conditionalFormatting>
  <conditionalFormatting sqref="AM15">
    <cfRule type="cellIs" dxfId="427" priority="429" operator="equal">
      <formula>#REF!</formula>
    </cfRule>
    <cfRule type="cellIs" dxfId="426" priority="430" operator="greaterThan">
      <formula>#REF!</formula>
    </cfRule>
    <cfRule type="cellIs" dxfId="425" priority="431" operator="lessThan">
      <formula>#REF!</formula>
    </cfRule>
  </conditionalFormatting>
  <conditionalFormatting sqref="AM15">
    <cfRule type="expression" dxfId="424" priority="428">
      <formula>AND($A1048574&lt;&gt;"",MOD(ROW(),2))</formula>
    </cfRule>
  </conditionalFormatting>
  <conditionalFormatting sqref="AM15">
    <cfRule type="cellIs" dxfId="423" priority="425" operator="equal">
      <formula>#REF!</formula>
    </cfRule>
    <cfRule type="cellIs" dxfId="422" priority="426" operator="greaterThan">
      <formula>#REF!</formula>
    </cfRule>
    <cfRule type="cellIs" dxfId="421" priority="427" operator="lessThan">
      <formula>#REF!</formula>
    </cfRule>
  </conditionalFormatting>
  <conditionalFormatting sqref="AM16">
    <cfRule type="expression" dxfId="420" priority="424">
      <formula>AND($A1048575&lt;&gt;"",MOD(ROW(),2))</formula>
    </cfRule>
  </conditionalFormatting>
  <conditionalFormatting sqref="AM16">
    <cfRule type="cellIs" dxfId="419" priority="421" operator="equal">
      <formula>#REF!</formula>
    </cfRule>
    <cfRule type="cellIs" dxfId="418" priority="422" operator="greaterThan">
      <formula>#REF!</formula>
    </cfRule>
    <cfRule type="cellIs" dxfId="417" priority="423" operator="lessThan">
      <formula>#REF!</formula>
    </cfRule>
  </conditionalFormatting>
  <conditionalFormatting sqref="AM16">
    <cfRule type="expression" dxfId="416" priority="420">
      <formula>AND($A1048575&lt;&gt;"",MOD(ROW(),2))</formula>
    </cfRule>
  </conditionalFormatting>
  <conditionalFormatting sqref="AM16">
    <cfRule type="cellIs" dxfId="415" priority="417" operator="equal">
      <formula>#REF!</formula>
    </cfRule>
    <cfRule type="cellIs" dxfId="414" priority="418" operator="greaterThan">
      <formula>#REF!</formula>
    </cfRule>
    <cfRule type="cellIs" dxfId="413" priority="419" operator="lessThan">
      <formula>#REF!</formula>
    </cfRule>
  </conditionalFormatting>
  <conditionalFormatting sqref="AM17">
    <cfRule type="cellIs" dxfId="412" priority="413" operator="equal">
      <formula>#REF!</formula>
    </cfRule>
    <cfRule type="cellIs" dxfId="411" priority="414" operator="greaterThan">
      <formula>#REF!</formula>
    </cfRule>
    <cfRule type="cellIs" dxfId="410" priority="415" operator="lessThan">
      <formula>#REF!</formula>
    </cfRule>
  </conditionalFormatting>
  <conditionalFormatting sqref="AM17">
    <cfRule type="cellIs" dxfId="409" priority="409" operator="equal">
      <formula>#REF!</formula>
    </cfRule>
    <cfRule type="cellIs" dxfId="408" priority="410" operator="greaterThan">
      <formula>#REF!</formula>
    </cfRule>
    <cfRule type="cellIs" dxfId="407" priority="411" operator="lessThan">
      <formula>#REF!</formula>
    </cfRule>
  </conditionalFormatting>
  <conditionalFormatting sqref="AF12">
    <cfRule type="expression" dxfId="406" priority="408">
      <formula>AND($A1048572&lt;&gt;"",MOD(ROW(),2))</formula>
    </cfRule>
  </conditionalFormatting>
  <conditionalFormatting sqref="AF12">
    <cfRule type="cellIs" dxfId="405" priority="405" operator="equal">
      <formula>#REF!</formula>
    </cfRule>
    <cfRule type="cellIs" dxfId="404" priority="406" operator="greaterThan">
      <formula>#REF!</formula>
    </cfRule>
    <cfRule type="cellIs" dxfId="403" priority="407" operator="lessThan">
      <formula>#REF!</formula>
    </cfRule>
  </conditionalFormatting>
  <conditionalFormatting sqref="AF12">
    <cfRule type="expression" dxfId="402" priority="404">
      <formula>AND($A1048572&lt;&gt;"",MOD(ROW(),2))</formula>
    </cfRule>
  </conditionalFormatting>
  <conditionalFormatting sqref="AF12">
    <cfRule type="cellIs" dxfId="401" priority="401" operator="equal">
      <formula>#REF!</formula>
    </cfRule>
    <cfRule type="cellIs" dxfId="400" priority="402" operator="greaterThan">
      <formula>#REF!</formula>
    </cfRule>
    <cfRule type="cellIs" dxfId="399" priority="403" operator="lessThan">
      <formula>#REF!</formula>
    </cfRule>
  </conditionalFormatting>
  <conditionalFormatting sqref="AT10">
    <cfRule type="expression" dxfId="398" priority="400">
      <formula>AND($A1048570&lt;&gt;"",MOD(ROW(),2))</formula>
    </cfRule>
  </conditionalFormatting>
  <conditionalFormatting sqref="AT10">
    <cfRule type="cellIs" dxfId="397" priority="397" operator="equal">
      <formula>#REF!</formula>
    </cfRule>
    <cfRule type="cellIs" dxfId="396" priority="398" operator="greaterThan">
      <formula>#REF!</formula>
    </cfRule>
    <cfRule type="cellIs" dxfId="395" priority="399" operator="lessThan">
      <formula>#REF!</formula>
    </cfRule>
  </conditionalFormatting>
  <conditionalFormatting sqref="AT11">
    <cfRule type="expression" dxfId="394" priority="396">
      <formula>AND($A1048571&lt;&gt;"",MOD(ROW(),2))</formula>
    </cfRule>
  </conditionalFormatting>
  <conditionalFormatting sqref="AT11">
    <cfRule type="cellIs" dxfId="393" priority="393" operator="equal">
      <formula>#REF!</formula>
    </cfRule>
    <cfRule type="cellIs" dxfId="392" priority="394" operator="greaterThan">
      <formula>#REF!</formula>
    </cfRule>
    <cfRule type="cellIs" dxfId="391" priority="395" operator="lessThan">
      <formula>#REF!</formula>
    </cfRule>
  </conditionalFormatting>
  <conditionalFormatting sqref="AT12">
    <cfRule type="expression" dxfId="390" priority="392">
      <formula>AND($A1048572&lt;&gt;"",MOD(ROW(),2))</formula>
    </cfRule>
  </conditionalFormatting>
  <conditionalFormatting sqref="AT12">
    <cfRule type="cellIs" dxfId="389" priority="389" operator="equal">
      <formula>#REF!</formula>
    </cfRule>
    <cfRule type="cellIs" dxfId="388" priority="390" operator="greaterThan">
      <formula>#REF!</formula>
    </cfRule>
    <cfRule type="cellIs" dxfId="387" priority="391" operator="lessThan">
      <formula>#REF!</formula>
    </cfRule>
  </conditionalFormatting>
  <conditionalFormatting sqref="AT13">
    <cfRule type="expression" dxfId="386" priority="388">
      <formula>AND($A1048573&lt;&gt;"",MOD(ROW(),2))</formula>
    </cfRule>
  </conditionalFormatting>
  <conditionalFormatting sqref="AT13">
    <cfRule type="cellIs" dxfId="385" priority="385" operator="equal">
      <formula>#REF!</formula>
    </cfRule>
    <cfRule type="cellIs" dxfId="384" priority="386" operator="greaterThan">
      <formula>#REF!</formula>
    </cfRule>
    <cfRule type="cellIs" dxfId="383" priority="387" operator="lessThan">
      <formula>#REF!</formula>
    </cfRule>
  </conditionalFormatting>
  <conditionalFormatting sqref="AT14">
    <cfRule type="expression" dxfId="382" priority="384">
      <formula>AND($A1048574&lt;&gt;"",MOD(ROW(),2))</formula>
    </cfRule>
  </conditionalFormatting>
  <conditionalFormatting sqref="AT14">
    <cfRule type="cellIs" dxfId="381" priority="381" operator="equal">
      <formula>#REF!</formula>
    </cfRule>
    <cfRule type="cellIs" dxfId="380" priority="382" operator="greaterThan">
      <formula>#REF!</formula>
    </cfRule>
    <cfRule type="cellIs" dxfId="379" priority="383" operator="lessThan">
      <formula>#REF!</formula>
    </cfRule>
  </conditionalFormatting>
  <conditionalFormatting sqref="AT14">
    <cfRule type="expression" dxfId="378" priority="380">
      <formula>AND($A1048574&lt;&gt;"",MOD(ROW(),2))</formula>
    </cfRule>
  </conditionalFormatting>
  <conditionalFormatting sqref="AT14">
    <cfRule type="cellIs" dxfId="377" priority="377" operator="equal">
      <formula>#REF!</formula>
    </cfRule>
    <cfRule type="cellIs" dxfId="376" priority="378" operator="greaterThan">
      <formula>#REF!</formula>
    </cfRule>
    <cfRule type="cellIs" dxfId="375" priority="379" operator="lessThan">
      <formula>#REF!</formula>
    </cfRule>
  </conditionalFormatting>
  <conditionalFormatting sqref="AT15">
    <cfRule type="expression" dxfId="374" priority="376">
      <formula>AND($A1048575&lt;&gt;"",MOD(ROW(),2))</formula>
    </cfRule>
  </conditionalFormatting>
  <conditionalFormatting sqref="AT15">
    <cfRule type="cellIs" dxfId="373" priority="373" operator="equal">
      <formula>#REF!</formula>
    </cfRule>
    <cfRule type="cellIs" dxfId="372" priority="374" operator="greaterThan">
      <formula>#REF!</formula>
    </cfRule>
    <cfRule type="cellIs" dxfId="371" priority="375" operator="lessThan">
      <formula>#REF!</formula>
    </cfRule>
  </conditionalFormatting>
  <conditionalFormatting sqref="AT15">
    <cfRule type="expression" dxfId="370" priority="372">
      <formula>AND($A1048575&lt;&gt;"",MOD(ROW(),2))</formula>
    </cfRule>
  </conditionalFormatting>
  <conditionalFormatting sqref="AT15">
    <cfRule type="cellIs" dxfId="369" priority="369" operator="equal">
      <formula>#REF!</formula>
    </cfRule>
    <cfRule type="cellIs" dxfId="368" priority="370" operator="greaterThan">
      <formula>#REF!</formula>
    </cfRule>
    <cfRule type="cellIs" dxfId="367" priority="371" operator="lessThan">
      <formula>#REF!</formula>
    </cfRule>
  </conditionalFormatting>
  <conditionalFormatting sqref="AT16">
    <cfRule type="cellIs" dxfId="366" priority="365" operator="equal">
      <formula>#REF!</formula>
    </cfRule>
    <cfRule type="cellIs" dxfId="365" priority="366" operator="greaterThan">
      <formula>#REF!</formula>
    </cfRule>
    <cfRule type="cellIs" dxfId="364" priority="367" operator="lessThan">
      <formula>#REF!</formula>
    </cfRule>
  </conditionalFormatting>
  <conditionalFormatting sqref="AT16">
    <cfRule type="cellIs" dxfId="363" priority="361" operator="equal">
      <formula>#REF!</formula>
    </cfRule>
    <cfRule type="cellIs" dxfId="362" priority="362" operator="greaterThan">
      <formula>#REF!</formula>
    </cfRule>
    <cfRule type="cellIs" dxfId="361" priority="363" operator="lessThan">
      <formula>#REF!</formula>
    </cfRule>
  </conditionalFormatting>
  <conditionalFormatting sqref="AT17:AT18">
    <cfRule type="expression" dxfId="360" priority="360">
      <formula>AND($A1&lt;&gt;"",MOD(ROW(),2))</formula>
    </cfRule>
  </conditionalFormatting>
  <conditionalFormatting sqref="AT17:AT18">
    <cfRule type="cellIs" dxfId="359" priority="357" operator="equal">
      <formula>#REF!</formula>
    </cfRule>
    <cfRule type="cellIs" dxfId="358" priority="358" operator="greaterThan">
      <formula>#REF!</formula>
    </cfRule>
    <cfRule type="cellIs" dxfId="357" priority="359" operator="lessThan">
      <formula>#REF!</formula>
    </cfRule>
  </conditionalFormatting>
  <conditionalFormatting sqref="AT17:AT18">
    <cfRule type="expression" dxfId="356" priority="356">
      <formula>AND($A1&lt;&gt;"",MOD(ROW(),2))</formula>
    </cfRule>
  </conditionalFormatting>
  <conditionalFormatting sqref="AT17:AT18">
    <cfRule type="cellIs" dxfId="355" priority="353" operator="equal">
      <formula>#REF!</formula>
    </cfRule>
    <cfRule type="cellIs" dxfId="354" priority="354" operator="greaterThan">
      <formula>#REF!</formula>
    </cfRule>
    <cfRule type="cellIs" dxfId="353" priority="355" operator="lessThan">
      <formula>#REF!</formula>
    </cfRule>
  </conditionalFormatting>
  <conditionalFormatting sqref="AT19">
    <cfRule type="expression" dxfId="352" priority="352">
      <formula>AND($A3&lt;&gt;"",MOD(ROW(),2))</formula>
    </cfRule>
  </conditionalFormatting>
  <conditionalFormatting sqref="AT19">
    <cfRule type="cellIs" dxfId="351" priority="349" operator="equal">
      <formula>#REF!</formula>
    </cfRule>
    <cfRule type="cellIs" dxfId="350" priority="350" operator="greaterThan">
      <formula>#REF!</formula>
    </cfRule>
    <cfRule type="cellIs" dxfId="349" priority="351" operator="lessThan">
      <formula>#REF!</formula>
    </cfRule>
  </conditionalFormatting>
  <conditionalFormatting sqref="AT19">
    <cfRule type="expression" dxfId="348" priority="348">
      <formula>AND($A3&lt;&gt;"",MOD(ROW(),2))</formula>
    </cfRule>
  </conditionalFormatting>
  <conditionalFormatting sqref="AT19">
    <cfRule type="cellIs" dxfId="347" priority="345" operator="equal">
      <formula>#REF!</formula>
    </cfRule>
    <cfRule type="cellIs" dxfId="346" priority="346" operator="greaterThan">
      <formula>#REF!</formula>
    </cfRule>
    <cfRule type="cellIs" dxfId="345" priority="347" operator="lessThan">
      <formula>#REF!</formula>
    </cfRule>
  </conditionalFormatting>
  <conditionalFormatting sqref="AF70">
    <cfRule type="expression" dxfId="344" priority="12501">
      <formula>AND($A62&lt;&gt;"",MOD(ROW(),2))</formula>
    </cfRule>
  </conditionalFormatting>
  <conditionalFormatting sqref="AT20">
    <cfRule type="expression" dxfId="343" priority="344">
      <formula>AND($A4&lt;&gt;"",MOD(ROW(),2))</formula>
    </cfRule>
  </conditionalFormatting>
  <conditionalFormatting sqref="AT20">
    <cfRule type="cellIs" dxfId="342" priority="341" operator="equal">
      <formula>#REF!</formula>
    </cfRule>
    <cfRule type="cellIs" dxfId="341" priority="342" operator="greaterThan">
      <formula>#REF!</formula>
    </cfRule>
    <cfRule type="cellIs" dxfId="340" priority="343" operator="lessThan">
      <formula>#REF!</formula>
    </cfRule>
  </conditionalFormatting>
  <conditionalFormatting sqref="AT20">
    <cfRule type="expression" dxfId="339" priority="340">
      <formula>AND($A4&lt;&gt;"",MOD(ROW(),2))</formula>
    </cfRule>
  </conditionalFormatting>
  <conditionalFormatting sqref="AT20">
    <cfRule type="cellIs" dxfId="338" priority="337" operator="equal">
      <formula>#REF!</formula>
    </cfRule>
    <cfRule type="cellIs" dxfId="337" priority="338" operator="greaterThan">
      <formula>#REF!</formula>
    </cfRule>
    <cfRule type="cellIs" dxfId="336" priority="339" operator="lessThan">
      <formula>#REF!</formula>
    </cfRule>
  </conditionalFormatting>
  <conditionalFormatting sqref="AF88">
    <cfRule type="expression" dxfId="335" priority="336">
      <formula>AND($A72&lt;&gt;"",MOD(ROW(),2))</formula>
    </cfRule>
  </conditionalFormatting>
  <conditionalFormatting sqref="AF88">
    <cfRule type="cellIs" dxfId="334" priority="333" operator="equal">
      <formula>#REF!</formula>
    </cfRule>
    <cfRule type="cellIs" dxfId="333" priority="334" operator="greaterThan">
      <formula>#REF!</formula>
    </cfRule>
    <cfRule type="cellIs" dxfId="332" priority="335" operator="lessThan">
      <formula>#REF!</formula>
    </cfRule>
  </conditionalFormatting>
  <conditionalFormatting sqref="AF88">
    <cfRule type="expression" dxfId="331" priority="332">
      <formula>AND($A72&lt;&gt;"",MOD(ROW(),2))</formula>
    </cfRule>
  </conditionalFormatting>
  <conditionalFormatting sqref="AF88">
    <cfRule type="cellIs" dxfId="330" priority="329" operator="equal">
      <formula>#REF!</formula>
    </cfRule>
    <cfRule type="cellIs" dxfId="329" priority="330" operator="greaterThan">
      <formula>#REF!</formula>
    </cfRule>
    <cfRule type="cellIs" dxfId="328" priority="331" operator="lessThan">
      <formula>#REF!</formula>
    </cfRule>
  </conditionalFormatting>
  <conditionalFormatting sqref="AT21">
    <cfRule type="expression" dxfId="327" priority="328">
      <formula>AND($A5&lt;&gt;"",MOD(ROW(),2))</formula>
    </cfRule>
  </conditionalFormatting>
  <conditionalFormatting sqref="AT21">
    <cfRule type="cellIs" dxfId="326" priority="325" operator="equal">
      <formula>#REF!</formula>
    </cfRule>
    <cfRule type="cellIs" dxfId="325" priority="326" operator="greaterThan">
      <formula>#REF!</formula>
    </cfRule>
    <cfRule type="cellIs" dxfId="324" priority="327" operator="lessThan">
      <formula>#REF!</formula>
    </cfRule>
  </conditionalFormatting>
  <conditionalFormatting sqref="AT21">
    <cfRule type="expression" dxfId="323" priority="324">
      <formula>AND($A5&lt;&gt;"",MOD(ROW(),2))</formula>
    </cfRule>
  </conditionalFormatting>
  <conditionalFormatting sqref="AT21">
    <cfRule type="cellIs" dxfId="322" priority="321" operator="equal">
      <formula>#REF!</formula>
    </cfRule>
    <cfRule type="cellIs" dxfId="321" priority="322" operator="greaterThan">
      <formula>#REF!</formula>
    </cfRule>
    <cfRule type="cellIs" dxfId="320" priority="323" operator="lessThan">
      <formula>#REF!</formula>
    </cfRule>
  </conditionalFormatting>
  <conditionalFormatting sqref="AM18">
    <cfRule type="expression" dxfId="319" priority="320">
      <formula>AND($A2&lt;&gt;"",MOD(ROW(),2))</formula>
    </cfRule>
  </conditionalFormatting>
  <conditionalFormatting sqref="AM18">
    <cfRule type="cellIs" dxfId="318" priority="317" operator="equal">
      <formula>#REF!</formula>
    </cfRule>
    <cfRule type="cellIs" dxfId="317" priority="318" operator="greaterThan">
      <formula>#REF!</formula>
    </cfRule>
    <cfRule type="cellIs" dxfId="316" priority="319" operator="lessThan">
      <formula>#REF!</formula>
    </cfRule>
  </conditionalFormatting>
  <conditionalFormatting sqref="AM18">
    <cfRule type="expression" dxfId="315" priority="316">
      <formula>AND($A2&lt;&gt;"",MOD(ROW(),2))</formula>
    </cfRule>
  </conditionalFormatting>
  <conditionalFormatting sqref="AM18">
    <cfRule type="cellIs" dxfId="314" priority="313" operator="equal">
      <formula>#REF!</formula>
    </cfRule>
    <cfRule type="cellIs" dxfId="313" priority="314" operator="greaterThan">
      <formula>#REF!</formula>
    </cfRule>
    <cfRule type="cellIs" dxfId="312" priority="315" operator="lessThan">
      <formula>#REF!</formula>
    </cfRule>
  </conditionalFormatting>
  <conditionalFormatting sqref="AM19">
    <cfRule type="expression" dxfId="311" priority="312">
      <formula>AND($A3&lt;&gt;"",MOD(ROW(),2))</formula>
    </cfRule>
  </conditionalFormatting>
  <conditionalFormatting sqref="AM19">
    <cfRule type="cellIs" dxfId="310" priority="309" operator="equal">
      <formula>#REF!</formula>
    </cfRule>
    <cfRule type="cellIs" dxfId="309" priority="310" operator="greaterThan">
      <formula>#REF!</formula>
    </cfRule>
    <cfRule type="cellIs" dxfId="308" priority="311" operator="lessThan">
      <formula>#REF!</formula>
    </cfRule>
  </conditionalFormatting>
  <conditionalFormatting sqref="AM19">
    <cfRule type="expression" dxfId="307" priority="308">
      <formula>AND($A3&lt;&gt;"",MOD(ROW(),2))</formula>
    </cfRule>
  </conditionalFormatting>
  <conditionalFormatting sqref="AM19">
    <cfRule type="cellIs" dxfId="306" priority="305" operator="equal">
      <formula>#REF!</formula>
    </cfRule>
    <cfRule type="cellIs" dxfId="305" priority="306" operator="greaterThan">
      <formula>#REF!</formula>
    </cfRule>
    <cfRule type="cellIs" dxfId="304" priority="307" operator="lessThan">
      <formula>#REF!</formula>
    </cfRule>
  </conditionalFormatting>
  <conditionalFormatting sqref="AM20">
    <cfRule type="expression" dxfId="303" priority="304">
      <formula>AND($A4&lt;&gt;"",MOD(ROW(),2))</formula>
    </cfRule>
  </conditionalFormatting>
  <conditionalFormatting sqref="AM20">
    <cfRule type="cellIs" dxfId="302" priority="301" operator="equal">
      <formula>#REF!</formula>
    </cfRule>
    <cfRule type="cellIs" dxfId="301" priority="302" operator="greaterThan">
      <formula>#REF!</formula>
    </cfRule>
    <cfRule type="cellIs" dxfId="300" priority="303" operator="lessThan">
      <formula>#REF!</formula>
    </cfRule>
  </conditionalFormatting>
  <conditionalFormatting sqref="AM20">
    <cfRule type="expression" dxfId="299" priority="300">
      <formula>AND($A4&lt;&gt;"",MOD(ROW(),2))</formula>
    </cfRule>
  </conditionalFormatting>
  <conditionalFormatting sqref="AM20">
    <cfRule type="cellIs" dxfId="298" priority="297" operator="equal">
      <formula>#REF!</formula>
    </cfRule>
    <cfRule type="cellIs" dxfId="297" priority="298" operator="greaterThan">
      <formula>#REF!</formula>
    </cfRule>
    <cfRule type="cellIs" dxfId="296" priority="299" operator="lessThan">
      <formula>#REF!</formula>
    </cfRule>
  </conditionalFormatting>
  <conditionalFormatting sqref="AF89">
    <cfRule type="expression" dxfId="295" priority="296">
      <formula>AND($A73&lt;&gt;"",MOD(ROW(),2))</formula>
    </cfRule>
  </conditionalFormatting>
  <conditionalFormatting sqref="AF89">
    <cfRule type="cellIs" dxfId="294" priority="293" operator="equal">
      <formula>#REF!</formula>
    </cfRule>
    <cfRule type="cellIs" dxfId="293" priority="294" operator="greaterThan">
      <formula>#REF!</formula>
    </cfRule>
    <cfRule type="cellIs" dxfId="292" priority="295" operator="lessThan">
      <formula>#REF!</formula>
    </cfRule>
  </conditionalFormatting>
  <conditionalFormatting sqref="AF89">
    <cfRule type="expression" dxfId="291" priority="292">
      <formula>AND($A73&lt;&gt;"",MOD(ROW(),2))</formula>
    </cfRule>
  </conditionalFormatting>
  <conditionalFormatting sqref="AF89">
    <cfRule type="cellIs" dxfId="290" priority="289" operator="equal">
      <formula>#REF!</formula>
    </cfRule>
    <cfRule type="cellIs" dxfId="289" priority="290" operator="greaterThan">
      <formula>#REF!</formula>
    </cfRule>
    <cfRule type="cellIs" dxfId="288" priority="291" operator="lessThan">
      <formula>#REF!</formula>
    </cfRule>
  </conditionalFormatting>
  <conditionalFormatting sqref="AT22">
    <cfRule type="expression" dxfId="287" priority="288">
      <formula>AND($A6&lt;&gt;"",MOD(ROW(),2))</formula>
    </cfRule>
  </conditionalFormatting>
  <conditionalFormatting sqref="AT22">
    <cfRule type="cellIs" dxfId="286" priority="285" operator="equal">
      <formula>#REF!</formula>
    </cfRule>
    <cfRule type="cellIs" dxfId="285" priority="286" operator="greaterThan">
      <formula>#REF!</formula>
    </cfRule>
    <cfRule type="cellIs" dxfId="284" priority="287" operator="lessThan">
      <formula>#REF!</formula>
    </cfRule>
  </conditionalFormatting>
  <conditionalFormatting sqref="AT22">
    <cfRule type="expression" dxfId="283" priority="284">
      <formula>AND($A6&lt;&gt;"",MOD(ROW(),2))</formula>
    </cfRule>
  </conditionalFormatting>
  <conditionalFormatting sqref="AT22">
    <cfRule type="cellIs" dxfId="282" priority="281" operator="equal">
      <formula>#REF!</formula>
    </cfRule>
    <cfRule type="cellIs" dxfId="281" priority="282" operator="greaterThan">
      <formula>#REF!</formula>
    </cfRule>
    <cfRule type="cellIs" dxfId="280" priority="283" operator="lessThan">
      <formula>#REF!</formula>
    </cfRule>
  </conditionalFormatting>
  <conditionalFormatting sqref="AT23">
    <cfRule type="expression" dxfId="279" priority="280">
      <formula>AND($A7&lt;&gt;"",MOD(ROW(),2))</formula>
    </cfRule>
  </conditionalFormatting>
  <conditionalFormatting sqref="AT23">
    <cfRule type="cellIs" dxfId="278" priority="277" operator="equal">
      <formula>#REF!</formula>
    </cfRule>
    <cfRule type="cellIs" dxfId="277" priority="278" operator="greaterThan">
      <formula>#REF!</formula>
    </cfRule>
    <cfRule type="cellIs" dxfId="276" priority="279" operator="lessThan">
      <formula>#REF!</formula>
    </cfRule>
  </conditionalFormatting>
  <conditionalFormatting sqref="AT23">
    <cfRule type="expression" dxfId="275" priority="276">
      <formula>AND($A7&lt;&gt;"",MOD(ROW(),2))</formula>
    </cfRule>
  </conditionalFormatting>
  <conditionalFormatting sqref="AT23">
    <cfRule type="cellIs" dxfId="274" priority="273" operator="equal">
      <formula>#REF!</formula>
    </cfRule>
    <cfRule type="cellIs" dxfId="273" priority="274" operator="greaterThan">
      <formula>#REF!</formula>
    </cfRule>
    <cfRule type="cellIs" dxfId="272" priority="275" operator="lessThan">
      <formula>#REF!</formula>
    </cfRule>
  </conditionalFormatting>
  <conditionalFormatting sqref="AF91">
    <cfRule type="expression" dxfId="271" priority="272">
      <formula>AND($A75&lt;&gt;"",MOD(ROW(),2))</formula>
    </cfRule>
  </conditionalFormatting>
  <conditionalFormatting sqref="AF91">
    <cfRule type="cellIs" dxfId="270" priority="269" operator="equal">
      <formula>#REF!</formula>
    </cfRule>
    <cfRule type="cellIs" dxfId="269" priority="270" operator="greaterThan">
      <formula>#REF!</formula>
    </cfRule>
    <cfRule type="cellIs" dxfId="268" priority="271" operator="lessThan">
      <formula>#REF!</formula>
    </cfRule>
  </conditionalFormatting>
  <conditionalFormatting sqref="AF91">
    <cfRule type="expression" dxfId="267" priority="268">
      <formula>AND($A75&lt;&gt;"",MOD(ROW(),2))</formula>
    </cfRule>
  </conditionalFormatting>
  <conditionalFormatting sqref="AF91">
    <cfRule type="cellIs" dxfId="266" priority="265" operator="equal">
      <formula>#REF!</formula>
    </cfRule>
    <cfRule type="cellIs" dxfId="265" priority="266" operator="greaterThan">
      <formula>#REF!</formula>
    </cfRule>
    <cfRule type="cellIs" dxfId="264" priority="267" operator="lessThan">
      <formula>#REF!</formula>
    </cfRule>
  </conditionalFormatting>
  <conditionalFormatting sqref="AT24">
    <cfRule type="expression" dxfId="263" priority="264">
      <formula>AND($A8&lt;&gt;"",MOD(ROW(),2))</formula>
    </cfRule>
  </conditionalFormatting>
  <conditionalFormatting sqref="AT24">
    <cfRule type="cellIs" dxfId="262" priority="261" operator="equal">
      <formula>#REF!</formula>
    </cfRule>
    <cfRule type="cellIs" dxfId="261" priority="262" operator="greaterThan">
      <formula>#REF!</formula>
    </cfRule>
    <cfRule type="cellIs" dxfId="260" priority="263" operator="lessThan">
      <formula>#REF!</formula>
    </cfRule>
  </conditionalFormatting>
  <conditionalFormatting sqref="AT24">
    <cfRule type="expression" dxfId="259" priority="260">
      <formula>AND($A8&lt;&gt;"",MOD(ROW(),2))</formula>
    </cfRule>
  </conditionalFormatting>
  <conditionalFormatting sqref="AT24">
    <cfRule type="cellIs" dxfId="258" priority="257" operator="equal">
      <formula>#REF!</formula>
    </cfRule>
    <cfRule type="cellIs" dxfId="257" priority="258" operator="greaterThan">
      <formula>#REF!</formula>
    </cfRule>
    <cfRule type="cellIs" dxfId="256" priority="259" operator="lessThan">
      <formula>#REF!</formula>
    </cfRule>
  </conditionalFormatting>
  <conditionalFormatting sqref="AF92">
    <cfRule type="expression" dxfId="255" priority="256">
      <formula>AND($A76&lt;&gt;"",MOD(ROW(),2))</formula>
    </cfRule>
  </conditionalFormatting>
  <conditionalFormatting sqref="AF92">
    <cfRule type="cellIs" dxfId="254" priority="253" operator="equal">
      <formula>#REF!</formula>
    </cfRule>
    <cfRule type="cellIs" dxfId="253" priority="254" operator="greaterThan">
      <formula>#REF!</formula>
    </cfRule>
    <cfRule type="cellIs" dxfId="252" priority="255" operator="lessThan">
      <formula>#REF!</formula>
    </cfRule>
  </conditionalFormatting>
  <conditionalFormatting sqref="AF92">
    <cfRule type="expression" dxfId="251" priority="252">
      <formula>AND($A76&lt;&gt;"",MOD(ROW(),2))</formula>
    </cfRule>
  </conditionalFormatting>
  <conditionalFormatting sqref="AF92">
    <cfRule type="cellIs" dxfId="250" priority="249" operator="equal">
      <formula>#REF!</formula>
    </cfRule>
    <cfRule type="cellIs" dxfId="249" priority="250" operator="greaterThan">
      <formula>#REF!</formula>
    </cfRule>
    <cfRule type="cellIs" dxfId="248" priority="251" operator="lessThan">
      <formula>#REF!</formula>
    </cfRule>
  </conditionalFormatting>
  <conditionalFormatting sqref="AF93">
    <cfRule type="expression" dxfId="247" priority="248">
      <formula>AND($A77&lt;&gt;"",MOD(ROW(),2))</formula>
    </cfRule>
  </conditionalFormatting>
  <conditionalFormatting sqref="AF93">
    <cfRule type="cellIs" dxfId="246" priority="245" operator="equal">
      <formula>#REF!</formula>
    </cfRule>
    <cfRule type="cellIs" dxfId="245" priority="246" operator="greaterThan">
      <formula>#REF!</formula>
    </cfRule>
    <cfRule type="cellIs" dxfId="244" priority="247" operator="lessThan">
      <formula>#REF!</formula>
    </cfRule>
  </conditionalFormatting>
  <conditionalFormatting sqref="AF93">
    <cfRule type="expression" dxfId="243" priority="244">
      <formula>AND($A77&lt;&gt;"",MOD(ROW(),2))</formula>
    </cfRule>
  </conditionalFormatting>
  <conditionalFormatting sqref="AF93">
    <cfRule type="cellIs" dxfId="242" priority="241" operator="equal">
      <formula>#REF!</formula>
    </cfRule>
    <cfRule type="cellIs" dxfId="241" priority="242" operator="greaterThan">
      <formula>#REF!</formula>
    </cfRule>
    <cfRule type="cellIs" dxfId="240" priority="243" operator="lessThan">
      <formula>#REF!</formula>
    </cfRule>
  </conditionalFormatting>
  <conditionalFormatting sqref="AM21">
    <cfRule type="expression" dxfId="239" priority="240">
      <formula>AND($A5&lt;&gt;"",MOD(ROW(),2))</formula>
    </cfRule>
  </conditionalFormatting>
  <conditionalFormatting sqref="AM21">
    <cfRule type="cellIs" dxfId="238" priority="237" operator="equal">
      <formula>#REF!</formula>
    </cfRule>
    <cfRule type="cellIs" dxfId="237" priority="238" operator="greaterThan">
      <formula>#REF!</formula>
    </cfRule>
    <cfRule type="cellIs" dxfId="236" priority="239" operator="lessThan">
      <formula>#REF!</formula>
    </cfRule>
  </conditionalFormatting>
  <conditionalFormatting sqref="AM21">
    <cfRule type="expression" dxfId="235" priority="236">
      <formula>AND($A5&lt;&gt;"",MOD(ROW(),2))</formula>
    </cfRule>
  </conditionalFormatting>
  <conditionalFormatting sqref="AM21">
    <cfRule type="cellIs" dxfId="234" priority="233" operator="equal">
      <formula>#REF!</formula>
    </cfRule>
    <cfRule type="cellIs" dxfId="233" priority="234" operator="greaterThan">
      <formula>#REF!</formula>
    </cfRule>
    <cfRule type="cellIs" dxfId="232" priority="235" operator="lessThan">
      <formula>#REF!</formula>
    </cfRule>
  </conditionalFormatting>
  <conditionalFormatting sqref="AT25:AT26">
    <cfRule type="expression" dxfId="231" priority="232">
      <formula>AND($A9&lt;&gt;"",MOD(ROW(),2))</formula>
    </cfRule>
  </conditionalFormatting>
  <conditionalFormatting sqref="AT25:AT26">
    <cfRule type="cellIs" dxfId="230" priority="229" operator="equal">
      <formula>#REF!</formula>
    </cfRule>
    <cfRule type="cellIs" dxfId="229" priority="230" operator="greaterThan">
      <formula>#REF!</formula>
    </cfRule>
    <cfRule type="cellIs" dxfId="228" priority="231" operator="lessThan">
      <formula>#REF!</formula>
    </cfRule>
  </conditionalFormatting>
  <conditionalFormatting sqref="AT25:AT26">
    <cfRule type="expression" dxfId="227" priority="228">
      <formula>AND($A9&lt;&gt;"",MOD(ROW(),2))</formula>
    </cfRule>
  </conditionalFormatting>
  <conditionalFormatting sqref="AT25:AT26">
    <cfRule type="cellIs" dxfId="226" priority="225" operator="equal">
      <formula>#REF!</formula>
    </cfRule>
    <cfRule type="cellIs" dxfId="225" priority="226" operator="greaterThan">
      <formula>#REF!</formula>
    </cfRule>
    <cfRule type="cellIs" dxfId="224" priority="227" operator="lessThan">
      <formula>#REF!</formula>
    </cfRule>
  </conditionalFormatting>
  <conditionalFormatting sqref="AT27">
    <cfRule type="expression" dxfId="223" priority="224">
      <formula>AND($A11&lt;&gt;"",MOD(ROW(),2))</formula>
    </cfRule>
  </conditionalFormatting>
  <conditionalFormatting sqref="AT27">
    <cfRule type="cellIs" dxfId="222" priority="221" operator="equal">
      <formula>#REF!</formula>
    </cfRule>
    <cfRule type="cellIs" dxfId="221" priority="222" operator="greaterThan">
      <formula>#REF!</formula>
    </cfRule>
    <cfRule type="cellIs" dxfId="220" priority="223" operator="lessThan">
      <formula>#REF!</formula>
    </cfRule>
  </conditionalFormatting>
  <conditionalFormatting sqref="AT27">
    <cfRule type="expression" dxfId="219" priority="220">
      <formula>AND($A11&lt;&gt;"",MOD(ROW(),2))</formula>
    </cfRule>
  </conditionalFormatting>
  <conditionalFormatting sqref="AT27">
    <cfRule type="cellIs" dxfId="218" priority="217" operator="equal">
      <formula>#REF!</formula>
    </cfRule>
    <cfRule type="cellIs" dxfId="217" priority="218" operator="greaterThan">
      <formula>#REF!</formula>
    </cfRule>
    <cfRule type="cellIs" dxfId="216" priority="219" operator="lessThan">
      <formula>#REF!</formula>
    </cfRule>
  </conditionalFormatting>
  <conditionalFormatting sqref="AT28">
    <cfRule type="expression" dxfId="215" priority="216">
      <formula>AND($A12&lt;&gt;"",MOD(ROW(),2))</formula>
    </cfRule>
  </conditionalFormatting>
  <conditionalFormatting sqref="AT28">
    <cfRule type="cellIs" dxfId="214" priority="213" operator="equal">
      <formula>#REF!</formula>
    </cfRule>
    <cfRule type="cellIs" dxfId="213" priority="214" operator="greaterThan">
      <formula>#REF!</formula>
    </cfRule>
    <cfRule type="cellIs" dxfId="212" priority="215" operator="lessThan">
      <formula>#REF!</formula>
    </cfRule>
  </conditionalFormatting>
  <conditionalFormatting sqref="AT28">
    <cfRule type="expression" dxfId="211" priority="212">
      <formula>AND($A12&lt;&gt;"",MOD(ROW(),2))</formula>
    </cfRule>
  </conditionalFormatting>
  <conditionalFormatting sqref="AT28">
    <cfRule type="cellIs" dxfId="210" priority="209" operator="equal">
      <formula>#REF!</formula>
    </cfRule>
    <cfRule type="cellIs" dxfId="209" priority="210" operator="greaterThan">
      <formula>#REF!</formula>
    </cfRule>
    <cfRule type="cellIs" dxfId="208" priority="211" operator="lessThan">
      <formula>#REF!</formula>
    </cfRule>
  </conditionalFormatting>
  <conditionalFormatting sqref="AT29">
    <cfRule type="expression" dxfId="207" priority="208">
      <formula>AND($A13&lt;&gt;"",MOD(ROW(),2))</formula>
    </cfRule>
  </conditionalFormatting>
  <conditionalFormatting sqref="AT29">
    <cfRule type="cellIs" dxfId="206" priority="205" operator="equal">
      <formula>#REF!</formula>
    </cfRule>
    <cfRule type="cellIs" dxfId="205" priority="206" operator="greaterThan">
      <formula>#REF!</formula>
    </cfRule>
    <cfRule type="cellIs" dxfId="204" priority="207" operator="lessThan">
      <formula>#REF!</formula>
    </cfRule>
  </conditionalFormatting>
  <conditionalFormatting sqref="AT29">
    <cfRule type="expression" dxfId="203" priority="204">
      <formula>AND($A13&lt;&gt;"",MOD(ROW(),2))</formula>
    </cfRule>
  </conditionalFormatting>
  <conditionalFormatting sqref="AT29">
    <cfRule type="cellIs" dxfId="202" priority="201" operator="equal">
      <formula>#REF!</formula>
    </cfRule>
    <cfRule type="cellIs" dxfId="201" priority="202" operator="greaterThan">
      <formula>#REF!</formula>
    </cfRule>
    <cfRule type="cellIs" dxfId="200" priority="203" operator="lessThan">
      <formula>#REF!</formula>
    </cfRule>
  </conditionalFormatting>
  <conditionalFormatting sqref="AM22">
    <cfRule type="expression" dxfId="199" priority="200">
      <formula>AND($A6&lt;&gt;"",MOD(ROW(),2))</formula>
    </cfRule>
  </conditionalFormatting>
  <conditionalFormatting sqref="AM22">
    <cfRule type="cellIs" dxfId="198" priority="197" operator="equal">
      <formula>#REF!</formula>
    </cfRule>
    <cfRule type="cellIs" dxfId="197" priority="198" operator="greaterThan">
      <formula>#REF!</formula>
    </cfRule>
    <cfRule type="cellIs" dxfId="196" priority="199" operator="lessThan">
      <formula>#REF!</formula>
    </cfRule>
  </conditionalFormatting>
  <conditionalFormatting sqref="AM22">
    <cfRule type="expression" dxfId="195" priority="196">
      <formula>AND($A6&lt;&gt;"",MOD(ROW(),2))</formula>
    </cfRule>
  </conditionalFormatting>
  <conditionalFormatting sqref="AM22">
    <cfRule type="cellIs" dxfId="194" priority="193" operator="equal">
      <formula>#REF!</formula>
    </cfRule>
    <cfRule type="cellIs" dxfId="193" priority="194" operator="greaterThan">
      <formula>#REF!</formula>
    </cfRule>
    <cfRule type="cellIs" dxfId="192" priority="195" operator="lessThan">
      <formula>#REF!</formula>
    </cfRule>
  </conditionalFormatting>
  <conditionalFormatting sqref="AT30:AT31">
    <cfRule type="expression" dxfId="191" priority="192">
      <formula>AND($A14&lt;&gt;"",MOD(ROW(),2))</formula>
    </cfRule>
  </conditionalFormatting>
  <conditionalFormatting sqref="AT30:AT31">
    <cfRule type="cellIs" dxfId="190" priority="189" operator="equal">
      <formula>#REF!</formula>
    </cfRule>
    <cfRule type="cellIs" dxfId="189" priority="190" operator="greaterThan">
      <formula>#REF!</formula>
    </cfRule>
    <cfRule type="cellIs" dxfId="188" priority="191" operator="lessThan">
      <formula>#REF!</formula>
    </cfRule>
  </conditionalFormatting>
  <conditionalFormatting sqref="AT30:AT31">
    <cfRule type="expression" dxfId="187" priority="188">
      <formula>AND($A14&lt;&gt;"",MOD(ROW(),2))</formula>
    </cfRule>
  </conditionalFormatting>
  <conditionalFormatting sqref="AT30:AT31">
    <cfRule type="cellIs" dxfId="186" priority="185" operator="equal">
      <formula>#REF!</formula>
    </cfRule>
    <cfRule type="cellIs" dxfId="185" priority="186" operator="greaterThan">
      <formula>#REF!</formula>
    </cfRule>
    <cfRule type="cellIs" dxfId="184" priority="187" operator="lessThan">
      <formula>#REF!</formula>
    </cfRule>
  </conditionalFormatting>
  <conditionalFormatting sqref="AT32">
    <cfRule type="expression" dxfId="183" priority="184">
      <formula>AND($A16&lt;&gt;"",MOD(ROW(),2))</formula>
    </cfRule>
  </conditionalFormatting>
  <conditionalFormatting sqref="AT32">
    <cfRule type="cellIs" dxfId="182" priority="181" operator="equal">
      <formula>#REF!</formula>
    </cfRule>
    <cfRule type="cellIs" dxfId="181" priority="182" operator="greaterThan">
      <formula>#REF!</formula>
    </cfRule>
    <cfRule type="cellIs" dxfId="180" priority="183" operator="lessThan">
      <formula>#REF!</formula>
    </cfRule>
  </conditionalFormatting>
  <conditionalFormatting sqref="AT32">
    <cfRule type="expression" dxfId="179" priority="180">
      <formula>AND($A16&lt;&gt;"",MOD(ROW(),2))</formula>
    </cfRule>
  </conditionalFormatting>
  <conditionalFormatting sqref="AT32">
    <cfRule type="cellIs" dxfId="178" priority="177" operator="equal">
      <formula>#REF!</formula>
    </cfRule>
    <cfRule type="cellIs" dxfId="177" priority="178" operator="greaterThan">
      <formula>#REF!</formula>
    </cfRule>
    <cfRule type="cellIs" dxfId="176" priority="179" operator="lessThan">
      <formula>#REF!</formula>
    </cfRule>
  </conditionalFormatting>
  <conditionalFormatting sqref="AT33">
    <cfRule type="expression" dxfId="175" priority="176">
      <formula>AND($A17&lt;&gt;"",MOD(ROW(),2))</formula>
    </cfRule>
  </conditionalFormatting>
  <conditionalFormatting sqref="AT33">
    <cfRule type="cellIs" dxfId="174" priority="173" operator="equal">
      <formula>#REF!</formula>
    </cfRule>
    <cfRule type="cellIs" dxfId="173" priority="174" operator="greaterThan">
      <formula>#REF!</formula>
    </cfRule>
    <cfRule type="cellIs" dxfId="172" priority="175" operator="lessThan">
      <formula>#REF!</formula>
    </cfRule>
  </conditionalFormatting>
  <conditionalFormatting sqref="AT33">
    <cfRule type="expression" dxfId="171" priority="172">
      <formula>AND($A17&lt;&gt;"",MOD(ROW(),2))</formula>
    </cfRule>
  </conditionalFormatting>
  <conditionalFormatting sqref="AT33">
    <cfRule type="cellIs" dxfId="170" priority="169" operator="equal">
      <formula>#REF!</formula>
    </cfRule>
    <cfRule type="cellIs" dxfId="169" priority="170" operator="greaterThan">
      <formula>#REF!</formula>
    </cfRule>
    <cfRule type="cellIs" dxfId="168" priority="171" operator="lessThan">
      <formula>#REF!</formula>
    </cfRule>
  </conditionalFormatting>
  <conditionalFormatting sqref="AF94">
    <cfRule type="expression" dxfId="167" priority="168">
      <formula>AND($A78&lt;&gt;"",MOD(ROW(),2))</formula>
    </cfRule>
  </conditionalFormatting>
  <conditionalFormatting sqref="AF94">
    <cfRule type="cellIs" dxfId="166" priority="165" operator="equal">
      <formula>#REF!</formula>
    </cfRule>
    <cfRule type="cellIs" dxfId="165" priority="166" operator="greaterThan">
      <formula>#REF!</formula>
    </cfRule>
    <cfRule type="cellIs" dxfId="164" priority="167" operator="lessThan">
      <formula>#REF!</formula>
    </cfRule>
  </conditionalFormatting>
  <conditionalFormatting sqref="AF94">
    <cfRule type="expression" dxfId="163" priority="164">
      <formula>AND($A78&lt;&gt;"",MOD(ROW(),2))</formula>
    </cfRule>
  </conditionalFormatting>
  <conditionalFormatting sqref="AF94">
    <cfRule type="cellIs" dxfId="162" priority="161" operator="equal">
      <formula>#REF!</formula>
    </cfRule>
    <cfRule type="cellIs" dxfId="161" priority="162" operator="greaterThan">
      <formula>#REF!</formula>
    </cfRule>
    <cfRule type="cellIs" dxfId="160" priority="163" operator="lessThan">
      <formula>#REF!</formula>
    </cfRule>
  </conditionalFormatting>
  <conditionalFormatting sqref="AT34">
    <cfRule type="expression" dxfId="159" priority="160">
      <formula>AND($A18&lt;&gt;"",MOD(ROW(),2))</formula>
    </cfRule>
  </conditionalFormatting>
  <conditionalFormatting sqref="AT34">
    <cfRule type="cellIs" dxfId="158" priority="157" operator="equal">
      <formula>#REF!</formula>
    </cfRule>
    <cfRule type="cellIs" dxfId="157" priority="158" operator="greaterThan">
      <formula>#REF!</formula>
    </cfRule>
    <cfRule type="cellIs" dxfId="156" priority="159" operator="lessThan">
      <formula>#REF!</formula>
    </cfRule>
  </conditionalFormatting>
  <conditionalFormatting sqref="AT34">
    <cfRule type="expression" dxfId="155" priority="156">
      <formula>AND($A18&lt;&gt;"",MOD(ROW(),2))</formula>
    </cfRule>
  </conditionalFormatting>
  <conditionalFormatting sqref="AT34">
    <cfRule type="cellIs" dxfId="154" priority="153" operator="equal">
      <formula>#REF!</formula>
    </cfRule>
    <cfRule type="cellIs" dxfId="153" priority="154" operator="greaterThan">
      <formula>#REF!</formula>
    </cfRule>
    <cfRule type="cellIs" dxfId="152" priority="155" operator="lessThan">
      <formula>#REF!</formula>
    </cfRule>
  </conditionalFormatting>
  <conditionalFormatting sqref="AM23">
    <cfRule type="expression" dxfId="151" priority="152">
      <formula>AND($A7&lt;&gt;"",MOD(ROW(),2))</formula>
    </cfRule>
  </conditionalFormatting>
  <conditionalFormatting sqref="AM23">
    <cfRule type="cellIs" dxfId="150" priority="149" operator="equal">
      <formula>#REF!</formula>
    </cfRule>
    <cfRule type="cellIs" dxfId="149" priority="150" operator="greaterThan">
      <formula>#REF!</formula>
    </cfRule>
    <cfRule type="cellIs" dxfId="148" priority="151" operator="lessThan">
      <formula>#REF!</formula>
    </cfRule>
  </conditionalFormatting>
  <conditionalFormatting sqref="AM23">
    <cfRule type="expression" dxfId="147" priority="148">
      <formula>AND($A7&lt;&gt;"",MOD(ROW(),2))</formula>
    </cfRule>
  </conditionalFormatting>
  <conditionalFormatting sqref="AM23">
    <cfRule type="cellIs" dxfId="146" priority="145" operator="equal">
      <formula>#REF!</formula>
    </cfRule>
    <cfRule type="cellIs" dxfId="145" priority="146" operator="greaterThan">
      <formula>#REF!</formula>
    </cfRule>
    <cfRule type="cellIs" dxfId="144" priority="147" operator="lessThan">
      <formula>#REF!</formula>
    </cfRule>
  </conditionalFormatting>
  <conditionalFormatting sqref="AM23:AM24">
    <cfRule type="expression" dxfId="143" priority="144">
      <formula>AND($A7&lt;&gt;"",MOD(ROW(),2))</formula>
    </cfRule>
  </conditionalFormatting>
  <conditionalFormatting sqref="AM23:AM24">
    <cfRule type="cellIs" dxfId="142" priority="141" operator="equal">
      <formula>#REF!</formula>
    </cfRule>
    <cfRule type="cellIs" dxfId="141" priority="142" operator="greaterThan">
      <formula>#REF!</formula>
    </cfRule>
    <cfRule type="cellIs" dxfId="140" priority="143" operator="lessThan">
      <formula>#REF!</formula>
    </cfRule>
  </conditionalFormatting>
  <conditionalFormatting sqref="AM23:AM24">
    <cfRule type="expression" dxfId="139" priority="140">
      <formula>AND($A7&lt;&gt;"",MOD(ROW(),2))</formula>
    </cfRule>
  </conditionalFormatting>
  <conditionalFormatting sqref="AM23:AM24">
    <cfRule type="cellIs" dxfId="138" priority="137" operator="equal">
      <formula>#REF!</formula>
    </cfRule>
    <cfRule type="cellIs" dxfId="137" priority="138" operator="greaterThan">
      <formula>#REF!</formula>
    </cfRule>
    <cfRule type="cellIs" dxfId="136" priority="139" operator="lessThan">
      <formula>#REF!</formula>
    </cfRule>
  </conditionalFormatting>
  <conditionalFormatting sqref="AM24:AM25">
    <cfRule type="expression" dxfId="135" priority="136">
      <formula>AND($A8&lt;&gt;"",MOD(ROW(),2))</formula>
    </cfRule>
  </conditionalFormatting>
  <conditionalFormatting sqref="AM24:AM25">
    <cfRule type="cellIs" dxfId="134" priority="133" operator="equal">
      <formula>#REF!</formula>
    </cfRule>
    <cfRule type="cellIs" dxfId="133" priority="134" operator="greaterThan">
      <formula>#REF!</formula>
    </cfRule>
    <cfRule type="cellIs" dxfId="132" priority="135" operator="lessThan">
      <formula>#REF!</formula>
    </cfRule>
  </conditionalFormatting>
  <conditionalFormatting sqref="AM24:AM25">
    <cfRule type="expression" dxfId="131" priority="132">
      <formula>AND($A8&lt;&gt;"",MOD(ROW(),2))</formula>
    </cfRule>
  </conditionalFormatting>
  <conditionalFormatting sqref="AM24:AM25">
    <cfRule type="cellIs" dxfId="130" priority="129" operator="equal">
      <formula>#REF!</formula>
    </cfRule>
    <cfRule type="cellIs" dxfId="129" priority="130" operator="greaterThan">
      <formula>#REF!</formula>
    </cfRule>
    <cfRule type="cellIs" dxfId="128" priority="131" operator="lessThan">
      <formula>#REF!</formula>
    </cfRule>
  </conditionalFormatting>
  <conditionalFormatting sqref="AT35">
    <cfRule type="expression" dxfId="127" priority="128">
      <formula>AND($A19&lt;&gt;"",MOD(ROW(),2))</formula>
    </cfRule>
  </conditionalFormatting>
  <conditionalFormatting sqref="AT35">
    <cfRule type="cellIs" dxfId="126" priority="125" operator="equal">
      <formula>#REF!</formula>
    </cfRule>
    <cfRule type="cellIs" dxfId="125" priority="126" operator="greaterThan">
      <formula>#REF!</formula>
    </cfRule>
    <cfRule type="cellIs" dxfId="124" priority="127" operator="lessThan">
      <formula>#REF!</formula>
    </cfRule>
  </conditionalFormatting>
  <conditionalFormatting sqref="AT35">
    <cfRule type="expression" dxfId="123" priority="124">
      <formula>AND($A19&lt;&gt;"",MOD(ROW(),2))</formula>
    </cfRule>
  </conditionalFormatting>
  <conditionalFormatting sqref="AT35">
    <cfRule type="cellIs" dxfId="122" priority="121" operator="equal">
      <formula>#REF!</formula>
    </cfRule>
    <cfRule type="cellIs" dxfId="121" priority="122" operator="greaterThan">
      <formula>#REF!</formula>
    </cfRule>
    <cfRule type="cellIs" dxfId="120" priority="123" operator="lessThan">
      <formula>#REF!</formula>
    </cfRule>
  </conditionalFormatting>
  <conditionalFormatting sqref="AT36">
    <cfRule type="expression" dxfId="119" priority="120">
      <formula>AND($A20&lt;&gt;"",MOD(ROW(),2))</formula>
    </cfRule>
  </conditionalFormatting>
  <conditionalFormatting sqref="AT36">
    <cfRule type="cellIs" dxfId="118" priority="117" operator="equal">
      <formula>#REF!</formula>
    </cfRule>
    <cfRule type="cellIs" dxfId="117" priority="118" operator="greaterThan">
      <formula>#REF!</formula>
    </cfRule>
    <cfRule type="cellIs" dxfId="116" priority="119" operator="lessThan">
      <formula>#REF!</formula>
    </cfRule>
  </conditionalFormatting>
  <conditionalFormatting sqref="AT36">
    <cfRule type="expression" dxfId="115" priority="116">
      <formula>AND($A20&lt;&gt;"",MOD(ROW(),2))</formula>
    </cfRule>
  </conditionalFormatting>
  <conditionalFormatting sqref="AT36">
    <cfRule type="cellIs" dxfId="114" priority="113" operator="equal">
      <formula>#REF!</formula>
    </cfRule>
    <cfRule type="cellIs" dxfId="113" priority="114" operator="greaterThan">
      <formula>#REF!</formula>
    </cfRule>
    <cfRule type="cellIs" dxfId="112" priority="115" operator="lessThan">
      <formula>#REF!</formula>
    </cfRule>
  </conditionalFormatting>
  <conditionalFormatting sqref="AT37">
    <cfRule type="expression" dxfId="111" priority="112">
      <formula>AND($A21&lt;&gt;"",MOD(ROW(),2))</formula>
    </cfRule>
  </conditionalFormatting>
  <conditionalFormatting sqref="AT37">
    <cfRule type="cellIs" dxfId="110" priority="109" operator="equal">
      <formula>#REF!</formula>
    </cfRule>
    <cfRule type="cellIs" dxfId="109" priority="110" operator="greaterThan">
      <formula>#REF!</formula>
    </cfRule>
    <cfRule type="cellIs" dxfId="108" priority="111" operator="lessThan">
      <formula>#REF!</formula>
    </cfRule>
  </conditionalFormatting>
  <conditionalFormatting sqref="AT37">
    <cfRule type="expression" dxfId="107" priority="108">
      <formula>AND($A21&lt;&gt;"",MOD(ROW(),2))</formula>
    </cfRule>
  </conditionalFormatting>
  <conditionalFormatting sqref="AT37">
    <cfRule type="cellIs" dxfId="106" priority="105" operator="equal">
      <formula>#REF!</formula>
    </cfRule>
    <cfRule type="cellIs" dxfId="105" priority="106" operator="greaterThan">
      <formula>#REF!</formula>
    </cfRule>
    <cfRule type="cellIs" dxfId="104" priority="107" operator="lessThan">
      <formula>#REF!</formula>
    </cfRule>
  </conditionalFormatting>
  <conditionalFormatting sqref="AM25:AM26">
    <cfRule type="expression" dxfId="103" priority="104">
      <formula>AND($A9&lt;&gt;"",MOD(ROW(),2))</formula>
    </cfRule>
  </conditionalFormatting>
  <conditionalFormatting sqref="AM25:AM26">
    <cfRule type="cellIs" dxfId="102" priority="101" operator="equal">
      <formula>#REF!</formula>
    </cfRule>
    <cfRule type="cellIs" dxfId="101" priority="102" operator="greaterThan">
      <formula>#REF!</formula>
    </cfRule>
    <cfRule type="cellIs" dxfId="100" priority="103" operator="lessThan">
      <formula>#REF!</formula>
    </cfRule>
  </conditionalFormatting>
  <conditionalFormatting sqref="AM25:AM26">
    <cfRule type="expression" dxfId="99" priority="100">
      <formula>AND($A9&lt;&gt;"",MOD(ROW(),2))</formula>
    </cfRule>
  </conditionalFormatting>
  <conditionalFormatting sqref="AM25:AM26">
    <cfRule type="cellIs" dxfId="98" priority="97" operator="equal">
      <formula>#REF!</formula>
    </cfRule>
    <cfRule type="cellIs" dxfId="97" priority="98" operator="greaterThan">
      <formula>#REF!</formula>
    </cfRule>
    <cfRule type="cellIs" dxfId="96" priority="99" operator="lessThan">
      <formula>#REF!</formula>
    </cfRule>
  </conditionalFormatting>
  <conditionalFormatting sqref="AT38">
    <cfRule type="expression" dxfId="95" priority="96">
      <formula>AND($A22&lt;&gt;"",MOD(ROW(),2))</formula>
    </cfRule>
  </conditionalFormatting>
  <conditionalFormatting sqref="AT38">
    <cfRule type="cellIs" dxfId="94" priority="93" operator="equal">
      <formula>#REF!</formula>
    </cfRule>
    <cfRule type="cellIs" dxfId="93" priority="94" operator="greaterThan">
      <formula>#REF!</formula>
    </cfRule>
    <cfRule type="cellIs" dxfId="92" priority="95" operator="lessThan">
      <formula>#REF!</formula>
    </cfRule>
  </conditionalFormatting>
  <conditionalFormatting sqref="AT38">
    <cfRule type="expression" dxfId="91" priority="92">
      <formula>AND($A22&lt;&gt;"",MOD(ROW(),2))</formula>
    </cfRule>
  </conditionalFormatting>
  <conditionalFormatting sqref="AT38">
    <cfRule type="cellIs" dxfId="90" priority="89" operator="equal">
      <formula>#REF!</formula>
    </cfRule>
    <cfRule type="cellIs" dxfId="89" priority="90" operator="greaterThan">
      <formula>#REF!</formula>
    </cfRule>
    <cfRule type="cellIs" dxfId="88" priority="91" operator="lessThan">
      <formula>#REF!</formula>
    </cfRule>
  </conditionalFormatting>
  <conditionalFormatting sqref="AM26:AM27">
    <cfRule type="expression" dxfId="87" priority="88">
      <formula>AND($A10&lt;&gt;"",MOD(ROW(),2))</formula>
    </cfRule>
  </conditionalFormatting>
  <conditionalFormatting sqref="AM26:AM27">
    <cfRule type="cellIs" dxfId="86" priority="85" operator="equal">
      <formula>#REF!</formula>
    </cfRule>
    <cfRule type="cellIs" dxfId="85" priority="86" operator="greaterThan">
      <formula>#REF!</formula>
    </cfRule>
    <cfRule type="cellIs" dxfId="84" priority="87" operator="lessThan">
      <formula>#REF!</formula>
    </cfRule>
  </conditionalFormatting>
  <conditionalFormatting sqref="AM26:AM27">
    <cfRule type="expression" dxfId="83" priority="84">
      <formula>AND($A10&lt;&gt;"",MOD(ROW(),2))</formula>
    </cfRule>
  </conditionalFormatting>
  <conditionalFormatting sqref="AM26:AM27">
    <cfRule type="cellIs" dxfId="82" priority="81" operator="equal">
      <formula>#REF!</formula>
    </cfRule>
    <cfRule type="cellIs" dxfId="81" priority="82" operator="greaterThan">
      <formula>#REF!</formula>
    </cfRule>
    <cfRule type="cellIs" dxfId="80" priority="83" operator="lessThan">
      <formula>#REF!</formula>
    </cfRule>
  </conditionalFormatting>
  <conditionalFormatting sqref="AM28:AM29">
    <cfRule type="expression" dxfId="79" priority="80">
      <formula>AND($A12&lt;&gt;"",MOD(ROW(),2))</formula>
    </cfRule>
  </conditionalFormatting>
  <conditionalFormatting sqref="AM28:AM29">
    <cfRule type="cellIs" dxfId="78" priority="77" operator="equal">
      <formula>#REF!</formula>
    </cfRule>
    <cfRule type="cellIs" dxfId="77" priority="78" operator="greaterThan">
      <formula>#REF!</formula>
    </cfRule>
    <cfRule type="cellIs" dxfId="76" priority="79" operator="lessThan">
      <formula>#REF!</formula>
    </cfRule>
  </conditionalFormatting>
  <conditionalFormatting sqref="AM28:AM29">
    <cfRule type="expression" dxfId="75" priority="76">
      <formula>AND($A12&lt;&gt;"",MOD(ROW(),2))</formula>
    </cfRule>
  </conditionalFormatting>
  <conditionalFormatting sqref="AM28:AM29">
    <cfRule type="cellIs" dxfId="74" priority="73" operator="equal">
      <formula>#REF!</formula>
    </cfRule>
    <cfRule type="cellIs" dxfId="73" priority="74" operator="greaterThan">
      <formula>#REF!</formula>
    </cfRule>
    <cfRule type="cellIs" dxfId="72" priority="75" operator="lessThan">
      <formula>#REF!</formula>
    </cfRule>
  </conditionalFormatting>
  <conditionalFormatting sqref="AM29:AM31">
    <cfRule type="expression" dxfId="71" priority="72">
      <formula>AND($A13&lt;&gt;"",MOD(ROW(),2))</formula>
    </cfRule>
  </conditionalFormatting>
  <conditionalFormatting sqref="AM29:AM31">
    <cfRule type="cellIs" dxfId="70" priority="69" operator="equal">
      <formula>#REF!</formula>
    </cfRule>
    <cfRule type="cellIs" dxfId="69" priority="70" operator="greaterThan">
      <formula>#REF!</formula>
    </cfRule>
    <cfRule type="cellIs" dxfId="68" priority="71" operator="lessThan">
      <formula>#REF!</formula>
    </cfRule>
  </conditionalFormatting>
  <conditionalFormatting sqref="AM29:AM31">
    <cfRule type="expression" dxfId="67" priority="68">
      <formula>AND($A13&lt;&gt;"",MOD(ROW(),2))</formula>
    </cfRule>
  </conditionalFormatting>
  <conditionalFormatting sqref="AM29:AM31">
    <cfRule type="cellIs" dxfId="66" priority="65" operator="equal">
      <formula>#REF!</formula>
    </cfRule>
    <cfRule type="cellIs" dxfId="65" priority="66" operator="greaterThan">
      <formula>#REF!</formula>
    </cfRule>
    <cfRule type="cellIs" dxfId="64" priority="67" operator="lessThan">
      <formula>#REF!</formula>
    </cfRule>
  </conditionalFormatting>
  <conditionalFormatting sqref="AM31:AM32">
    <cfRule type="expression" dxfId="63" priority="64">
      <formula>AND($A15&lt;&gt;"",MOD(ROW(),2))</formula>
    </cfRule>
  </conditionalFormatting>
  <conditionalFormatting sqref="AM31:AM32">
    <cfRule type="cellIs" dxfId="62" priority="61" operator="equal">
      <formula>#REF!</formula>
    </cfRule>
    <cfRule type="cellIs" dxfId="61" priority="62" operator="greaterThan">
      <formula>#REF!</formula>
    </cfRule>
    <cfRule type="cellIs" dxfId="60" priority="63" operator="lessThan">
      <formula>#REF!</formula>
    </cfRule>
  </conditionalFormatting>
  <conditionalFormatting sqref="AM31:AM32">
    <cfRule type="expression" dxfId="59" priority="60">
      <formula>AND($A15&lt;&gt;"",MOD(ROW(),2))</formula>
    </cfRule>
  </conditionalFormatting>
  <conditionalFormatting sqref="AM31:AM32">
    <cfRule type="cellIs" dxfId="58" priority="57" operator="equal">
      <formula>#REF!</formula>
    </cfRule>
    <cfRule type="cellIs" dxfId="57" priority="58" operator="greaterThan">
      <formula>#REF!</formula>
    </cfRule>
    <cfRule type="cellIs" dxfId="56" priority="59" operator="lessThan">
      <formula>#REF!</formula>
    </cfRule>
  </conditionalFormatting>
  <conditionalFormatting sqref="AT39">
    <cfRule type="expression" dxfId="55" priority="56">
      <formula>AND($A23&lt;&gt;"",MOD(ROW(),2))</formula>
    </cfRule>
  </conditionalFormatting>
  <conditionalFormatting sqref="AT39">
    <cfRule type="cellIs" dxfId="54" priority="53" operator="equal">
      <formula>#REF!</formula>
    </cfRule>
    <cfRule type="cellIs" dxfId="53" priority="54" operator="greaterThan">
      <formula>#REF!</formula>
    </cfRule>
    <cfRule type="cellIs" dxfId="52" priority="55" operator="lessThan">
      <formula>#REF!</formula>
    </cfRule>
  </conditionalFormatting>
  <conditionalFormatting sqref="AT39">
    <cfRule type="expression" dxfId="51" priority="52">
      <formula>AND($A23&lt;&gt;"",MOD(ROW(),2))</formula>
    </cfRule>
  </conditionalFormatting>
  <conditionalFormatting sqref="AT39">
    <cfRule type="cellIs" dxfId="50" priority="49" operator="equal">
      <formula>#REF!</formula>
    </cfRule>
    <cfRule type="cellIs" dxfId="49" priority="50" operator="greaterThan">
      <formula>#REF!</formula>
    </cfRule>
    <cfRule type="cellIs" dxfId="48" priority="51" operator="lessThan">
      <formula>#REF!</formula>
    </cfRule>
  </conditionalFormatting>
  <conditionalFormatting sqref="AM32">
    <cfRule type="expression" dxfId="47" priority="48">
      <formula>AND($A16&lt;&gt;"",MOD(ROW(),2))</formula>
    </cfRule>
  </conditionalFormatting>
  <conditionalFormatting sqref="AM32">
    <cfRule type="cellIs" dxfId="46" priority="45" operator="equal">
      <formula>#REF!</formula>
    </cfRule>
    <cfRule type="cellIs" dxfId="45" priority="46" operator="greaterThan">
      <formula>#REF!</formula>
    </cfRule>
    <cfRule type="cellIs" dxfId="44" priority="47" operator="lessThan">
      <formula>#REF!</formula>
    </cfRule>
  </conditionalFormatting>
  <conditionalFormatting sqref="AM32">
    <cfRule type="expression" dxfId="43" priority="44">
      <formula>AND($A16&lt;&gt;"",MOD(ROW(),2))</formula>
    </cfRule>
  </conditionalFormatting>
  <conditionalFormatting sqref="AM32">
    <cfRule type="cellIs" dxfId="42" priority="41" operator="equal">
      <formula>#REF!</formula>
    </cfRule>
    <cfRule type="cellIs" dxfId="41" priority="42" operator="greaterThan">
      <formula>#REF!</formula>
    </cfRule>
    <cfRule type="cellIs" dxfId="40" priority="43" operator="lessThan">
      <formula>#REF!</formula>
    </cfRule>
  </conditionalFormatting>
  <conditionalFormatting sqref="AT40:AT41">
    <cfRule type="expression" dxfId="39" priority="40">
      <formula>AND($A24&lt;&gt;"",MOD(ROW(),2))</formula>
    </cfRule>
  </conditionalFormatting>
  <conditionalFormatting sqref="AT40:AT41">
    <cfRule type="cellIs" dxfId="38" priority="37" operator="equal">
      <formula>#REF!</formula>
    </cfRule>
    <cfRule type="cellIs" dxfId="37" priority="38" operator="greaterThan">
      <formula>#REF!</formula>
    </cfRule>
    <cfRule type="cellIs" dxfId="36" priority="39" operator="lessThan">
      <formula>#REF!</formula>
    </cfRule>
  </conditionalFormatting>
  <conditionalFormatting sqref="AT40:AT41">
    <cfRule type="expression" dxfId="35" priority="36">
      <formula>AND($A24&lt;&gt;"",MOD(ROW(),2))</formula>
    </cfRule>
  </conditionalFormatting>
  <conditionalFormatting sqref="AT40:AT41">
    <cfRule type="cellIs" dxfId="34" priority="33" operator="equal">
      <formula>#REF!</formula>
    </cfRule>
    <cfRule type="cellIs" dxfId="33" priority="34" operator="greaterThan">
      <formula>#REF!</formula>
    </cfRule>
    <cfRule type="cellIs" dxfId="32" priority="35" operator="lessThan">
      <formula>#REF!</formula>
    </cfRule>
  </conditionalFormatting>
  <conditionalFormatting sqref="AM27:AM28">
    <cfRule type="expression" dxfId="31" priority="32">
      <formula>AND($A11&lt;&gt;"",MOD(ROW(),2))</formula>
    </cfRule>
  </conditionalFormatting>
  <conditionalFormatting sqref="AM27:AM28">
    <cfRule type="cellIs" dxfId="30" priority="29" operator="equal">
      <formula>#REF!</formula>
    </cfRule>
    <cfRule type="cellIs" dxfId="29" priority="30" operator="greaterThan">
      <formula>#REF!</formula>
    </cfRule>
    <cfRule type="cellIs" dxfId="28" priority="31" operator="lessThan">
      <formula>#REF!</formula>
    </cfRule>
  </conditionalFormatting>
  <conditionalFormatting sqref="AM27:AM28">
    <cfRule type="expression" dxfId="27" priority="28">
      <formula>AND($A11&lt;&gt;"",MOD(ROW(),2))</formula>
    </cfRule>
  </conditionalFormatting>
  <conditionalFormatting sqref="AM27:AM28">
    <cfRule type="cellIs" dxfId="26" priority="25" operator="equal">
      <formula>#REF!</formula>
    </cfRule>
    <cfRule type="cellIs" dxfId="25" priority="26" operator="greaterThan">
      <formula>#REF!</formula>
    </cfRule>
    <cfRule type="cellIs" dxfId="24" priority="27" operator="lessThan">
      <formula>#REF!</formula>
    </cfRule>
  </conditionalFormatting>
  <conditionalFormatting sqref="AM33">
    <cfRule type="expression" dxfId="23" priority="24">
      <formula>AND($A17&lt;&gt;"",MOD(ROW(),2))</formula>
    </cfRule>
  </conditionalFormatting>
  <conditionalFormatting sqref="AM33">
    <cfRule type="cellIs" dxfId="22" priority="21" operator="equal">
      <formula>#REF!</formula>
    </cfRule>
    <cfRule type="cellIs" dxfId="21" priority="22" operator="greaterThan">
      <formula>#REF!</formula>
    </cfRule>
    <cfRule type="cellIs" dxfId="20" priority="23" operator="lessThan">
      <formula>#REF!</formula>
    </cfRule>
  </conditionalFormatting>
  <conditionalFormatting sqref="AM33">
    <cfRule type="expression" dxfId="19" priority="20">
      <formula>AND($A17&lt;&gt;"",MOD(ROW(),2))</formula>
    </cfRule>
  </conditionalFormatting>
  <conditionalFormatting sqref="AM33">
    <cfRule type="cellIs" dxfId="18" priority="17" operator="equal">
      <formula>#REF!</formula>
    </cfRule>
    <cfRule type="cellIs" dxfId="17" priority="18" operator="greaterThan">
      <formula>#REF!</formula>
    </cfRule>
    <cfRule type="cellIs" dxfId="16" priority="19" operator="lessThan">
      <formula>#REF!</formula>
    </cfRule>
  </conditionalFormatting>
  <conditionalFormatting sqref="AM34">
    <cfRule type="expression" dxfId="15" priority="16">
      <formula>AND($A18&lt;&gt;"",MOD(ROW(),2))</formula>
    </cfRule>
  </conditionalFormatting>
  <conditionalFormatting sqref="AM34">
    <cfRule type="cellIs" dxfId="14" priority="13" operator="equal">
      <formula>#REF!</formula>
    </cfRule>
    <cfRule type="cellIs" dxfId="13" priority="14" operator="greaterThan">
      <formula>#REF!</formula>
    </cfRule>
    <cfRule type="cellIs" dxfId="12" priority="15" operator="lessThan">
      <formula>#REF!</formula>
    </cfRule>
  </conditionalFormatting>
  <conditionalFormatting sqref="AM34">
    <cfRule type="expression" dxfId="11" priority="12">
      <formula>AND($A18&lt;&gt;"",MOD(ROW(),2))</formula>
    </cfRule>
  </conditionalFormatting>
  <conditionalFormatting sqref="AM34">
    <cfRule type="cellIs" dxfId="10" priority="9" operator="equal">
      <formula>#REF!</formula>
    </cfRule>
    <cfRule type="cellIs" dxfId="9" priority="10" operator="greaterThan">
      <formula>#REF!</formula>
    </cfRule>
    <cfRule type="cellIs" dxfId="8" priority="11" operator="lessThan">
      <formula>#REF!</formula>
    </cfRule>
  </conditionalFormatting>
  <conditionalFormatting sqref="AM35">
    <cfRule type="expression" dxfId="7" priority="8">
      <formula>AND($A19&lt;&gt;"",MOD(ROW(),2))</formula>
    </cfRule>
  </conditionalFormatting>
  <conditionalFormatting sqref="AM35">
    <cfRule type="cellIs" dxfId="6" priority="5" operator="equal">
      <formula>#REF!</formula>
    </cfRule>
    <cfRule type="cellIs" dxfId="5" priority="6" operator="greaterThan">
      <formula>#REF!</formula>
    </cfRule>
    <cfRule type="cellIs" dxfId="4" priority="7" operator="lessThan">
      <formula>#REF!</formula>
    </cfRule>
  </conditionalFormatting>
  <conditionalFormatting sqref="AM35">
    <cfRule type="expression" dxfId="3" priority="4">
      <formula>AND($A19&lt;&gt;"",MOD(ROW(),2))</formula>
    </cfRule>
  </conditionalFormatting>
  <conditionalFormatting sqref="AM35">
    <cfRule type="cellIs" dxfId="2" priority="1" operator="equal">
      <formula>#REF!</formula>
    </cfRule>
    <cfRule type="cellIs" dxfId="1" priority="2" operator="greaterThan">
      <formula>#REF!</formula>
    </cfRule>
    <cfRule type="cellIs" dxfId="0" priority="3" operator="lessThan">
      <formula>#REF!</formula>
    </cfRule>
  </conditionalFormatting>
  <hyperlinks>
    <hyperlink ref="H62" r:id="rId1" xr:uid="{00000000-0004-0000-1C00-000000000000}"/>
    <hyperlink ref="H48" r:id="rId2" xr:uid="{00000000-0004-0000-1C00-000001000000}"/>
    <hyperlink ref="H47" r:id="rId3" xr:uid="{00000000-0004-0000-1C00-000002000000}"/>
    <hyperlink ref="H70" r:id="rId4" xr:uid="{00000000-0004-0000-1C00-000003000000}"/>
    <hyperlink ref="H55" r:id="rId5" xr:uid="{00000000-0004-0000-1C00-000004000000}"/>
    <hyperlink ref="H49" r:id="rId6" xr:uid="{00000000-0004-0000-1C00-000005000000}"/>
    <hyperlink ref="H45" r:id="rId7" xr:uid="{00000000-0004-0000-1C00-000006000000}"/>
    <hyperlink ref="H52" r:id="rId8" xr:uid="{00000000-0004-0000-1C00-000007000000}"/>
    <hyperlink ref="H51" r:id="rId9" xr:uid="{00000000-0004-0000-1C00-000008000000}"/>
    <hyperlink ref="H73" r:id="rId10" xr:uid="{00000000-0004-0000-1C00-000009000000}"/>
    <hyperlink ref="H40" r:id="rId11" xr:uid="{00000000-0004-0000-1C00-00000A000000}"/>
    <hyperlink ref="H43" r:id="rId12" xr:uid="{00000000-0004-0000-1C00-00000B000000}"/>
    <hyperlink ref="H44" r:id="rId13" xr:uid="{00000000-0004-0000-1C00-00000C000000}"/>
    <hyperlink ref="H56" r:id="rId14" xr:uid="{00000000-0004-0000-1C00-00000D000000}"/>
    <hyperlink ref="H71" r:id="rId15" xr:uid="{00000000-0004-0000-1C00-00000E000000}"/>
    <hyperlink ref="H77" r:id="rId16" xr:uid="{00000000-0004-0000-1C00-00000F000000}"/>
    <hyperlink ref="H83" r:id="rId17" xr:uid="{00000000-0004-0000-1C00-000010000000}"/>
  </hyperlinks>
  <pageMargins left="0.75" right="0.75" top="1" bottom="1" header="0.5" footer="0.5"/>
  <pageSetup paperSize="9" orientation="portrait" horizontalDpi="4294967292" verticalDpi="4294967292" r:id="rId18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4"/>
  <dimension ref="A1:T58"/>
  <sheetViews>
    <sheetView workbookViewId="0">
      <pane ySplit="1" topLeftCell="A2" activePane="bottomLeft" state="frozen"/>
      <selection pane="bottomLeft" activeCell="J4" sqref="J4"/>
    </sheetView>
  </sheetViews>
  <sheetFormatPr defaultColWidth="8.85546875" defaultRowHeight="15" x14ac:dyDescent="0.25"/>
  <cols>
    <col min="1" max="1" width="10.140625" bestFit="1" customWidth="1"/>
    <col min="2" max="2" width="17.28515625" hidden="1" customWidth="1"/>
    <col min="3" max="3" width="17.7109375" customWidth="1"/>
    <col min="4" max="4" width="9" bestFit="1" customWidth="1"/>
    <col min="5" max="5" width="13.42578125" bestFit="1" customWidth="1"/>
    <col min="6" max="6" width="9" bestFit="1" customWidth="1"/>
    <col min="7" max="7" width="10.5703125" bestFit="1" customWidth="1"/>
    <col min="8" max="8" width="9" bestFit="1" customWidth="1"/>
    <col min="9" max="9" width="12.140625" bestFit="1" customWidth="1"/>
    <col min="10" max="10" width="10.5703125" bestFit="1" customWidth="1"/>
    <col min="12" max="12" width="6.140625" customWidth="1"/>
    <col min="13" max="13" width="9.5703125" bestFit="1" customWidth="1"/>
    <col min="15" max="15" width="11.42578125" bestFit="1" customWidth="1"/>
    <col min="16" max="16" width="9.85546875" bestFit="1" customWidth="1"/>
    <col min="17" max="17" width="12.42578125" bestFit="1" customWidth="1"/>
    <col min="20" max="20" width="9.85546875" bestFit="1" customWidth="1"/>
  </cols>
  <sheetData>
    <row r="1" spans="1:20" x14ac:dyDescent="0.25">
      <c r="C1" s="10">
        <f>C2-6</f>
        <v>2014</v>
      </c>
      <c r="D1" s="25" t="s">
        <v>60</v>
      </c>
      <c r="E1" s="10"/>
      <c r="F1" s="379" t="s">
        <v>61</v>
      </c>
      <c r="G1" s="379"/>
      <c r="H1" s="379"/>
      <c r="I1" s="10"/>
      <c r="J1" s="378" t="s">
        <v>62</v>
      </c>
      <c r="K1" s="378"/>
      <c r="L1" s="378"/>
      <c r="M1" t="s">
        <v>63</v>
      </c>
      <c r="N1" t="s">
        <v>64</v>
      </c>
      <c r="O1" t="s">
        <v>65</v>
      </c>
      <c r="P1" t="s">
        <v>64</v>
      </c>
      <c r="Q1" s="10" t="s">
        <v>66</v>
      </c>
      <c r="R1" s="10" t="s">
        <v>51</v>
      </c>
      <c r="S1" t="s">
        <v>67</v>
      </c>
    </row>
    <row r="2" spans="1:20" x14ac:dyDescent="0.25">
      <c r="A2" t="s">
        <v>68</v>
      </c>
      <c r="C2" s="301">
        <v>2020</v>
      </c>
      <c r="D2" s="25"/>
      <c r="E2" s="301">
        <f>M9</f>
        <v>7000</v>
      </c>
      <c r="F2" s="30">
        <f>C2+1</f>
        <v>2021</v>
      </c>
      <c r="G2" s="30" t="s">
        <v>69</v>
      </c>
      <c r="H2" s="30">
        <f>F2+I2</f>
        <v>2022</v>
      </c>
      <c r="I2" s="301">
        <v>1</v>
      </c>
      <c r="J2" s="26">
        <f t="shared" ref="J2:J7" si="0">H2</f>
        <v>2022</v>
      </c>
      <c r="K2" s="26"/>
      <c r="L2" s="26"/>
      <c r="M2" s="301">
        <f>E2*(100-N2*I2)%</f>
        <v>0</v>
      </c>
      <c r="N2" s="301">
        <v>100</v>
      </c>
      <c r="O2">
        <v>62</v>
      </c>
      <c r="Q2">
        <v>74</v>
      </c>
    </row>
    <row r="3" spans="1:20" x14ac:dyDescent="0.25">
      <c r="A3" t="s">
        <v>70</v>
      </c>
      <c r="C3" s="301"/>
      <c r="D3" s="27">
        <f>J10</f>
        <v>104000</v>
      </c>
      <c r="E3" s="301"/>
      <c r="F3" s="28">
        <f>D3</f>
        <v>104000</v>
      </c>
      <c r="G3" s="28" t="s">
        <v>69</v>
      </c>
      <c r="H3" s="28">
        <f>F3+(4000*(I2*12))</f>
        <v>152000</v>
      </c>
      <c r="I3" s="301"/>
      <c r="J3" s="375">
        <f t="shared" si="0"/>
        <v>152000</v>
      </c>
      <c r="K3" s="375"/>
      <c r="L3" s="375"/>
      <c r="M3" s="301"/>
      <c r="N3" s="301"/>
      <c r="O3">
        <f>(E2*O2%)*I2</f>
        <v>4340</v>
      </c>
      <c r="P3">
        <f>(E2*N2%)*I2</f>
        <v>7000</v>
      </c>
      <c r="Q3">
        <f>(E2*Q2%)*I2</f>
        <v>5180</v>
      </c>
      <c r="R3">
        <f>((250*52)*I2)-O3-P3</f>
        <v>1660</v>
      </c>
      <c r="S3" s="7">
        <f>(P3+Q3)/(I2*12)</f>
        <v>1015</v>
      </c>
    </row>
    <row r="4" spans="1:20" x14ac:dyDescent="0.25">
      <c r="A4" t="s">
        <v>68</v>
      </c>
      <c r="C4" s="301"/>
      <c r="D4" s="25"/>
      <c r="E4" s="301">
        <f>M11</f>
        <v>6000</v>
      </c>
      <c r="F4" s="30">
        <f>C2+1</f>
        <v>2021</v>
      </c>
      <c r="G4" s="30" t="s">
        <v>69</v>
      </c>
      <c r="H4" s="30">
        <f>F4+I4</f>
        <v>2022</v>
      </c>
      <c r="I4" s="301">
        <v>1</v>
      </c>
      <c r="J4" s="26">
        <f t="shared" si="0"/>
        <v>2022</v>
      </c>
      <c r="K4" s="26"/>
      <c r="L4" s="26"/>
      <c r="M4" s="301">
        <f>E4*(100-N4*I4)%</f>
        <v>0</v>
      </c>
      <c r="N4" s="301">
        <v>100</v>
      </c>
      <c r="O4">
        <v>120</v>
      </c>
      <c r="Q4">
        <v>140</v>
      </c>
    </row>
    <row r="5" spans="1:20" x14ac:dyDescent="0.25">
      <c r="A5" t="s">
        <v>70</v>
      </c>
      <c r="C5" s="301"/>
      <c r="D5" s="27">
        <f>J12</f>
        <v>152000</v>
      </c>
      <c r="E5" s="301"/>
      <c r="F5" s="28">
        <f>D5</f>
        <v>152000</v>
      </c>
      <c r="G5" s="28" t="s">
        <v>69</v>
      </c>
      <c r="H5" s="28">
        <f>F5+(4000*(I4*12))</f>
        <v>200000</v>
      </c>
      <c r="I5" s="301"/>
      <c r="J5" s="375">
        <f t="shared" si="0"/>
        <v>200000</v>
      </c>
      <c r="K5" s="375"/>
      <c r="L5" s="375"/>
      <c r="M5" s="301"/>
      <c r="N5" s="301"/>
      <c r="O5">
        <f>(E4*O4%)*I4</f>
        <v>7200</v>
      </c>
      <c r="P5">
        <f>(E4*N4%)*I4</f>
        <v>6000</v>
      </c>
      <c r="Q5">
        <f>(E4*Q4%)*I4</f>
        <v>8400</v>
      </c>
      <c r="R5">
        <f>((250*52)*I4)-O5-P5</f>
        <v>-200</v>
      </c>
      <c r="S5">
        <f>(P5+Q5)/(I4*12)</f>
        <v>1200</v>
      </c>
    </row>
    <row r="6" spans="1:20" x14ac:dyDescent="0.25">
      <c r="A6" t="s">
        <v>68</v>
      </c>
      <c r="C6" s="301"/>
      <c r="D6" s="25"/>
      <c r="E6" s="376">
        <f>M13</f>
        <v>4000</v>
      </c>
      <c r="F6" s="30">
        <f>C2+1</f>
        <v>2021</v>
      </c>
      <c r="G6" s="30" t="s">
        <v>69</v>
      </c>
      <c r="H6" s="30">
        <f>F6+I6</f>
        <v>2022</v>
      </c>
      <c r="I6" s="301">
        <v>1</v>
      </c>
      <c r="J6" s="26">
        <f t="shared" si="0"/>
        <v>2022</v>
      </c>
      <c r="K6" s="26"/>
      <c r="L6" s="26"/>
      <c r="M6" s="301">
        <f>E6*(100-N6*I6)%</f>
        <v>0</v>
      </c>
      <c r="N6" s="301">
        <v>100</v>
      </c>
      <c r="O6">
        <v>108</v>
      </c>
      <c r="Q6">
        <v>84.5</v>
      </c>
    </row>
    <row r="7" spans="1:20" x14ac:dyDescent="0.25">
      <c r="A7" t="s">
        <v>70</v>
      </c>
      <c r="C7" s="301"/>
      <c r="D7" s="27">
        <f>J14</f>
        <v>200000</v>
      </c>
      <c r="E7" s="376"/>
      <c r="F7" s="28">
        <f>D7</f>
        <v>200000</v>
      </c>
      <c r="G7" s="28" t="s">
        <v>69</v>
      </c>
      <c r="H7" s="28">
        <f>F7+(4000*(I6*12))</f>
        <v>248000</v>
      </c>
      <c r="I7" s="301"/>
      <c r="J7" s="375">
        <f t="shared" si="0"/>
        <v>248000</v>
      </c>
      <c r="K7" s="375"/>
      <c r="L7" s="375"/>
      <c r="M7" s="301"/>
      <c r="N7" s="301"/>
      <c r="O7">
        <f>(E6*O6%)*I6</f>
        <v>4320</v>
      </c>
      <c r="P7">
        <f>(E6*N6%)*I6</f>
        <v>4000</v>
      </c>
      <c r="Q7">
        <f>(E6*Q6%)*I6</f>
        <v>3380</v>
      </c>
      <c r="R7">
        <f>((225*52)*I6)-O7-P7</f>
        <v>3380</v>
      </c>
      <c r="S7" s="7">
        <f>(P7+Q7)/(I6*12)</f>
        <v>615</v>
      </c>
      <c r="T7" s="21"/>
    </row>
    <row r="8" spans="1:20" x14ac:dyDescent="0.25">
      <c r="B8" t="s">
        <v>43</v>
      </c>
      <c r="C8" s="301"/>
      <c r="L8" s="20"/>
    </row>
    <row r="9" spans="1:20" x14ac:dyDescent="0.25">
      <c r="A9" t="s">
        <v>68</v>
      </c>
      <c r="C9" s="301"/>
      <c r="D9" s="25"/>
      <c r="E9" s="301">
        <v>14000</v>
      </c>
      <c r="F9" s="30">
        <f>C2</f>
        <v>2020</v>
      </c>
      <c r="G9" s="30" t="s">
        <v>69</v>
      </c>
      <c r="H9" s="30">
        <f>F9+I9</f>
        <v>2021</v>
      </c>
      <c r="I9" s="301">
        <v>1</v>
      </c>
      <c r="J9" s="26">
        <f t="shared" ref="J9:J14" si="1">H9</f>
        <v>2021</v>
      </c>
      <c r="K9" s="26"/>
      <c r="L9" s="26"/>
      <c r="M9" s="301">
        <f>E9*(100-N9*I9)%</f>
        <v>7000</v>
      </c>
      <c r="N9" s="301">
        <v>50</v>
      </c>
      <c r="O9">
        <v>31</v>
      </c>
      <c r="Q9">
        <v>12</v>
      </c>
    </row>
    <row r="10" spans="1:20" x14ac:dyDescent="0.25">
      <c r="A10" t="s">
        <v>70</v>
      </c>
      <c r="C10" s="301"/>
      <c r="D10" s="27">
        <v>56000</v>
      </c>
      <c r="E10" s="301"/>
      <c r="F10" s="28">
        <f>D10</f>
        <v>56000</v>
      </c>
      <c r="G10" s="28" t="s">
        <v>69</v>
      </c>
      <c r="H10" s="28">
        <f>F10+(4000*(I9*12))</f>
        <v>104000</v>
      </c>
      <c r="I10" s="301"/>
      <c r="J10" s="375">
        <f t="shared" si="1"/>
        <v>104000</v>
      </c>
      <c r="K10" s="375"/>
      <c r="L10" s="375"/>
      <c r="M10" s="301"/>
      <c r="N10" s="301"/>
      <c r="O10">
        <f>(E9*O9%)*I9</f>
        <v>4340</v>
      </c>
      <c r="P10">
        <f>(E9*N9%)*I9</f>
        <v>7000</v>
      </c>
      <c r="Q10">
        <f>(E9*Q9%)*I9</f>
        <v>1680</v>
      </c>
      <c r="R10">
        <f>((250*52)*I9)-O10-P10</f>
        <v>1660</v>
      </c>
      <c r="S10" s="7">
        <f>(P10+Q10)/(I9*12)</f>
        <v>723.33333333333337</v>
      </c>
    </row>
    <row r="11" spans="1:20" x14ac:dyDescent="0.25">
      <c r="A11" t="s">
        <v>68</v>
      </c>
      <c r="C11" s="301"/>
      <c r="D11" s="25"/>
      <c r="E11" s="376">
        <v>12000</v>
      </c>
      <c r="F11" s="30">
        <f>C2</f>
        <v>2020</v>
      </c>
      <c r="G11" s="30" t="s">
        <v>69</v>
      </c>
      <c r="H11" s="30">
        <f>F11+I11</f>
        <v>2021</v>
      </c>
      <c r="I11" s="301">
        <v>1</v>
      </c>
      <c r="J11" s="26">
        <f t="shared" si="1"/>
        <v>2021</v>
      </c>
      <c r="K11" s="26"/>
      <c r="L11" s="26"/>
      <c r="M11" s="301">
        <f>E11*(100-N11*I11)%</f>
        <v>6000</v>
      </c>
      <c r="N11" s="301">
        <v>50</v>
      </c>
      <c r="O11">
        <v>36</v>
      </c>
      <c r="Q11">
        <v>22</v>
      </c>
    </row>
    <row r="12" spans="1:20" x14ac:dyDescent="0.25">
      <c r="A12" t="s">
        <v>70</v>
      </c>
      <c r="C12" s="301"/>
      <c r="D12" s="27">
        <v>104000</v>
      </c>
      <c r="E12" s="376"/>
      <c r="F12" s="28">
        <f>D12</f>
        <v>104000</v>
      </c>
      <c r="G12" s="28" t="s">
        <v>69</v>
      </c>
      <c r="H12" s="28">
        <f>F12+(4000*(I11*12))</f>
        <v>152000</v>
      </c>
      <c r="I12" s="301"/>
      <c r="J12" s="375">
        <f t="shared" si="1"/>
        <v>152000</v>
      </c>
      <c r="K12" s="375"/>
      <c r="L12" s="375"/>
      <c r="M12" s="301"/>
      <c r="N12" s="301"/>
      <c r="O12">
        <f>(E11*O11%)*I11</f>
        <v>4320</v>
      </c>
      <c r="P12">
        <f>(E11*N11%)*I11</f>
        <v>6000</v>
      </c>
      <c r="Q12">
        <f>(E11*Q11%)*I11</f>
        <v>2640</v>
      </c>
      <c r="R12">
        <f>((250*52)*I11)-O12-P12</f>
        <v>2680</v>
      </c>
      <c r="S12">
        <f>(P12+Q12)/(I11*12)</f>
        <v>720</v>
      </c>
      <c r="T12" s="21"/>
    </row>
    <row r="13" spans="1:20" x14ac:dyDescent="0.25">
      <c r="A13" t="s">
        <v>68</v>
      </c>
      <c r="C13" s="301"/>
      <c r="D13" s="25"/>
      <c r="E13" s="377">
        <v>8000</v>
      </c>
      <c r="F13" s="30">
        <f>C2</f>
        <v>2020</v>
      </c>
      <c r="G13" s="30" t="s">
        <v>69</v>
      </c>
      <c r="H13" s="30">
        <f>F13+I13</f>
        <v>2021</v>
      </c>
      <c r="I13" s="301">
        <v>1</v>
      </c>
      <c r="J13" s="26">
        <f t="shared" si="1"/>
        <v>2021</v>
      </c>
      <c r="K13" s="26"/>
      <c r="L13" s="26"/>
      <c r="M13" s="301">
        <f>E13*(100-N13*I13)%</f>
        <v>4000</v>
      </c>
      <c r="N13" s="301">
        <v>50</v>
      </c>
      <c r="O13">
        <v>54</v>
      </c>
      <c r="Q13">
        <v>42</v>
      </c>
    </row>
    <row r="14" spans="1:20" x14ac:dyDescent="0.25">
      <c r="A14" t="s">
        <v>70</v>
      </c>
      <c r="C14" s="301"/>
      <c r="D14" s="27">
        <v>152000</v>
      </c>
      <c r="E14" s="377"/>
      <c r="F14" s="28">
        <f>D14</f>
        <v>152000</v>
      </c>
      <c r="G14" s="28" t="s">
        <v>69</v>
      </c>
      <c r="H14" s="28">
        <f>F14+(4000*(I13*12))</f>
        <v>200000</v>
      </c>
      <c r="I14" s="301"/>
      <c r="J14" s="375">
        <f t="shared" si="1"/>
        <v>200000</v>
      </c>
      <c r="K14" s="375"/>
      <c r="L14" s="375"/>
      <c r="M14" s="301"/>
      <c r="N14" s="301"/>
      <c r="O14">
        <f>(E13*O13%)*I13</f>
        <v>4320</v>
      </c>
      <c r="P14">
        <f>(E13*N13%)*I13</f>
        <v>4000</v>
      </c>
      <c r="Q14">
        <f>(E13*Q13%)*I13</f>
        <v>3360</v>
      </c>
      <c r="R14">
        <f>((225*52)-O14-P14)*I13</f>
        <v>3380</v>
      </c>
      <c r="S14" s="7">
        <f>(P14+Q14)/(I13*12)</f>
        <v>613.33333333333337</v>
      </c>
    </row>
    <row r="15" spans="1:20" x14ac:dyDescent="0.25">
      <c r="M15" s="20"/>
    </row>
    <row r="16" spans="1:20" x14ac:dyDescent="0.25">
      <c r="E16" s="29"/>
      <c r="M16" s="20"/>
    </row>
    <row r="17" spans="6:16" x14ac:dyDescent="0.25">
      <c r="G17" s="23"/>
      <c r="M17" s="20"/>
    </row>
    <row r="18" spans="6:16" x14ac:dyDescent="0.25">
      <c r="M18" s="20"/>
    </row>
    <row r="19" spans="6:16" x14ac:dyDescent="0.25">
      <c r="M19" s="20"/>
    </row>
    <row r="21" spans="6:16" x14ac:dyDescent="0.25">
      <c r="K21" t="s">
        <v>71</v>
      </c>
      <c r="L21" t="s">
        <v>51</v>
      </c>
      <c r="N21">
        <f>250*52</f>
        <v>13000</v>
      </c>
      <c r="O21">
        <f>250*52</f>
        <v>13000</v>
      </c>
    </row>
    <row r="22" spans="6:16" x14ac:dyDescent="0.25">
      <c r="L22" t="s">
        <v>20</v>
      </c>
      <c r="M22" s="20">
        <f>220*4</f>
        <v>880</v>
      </c>
    </row>
    <row r="23" spans="6:16" x14ac:dyDescent="0.25">
      <c r="L23" t="s">
        <v>16</v>
      </c>
      <c r="M23">
        <f>200*12</f>
        <v>2400</v>
      </c>
    </row>
    <row r="24" spans="6:16" x14ac:dyDescent="0.25">
      <c r="L24" t="s">
        <v>54</v>
      </c>
      <c r="M24">
        <v>60</v>
      </c>
    </row>
    <row r="25" spans="6:16" x14ac:dyDescent="0.25">
      <c r="L25" t="s">
        <v>72</v>
      </c>
      <c r="M25">
        <v>60</v>
      </c>
    </row>
    <row r="26" spans="6:16" x14ac:dyDescent="0.25">
      <c r="L26" t="s">
        <v>26</v>
      </c>
      <c r="M26">
        <f>150*6</f>
        <v>900</v>
      </c>
    </row>
    <row r="27" spans="6:16" x14ac:dyDescent="0.25">
      <c r="L27" t="s">
        <v>73</v>
      </c>
      <c r="N27" s="22">
        <v>35</v>
      </c>
      <c r="O27" s="22">
        <f>O21*N27%</f>
        <v>4550</v>
      </c>
      <c r="P27" s="22">
        <f>SUM(M22:M26)</f>
        <v>4300</v>
      </c>
    </row>
    <row r="28" spans="6:16" x14ac:dyDescent="0.25">
      <c r="O28" s="22">
        <f>O21-O27</f>
        <v>8450</v>
      </c>
    </row>
    <row r="29" spans="6:16" x14ac:dyDescent="0.25">
      <c r="F29" s="14"/>
      <c r="L29" t="s">
        <v>74</v>
      </c>
      <c r="N29">
        <f>25</f>
        <v>25</v>
      </c>
      <c r="O29">
        <f>O21*N29%</f>
        <v>3250</v>
      </c>
    </row>
    <row r="30" spans="6:16" x14ac:dyDescent="0.25">
      <c r="L30" t="s">
        <v>75</v>
      </c>
      <c r="N30">
        <v>0</v>
      </c>
      <c r="O30">
        <f>O21*N30%</f>
        <v>0</v>
      </c>
    </row>
    <row r="31" spans="6:16" x14ac:dyDescent="0.25">
      <c r="K31" t="s">
        <v>76</v>
      </c>
      <c r="L31" t="s">
        <v>66</v>
      </c>
      <c r="M31" s="23">
        <f>P31/12</f>
        <v>433.33333333333331</v>
      </c>
      <c r="N31">
        <v>40</v>
      </c>
      <c r="O31">
        <f>O21*N31%</f>
        <v>5200</v>
      </c>
      <c r="P31" s="22">
        <f>O28-O29-O30</f>
        <v>5200</v>
      </c>
    </row>
    <row r="33" spans="1:15" x14ac:dyDescent="0.25">
      <c r="L33" t="s">
        <v>77</v>
      </c>
      <c r="N33" s="24">
        <f>N27+N29+N30+N31</f>
        <v>100</v>
      </c>
      <c r="O33" s="22">
        <f>O21-O27-O29-O30-O31</f>
        <v>0</v>
      </c>
    </row>
    <row r="35" spans="1:15" x14ac:dyDescent="0.25">
      <c r="A35" t="s">
        <v>13</v>
      </c>
      <c r="B35" t="s">
        <v>78</v>
      </c>
      <c r="C35" t="s">
        <v>79</v>
      </c>
      <c r="D35" t="s">
        <v>80</v>
      </c>
      <c r="E35" t="s">
        <v>81</v>
      </c>
      <c r="F35" t="s">
        <v>82</v>
      </c>
    </row>
    <row r="36" spans="1:15" x14ac:dyDescent="0.25">
      <c r="A36" t="s">
        <v>83</v>
      </c>
      <c r="B36">
        <f>SUM(B37:B136)</f>
        <v>2127.4699999999998</v>
      </c>
      <c r="D36">
        <f>SUM(D37:D136)</f>
        <v>976.62000000000012</v>
      </c>
      <c r="E36">
        <f>SUM(E37:E136)</f>
        <v>1075.8499999999999</v>
      </c>
      <c r="F36">
        <f>SUM(F37:F136)</f>
        <v>75</v>
      </c>
    </row>
    <row r="37" spans="1:15" x14ac:dyDescent="0.25">
      <c r="B37">
        <f t="shared" ref="B37:B46" si="2">SUM(D37:F37)</f>
        <v>30.13</v>
      </c>
      <c r="C37" t="s">
        <v>84</v>
      </c>
      <c r="D37">
        <v>30.13</v>
      </c>
    </row>
    <row r="38" spans="1:15" x14ac:dyDescent="0.25">
      <c r="B38">
        <f t="shared" si="2"/>
        <v>34.65</v>
      </c>
      <c r="C38" t="s">
        <v>84</v>
      </c>
      <c r="D38">
        <v>34.65</v>
      </c>
    </row>
    <row r="39" spans="1:15" x14ac:dyDescent="0.25">
      <c r="B39">
        <f t="shared" si="2"/>
        <v>194.86</v>
      </c>
      <c r="C39" t="s">
        <v>85</v>
      </c>
      <c r="D39">
        <v>194.86</v>
      </c>
      <c r="F39">
        <v>0</v>
      </c>
    </row>
    <row r="40" spans="1:15" x14ac:dyDescent="0.25">
      <c r="B40">
        <f t="shared" si="2"/>
        <v>8.16</v>
      </c>
      <c r="C40" t="s">
        <v>86</v>
      </c>
      <c r="D40">
        <v>8.16</v>
      </c>
    </row>
    <row r="41" spans="1:15" x14ac:dyDescent="0.25">
      <c r="B41">
        <f t="shared" si="2"/>
        <v>2.0499999999999998</v>
      </c>
      <c r="C41" t="s">
        <v>87</v>
      </c>
      <c r="D41">
        <v>2.0499999999999998</v>
      </c>
    </row>
    <row r="42" spans="1:15" x14ac:dyDescent="0.25">
      <c r="B42">
        <f t="shared" si="2"/>
        <v>3.98</v>
      </c>
      <c r="C42" t="s">
        <v>87</v>
      </c>
      <c r="D42">
        <v>3.98</v>
      </c>
    </row>
    <row r="43" spans="1:15" x14ac:dyDescent="0.25">
      <c r="B43">
        <f t="shared" si="2"/>
        <v>8.5</v>
      </c>
      <c r="C43" t="s">
        <v>87</v>
      </c>
      <c r="D43">
        <v>8.5</v>
      </c>
    </row>
    <row r="44" spans="1:15" x14ac:dyDescent="0.25">
      <c r="B44">
        <f t="shared" si="2"/>
        <v>589.4</v>
      </c>
      <c r="C44" t="s">
        <v>88</v>
      </c>
      <c r="D44">
        <v>589.4</v>
      </c>
      <c r="E44">
        <v>0</v>
      </c>
    </row>
    <row r="45" spans="1:15" x14ac:dyDescent="0.25">
      <c r="B45">
        <f t="shared" si="2"/>
        <v>250</v>
      </c>
      <c r="C45" t="s">
        <v>89</v>
      </c>
      <c r="E45">
        <v>250</v>
      </c>
    </row>
    <row r="46" spans="1:15" x14ac:dyDescent="0.25">
      <c r="B46">
        <f t="shared" si="2"/>
        <v>25.97</v>
      </c>
      <c r="C46" t="s">
        <v>90</v>
      </c>
      <c r="D46">
        <v>25.97</v>
      </c>
    </row>
    <row r="47" spans="1:15" x14ac:dyDescent="0.25">
      <c r="B47">
        <f>SUM(D47:F47)</f>
        <v>900</v>
      </c>
      <c r="C47" t="s">
        <v>91</v>
      </c>
      <c r="E47">
        <v>825</v>
      </c>
      <c r="F47">
        <v>75</v>
      </c>
    </row>
    <row r="48" spans="1:15" x14ac:dyDescent="0.25">
      <c r="B48">
        <f>SUM(D48:F48)</f>
        <v>59.69</v>
      </c>
      <c r="C48" t="s">
        <v>90</v>
      </c>
      <c r="D48">
        <v>59.69</v>
      </c>
    </row>
    <row r="49" spans="1:5" x14ac:dyDescent="0.25">
      <c r="B49">
        <f>SUM(D49:F49)</f>
        <v>19.23</v>
      </c>
      <c r="C49" t="s">
        <v>87</v>
      </c>
      <c r="D49">
        <v>19.23</v>
      </c>
    </row>
    <row r="50" spans="1:5" x14ac:dyDescent="0.25">
      <c r="B50">
        <f>SUM(D50:F50)</f>
        <v>0.85</v>
      </c>
      <c r="C50" t="s">
        <v>87</v>
      </c>
      <c r="E50">
        <v>0.85</v>
      </c>
    </row>
    <row r="54" spans="1:5" x14ac:dyDescent="0.25">
      <c r="A54" s="16">
        <v>44008</v>
      </c>
      <c r="B54" t="s">
        <v>19</v>
      </c>
      <c r="C54">
        <v>8322</v>
      </c>
    </row>
    <row r="55" spans="1:5" x14ac:dyDescent="0.25">
      <c r="A55" s="16">
        <v>43984</v>
      </c>
      <c r="B55" t="s">
        <v>19</v>
      </c>
      <c r="C55">
        <v>840</v>
      </c>
    </row>
    <row r="56" spans="1:5" x14ac:dyDescent="0.25">
      <c r="A56" s="16">
        <v>43980</v>
      </c>
      <c r="B56" t="s">
        <v>103</v>
      </c>
      <c r="C56">
        <v>120</v>
      </c>
      <c r="D56" t="s">
        <v>104</v>
      </c>
    </row>
    <row r="57" spans="1:5" x14ac:dyDescent="0.25">
      <c r="A57" s="16">
        <v>44042</v>
      </c>
      <c r="B57" t="s">
        <v>105</v>
      </c>
      <c r="C57">
        <v>100</v>
      </c>
      <c r="D57" t="s">
        <v>104</v>
      </c>
    </row>
    <row r="58" spans="1:5" x14ac:dyDescent="0.25">
      <c r="A58" s="16">
        <v>44042</v>
      </c>
      <c r="B58" t="s">
        <v>105</v>
      </c>
      <c r="C58">
        <v>64.040000000000006</v>
      </c>
      <c r="D58" t="s">
        <v>106</v>
      </c>
    </row>
  </sheetData>
  <mergeCells count="33">
    <mergeCell ref="I6:I7"/>
    <mergeCell ref="I9:I10"/>
    <mergeCell ref="J1:L1"/>
    <mergeCell ref="F1:H1"/>
    <mergeCell ref="E9:E10"/>
    <mergeCell ref="E2:E3"/>
    <mergeCell ref="E4:E5"/>
    <mergeCell ref="E6:E7"/>
    <mergeCell ref="C2:C14"/>
    <mergeCell ref="M2:M3"/>
    <mergeCell ref="M4:M5"/>
    <mergeCell ref="M6:M7"/>
    <mergeCell ref="J7:L7"/>
    <mergeCell ref="J5:L5"/>
    <mergeCell ref="J3:L3"/>
    <mergeCell ref="E11:E12"/>
    <mergeCell ref="I11:I12"/>
    <mergeCell ref="M11:M12"/>
    <mergeCell ref="J12:L12"/>
    <mergeCell ref="E13:E14"/>
    <mergeCell ref="I13:I14"/>
    <mergeCell ref="M13:M14"/>
    <mergeCell ref="I2:I3"/>
    <mergeCell ref="I4:I5"/>
    <mergeCell ref="J14:L14"/>
    <mergeCell ref="M9:M10"/>
    <mergeCell ref="J10:L10"/>
    <mergeCell ref="N2:N3"/>
    <mergeCell ref="N4:N5"/>
    <mergeCell ref="N6:N7"/>
    <mergeCell ref="N9:N10"/>
    <mergeCell ref="N11:N12"/>
    <mergeCell ref="N13:N14"/>
  </mergeCells>
  <pageMargins left="0.7" right="0.7" top="0.75" bottom="0.75" header="0.3" footer="0.3"/>
  <pageSetup orientation="portrait" horizontalDpi="4294967293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">
    <pageSetUpPr fitToPage="1"/>
  </sheetPr>
  <dimension ref="A1:BA184"/>
  <sheetViews>
    <sheetView zoomScaleNormal="100" workbookViewId="0">
      <pane xSplit="6" ySplit="7" topLeftCell="G42" activePane="bottomRight" state="frozen"/>
      <selection pane="topRight" activeCell="E1" sqref="E1"/>
      <selection pane="bottomLeft" activeCell="A5" sqref="A5"/>
      <selection pane="bottomRight" activeCell="I54" sqref="I54"/>
    </sheetView>
  </sheetViews>
  <sheetFormatPr defaultColWidth="8.85546875" defaultRowHeight="15" x14ac:dyDescent="0.25"/>
  <cols>
    <col min="1" max="1" width="2.42578125" customWidth="1"/>
    <col min="2" max="2" width="19.140625" customWidth="1"/>
    <col min="3" max="3" width="9.42578125" hidden="1" customWidth="1"/>
    <col min="4" max="4" width="13.5703125" hidden="1" customWidth="1"/>
    <col min="5" max="5" width="10.28515625" hidden="1" customWidth="1"/>
    <col min="6" max="6" width="13.140625" hidden="1" customWidth="1"/>
    <col min="7" max="7" width="11.28515625" customWidth="1"/>
    <col min="8" max="8" width="12.5703125" bestFit="1" customWidth="1"/>
    <col min="9" max="9" width="12.28515625" bestFit="1" customWidth="1"/>
    <col min="10" max="10" width="10.7109375" customWidth="1"/>
    <col min="11" max="13" width="11.5703125" bestFit="1" customWidth="1"/>
    <col min="14" max="15" width="10.7109375" customWidth="1"/>
    <col min="16" max="16" width="11.5703125" bestFit="1" customWidth="1"/>
    <col min="17" max="17" width="11.85546875" customWidth="1"/>
    <col min="18" max="28" width="11.5703125" bestFit="1" customWidth="1"/>
    <col min="29" max="29" width="10.5703125" bestFit="1" customWidth="1"/>
    <col min="30" max="30" width="12.5703125" bestFit="1" customWidth="1"/>
    <col min="31" max="31" width="11.5703125" bestFit="1" customWidth="1"/>
    <col min="32" max="32" width="10.5703125" bestFit="1" customWidth="1"/>
    <col min="33" max="33" width="11.5703125" bestFit="1" customWidth="1"/>
    <col min="34" max="35" width="10.5703125" bestFit="1" customWidth="1"/>
    <col min="36" max="38" width="11.5703125" bestFit="1" customWidth="1"/>
    <col min="39" max="39" width="12.140625" customWidth="1"/>
    <col min="40" max="41" width="11.5703125" bestFit="1" customWidth="1"/>
    <col min="42" max="42" width="11.85546875" customWidth="1"/>
    <col min="43" max="45" width="11.5703125" bestFit="1" customWidth="1"/>
    <col min="46" max="46" width="10.5703125" customWidth="1"/>
    <col min="47" max="47" width="10.42578125" customWidth="1"/>
    <col min="48" max="48" width="11" customWidth="1"/>
    <col min="49" max="52" width="10.5703125" bestFit="1" customWidth="1"/>
  </cols>
  <sheetData>
    <row r="1" spans="1:53" x14ac:dyDescent="0.25">
      <c r="B1" s="1" t="s">
        <v>134</v>
      </c>
      <c r="C1" s="1"/>
      <c r="D1" s="1"/>
      <c r="E1" s="1"/>
      <c r="F1" s="1"/>
      <c r="G1" s="300" t="e">
        <f ca="1">(G43+H40)-(H4-H42)+SUM(J1:J3,M1,P1:P3)</f>
        <v>#REF!</v>
      </c>
      <c r="H1" s="301"/>
      <c r="I1" s="176" t="s">
        <v>551</v>
      </c>
      <c r="J1" s="79">
        <f>'Sabbir Bhai'!$Q$1</f>
        <v>8551.1</v>
      </c>
      <c r="K1" s="79"/>
      <c r="L1" s="79" t="s">
        <v>654</v>
      </c>
      <c r="M1" s="2" t="e">
        <f>H12</f>
        <v>#REF!</v>
      </c>
      <c r="O1" s="8" t="s">
        <v>613</v>
      </c>
      <c r="P1" s="2">
        <f>'Sold Cars'!$Q$4+'Sold Cars'!$Y$4</f>
        <v>16953.160000000131</v>
      </c>
      <c r="R1" s="79">
        <v>1034.78</v>
      </c>
      <c r="S1" s="85" t="e">
        <f ca="1">G1-R1</f>
        <v>#REF!</v>
      </c>
    </row>
    <row r="2" spans="1:53" x14ac:dyDescent="0.25">
      <c r="B2" s="2" t="e">
        <f ca="1">H41-H40</f>
        <v>#REF!</v>
      </c>
      <c r="C2" s="2"/>
      <c r="D2" s="2"/>
      <c r="E2" s="2"/>
      <c r="F2" s="2"/>
      <c r="G2" s="300" t="e">
        <f ca="1">G1-SUM(J48:J58)</f>
        <v>#REF!</v>
      </c>
      <c r="H2" s="301"/>
      <c r="I2" s="176" t="s">
        <v>468</v>
      </c>
      <c r="J2" s="79">
        <f>'Piplu Bhai'!$Q$1</f>
        <v>1737.64</v>
      </c>
      <c r="L2" s="79" t="s">
        <v>64</v>
      </c>
      <c r="M2" s="2">
        <f ca="1">H23</f>
        <v>191134.11300000001</v>
      </c>
      <c r="O2" t="s">
        <v>622</v>
      </c>
      <c r="P2" s="2">
        <v>0</v>
      </c>
      <c r="R2" s="85">
        <v>623.41999999999996</v>
      </c>
      <c r="S2" s="85" t="e">
        <f ca="1">G2-R2</f>
        <v>#REF!</v>
      </c>
      <c r="V2" s="2"/>
      <c r="W2" s="112"/>
      <c r="X2" s="2"/>
    </row>
    <row r="3" spans="1:53" x14ac:dyDescent="0.25">
      <c r="B3" s="31">
        <f ca="1">G4-H4</f>
        <v>0</v>
      </c>
      <c r="C3" s="31"/>
      <c r="D3" s="31"/>
      <c r="E3" s="31"/>
      <c r="F3" s="31"/>
      <c r="G3" s="79" t="e">
        <f ca="1">(H4+G1-H42)-(G43+H40)-SUM(J1:J3,M1,P1:P3)</f>
        <v>#REF!</v>
      </c>
      <c r="H3" s="85" t="e">
        <f ca="1">G1-(H40+H42)-G43+H4-SUM(J1:J3,M1,P1:P3)</f>
        <v>#REF!</v>
      </c>
      <c r="I3" s="176" t="s">
        <v>424</v>
      </c>
      <c r="J3" s="79">
        <f>Riad!$Q$1</f>
        <v>146.65000000000123</v>
      </c>
      <c r="L3" s="79"/>
      <c r="M3" s="2"/>
    </row>
    <row r="4" spans="1:53" x14ac:dyDescent="0.25">
      <c r="A4" s="1"/>
      <c r="B4" s="1" t="s">
        <v>213</v>
      </c>
      <c r="C4" s="1"/>
      <c r="D4" s="1"/>
      <c r="E4" s="1"/>
      <c r="F4" s="1"/>
      <c r="G4" s="86">
        <f ca="1">Database!$T$3-R23</f>
        <v>157389.64699999997</v>
      </c>
      <c r="H4" s="226">
        <f ca="1">SUM(I4:VZ4)-M2</f>
        <v>157389.647</v>
      </c>
      <c r="I4" s="75">
        <f>-I21+SUMIFS('Other Expense'!$G$8:$G$2966,'Other Expense'!$F$8:$F$2966,"&gt;="&amp;I7,'Other Expense'!$F$8:$F$2966,"&lt;="&amp;EOMONTH(I7,0),'Other Expense'!$H$8:$H$2966,"Cost Of Goods")</f>
        <v>0</v>
      </c>
      <c r="J4" s="75">
        <f>-J21+SUMIFS('Other Expense'!$G$8:$G$2966,'Other Expense'!$F$8:$F$2966,"&gt;="&amp;J7,'Other Expense'!$F$8:$F$2966,"&lt;="&amp;EOMONTH(J7,0),'Other Expense'!$H$8:$H$2966,"Cost Of Goods")</f>
        <v>9627.1</v>
      </c>
      <c r="K4" s="75">
        <f>-K21+SUMIFS('Other Expense'!$G$8:$G$2966,'Other Expense'!$F$8:$F$2966,"&gt;="&amp;K7,'Other Expense'!$F$8:$F$2966,"&lt;="&amp;EOMONTH(K7,0),'Other Expense'!$H$8:$H$2966,"Cost Of Goods")</f>
        <v>13452.7</v>
      </c>
      <c r="L4" s="75">
        <f>-L21+SUMIFS('Other Expense'!$G$8:$G$2966,'Other Expense'!$F$8:$F$2966,"&gt;="&amp;L7,'Other Expense'!$F$8:$F$2966,"&lt;="&amp;EOMONTH(L7,0),'Other Expense'!$H$8:$H$2966,"Cost Of Goods")</f>
        <v>334.7</v>
      </c>
      <c r="M4" s="75">
        <f>-M21+SUMIFS('Other Expense'!$G$8:$G$2966,'Other Expense'!$F$8:$F$2966,"&gt;="&amp;M7,'Other Expense'!$F$8:$F$2966,"&lt;="&amp;EOMONTH(M7,0),'Other Expense'!$H$8:$H$2966,"Cost Of Goods")</f>
        <v>11500</v>
      </c>
      <c r="N4" s="75">
        <f>-N21+SUMIFS('Other Expense'!$G$8:$G$2966,'Other Expense'!$F$8:$F$2966,"&gt;="&amp;N7,'Other Expense'!$F$8:$F$2966,"&lt;="&amp;EOMONTH(N7,0),'Other Expense'!$H$8:$H$2966,"Cost Of Goods")</f>
        <v>0</v>
      </c>
      <c r="O4" s="75">
        <f>-O21+SUMIFS('Other Expense'!$G$8:$G$2966,'Other Expense'!$F$8:$F$2966,"&gt;="&amp;O7,'Other Expense'!$F$8:$F$2966,"&lt;="&amp;EOMONTH(O7,0),'Other Expense'!$H$8:$H$2966,"Cost Of Goods")</f>
        <v>0</v>
      </c>
      <c r="P4" s="75">
        <f>-P21+SUMIFS('Other Expense'!$G$8:$G$2966,'Other Expense'!$F$8:$F$2966,"&gt;="&amp;P7,'Other Expense'!$F$8:$F$2966,"&lt;="&amp;EOMONTH(P7,0),'Other Expense'!$H$8:$H$2966,"Cost Of Goods")</f>
        <v>0</v>
      </c>
      <c r="Q4" s="75">
        <f>-Q21+SUMIFS('Other Expense'!$G$8:$G$2966,'Other Expense'!$F$8:$F$2966,"&gt;="&amp;Q7,'Other Expense'!$F$8:$F$2966,"&lt;="&amp;EOMONTH(Q7,0),'Other Expense'!$H$8:$H$2966,"Cost Of Goods")</f>
        <v>13864.7</v>
      </c>
      <c r="R4" s="75">
        <f>-R21+SUMIFS('Other Expense'!$G$8:$G$2966,'Other Expense'!$F$8:$F$2966,"&gt;="&amp;R7,'Other Expense'!$F$8:$F$2966,"&lt;="&amp;EOMONTH(R7,0),'Other Expense'!$H$8:$H$2966,"Cost Of Goods")</f>
        <v>80.63</v>
      </c>
      <c r="S4" s="75">
        <f>-S21+SUMIFS('Other Expense'!$G$8:$G$2966,'Other Expense'!$F$8:$F$2966,"&gt;="&amp;S7,'Other Expense'!$F$8:$F$2966,"&lt;="&amp;EOMONTH(S7,0),'Other Expense'!$H$8:$H$2966,"Cost Of Goods")</f>
        <v>38330.6</v>
      </c>
      <c r="T4" s="75">
        <f>-T21+SUMIFS('Other Expense'!$G$8:$G$2966,'Other Expense'!$F$8:$F$2966,"&gt;="&amp;T7,'Other Expense'!$F$8:$F$2966,"&lt;="&amp;EOMONTH(T7,0),'Other Expense'!$H$8:$H$2966,"Cost Of Goods")</f>
        <v>6310.92</v>
      </c>
      <c r="U4" s="75">
        <f>-U21+SUMIFS('Other Expense'!$G$8:$G$2966,'Other Expense'!$F$8:$F$2966,"&gt;="&amp;U7,'Other Expense'!$F$8:$F$2966,"&lt;="&amp;EOMONTH(U7,0),'Other Expense'!$H$8:$H$2966,"Cost Of Goods")</f>
        <v>88</v>
      </c>
      <c r="V4" s="75">
        <f>-V21+SUMIFS('Other Expense'!$G$8:$G$2966,'Other Expense'!$F$8:$F$2966,"&gt;="&amp;V7,'Other Expense'!$F$8:$F$2966,"&lt;="&amp;EOMONTH(V7,0),'Other Expense'!$H$8:$H$2966,"Cost Of Goods")</f>
        <v>2741</v>
      </c>
      <c r="W4" s="75">
        <f>-W21+SUMIFS('Other Expense'!$G$8:$G$2966,'Other Expense'!$F$8:$F$2966,"&gt;="&amp;W7,'Other Expense'!$F$8:$F$2966,"&lt;="&amp;EOMONTH(W7,0),'Other Expense'!$H$8:$H$2966,"Cost Of Goods")</f>
        <v>3907.41</v>
      </c>
      <c r="X4" s="75">
        <f>-X21+SUMIFS('Other Expense'!$G$8:$G$2966,'Other Expense'!$F$8:$F$2966,"&gt;="&amp;X7,'Other Expense'!$F$8:$F$2966,"&lt;="&amp;EOMONTH(X7,0),'Other Expense'!$H$8:$H$2966,"Cost Of Goods")</f>
        <v>1307.8800000000001</v>
      </c>
      <c r="Y4" s="75">
        <f>-Y21+SUMIFS('Other Expense'!$G$8:$G$2966,'Other Expense'!$F$8:$F$2966,"&gt;="&amp;Y7,'Other Expense'!$F$8:$F$2966,"&lt;="&amp;EOMONTH(Y7,0),'Other Expense'!$H$8:$H$2966,"Cost Of Goods")</f>
        <v>1465.5</v>
      </c>
      <c r="Z4" s="75">
        <f>-Z21+SUMIFS('Other Expense'!$G$8:$G$2966,'Other Expense'!$F$8:$F$2966,"&gt;="&amp;Z7,'Other Expense'!$F$8:$F$2966,"&lt;="&amp;EOMONTH(Z7,0),'Other Expense'!$H$8:$H$2966,"Cost Of Goods")</f>
        <v>9300.42</v>
      </c>
      <c r="AA4" s="75">
        <f>-AA21+SUMIFS('Other Expense'!$G$8:$G$2966,'Other Expense'!$F$8:$F$2966,"&gt;="&amp;AA7,'Other Expense'!$F$8:$F$2966,"&lt;="&amp;EOMONTH(AA7,0),'Other Expense'!$H$8:$H$2966,"Cost Of Goods")</f>
        <v>6939.4599999999991</v>
      </c>
      <c r="AB4" s="75">
        <f>-AB21+SUMIFS('Other Expense'!$G$8:$G$2966,'Other Expense'!$F$8:$F$2966,"&gt;="&amp;AB7,'Other Expense'!$F$8:$F$2966,"&lt;="&amp;EOMONTH(AB7,0),'Other Expense'!$H$8:$H$2966,"Cost Of Goods")</f>
        <v>6596.4</v>
      </c>
      <c r="AC4" s="75">
        <f>-AC21+SUMIFS('Other Expense'!$G$8:$G$2966,'Other Expense'!$F$8:$F$2966,"&gt;="&amp;AC7,'Other Expense'!$F$8:$F$2966,"&lt;="&amp;EOMONTH(AC7,0),'Other Expense'!$H$8:$H$2966,"Cost Of Goods")</f>
        <v>10700</v>
      </c>
      <c r="AD4" s="75">
        <f>-AD21+SUMIFS('Other Expense'!$G$8:$G$2966,'Other Expense'!$F$8:$F$2966,"&gt;="&amp;AD7,'Other Expense'!$F$8:$F$2966,"&lt;="&amp;EOMONTH(AD7,0),'Other Expense'!$H$8:$H$2966,"Cost Of Goods")</f>
        <v>20235.57</v>
      </c>
      <c r="AE4" s="75">
        <f>-AE21+SUMIFS('Other Expense'!$G$8:$G$2966,'Other Expense'!$F$8:$F$2966,"&gt;="&amp;AE7,'Other Expense'!$F$8:$F$2966,"&lt;="&amp;EOMONTH(AE7,0),'Other Expense'!$H$8:$H$2966,"Cost Of Goods")</f>
        <v>3599.04</v>
      </c>
      <c r="AF4" s="75">
        <f>-AF21+SUMIFS('Other Expense'!$G$8:$G$2966,'Other Expense'!$F$8:$F$2966,"&gt;="&amp;AF7,'Other Expense'!$F$8:$F$2966,"&lt;="&amp;EOMONTH(AF7,0),'Other Expense'!$H$8:$H$2966,"Cost Of Goods")</f>
        <v>54455.28</v>
      </c>
      <c r="AG4" s="75">
        <f>-AG21+SUMIFS('Other Expense'!$G$8:$G$2966,'Other Expense'!$F$8:$F$2966,"&gt;="&amp;AG7,'Other Expense'!$F$8:$F$2966,"&lt;="&amp;EOMONTH(AG7,0),'Other Expense'!$H$8:$H$2966,"Cost Of Goods")</f>
        <v>28972.699999999997</v>
      </c>
      <c r="AH4" s="75">
        <f>-AH21+SUMIFS('Other Expense'!$G$8:$G$2966,'Other Expense'!$F$8:$F$2966,"&gt;="&amp;AH7,'Other Expense'!$F$8:$F$2966,"&lt;="&amp;EOMONTH(AH7,0),'Other Expense'!$H$8:$H$2966,"Cost Of Goods")</f>
        <v>7809.84</v>
      </c>
      <c r="AI4" s="75">
        <f>-AI21+SUMIFS('Other Expense'!$G$8:$G$2966,'Other Expense'!$F$8:$F$2966,"&gt;="&amp;AI7,'Other Expense'!$F$8:$F$2966,"&lt;="&amp;EOMONTH(AI7,0),'Other Expense'!$H$8:$H$2966,"Cost Of Goods")</f>
        <v>4867.13</v>
      </c>
      <c r="AJ4" s="75">
        <f>-AJ21+SUMIFS('Other Expense'!$G$8:$G$2966,'Other Expense'!$F$8:$F$2966,"&gt;="&amp;AJ7,'Other Expense'!$F$8:$F$2966,"&lt;="&amp;EOMONTH(AJ7,0),'Other Expense'!$H$8:$H$2966,"Cost Of Goods")</f>
        <v>16243.939999999999</v>
      </c>
      <c r="AK4" s="75">
        <f>-AK21+SUMIFS('Other Expense'!$G$8:$G$2966,'Other Expense'!$F$8:$F$2966,"&gt;="&amp;AK7,'Other Expense'!$F$8:$F$2966,"&lt;="&amp;EOMONTH(AK7,0),'Other Expense'!$H$8:$H$2966,"Cost Of Goods")</f>
        <v>3228.5</v>
      </c>
      <c r="AL4" s="75">
        <f>-AL21+SUMIFS('Other Expense'!$G$8:$G$2966,'Other Expense'!$F$8:$F$2966,"&gt;="&amp;AL7,'Other Expense'!$F$8:$F$2966,"&lt;="&amp;EOMONTH(AL7,0),'Other Expense'!$H$8:$H$2966,"Cost Of Goods")</f>
        <v>300</v>
      </c>
      <c r="AM4" s="75">
        <f>-AM21+SUMIFS('Other Expense'!$G$8:$G$2966,'Other Expense'!$F$8:$F$2966,"&gt;="&amp;AM7,'Other Expense'!$F$8:$F$2966,"&lt;="&amp;EOMONTH(AM7,0),'Other Expense'!$H$8:$H$2966,"Cost Of Goods")</f>
        <v>440.24</v>
      </c>
      <c r="AN4" s="75">
        <f>-AN21+SUMIFS('Other Expense'!$G$8:$G$2966,'Other Expense'!$F$8:$F$2966,"&gt;="&amp;AN7,'Other Expense'!$F$8:$F$2966,"&lt;="&amp;EOMONTH(AN7,0),'Other Expense'!$H$8:$H$2966,"Cost Of Goods")</f>
        <v>8256.01</v>
      </c>
      <c r="AO4" s="75">
        <f>-AO21+SUMIFS('Other Expense'!$G$8:$G$2966,'Other Expense'!$F$8:$F$2966,"&gt;="&amp;AO7,'Other Expense'!$F$8:$F$2966,"&lt;="&amp;EOMONTH(AO7,0),'Other Expense'!$H$8:$H$2966,"Cost Of Goods")</f>
        <v>2330</v>
      </c>
      <c r="AP4" s="75">
        <f>-AP21+SUMIFS('Other Expense'!$G$8:$G$2966,'Other Expense'!$F$8:$F$2966,"&gt;="&amp;AP7,'Other Expense'!$F$8:$F$2966,"&lt;="&amp;EOMONTH(AP7,0),'Other Expense'!$H$8:$H$2966,"Cost Of Goods")</f>
        <v>8684.98</v>
      </c>
      <c r="AQ4" s="75">
        <f>-AQ21+SUMIFS('Other Expense'!$G$8:$G$2966,'Other Expense'!$F$8:$F$2966,"&gt;="&amp;AQ7,'Other Expense'!$F$8:$F$2966,"&lt;="&amp;EOMONTH(AQ7,0),'Other Expense'!$H$8:$H$2966,"Cost Of Goods")</f>
        <v>1202.19</v>
      </c>
      <c r="AR4" s="75">
        <f>-AR21+SUMIFS('Other Expense'!$G$8:$G$2966,'Other Expense'!$F$8:$F$2966,"&gt;="&amp;AR7,'Other Expense'!$F$8:$F$2966,"&lt;="&amp;EOMONTH(AR7,0),'Other Expense'!$H$8:$H$2966,"Cost Of Goods")</f>
        <v>2752.69</v>
      </c>
      <c r="AS4" s="75">
        <f>-AS21+SUMIFS('Other Expense'!$G$8:$G$2966,'Other Expense'!$F$8:$F$2966,"&gt;="&amp;AS7,'Other Expense'!$F$8:$F$2966,"&lt;="&amp;EOMONTH(AS7,0),'Other Expense'!$H$8:$H$2966,"Cost Of Goods")</f>
        <v>4199.17</v>
      </c>
      <c r="AT4" s="75">
        <f>-AT21+SUMIFS('Other Expense'!$G$8:$G$2966,'Other Expense'!$F$8:$F$2966,"&gt;="&amp;AT7,'Other Expense'!$F$8:$F$2966,"&lt;="&amp;EOMONTH(AT7,0),'Other Expense'!$H$8:$H$2966,"Cost Of Goods")</f>
        <v>13716.66</v>
      </c>
      <c r="AU4" s="75">
        <f>-AU21+SUMIFS('Other Expense'!$G$8:$G$2966,'Other Expense'!$F$8:$F$2966,"&gt;="&amp;AU7,'Other Expense'!$F$8:$F$2966,"&lt;="&amp;EOMONTH(AU7,0),'Other Expense'!$H$8:$H$2966,"Cost Of Goods")</f>
        <v>6229.6900000000005</v>
      </c>
      <c r="AV4" s="75">
        <f>-AV21+SUMIFS('Other Expense'!$G$8:$G$2966,'Other Expense'!$F$8:$F$2966,"&gt;="&amp;AV7,'Other Expense'!$F$8:$F$2966,"&lt;="&amp;EOMONTH(AV7,0),'Other Expense'!$H$8:$H$2966,"Cost Of Goods")</f>
        <v>1313.5800000000002</v>
      </c>
      <c r="AW4" s="75">
        <f>-AW21+SUMIFS('Other Expense'!$G$8:$G$2966,'Other Expense'!$F$8:$F$2966,"&gt;="&amp;AW7,'Other Expense'!$F$8:$F$2966,"&lt;="&amp;EOMONTH(AW7,0),'Other Expense'!$H$8:$H$2966,"Cost Of Goods")</f>
        <v>11744.83</v>
      </c>
      <c r="AX4" s="75">
        <f>-AX21+SUMIFS('Other Expense'!$G$8:$G$2966,'Other Expense'!$F$8:$F$2966,"&gt;="&amp;AX7,'Other Expense'!$F$8:$F$2966,"&lt;="&amp;EOMONTH(AX7,0),'Other Expense'!$H$8:$H$2966,"Cost Of Goods")</f>
        <v>2914.77</v>
      </c>
      <c r="AY4" s="75">
        <f>-AY21+SUMIFS('Other Expense'!$G$8:$G$2966,'Other Expense'!$F$8:$F$2966,"&gt;="&amp;AY7,'Other Expense'!$F$8:$F$2966,"&lt;="&amp;EOMONTH(AY7,0),'Other Expense'!$H$8:$H$2966,"Cost Of Goods")</f>
        <v>1453.12</v>
      </c>
      <c r="AZ4" s="75">
        <f>-AZ21+SUMIFS('Other Expense'!$G$8:$G$2966,'Other Expense'!$F$8:$F$2966,"&gt;="&amp;AZ7,'Other Expense'!$F$8:$F$2966,"&lt;="&amp;EOMONTH(AZ7,0),'Other Expense'!$H$8:$H$2966,"Cost Of Goods")</f>
        <v>10493.83</v>
      </c>
      <c r="BA4" s="75">
        <f>-BA21+SUMIFS('Other Expense'!$G$8:$G$2966,'Other Expense'!$F$8:$F$2966,"&gt;="&amp;BA7,'Other Expense'!$F$8:$F$2966,"&lt;="&amp;EOMONTH(BA7,0),'Other Expense'!$H$8:$H$2966,"Cost Of Goods")</f>
        <v>-3467.4199999999996</v>
      </c>
    </row>
    <row r="5" spans="1:53" ht="15" customHeight="1" x14ac:dyDescent="0.25">
      <c r="B5" s="191"/>
      <c r="C5" s="306" t="s">
        <v>645</v>
      </c>
      <c r="D5" s="306"/>
      <c r="E5" s="306" t="s">
        <v>646</v>
      </c>
      <c r="F5" s="306"/>
      <c r="G5" s="191"/>
      <c r="H5" s="192"/>
      <c r="I5" s="302" t="s">
        <v>207</v>
      </c>
      <c r="J5" s="303"/>
      <c r="K5" s="303"/>
      <c r="L5" s="303"/>
      <c r="M5" s="303"/>
      <c r="N5" s="303"/>
      <c r="O5" s="303"/>
      <c r="P5" s="303"/>
      <c r="Q5" s="303"/>
      <c r="R5" s="303"/>
      <c r="S5" s="303" t="s">
        <v>416</v>
      </c>
      <c r="T5" s="303"/>
      <c r="U5" s="303"/>
      <c r="V5" s="303"/>
      <c r="W5" s="303"/>
      <c r="X5" s="303"/>
      <c r="Y5" s="303"/>
      <c r="Z5" s="303"/>
      <c r="AA5" s="303"/>
      <c r="AB5" s="303"/>
      <c r="AC5" s="303"/>
      <c r="AD5" s="303"/>
      <c r="AE5" s="303" t="s">
        <v>840</v>
      </c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8"/>
    </row>
    <row r="6" spans="1:53" ht="15" customHeight="1" x14ac:dyDescent="0.25">
      <c r="B6" s="191"/>
      <c r="C6" s="306"/>
      <c r="D6" s="306"/>
      <c r="E6" s="306"/>
      <c r="F6" s="306"/>
      <c r="G6" s="191"/>
      <c r="H6" s="192"/>
      <c r="I6" s="304"/>
      <c r="J6" s="305"/>
      <c r="K6" s="305"/>
      <c r="L6" s="305"/>
      <c r="M6" s="305"/>
      <c r="N6" s="305"/>
      <c r="O6" s="305"/>
      <c r="P6" s="305"/>
      <c r="Q6" s="305"/>
      <c r="R6" s="305"/>
      <c r="S6" s="305"/>
      <c r="T6" s="305"/>
      <c r="U6" s="305"/>
      <c r="V6" s="305"/>
      <c r="W6" s="305"/>
      <c r="X6" s="305"/>
      <c r="Y6" s="305"/>
      <c r="Z6" s="305"/>
      <c r="AA6" s="305"/>
      <c r="AB6" s="305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9"/>
    </row>
    <row r="7" spans="1:53" x14ac:dyDescent="0.25">
      <c r="A7" s="1"/>
      <c r="B7" s="4"/>
      <c r="C7" s="38" t="s">
        <v>132</v>
      </c>
      <c r="D7" s="38" t="s">
        <v>83</v>
      </c>
      <c r="E7" s="38" t="s">
        <v>132</v>
      </c>
      <c r="F7" s="38" t="s">
        <v>83</v>
      </c>
      <c r="G7" s="38" t="s">
        <v>132</v>
      </c>
      <c r="H7" s="38" t="s">
        <v>50</v>
      </c>
      <c r="I7" s="39">
        <v>43709</v>
      </c>
      <c r="J7" s="39">
        <v>43739</v>
      </c>
      <c r="K7" s="39">
        <v>43770</v>
      </c>
      <c r="L7" s="39">
        <v>43800</v>
      </c>
      <c r="M7" s="39">
        <v>43831</v>
      </c>
      <c r="N7" s="39">
        <v>43862</v>
      </c>
      <c r="O7" s="39">
        <v>43891</v>
      </c>
      <c r="P7" s="39">
        <v>43922</v>
      </c>
      <c r="Q7" s="39">
        <v>43952</v>
      </c>
      <c r="R7" s="39">
        <v>43983</v>
      </c>
      <c r="S7" s="39">
        <v>44013</v>
      </c>
      <c r="T7" s="39">
        <v>44044</v>
      </c>
      <c r="U7" s="39">
        <v>44075</v>
      </c>
      <c r="V7" s="39">
        <v>44105</v>
      </c>
      <c r="W7" s="39">
        <v>44136</v>
      </c>
      <c r="X7" s="39">
        <v>44166</v>
      </c>
      <c r="Y7" s="39">
        <v>44197</v>
      </c>
      <c r="Z7" s="39">
        <v>44228</v>
      </c>
      <c r="AA7" s="39">
        <v>44256</v>
      </c>
      <c r="AB7" s="39">
        <v>44287</v>
      </c>
      <c r="AC7" s="39">
        <v>44317</v>
      </c>
      <c r="AD7" s="39">
        <v>44348</v>
      </c>
      <c r="AE7" s="39">
        <v>44378</v>
      </c>
      <c r="AF7" s="39">
        <v>44409</v>
      </c>
      <c r="AG7" s="39">
        <v>44440</v>
      </c>
      <c r="AH7" s="39">
        <v>44470</v>
      </c>
      <c r="AI7" s="39">
        <v>44501</v>
      </c>
      <c r="AJ7" s="39">
        <v>44531</v>
      </c>
      <c r="AK7" s="39">
        <v>44562</v>
      </c>
      <c r="AL7" s="39">
        <v>44593</v>
      </c>
      <c r="AM7" s="39">
        <v>44621</v>
      </c>
      <c r="AN7" s="39">
        <v>44652</v>
      </c>
      <c r="AO7" s="39">
        <v>44682</v>
      </c>
      <c r="AP7" s="39">
        <v>44713</v>
      </c>
      <c r="AQ7" s="39">
        <v>44743</v>
      </c>
      <c r="AR7" s="39">
        <v>44774</v>
      </c>
      <c r="AS7" s="39">
        <v>44805</v>
      </c>
      <c r="AT7" s="39">
        <v>44835</v>
      </c>
      <c r="AU7" s="39">
        <v>44866</v>
      </c>
      <c r="AV7" s="39">
        <v>44896</v>
      </c>
      <c r="AW7" s="39">
        <v>44927</v>
      </c>
      <c r="AX7" s="39">
        <v>44958</v>
      </c>
      <c r="AY7" s="39">
        <v>44986</v>
      </c>
      <c r="AZ7" s="39">
        <v>45017</v>
      </c>
      <c r="BA7" s="39">
        <v>45047</v>
      </c>
    </row>
    <row r="8" spans="1:53" ht="15.75" x14ac:dyDescent="0.25">
      <c r="B8" s="59" t="s">
        <v>51</v>
      </c>
      <c r="C8" s="59"/>
      <c r="D8" s="109" t="e">
        <f>SUM(I8:R8)</f>
        <v>#REF!</v>
      </c>
      <c r="E8" s="59"/>
      <c r="F8" s="109" t="e">
        <f>SUM(S8:AD8)</f>
        <v>#REF!</v>
      </c>
      <c r="G8" s="59"/>
      <c r="H8" s="109" t="e">
        <f>SUM(I8:AAD8)</f>
        <v>#REF!</v>
      </c>
      <c r="I8" s="109" t="e">
        <f>SUM(I13,I14:I15)</f>
        <v>#REF!</v>
      </c>
      <c r="J8" s="109" t="e">
        <f>SUM(J13,J14:J15)</f>
        <v>#REF!</v>
      </c>
      <c r="K8" s="109" t="e">
        <f t="shared" ref="K8:AD8" si="0">SUM(K13,K14:K15)</f>
        <v>#REF!</v>
      </c>
      <c r="L8" s="109" t="e">
        <f t="shared" si="0"/>
        <v>#REF!</v>
      </c>
      <c r="M8" s="109" t="e">
        <f t="shared" si="0"/>
        <v>#REF!</v>
      </c>
      <c r="N8" s="109" t="e">
        <f t="shared" si="0"/>
        <v>#REF!</v>
      </c>
      <c r="O8" s="109" t="e">
        <f t="shared" si="0"/>
        <v>#REF!</v>
      </c>
      <c r="P8" s="109" t="e">
        <f t="shared" si="0"/>
        <v>#REF!</v>
      </c>
      <c r="Q8" s="109" t="e">
        <f t="shared" si="0"/>
        <v>#REF!</v>
      </c>
      <c r="R8" s="109" t="e">
        <f t="shared" si="0"/>
        <v>#REF!</v>
      </c>
      <c r="S8" s="109" t="e">
        <f t="shared" si="0"/>
        <v>#REF!</v>
      </c>
      <c r="T8" s="109" t="e">
        <f t="shared" si="0"/>
        <v>#REF!</v>
      </c>
      <c r="U8" s="109" t="e">
        <f t="shared" si="0"/>
        <v>#REF!</v>
      </c>
      <c r="V8" s="109" t="e">
        <f t="shared" si="0"/>
        <v>#REF!</v>
      </c>
      <c r="W8" s="109" t="e">
        <f t="shared" si="0"/>
        <v>#REF!</v>
      </c>
      <c r="X8" s="109" t="e">
        <f t="shared" si="0"/>
        <v>#REF!</v>
      </c>
      <c r="Y8" s="109" t="e">
        <f t="shared" si="0"/>
        <v>#REF!</v>
      </c>
      <c r="Z8" s="109" t="e">
        <f t="shared" si="0"/>
        <v>#REF!</v>
      </c>
      <c r="AA8" s="109" t="e">
        <f t="shared" si="0"/>
        <v>#REF!</v>
      </c>
      <c r="AB8" s="109" t="e">
        <f t="shared" si="0"/>
        <v>#REF!</v>
      </c>
      <c r="AC8" s="109" t="e">
        <f t="shared" si="0"/>
        <v>#REF!</v>
      </c>
      <c r="AD8" s="109" t="e">
        <f t="shared" si="0"/>
        <v>#REF!</v>
      </c>
      <c r="AE8" s="109" t="e">
        <f t="shared" ref="AE8:BA8" si="1">SUM(AE13,AE14:AE15)</f>
        <v>#REF!</v>
      </c>
      <c r="AF8" s="109" t="e">
        <f t="shared" si="1"/>
        <v>#REF!</v>
      </c>
      <c r="AG8" s="109" t="e">
        <f t="shared" si="1"/>
        <v>#REF!</v>
      </c>
      <c r="AH8" s="109" t="e">
        <f t="shared" si="1"/>
        <v>#REF!</v>
      </c>
      <c r="AI8" s="109" t="e">
        <f t="shared" si="1"/>
        <v>#REF!</v>
      </c>
      <c r="AJ8" s="109" t="e">
        <f t="shared" si="1"/>
        <v>#REF!</v>
      </c>
      <c r="AK8" s="109" t="e">
        <f t="shared" si="1"/>
        <v>#REF!</v>
      </c>
      <c r="AL8" s="109" t="e">
        <f t="shared" si="1"/>
        <v>#REF!</v>
      </c>
      <c r="AM8" s="109" t="e">
        <f t="shared" si="1"/>
        <v>#REF!</v>
      </c>
      <c r="AN8" s="109" t="e">
        <f t="shared" si="1"/>
        <v>#REF!</v>
      </c>
      <c r="AO8" s="109" t="e">
        <f t="shared" si="1"/>
        <v>#REF!</v>
      </c>
      <c r="AP8" s="109" t="e">
        <f t="shared" si="1"/>
        <v>#REF!</v>
      </c>
      <c r="AQ8" s="109" t="e">
        <f t="shared" si="1"/>
        <v>#REF!</v>
      </c>
      <c r="AR8" s="109" t="e">
        <f t="shared" si="1"/>
        <v>#REF!</v>
      </c>
      <c r="AS8" s="109" t="e">
        <f t="shared" si="1"/>
        <v>#REF!</v>
      </c>
      <c r="AT8" s="109" t="e">
        <f t="shared" si="1"/>
        <v>#REF!</v>
      </c>
      <c r="AU8" s="109" t="e">
        <f t="shared" si="1"/>
        <v>#REF!</v>
      </c>
      <c r="AV8" s="109" t="e">
        <f t="shared" si="1"/>
        <v>#REF!</v>
      </c>
      <c r="AW8" s="109" t="e">
        <f t="shared" si="1"/>
        <v>#REF!</v>
      </c>
      <c r="AX8" s="109" t="e">
        <f t="shared" si="1"/>
        <v>#REF!</v>
      </c>
      <c r="AY8" s="109" t="e">
        <f t="shared" si="1"/>
        <v>#REF!</v>
      </c>
      <c r="AZ8" s="109" t="e">
        <f t="shared" si="1"/>
        <v>#REF!</v>
      </c>
      <c r="BA8" s="109" t="e">
        <f t="shared" si="1"/>
        <v>#REF!</v>
      </c>
    </row>
    <row r="9" spans="1:53" x14ac:dyDescent="0.25">
      <c r="B9" s="5" t="s">
        <v>118</v>
      </c>
      <c r="C9" s="69" t="str">
        <f>IFERROR(D9/$H$8,"")</f>
        <v/>
      </c>
      <c r="D9" s="109" t="e">
        <f t="shared" ref="D9:D39" si="2">SUM(I9:R9)</f>
        <v>#REF!</v>
      </c>
      <c r="E9" s="69" t="str">
        <f>IFERROR(F9/$H$8,"")</f>
        <v/>
      </c>
      <c r="F9" s="109" t="e">
        <f t="shared" ref="F9:F38" si="3">SUM(S9:AD9)</f>
        <v>#REF!</v>
      </c>
      <c r="G9" s="69" t="str">
        <f>IFERROR(H9/$H$8,"")</f>
        <v/>
      </c>
      <c r="H9" s="109" t="e">
        <f t="shared" ref="H9:H38" si="4">SUM(I9:AAD9)</f>
        <v>#REF!</v>
      </c>
      <c r="I9" s="108" t="e">
        <f t="shared" ref="I9:T9" si="5">I10+I11</f>
        <v>#REF!</v>
      </c>
      <c r="J9" s="108" t="e">
        <f t="shared" si="5"/>
        <v>#REF!</v>
      </c>
      <c r="K9" s="108" t="e">
        <f t="shared" si="5"/>
        <v>#REF!</v>
      </c>
      <c r="L9" s="108" t="e">
        <f t="shared" si="5"/>
        <v>#REF!</v>
      </c>
      <c r="M9" s="108" t="e">
        <f t="shared" si="5"/>
        <v>#REF!</v>
      </c>
      <c r="N9" s="108" t="e">
        <f t="shared" si="5"/>
        <v>#REF!</v>
      </c>
      <c r="O9" s="108" t="e">
        <f t="shared" si="5"/>
        <v>#REF!</v>
      </c>
      <c r="P9" s="108" t="e">
        <f t="shared" si="5"/>
        <v>#REF!</v>
      </c>
      <c r="Q9" s="108" t="e">
        <f t="shared" si="5"/>
        <v>#REF!</v>
      </c>
      <c r="R9" s="108" t="e">
        <f t="shared" si="5"/>
        <v>#REF!</v>
      </c>
      <c r="S9" s="108" t="e">
        <f t="shared" si="5"/>
        <v>#REF!</v>
      </c>
      <c r="T9" s="108" t="e">
        <f t="shared" si="5"/>
        <v>#REF!</v>
      </c>
      <c r="U9" s="108" t="e">
        <f t="shared" ref="U9:BA9" si="6">U10+U11</f>
        <v>#REF!</v>
      </c>
      <c r="V9" s="108" t="e">
        <f t="shared" si="6"/>
        <v>#REF!</v>
      </c>
      <c r="W9" s="108" t="e">
        <f t="shared" si="6"/>
        <v>#REF!</v>
      </c>
      <c r="X9" s="108" t="e">
        <f t="shared" si="6"/>
        <v>#REF!</v>
      </c>
      <c r="Y9" s="108" t="e">
        <f t="shared" si="6"/>
        <v>#REF!</v>
      </c>
      <c r="Z9" s="108" t="e">
        <f t="shared" si="6"/>
        <v>#REF!</v>
      </c>
      <c r="AA9" s="108" t="e">
        <f t="shared" si="6"/>
        <v>#REF!</v>
      </c>
      <c r="AB9" s="108" t="e">
        <f t="shared" si="6"/>
        <v>#REF!</v>
      </c>
      <c r="AC9" s="108" t="e">
        <f t="shared" si="6"/>
        <v>#REF!</v>
      </c>
      <c r="AD9" s="108" t="e">
        <f t="shared" si="6"/>
        <v>#REF!</v>
      </c>
      <c r="AE9" s="108" t="e">
        <f t="shared" si="6"/>
        <v>#REF!</v>
      </c>
      <c r="AF9" s="108" t="e">
        <f t="shared" si="6"/>
        <v>#REF!</v>
      </c>
      <c r="AG9" s="108" t="e">
        <f t="shared" si="6"/>
        <v>#REF!</v>
      </c>
      <c r="AH9" s="108" t="e">
        <f t="shared" si="6"/>
        <v>#REF!</v>
      </c>
      <c r="AI9" s="108" t="e">
        <f t="shared" si="6"/>
        <v>#REF!</v>
      </c>
      <c r="AJ9" s="108" t="e">
        <f t="shared" si="6"/>
        <v>#REF!</v>
      </c>
      <c r="AK9" s="108" t="e">
        <f t="shared" si="6"/>
        <v>#REF!</v>
      </c>
      <c r="AL9" s="108" t="e">
        <f t="shared" si="6"/>
        <v>#REF!</v>
      </c>
      <c r="AM9" s="108" t="e">
        <f t="shared" si="6"/>
        <v>#REF!</v>
      </c>
      <c r="AN9" s="108" t="e">
        <f t="shared" si="6"/>
        <v>#REF!</v>
      </c>
      <c r="AO9" s="108" t="e">
        <f t="shared" si="6"/>
        <v>#REF!</v>
      </c>
      <c r="AP9" s="108" t="e">
        <f t="shared" si="6"/>
        <v>#REF!</v>
      </c>
      <c r="AQ9" s="108" t="e">
        <f t="shared" si="6"/>
        <v>#REF!</v>
      </c>
      <c r="AR9" s="108" t="e">
        <f t="shared" si="6"/>
        <v>#REF!</v>
      </c>
      <c r="AS9" s="108" t="e">
        <f t="shared" si="6"/>
        <v>#REF!</v>
      </c>
      <c r="AT9" s="108" t="e">
        <f t="shared" si="6"/>
        <v>#REF!</v>
      </c>
      <c r="AU9" s="108" t="e">
        <f t="shared" si="6"/>
        <v>#REF!</v>
      </c>
      <c r="AV9" s="108" t="e">
        <f t="shared" si="6"/>
        <v>#REF!</v>
      </c>
      <c r="AW9" s="108" t="e">
        <f t="shared" si="6"/>
        <v>#REF!</v>
      </c>
      <c r="AX9" s="108" t="e">
        <f t="shared" si="6"/>
        <v>#REF!</v>
      </c>
      <c r="AY9" s="108" t="e">
        <f t="shared" si="6"/>
        <v>#REF!</v>
      </c>
      <c r="AZ9" s="108" t="e">
        <f t="shared" si="6"/>
        <v>#REF!</v>
      </c>
      <c r="BA9" s="108" t="e">
        <f t="shared" si="6"/>
        <v>#REF!</v>
      </c>
    </row>
    <row r="10" spans="1:53" hidden="1" x14ac:dyDescent="0.25">
      <c r="B10" s="73" t="s">
        <v>184</v>
      </c>
      <c r="C10" s="69"/>
      <c r="D10" s="109" t="e">
        <f t="shared" si="2"/>
        <v>#REF!</v>
      </c>
      <c r="E10" s="69"/>
      <c r="F10" s="109" t="e">
        <f t="shared" si="3"/>
        <v>#REF!</v>
      </c>
      <c r="G10" s="69"/>
      <c r="H10" s="109" t="e">
        <f t="shared" si="4"/>
        <v>#REF!</v>
      </c>
      <c r="I10" s="108" t="e">
        <f>SUMIFS('Other Expense'!$C$8:$C$3017,'Other Expense'!$B$8:$B$3017,"&gt;="&amp;I7,'Other Expense'!$B$8:$B$3017,"&lt;="&amp;EOMONTH(I7,0),'Other Expense'!$D$8:$D$3017,$B$9)+SUMIFS('CEI565'!$D$6:$D$2994,'CEI565'!$E$6:$E$2994,"&gt;="&amp;I7,'CEI565'!$E$6:$E$2994,"&lt;="&amp;EOMONTH(I7,0))-SUMIFS('CEI565'!$D$6:$D$2994,'CEI565'!$E$6:$E$2994,"&gt;="&amp;I7,'CEI565'!$E$6:$E$2994,"&lt;="&amp;EOMONTH(I7,0),'CEI565'!$F$6:$F$2994,$B$14)-(SUMIFS('CEI565'!$D$6:$D$2994,'CEI565'!$E$6:$E$2994,"&gt;="&amp;I7,'CEI565'!$E$6:$E$2994,"&lt;="&amp;EOMONTH(I7,0),'CEI565'!$F$6:$F$2994,"Discount Rent")*2)-SUMIFS('CEI565'!$D$6:$D$2994,'CEI565'!$E$6:$E$2994,"&gt;="&amp;I7,'CEI565'!$E$6:$E$2994,"&lt;="&amp;EOMONTH(I7,0),'CEI565'!$F$6:$F$2994,"Bond Received")+SUMIFS('1SM3VL'!$D$6:$D$2989,'1SM3VL'!$E$6:$E$2989,"&gt;="&amp;I7,'1SM3VL'!$E$6:$E$2989,"&lt;="&amp;EOMONTH(I7,0))-SUMIFS('1SM3VL'!$D$6:$D$2989,'1SM3VL'!$E$6:$E$2989,"&gt;="&amp;I7,'1SM3VL'!$E$6:$E$2989,"&lt;="&amp;EOMONTH(I7,0),'1SM3VL'!$F$6:$F$2989,$B$14)-(SUMIFS('1SM3VL'!$D$6:$D$2989,'1SM3VL'!$E$6:$E$2989,"&gt;="&amp;I7,'1SM3VL'!$E$6:$E$2989,"&lt;="&amp;EOMONTH(I7,0),'1SM3VL'!$F$6:$F$2989,"Discount Rent")*2)-SUMIFS('1SM3VL'!$D$6:$D$2989,'1SM3VL'!$E$6:$E$2989,"&gt;="&amp;I7,'1SM3VL'!$E$6:$E$2989,"&lt;="&amp;EOMONTH(I7,0),'1SM3VL'!$F$6:$F$2989,"Bond Received")+SUMIFS('1QF4SM'!$D$6:$D$2989,'1QF4SM'!$E$6:$E$2989,"&gt;="&amp;I7,'1QF4SM'!$E$6:$E$2989,"&lt;="&amp;EOMONTH(I7,0))-SUMIFS('1QF4SM'!$D$6:$D$2989,'1QF4SM'!$E$6:$E$2989,"&gt;="&amp;I7,'1QF4SM'!$E$6:$E$2989,"&lt;="&amp;EOMONTH(I7,0),'1QF4SM'!$F$6:$F$2989,$B$14)-(SUMIFS('1QF4SM'!$D$6:$D$2989,'1QF4SM'!$E$6:$E$2989,"&gt;="&amp;I7,'1QF4SM'!$E$6:$E$2989,"&lt;="&amp;EOMONTH(I7,0),'1QF4SM'!$F$6:$F$2989,"Discount Rent")*2)-SUMIFS('1QF4SM'!$D$6:$D$2989,'1QF4SM'!$E$6:$E$2989,"&gt;="&amp;I7,'1QF4SM'!$E$6:$E$2989,"&lt;="&amp;EOMONTH(I7,0),'1QF4SM'!$F$6:$F$2989,"Bond Received")+SUMIFS('1UV5KI'!$D$6:$D$2988,'1UV5KI'!$E$6:$E$2988,"&gt;="&amp;I7,'1UV5KI'!$E$6:$E$2988,"&lt;="&amp;EOMONTH(I7,0))-SUMIFS('1UV5KI'!$D$6:$D$2988,'1UV5KI'!$E$6:$E$2988,"&gt;="&amp;I7,'1UV5KI'!$E$6:$E$2988,"&lt;="&amp;EOMONTH(I7,0),'1UV5KI'!$F$6:$F$2988,$B$14)-(SUMIFS('1UV5KI'!$D$6:$D$2988,'1UV5KI'!$E$6:$E$2988,"&gt;="&amp;I7,'1UV5KI'!$E$6:$E$2988,"&lt;="&amp;EOMONTH(I7,0),'1UV5KI'!$F$6:$F$2988,"Discount Rent")*2)-SUMIFS('1UV5KI'!$D$6:$D$2988,'1UV5KI'!$E$6:$E$2988,"&gt;="&amp;I7,'1UV5KI'!$E$6:$E$2988,"&lt;="&amp;EOMONTH(I7,0),'1UV5KI'!$F$6:$F$2988,"Bond Received")+SUMIFS(#REF!,#REF!,"&gt;="&amp;I7,#REF!,"&lt;="&amp;EOMONTH(I7,0))-SUMIFS(#REF!,#REF!,"&gt;="&amp;I7,#REF!,"&lt;="&amp;EOMONTH(I7,0),#REF!,$B$14)-(SUMIFS(#REF!,#REF!,"&gt;="&amp;I7,#REF!,"&lt;="&amp;EOMONTH(I7,0),#REF!,"Discount Rent")*2)-SUMIFS(#REF!,#REF!,"&gt;="&amp;I7,#REF!,"&lt;="&amp;EOMONTH(I7,0),#REF!,"Bond Received")+SUMIFS('1UL9RY'!$D$6:$D$2989,'1UL9RY'!$E$6:$E$2989,"&gt;="&amp;I7,'1UL9RY'!$E$6:$E$2989,"&lt;="&amp;EOMONTH(I7,0))-SUMIFS('1UL9RY'!$D$6:$D$2989,'1UL9RY'!$E$6:$E$2989,"&gt;="&amp;I7,'1UL9RY'!$E$6:$E$2989,"&lt;="&amp;EOMONTH(I7,0),'1UL9RY'!$F$6:$F$2989,$B$14)-(SUMIFS('1UL9RY'!$D$6:$D$2989,'1UL9RY'!$E$6:$E$2989,"&gt;="&amp;I7,'1UL9RY'!$E$6:$E$2989,"&lt;="&amp;EOMONTH(I7,0),'1UL9RY'!$F$6:$F$2989,"Discount Rent")*2)-SUMIFS('1UL9RY'!$D$6:$D$2989,'1UL9RY'!$E$6:$E$2989,"&gt;="&amp;I7,'1UL9RY'!$E$6:$E$2989,"&lt;="&amp;EOMONTH(I7,0),'1UL9RY'!$F$6:$F$2989,"Bond Received")+SUMIFS('1OZ7GT'!$D$6:$D$2989,'1OZ7GT'!$E$6:$E$2989,"&gt;="&amp;I7,'1OZ7GT'!$E$6:$E$2989,"&lt;="&amp;EOMONTH(I7,0))-SUMIFS('1OZ7GT'!$D$6:$D$2989,'1OZ7GT'!$E$6:$E$2989,"&gt;="&amp;I7,'1OZ7GT'!$E$6:$E$2989,"&lt;="&amp;EOMONTH(I7,0),'1OZ7GT'!$F$6:$F$2989,$B$14)-(SUMIFS('1OZ7GT'!$D$6:$D$2989,'1OZ7GT'!$E$6:$E$2989,"&gt;="&amp;I7,'1OZ7GT'!$E$6:$E$2989,"&lt;="&amp;EOMONTH(I7,0),'1OZ7GT'!$F$6:$F$2989,"Discount Rent")*2)-SUMIFS('1OZ7GT'!$D$6:$D$2989,'1OZ7GT'!$E$6:$E$2989,"&gt;="&amp;I7,'1OZ7GT'!$E$6:$E$2989,"&lt;="&amp;EOMONTH(I7,0),'1OZ7GT'!$F$6:$F$2989,"Bond Received")+SUMIFS('1CN8DD'!$D$6:$D$2989,'1CN8DD'!$E$6:$E$2989,"&gt;="&amp;I7,'1CN8DD'!$E$6:$E$2989,"&lt;="&amp;EOMONTH(I7,0))-SUMIFS('1CN8DD'!$D$6:$D$2989,'1CN8DD'!$E$6:$E$2989,"&gt;="&amp;I7,'1CN8DD'!$E$6:$E$2989,"&lt;="&amp;EOMONTH(I7,0),'1CN8DD'!$F$6:$F$2989,$B$14)-(SUMIFS('1CN8DD'!$D$6:$D$2989,'1CN8DD'!$E$6:$E$2989,"&gt;="&amp;I7,'1CN8DD'!$E$6:$E$2989,"&lt;="&amp;EOMONTH(I7,0),'1CN8DD'!$F$6:$F$2989,"Discount Rent")*2)-SUMIFS('1CN8DD'!$D$6:$D$2989,'1CN8DD'!$E$6:$E$2989,"&gt;="&amp;I7,'1CN8DD'!$E$6:$E$2989,"&lt;="&amp;EOMONTH(I7,0),'1CN8DD'!$F$6:$F$2989,"Bond Received")+SUMIFS('1UT9BR'!$D$6:$D$2989,'1UT9BR'!$E$6:$E$2989,"&gt;="&amp;I7,'1UT9BR'!$E$6:$E$2989,"&lt;="&amp;EOMONTH(I7,0))-SUMIFS('1UT9BR'!$D$6:$D$2989,'1UT9BR'!$E$6:$E$2989,"&gt;="&amp;I7,'1UT9BR'!$E$6:$E$2989,"&lt;="&amp;EOMONTH(I7,0),'1UT9BR'!$F$6:$F$2989,$B$14)-(SUMIFS('1UT9BR'!$D$6:$D$2989,'1UT9BR'!$E$6:$E$2989,"&gt;="&amp;I7,'1UT9BR'!$E$6:$E$2989,"&lt;="&amp;EOMONTH(I7,0),'1UT9BR'!$F$6:$F$2989,"Discount Rent")*2)-SUMIFS('1UT9BR'!$D$6:$D$2989,'1UT9BR'!$E$6:$E$2989,"&gt;="&amp;I7,'1UT9BR'!$E$6:$E$2989,"&lt;="&amp;EOMONTH(I7,0),'1UT9BR'!$F$6:$F$2989,"Bond Received")+SUMIFS('1MK4UR'!$D$6:$D$2989,'1MK4UR'!$E$6:$E$2989,"&gt;="&amp;I7,'1MK4UR'!$E$6:$E$2989,"&lt;="&amp;EOMONTH(I7,0))-SUMIFS('1MK4UR'!$D$6:$D$2989,'1MK4UR'!$E$6:$E$2989,"&gt;="&amp;I7,'1MK4UR'!$E$6:$E$2989,"&lt;="&amp;EOMONTH(I7,0),'1MK4UR'!$F$6:$F$2989,$B$14)-(SUMIFS('1MK4UR'!$D$6:$D$2989,'1MK4UR'!$E$6:$E$2989,"&gt;="&amp;I7,'1MK4UR'!$E$6:$E$2989,"&lt;="&amp;EOMONTH(I7,0),'1MK4UR'!$F$6:$F$2989,"Discount Rent")*2)-SUMIFS('1MK4UR'!$D$6:$D$2989,'1MK4UR'!$E$6:$E$2989,"&gt;="&amp;I7,'1MK4UR'!$E$6:$E$2989,"&lt;="&amp;EOMONTH(I7,0),'1MK4UR'!$F$6:$F$2989,"Bond Received")</f>
        <v>#REF!</v>
      </c>
      <c r="J10" s="108" t="e">
        <f>SUMIFS('Other Expense'!$C$8:$C$3017,'Other Expense'!$B$8:$B$3017,"&gt;="&amp;J7,'Other Expense'!$B$8:$B$3017,"&lt;="&amp;EOMONTH(J7,0),'Other Expense'!$D$8:$D$3017,$B$9)+SUMIFS('CEI565'!$D$6:$D$2994,'CEI565'!$E$6:$E$2994,"&gt;="&amp;J7,'CEI565'!$E$6:$E$2994,"&lt;="&amp;EOMONTH(J7,0))-SUMIFS('CEI565'!$D$6:$D$2994,'CEI565'!$E$6:$E$2994,"&gt;="&amp;J7,'CEI565'!$E$6:$E$2994,"&lt;="&amp;EOMONTH(J7,0),'CEI565'!$F$6:$F$2994,$B$14)-(SUMIFS('CEI565'!$D$6:$D$2994,'CEI565'!$E$6:$E$2994,"&gt;="&amp;J7,'CEI565'!$E$6:$E$2994,"&lt;="&amp;EOMONTH(J7,0),'CEI565'!$F$6:$F$2994,"Discount Rent")*2)-SUMIFS('CEI565'!$D$6:$D$2994,'CEI565'!$E$6:$E$2994,"&gt;="&amp;J7,'CEI565'!$E$6:$E$2994,"&lt;="&amp;EOMONTH(J7,0),'CEI565'!$F$6:$F$2994,"Bond Received")+SUMIFS('1SM3VL'!$D$6:$D$2989,'1SM3VL'!$E$6:$E$2989,"&gt;="&amp;J7,'1SM3VL'!$E$6:$E$2989,"&lt;="&amp;EOMONTH(J7,0))-SUMIFS('1SM3VL'!$D$6:$D$2989,'1SM3VL'!$E$6:$E$2989,"&gt;="&amp;J7,'1SM3VL'!$E$6:$E$2989,"&lt;="&amp;EOMONTH(J7,0),'1SM3VL'!$F$6:$F$2989,$B$14)-(SUMIFS('1SM3VL'!$D$6:$D$2989,'1SM3VL'!$E$6:$E$2989,"&gt;="&amp;J7,'1SM3VL'!$E$6:$E$2989,"&lt;="&amp;EOMONTH(J7,0),'1SM3VL'!$F$6:$F$2989,"Discount Rent")*2)-SUMIFS('1SM3VL'!$D$6:$D$2989,'1SM3VL'!$E$6:$E$2989,"&gt;="&amp;J7,'1SM3VL'!$E$6:$E$2989,"&lt;="&amp;EOMONTH(J7,0),'1SM3VL'!$F$6:$F$2989,"Bond Received")+SUMIFS('1QF4SM'!$D$6:$D$2989,'1QF4SM'!$E$6:$E$2989,"&gt;="&amp;J7,'1QF4SM'!$E$6:$E$2989,"&lt;="&amp;EOMONTH(J7,0))-SUMIFS('1QF4SM'!$D$6:$D$2989,'1QF4SM'!$E$6:$E$2989,"&gt;="&amp;J7,'1QF4SM'!$E$6:$E$2989,"&lt;="&amp;EOMONTH(J7,0),'1QF4SM'!$F$6:$F$2989,$B$14)-(SUMIFS('1QF4SM'!$D$6:$D$2989,'1QF4SM'!$E$6:$E$2989,"&gt;="&amp;J7,'1QF4SM'!$E$6:$E$2989,"&lt;="&amp;EOMONTH(J7,0),'1QF4SM'!$F$6:$F$2989,"Discount Rent")*2)-SUMIFS('1QF4SM'!$D$6:$D$2989,'1QF4SM'!$E$6:$E$2989,"&gt;="&amp;J7,'1QF4SM'!$E$6:$E$2989,"&lt;="&amp;EOMONTH(J7,0),'1QF4SM'!$F$6:$F$2989,"Bond Received")+SUMIFS('1UV5KI'!$D$6:$D$2988,'1UV5KI'!$E$6:$E$2988,"&gt;="&amp;J7,'1UV5KI'!$E$6:$E$2988,"&lt;="&amp;EOMONTH(J7,0))-SUMIFS('1UV5KI'!$D$6:$D$2988,'1UV5KI'!$E$6:$E$2988,"&gt;="&amp;J7,'1UV5KI'!$E$6:$E$2988,"&lt;="&amp;EOMONTH(J7,0),'1UV5KI'!$F$6:$F$2988,$B$14)-(SUMIFS('1UV5KI'!$D$6:$D$2988,'1UV5KI'!$E$6:$E$2988,"&gt;="&amp;J7,'1UV5KI'!$E$6:$E$2988,"&lt;="&amp;EOMONTH(J7,0),'1UV5KI'!$F$6:$F$2988,"Discount Rent")*2)-SUMIFS('1UV5KI'!$D$6:$D$2988,'1UV5KI'!$E$6:$E$2988,"&gt;="&amp;J7,'1UV5KI'!$E$6:$E$2988,"&lt;="&amp;EOMONTH(J7,0),'1UV5KI'!$F$6:$F$2988,"Bond Received")+SUMIFS(#REF!,#REF!,"&gt;="&amp;J7,#REF!,"&lt;="&amp;EOMONTH(J7,0))-SUMIFS(#REF!,#REF!,"&gt;="&amp;J7,#REF!,"&lt;="&amp;EOMONTH(J7,0),#REF!,$B$14)-(SUMIFS(#REF!,#REF!,"&gt;="&amp;J7,#REF!,"&lt;="&amp;EOMONTH(J7,0),#REF!,"Discount Rent")*2)-SUMIFS(#REF!,#REF!,"&gt;="&amp;J7,#REF!,"&lt;="&amp;EOMONTH(J7,0),#REF!,"Bond Received")+SUMIFS('1UL9RY'!$D$6:$D$2989,'1UL9RY'!$E$6:$E$2989,"&gt;="&amp;J7,'1UL9RY'!$E$6:$E$2989,"&lt;="&amp;EOMONTH(J7,0))-SUMIFS('1UL9RY'!$D$6:$D$2989,'1UL9RY'!$E$6:$E$2989,"&gt;="&amp;J7,'1UL9RY'!$E$6:$E$2989,"&lt;="&amp;EOMONTH(J7,0),'1UL9RY'!$F$6:$F$2989,$B$14)-(SUMIFS('1UL9RY'!$D$6:$D$2989,'1UL9RY'!$E$6:$E$2989,"&gt;="&amp;J7,'1UL9RY'!$E$6:$E$2989,"&lt;="&amp;EOMONTH(J7,0),'1UL9RY'!$F$6:$F$2989,"Discount Rent")*2)-SUMIFS('1UL9RY'!$D$6:$D$2989,'1UL9RY'!$E$6:$E$2989,"&gt;="&amp;J7,'1UL9RY'!$E$6:$E$2989,"&lt;="&amp;EOMONTH(J7,0),'1UL9RY'!$F$6:$F$2989,"Bond Received")+SUMIFS('1OZ7GT'!$D$6:$D$2989,'1OZ7GT'!$E$6:$E$2989,"&gt;="&amp;J7,'1OZ7GT'!$E$6:$E$2989,"&lt;="&amp;EOMONTH(J7,0))-SUMIFS('1OZ7GT'!$D$6:$D$2989,'1OZ7GT'!$E$6:$E$2989,"&gt;="&amp;J7,'1OZ7GT'!$E$6:$E$2989,"&lt;="&amp;EOMONTH(J7,0),'1OZ7GT'!$F$6:$F$2989,$B$14)-(SUMIFS('1OZ7GT'!$D$6:$D$2989,'1OZ7GT'!$E$6:$E$2989,"&gt;="&amp;J7,'1OZ7GT'!$E$6:$E$2989,"&lt;="&amp;EOMONTH(J7,0),'1OZ7GT'!$F$6:$F$2989,"Discount Rent")*2)-SUMIFS('1OZ7GT'!$D$6:$D$2989,'1OZ7GT'!$E$6:$E$2989,"&gt;="&amp;J7,'1OZ7GT'!$E$6:$E$2989,"&lt;="&amp;EOMONTH(J7,0),'1OZ7GT'!$F$6:$F$2989,"Bond Received")+SUMIFS('1CN8DD'!$D$6:$D$2989,'1CN8DD'!$E$6:$E$2989,"&gt;="&amp;J7,'1CN8DD'!$E$6:$E$2989,"&lt;="&amp;EOMONTH(J7,0))-SUMIFS('1CN8DD'!$D$6:$D$2989,'1CN8DD'!$E$6:$E$2989,"&gt;="&amp;J7,'1CN8DD'!$E$6:$E$2989,"&lt;="&amp;EOMONTH(J7,0),'1CN8DD'!$F$6:$F$2989,$B$14)-(SUMIFS('1CN8DD'!$D$6:$D$2989,'1CN8DD'!$E$6:$E$2989,"&gt;="&amp;J7,'1CN8DD'!$E$6:$E$2989,"&lt;="&amp;EOMONTH(J7,0),'1CN8DD'!$F$6:$F$2989,"Discount Rent")*2)-SUMIFS('1CN8DD'!$D$6:$D$2989,'1CN8DD'!$E$6:$E$2989,"&gt;="&amp;J7,'1CN8DD'!$E$6:$E$2989,"&lt;="&amp;EOMONTH(J7,0),'1CN8DD'!$F$6:$F$2989,"Bond Received")+SUMIFS('1UT9BR'!$D$6:$D$2989,'1UT9BR'!$E$6:$E$2989,"&gt;="&amp;J7,'1UT9BR'!$E$6:$E$2989,"&lt;="&amp;EOMONTH(J7,0))-SUMIFS('1UT9BR'!$D$6:$D$2989,'1UT9BR'!$E$6:$E$2989,"&gt;="&amp;J7,'1UT9BR'!$E$6:$E$2989,"&lt;="&amp;EOMONTH(J7,0),'1UT9BR'!$F$6:$F$2989,$B$14)-(SUMIFS('1UT9BR'!$D$6:$D$2989,'1UT9BR'!$E$6:$E$2989,"&gt;="&amp;J7,'1UT9BR'!$E$6:$E$2989,"&lt;="&amp;EOMONTH(J7,0),'1UT9BR'!$F$6:$F$2989,"Discount Rent")*2)-SUMIFS('1UT9BR'!$D$6:$D$2989,'1UT9BR'!$E$6:$E$2989,"&gt;="&amp;J7,'1UT9BR'!$E$6:$E$2989,"&lt;="&amp;EOMONTH(J7,0),'1UT9BR'!$F$6:$F$2989,"Bond Received")+SUMIFS('1MK4UR'!$D$6:$D$2989,'1MK4UR'!$E$6:$E$2989,"&gt;="&amp;J7,'1MK4UR'!$E$6:$E$2989,"&lt;="&amp;EOMONTH(J7,0))-SUMIFS('1MK4UR'!$D$6:$D$2989,'1MK4UR'!$E$6:$E$2989,"&gt;="&amp;J7,'1MK4UR'!$E$6:$E$2989,"&lt;="&amp;EOMONTH(J7,0),'1MK4UR'!$F$6:$F$2989,$B$14)-(SUMIFS('1MK4UR'!$D$6:$D$2989,'1MK4UR'!$E$6:$E$2989,"&gt;="&amp;J7,'1MK4UR'!$E$6:$E$2989,"&lt;="&amp;EOMONTH(J7,0),'1MK4UR'!$F$6:$F$2989,"Discount Rent")*2)-SUMIFS('1MK4UR'!$D$6:$D$2989,'1MK4UR'!$E$6:$E$2989,"&gt;="&amp;J7,'1MK4UR'!$E$6:$E$2989,"&lt;="&amp;EOMONTH(J7,0),'1MK4UR'!$F$6:$F$2989,"Bond Received")</f>
        <v>#REF!</v>
      </c>
      <c r="K10" s="108" t="e">
        <f>SUMIFS('Other Expense'!$C$8:$C$3017,'Other Expense'!$B$8:$B$3017,"&gt;="&amp;K7,'Other Expense'!$B$8:$B$3017,"&lt;="&amp;EOMONTH(K7,0),'Other Expense'!$D$8:$D$3017,$B$9)+SUMIFS('CEI565'!$D$6:$D$2994,'CEI565'!$E$6:$E$2994,"&gt;="&amp;K7,'CEI565'!$E$6:$E$2994,"&lt;="&amp;EOMONTH(K7,0))-SUMIFS('CEI565'!$D$6:$D$2994,'CEI565'!$E$6:$E$2994,"&gt;="&amp;K7,'CEI565'!$E$6:$E$2994,"&lt;="&amp;EOMONTH(K7,0),'CEI565'!$F$6:$F$2994,$B$14)-(SUMIFS('CEI565'!$D$6:$D$2994,'CEI565'!$E$6:$E$2994,"&gt;="&amp;K7,'CEI565'!$E$6:$E$2994,"&lt;="&amp;EOMONTH(K7,0),'CEI565'!$F$6:$F$2994,"Discount Rent")*2)-SUMIFS('CEI565'!$D$6:$D$2994,'CEI565'!$E$6:$E$2994,"&gt;="&amp;K7,'CEI565'!$E$6:$E$2994,"&lt;="&amp;EOMONTH(K7,0),'CEI565'!$F$6:$F$2994,"Bond Received")+SUMIFS('1SM3VL'!$D$6:$D$2989,'1SM3VL'!$E$6:$E$2989,"&gt;="&amp;K7,'1SM3VL'!$E$6:$E$2989,"&lt;="&amp;EOMONTH(K7,0))-SUMIFS('1SM3VL'!$D$6:$D$2989,'1SM3VL'!$E$6:$E$2989,"&gt;="&amp;K7,'1SM3VL'!$E$6:$E$2989,"&lt;="&amp;EOMONTH(K7,0),'1SM3VL'!$F$6:$F$2989,$B$14)-(SUMIFS('1SM3VL'!$D$6:$D$2989,'1SM3VL'!$E$6:$E$2989,"&gt;="&amp;K7,'1SM3VL'!$E$6:$E$2989,"&lt;="&amp;EOMONTH(K7,0),'1SM3VL'!$F$6:$F$2989,"Discount Rent")*2)-SUMIFS('1SM3VL'!$D$6:$D$2989,'1SM3VL'!$E$6:$E$2989,"&gt;="&amp;K7,'1SM3VL'!$E$6:$E$2989,"&lt;="&amp;EOMONTH(K7,0),'1SM3VL'!$F$6:$F$2989,"Bond Received")+SUMIFS('1QF4SM'!$D$6:$D$2989,'1QF4SM'!$E$6:$E$2989,"&gt;="&amp;K7,'1QF4SM'!$E$6:$E$2989,"&lt;="&amp;EOMONTH(K7,0))-SUMIFS('1QF4SM'!$D$6:$D$2989,'1QF4SM'!$E$6:$E$2989,"&gt;="&amp;K7,'1QF4SM'!$E$6:$E$2989,"&lt;="&amp;EOMONTH(K7,0),'1QF4SM'!$F$6:$F$2989,$B$14)-(SUMIFS('1QF4SM'!$D$6:$D$2989,'1QF4SM'!$E$6:$E$2989,"&gt;="&amp;K7,'1QF4SM'!$E$6:$E$2989,"&lt;="&amp;EOMONTH(K7,0),'1QF4SM'!$F$6:$F$2989,"Discount Rent")*2)-SUMIFS('1QF4SM'!$D$6:$D$2989,'1QF4SM'!$E$6:$E$2989,"&gt;="&amp;K7,'1QF4SM'!$E$6:$E$2989,"&lt;="&amp;EOMONTH(K7,0),'1QF4SM'!$F$6:$F$2989,"Bond Received")+SUMIFS('1UV5KI'!$D$6:$D$2988,'1UV5KI'!$E$6:$E$2988,"&gt;="&amp;K7,'1UV5KI'!$E$6:$E$2988,"&lt;="&amp;EOMONTH(K7,0))-SUMIFS('1UV5KI'!$D$6:$D$2988,'1UV5KI'!$E$6:$E$2988,"&gt;="&amp;K7,'1UV5KI'!$E$6:$E$2988,"&lt;="&amp;EOMONTH(K7,0),'1UV5KI'!$F$6:$F$2988,$B$14)-(SUMIFS('1UV5KI'!$D$6:$D$2988,'1UV5KI'!$E$6:$E$2988,"&gt;="&amp;K7,'1UV5KI'!$E$6:$E$2988,"&lt;="&amp;EOMONTH(K7,0),'1UV5KI'!$F$6:$F$2988,"Discount Rent")*2)-SUMIFS('1UV5KI'!$D$6:$D$2988,'1UV5KI'!$E$6:$E$2988,"&gt;="&amp;K7,'1UV5KI'!$E$6:$E$2988,"&lt;="&amp;EOMONTH(K7,0),'1UV5KI'!$F$6:$F$2988,"Bond Received")+SUMIFS(#REF!,#REF!,"&gt;="&amp;K7,#REF!,"&lt;="&amp;EOMONTH(K7,0))-SUMIFS(#REF!,#REF!,"&gt;="&amp;K7,#REF!,"&lt;="&amp;EOMONTH(K7,0),#REF!,$B$14)-(SUMIFS(#REF!,#REF!,"&gt;="&amp;K7,#REF!,"&lt;="&amp;EOMONTH(K7,0),#REF!,"Discount Rent")*2)-SUMIFS(#REF!,#REF!,"&gt;="&amp;K7,#REF!,"&lt;="&amp;EOMONTH(K7,0),#REF!,"Bond Received")+SUMIFS('1UL9RY'!$D$6:$D$2989,'1UL9RY'!$E$6:$E$2989,"&gt;="&amp;K7,'1UL9RY'!$E$6:$E$2989,"&lt;="&amp;EOMONTH(K7,0))-SUMIFS('1UL9RY'!$D$6:$D$2989,'1UL9RY'!$E$6:$E$2989,"&gt;="&amp;K7,'1UL9RY'!$E$6:$E$2989,"&lt;="&amp;EOMONTH(K7,0),'1UL9RY'!$F$6:$F$2989,$B$14)-(SUMIFS('1UL9RY'!$D$6:$D$2989,'1UL9RY'!$E$6:$E$2989,"&gt;="&amp;K7,'1UL9RY'!$E$6:$E$2989,"&lt;="&amp;EOMONTH(K7,0),'1UL9RY'!$F$6:$F$2989,"Discount Rent")*2)-SUMIFS('1UL9RY'!$D$6:$D$2989,'1UL9RY'!$E$6:$E$2989,"&gt;="&amp;K7,'1UL9RY'!$E$6:$E$2989,"&lt;="&amp;EOMONTH(K7,0),'1UL9RY'!$F$6:$F$2989,"Bond Received")+SUMIFS('1OZ7GT'!$D$6:$D$2989,'1OZ7GT'!$E$6:$E$2989,"&gt;="&amp;K7,'1OZ7GT'!$E$6:$E$2989,"&lt;="&amp;EOMONTH(K7,0))-SUMIFS('1OZ7GT'!$D$6:$D$2989,'1OZ7GT'!$E$6:$E$2989,"&gt;="&amp;K7,'1OZ7GT'!$E$6:$E$2989,"&lt;="&amp;EOMONTH(K7,0),'1OZ7GT'!$F$6:$F$2989,$B$14)-(SUMIFS('1OZ7GT'!$D$6:$D$2989,'1OZ7GT'!$E$6:$E$2989,"&gt;="&amp;K7,'1OZ7GT'!$E$6:$E$2989,"&lt;="&amp;EOMONTH(K7,0),'1OZ7GT'!$F$6:$F$2989,"Discount Rent")*2)-SUMIFS('1OZ7GT'!$D$6:$D$2989,'1OZ7GT'!$E$6:$E$2989,"&gt;="&amp;K7,'1OZ7GT'!$E$6:$E$2989,"&lt;="&amp;EOMONTH(K7,0),'1OZ7GT'!$F$6:$F$2989,"Bond Received")+SUMIFS('1CN8DD'!$D$6:$D$2989,'1CN8DD'!$E$6:$E$2989,"&gt;="&amp;K7,'1CN8DD'!$E$6:$E$2989,"&lt;="&amp;EOMONTH(K7,0))-SUMIFS('1CN8DD'!$D$6:$D$2989,'1CN8DD'!$E$6:$E$2989,"&gt;="&amp;K7,'1CN8DD'!$E$6:$E$2989,"&lt;="&amp;EOMONTH(K7,0),'1CN8DD'!$F$6:$F$2989,$B$14)-(SUMIFS('1CN8DD'!$D$6:$D$2989,'1CN8DD'!$E$6:$E$2989,"&gt;="&amp;K7,'1CN8DD'!$E$6:$E$2989,"&lt;="&amp;EOMONTH(K7,0),'1CN8DD'!$F$6:$F$2989,"Discount Rent")*2)-SUMIFS('1CN8DD'!$D$6:$D$2989,'1CN8DD'!$E$6:$E$2989,"&gt;="&amp;K7,'1CN8DD'!$E$6:$E$2989,"&lt;="&amp;EOMONTH(K7,0),'1CN8DD'!$F$6:$F$2989,"Bond Received")+SUMIFS('1UT9BR'!$D$6:$D$2989,'1UT9BR'!$E$6:$E$2989,"&gt;="&amp;K7,'1UT9BR'!$E$6:$E$2989,"&lt;="&amp;EOMONTH(K7,0))-SUMIFS('1UT9BR'!$D$6:$D$2989,'1UT9BR'!$E$6:$E$2989,"&gt;="&amp;K7,'1UT9BR'!$E$6:$E$2989,"&lt;="&amp;EOMONTH(K7,0),'1UT9BR'!$F$6:$F$2989,$B$14)-(SUMIFS('1UT9BR'!$D$6:$D$2989,'1UT9BR'!$E$6:$E$2989,"&gt;="&amp;K7,'1UT9BR'!$E$6:$E$2989,"&lt;="&amp;EOMONTH(K7,0),'1UT9BR'!$F$6:$F$2989,"Discount Rent")*2)-SUMIFS('1UT9BR'!$D$6:$D$2989,'1UT9BR'!$E$6:$E$2989,"&gt;="&amp;K7,'1UT9BR'!$E$6:$E$2989,"&lt;="&amp;EOMONTH(K7,0),'1UT9BR'!$F$6:$F$2989,"Bond Received")+SUMIFS('1MK4UR'!$D$6:$D$2989,'1MK4UR'!$E$6:$E$2989,"&gt;="&amp;K7,'1MK4UR'!$E$6:$E$2989,"&lt;="&amp;EOMONTH(K7,0))-SUMIFS('1MK4UR'!$D$6:$D$2989,'1MK4UR'!$E$6:$E$2989,"&gt;="&amp;K7,'1MK4UR'!$E$6:$E$2989,"&lt;="&amp;EOMONTH(K7,0),'1MK4UR'!$F$6:$F$2989,$B$14)-(SUMIFS('1MK4UR'!$D$6:$D$2989,'1MK4UR'!$E$6:$E$2989,"&gt;="&amp;K7,'1MK4UR'!$E$6:$E$2989,"&lt;="&amp;EOMONTH(K7,0),'1MK4UR'!$F$6:$F$2989,"Discount Rent")*2)-SUMIFS('1MK4UR'!$D$6:$D$2989,'1MK4UR'!$E$6:$E$2989,"&gt;="&amp;K7,'1MK4UR'!$E$6:$E$2989,"&lt;="&amp;EOMONTH(K7,0),'1MK4UR'!$F$6:$F$2989,"Bond Received")</f>
        <v>#REF!</v>
      </c>
      <c r="L10" s="108" t="e">
        <f>SUMIFS('Other Expense'!$C$8:$C$3017,'Other Expense'!$B$8:$B$3017,"&gt;="&amp;L7,'Other Expense'!$B$8:$B$3017,"&lt;="&amp;EOMONTH(L7,0),'Other Expense'!$D$8:$D$3017,$B$9)+SUMIFS('CEI565'!$D$6:$D$2994,'CEI565'!$E$6:$E$2994,"&gt;="&amp;L7,'CEI565'!$E$6:$E$2994,"&lt;="&amp;EOMONTH(L7,0))-SUMIFS('CEI565'!$D$6:$D$2994,'CEI565'!$E$6:$E$2994,"&gt;="&amp;L7,'CEI565'!$E$6:$E$2994,"&lt;="&amp;EOMONTH(L7,0),'CEI565'!$F$6:$F$2994,$B$14)-(SUMIFS('CEI565'!$D$6:$D$2994,'CEI565'!$E$6:$E$2994,"&gt;="&amp;L7,'CEI565'!$E$6:$E$2994,"&lt;="&amp;EOMONTH(L7,0),'CEI565'!$F$6:$F$2994,"Discount Rent")*2)-SUMIFS('CEI565'!$D$6:$D$2994,'CEI565'!$E$6:$E$2994,"&gt;="&amp;L7,'CEI565'!$E$6:$E$2994,"&lt;="&amp;EOMONTH(L7,0),'CEI565'!$F$6:$F$2994,"Bond Received")+SUMIFS('1SM3VL'!$D$6:$D$2989,'1SM3VL'!$E$6:$E$2989,"&gt;="&amp;L7,'1SM3VL'!$E$6:$E$2989,"&lt;="&amp;EOMONTH(L7,0))-SUMIFS('1SM3VL'!$D$6:$D$2989,'1SM3VL'!$E$6:$E$2989,"&gt;="&amp;L7,'1SM3VL'!$E$6:$E$2989,"&lt;="&amp;EOMONTH(L7,0),'1SM3VL'!$F$6:$F$2989,$B$14)-(SUMIFS('1SM3VL'!$D$6:$D$2989,'1SM3VL'!$E$6:$E$2989,"&gt;="&amp;L7,'1SM3VL'!$E$6:$E$2989,"&lt;="&amp;EOMONTH(L7,0),'1SM3VL'!$F$6:$F$2989,"Discount Rent")*2)-SUMIFS('1SM3VL'!$D$6:$D$2989,'1SM3VL'!$E$6:$E$2989,"&gt;="&amp;L7,'1SM3VL'!$E$6:$E$2989,"&lt;="&amp;EOMONTH(L7,0),'1SM3VL'!$F$6:$F$2989,"Bond Received")+SUMIFS('1QF4SM'!$D$6:$D$2989,'1QF4SM'!$E$6:$E$2989,"&gt;="&amp;L7,'1QF4SM'!$E$6:$E$2989,"&lt;="&amp;EOMONTH(L7,0))-SUMIFS('1QF4SM'!$D$6:$D$2989,'1QF4SM'!$E$6:$E$2989,"&gt;="&amp;L7,'1QF4SM'!$E$6:$E$2989,"&lt;="&amp;EOMONTH(L7,0),'1QF4SM'!$F$6:$F$2989,$B$14)-(SUMIFS('1QF4SM'!$D$6:$D$2989,'1QF4SM'!$E$6:$E$2989,"&gt;="&amp;L7,'1QF4SM'!$E$6:$E$2989,"&lt;="&amp;EOMONTH(L7,0),'1QF4SM'!$F$6:$F$2989,"Discount Rent")*2)-SUMIFS('1QF4SM'!$D$6:$D$2989,'1QF4SM'!$E$6:$E$2989,"&gt;="&amp;L7,'1QF4SM'!$E$6:$E$2989,"&lt;="&amp;EOMONTH(L7,0),'1QF4SM'!$F$6:$F$2989,"Bond Received")+SUMIFS('1UV5KI'!$D$6:$D$2988,'1UV5KI'!$E$6:$E$2988,"&gt;="&amp;L7,'1UV5KI'!$E$6:$E$2988,"&lt;="&amp;EOMONTH(L7,0))-SUMIFS('1UV5KI'!$D$6:$D$2988,'1UV5KI'!$E$6:$E$2988,"&gt;="&amp;L7,'1UV5KI'!$E$6:$E$2988,"&lt;="&amp;EOMONTH(L7,0),'1UV5KI'!$F$6:$F$2988,$B$14)-(SUMIFS('1UV5KI'!$D$6:$D$2988,'1UV5KI'!$E$6:$E$2988,"&gt;="&amp;L7,'1UV5KI'!$E$6:$E$2988,"&lt;="&amp;EOMONTH(L7,0),'1UV5KI'!$F$6:$F$2988,"Discount Rent")*2)-SUMIFS('1UV5KI'!$D$6:$D$2988,'1UV5KI'!$E$6:$E$2988,"&gt;="&amp;L7,'1UV5KI'!$E$6:$E$2988,"&lt;="&amp;EOMONTH(L7,0),'1UV5KI'!$F$6:$F$2988,"Bond Received")+SUMIFS(#REF!,#REF!,"&gt;="&amp;L7,#REF!,"&lt;="&amp;EOMONTH(L7,0))-SUMIFS(#REF!,#REF!,"&gt;="&amp;L7,#REF!,"&lt;="&amp;EOMONTH(L7,0),#REF!,$B$14)-(SUMIFS(#REF!,#REF!,"&gt;="&amp;L7,#REF!,"&lt;="&amp;EOMONTH(L7,0),#REF!,"Discount Rent")*2)-SUMIFS(#REF!,#REF!,"&gt;="&amp;L7,#REF!,"&lt;="&amp;EOMONTH(L7,0),#REF!,"Bond Received")+SUMIFS('1UL9RY'!$D$6:$D$2989,'1UL9RY'!$E$6:$E$2989,"&gt;="&amp;L7,'1UL9RY'!$E$6:$E$2989,"&lt;="&amp;EOMONTH(L7,0))-SUMIFS('1UL9RY'!$D$6:$D$2989,'1UL9RY'!$E$6:$E$2989,"&gt;="&amp;L7,'1UL9RY'!$E$6:$E$2989,"&lt;="&amp;EOMONTH(L7,0),'1UL9RY'!$F$6:$F$2989,$B$14)-(SUMIFS('1UL9RY'!$D$6:$D$2989,'1UL9RY'!$E$6:$E$2989,"&gt;="&amp;L7,'1UL9RY'!$E$6:$E$2989,"&lt;="&amp;EOMONTH(L7,0),'1UL9RY'!$F$6:$F$2989,"Discount Rent")*2)-SUMIFS('1UL9RY'!$D$6:$D$2989,'1UL9RY'!$E$6:$E$2989,"&gt;="&amp;L7,'1UL9RY'!$E$6:$E$2989,"&lt;="&amp;EOMONTH(L7,0),'1UL9RY'!$F$6:$F$2989,"Bond Received")+SUMIFS('1OZ7GT'!$D$6:$D$2989,'1OZ7GT'!$E$6:$E$2989,"&gt;="&amp;L7,'1OZ7GT'!$E$6:$E$2989,"&lt;="&amp;EOMONTH(L7,0))-SUMIFS('1OZ7GT'!$D$6:$D$2989,'1OZ7GT'!$E$6:$E$2989,"&gt;="&amp;L7,'1OZ7GT'!$E$6:$E$2989,"&lt;="&amp;EOMONTH(L7,0),'1OZ7GT'!$F$6:$F$2989,$B$14)-(SUMIFS('1OZ7GT'!$D$6:$D$2989,'1OZ7GT'!$E$6:$E$2989,"&gt;="&amp;L7,'1OZ7GT'!$E$6:$E$2989,"&lt;="&amp;EOMONTH(L7,0),'1OZ7GT'!$F$6:$F$2989,"Discount Rent")*2)-SUMIFS('1OZ7GT'!$D$6:$D$2989,'1OZ7GT'!$E$6:$E$2989,"&gt;="&amp;L7,'1OZ7GT'!$E$6:$E$2989,"&lt;="&amp;EOMONTH(L7,0),'1OZ7GT'!$F$6:$F$2989,"Bond Received")+SUMIFS('1CN8DD'!$D$6:$D$2989,'1CN8DD'!$E$6:$E$2989,"&gt;="&amp;L7,'1CN8DD'!$E$6:$E$2989,"&lt;="&amp;EOMONTH(L7,0))-SUMIFS('1CN8DD'!$D$6:$D$2989,'1CN8DD'!$E$6:$E$2989,"&gt;="&amp;L7,'1CN8DD'!$E$6:$E$2989,"&lt;="&amp;EOMONTH(L7,0),'1CN8DD'!$F$6:$F$2989,$B$14)-(SUMIFS('1CN8DD'!$D$6:$D$2989,'1CN8DD'!$E$6:$E$2989,"&gt;="&amp;L7,'1CN8DD'!$E$6:$E$2989,"&lt;="&amp;EOMONTH(L7,0),'1CN8DD'!$F$6:$F$2989,"Discount Rent")*2)-SUMIFS('1CN8DD'!$D$6:$D$2989,'1CN8DD'!$E$6:$E$2989,"&gt;="&amp;L7,'1CN8DD'!$E$6:$E$2989,"&lt;="&amp;EOMONTH(L7,0),'1CN8DD'!$F$6:$F$2989,"Bond Received")+SUMIFS('1UT9BR'!$D$6:$D$2989,'1UT9BR'!$E$6:$E$2989,"&gt;="&amp;L7,'1UT9BR'!$E$6:$E$2989,"&lt;="&amp;EOMONTH(L7,0))-SUMIFS('1UT9BR'!$D$6:$D$2989,'1UT9BR'!$E$6:$E$2989,"&gt;="&amp;L7,'1UT9BR'!$E$6:$E$2989,"&lt;="&amp;EOMONTH(L7,0),'1UT9BR'!$F$6:$F$2989,$B$14)-(SUMIFS('1UT9BR'!$D$6:$D$2989,'1UT9BR'!$E$6:$E$2989,"&gt;="&amp;L7,'1UT9BR'!$E$6:$E$2989,"&lt;="&amp;EOMONTH(L7,0),'1UT9BR'!$F$6:$F$2989,"Discount Rent")*2)-SUMIFS('1UT9BR'!$D$6:$D$2989,'1UT9BR'!$E$6:$E$2989,"&gt;="&amp;L7,'1UT9BR'!$E$6:$E$2989,"&lt;="&amp;EOMONTH(L7,0),'1UT9BR'!$F$6:$F$2989,"Bond Received")+SUMIFS('1MK4UR'!$D$6:$D$2989,'1MK4UR'!$E$6:$E$2989,"&gt;="&amp;L7,'1MK4UR'!$E$6:$E$2989,"&lt;="&amp;EOMONTH(L7,0))-SUMIFS('1MK4UR'!$D$6:$D$2989,'1MK4UR'!$E$6:$E$2989,"&gt;="&amp;L7,'1MK4UR'!$E$6:$E$2989,"&lt;="&amp;EOMONTH(L7,0),'1MK4UR'!$F$6:$F$2989,$B$14)-(SUMIFS('1MK4UR'!$D$6:$D$2989,'1MK4UR'!$E$6:$E$2989,"&gt;="&amp;L7,'1MK4UR'!$E$6:$E$2989,"&lt;="&amp;EOMONTH(L7,0),'1MK4UR'!$F$6:$F$2989,"Discount Rent")*2)-SUMIFS('1MK4UR'!$D$6:$D$2989,'1MK4UR'!$E$6:$E$2989,"&gt;="&amp;L7,'1MK4UR'!$E$6:$E$2989,"&lt;="&amp;EOMONTH(L7,0),'1MK4UR'!$F$6:$F$2989,"Bond Received")</f>
        <v>#REF!</v>
      </c>
      <c r="M10" s="108" t="e">
        <f>SUMIFS('Other Expense'!$C$8:$C$3017,'Other Expense'!$B$8:$B$3017,"&gt;="&amp;M7,'Other Expense'!$B$8:$B$3017,"&lt;="&amp;EOMONTH(M7,0),'Other Expense'!$D$8:$D$3017,$B$9)+SUMIFS('CEI565'!$D$6:$D$2994,'CEI565'!$E$6:$E$2994,"&gt;="&amp;M7,'CEI565'!$E$6:$E$2994,"&lt;="&amp;EOMONTH(M7,0))-SUMIFS('CEI565'!$D$6:$D$2994,'CEI565'!$E$6:$E$2994,"&gt;="&amp;M7,'CEI565'!$E$6:$E$2994,"&lt;="&amp;EOMONTH(M7,0),'CEI565'!$F$6:$F$2994,$B$14)-(SUMIFS('CEI565'!$D$6:$D$2994,'CEI565'!$E$6:$E$2994,"&gt;="&amp;M7,'CEI565'!$E$6:$E$2994,"&lt;="&amp;EOMONTH(M7,0),'CEI565'!$F$6:$F$2994,"Discount Rent")*2)-SUMIFS('CEI565'!$D$6:$D$2994,'CEI565'!$E$6:$E$2994,"&gt;="&amp;M7,'CEI565'!$E$6:$E$2994,"&lt;="&amp;EOMONTH(M7,0),'CEI565'!$F$6:$F$2994,"Bond Received")+SUMIFS('1SM3VL'!$D$6:$D$2989,'1SM3VL'!$E$6:$E$2989,"&gt;="&amp;M7,'1SM3VL'!$E$6:$E$2989,"&lt;="&amp;EOMONTH(M7,0))-SUMIFS('1SM3VL'!$D$6:$D$2989,'1SM3VL'!$E$6:$E$2989,"&gt;="&amp;M7,'1SM3VL'!$E$6:$E$2989,"&lt;="&amp;EOMONTH(M7,0),'1SM3VL'!$F$6:$F$2989,$B$14)-(SUMIFS('1SM3VL'!$D$6:$D$2989,'1SM3VL'!$E$6:$E$2989,"&gt;="&amp;M7,'1SM3VL'!$E$6:$E$2989,"&lt;="&amp;EOMONTH(M7,0),'1SM3VL'!$F$6:$F$2989,"Discount Rent")*2)-SUMIFS('1SM3VL'!$D$6:$D$2989,'1SM3VL'!$E$6:$E$2989,"&gt;="&amp;M7,'1SM3VL'!$E$6:$E$2989,"&lt;="&amp;EOMONTH(M7,0),'1SM3VL'!$F$6:$F$2989,"Bond Received")+SUMIFS('1QF4SM'!$D$6:$D$2989,'1QF4SM'!$E$6:$E$2989,"&gt;="&amp;M7,'1QF4SM'!$E$6:$E$2989,"&lt;="&amp;EOMONTH(M7,0))-SUMIFS('1QF4SM'!$D$6:$D$2989,'1QF4SM'!$E$6:$E$2989,"&gt;="&amp;M7,'1QF4SM'!$E$6:$E$2989,"&lt;="&amp;EOMONTH(M7,0),'1QF4SM'!$F$6:$F$2989,$B$14)-(SUMIFS('1QF4SM'!$D$6:$D$2989,'1QF4SM'!$E$6:$E$2989,"&gt;="&amp;M7,'1QF4SM'!$E$6:$E$2989,"&lt;="&amp;EOMONTH(M7,0),'1QF4SM'!$F$6:$F$2989,"Discount Rent")*2)-SUMIFS('1QF4SM'!$D$6:$D$2989,'1QF4SM'!$E$6:$E$2989,"&gt;="&amp;M7,'1QF4SM'!$E$6:$E$2989,"&lt;="&amp;EOMONTH(M7,0),'1QF4SM'!$F$6:$F$2989,"Bond Received")+SUMIFS('1UV5KI'!$D$6:$D$2988,'1UV5KI'!$E$6:$E$2988,"&gt;="&amp;M7,'1UV5KI'!$E$6:$E$2988,"&lt;="&amp;EOMONTH(M7,0))-SUMIFS('1UV5KI'!$D$6:$D$2988,'1UV5KI'!$E$6:$E$2988,"&gt;="&amp;M7,'1UV5KI'!$E$6:$E$2988,"&lt;="&amp;EOMONTH(M7,0),'1UV5KI'!$F$6:$F$2988,$B$14)-(SUMIFS('1UV5KI'!$D$6:$D$2988,'1UV5KI'!$E$6:$E$2988,"&gt;="&amp;M7,'1UV5KI'!$E$6:$E$2988,"&lt;="&amp;EOMONTH(M7,0),'1UV5KI'!$F$6:$F$2988,"Discount Rent")*2)-SUMIFS('1UV5KI'!$D$6:$D$2988,'1UV5KI'!$E$6:$E$2988,"&gt;="&amp;M7,'1UV5KI'!$E$6:$E$2988,"&lt;="&amp;EOMONTH(M7,0),'1UV5KI'!$F$6:$F$2988,"Bond Received")+SUMIFS(#REF!,#REF!,"&gt;="&amp;M7,#REF!,"&lt;="&amp;EOMONTH(M7,0))-SUMIFS(#REF!,#REF!,"&gt;="&amp;M7,#REF!,"&lt;="&amp;EOMONTH(M7,0),#REF!,$B$14)-(SUMIFS(#REF!,#REF!,"&gt;="&amp;M7,#REF!,"&lt;="&amp;EOMONTH(M7,0),#REF!,"Discount Rent")*2)-SUMIFS(#REF!,#REF!,"&gt;="&amp;M7,#REF!,"&lt;="&amp;EOMONTH(M7,0),#REF!,"Bond Received")+SUMIFS('1UL9RY'!$D$6:$D$2989,'1UL9RY'!$E$6:$E$2989,"&gt;="&amp;M7,'1UL9RY'!$E$6:$E$2989,"&lt;="&amp;EOMONTH(M7,0))-SUMIFS('1UL9RY'!$D$6:$D$2989,'1UL9RY'!$E$6:$E$2989,"&gt;="&amp;M7,'1UL9RY'!$E$6:$E$2989,"&lt;="&amp;EOMONTH(M7,0),'1UL9RY'!$F$6:$F$2989,$B$14)-(SUMIFS('1UL9RY'!$D$6:$D$2989,'1UL9RY'!$E$6:$E$2989,"&gt;="&amp;M7,'1UL9RY'!$E$6:$E$2989,"&lt;="&amp;EOMONTH(M7,0),'1UL9RY'!$F$6:$F$2989,"Discount Rent")*2)-SUMIFS('1UL9RY'!$D$6:$D$2989,'1UL9RY'!$E$6:$E$2989,"&gt;="&amp;M7,'1UL9RY'!$E$6:$E$2989,"&lt;="&amp;EOMONTH(M7,0),'1UL9RY'!$F$6:$F$2989,"Bond Received")+SUMIFS('1OZ7GT'!$D$6:$D$2989,'1OZ7GT'!$E$6:$E$2989,"&gt;="&amp;M7,'1OZ7GT'!$E$6:$E$2989,"&lt;="&amp;EOMONTH(M7,0))-SUMIFS('1OZ7GT'!$D$6:$D$2989,'1OZ7GT'!$E$6:$E$2989,"&gt;="&amp;M7,'1OZ7GT'!$E$6:$E$2989,"&lt;="&amp;EOMONTH(M7,0),'1OZ7GT'!$F$6:$F$2989,$B$14)-(SUMIFS('1OZ7GT'!$D$6:$D$2989,'1OZ7GT'!$E$6:$E$2989,"&gt;="&amp;M7,'1OZ7GT'!$E$6:$E$2989,"&lt;="&amp;EOMONTH(M7,0),'1OZ7GT'!$F$6:$F$2989,"Discount Rent")*2)-SUMIFS('1OZ7GT'!$D$6:$D$2989,'1OZ7GT'!$E$6:$E$2989,"&gt;="&amp;M7,'1OZ7GT'!$E$6:$E$2989,"&lt;="&amp;EOMONTH(M7,0),'1OZ7GT'!$F$6:$F$2989,"Bond Received")+SUMIFS('1CN8DD'!$D$6:$D$2989,'1CN8DD'!$E$6:$E$2989,"&gt;="&amp;M7,'1CN8DD'!$E$6:$E$2989,"&lt;="&amp;EOMONTH(M7,0))-SUMIFS('1CN8DD'!$D$6:$D$2989,'1CN8DD'!$E$6:$E$2989,"&gt;="&amp;M7,'1CN8DD'!$E$6:$E$2989,"&lt;="&amp;EOMONTH(M7,0),'1CN8DD'!$F$6:$F$2989,$B$14)-(SUMIFS('1CN8DD'!$D$6:$D$2989,'1CN8DD'!$E$6:$E$2989,"&gt;="&amp;M7,'1CN8DD'!$E$6:$E$2989,"&lt;="&amp;EOMONTH(M7,0),'1CN8DD'!$F$6:$F$2989,"Discount Rent")*2)-SUMIFS('1CN8DD'!$D$6:$D$2989,'1CN8DD'!$E$6:$E$2989,"&gt;="&amp;M7,'1CN8DD'!$E$6:$E$2989,"&lt;="&amp;EOMONTH(M7,0),'1CN8DD'!$F$6:$F$2989,"Bond Received")+SUMIFS('1UT9BR'!$D$6:$D$2989,'1UT9BR'!$E$6:$E$2989,"&gt;="&amp;M7,'1UT9BR'!$E$6:$E$2989,"&lt;="&amp;EOMONTH(M7,0))-SUMIFS('1UT9BR'!$D$6:$D$2989,'1UT9BR'!$E$6:$E$2989,"&gt;="&amp;M7,'1UT9BR'!$E$6:$E$2989,"&lt;="&amp;EOMONTH(M7,0),'1UT9BR'!$F$6:$F$2989,$B$14)-(SUMIFS('1UT9BR'!$D$6:$D$2989,'1UT9BR'!$E$6:$E$2989,"&gt;="&amp;M7,'1UT9BR'!$E$6:$E$2989,"&lt;="&amp;EOMONTH(M7,0),'1UT9BR'!$F$6:$F$2989,"Discount Rent")*2)-SUMIFS('1UT9BR'!$D$6:$D$2989,'1UT9BR'!$E$6:$E$2989,"&gt;="&amp;M7,'1UT9BR'!$E$6:$E$2989,"&lt;="&amp;EOMONTH(M7,0),'1UT9BR'!$F$6:$F$2989,"Bond Received")+SUMIFS('1MK4UR'!$D$6:$D$2989,'1MK4UR'!$E$6:$E$2989,"&gt;="&amp;M7,'1MK4UR'!$E$6:$E$2989,"&lt;="&amp;EOMONTH(M7,0))-SUMIFS('1MK4UR'!$D$6:$D$2989,'1MK4UR'!$E$6:$E$2989,"&gt;="&amp;M7,'1MK4UR'!$E$6:$E$2989,"&lt;="&amp;EOMONTH(M7,0),'1MK4UR'!$F$6:$F$2989,$B$14)-(SUMIFS('1MK4UR'!$D$6:$D$2989,'1MK4UR'!$E$6:$E$2989,"&gt;="&amp;M7,'1MK4UR'!$E$6:$E$2989,"&lt;="&amp;EOMONTH(M7,0),'1MK4UR'!$F$6:$F$2989,"Discount Rent")*2)-SUMIFS('1MK4UR'!$D$6:$D$2989,'1MK4UR'!$E$6:$E$2989,"&gt;="&amp;M7,'1MK4UR'!$E$6:$E$2989,"&lt;="&amp;EOMONTH(M7,0),'1MK4UR'!$F$6:$F$2989,"Bond Received")</f>
        <v>#REF!</v>
      </c>
      <c r="N10" s="108" t="e">
        <f>SUMIFS('Other Expense'!$C$8:$C$3017,'Other Expense'!$B$8:$B$3017,"&gt;="&amp;N7,'Other Expense'!$B$8:$B$3017,"&lt;="&amp;EOMONTH(N7,0),'Other Expense'!$D$8:$D$3017,$B$9)+SUMIFS('CEI565'!$D$6:$D$2994,'CEI565'!$E$6:$E$2994,"&gt;="&amp;N7,'CEI565'!$E$6:$E$2994,"&lt;="&amp;EOMONTH(N7,0))-SUMIFS('CEI565'!$D$6:$D$2994,'CEI565'!$E$6:$E$2994,"&gt;="&amp;N7,'CEI565'!$E$6:$E$2994,"&lt;="&amp;EOMONTH(N7,0),'CEI565'!$F$6:$F$2994,$B$14)-(SUMIFS('CEI565'!$D$6:$D$2994,'CEI565'!$E$6:$E$2994,"&gt;="&amp;N7,'CEI565'!$E$6:$E$2994,"&lt;="&amp;EOMONTH(N7,0),'CEI565'!$F$6:$F$2994,"Discount Rent")*2)-SUMIFS('CEI565'!$D$6:$D$2994,'CEI565'!$E$6:$E$2994,"&gt;="&amp;N7,'CEI565'!$E$6:$E$2994,"&lt;="&amp;EOMONTH(N7,0),'CEI565'!$F$6:$F$2994,"Bond Received")+SUMIFS('1SM3VL'!$D$6:$D$2989,'1SM3VL'!$E$6:$E$2989,"&gt;="&amp;N7,'1SM3VL'!$E$6:$E$2989,"&lt;="&amp;EOMONTH(N7,0))-SUMIFS('1SM3VL'!$D$6:$D$2989,'1SM3VL'!$E$6:$E$2989,"&gt;="&amp;N7,'1SM3VL'!$E$6:$E$2989,"&lt;="&amp;EOMONTH(N7,0),'1SM3VL'!$F$6:$F$2989,$B$14)-(SUMIFS('1SM3VL'!$D$6:$D$2989,'1SM3VL'!$E$6:$E$2989,"&gt;="&amp;N7,'1SM3VL'!$E$6:$E$2989,"&lt;="&amp;EOMONTH(N7,0),'1SM3VL'!$F$6:$F$2989,"Discount Rent")*2)-SUMIFS('1SM3VL'!$D$6:$D$2989,'1SM3VL'!$E$6:$E$2989,"&gt;="&amp;N7,'1SM3VL'!$E$6:$E$2989,"&lt;="&amp;EOMONTH(N7,0),'1SM3VL'!$F$6:$F$2989,"Bond Received")+SUMIFS('1QF4SM'!$D$6:$D$2989,'1QF4SM'!$E$6:$E$2989,"&gt;="&amp;N7,'1QF4SM'!$E$6:$E$2989,"&lt;="&amp;EOMONTH(N7,0))-SUMIFS('1QF4SM'!$D$6:$D$2989,'1QF4SM'!$E$6:$E$2989,"&gt;="&amp;N7,'1QF4SM'!$E$6:$E$2989,"&lt;="&amp;EOMONTH(N7,0),'1QF4SM'!$F$6:$F$2989,$B$14)-(SUMIFS('1QF4SM'!$D$6:$D$2989,'1QF4SM'!$E$6:$E$2989,"&gt;="&amp;N7,'1QF4SM'!$E$6:$E$2989,"&lt;="&amp;EOMONTH(N7,0),'1QF4SM'!$F$6:$F$2989,"Discount Rent")*2)-SUMIFS('1QF4SM'!$D$6:$D$2989,'1QF4SM'!$E$6:$E$2989,"&gt;="&amp;N7,'1QF4SM'!$E$6:$E$2989,"&lt;="&amp;EOMONTH(N7,0),'1QF4SM'!$F$6:$F$2989,"Bond Received")+SUMIFS('1UV5KI'!$D$6:$D$2988,'1UV5KI'!$E$6:$E$2988,"&gt;="&amp;N7,'1UV5KI'!$E$6:$E$2988,"&lt;="&amp;EOMONTH(N7,0))-SUMIFS('1UV5KI'!$D$6:$D$2988,'1UV5KI'!$E$6:$E$2988,"&gt;="&amp;N7,'1UV5KI'!$E$6:$E$2988,"&lt;="&amp;EOMONTH(N7,0),'1UV5KI'!$F$6:$F$2988,$B$14)-(SUMIFS('1UV5KI'!$D$6:$D$2988,'1UV5KI'!$E$6:$E$2988,"&gt;="&amp;N7,'1UV5KI'!$E$6:$E$2988,"&lt;="&amp;EOMONTH(N7,0),'1UV5KI'!$F$6:$F$2988,"Discount Rent")*2)-SUMIFS('1UV5KI'!$D$6:$D$2988,'1UV5KI'!$E$6:$E$2988,"&gt;="&amp;N7,'1UV5KI'!$E$6:$E$2988,"&lt;="&amp;EOMONTH(N7,0),'1UV5KI'!$F$6:$F$2988,"Bond Received")+SUMIFS(#REF!,#REF!,"&gt;="&amp;N7,#REF!,"&lt;="&amp;EOMONTH(N7,0))-SUMIFS(#REF!,#REF!,"&gt;="&amp;N7,#REF!,"&lt;="&amp;EOMONTH(N7,0),#REF!,$B$14)-(SUMIFS(#REF!,#REF!,"&gt;="&amp;N7,#REF!,"&lt;="&amp;EOMONTH(N7,0),#REF!,"Discount Rent")*2)-SUMIFS(#REF!,#REF!,"&gt;="&amp;N7,#REF!,"&lt;="&amp;EOMONTH(N7,0),#REF!,"Bond Received")+SUMIFS('1UL9RY'!$D$6:$D$2989,'1UL9RY'!$E$6:$E$2989,"&gt;="&amp;N7,'1UL9RY'!$E$6:$E$2989,"&lt;="&amp;EOMONTH(N7,0))-SUMIFS('1UL9RY'!$D$6:$D$2989,'1UL9RY'!$E$6:$E$2989,"&gt;="&amp;N7,'1UL9RY'!$E$6:$E$2989,"&lt;="&amp;EOMONTH(N7,0),'1UL9RY'!$F$6:$F$2989,$B$14)-(SUMIFS('1UL9RY'!$D$6:$D$2989,'1UL9RY'!$E$6:$E$2989,"&gt;="&amp;N7,'1UL9RY'!$E$6:$E$2989,"&lt;="&amp;EOMONTH(N7,0),'1UL9RY'!$F$6:$F$2989,"Discount Rent")*2)-SUMIFS('1UL9RY'!$D$6:$D$2989,'1UL9RY'!$E$6:$E$2989,"&gt;="&amp;N7,'1UL9RY'!$E$6:$E$2989,"&lt;="&amp;EOMONTH(N7,0),'1UL9RY'!$F$6:$F$2989,"Bond Received")+SUMIFS('1OZ7GT'!$D$6:$D$2989,'1OZ7GT'!$E$6:$E$2989,"&gt;="&amp;N7,'1OZ7GT'!$E$6:$E$2989,"&lt;="&amp;EOMONTH(N7,0))-SUMIFS('1OZ7GT'!$D$6:$D$2989,'1OZ7GT'!$E$6:$E$2989,"&gt;="&amp;N7,'1OZ7GT'!$E$6:$E$2989,"&lt;="&amp;EOMONTH(N7,0),'1OZ7GT'!$F$6:$F$2989,$B$14)-(SUMIFS('1OZ7GT'!$D$6:$D$2989,'1OZ7GT'!$E$6:$E$2989,"&gt;="&amp;N7,'1OZ7GT'!$E$6:$E$2989,"&lt;="&amp;EOMONTH(N7,0),'1OZ7GT'!$F$6:$F$2989,"Discount Rent")*2)-SUMIFS('1OZ7GT'!$D$6:$D$2989,'1OZ7GT'!$E$6:$E$2989,"&gt;="&amp;N7,'1OZ7GT'!$E$6:$E$2989,"&lt;="&amp;EOMONTH(N7,0),'1OZ7GT'!$F$6:$F$2989,"Bond Received")+SUMIFS('1CN8DD'!$D$6:$D$2989,'1CN8DD'!$E$6:$E$2989,"&gt;="&amp;N7,'1CN8DD'!$E$6:$E$2989,"&lt;="&amp;EOMONTH(N7,0))-SUMIFS('1CN8DD'!$D$6:$D$2989,'1CN8DD'!$E$6:$E$2989,"&gt;="&amp;N7,'1CN8DD'!$E$6:$E$2989,"&lt;="&amp;EOMONTH(N7,0),'1CN8DD'!$F$6:$F$2989,$B$14)-(SUMIFS('1CN8DD'!$D$6:$D$2989,'1CN8DD'!$E$6:$E$2989,"&gt;="&amp;N7,'1CN8DD'!$E$6:$E$2989,"&lt;="&amp;EOMONTH(N7,0),'1CN8DD'!$F$6:$F$2989,"Discount Rent")*2)-SUMIFS('1CN8DD'!$D$6:$D$2989,'1CN8DD'!$E$6:$E$2989,"&gt;="&amp;N7,'1CN8DD'!$E$6:$E$2989,"&lt;="&amp;EOMONTH(N7,0),'1CN8DD'!$F$6:$F$2989,"Bond Received")+SUMIFS('1UT9BR'!$D$6:$D$2989,'1UT9BR'!$E$6:$E$2989,"&gt;="&amp;N7,'1UT9BR'!$E$6:$E$2989,"&lt;="&amp;EOMONTH(N7,0))-SUMIFS('1UT9BR'!$D$6:$D$2989,'1UT9BR'!$E$6:$E$2989,"&gt;="&amp;N7,'1UT9BR'!$E$6:$E$2989,"&lt;="&amp;EOMONTH(N7,0),'1UT9BR'!$F$6:$F$2989,$B$14)-(SUMIFS('1UT9BR'!$D$6:$D$2989,'1UT9BR'!$E$6:$E$2989,"&gt;="&amp;N7,'1UT9BR'!$E$6:$E$2989,"&lt;="&amp;EOMONTH(N7,0),'1UT9BR'!$F$6:$F$2989,"Discount Rent")*2)-SUMIFS('1UT9BR'!$D$6:$D$2989,'1UT9BR'!$E$6:$E$2989,"&gt;="&amp;N7,'1UT9BR'!$E$6:$E$2989,"&lt;="&amp;EOMONTH(N7,0),'1UT9BR'!$F$6:$F$2989,"Bond Received")+SUMIFS('1MK4UR'!$D$6:$D$2989,'1MK4UR'!$E$6:$E$2989,"&gt;="&amp;N7,'1MK4UR'!$E$6:$E$2989,"&lt;="&amp;EOMONTH(N7,0))-SUMIFS('1MK4UR'!$D$6:$D$2989,'1MK4UR'!$E$6:$E$2989,"&gt;="&amp;N7,'1MK4UR'!$E$6:$E$2989,"&lt;="&amp;EOMONTH(N7,0),'1MK4UR'!$F$6:$F$2989,$B$14)-(SUMIFS('1MK4UR'!$D$6:$D$2989,'1MK4UR'!$E$6:$E$2989,"&gt;="&amp;N7,'1MK4UR'!$E$6:$E$2989,"&lt;="&amp;EOMONTH(N7,0),'1MK4UR'!$F$6:$F$2989,"Discount Rent")*2)-SUMIFS('1MK4UR'!$D$6:$D$2989,'1MK4UR'!$E$6:$E$2989,"&gt;="&amp;N7,'1MK4UR'!$E$6:$E$2989,"&lt;="&amp;EOMONTH(N7,0),'1MK4UR'!$F$6:$F$2989,"Bond Received")</f>
        <v>#REF!</v>
      </c>
      <c r="O10" s="108" t="e">
        <f>SUMIFS('Other Expense'!$C$8:$C$3017,'Other Expense'!$B$8:$B$3017,"&gt;="&amp;O7,'Other Expense'!$B$8:$B$3017,"&lt;="&amp;EOMONTH(O7,0),'Other Expense'!$D$8:$D$3017,$B$9)+SUMIFS('CEI565'!$D$6:$D$2994,'CEI565'!$E$6:$E$2994,"&gt;="&amp;O7,'CEI565'!$E$6:$E$2994,"&lt;="&amp;EOMONTH(O7,0))-SUMIFS('CEI565'!$D$6:$D$2994,'CEI565'!$E$6:$E$2994,"&gt;="&amp;O7,'CEI565'!$E$6:$E$2994,"&lt;="&amp;EOMONTH(O7,0),'CEI565'!$F$6:$F$2994,$B$14)-(SUMIFS('CEI565'!$D$6:$D$2994,'CEI565'!$E$6:$E$2994,"&gt;="&amp;O7,'CEI565'!$E$6:$E$2994,"&lt;="&amp;EOMONTH(O7,0),'CEI565'!$F$6:$F$2994,"Discount Rent")*2)-SUMIFS('CEI565'!$D$6:$D$2994,'CEI565'!$E$6:$E$2994,"&gt;="&amp;O7,'CEI565'!$E$6:$E$2994,"&lt;="&amp;EOMONTH(O7,0),'CEI565'!$F$6:$F$2994,"Bond Received")+SUMIFS('1SM3VL'!$D$6:$D$2989,'1SM3VL'!$E$6:$E$2989,"&gt;="&amp;O7,'1SM3VL'!$E$6:$E$2989,"&lt;="&amp;EOMONTH(O7,0))-SUMIFS('1SM3VL'!$D$6:$D$2989,'1SM3VL'!$E$6:$E$2989,"&gt;="&amp;O7,'1SM3VL'!$E$6:$E$2989,"&lt;="&amp;EOMONTH(O7,0),'1SM3VL'!$F$6:$F$2989,$B$14)-(SUMIFS('1SM3VL'!$D$6:$D$2989,'1SM3VL'!$E$6:$E$2989,"&gt;="&amp;O7,'1SM3VL'!$E$6:$E$2989,"&lt;="&amp;EOMONTH(O7,0),'1SM3VL'!$F$6:$F$2989,"Discount Rent")*2)-SUMIFS('1SM3VL'!$D$6:$D$2989,'1SM3VL'!$E$6:$E$2989,"&gt;="&amp;O7,'1SM3VL'!$E$6:$E$2989,"&lt;="&amp;EOMONTH(O7,0),'1SM3VL'!$F$6:$F$2989,"Bond Received")+SUMIFS('1QF4SM'!$D$6:$D$2989,'1QF4SM'!$E$6:$E$2989,"&gt;="&amp;O7,'1QF4SM'!$E$6:$E$2989,"&lt;="&amp;EOMONTH(O7,0))-SUMIFS('1QF4SM'!$D$6:$D$2989,'1QF4SM'!$E$6:$E$2989,"&gt;="&amp;O7,'1QF4SM'!$E$6:$E$2989,"&lt;="&amp;EOMONTH(O7,0),'1QF4SM'!$F$6:$F$2989,$B$14)-(SUMIFS('1QF4SM'!$D$6:$D$2989,'1QF4SM'!$E$6:$E$2989,"&gt;="&amp;O7,'1QF4SM'!$E$6:$E$2989,"&lt;="&amp;EOMONTH(O7,0),'1QF4SM'!$F$6:$F$2989,"Discount Rent")*2)-SUMIFS('1QF4SM'!$D$6:$D$2989,'1QF4SM'!$E$6:$E$2989,"&gt;="&amp;O7,'1QF4SM'!$E$6:$E$2989,"&lt;="&amp;EOMONTH(O7,0),'1QF4SM'!$F$6:$F$2989,"Bond Received")+SUMIFS('1UV5KI'!$D$6:$D$2988,'1UV5KI'!$E$6:$E$2988,"&gt;="&amp;O7,'1UV5KI'!$E$6:$E$2988,"&lt;="&amp;EOMONTH(O7,0))-SUMIFS('1UV5KI'!$D$6:$D$2988,'1UV5KI'!$E$6:$E$2988,"&gt;="&amp;O7,'1UV5KI'!$E$6:$E$2988,"&lt;="&amp;EOMONTH(O7,0),'1UV5KI'!$F$6:$F$2988,$B$14)-(SUMIFS('1UV5KI'!$D$6:$D$2988,'1UV5KI'!$E$6:$E$2988,"&gt;="&amp;O7,'1UV5KI'!$E$6:$E$2988,"&lt;="&amp;EOMONTH(O7,0),'1UV5KI'!$F$6:$F$2988,"Discount Rent")*2)-SUMIFS('1UV5KI'!$D$6:$D$2988,'1UV5KI'!$E$6:$E$2988,"&gt;="&amp;O7,'1UV5KI'!$E$6:$E$2988,"&lt;="&amp;EOMONTH(O7,0),'1UV5KI'!$F$6:$F$2988,"Bond Received")+SUMIFS(#REF!,#REF!,"&gt;="&amp;O7,#REF!,"&lt;="&amp;EOMONTH(O7,0))-SUMIFS(#REF!,#REF!,"&gt;="&amp;O7,#REF!,"&lt;="&amp;EOMONTH(O7,0),#REF!,$B$14)-(SUMIFS(#REF!,#REF!,"&gt;="&amp;O7,#REF!,"&lt;="&amp;EOMONTH(O7,0),#REF!,"Discount Rent")*2)-SUMIFS(#REF!,#REF!,"&gt;="&amp;O7,#REF!,"&lt;="&amp;EOMONTH(O7,0),#REF!,"Bond Received")+SUMIFS('1UL9RY'!$D$6:$D$2989,'1UL9RY'!$E$6:$E$2989,"&gt;="&amp;O7,'1UL9RY'!$E$6:$E$2989,"&lt;="&amp;EOMONTH(O7,0))-SUMIFS('1UL9RY'!$D$6:$D$2989,'1UL9RY'!$E$6:$E$2989,"&gt;="&amp;O7,'1UL9RY'!$E$6:$E$2989,"&lt;="&amp;EOMONTH(O7,0),'1UL9RY'!$F$6:$F$2989,$B$14)-(SUMIFS('1UL9RY'!$D$6:$D$2989,'1UL9RY'!$E$6:$E$2989,"&gt;="&amp;O7,'1UL9RY'!$E$6:$E$2989,"&lt;="&amp;EOMONTH(O7,0),'1UL9RY'!$F$6:$F$2989,"Discount Rent")*2)-SUMIFS('1UL9RY'!$D$6:$D$2989,'1UL9RY'!$E$6:$E$2989,"&gt;="&amp;O7,'1UL9RY'!$E$6:$E$2989,"&lt;="&amp;EOMONTH(O7,0),'1UL9RY'!$F$6:$F$2989,"Bond Received")+SUMIFS('1OZ7GT'!$D$6:$D$2989,'1OZ7GT'!$E$6:$E$2989,"&gt;="&amp;O7,'1OZ7GT'!$E$6:$E$2989,"&lt;="&amp;EOMONTH(O7,0))-SUMIFS('1OZ7GT'!$D$6:$D$2989,'1OZ7GT'!$E$6:$E$2989,"&gt;="&amp;O7,'1OZ7GT'!$E$6:$E$2989,"&lt;="&amp;EOMONTH(O7,0),'1OZ7GT'!$F$6:$F$2989,$B$14)-(SUMIFS('1OZ7GT'!$D$6:$D$2989,'1OZ7GT'!$E$6:$E$2989,"&gt;="&amp;O7,'1OZ7GT'!$E$6:$E$2989,"&lt;="&amp;EOMONTH(O7,0),'1OZ7GT'!$F$6:$F$2989,"Discount Rent")*2)-SUMIFS('1OZ7GT'!$D$6:$D$2989,'1OZ7GT'!$E$6:$E$2989,"&gt;="&amp;O7,'1OZ7GT'!$E$6:$E$2989,"&lt;="&amp;EOMONTH(O7,0),'1OZ7GT'!$F$6:$F$2989,"Bond Received")+SUMIFS('1CN8DD'!$D$6:$D$2989,'1CN8DD'!$E$6:$E$2989,"&gt;="&amp;O7,'1CN8DD'!$E$6:$E$2989,"&lt;="&amp;EOMONTH(O7,0))-SUMIFS('1CN8DD'!$D$6:$D$2989,'1CN8DD'!$E$6:$E$2989,"&gt;="&amp;O7,'1CN8DD'!$E$6:$E$2989,"&lt;="&amp;EOMONTH(O7,0),'1CN8DD'!$F$6:$F$2989,$B$14)-(SUMIFS('1CN8DD'!$D$6:$D$2989,'1CN8DD'!$E$6:$E$2989,"&gt;="&amp;O7,'1CN8DD'!$E$6:$E$2989,"&lt;="&amp;EOMONTH(O7,0),'1CN8DD'!$F$6:$F$2989,"Discount Rent")*2)-SUMIFS('1CN8DD'!$D$6:$D$2989,'1CN8DD'!$E$6:$E$2989,"&gt;="&amp;O7,'1CN8DD'!$E$6:$E$2989,"&lt;="&amp;EOMONTH(O7,0),'1CN8DD'!$F$6:$F$2989,"Bond Received")+SUMIFS('1UT9BR'!$D$6:$D$2989,'1UT9BR'!$E$6:$E$2989,"&gt;="&amp;O7,'1UT9BR'!$E$6:$E$2989,"&lt;="&amp;EOMONTH(O7,0))-SUMIFS('1UT9BR'!$D$6:$D$2989,'1UT9BR'!$E$6:$E$2989,"&gt;="&amp;O7,'1UT9BR'!$E$6:$E$2989,"&lt;="&amp;EOMONTH(O7,0),'1UT9BR'!$F$6:$F$2989,$B$14)-(SUMIFS('1UT9BR'!$D$6:$D$2989,'1UT9BR'!$E$6:$E$2989,"&gt;="&amp;O7,'1UT9BR'!$E$6:$E$2989,"&lt;="&amp;EOMONTH(O7,0),'1UT9BR'!$F$6:$F$2989,"Discount Rent")*2)-SUMIFS('1UT9BR'!$D$6:$D$2989,'1UT9BR'!$E$6:$E$2989,"&gt;="&amp;O7,'1UT9BR'!$E$6:$E$2989,"&lt;="&amp;EOMONTH(O7,0),'1UT9BR'!$F$6:$F$2989,"Bond Received")+SUMIFS('1MK4UR'!$D$6:$D$2989,'1MK4UR'!$E$6:$E$2989,"&gt;="&amp;O7,'1MK4UR'!$E$6:$E$2989,"&lt;="&amp;EOMONTH(O7,0))-SUMIFS('1MK4UR'!$D$6:$D$2989,'1MK4UR'!$E$6:$E$2989,"&gt;="&amp;O7,'1MK4UR'!$E$6:$E$2989,"&lt;="&amp;EOMONTH(O7,0),'1MK4UR'!$F$6:$F$2989,$B$14)-(SUMIFS('1MK4UR'!$D$6:$D$2989,'1MK4UR'!$E$6:$E$2989,"&gt;="&amp;O7,'1MK4UR'!$E$6:$E$2989,"&lt;="&amp;EOMONTH(O7,0),'1MK4UR'!$F$6:$F$2989,"Discount Rent")*2)-SUMIFS('1MK4UR'!$D$6:$D$2989,'1MK4UR'!$E$6:$E$2989,"&gt;="&amp;O7,'1MK4UR'!$E$6:$E$2989,"&lt;="&amp;EOMONTH(O7,0),'1MK4UR'!$F$6:$F$2989,"Bond Received")</f>
        <v>#REF!</v>
      </c>
      <c r="P10" s="108" t="e">
        <f>SUMIFS('Other Expense'!$C$8:$C$3017,'Other Expense'!$B$8:$B$3017,"&gt;="&amp;P7,'Other Expense'!$B$8:$B$3017,"&lt;="&amp;EOMONTH(P7,0),'Other Expense'!$D$8:$D$3017,$B$9)+SUMIFS('CEI565'!$D$6:$D$2994,'CEI565'!$E$6:$E$2994,"&gt;="&amp;P7,'CEI565'!$E$6:$E$2994,"&lt;="&amp;EOMONTH(P7,0))-SUMIFS('CEI565'!$D$6:$D$2994,'CEI565'!$E$6:$E$2994,"&gt;="&amp;P7,'CEI565'!$E$6:$E$2994,"&lt;="&amp;EOMONTH(P7,0),'CEI565'!$F$6:$F$2994,$B$14)-(SUMIFS('CEI565'!$D$6:$D$2994,'CEI565'!$E$6:$E$2994,"&gt;="&amp;P7,'CEI565'!$E$6:$E$2994,"&lt;="&amp;EOMONTH(P7,0),'CEI565'!$F$6:$F$2994,"Discount Rent")*2)-SUMIFS('CEI565'!$D$6:$D$2994,'CEI565'!$E$6:$E$2994,"&gt;="&amp;P7,'CEI565'!$E$6:$E$2994,"&lt;="&amp;EOMONTH(P7,0),'CEI565'!$F$6:$F$2994,"Bond Received")+SUMIFS('1SM3VL'!$D$6:$D$2989,'1SM3VL'!$E$6:$E$2989,"&gt;="&amp;P7,'1SM3VL'!$E$6:$E$2989,"&lt;="&amp;EOMONTH(P7,0))-SUMIFS('1SM3VL'!$D$6:$D$2989,'1SM3VL'!$E$6:$E$2989,"&gt;="&amp;P7,'1SM3VL'!$E$6:$E$2989,"&lt;="&amp;EOMONTH(P7,0),'1SM3VL'!$F$6:$F$2989,$B$14)-(SUMIFS('1SM3VL'!$D$6:$D$2989,'1SM3VL'!$E$6:$E$2989,"&gt;="&amp;P7,'1SM3VL'!$E$6:$E$2989,"&lt;="&amp;EOMONTH(P7,0),'1SM3VL'!$F$6:$F$2989,"Discount Rent")*2)-SUMIFS('1SM3VL'!$D$6:$D$2989,'1SM3VL'!$E$6:$E$2989,"&gt;="&amp;P7,'1SM3VL'!$E$6:$E$2989,"&lt;="&amp;EOMONTH(P7,0),'1SM3VL'!$F$6:$F$2989,"Bond Received")+SUMIFS('1QF4SM'!$D$6:$D$2989,'1QF4SM'!$E$6:$E$2989,"&gt;="&amp;P7,'1QF4SM'!$E$6:$E$2989,"&lt;="&amp;EOMONTH(P7,0))-SUMIFS('1QF4SM'!$D$6:$D$2989,'1QF4SM'!$E$6:$E$2989,"&gt;="&amp;P7,'1QF4SM'!$E$6:$E$2989,"&lt;="&amp;EOMONTH(P7,0),'1QF4SM'!$F$6:$F$2989,$B$14)-(SUMIFS('1QF4SM'!$D$6:$D$2989,'1QF4SM'!$E$6:$E$2989,"&gt;="&amp;P7,'1QF4SM'!$E$6:$E$2989,"&lt;="&amp;EOMONTH(P7,0),'1QF4SM'!$F$6:$F$2989,"Discount Rent")*2)-SUMIFS('1QF4SM'!$D$6:$D$2989,'1QF4SM'!$E$6:$E$2989,"&gt;="&amp;P7,'1QF4SM'!$E$6:$E$2989,"&lt;="&amp;EOMONTH(P7,0),'1QF4SM'!$F$6:$F$2989,"Bond Received")+SUMIFS('1UV5KI'!$D$6:$D$2988,'1UV5KI'!$E$6:$E$2988,"&gt;="&amp;P7,'1UV5KI'!$E$6:$E$2988,"&lt;="&amp;EOMONTH(P7,0))-SUMIFS('1UV5KI'!$D$6:$D$2988,'1UV5KI'!$E$6:$E$2988,"&gt;="&amp;P7,'1UV5KI'!$E$6:$E$2988,"&lt;="&amp;EOMONTH(P7,0),'1UV5KI'!$F$6:$F$2988,$B$14)-(SUMIFS('1UV5KI'!$D$6:$D$2988,'1UV5KI'!$E$6:$E$2988,"&gt;="&amp;P7,'1UV5KI'!$E$6:$E$2988,"&lt;="&amp;EOMONTH(P7,0),'1UV5KI'!$F$6:$F$2988,"Discount Rent")*2)-SUMIFS('1UV5KI'!$D$6:$D$2988,'1UV5KI'!$E$6:$E$2988,"&gt;="&amp;P7,'1UV5KI'!$E$6:$E$2988,"&lt;="&amp;EOMONTH(P7,0),'1UV5KI'!$F$6:$F$2988,"Bond Received")+SUMIFS(#REF!,#REF!,"&gt;="&amp;P7,#REF!,"&lt;="&amp;EOMONTH(P7,0))-SUMIFS(#REF!,#REF!,"&gt;="&amp;P7,#REF!,"&lt;="&amp;EOMONTH(P7,0),#REF!,$B$14)-(SUMIFS(#REF!,#REF!,"&gt;="&amp;P7,#REF!,"&lt;="&amp;EOMONTH(P7,0),#REF!,"Discount Rent")*2)-SUMIFS(#REF!,#REF!,"&gt;="&amp;P7,#REF!,"&lt;="&amp;EOMONTH(P7,0),#REF!,"Bond Received")+SUMIFS('1UL9RY'!$D$6:$D$2989,'1UL9RY'!$E$6:$E$2989,"&gt;="&amp;P7,'1UL9RY'!$E$6:$E$2989,"&lt;="&amp;EOMONTH(P7,0))-SUMIFS('1UL9RY'!$D$6:$D$2989,'1UL9RY'!$E$6:$E$2989,"&gt;="&amp;P7,'1UL9RY'!$E$6:$E$2989,"&lt;="&amp;EOMONTH(P7,0),'1UL9RY'!$F$6:$F$2989,$B$14)-(SUMIFS('1UL9RY'!$D$6:$D$2989,'1UL9RY'!$E$6:$E$2989,"&gt;="&amp;P7,'1UL9RY'!$E$6:$E$2989,"&lt;="&amp;EOMONTH(P7,0),'1UL9RY'!$F$6:$F$2989,"Discount Rent")*2)-SUMIFS('1UL9RY'!$D$6:$D$2989,'1UL9RY'!$E$6:$E$2989,"&gt;="&amp;P7,'1UL9RY'!$E$6:$E$2989,"&lt;="&amp;EOMONTH(P7,0),'1UL9RY'!$F$6:$F$2989,"Bond Received")+SUMIFS('1OZ7GT'!$D$6:$D$2989,'1OZ7GT'!$E$6:$E$2989,"&gt;="&amp;P7,'1OZ7GT'!$E$6:$E$2989,"&lt;="&amp;EOMONTH(P7,0))-SUMIFS('1OZ7GT'!$D$6:$D$2989,'1OZ7GT'!$E$6:$E$2989,"&gt;="&amp;P7,'1OZ7GT'!$E$6:$E$2989,"&lt;="&amp;EOMONTH(P7,0),'1OZ7GT'!$F$6:$F$2989,$B$14)-(SUMIFS('1OZ7GT'!$D$6:$D$2989,'1OZ7GT'!$E$6:$E$2989,"&gt;="&amp;P7,'1OZ7GT'!$E$6:$E$2989,"&lt;="&amp;EOMONTH(P7,0),'1OZ7GT'!$F$6:$F$2989,"Discount Rent")*2)-SUMIFS('1OZ7GT'!$D$6:$D$2989,'1OZ7GT'!$E$6:$E$2989,"&gt;="&amp;P7,'1OZ7GT'!$E$6:$E$2989,"&lt;="&amp;EOMONTH(P7,0),'1OZ7GT'!$F$6:$F$2989,"Bond Received")+SUMIFS('1CN8DD'!$D$6:$D$2989,'1CN8DD'!$E$6:$E$2989,"&gt;="&amp;P7,'1CN8DD'!$E$6:$E$2989,"&lt;="&amp;EOMONTH(P7,0))-SUMIFS('1CN8DD'!$D$6:$D$2989,'1CN8DD'!$E$6:$E$2989,"&gt;="&amp;P7,'1CN8DD'!$E$6:$E$2989,"&lt;="&amp;EOMONTH(P7,0),'1CN8DD'!$F$6:$F$2989,$B$14)-(SUMIFS('1CN8DD'!$D$6:$D$2989,'1CN8DD'!$E$6:$E$2989,"&gt;="&amp;P7,'1CN8DD'!$E$6:$E$2989,"&lt;="&amp;EOMONTH(P7,0),'1CN8DD'!$F$6:$F$2989,"Discount Rent")*2)-SUMIFS('1CN8DD'!$D$6:$D$2989,'1CN8DD'!$E$6:$E$2989,"&gt;="&amp;P7,'1CN8DD'!$E$6:$E$2989,"&lt;="&amp;EOMONTH(P7,0),'1CN8DD'!$F$6:$F$2989,"Bond Received")+SUMIFS('1UT9BR'!$D$6:$D$2989,'1UT9BR'!$E$6:$E$2989,"&gt;="&amp;P7,'1UT9BR'!$E$6:$E$2989,"&lt;="&amp;EOMONTH(P7,0))-SUMIFS('1UT9BR'!$D$6:$D$2989,'1UT9BR'!$E$6:$E$2989,"&gt;="&amp;P7,'1UT9BR'!$E$6:$E$2989,"&lt;="&amp;EOMONTH(P7,0),'1UT9BR'!$F$6:$F$2989,$B$14)-(SUMIFS('1UT9BR'!$D$6:$D$2989,'1UT9BR'!$E$6:$E$2989,"&gt;="&amp;P7,'1UT9BR'!$E$6:$E$2989,"&lt;="&amp;EOMONTH(P7,0),'1UT9BR'!$F$6:$F$2989,"Discount Rent")*2)-SUMIFS('1UT9BR'!$D$6:$D$2989,'1UT9BR'!$E$6:$E$2989,"&gt;="&amp;P7,'1UT9BR'!$E$6:$E$2989,"&lt;="&amp;EOMONTH(P7,0),'1UT9BR'!$F$6:$F$2989,"Bond Received")+SUMIFS('1MK4UR'!$D$6:$D$2989,'1MK4UR'!$E$6:$E$2989,"&gt;="&amp;P7,'1MK4UR'!$E$6:$E$2989,"&lt;="&amp;EOMONTH(P7,0))-SUMIFS('1MK4UR'!$D$6:$D$2989,'1MK4UR'!$E$6:$E$2989,"&gt;="&amp;P7,'1MK4UR'!$E$6:$E$2989,"&lt;="&amp;EOMONTH(P7,0),'1MK4UR'!$F$6:$F$2989,$B$14)-(SUMIFS('1MK4UR'!$D$6:$D$2989,'1MK4UR'!$E$6:$E$2989,"&gt;="&amp;P7,'1MK4UR'!$E$6:$E$2989,"&lt;="&amp;EOMONTH(P7,0),'1MK4UR'!$F$6:$F$2989,"Discount Rent")*2)-SUMIFS('1MK4UR'!$D$6:$D$2989,'1MK4UR'!$E$6:$E$2989,"&gt;="&amp;P7,'1MK4UR'!$E$6:$E$2989,"&lt;="&amp;EOMONTH(P7,0),'1MK4UR'!$F$6:$F$2989,"Bond Received")</f>
        <v>#REF!</v>
      </c>
      <c r="Q10" s="108" t="e">
        <f>SUMIFS('Other Expense'!$C$8:$C$3017,'Other Expense'!$B$8:$B$3017,"&gt;="&amp;Q7,'Other Expense'!$B$8:$B$3017,"&lt;="&amp;EOMONTH(Q7,0),'Other Expense'!$D$8:$D$3017,$B$9)+SUMIFS('CEI565'!$D$6:$D$2994,'CEI565'!$E$6:$E$2994,"&gt;="&amp;Q7,'CEI565'!$E$6:$E$2994,"&lt;="&amp;EOMONTH(Q7,0))-SUMIFS('CEI565'!$D$6:$D$2994,'CEI565'!$E$6:$E$2994,"&gt;="&amp;Q7,'CEI565'!$E$6:$E$2994,"&lt;="&amp;EOMONTH(Q7,0),'CEI565'!$F$6:$F$2994,$B$14)-(SUMIFS('CEI565'!$D$6:$D$2994,'CEI565'!$E$6:$E$2994,"&gt;="&amp;Q7,'CEI565'!$E$6:$E$2994,"&lt;="&amp;EOMONTH(Q7,0),'CEI565'!$F$6:$F$2994,"Discount Rent")*2)-SUMIFS('CEI565'!$D$6:$D$2994,'CEI565'!$E$6:$E$2994,"&gt;="&amp;Q7,'CEI565'!$E$6:$E$2994,"&lt;="&amp;EOMONTH(Q7,0),'CEI565'!$F$6:$F$2994,"Bond Received")+SUMIFS('1SM3VL'!$D$6:$D$2989,'1SM3VL'!$E$6:$E$2989,"&gt;="&amp;Q7,'1SM3VL'!$E$6:$E$2989,"&lt;="&amp;EOMONTH(Q7,0))-SUMIFS('1SM3VL'!$D$6:$D$2989,'1SM3VL'!$E$6:$E$2989,"&gt;="&amp;Q7,'1SM3VL'!$E$6:$E$2989,"&lt;="&amp;EOMONTH(Q7,0),'1SM3VL'!$F$6:$F$2989,$B$14)-(SUMIFS('1SM3VL'!$D$6:$D$2989,'1SM3VL'!$E$6:$E$2989,"&gt;="&amp;Q7,'1SM3VL'!$E$6:$E$2989,"&lt;="&amp;EOMONTH(Q7,0),'1SM3VL'!$F$6:$F$2989,"Discount Rent")*2)-SUMIFS('1SM3VL'!$D$6:$D$2989,'1SM3VL'!$E$6:$E$2989,"&gt;="&amp;Q7,'1SM3VL'!$E$6:$E$2989,"&lt;="&amp;EOMONTH(Q7,0),'1SM3VL'!$F$6:$F$2989,"Bond Received")+SUMIFS('1QF4SM'!$D$6:$D$2989,'1QF4SM'!$E$6:$E$2989,"&gt;="&amp;Q7,'1QF4SM'!$E$6:$E$2989,"&lt;="&amp;EOMONTH(Q7,0))-SUMIFS('1QF4SM'!$D$6:$D$2989,'1QF4SM'!$E$6:$E$2989,"&gt;="&amp;Q7,'1QF4SM'!$E$6:$E$2989,"&lt;="&amp;EOMONTH(Q7,0),'1QF4SM'!$F$6:$F$2989,$B$14)-(SUMIFS('1QF4SM'!$D$6:$D$2989,'1QF4SM'!$E$6:$E$2989,"&gt;="&amp;Q7,'1QF4SM'!$E$6:$E$2989,"&lt;="&amp;EOMONTH(Q7,0),'1QF4SM'!$F$6:$F$2989,"Discount Rent")*2)-SUMIFS('1QF4SM'!$D$6:$D$2989,'1QF4SM'!$E$6:$E$2989,"&gt;="&amp;Q7,'1QF4SM'!$E$6:$E$2989,"&lt;="&amp;EOMONTH(Q7,0),'1QF4SM'!$F$6:$F$2989,"Bond Received")+SUMIFS('1UV5KI'!$D$6:$D$2988,'1UV5KI'!$E$6:$E$2988,"&gt;="&amp;Q7,'1UV5KI'!$E$6:$E$2988,"&lt;="&amp;EOMONTH(Q7,0))-SUMIFS('1UV5KI'!$D$6:$D$2988,'1UV5KI'!$E$6:$E$2988,"&gt;="&amp;Q7,'1UV5KI'!$E$6:$E$2988,"&lt;="&amp;EOMONTH(Q7,0),'1UV5KI'!$F$6:$F$2988,$B$14)-(SUMIFS('1UV5KI'!$D$6:$D$2988,'1UV5KI'!$E$6:$E$2988,"&gt;="&amp;Q7,'1UV5KI'!$E$6:$E$2988,"&lt;="&amp;EOMONTH(Q7,0),'1UV5KI'!$F$6:$F$2988,"Discount Rent")*2)-SUMIFS('1UV5KI'!$D$6:$D$2988,'1UV5KI'!$E$6:$E$2988,"&gt;="&amp;Q7,'1UV5KI'!$E$6:$E$2988,"&lt;="&amp;EOMONTH(Q7,0),'1UV5KI'!$F$6:$F$2988,"Bond Received")+SUMIFS(#REF!,#REF!,"&gt;="&amp;Q7,#REF!,"&lt;="&amp;EOMONTH(Q7,0))-SUMIFS(#REF!,#REF!,"&gt;="&amp;Q7,#REF!,"&lt;="&amp;EOMONTH(Q7,0),#REF!,$B$14)-(SUMIFS(#REF!,#REF!,"&gt;="&amp;Q7,#REF!,"&lt;="&amp;EOMONTH(Q7,0),#REF!,"Discount Rent")*2)-SUMIFS(#REF!,#REF!,"&gt;="&amp;Q7,#REF!,"&lt;="&amp;EOMONTH(Q7,0),#REF!,"Bond Received")+SUMIFS('1UL9RY'!$D$6:$D$2989,'1UL9RY'!$E$6:$E$2989,"&gt;="&amp;Q7,'1UL9RY'!$E$6:$E$2989,"&lt;="&amp;EOMONTH(Q7,0))-SUMIFS('1UL9RY'!$D$6:$D$2989,'1UL9RY'!$E$6:$E$2989,"&gt;="&amp;Q7,'1UL9RY'!$E$6:$E$2989,"&lt;="&amp;EOMONTH(Q7,0),'1UL9RY'!$F$6:$F$2989,$B$14)-(SUMIFS('1UL9RY'!$D$6:$D$2989,'1UL9RY'!$E$6:$E$2989,"&gt;="&amp;Q7,'1UL9RY'!$E$6:$E$2989,"&lt;="&amp;EOMONTH(Q7,0),'1UL9RY'!$F$6:$F$2989,"Discount Rent")*2)-SUMIFS('1UL9RY'!$D$6:$D$2989,'1UL9RY'!$E$6:$E$2989,"&gt;="&amp;Q7,'1UL9RY'!$E$6:$E$2989,"&lt;="&amp;EOMONTH(Q7,0),'1UL9RY'!$F$6:$F$2989,"Bond Received")+SUMIFS('1OZ7GT'!$D$6:$D$2989,'1OZ7GT'!$E$6:$E$2989,"&gt;="&amp;Q7,'1OZ7GT'!$E$6:$E$2989,"&lt;="&amp;EOMONTH(Q7,0))-SUMIFS('1OZ7GT'!$D$6:$D$2989,'1OZ7GT'!$E$6:$E$2989,"&gt;="&amp;Q7,'1OZ7GT'!$E$6:$E$2989,"&lt;="&amp;EOMONTH(Q7,0),'1OZ7GT'!$F$6:$F$2989,$B$14)-(SUMIFS('1OZ7GT'!$D$6:$D$2989,'1OZ7GT'!$E$6:$E$2989,"&gt;="&amp;Q7,'1OZ7GT'!$E$6:$E$2989,"&lt;="&amp;EOMONTH(Q7,0),'1OZ7GT'!$F$6:$F$2989,"Discount Rent")*2)-SUMIFS('1OZ7GT'!$D$6:$D$2989,'1OZ7GT'!$E$6:$E$2989,"&gt;="&amp;Q7,'1OZ7GT'!$E$6:$E$2989,"&lt;="&amp;EOMONTH(Q7,0),'1OZ7GT'!$F$6:$F$2989,"Bond Received")+SUMIFS('1CN8DD'!$D$6:$D$2989,'1CN8DD'!$E$6:$E$2989,"&gt;="&amp;Q7,'1CN8DD'!$E$6:$E$2989,"&lt;="&amp;EOMONTH(Q7,0))-SUMIFS('1CN8DD'!$D$6:$D$2989,'1CN8DD'!$E$6:$E$2989,"&gt;="&amp;Q7,'1CN8DD'!$E$6:$E$2989,"&lt;="&amp;EOMONTH(Q7,0),'1CN8DD'!$F$6:$F$2989,$B$14)-(SUMIFS('1CN8DD'!$D$6:$D$2989,'1CN8DD'!$E$6:$E$2989,"&gt;="&amp;Q7,'1CN8DD'!$E$6:$E$2989,"&lt;="&amp;EOMONTH(Q7,0),'1CN8DD'!$F$6:$F$2989,"Discount Rent")*2)-SUMIFS('1CN8DD'!$D$6:$D$2989,'1CN8DD'!$E$6:$E$2989,"&gt;="&amp;Q7,'1CN8DD'!$E$6:$E$2989,"&lt;="&amp;EOMONTH(Q7,0),'1CN8DD'!$F$6:$F$2989,"Bond Received")+SUMIFS('1UT9BR'!$D$6:$D$2989,'1UT9BR'!$E$6:$E$2989,"&gt;="&amp;Q7,'1UT9BR'!$E$6:$E$2989,"&lt;="&amp;EOMONTH(Q7,0))-SUMIFS('1UT9BR'!$D$6:$D$2989,'1UT9BR'!$E$6:$E$2989,"&gt;="&amp;Q7,'1UT9BR'!$E$6:$E$2989,"&lt;="&amp;EOMONTH(Q7,0),'1UT9BR'!$F$6:$F$2989,$B$14)-(SUMIFS('1UT9BR'!$D$6:$D$2989,'1UT9BR'!$E$6:$E$2989,"&gt;="&amp;Q7,'1UT9BR'!$E$6:$E$2989,"&lt;="&amp;EOMONTH(Q7,0),'1UT9BR'!$F$6:$F$2989,"Discount Rent")*2)-SUMIFS('1UT9BR'!$D$6:$D$2989,'1UT9BR'!$E$6:$E$2989,"&gt;="&amp;Q7,'1UT9BR'!$E$6:$E$2989,"&lt;="&amp;EOMONTH(Q7,0),'1UT9BR'!$F$6:$F$2989,"Bond Received")+SUMIFS('1MK4UR'!$D$6:$D$2989,'1MK4UR'!$E$6:$E$2989,"&gt;="&amp;Q7,'1MK4UR'!$E$6:$E$2989,"&lt;="&amp;EOMONTH(Q7,0))-SUMIFS('1MK4UR'!$D$6:$D$2989,'1MK4UR'!$E$6:$E$2989,"&gt;="&amp;Q7,'1MK4UR'!$E$6:$E$2989,"&lt;="&amp;EOMONTH(Q7,0),'1MK4UR'!$F$6:$F$2989,$B$14)-(SUMIFS('1MK4UR'!$D$6:$D$2989,'1MK4UR'!$E$6:$E$2989,"&gt;="&amp;Q7,'1MK4UR'!$E$6:$E$2989,"&lt;="&amp;EOMONTH(Q7,0),'1MK4UR'!$F$6:$F$2989,"Discount Rent")*2)-SUMIFS('1MK4UR'!$D$6:$D$2989,'1MK4UR'!$E$6:$E$2989,"&gt;="&amp;Q7,'1MK4UR'!$E$6:$E$2989,"&lt;="&amp;EOMONTH(Q7,0),'1MK4UR'!$F$6:$F$2989,"Bond Received")</f>
        <v>#REF!</v>
      </c>
      <c r="R10" s="108" t="e">
        <f>SUMIFS('Other Expense'!$C$8:$C$3017,'Other Expense'!$B$8:$B$3017,"&gt;="&amp;R7,'Other Expense'!$B$8:$B$3017,"&lt;="&amp;EOMONTH(R7,0),'Other Expense'!$D$8:$D$3017,$B$9)+SUMIFS('CEI565'!$D$6:$D$2994,'CEI565'!$E$6:$E$2994,"&gt;="&amp;R7,'CEI565'!$E$6:$E$2994,"&lt;="&amp;EOMONTH(R7,0))-SUMIFS('CEI565'!$D$6:$D$2994,'CEI565'!$E$6:$E$2994,"&gt;="&amp;R7,'CEI565'!$E$6:$E$2994,"&lt;="&amp;EOMONTH(R7,0),'CEI565'!$F$6:$F$2994,$B$14)-(SUMIFS('CEI565'!$D$6:$D$2994,'CEI565'!$E$6:$E$2994,"&gt;="&amp;R7,'CEI565'!$E$6:$E$2994,"&lt;="&amp;EOMONTH(R7,0),'CEI565'!$F$6:$F$2994,"Discount Rent")*2)-SUMIFS('CEI565'!$D$6:$D$2994,'CEI565'!$E$6:$E$2994,"&gt;="&amp;R7,'CEI565'!$E$6:$E$2994,"&lt;="&amp;EOMONTH(R7,0),'CEI565'!$F$6:$F$2994,"Bond Received")+SUMIFS('1SM3VL'!$D$6:$D$2989,'1SM3VL'!$E$6:$E$2989,"&gt;="&amp;R7,'1SM3VL'!$E$6:$E$2989,"&lt;="&amp;EOMONTH(R7,0))-SUMIFS('1SM3VL'!$D$6:$D$2989,'1SM3VL'!$E$6:$E$2989,"&gt;="&amp;R7,'1SM3VL'!$E$6:$E$2989,"&lt;="&amp;EOMONTH(R7,0),'1SM3VL'!$F$6:$F$2989,$B$14)-(SUMIFS('1SM3VL'!$D$6:$D$2989,'1SM3VL'!$E$6:$E$2989,"&gt;="&amp;R7,'1SM3VL'!$E$6:$E$2989,"&lt;="&amp;EOMONTH(R7,0),'1SM3VL'!$F$6:$F$2989,"Discount Rent")*2)-SUMIFS('1SM3VL'!$D$6:$D$2989,'1SM3VL'!$E$6:$E$2989,"&gt;="&amp;R7,'1SM3VL'!$E$6:$E$2989,"&lt;="&amp;EOMONTH(R7,0),'1SM3VL'!$F$6:$F$2989,"Bond Received")+SUMIFS('1QF4SM'!$D$6:$D$2989,'1QF4SM'!$E$6:$E$2989,"&gt;="&amp;R7,'1QF4SM'!$E$6:$E$2989,"&lt;="&amp;EOMONTH(R7,0))-SUMIFS('1QF4SM'!$D$6:$D$2989,'1QF4SM'!$E$6:$E$2989,"&gt;="&amp;R7,'1QF4SM'!$E$6:$E$2989,"&lt;="&amp;EOMONTH(R7,0),'1QF4SM'!$F$6:$F$2989,$B$14)-(SUMIFS('1QF4SM'!$D$6:$D$2989,'1QF4SM'!$E$6:$E$2989,"&gt;="&amp;R7,'1QF4SM'!$E$6:$E$2989,"&lt;="&amp;EOMONTH(R7,0),'1QF4SM'!$F$6:$F$2989,"Discount Rent")*2)-SUMIFS('1QF4SM'!$D$6:$D$2989,'1QF4SM'!$E$6:$E$2989,"&gt;="&amp;R7,'1QF4SM'!$E$6:$E$2989,"&lt;="&amp;EOMONTH(R7,0),'1QF4SM'!$F$6:$F$2989,"Bond Received")+SUMIFS('1UV5KI'!$D$6:$D$2988,'1UV5KI'!$E$6:$E$2988,"&gt;="&amp;R7,'1UV5KI'!$E$6:$E$2988,"&lt;="&amp;EOMONTH(R7,0))-SUMIFS('1UV5KI'!$D$6:$D$2988,'1UV5KI'!$E$6:$E$2988,"&gt;="&amp;R7,'1UV5KI'!$E$6:$E$2988,"&lt;="&amp;EOMONTH(R7,0),'1UV5KI'!$F$6:$F$2988,$B$14)-(SUMIFS('1UV5KI'!$D$6:$D$2988,'1UV5KI'!$E$6:$E$2988,"&gt;="&amp;R7,'1UV5KI'!$E$6:$E$2988,"&lt;="&amp;EOMONTH(R7,0),'1UV5KI'!$F$6:$F$2988,"Discount Rent")*2)-SUMIFS('1UV5KI'!$D$6:$D$2988,'1UV5KI'!$E$6:$E$2988,"&gt;="&amp;R7,'1UV5KI'!$E$6:$E$2988,"&lt;="&amp;EOMONTH(R7,0),'1UV5KI'!$F$6:$F$2988,"Bond Received")+SUMIFS(#REF!,#REF!,"&gt;="&amp;R7,#REF!,"&lt;="&amp;EOMONTH(R7,0))-SUMIFS(#REF!,#REF!,"&gt;="&amp;R7,#REF!,"&lt;="&amp;EOMONTH(R7,0),#REF!,$B$14)-(SUMIFS(#REF!,#REF!,"&gt;="&amp;R7,#REF!,"&lt;="&amp;EOMONTH(R7,0),#REF!,"Discount Rent")*2)-SUMIFS(#REF!,#REF!,"&gt;="&amp;R7,#REF!,"&lt;="&amp;EOMONTH(R7,0),#REF!,"Bond Received")+SUMIFS('1UL9RY'!$D$6:$D$2989,'1UL9RY'!$E$6:$E$2989,"&gt;="&amp;R7,'1UL9RY'!$E$6:$E$2989,"&lt;="&amp;EOMONTH(R7,0))-SUMIFS('1UL9RY'!$D$6:$D$2989,'1UL9RY'!$E$6:$E$2989,"&gt;="&amp;R7,'1UL9RY'!$E$6:$E$2989,"&lt;="&amp;EOMONTH(R7,0),'1UL9RY'!$F$6:$F$2989,$B$14)-(SUMIFS('1UL9RY'!$D$6:$D$2989,'1UL9RY'!$E$6:$E$2989,"&gt;="&amp;R7,'1UL9RY'!$E$6:$E$2989,"&lt;="&amp;EOMONTH(R7,0),'1UL9RY'!$F$6:$F$2989,"Discount Rent")*2)-SUMIFS('1UL9RY'!$D$6:$D$2989,'1UL9RY'!$E$6:$E$2989,"&gt;="&amp;R7,'1UL9RY'!$E$6:$E$2989,"&lt;="&amp;EOMONTH(R7,0),'1UL9RY'!$F$6:$F$2989,"Bond Received")+SUMIFS('1OZ7GT'!$D$6:$D$2989,'1OZ7GT'!$E$6:$E$2989,"&gt;="&amp;R7,'1OZ7GT'!$E$6:$E$2989,"&lt;="&amp;EOMONTH(R7,0))-SUMIFS('1OZ7GT'!$D$6:$D$2989,'1OZ7GT'!$E$6:$E$2989,"&gt;="&amp;R7,'1OZ7GT'!$E$6:$E$2989,"&lt;="&amp;EOMONTH(R7,0),'1OZ7GT'!$F$6:$F$2989,$B$14)-(SUMIFS('1OZ7GT'!$D$6:$D$2989,'1OZ7GT'!$E$6:$E$2989,"&gt;="&amp;R7,'1OZ7GT'!$E$6:$E$2989,"&lt;="&amp;EOMONTH(R7,0),'1OZ7GT'!$F$6:$F$2989,"Discount Rent")*2)-SUMIFS('1OZ7GT'!$D$6:$D$2989,'1OZ7GT'!$E$6:$E$2989,"&gt;="&amp;R7,'1OZ7GT'!$E$6:$E$2989,"&lt;="&amp;EOMONTH(R7,0),'1OZ7GT'!$F$6:$F$2989,"Bond Received")+SUMIFS('1CN8DD'!$D$6:$D$2989,'1CN8DD'!$E$6:$E$2989,"&gt;="&amp;R7,'1CN8DD'!$E$6:$E$2989,"&lt;="&amp;EOMONTH(R7,0))-SUMIFS('1CN8DD'!$D$6:$D$2989,'1CN8DD'!$E$6:$E$2989,"&gt;="&amp;R7,'1CN8DD'!$E$6:$E$2989,"&lt;="&amp;EOMONTH(R7,0),'1CN8DD'!$F$6:$F$2989,$B$14)-(SUMIFS('1CN8DD'!$D$6:$D$2989,'1CN8DD'!$E$6:$E$2989,"&gt;="&amp;R7,'1CN8DD'!$E$6:$E$2989,"&lt;="&amp;EOMONTH(R7,0),'1CN8DD'!$F$6:$F$2989,"Discount Rent")*2)-SUMIFS('1CN8DD'!$D$6:$D$2989,'1CN8DD'!$E$6:$E$2989,"&gt;="&amp;R7,'1CN8DD'!$E$6:$E$2989,"&lt;="&amp;EOMONTH(R7,0),'1CN8DD'!$F$6:$F$2989,"Bond Received")+SUMIFS('1UT9BR'!$D$6:$D$2989,'1UT9BR'!$E$6:$E$2989,"&gt;="&amp;R7,'1UT9BR'!$E$6:$E$2989,"&lt;="&amp;EOMONTH(R7,0))-SUMIFS('1UT9BR'!$D$6:$D$2989,'1UT9BR'!$E$6:$E$2989,"&gt;="&amp;R7,'1UT9BR'!$E$6:$E$2989,"&lt;="&amp;EOMONTH(R7,0),'1UT9BR'!$F$6:$F$2989,$B$14)-(SUMIFS('1UT9BR'!$D$6:$D$2989,'1UT9BR'!$E$6:$E$2989,"&gt;="&amp;R7,'1UT9BR'!$E$6:$E$2989,"&lt;="&amp;EOMONTH(R7,0),'1UT9BR'!$F$6:$F$2989,"Discount Rent")*2)-SUMIFS('1UT9BR'!$D$6:$D$2989,'1UT9BR'!$E$6:$E$2989,"&gt;="&amp;R7,'1UT9BR'!$E$6:$E$2989,"&lt;="&amp;EOMONTH(R7,0),'1UT9BR'!$F$6:$F$2989,"Bond Received")+SUMIFS('1MK4UR'!$D$6:$D$2989,'1MK4UR'!$E$6:$E$2989,"&gt;="&amp;R7,'1MK4UR'!$E$6:$E$2989,"&lt;="&amp;EOMONTH(R7,0))-SUMIFS('1MK4UR'!$D$6:$D$2989,'1MK4UR'!$E$6:$E$2989,"&gt;="&amp;R7,'1MK4UR'!$E$6:$E$2989,"&lt;="&amp;EOMONTH(R7,0),'1MK4UR'!$F$6:$F$2989,$B$14)-(SUMIFS('1MK4UR'!$D$6:$D$2989,'1MK4UR'!$E$6:$E$2989,"&gt;="&amp;R7,'1MK4UR'!$E$6:$E$2989,"&lt;="&amp;EOMONTH(R7,0),'1MK4UR'!$F$6:$F$2989,"Discount Rent")*2)-SUMIFS('1MK4UR'!$D$6:$D$2989,'1MK4UR'!$E$6:$E$2989,"&gt;="&amp;R7,'1MK4UR'!$E$6:$E$2989,"&lt;="&amp;EOMONTH(R7,0),'1MK4UR'!$F$6:$F$2989,"Bond Received")</f>
        <v>#REF!</v>
      </c>
      <c r="S10" s="108" t="e">
        <f>SUMIFS('Other Expense'!$C$8:$C$3017,'Other Expense'!$B$8:$B$3017,"&gt;="&amp;S7,'Other Expense'!$B$8:$B$3017,"&lt;="&amp;EOMONTH(S7,0),'Other Expense'!$D$8:$D$3017,$B$9)+SUMIFS('CEI565'!$D$6:$D$2994,'CEI565'!$E$6:$E$2994,"&gt;="&amp;S7,'CEI565'!$E$6:$E$2994,"&lt;="&amp;EOMONTH(S7,0))-SUMIFS('CEI565'!$D$6:$D$2994,'CEI565'!$E$6:$E$2994,"&gt;="&amp;S7,'CEI565'!$E$6:$E$2994,"&lt;="&amp;EOMONTH(S7,0),'CEI565'!$F$6:$F$2994,$B$14)-(SUMIFS('CEI565'!$D$6:$D$2994,'CEI565'!$E$6:$E$2994,"&gt;="&amp;S7,'CEI565'!$E$6:$E$2994,"&lt;="&amp;EOMONTH(S7,0),'CEI565'!$F$6:$F$2994,"Discount Rent")*2)-SUMIFS('CEI565'!$D$6:$D$2994,'CEI565'!$E$6:$E$2994,"&gt;="&amp;S7,'CEI565'!$E$6:$E$2994,"&lt;="&amp;EOMONTH(S7,0),'CEI565'!$F$6:$F$2994,"Bond Received")+SUMIFS('1SM3VL'!$D$6:$D$2989,'1SM3VL'!$E$6:$E$2989,"&gt;="&amp;S7,'1SM3VL'!$E$6:$E$2989,"&lt;="&amp;EOMONTH(S7,0))-SUMIFS('1SM3VL'!$D$6:$D$2989,'1SM3VL'!$E$6:$E$2989,"&gt;="&amp;S7,'1SM3VL'!$E$6:$E$2989,"&lt;="&amp;EOMONTH(S7,0),'1SM3VL'!$F$6:$F$2989,$B$14)-(SUMIFS('1SM3VL'!$D$6:$D$2989,'1SM3VL'!$E$6:$E$2989,"&gt;="&amp;S7,'1SM3VL'!$E$6:$E$2989,"&lt;="&amp;EOMONTH(S7,0),'1SM3VL'!$F$6:$F$2989,"Discount Rent")*2)-SUMIFS('1SM3VL'!$D$6:$D$2989,'1SM3VL'!$E$6:$E$2989,"&gt;="&amp;S7,'1SM3VL'!$E$6:$E$2989,"&lt;="&amp;EOMONTH(S7,0),'1SM3VL'!$F$6:$F$2989,"Bond Received")+SUMIFS('1QF4SM'!$D$6:$D$2989,'1QF4SM'!$E$6:$E$2989,"&gt;="&amp;S7,'1QF4SM'!$E$6:$E$2989,"&lt;="&amp;EOMONTH(S7,0))-SUMIFS('1QF4SM'!$D$6:$D$2989,'1QF4SM'!$E$6:$E$2989,"&gt;="&amp;S7,'1QF4SM'!$E$6:$E$2989,"&lt;="&amp;EOMONTH(S7,0),'1QF4SM'!$F$6:$F$2989,$B$14)-(SUMIFS('1QF4SM'!$D$6:$D$2989,'1QF4SM'!$E$6:$E$2989,"&gt;="&amp;S7,'1QF4SM'!$E$6:$E$2989,"&lt;="&amp;EOMONTH(S7,0),'1QF4SM'!$F$6:$F$2989,"Discount Rent")*2)-SUMIFS('1QF4SM'!$D$6:$D$2989,'1QF4SM'!$E$6:$E$2989,"&gt;="&amp;S7,'1QF4SM'!$E$6:$E$2989,"&lt;="&amp;EOMONTH(S7,0),'1QF4SM'!$F$6:$F$2989,"Bond Received")+SUMIFS('1UV5KI'!$D$6:$D$2988,'1UV5KI'!$E$6:$E$2988,"&gt;="&amp;S7,'1UV5KI'!$E$6:$E$2988,"&lt;="&amp;EOMONTH(S7,0))-SUMIFS('1UV5KI'!$D$6:$D$2988,'1UV5KI'!$E$6:$E$2988,"&gt;="&amp;S7,'1UV5KI'!$E$6:$E$2988,"&lt;="&amp;EOMONTH(S7,0),'1UV5KI'!$F$6:$F$2988,$B$14)-(SUMIFS('1UV5KI'!$D$6:$D$2988,'1UV5KI'!$E$6:$E$2988,"&gt;="&amp;S7,'1UV5KI'!$E$6:$E$2988,"&lt;="&amp;EOMONTH(S7,0),'1UV5KI'!$F$6:$F$2988,"Discount Rent")*2)-SUMIFS('1UV5KI'!$D$6:$D$2988,'1UV5KI'!$E$6:$E$2988,"&gt;="&amp;S7,'1UV5KI'!$E$6:$E$2988,"&lt;="&amp;EOMONTH(S7,0),'1UV5KI'!$F$6:$F$2988,"Bond Received")+SUMIFS(#REF!,#REF!,"&gt;="&amp;S7,#REF!,"&lt;="&amp;EOMONTH(S7,0))-SUMIFS(#REF!,#REF!,"&gt;="&amp;S7,#REF!,"&lt;="&amp;EOMONTH(S7,0),#REF!,$B$14)-(SUMIFS(#REF!,#REF!,"&gt;="&amp;S7,#REF!,"&lt;="&amp;EOMONTH(S7,0),#REF!,"Discount Rent")*2)-SUMIFS(#REF!,#REF!,"&gt;="&amp;S7,#REF!,"&lt;="&amp;EOMONTH(S7,0),#REF!,"Bond Received")+SUMIFS('1UL9RY'!$D$6:$D$2989,'1UL9RY'!$E$6:$E$2989,"&gt;="&amp;S7,'1UL9RY'!$E$6:$E$2989,"&lt;="&amp;EOMONTH(S7,0))-SUMIFS('1UL9RY'!$D$6:$D$2989,'1UL9RY'!$E$6:$E$2989,"&gt;="&amp;S7,'1UL9RY'!$E$6:$E$2989,"&lt;="&amp;EOMONTH(S7,0),'1UL9RY'!$F$6:$F$2989,$B$14)-(SUMIFS('1UL9RY'!$D$6:$D$2989,'1UL9RY'!$E$6:$E$2989,"&gt;="&amp;S7,'1UL9RY'!$E$6:$E$2989,"&lt;="&amp;EOMONTH(S7,0),'1UL9RY'!$F$6:$F$2989,"Discount Rent")*2)-SUMIFS('1UL9RY'!$D$6:$D$2989,'1UL9RY'!$E$6:$E$2989,"&gt;="&amp;S7,'1UL9RY'!$E$6:$E$2989,"&lt;="&amp;EOMONTH(S7,0),'1UL9RY'!$F$6:$F$2989,"Bond Received")+SUMIFS('1OZ7GT'!$D$6:$D$2989,'1OZ7GT'!$E$6:$E$2989,"&gt;="&amp;S7,'1OZ7GT'!$E$6:$E$2989,"&lt;="&amp;EOMONTH(S7,0))-SUMIFS('1OZ7GT'!$D$6:$D$2989,'1OZ7GT'!$E$6:$E$2989,"&gt;="&amp;S7,'1OZ7GT'!$E$6:$E$2989,"&lt;="&amp;EOMONTH(S7,0),'1OZ7GT'!$F$6:$F$2989,$B$14)-(SUMIFS('1OZ7GT'!$D$6:$D$2989,'1OZ7GT'!$E$6:$E$2989,"&gt;="&amp;S7,'1OZ7GT'!$E$6:$E$2989,"&lt;="&amp;EOMONTH(S7,0),'1OZ7GT'!$F$6:$F$2989,"Discount Rent")*2)-SUMIFS('1OZ7GT'!$D$6:$D$2989,'1OZ7GT'!$E$6:$E$2989,"&gt;="&amp;S7,'1OZ7GT'!$E$6:$E$2989,"&lt;="&amp;EOMONTH(S7,0),'1OZ7GT'!$F$6:$F$2989,"Bond Received")+SUMIFS('1CN8DD'!$D$6:$D$2989,'1CN8DD'!$E$6:$E$2989,"&gt;="&amp;S7,'1CN8DD'!$E$6:$E$2989,"&lt;="&amp;EOMONTH(S7,0))-SUMIFS('1CN8DD'!$D$6:$D$2989,'1CN8DD'!$E$6:$E$2989,"&gt;="&amp;S7,'1CN8DD'!$E$6:$E$2989,"&lt;="&amp;EOMONTH(S7,0),'1CN8DD'!$F$6:$F$2989,$B$14)-(SUMIFS('1CN8DD'!$D$6:$D$2989,'1CN8DD'!$E$6:$E$2989,"&gt;="&amp;S7,'1CN8DD'!$E$6:$E$2989,"&lt;="&amp;EOMONTH(S7,0),'1CN8DD'!$F$6:$F$2989,"Discount Rent")*2)-SUMIFS('1CN8DD'!$D$6:$D$2989,'1CN8DD'!$E$6:$E$2989,"&gt;="&amp;S7,'1CN8DD'!$E$6:$E$2989,"&lt;="&amp;EOMONTH(S7,0),'1CN8DD'!$F$6:$F$2989,"Bond Received")+SUMIFS('1UT9BR'!$D$6:$D$2989,'1UT9BR'!$E$6:$E$2989,"&gt;="&amp;S7,'1UT9BR'!$E$6:$E$2989,"&lt;="&amp;EOMONTH(S7,0))-SUMIFS('1UT9BR'!$D$6:$D$2989,'1UT9BR'!$E$6:$E$2989,"&gt;="&amp;S7,'1UT9BR'!$E$6:$E$2989,"&lt;="&amp;EOMONTH(S7,0),'1UT9BR'!$F$6:$F$2989,$B$14)-(SUMIFS('1UT9BR'!$D$6:$D$2989,'1UT9BR'!$E$6:$E$2989,"&gt;="&amp;S7,'1UT9BR'!$E$6:$E$2989,"&lt;="&amp;EOMONTH(S7,0),'1UT9BR'!$F$6:$F$2989,"Discount Rent")*2)-SUMIFS('1UT9BR'!$D$6:$D$2989,'1UT9BR'!$E$6:$E$2989,"&gt;="&amp;S7,'1UT9BR'!$E$6:$E$2989,"&lt;="&amp;EOMONTH(S7,0),'1UT9BR'!$F$6:$F$2989,"Bond Received")+SUMIFS('1MK4UR'!$D$6:$D$2989,'1MK4UR'!$E$6:$E$2989,"&gt;="&amp;S7,'1MK4UR'!$E$6:$E$2989,"&lt;="&amp;EOMONTH(S7,0))-SUMIFS('1MK4UR'!$D$6:$D$2989,'1MK4UR'!$E$6:$E$2989,"&gt;="&amp;S7,'1MK4UR'!$E$6:$E$2989,"&lt;="&amp;EOMONTH(S7,0),'1MK4UR'!$F$6:$F$2989,$B$14)-(SUMIFS('1MK4UR'!$D$6:$D$2989,'1MK4UR'!$E$6:$E$2989,"&gt;="&amp;S7,'1MK4UR'!$E$6:$E$2989,"&lt;="&amp;EOMONTH(S7,0),'1MK4UR'!$F$6:$F$2989,"Discount Rent")*2)-SUMIFS('1MK4UR'!$D$6:$D$2989,'1MK4UR'!$E$6:$E$2989,"&gt;="&amp;S7,'1MK4UR'!$E$6:$E$2989,"&lt;="&amp;EOMONTH(S7,0),'1MK4UR'!$F$6:$F$2989,"Bond Received")</f>
        <v>#REF!</v>
      </c>
      <c r="T10" s="108" t="e">
        <f>SUMIFS('Other Expense'!$C$8:$C$3017,'Other Expense'!$B$8:$B$3017,"&gt;="&amp;T7,'Other Expense'!$B$8:$B$3017,"&lt;="&amp;EOMONTH(T7,0),'Other Expense'!$D$8:$D$3017,$B$9)+SUMIFS('CEI565'!$D$6:$D$2994,'CEI565'!$E$6:$E$2994,"&gt;="&amp;T7,'CEI565'!$E$6:$E$2994,"&lt;="&amp;EOMONTH(T7,0))-SUMIFS('CEI565'!$D$6:$D$2994,'CEI565'!$E$6:$E$2994,"&gt;="&amp;T7,'CEI565'!$E$6:$E$2994,"&lt;="&amp;EOMONTH(T7,0),'CEI565'!$F$6:$F$2994,$B$14)-(SUMIFS('CEI565'!$D$6:$D$2994,'CEI565'!$E$6:$E$2994,"&gt;="&amp;T7,'CEI565'!$E$6:$E$2994,"&lt;="&amp;EOMONTH(T7,0),'CEI565'!$F$6:$F$2994,"Discount Rent")*2)-SUMIFS('CEI565'!$D$6:$D$2994,'CEI565'!$E$6:$E$2994,"&gt;="&amp;T7,'CEI565'!$E$6:$E$2994,"&lt;="&amp;EOMONTH(T7,0),'CEI565'!$F$6:$F$2994,"Bond Received")+SUMIFS('1SM3VL'!$D$6:$D$2989,'1SM3VL'!$E$6:$E$2989,"&gt;="&amp;T7,'1SM3VL'!$E$6:$E$2989,"&lt;="&amp;EOMONTH(T7,0))-SUMIFS('1SM3VL'!$D$6:$D$2989,'1SM3VL'!$E$6:$E$2989,"&gt;="&amp;T7,'1SM3VL'!$E$6:$E$2989,"&lt;="&amp;EOMONTH(T7,0),'1SM3VL'!$F$6:$F$2989,$B$14)-(SUMIFS('1SM3VL'!$D$6:$D$2989,'1SM3VL'!$E$6:$E$2989,"&gt;="&amp;T7,'1SM3VL'!$E$6:$E$2989,"&lt;="&amp;EOMONTH(T7,0),'1SM3VL'!$F$6:$F$2989,"Discount Rent")*2)-SUMIFS('1SM3VL'!$D$6:$D$2989,'1SM3VL'!$E$6:$E$2989,"&gt;="&amp;T7,'1SM3VL'!$E$6:$E$2989,"&lt;="&amp;EOMONTH(T7,0),'1SM3VL'!$F$6:$F$2989,"Bond Received")+SUMIFS('1QF4SM'!$D$6:$D$2989,'1QF4SM'!$E$6:$E$2989,"&gt;="&amp;T7,'1QF4SM'!$E$6:$E$2989,"&lt;="&amp;EOMONTH(T7,0))-SUMIFS('1QF4SM'!$D$6:$D$2989,'1QF4SM'!$E$6:$E$2989,"&gt;="&amp;T7,'1QF4SM'!$E$6:$E$2989,"&lt;="&amp;EOMONTH(T7,0),'1QF4SM'!$F$6:$F$2989,$B$14)-(SUMIFS('1QF4SM'!$D$6:$D$2989,'1QF4SM'!$E$6:$E$2989,"&gt;="&amp;T7,'1QF4SM'!$E$6:$E$2989,"&lt;="&amp;EOMONTH(T7,0),'1QF4SM'!$F$6:$F$2989,"Discount Rent")*2)-SUMIFS('1QF4SM'!$D$6:$D$2989,'1QF4SM'!$E$6:$E$2989,"&gt;="&amp;T7,'1QF4SM'!$E$6:$E$2989,"&lt;="&amp;EOMONTH(T7,0),'1QF4SM'!$F$6:$F$2989,"Bond Received")+SUMIFS('1UV5KI'!$D$6:$D$2988,'1UV5KI'!$E$6:$E$2988,"&gt;="&amp;T7,'1UV5KI'!$E$6:$E$2988,"&lt;="&amp;EOMONTH(T7,0))-SUMIFS('1UV5KI'!$D$6:$D$2988,'1UV5KI'!$E$6:$E$2988,"&gt;="&amp;T7,'1UV5KI'!$E$6:$E$2988,"&lt;="&amp;EOMONTH(T7,0),'1UV5KI'!$F$6:$F$2988,$B$14)-(SUMIFS('1UV5KI'!$D$6:$D$2988,'1UV5KI'!$E$6:$E$2988,"&gt;="&amp;T7,'1UV5KI'!$E$6:$E$2988,"&lt;="&amp;EOMONTH(T7,0),'1UV5KI'!$F$6:$F$2988,"Discount Rent")*2)-SUMIFS('1UV5KI'!$D$6:$D$2988,'1UV5KI'!$E$6:$E$2988,"&gt;="&amp;T7,'1UV5KI'!$E$6:$E$2988,"&lt;="&amp;EOMONTH(T7,0),'1UV5KI'!$F$6:$F$2988,"Bond Received")+SUMIFS(#REF!,#REF!,"&gt;="&amp;T7,#REF!,"&lt;="&amp;EOMONTH(T7,0))-SUMIFS(#REF!,#REF!,"&gt;="&amp;T7,#REF!,"&lt;="&amp;EOMONTH(T7,0),#REF!,$B$14)-(SUMIFS(#REF!,#REF!,"&gt;="&amp;T7,#REF!,"&lt;="&amp;EOMONTH(T7,0),#REF!,"Discount Rent")*2)-SUMIFS(#REF!,#REF!,"&gt;="&amp;T7,#REF!,"&lt;="&amp;EOMONTH(T7,0),#REF!,"Bond Received")+SUMIFS('1UL9RY'!$D$6:$D$2989,'1UL9RY'!$E$6:$E$2989,"&gt;="&amp;T7,'1UL9RY'!$E$6:$E$2989,"&lt;="&amp;EOMONTH(T7,0))-SUMIFS('1UL9RY'!$D$6:$D$2989,'1UL9RY'!$E$6:$E$2989,"&gt;="&amp;T7,'1UL9RY'!$E$6:$E$2989,"&lt;="&amp;EOMONTH(T7,0),'1UL9RY'!$F$6:$F$2989,$B$14)-(SUMIFS('1UL9RY'!$D$6:$D$2989,'1UL9RY'!$E$6:$E$2989,"&gt;="&amp;T7,'1UL9RY'!$E$6:$E$2989,"&lt;="&amp;EOMONTH(T7,0),'1UL9RY'!$F$6:$F$2989,"Discount Rent")*2)-SUMIFS('1UL9RY'!$D$6:$D$2989,'1UL9RY'!$E$6:$E$2989,"&gt;="&amp;T7,'1UL9RY'!$E$6:$E$2989,"&lt;="&amp;EOMONTH(T7,0),'1UL9RY'!$F$6:$F$2989,"Bond Received")+SUMIFS('1OZ7GT'!$D$6:$D$2989,'1OZ7GT'!$E$6:$E$2989,"&gt;="&amp;T7,'1OZ7GT'!$E$6:$E$2989,"&lt;="&amp;EOMONTH(T7,0))-SUMIFS('1OZ7GT'!$D$6:$D$2989,'1OZ7GT'!$E$6:$E$2989,"&gt;="&amp;T7,'1OZ7GT'!$E$6:$E$2989,"&lt;="&amp;EOMONTH(T7,0),'1OZ7GT'!$F$6:$F$2989,$B$14)-(SUMIFS('1OZ7GT'!$D$6:$D$2989,'1OZ7GT'!$E$6:$E$2989,"&gt;="&amp;T7,'1OZ7GT'!$E$6:$E$2989,"&lt;="&amp;EOMONTH(T7,0),'1OZ7GT'!$F$6:$F$2989,"Discount Rent")*2)-SUMIFS('1OZ7GT'!$D$6:$D$2989,'1OZ7GT'!$E$6:$E$2989,"&gt;="&amp;T7,'1OZ7GT'!$E$6:$E$2989,"&lt;="&amp;EOMONTH(T7,0),'1OZ7GT'!$F$6:$F$2989,"Bond Received")+SUMIFS('1CN8DD'!$D$6:$D$2989,'1CN8DD'!$E$6:$E$2989,"&gt;="&amp;T7,'1CN8DD'!$E$6:$E$2989,"&lt;="&amp;EOMONTH(T7,0))-SUMIFS('1CN8DD'!$D$6:$D$2989,'1CN8DD'!$E$6:$E$2989,"&gt;="&amp;T7,'1CN8DD'!$E$6:$E$2989,"&lt;="&amp;EOMONTH(T7,0),'1CN8DD'!$F$6:$F$2989,$B$14)-(SUMIFS('1CN8DD'!$D$6:$D$2989,'1CN8DD'!$E$6:$E$2989,"&gt;="&amp;T7,'1CN8DD'!$E$6:$E$2989,"&lt;="&amp;EOMONTH(T7,0),'1CN8DD'!$F$6:$F$2989,"Discount Rent")*2)-SUMIFS('1CN8DD'!$D$6:$D$2989,'1CN8DD'!$E$6:$E$2989,"&gt;="&amp;T7,'1CN8DD'!$E$6:$E$2989,"&lt;="&amp;EOMONTH(T7,0),'1CN8DD'!$F$6:$F$2989,"Bond Received")+SUMIFS('1UT9BR'!$D$6:$D$2989,'1UT9BR'!$E$6:$E$2989,"&gt;="&amp;T7,'1UT9BR'!$E$6:$E$2989,"&lt;="&amp;EOMONTH(T7,0))-SUMIFS('1UT9BR'!$D$6:$D$2989,'1UT9BR'!$E$6:$E$2989,"&gt;="&amp;T7,'1UT9BR'!$E$6:$E$2989,"&lt;="&amp;EOMONTH(T7,0),'1UT9BR'!$F$6:$F$2989,$B$14)-(SUMIFS('1UT9BR'!$D$6:$D$2989,'1UT9BR'!$E$6:$E$2989,"&gt;="&amp;T7,'1UT9BR'!$E$6:$E$2989,"&lt;="&amp;EOMONTH(T7,0),'1UT9BR'!$F$6:$F$2989,"Discount Rent")*2)-SUMIFS('1UT9BR'!$D$6:$D$2989,'1UT9BR'!$E$6:$E$2989,"&gt;="&amp;T7,'1UT9BR'!$E$6:$E$2989,"&lt;="&amp;EOMONTH(T7,0),'1UT9BR'!$F$6:$F$2989,"Bond Received")+SUMIFS('1MK4UR'!$D$6:$D$2989,'1MK4UR'!$E$6:$E$2989,"&gt;="&amp;T7,'1MK4UR'!$E$6:$E$2989,"&lt;="&amp;EOMONTH(T7,0))-SUMIFS('1MK4UR'!$D$6:$D$2989,'1MK4UR'!$E$6:$E$2989,"&gt;="&amp;T7,'1MK4UR'!$E$6:$E$2989,"&lt;="&amp;EOMONTH(T7,0),'1MK4UR'!$F$6:$F$2989,$B$14)-(SUMIFS('1MK4UR'!$D$6:$D$2989,'1MK4UR'!$E$6:$E$2989,"&gt;="&amp;T7,'1MK4UR'!$E$6:$E$2989,"&lt;="&amp;EOMONTH(T7,0),'1MK4UR'!$F$6:$F$2989,"Discount Rent")*2)-SUMIFS('1MK4UR'!$D$6:$D$2989,'1MK4UR'!$E$6:$E$2989,"&gt;="&amp;T7,'1MK4UR'!$E$6:$E$2989,"&lt;="&amp;EOMONTH(T7,0),'1MK4UR'!$F$6:$F$2989,"Bond Received")</f>
        <v>#REF!</v>
      </c>
      <c r="U10" s="108" t="e">
        <f>SUMIFS('Other Expense'!$C$8:$C$3017,'Other Expense'!$B$8:$B$3017,"&gt;="&amp;U7,'Other Expense'!$B$8:$B$3017,"&lt;="&amp;EOMONTH(U7,0),'Other Expense'!$D$8:$D$3017,$B$9)+SUMIFS('CEI565'!$D$6:$D$2994,'CEI565'!$E$6:$E$2994,"&gt;="&amp;U7,'CEI565'!$E$6:$E$2994,"&lt;="&amp;EOMONTH(U7,0))-SUMIFS('CEI565'!$D$6:$D$2994,'CEI565'!$E$6:$E$2994,"&gt;="&amp;U7,'CEI565'!$E$6:$E$2994,"&lt;="&amp;EOMONTH(U7,0),'CEI565'!$F$6:$F$2994,$B$14)-(SUMIFS('CEI565'!$D$6:$D$2994,'CEI565'!$E$6:$E$2994,"&gt;="&amp;U7,'CEI565'!$E$6:$E$2994,"&lt;="&amp;EOMONTH(U7,0),'CEI565'!$F$6:$F$2994,"Discount Rent")*2)-SUMIFS('CEI565'!$D$6:$D$2994,'CEI565'!$E$6:$E$2994,"&gt;="&amp;U7,'CEI565'!$E$6:$E$2994,"&lt;="&amp;EOMONTH(U7,0),'CEI565'!$F$6:$F$2994,"Bond Received")+SUMIFS('1SM3VL'!$D$6:$D$2989,'1SM3VL'!$E$6:$E$2989,"&gt;="&amp;U7,'1SM3VL'!$E$6:$E$2989,"&lt;="&amp;EOMONTH(U7,0))-SUMIFS('1SM3VL'!$D$6:$D$2989,'1SM3VL'!$E$6:$E$2989,"&gt;="&amp;U7,'1SM3VL'!$E$6:$E$2989,"&lt;="&amp;EOMONTH(U7,0),'1SM3VL'!$F$6:$F$2989,$B$14)-(SUMIFS('1SM3VL'!$D$6:$D$2989,'1SM3VL'!$E$6:$E$2989,"&gt;="&amp;U7,'1SM3VL'!$E$6:$E$2989,"&lt;="&amp;EOMONTH(U7,0),'1SM3VL'!$F$6:$F$2989,"Discount Rent")*2)-SUMIFS('1SM3VL'!$D$6:$D$2989,'1SM3VL'!$E$6:$E$2989,"&gt;="&amp;U7,'1SM3VL'!$E$6:$E$2989,"&lt;="&amp;EOMONTH(U7,0),'1SM3VL'!$F$6:$F$2989,"Bond Received")+SUMIFS('1QF4SM'!$D$6:$D$2989,'1QF4SM'!$E$6:$E$2989,"&gt;="&amp;U7,'1QF4SM'!$E$6:$E$2989,"&lt;="&amp;EOMONTH(U7,0))-SUMIFS('1QF4SM'!$D$6:$D$2989,'1QF4SM'!$E$6:$E$2989,"&gt;="&amp;U7,'1QF4SM'!$E$6:$E$2989,"&lt;="&amp;EOMONTH(U7,0),'1QF4SM'!$F$6:$F$2989,$B$14)-(SUMIFS('1QF4SM'!$D$6:$D$2989,'1QF4SM'!$E$6:$E$2989,"&gt;="&amp;U7,'1QF4SM'!$E$6:$E$2989,"&lt;="&amp;EOMONTH(U7,0),'1QF4SM'!$F$6:$F$2989,"Discount Rent")*2)-SUMIFS('1QF4SM'!$D$6:$D$2989,'1QF4SM'!$E$6:$E$2989,"&gt;="&amp;U7,'1QF4SM'!$E$6:$E$2989,"&lt;="&amp;EOMONTH(U7,0),'1QF4SM'!$F$6:$F$2989,"Bond Received")+SUMIFS('1UV5KI'!$D$6:$D$2988,'1UV5KI'!$E$6:$E$2988,"&gt;="&amp;U7,'1UV5KI'!$E$6:$E$2988,"&lt;="&amp;EOMONTH(U7,0))-SUMIFS('1UV5KI'!$D$6:$D$2988,'1UV5KI'!$E$6:$E$2988,"&gt;="&amp;U7,'1UV5KI'!$E$6:$E$2988,"&lt;="&amp;EOMONTH(U7,0),'1UV5KI'!$F$6:$F$2988,$B$14)-(SUMIFS('1UV5KI'!$D$6:$D$2988,'1UV5KI'!$E$6:$E$2988,"&gt;="&amp;U7,'1UV5KI'!$E$6:$E$2988,"&lt;="&amp;EOMONTH(U7,0),'1UV5KI'!$F$6:$F$2988,"Discount Rent")*2)-SUMIFS('1UV5KI'!$D$6:$D$2988,'1UV5KI'!$E$6:$E$2988,"&gt;="&amp;U7,'1UV5KI'!$E$6:$E$2988,"&lt;="&amp;EOMONTH(U7,0),'1UV5KI'!$F$6:$F$2988,"Bond Received")+SUMIFS(#REF!,#REF!,"&gt;="&amp;U7,#REF!,"&lt;="&amp;EOMONTH(U7,0))-SUMIFS(#REF!,#REF!,"&gt;="&amp;U7,#REF!,"&lt;="&amp;EOMONTH(U7,0),#REF!,$B$14)-(SUMIFS(#REF!,#REF!,"&gt;="&amp;U7,#REF!,"&lt;="&amp;EOMONTH(U7,0),#REF!,"Discount Rent")*2)-SUMIFS(#REF!,#REF!,"&gt;="&amp;U7,#REF!,"&lt;="&amp;EOMONTH(U7,0),#REF!,"Bond Received")+SUMIFS('1UL9RY'!$D$6:$D$2989,'1UL9RY'!$E$6:$E$2989,"&gt;="&amp;U7,'1UL9RY'!$E$6:$E$2989,"&lt;="&amp;EOMONTH(U7,0))-SUMIFS('1UL9RY'!$D$6:$D$2989,'1UL9RY'!$E$6:$E$2989,"&gt;="&amp;U7,'1UL9RY'!$E$6:$E$2989,"&lt;="&amp;EOMONTH(U7,0),'1UL9RY'!$F$6:$F$2989,$B$14)-(SUMIFS('1UL9RY'!$D$6:$D$2989,'1UL9RY'!$E$6:$E$2989,"&gt;="&amp;U7,'1UL9RY'!$E$6:$E$2989,"&lt;="&amp;EOMONTH(U7,0),'1UL9RY'!$F$6:$F$2989,"Discount Rent")*2)-SUMIFS('1UL9RY'!$D$6:$D$2989,'1UL9RY'!$E$6:$E$2989,"&gt;="&amp;U7,'1UL9RY'!$E$6:$E$2989,"&lt;="&amp;EOMONTH(U7,0),'1UL9RY'!$F$6:$F$2989,"Bond Received")+SUMIFS('1OZ7GT'!$D$6:$D$2989,'1OZ7GT'!$E$6:$E$2989,"&gt;="&amp;U7,'1OZ7GT'!$E$6:$E$2989,"&lt;="&amp;EOMONTH(U7,0))-SUMIFS('1OZ7GT'!$D$6:$D$2989,'1OZ7GT'!$E$6:$E$2989,"&gt;="&amp;U7,'1OZ7GT'!$E$6:$E$2989,"&lt;="&amp;EOMONTH(U7,0),'1OZ7GT'!$F$6:$F$2989,$B$14)-(SUMIFS('1OZ7GT'!$D$6:$D$2989,'1OZ7GT'!$E$6:$E$2989,"&gt;="&amp;U7,'1OZ7GT'!$E$6:$E$2989,"&lt;="&amp;EOMONTH(U7,0),'1OZ7GT'!$F$6:$F$2989,"Discount Rent")*2)-SUMIFS('1OZ7GT'!$D$6:$D$2989,'1OZ7GT'!$E$6:$E$2989,"&gt;="&amp;U7,'1OZ7GT'!$E$6:$E$2989,"&lt;="&amp;EOMONTH(U7,0),'1OZ7GT'!$F$6:$F$2989,"Bond Received")+SUMIFS('1CN8DD'!$D$6:$D$2989,'1CN8DD'!$E$6:$E$2989,"&gt;="&amp;U7,'1CN8DD'!$E$6:$E$2989,"&lt;="&amp;EOMONTH(U7,0))-SUMIFS('1CN8DD'!$D$6:$D$2989,'1CN8DD'!$E$6:$E$2989,"&gt;="&amp;U7,'1CN8DD'!$E$6:$E$2989,"&lt;="&amp;EOMONTH(U7,0),'1CN8DD'!$F$6:$F$2989,$B$14)-(SUMIFS('1CN8DD'!$D$6:$D$2989,'1CN8DD'!$E$6:$E$2989,"&gt;="&amp;U7,'1CN8DD'!$E$6:$E$2989,"&lt;="&amp;EOMONTH(U7,0),'1CN8DD'!$F$6:$F$2989,"Discount Rent")*2)-SUMIFS('1CN8DD'!$D$6:$D$2989,'1CN8DD'!$E$6:$E$2989,"&gt;="&amp;U7,'1CN8DD'!$E$6:$E$2989,"&lt;="&amp;EOMONTH(U7,0),'1CN8DD'!$F$6:$F$2989,"Bond Received")+SUMIFS('1UT9BR'!$D$6:$D$2989,'1UT9BR'!$E$6:$E$2989,"&gt;="&amp;U7,'1UT9BR'!$E$6:$E$2989,"&lt;="&amp;EOMONTH(U7,0))-SUMIFS('1UT9BR'!$D$6:$D$2989,'1UT9BR'!$E$6:$E$2989,"&gt;="&amp;U7,'1UT9BR'!$E$6:$E$2989,"&lt;="&amp;EOMONTH(U7,0),'1UT9BR'!$F$6:$F$2989,$B$14)-(SUMIFS('1UT9BR'!$D$6:$D$2989,'1UT9BR'!$E$6:$E$2989,"&gt;="&amp;U7,'1UT9BR'!$E$6:$E$2989,"&lt;="&amp;EOMONTH(U7,0),'1UT9BR'!$F$6:$F$2989,"Discount Rent")*2)-SUMIFS('1UT9BR'!$D$6:$D$2989,'1UT9BR'!$E$6:$E$2989,"&gt;="&amp;U7,'1UT9BR'!$E$6:$E$2989,"&lt;="&amp;EOMONTH(U7,0),'1UT9BR'!$F$6:$F$2989,"Bond Received")+SUMIFS('1MK4UR'!$D$6:$D$2989,'1MK4UR'!$E$6:$E$2989,"&gt;="&amp;U7,'1MK4UR'!$E$6:$E$2989,"&lt;="&amp;EOMONTH(U7,0))-SUMIFS('1MK4UR'!$D$6:$D$2989,'1MK4UR'!$E$6:$E$2989,"&gt;="&amp;U7,'1MK4UR'!$E$6:$E$2989,"&lt;="&amp;EOMONTH(U7,0),'1MK4UR'!$F$6:$F$2989,$B$14)-(SUMIFS('1MK4UR'!$D$6:$D$2989,'1MK4UR'!$E$6:$E$2989,"&gt;="&amp;U7,'1MK4UR'!$E$6:$E$2989,"&lt;="&amp;EOMONTH(U7,0),'1MK4UR'!$F$6:$F$2989,"Discount Rent")*2)-SUMIFS('1MK4UR'!$D$6:$D$2989,'1MK4UR'!$E$6:$E$2989,"&gt;="&amp;U7,'1MK4UR'!$E$6:$E$2989,"&lt;="&amp;EOMONTH(U7,0),'1MK4UR'!$F$6:$F$2989,"Bond Received")</f>
        <v>#REF!</v>
      </c>
      <c r="V10" s="108" t="e">
        <f>SUMIFS('Other Expense'!$C$8:$C$3017,'Other Expense'!$B$8:$B$3017,"&gt;="&amp;V7,'Other Expense'!$B$8:$B$3017,"&lt;="&amp;EOMONTH(V7,0),'Other Expense'!$D$8:$D$3017,$B$9)+SUMIFS('CEI565'!$D$6:$D$2994,'CEI565'!$E$6:$E$2994,"&gt;="&amp;V7,'CEI565'!$E$6:$E$2994,"&lt;="&amp;EOMONTH(V7,0))-SUMIFS('CEI565'!$D$6:$D$2994,'CEI565'!$E$6:$E$2994,"&gt;="&amp;V7,'CEI565'!$E$6:$E$2994,"&lt;="&amp;EOMONTH(V7,0),'CEI565'!$F$6:$F$2994,$B$14)-(SUMIFS('CEI565'!$D$6:$D$2994,'CEI565'!$E$6:$E$2994,"&gt;="&amp;V7,'CEI565'!$E$6:$E$2994,"&lt;="&amp;EOMONTH(V7,0),'CEI565'!$F$6:$F$2994,"Discount Rent")*2)-SUMIFS('CEI565'!$D$6:$D$2994,'CEI565'!$E$6:$E$2994,"&gt;="&amp;V7,'CEI565'!$E$6:$E$2994,"&lt;="&amp;EOMONTH(V7,0),'CEI565'!$F$6:$F$2994,"Bond Received")+SUMIFS('1SM3VL'!$D$6:$D$2989,'1SM3VL'!$E$6:$E$2989,"&gt;="&amp;V7,'1SM3VL'!$E$6:$E$2989,"&lt;="&amp;EOMONTH(V7,0))-SUMIFS('1SM3VL'!$D$6:$D$2989,'1SM3VL'!$E$6:$E$2989,"&gt;="&amp;V7,'1SM3VL'!$E$6:$E$2989,"&lt;="&amp;EOMONTH(V7,0),'1SM3VL'!$F$6:$F$2989,$B$14)-(SUMIFS('1SM3VL'!$D$6:$D$2989,'1SM3VL'!$E$6:$E$2989,"&gt;="&amp;V7,'1SM3VL'!$E$6:$E$2989,"&lt;="&amp;EOMONTH(V7,0),'1SM3VL'!$F$6:$F$2989,"Discount Rent")*2)-SUMIFS('1SM3VL'!$D$6:$D$2989,'1SM3VL'!$E$6:$E$2989,"&gt;="&amp;V7,'1SM3VL'!$E$6:$E$2989,"&lt;="&amp;EOMONTH(V7,0),'1SM3VL'!$F$6:$F$2989,"Bond Received")+SUMIFS('1QF4SM'!$D$6:$D$2989,'1QF4SM'!$E$6:$E$2989,"&gt;="&amp;V7,'1QF4SM'!$E$6:$E$2989,"&lt;="&amp;EOMONTH(V7,0))-SUMIFS('1QF4SM'!$D$6:$D$2989,'1QF4SM'!$E$6:$E$2989,"&gt;="&amp;V7,'1QF4SM'!$E$6:$E$2989,"&lt;="&amp;EOMONTH(V7,0),'1QF4SM'!$F$6:$F$2989,$B$14)-(SUMIFS('1QF4SM'!$D$6:$D$2989,'1QF4SM'!$E$6:$E$2989,"&gt;="&amp;V7,'1QF4SM'!$E$6:$E$2989,"&lt;="&amp;EOMONTH(V7,0),'1QF4SM'!$F$6:$F$2989,"Discount Rent")*2)-SUMIFS('1QF4SM'!$D$6:$D$2989,'1QF4SM'!$E$6:$E$2989,"&gt;="&amp;V7,'1QF4SM'!$E$6:$E$2989,"&lt;="&amp;EOMONTH(V7,0),'1QF4SM'!$F$6:$F$2989,"Bond Received")+SUMIFS('1UV5KI'!$D$6:$D$2988,'1UV5KI'!$E$6:$E$2988,"&gt;="&amp;V7,'1UV5KI'!$E$6:$E$2988,"&lt;="&amp;EOMONTH(V7,0))-SUMIFS('1UV5KI'!$D$6:$D$2988,'1UV5KI'!$E$6:$E$2988,"&gt;="&amp;V7,'1UV5KI'!$E$6:$E$2988,"&lt;="&amp;EOMONTH(V7,0),'1UV5KI'!$F$6:$F$2988,$B$14)-(SUMIFS('1UV5KI'!$D$6:$D$2988,'1UV5KI'!$E$6:$E$2988,"&gt;="&amp;V7,'1UV5KI'!$E$6:$E$2988,"&lt;="&amp;EOMONTH(V7,0),'1UV5KI'!$F$6:$F$2988,"Discount Rent")*2)-SUMIFS('1UV5KI'!$D$6:$D$2988,'1UV5KI'!$E$6:$E$2988,"&gt;="&amp;V7,'1UV5KI'!$E$6:$E$2988,"&lt;="&amp;EOMONTH(V7,0),'1UV5KI'!$F$6:$F$2988,"Bond Received")+SUMIFS(#REF!,#REF!,"&gt;="&amp;V7,#REF!,"&lt;="&amp;EOMONTH(V7,0))-SUMIFS(#REF!,#REF!,"&gt;="&amp;V7,#REF!,"&lt;="&amp;EOMONTH(V7,0),#REF!,$B$14)-(SUMIFS(#REF!,#REF!,"&gt;="&amp;V7,#REF!,"&lt;="&amp;EOMONTH(V7,0),#REF!,"Discount Rent")*2)-SUMIFS(#REF!,#REF!,"&gt;="&amp;V7,#REF!,"&lt;="&amp;EOMONTH(V7,0),#REF!,"Bond Received")+SUMIFS('1UL9RY'!$D$6:$D$2989,'1UL9RY'!$E$6:$E$2989,"&gt;="&amp;V7,'1UL9RY'!$E$6:$E$2989,"&lt;="&amp;EOMONTH(V7,0))-SUMIFS('1UL9RY'!$D$6:$D$2989,'1UL9RY'!$E$6:$E$2989,"&gt;="&amp;V7,'1UL9RY'!$E$6:$E$2989,"&lt;="&amp;EOMONTH(V7,0),'1UL9RY'!$F$6:$F$2989,$B$14)-(SUMIFS('1UL9RY'!$D$6:$D$2989,'1UL9RY'!$E$6:$E$2989,"&gt;="&amp;V7,'1UL9RY'!$E$6:$E$2989,"&lt;="&amp;EOMONTH(V7,0),'1UL9RY'!$F$6:$F$2989,"Discount Rent")*2)-SUMIFS('1UL9RY'!$D$6:$D$2989,'1UL9RY'!$E$6:$E$2989,"&gt;="&amp;V7,'1UL9RY'!$E$6:$E$2989,"&lt;="&amp;EOMONTH(V7,0),'1UL9RY'!$F$6:$F$2989,"Bond Received")+SUMIFS('1OZ7GT'!$D$6:$D$2989,'1OZ7GT'!$E$6:$E$2989,"&gt;="&amp;V7,'1OZ7GT'!$E$6:$E$2989,"&lt;="&amp;EOMONTH(V7,0))-SUMIFS('1OZ7GT'!$D$6:$D$2989,'1OZ7GT'!$E$6:$E$2989,"&gt;="&amp;V7,'1OZ7GT'!$E$6:$E$2989,"&lt;="&amp;EOMONTH(V7,0),'1OZ7GT'!$F$6:$F$2989,$B$14)-(SUMIFS('1OZ7GT'!$D$6:$D$2989,'1OZ7GT'!$E$6:$E$2989,"&gt;="&amp;V7,'1OZ7GT'!$E$6:$E$2989,"&lt;="&amp;EOMONTH(V7,0),'1OZ7GT'!$F$6:$F$2989,"Discount Rent")*2)-SUMIFS('1OZ7GT'!$D$6:$D$2989,'1OZ7GT'!$E$6:$E$2989,"&gt;="&amp;V7,'1OZ7GT'!$E$6:$E$2989,"&lt;="&amp;EOMONTH(V7,0),'1OZ7GT'!$F$6:$F$2989,"Bond Received")+SUMIFS('1CN8DD'!$D$6:$D$2989,'1CN8DD'!$E$6:$E$2989,"&gt;="&amp;V7,'1CN8DD'!$E$6:$E$2989,"&lt;="&amp;EOMONTH(V7,0))-SUMIFS('1CN8DD'!$D$6:$D$2989,'1CN8DD'!$E$6:$E$2989,"&gt;="&amp;V7,'1CN8DD'!$E$6:$E$2989,"&lt;="&amp;EOMONTH(V7,0),'1CN8DD'!$F$6:$F$2989,$B$14)-(SUMIFS('1CN8DD'!$D$6:$D$2989,'1CN8DD'!$E$6:$E$2989,"&gt;="&amp;V7,'1CN8DD'!$E$6:$E$2989,"&lt;="&amp;EOMONTH(V7,0),'1CN8DD'!$F$6:$F$2989,"Discount Rent")*2)-SUMIFS('1CN8DD'!$D$6:$D$2989,'1CN8DD'!$E$6:$E$2989,"&gt;="&amp;V7,'1CN8DD'!$E$6:$E$2989,"&lt;="&amp;EOMONTH(V7,0),'1CN8DD'!$F$6:$F$2989,"Bond Received")+SUMIFS('1UT9BR'!$D$6:$D$2989,'1UT9BR'!$E$6:$E$2989,"&gt;="&amp;V7,'1UT9BR'!$E$6:$E$2989,"&lt;="&amp;EOMONTH(V7,0))-SUMIFS('1UT9BR'!$D$6:$D$2989,'1UT9BR'!$E$6:$E$2989,"&gt;="&amp;V7,'1UT9BR'!$E$6:$E$2989,"&lt;="&amp;EOMONTH(V7,0),'1UT9BR'!$F$6:$F$2989,$B$14)-(SUMIFS('1UT9BR'!$D$6:$D$2989,'1UT9BR'!$E$6:$E$2989,"&gt;="&amp;V7,'1UT9BR'!$E$6:$E$2989,"&lt;="&amp;EOMONTH(V7,0),'1UT9BR'!$F$6:$F$2989,"Discount Rent")*2)-SUMIFS('1UT9BR'!$D$6:$D$2989,'1UT9BR'!$E$6:$E$2989,"&gt;="&amp;V7,'1UT9BR'!$E$6:$E$2989,"&lt;="&amp;EOMONTH(V7,0),'1UT9BR'!$F$6:$F$2989,"Bond Received")+SUMIFS('1MK4UR'!$D$6:$D$2989,'1MK4UR'!$E$6:$E$2989,"&gt;="&amp;V7,'1MK4UR'!$E$6:$E$2989,"&lt;="&amp;EOMONTH(V7,0))-SUMIFS('1MK4UR'!$D$6:$D$2989,'1MK4UR'!$E$6:$E$2989,"&gt;="&amp;V7,'1MK4UR'!$E$6:$E$2989,"&lt;="&amp;EOMONTH(V7,0),'1MK4UR'!$F$6:$F$2989,$B$14)-(SUMIFS('1MK4UR'!$D$6:$D$2989,'1MK4UR'!$E$6:$E$2989,"&gt;="&amp;V7,'1MK4UR'!$E$6:$E$2989,"&lt;="&amp;EOMONTH(V7,0),'1MK4UR'!$F$6:$F$2989,"Discount Rent")*2)-SUMIFS('1MK4UR'!$D$6:$D$2989,'1MK4UR'!$E$6:$E$2989,"&gt;="&amp;V7,'1MK4UR'!$E$6:$E$2989,"&lt;="&amp;EOMONTH(V7,0),'1MK4UR'!$F$6:$F$2989,"Bond Received")</f>
        <v>#REF!</v>
      </c>
      <c r="W10" s="108" t="e">
        <f>SUMIFS('Other Expense'!$C$8:$C$3017,'Other Expense'!$B$8:$B$3017,"&gt;="&amp;W7,'Other Expense'!$B$8:$B$3017,"&lt;="&amp;EOMONTH(W7,0),'Other Expense'!$D$8:$D$3017,$B$9)+SUMIFS('CEI565'!$D$6:$D$2994,'CEI565'!$E$6:$E$2994,"&gt;="&amp;W7,'CEI565'!$E$6:$E$2994,"&lt;="&amp;EOMONTH(W7,0))-SUMIFS('CEI565'!$D$6:$D$2994,'CEI565'!$E$6:$E$2994,"&gt;="&amp;W7,'CEI565'!$E$6:$E$2994,"&lt;="&amp;EOMONTH(W7,0),'CEI565'!$F$6:$F$2994,$B$14)-(SUMIFS('CEI565'!$D$6:$D$2994,'CEI565'!$E$6:$E$2994,"&gt;="&amp;W7,'CEI565'!$E$6:$E$2994,"&lt;="&amp;EOMONTH(W7,0),'CEI565'!$F$6:$F$2994,"Discount Rent")*2)-SUMIFS('CEI565'!$D$6:$D$2994,'CEI565'!$E$6:$E$2994,"&gt;="&amp;W7,'CEI565'!$E$6:$E$2994,"&lt;="&amp;EOMONTH(W7,0),'CEI565'!$F$6:$F$2994,"Bond Received")+SUMIFS('1SM3VL'!$D$6:$D$2989,'1SM3VL'!$E$6:$E$2989,"&gt;="&amp;W7,'1SM3VL'!$E$6:$E$2989,"&lt;="&amp;EOMONTH(W7,0))-SUMIFS('1SM3VL'!$D$6:$D$2989,'1SM3VL'!$E$6:$E$2989,"&gt;="&amp;W7,'1SM3VL'!$E$6:$E$2989,"&lt;="&amp;EOMONTH(W7,0),'1SM3VL'!$F$6:$F$2989,$B$14)-(SUMIFS('1SM3VL'!$D$6:$D$2989,'1SM3VL'!$E$6:$E$2989,"&gt;="&amp;W7,'1SM3VL'!$E$6:$E$2989,"&lt;="&amp;EOMONTH(W7,0),'1SM3VL'!$F$6:$F$2989,"Discount Rent")*2)-SUMIFS('1SM3VL'!$D$6:$D$2989,'1SM3VL'!$E$6:$E$2989,"&gt;="&amp;W7,'1SM3VL'!$E$6:$E$2989,"&lt;="&amp;EOMONTH(W7,0),'1SM3VL'!$F$6:$F$2989,"Bond Received")+SUMIFS('1QF4SM'!$D$6:$D$2989,'1QF4SM'!$E$6:$E$2989,"&gt;="&amp;W7,'1QF4SM'!$E$6:$E$2989,"&lt;="&amp;EOMONTH(W7,0))-SUMIFS('1QF4SM'!$D$6:$D$2989,'1QF4SM'!$E$6:$E$2989,"&gt;="&amp;W7,'1QF4SM'!$E$6:$E$2989,"&lt;="&amp;EOMONTH(W7,0),'1QF4SM'!$F$6:$F$2989,$B$14)-(SUMIFS('1QF4SM'!$D$6:$D$2989,'1QF4SM'!$E$6:$E$2989,"&gt;="&amp;W7,'1QF4SM'!$E$6:$E$2989,"&lt;="&amp;EOMONTH(W7,0),'1QF4SM'!$F$6:$F$2989,"Discount Rent")*2)-SUMIFS('1QF4SM'!$D$6:$D$2989,'1QF4SM'!$E$6:$E$2989,"&gt;="&amp;W7,'1QF4SM'!$E$6:$E$2989,"&lt;="&amp;EOMONTH(W7,0),'1QF4SM'!$F$6:$F$2989,"Bond Received")+SUMIFS('1UV5KI'!$D$6:$D$2988,'1UV5KI'!$E$6:$E$2988,"&gt;="&amp;W7,'1UV5KI'!$E$6:$E$2988,"&lt;="&amp;EOMONTH(W7,0))-SUMIFS('1UV5KI'!$D$6:$D$2988,'1UV5KI'!$E$6:$E$2988,"&gt;="&amp;W7,'1UV5KI'!$E$6:$E$2988,"&lt;="&amp;EOMONTH(W7,0),'1UV5KI'!$F$6:$F$2988,$B$14)-(SUMIFS('1UV5KI'!$D$6:$D$2988,'1UV5KI'!$E$6:$E$2988,"&gt;="&amp;W7,'1UV5KI'!$E$6:$E$2988,"&lt;="&amp;EOMONTH(W7,0),'1UV5KI'!$F$6:$F$2988,"Discount Rent")*2)-SUMIFS('1UV5KI'!$D$6:$D$2988,'1UV5KI'!$E$6:$E$2988,"&gt;="&amp;W7,'1UV5KI'!$E$6:$E$2988,"&lt;="&amp;EOMONTH(W7,0),'1UV5KI'!$F$6:$F$2988,"Bond Received")+SUMIFS(#REF!,#REF!,"&gt;="&amp;W7,#REF!,"&lt;="&amp;EOMONTH(W7,0))-SUMIFS(#REF!,#REF!,"&gt;="&amp;W7,#REF!,"&lt;="&amp;EOMONTH(W7,0),#REF!,$B$14)-(SUMIFS(#REF!,#REF!,"&gt;="&amp;W7,#REF!,"&lt;="&amp;EOMONTH(W7,0),#REF!,"Discount Rent")*2)-SUMIFS(#REF!,#REF!,"&gt;="&amp;W7,#REF!,"&lt;="&amp;EOMONTH(W7,0),#REF!,"Bond Received")+SUMIFS('1UL9RY'!$D$6:$D$2989,'1UL9RY'!$E$6:$E$2989,"&gt;="&amp;W7,'1UL9RY'!$E$6:$E$2989,"&lt;="&amp;EOMONTH(W7,0))-SUMIFS('1UL9RY'!$D$6:$D$2989,'1UL9RY'!$E$6:$E$2989,"&gt;="&amp;W7,'1UL9RY'!$E$6:$E$2989,"&lt;="&amp;EOMONTH(W7,0),'1UL9RY'!$F$6:$F$2989,$B$14)-(SUMIFS('1UL9RY'!$D$6:$D$2989,'1UL9RY'!$E$6:$E$2989,"&gt;="&amp;W7,'1UL9RY'!$E$6:$E$2989,"&lt;="&amp;EOMONTH(W7,0),'1UL9RY'!$F$6:$F$2989,"Discount Rent")*2)-SUMIFS('1UL9RY'!$D$6:$D$2989,'1UL9RY'!$E$6:$E$2989,"&gt;="&amp;W7,'1UL9RY'!$E$6:$E$2989,"&lt;="&amp;EOMONTH(W7,0),'1UL9RY'!$F$6:$F$2989,"Bond Received")+SUMIFS('1OZ7GT'!$D$6:$D$2989,'1OZ7GT'!$E$6:$E$2989,"&gt;="&amp;W7,'1OZ7GT'!$E$6:$E$2989,"&lt;="&amp;EOMONTH(W7,0))-SUMIFS('1OZ7GT'!$D$6:$D$2989,'1OZ7GT'!$E$6:$E$2989,"&gt;="&amp;W7,'1OZ7GT'!$E$6:$E$2989,"&lt;="&amp;EOMONTH(W7,0),'1OZ7GT'!$F$6:$F$2989,$B$14)-(SUMIFS('1OZ7GT'!$D$6:$D$2989,'1OZ7GT'!$E$6:$E$2989,"&gt;="&amp;W7,'1OZ7GT'!$E$6:$E$2989,"&lt;="&amp;EOMONTH(W7,0),'1OZ7GT'!$F$6:$F$2989,"Discount Rent")*2)-SUMIFS('1OZ7GT'!$D$6:$D$2989,'1OZ7GT'!$E$6:$E$2989,"&gt;="&amp;W7,'1OZ7GT'!$E$6:$E$2989,"&lt;="&amp;EOMONTH(W7,0),'1OZ7GT'!$F$6:$F$2989,"Bond Received")+SUMIFS('1CN8DD'!$D$6:$D$2989,'1CN8DD'!$E$6:$E$2989,"&gt;="&amp;W7,'1CN8DD'!$E$6:$E$2989,"&lt;="&amp;EOMONTH(W7,0))-SUMIFS('1CN8DD'!$D$6:$D$2989,'1CN8DD'!$E$6:$E$2989,"&gt;="&amp;W7,'1CN8DD'!$E$6:$E$2989,"&lt;="&amp;EOMONTH(W7,0),'1CN8DD'!$F$6:$F$2989,$B$14)-(SUMIFS('1CN8DD'!$D$6:$D$2989,'1CN8DD'!$E$6:$E$2989,"&gt;="&amp;W7,'1CN8DD'!$E$6:$E$2989,"&lt;="&amp;EOMONTH(W7,0),'1CN8DD'!$F$6:$F$2989,"Discount Rent")*2)-SUMIFS('1CN8DD'!$D$6:$D$2989,'1CN8DD'!$E$6:$E$2989,"&gt;="&amp;W7,'1CN8DD'!$E$6:$E$2989,"&lt;="&amp;EOMONTH(W7,0),'1CN8DD'!$F$6:$F$2989,"Bond Received")+SUMIFS('1UT9BR'!$D$6:$D$2989,'1UT9BR'!$E$6:$E$2989,"&gt;="&amp;W7,'1UT9BR'!$E$6:$E$2989,"&lt;="&amp;EOMONTH(W7,0))-SUMIFS('1UT9BR'!$D$6:$D$2989,'1UT9BR'!$E$6:$E$2989,"&gt;="&amp;W7,'1UT9BR'!$E$6:$E$2989,"&lt;="&amp;EOMONTH(W7,0),'1UT9BR'!$F$6:$F$2989,$B$14)-(SUMIFS('1UT9BR'!$D$6:$D$2989,'1UT9BR'!$E$6:$E$2989,"&gt;="&amp;W7,'1UT9BR'!$E$6:$E$2989,"&lt;="&amp;EOMONTH(W7,0),'1UT9BR'!$F$6:$F$2989,"Discount Rent")*2)-SUMIFS('1UT9BR'!$D$6:$D$2989,'1UT9BR'!$E$6:$E$2989,"&gt;="&amp;W7,'1UT9BR'!$E$6:$E$2989,"&lt;="&amp;EOMONTH(W7,0),'1UT9BR'!$F$6:$F$2989,"Bond Received")+SUMIFS('1MK4UR'!$D$6:$D$2989,'1MK4UR'!$E$6:$E$2989,"&gt;="&amp;W7,'1MK4UR'!$E$6:$E$2989,"&lt;="&amp;EOMONTH(W7,0))-SUMIFS('1MK4UR'!$D$6:$D$2989,'1MK4UR'!$E$6:$E$2989,"&gt;="&amp;W7,'1MK4UR'!$E$6:$E$2989,"&lt;="&amp;EOMONTH(W7,0),'1MK4UR'!$F$6:$F$2989,$B$14)-(SUMIFS('1MK4UR'!$D$6:$D$2989,'1MK4UR'!$E$6:$E$2989,"&gt;="&amp;W7,'1MK4UR'!$E$6:$E$2989,"&lt;="&amp;EOMONTH(W7,0),'1MK4UR'!$F$6:$F$2989,"Discount Rent")*2)-SUMIFS('1MK4UR'!$D$6:$D$2989,'1MK4UR'!$E$6:$E$2989,"&gt;="&amp;W7,'1MK4UR'!$E$6:$E$2989,"&lt;="&amp;EOMONTH(W7,0),'1MK4UR'!$F$6:$F$2989,"Bond Received")</f>
        <v>#REF!</v>
      </c>
      <c r="X10" s="108" t="e">
        <f>SUMIFS('Other Expense'!$C$8:$C$3017,'Other Expense'!$B$8:$B$3017,"&gt;="&amp;X7,'Other Expense'!$B$8:$B$3017,"&lt;="&amp;EOMONTH(X7,0),'Other Expense'!$D$8:$D$3017,$B$9)+SUMIFS('CEI565'!$D$6:$D$2994,'CEI565'!$E$6:$E$2994,"&gt;="&amp;X7,'CEI565'!$E$6:$E$2994,"&lt;="&amp;EOMONTH(X7,0))-SUMIFS('CEI565'!$D$6:$D$2994,'CEI565'!$E$6:$E$2994,"&gt;="&amp;X7,'CEI565'!$E$6:$E$2994,"&lt;="&amp;EOMONTH(X7,0),'CEI565'!$F$6:$F$2994,$B$14)-(SUMIFS('CEI565'!$D$6:$D$2994,'CEI565'!$E$6:$E$2994,"&gt;="&amp;X7,'CEI565'!$E$6:$E$2994,"&lt;="&amp;EOMONTH(X7,0),'CEI565'!$F$6:$F$2994,"Discount Rent")*2)-SUMIFS('CEI565'!$D$6:$D$2994,'CEI565'!$E$6:$E$2994,"&gt;="&amp;X7,'CEI565'!$E$6:$E$2994,"&lt;="&amp;EOMONTH(X7,0),'CEI565'!$F$6:$F$2994,"Bond Received")+SUMIFS('1SM3VL'!$D$6:$D$2989,'1SM3VL'!$E$6:$E$2989,"&gt;="&amp;X7,'1SM3VL'!$E$6:$E$2989,"&lt;="&amp;EOMONTH(X7,0))-SUMIFS('1SM3VL'!$D$6:$D$2989,'1SM3VL'!$E$6:$E$2989,"&gt;="&amp;X7,'1SM3VL'!$E$6:$E$2989,"&lt;="&amp;EOMONTH(X7,0),'1SM3VL'!$F$6:$F$2989,$B$14)-(SUMIFS('1SM3VL'!$D$6:$D$2989,'1SM3VL'!$E$6:$E$2989,"&gt;="&amp;X7,'1SM3VL'!$E$6:$E$2989,"&lt;="&amp;EOMONTH(X7,0),'1SM3VL'!$F$6:$F$2989,"Discount Rent")*2)-SUMIFS('1SM3VL'!$D$6:$D$2989,'1SM3VL'!$E$6:$E$2989,"&gt;="&amp;X7,'1SM3VL'!$E$6:$E$2989,"&lt;="&amp;EOMONTH(X7,0),'1SM3VL'!$F$6:$F$2989,"Bond Received")+SUMIFS('1QF4SM'!$D$6:$D$2989,'1QF4SM'!$E$6:$E$2989,"&gt;="&amp;X7,'1QF4SM'!$E$6:$E$2989,"&lt;="&amp;EOMONTH(X7,0))-SUMIFS('1QF4SM'!$D$6:$D$2989,'1QF4SM'!$E$6:$E$2989,"&gt;="&amp;X7,'1QF4SM'!$E$6:$E$2989,"&lt;="&amp;EOMONTH(X7,0),'1QF4SM'!$F$6:$F$2989,$B$14)-(SUMIFS('1QF4SM'!$D$6:$D$2989,'1QF4SM'!$E$6:$E$2989,"&gt;="&amp;X7,'1QF4SM'!$E$6:$E$2989,"&lt;="&amp;EOMONTH(X7,0),'1QF4SM'!$F$6:$F$2989,"Discount Rent")*2)-SUMIFS('1QF4SM'!$D$6:$D$2989,'1QF4SM'!$E$6:$E$2989,"&gt;="&amp;X7,'1QF4SM'!$E$6:$E$2989,"&lt;="&amp;EOMONTH(X7,0),'1QF4SM'!$F$6:$F$2989,"Bond Received")+SUMIFS('1UV5KI'!$D$6:$D$2988,'1UV5KI'!$E$6:$E$2988,"&gt;="&amp;X7,'1UV5KI'!$E$6:$E$2988,"&lt;="&amp;EOMONTH(X7,0))-SUMIFS('1UV5KI'!$D$6:$D$2988,'1UV5KI'!$E$6:$E$2988,"&gt;="&amp;X7,'1UV5KI'!$E$6:$E$2988,"&lt;="&amp;EOMONTH(X7,0),'1UV5KI'!$F$6:$F$2988,$B$14)-(SUMIFS('1UV5KI'!$D$6:$D$2988,'1UV5KI'!$E$6:$E$2988,"&gt;="&amp;X7,'1UV5KI'!$E$6:$E$2988,"&lt;="&amp;EOMONTH(X7,0),'1UV5KI'!$F$6:$F$2988,"Discount Rent")*2)-SUMIFS('1UV5KI'!$D$6:$D$2988,'1UV5KI'!$E$6:$E$2988,"&gt;="&amp;X7,'1UV5KI'!$E$6:$E$2988,"&lt;="&amp;EOMONTH(X7,0),'1UV5KI'!$F$6:$F$2988,"Bond Received")+SUMIFS(#REF!,#REF!,"&gt;="&amp;X7,#REF!,"&lt;="&amp;EOMONTH(X7,0))-SUMIFS(#REF!,#REF!,"&gt;="&amp;X7,#REF!,"&lt;="&amp;EOMONTH(X7,0),#REF!,$B$14)-(SUMIFS(#REF!,#REF!,"&gt;="&amp;X7,#REF!,"&lt;="&amp;EOMONTH(X7,0),#REF!,"Discount Rent")*2)-SUMIFS(#REF!,#REF!,"&gt;="&amp;X7,#REF!,"&lt;="&amp;EOMONTH(X7,0),#REF!,"Bond Received")+SUMIFS('1UL9RY'!$D$6:$D$2989,'1UL9RY'!$E$6:$E$2989,"&gt;="&amp;X7,'1UL9RY'!$E$6:$E$2989,"&lt;="&amp;EOMONTH(X7,0))-SUMIFS('1UL9RY'!$D$6:$D$2989,'1UL9RY'!$E$6:$E$2989,"&gt;="&amp;X7,'1UL9RY'!$E$6:$E$2989,"&lt;="&amp;EOMONTH(X7,0),'1UL9RY'!$F$6:$F$2989,$B$14)-(SUMIFS('1UL9RY'!$D$6:$D$2989,'1UL9RY'!$E$6:$E$2989,"&gt;="&amp;X7,'1UL9RY'!$E$6:$E$2989,"&lt;="&amp;EOMONTH(X7,0),'1UL9RY'!$F$6:$F$2989,"Discount Rent")*2)-SUMIFS('1UL9RY'!$D$6:$D$2989,'1UL9RY'!$E$6:$E$2989,"&gt;="&amp;X7,'1UL9RY'!$E$6:$E$2989,"&lt;="&amp;EOMONTH(X7,0),'1UL9RY'!$F$6:$F$2989,"Bond Received")+SUMIFS('1OZ7GT'!$D$6:$D$2989,'1OZ7GT'!$E$6:$E$2989,"&gt;="&amp;X7,'1OZ7GT'!$E$6:$E$2989,"&lt;="&amp;EOMONTH(X7,0))-SUMIFS('1OZ7GT'!$D$6:$D$2989,'1OZ7GT'!$E$6:$E$2989,"&gt;="&amp;X7,'1OZ7GT'!$E$6:$E$2989,"&lt;="&amp;EOMONTH(X7,0),'1OZ7GT'!$F$6:$F$2989,$B$14)-(SUMIFS('1OZ7GT'!$D$6:$D$2989,'1OZ7GT'!$E$6:$E$2989,"&gt;="&amp;X7,'1OZ7GT'!$E$6:$E$2989,"&lt;="&amp;EOMONTH(X7,0),'1OZ7GT'!$F$6:$F$2989,"Discount Rent")*2)-SUMIFS('1OZ7GT'!$D$6:$D$2989,'1OZ7GT'!$E$6:$E$2989,"&gt;="&amp;X7,'1OZ7GT'!$E$6:$E$2989,"&lt;="&amp;EOMONTH(X7,0),'1OZ7GT'!$F$6:$F$2989,"Bond Received")+SUMIFS('1CN8DD'!$D$6:$D$2989,'1CN8DD'!$E$6:$E$2989,"&gt;="&amp;X7,'1CN8DD'!$E$6:$E$2989,"&lt;="&amp;EOMONTH(X7,0))-SUMIFS('1CN8DD'!$D$6:$D$2989,'1CN8DD'!$E$6:$E$2989,"&gt;="&amp;X7,'1CN8DD'!$E$6:$E$2989,"&lt;="&amp;EOMONTH(X7,0),'1CN8DD'!$F$6:$F$2989,$B$14)-(SUMIFS('1CN8DD'!$D$6:$D$2989,'1CN8DD'!$E$6:$E$2989,"&gt;="&amp;X7,'1CN8DD'!$E$6:$E$2989,"&lt;="&amp;EOMONTH(X7,0),'1CN8DD'!$F$6:$F$2989,"Discount Rent")*2)-SUMIFS('1CN8DD'!$D$6:$D$2989,'1CN8DD'!$E$6:$E$2989,"&gt;="&amp;X7,'1CN8DD'!$E$6:$E$2989,"&lt;="&amp;EOMONTH(X7,0),'1CN8DD'!$F$6:$F$2989,"Bond Received")+SUMIFS('1UT9BR'!$D$6:$D$2989,'1UT9BR'!$E$6:$E$2989,"&gt;="&amp;X7,'1UT9BR'!$E$6:$E$2989,"&lt;="&amp;EOMONTH(X7,0))-SUMIFS('1UT9BR'!$D$6:$D$2989,'1UT9BR'!$E$6:$E$2989,"&gt;="&amp;X7,'1UT9BR'!$E$6:$E$2989,"&lt;="&amp;EOMONTH(X7,0),'1UT9BR'!$F$6:$F$2989,$B$14)-(SUMIFS('1UT9BR'!$D$6:$D$2989,'1UT9BR'!$E$6:$E$2989,"&gt;="&amp;X7,'1UT9BR'!$E$6:$E$2989,"&lt;="&amp;EOMONTH(X7,0),'1UT9BR'!$F$6:$F$2989,"Discount Rent")*2)-SUMIFS('1UT9BR'!$D$6:$D$2989,'1UT9BR'!$E$6:$E$2989,"&gt;="&amp;X7,'1UT9BR'!$E$6:$E$2989,"&lt;="&amp;EOMONTH(X7,0),'1UT9BR'!$F$6:$F$2989,"Bond Received")+SUMIFS('1MK4UR'!$D$6:$D$2989,'1MK4UR'!$E$6:$E$2989,"&gt;="&amp;X7,'1MK4UR'!$E$6:$E$2989,"&lt;="&amp;EOMONTH(X7,0))-SUMIFS('1MK4UR'!$D$6:$D$2989,'1MK4UR'!$E$6:$E$2989,"&gt;="&amp;X7,'1MK4UR'!$E$6:$E$2989,"&lt;="&amp;EOMONTH(X7,0),'1MK4UR'!$F$6:$F$2989,$B$14)-(SUMIFS('1MK4UR'!$D$6:$D$2989,'1MK4UR'!$E$6:$E$2989,"&gt;="&amp;X7,'1MK4UR'!$E$6:$E$2989,"&lt;="&amp;EOMONTH(X7,0),'1MK4UR'!$F$6:$F$2989,"Discount Rent")*2)-SUMIFS('1MK4UR'!$D$6:$D$2989,'1MK4UR'!$E$6:$E$2989,"&gt;="&amp;X7,'1MK4UR'!$E$6:$E$2989,"&lt;="&amp;EOMONTH(X7,0),'1MK4UR'!$F$6:$F$2989,"Bond Received")</f>
        <v>#REF!</v>
      </c>
      <c r="Y10" s="108" t="e">
        <f>SUMIFS('Other Expense'!$C$8:$C$3017,'Other Expense'!$B$8:$B$3017,"&gt;="&amp;Y7,'Other Expense'!$B$8:$B$3017,"&lt;="&amp;EOMONTH(Y7,0),'Other Expense'!$D$8:$D$3017,$B$9)+SUMIFS('CEI565'!$D$6:$D$2994,'CEI565'!$E$6:$E$2994,"&gt;="&amp;Y7,'CEI565'!$E$6:$E$2994,"&lt;="&amp;EOMONTH(Y7,0))-SUMIFS('CEI565'!$D$6:$D$2994,'CEI565'!$E$6:$E$2994,"&gt;="&amp;Y7,'CEI565'!$E$6:$E$2994,"&lt;="&amp;EOMONTH(Y7,0),'CEI565'!$F$6:$F$2994,$B$14)-(SUMIFS('CEI565'!$D$6:$D$2994,'CEI565'!$E$6:$E$2994,"&gt;="&amp;Y7,'CEI565'!$E$6:$E$2994,"&lt;="&amp;EOMONTH(Y7,0),'CEI565'!$F$6:$F$2994,"Discount Rent")*2)-SUMIFS('CEI565'!$D$6:$D$2994,'CEI565'!$E$6:$E$2994,"&gt;="&amp;Y7,'CEI565'!$E$6:$E$2994,"&lt;="&amp;EOMONTH(Y7,0),'CEI565'!$F$6:$F$2994,"Bond Received")+SUMIFS('1SM3VL'!$D$6:$D$2989,'1SM3VL'!$E$6:$E$2989,"&gt;="&amp;Y7,'1SM3VL'!$E$6:$E$2989,"&lt;="&amp;EOMONTH(Y7,0))-SUMIFS('1SM3VL'!$D$6:$D$2989,'1SM3VL'!$E$6:$E$2989,"&gt;="&amp;Y7,'1SM3VL'!$E$6:$E$2989,"&lt;="&amp;EOMONTH(Y7,0),'1SM3VL'!$F$6:$F$2989,$B$14)-(SUMIFS('1SM3VL'!$D$6:$D$2989,'1SM3VL'!$E$6:$E$2989,"&gt;="&amp;Y7,'1SM3VL'!$E$6:$E$2989,"&lt;="&amp;EOMONTH(Y7,0),'1SM3VL'!$F$6:$F$2989,"Discount Rent")*2)-SUMIFS('1SM3VL'!$D$6:$D$2989,'1SM3VL'!$E$6:$E$2989,"&gt;="&amp;Y7,'1SM3VL'!$E$6:$E$2989,"&lt;="&amp;EOMONTH(Y7,0),'1SM3VL'!$F$6:$F$2989,"Bond Received")+SUMIFS('1QF4SM'!$D$6:$D$2989,'1QF4SM'!$E$6:$E$2989,"&gt;="&amp;Y7,'1QF4SM'!$E$6:$E$2989,"&lt;="&amp;EOMONTH(Y7,0))-SUMIFS('1QF4SM'!$D$6:$D$2989,'1QF4SM'!$E$6:$E$2989,"&gt;="&amp;Y7,'1QF4SM'!$E$6:$E$2989,"&lt;="&amp;EOMONTH(Y7,0),'1QF4SM'!$F$6:$F$2989,$B$14)-(SUMIFS('1QF4SM'!$D$6:$D$2989,'1QF4SM'!$E$6:$E$2989,"&gt;="&amp;Y7,'1QF4SM'!$E$6:$E$2989,"&lt;="&amp;EOMONTH(Y7,0),'1QF4SM'!$F$6:$F$2989,"Discount Rent")*2)-SUMIFS('1QF4SM'!$D$6:$D$2989,'1QF4SM'!$E$6:$E$2989,"&gt;="&amp;Y7,'1QF4SM'!$E$6:$E$2989,"&lt;="&amp;EOMONTH(Y7,0),'1QF4SM'!$F$6:$F$2989,"Bond Received")+SUMIFS('1UV5KI'!$D$6:$D$2988,'1UV5KI'!$E$6:$E$2988,"&gt;="&amp;Y7,'1UV5KI'!$E$6:$E$2988,"&lt;="&amp;EOMONTH(Y7,0))-SUMIFS('1UV5KI'!$D$6:$D$2988,'1UV5KI'!$E$6:$E$2988,"&gt;="&amp;Y7,'1UV5KI'!$E$6:$E$2988,"&lt;="&amp;EOMONTH(Y7,0),'1UV5KI'!$F$6:$F$2988,$B$14)-(SUMIFS('1UV5KI'!$D$6:$D$2988,'1UV5KI'!$E$6:$E$2988,"&gt;="&amp;Y7,'1UV5KI'!$E$6:$E$2988,"&lt;="&amp;EOMONTH(Y7,0),'1UV5KI'!$F$6:$F$2988,"Discount Rent")*2)-SUMIFS('1UV5KI'!$D$6:$D$2988,'1UV5KI'!$E$6:$E$2988,"&gt;="&amp;Y7,'1UV5KI'!$E$6:$E$2988,"&lt;="&amp;EOMONTH(Y7,0),'1UV5KI'!$F$6:$F$2988,"Bond Received")+SUMIFS(#REF!,#REF!,"&gt;="&amp;Y7,#REF!,"&lt;="&amp;EOMONTH(Y7,0))-SUMIFS(#REF!,#REF!,"&gt;="&amp;Y7,#REF!,"&lt;="&amp;EOMONTH(Y7,0),#REF!,$B$14)-(SUMIFS(#REF!,#REF!,"&gt;="&amp;Y7,#REF!,"&lt;="&amp;EOMONTH(Y7,0),#REF!,"Discount Rent")*2)-SUMIFS(#REF!,#REF!,"&gt;="&amp;Y7,#REF!,"&lt;="&amp;EOMONTH(Y7,0),#REF!,"Bond Received")+SUMIFS('1UL9RY'!$D$6:$D$2989,'1UL9RY'!$E$6:$E$2989,"&gt;="&amp;Y7,'1UL9RY'!$E$6:$E$2989,"&lt;="&amp;EOMONTH(Y7,0))-SUMIFS('1UL9RY'!$D$6:$D$2989,'1UL9RY'!$E$6:$E$2989,"&gt;="&amp;Y7,'1UL9RY'!$E$6:$E$2989,"&lt;="&amp;EOMONTH(Y7,0),'1UL9RY'!$F$6:$F$2989,$B$14)-(SUMIFS('1UL9RY'!$D$6:$D$2989,'1UL9RY'!$E$6:$E$2989,"&gt;="&amp;Y7,'1UL9RY'!$E$6:$E$2989,"&lt;="&amp;EOMONTH(Y7,0),'1UL9RY'!$F$6:$F$2989,"Discount Rent")*2)-SUMIFS('1UL9RY'!$D$6:$D$2989,'1UL9RY'!$E$6:$E$2989,"&gt;="&amp;Y7,'1UL9RY'!$E$6:$E$2989,"&lt;="&amp;EOMONTH(Y7,0),'1UL9RY'!$F$6:$F$2989,"Bond Received")+SUMIFS('1OZ7GT'!$D$6:$D$2989,'1OZ7GT'!$E$6:$E$2989,"&gt;="&amp;Y7,'1OZ7GT'!$E$6:$E$2989,"&lt;="&amp;EOMONTH(Y7,0))-SUMIFS('1OZ7GT'!$D$6:$D$2989,'1OZ7GT'!$E$6:$E$2989,"&gt;="&amp;Y7,'1OZ7GT'!$E$6:$E$2989,"&lt;="&amp;EOMONTH(Y7,0),'1OZ7GT'!$F$6:$F$2989,$B$14)-(SUMIFS('1OZ7GT'!$D$6:$D$2989,'1OZ7GT'!$E$6:$E$2989,"&gt;="&amp;Y7,'1OZ7GT'!$E$6:$E$2989,"&lt;="&amp;EOMONTH(Y7,0),'1OZ7GT'!$F$6:$F$2989,"Discount Rent")*2)-SUMIFS('1OZ7GT'!$D$6:$D$2989,'1OZ7GT'!$E$6:$E$2989,"&gt;="&amp;Y7,'1OZ7GT'!$E$6:$E$2989,"&lt;="&amp;EOMONTH(Y7,0),'1OZ7GT'!$F$6:$F$2989,"Bond Received")+SUMIFS('1CN8DD'!$D$6:$D$2989,'1CN8DD'!$E$6:$E$2989,"&gt;="&amp;Y7,'1CN8DD'!$E$6:$E$2989,"&lt;="&amp;EOMONTH(Y7,0))-SUMIFS('1CN8DD'!$D$6:$D$2989,'1CN8DD'!$E$6:$E$2989,"&gt;="&amp;Y7,'1CN8DD'!$E$6:$E$2989,"&lt;="&amp;EOMONTH(Y7,0),'1CN8DD'!$F$6:$F$2989,$B$14)-(SUMIFS('1CN8DD'!$D$6:$D$2989,'1CN8DD'!$E$6:$E$2989,"&gt;="&amp;Y7,'1CN8DD'!$E$6:$E$2989,"&lt;="&amp;EOMONTH(Y7,0),'1CN8DD'!$F$6:$F$2989,"Discount Rent")*2)-SUMIFS('1CN8DD'!$D$6:$D$2989,'1CN8DD'!$E$6:$E$2989,"&gt;="&amp;Y7,'1CN8DD'!$E$6:$E$2989,"&lt;="&amp;EOMONTH(Y7,0),'1CN8DD'!$F$6:$F$2989,"Bond Received")+SUMIFS('1UT9BR'!$D$6:$D$2989,'1UT9BR'!$E$6:$E$2989,"&gt;="&amp;Y7,'1UT9BR'!$E$6:$E$2989,"&lt;="&amp;EOMONTH(Y7,0))-SUMIFS('1UT9BR'!$D$6:$D$2989,'1UT9BR'!$E$6:$E$2989,"&gt;="&amp;Y7,'1UT9BR'!$E$6:$E$2989,"&lt;="&amp;EOMONTH(Y7,0),'1UT9BR'!$F$6:$F$2989,$B$14)-(SUMIFS('1UT9BR'!$D$6:$D$2989,'1UT9BR'!$E$6:$E$2989,"&gt;="&amp;Y7,'1UT9BR'!$E$6:$E$2989,"&lt;="&amp;EOMONTH(Y7,0),'1UT9BR'!$F$6:$F$2989,"Discount Rent")*2)-SUMIFS('1UT9BR'!$D$6:$D$2989,'1UT9BR'!$E$6:$E$2989,"&gt;="&amp;Y7,'1UT9BR'!$E$6:$E$2989,"&lt;="&amp;EOMONTH(Y7,0),'1UT9BR'!$F$6:$F$2989,"Bond Received")+SUMIFS('1MK4UR'!$D$6:$D$2989,'1MK4UR'!$E$6:$E$2989,"&gt;="&amp;Y7,'1MK4UR'!$E$6:$E$2989,"&lt;="&amp;EOMONTH(Y7,0))-SUMIFS('1MK4UR'!$D$6:$D$2989,'1MK4UR'!$E$6:$E$2989,"&gt;="&amp;Y7,'1MK4UR'!$E$6:$E$2989,"&lt;="&amp;EOMONTH(Y7,0),'1MK4UR'!$F$6:$F$2989,$B$14)-(SUMIFS('1MK4UR'!$D$6:$D$2989,'1MK4UR'!$E$6:$E$2989,"&gt;="&amp;Y7,'1MK4UR'!$E$6:$E$2989,"&lt;="&amp;EOMONTH(Y7,0),'1MK4UR'!$F$6:$F$2989,"Discount Rent")*2)-SUMIFS('1MK4UR'!$D$6:$D$2989,'1MK4UR'!$E$6:$E$2989,"&gt;="&amp;Y7,'1MK4UR'!$E$6:$E$2989,"&lt;="&amp;EOMONTH(Y7,0),'1MK4UR'!$F$6:$F$2989,"Bond Received")</f>
        <v>#REF!</v>
      </c>
      <c r="Z10" s="108" t="e">
        <f>SUMIFS('Other Expense'!$C$8:$C$3017,'Other Expense'!$B$8:$B$3017,"&gt;="&amp;Z7,'Other Expense'!$B$8:$B$3017,"&lt;="&amp;EOMONTH(Z7,0),'Other Expense'!$D$8:$D$3017,$B$9)+SUMIFS('CEI565'!$D$6:$D$2994,'CEI565'!$E$6:$E$2994,"&gt;="&amp;Z7,'CEI565'!$E$6:$E$2994,"&lt;="&amp;EOMONTH(Z7,0))-SUMIFS('CEI565'!$D$6:$D$2994,'CEI565'!$E$6:$E$2994,"&gt;="&amp;Z7,'CEI565'!$E$6:$E$2994,"&lt;="&amp;EOMONTH(Z7,0),'CEI565'!$F$6:$F$2994,$B$14)-(SUMIFS('CEI565'!$D$6:$D$2994,'CEI565'!$E$6:$E$2994,"&gt;="&amp;Z7,'CEI565'!$E$6:$E$2994,"&lt;="&amp;EOMONTH(Z7,0),'CEI565'!$F$6:$F$2994,"Discount Rent")*2)-SUMIFS('CEI565'!$D$6:$D$2994,'CEI565'!$E$6:$E$2994,"&gt;="&amp;Z7,'CEI565'!$E$6:$E$2994,"&lt;="&amp;EOMONTH(Z7,0),'CEI565'!$F$6:$F$2994,"Bond Received")+SUMIFS('1SM3VL'!$D$6:$D$2989,'1SM3VL'!$E$6:$E$2989,"&gt;="&amp;Z7,'1SM3VL'!$E$6:$E$2989,"&lt;="&amp;EOMONTH(Z7,0))-SUMIFS('1SM3VL'!$D$6:$D$2989,'1SM3VL'!$E$6:$E$2989,"&gt;="&amp;Z7,'1SM3VL'!$E$6:$E$2989,"&lt;="&amp;EOMONTH(Z7,0),'1SM3VL'!$F$6:$F$2989,$B$14)-(SUMIFS('1SM3VL'!$D$6:$D$2989,'1SM3VL'!$E$6:$E$2989,"&gt;="&amp;Z7,'1SM3VL'!$E$6:$E$2989,"&lt;="&amp;EOMONTH(Z7,0),'1SM3VL'!$F$6:$F$2989,"Discount Rent")*2)-SUMIFS('1SM3VL'!$D$6:$D$2989,'1SM3VL'!$E$6:$E$2989,"&gt;="&amp;Z7,'1SM3VL'!$E$6:$E$2989,"&lt;="&amp;EOMONTH(Z7,0),'1SM3VL'!$F$6:$F$2989,"Bond Received")+SUMIFS('1QF4SM'!$D$6:$D$2989,'1QF4SM'!$E$6:$E$2989,"&gt;="&amp;Z7,'1QF4SM'!$E$6:$E$2989,"&lt;="&amp;EOMONTH(Z7,0))-SUMIFS('1QF4SM'!$D$6:$D$2989,'1QF4SM'!$E$6:$E$2989,"&gt;="&amp;Z7,'1QF4SM'!$E$6:$E$2989,"&lt;="&amp;EOMONTH(Z7,0),'1QF4SM'!$F$6:$F$2989,$B$14)-(SUMIFS('1QF4SM'!$D$6:$D$2989,'1QF4SM'!$E$6:$E$2989,"&gt;="&amp;Z7,'1QF4SM'!$E$6:$E$2989,"&lt;="&amp;EOMONTH(Z7,0),'1QF4SM'!$F$6:$F$2989,"Discount Rent")*2)-SUMIFS('1QF4SM'!$D$6:$D$2989,'1QF4SM'!$E$6:$E$2989,"&gt;="&amp;Z7,'1QF4SM'!$E$6:$E$2989,"&lt;="&amp;EOMONTH(Z7,0),'1QF4SM'!$F$6:$F$2989,"Bond Received")+SUMIFS('1UV5KI'!$D$6:$D$2988,'1UV5KI'!$E$6:$E$2988,"&gt;="&amp;Z7,'1UV5KI'!$E$6:$E$2988,"&lt;="&amp;EOMONTH(Z7,0))-SUMIFS('1UV5KI'!$D$6:$D$2988,'1UV5KI'!$E$6:$E$2988,"&gt;="&amp;Z7,'1UV5KI'!$E$6:$E$2988,"&lt;="&amp;EOMONTH(Z7,0),'1UV5KI'!$F$6:$F$2988,$B$14)-(SUMIFS('1UV5KI'!$D$6:$D$2988,'1UV5KI'!$E$6:$E$2988,"&gt;="&amp;Z7,'1UV5KI'!$E$6:$E$2988,"&lt;="&amp;EOMONTH(Z7,0),'1UV5KI'!$F$6:$F$2988,"Discount Rent")*2)-SUMIFS('1UV5KI'!$D$6:$D$2988,'1UV5KI'!$E$6:$E$2988,"&gt;="&amp;Z7,'1UV5KI'!$E$6:$E$2988,"&lt;="&amp;EOMONTH(Z7,0),'1UV5KI'!$F$6:$F$2988,"Bond Received")+SUMIFS(#REF!,#REF!,"&gt;="&amp;Z7,#REF!,"&lt;="&amp;EOMONTH(Z7,0))-SUMIFS(#REF!,#REF!,"&gt;="&amp;Z7,#REF!,"&lt;="&amp;EOMONTH(Z7,0),#REF!,$B$14)-(SUMIFS(#REF!,#REF!,"&gt;="&amp;Z7,#REF!,"&lt;="&amp;EOMONTH(Z7,0),#REF!,"Discount Rent")*2)-SUMIFS(#REF!,#REF!,"&gt;="&amp;Z7,#REF!,"&lt;="&amp;EOMONTH(Z7,0),#REF!,"Bond Received")+SUMIFS('1UL9RY'!$D$6:$D$2989,'1UL9RY'!$E$6:$E$2989,"&gt;="&amp;Z7,'1UL9RY'!$E$6:$E$2989,"&lt;="&amp;EOMONTH(Z7,0))-SUMIFS('1UL9RY'!$D$6:$D$2989,'1UL9RY'!$E$6:$E$2989,"&gt;="&amp;Z7,'1UL9RY'!$E$6:$E$2989,"&lt;="&amp;EOMONTH(Z7,0),'1UL9RY'!$F$6:$F$2989,$B$14)-(SUMIFS('1UL9RY'!$D$6:$D$2989,'1UL9RY'!$E$6:$E$2989,"&gt;="&amp;Z7,'1UL9RY'!$E$6:$E$2989,"&lt;="&amp;EOMONTH(Z7,0),'1UL9RY'!$F$6:$F$2989,"Discount Rent")*2)-SUMIFS('1UL9RY'!$D$6:$D$2989,'1UL9RY'!$E$6:$E$2989,"&gt;="&amp;Z7,'1UL9RY'!$E$6:$E$2989,"&lt;="&amp;EOMONTH(Z7,0),'1UL9RY'!$F$6:$F$2989,"Bond Received")+SUMIFS('1OZ7GT'!$D$6:$D$2989,'1OZ7GT'!$E$6:$E$2989,"&gt;="&amp;Z7,'1OZ7GT'!$E$6:$E$2989,"&lt;="&amp;EOMONTH(Z7,0))-SUMIFS('1OZ7GT'!$D$6:$D$2989,'1OZ7GT'!$E$6:$E$2989,"&gt;="&amp;Z7,'1OZ7GT'!$E$6:$E$2989,"&lt;="&amp;EOMONTH(Z7,0),'1OZ7GT'!$F$6:$F$2989,$B$14)-(SUMIFS('1OZ7GT'!$D$6:$D$2989,'1OZ7GT'!$E$6:$E$2989,"&gt;="&amp;Z7,'1OZ7GT'!$E$6:$E$2989,"&lt;="&amp;EOMONTH(Z7,0),'1OZ7GT'!$F$6:$F$2989,"Discount Rent")*2)-SUMIFS('1OZ7GT'!$D$6:$D$2989,'1OZ7GT'!$E$6:$E$2989,"&gt;="&amp;Z7,'1OZ7GT'!$E$6:$E$2989,"&lt;="&amp;EOMONTH(Z7,0),'1OZ7GT'!$F$6:$F$2989,"Bond Received")+SUMIFS('1CN8DD'!$D$6:$D$2989,'1CN8DD'!$E$6:$E$2989,"&gt;="&amp;Z7,'1CN8DD'!$E$6:$E$2989,"&lt;="&amp;EOMONTH(Z7,0))-SUMIFS('1CN8DD'!$D$6:$D$2989,'1CN8DD'!$E$6:$E$2989,"&gt;="&amp;Z7,'1CN8DD'!$E$6:$E$2989,"&lt;="&amp;EOMONTH(Z7,0),'1CN8DD'!$F$6:$F$2989,$B$14)-(SUMIFS('1CN8DD'!$D$6:$D$2989,'1CN8DD'!$E$6:$E$2989,"&gt;="&amp;Z7,'1CN8DD'!$E$6:$E$2989,"&lt;="&amp;EOMONTH(Z7,0),'1CN8DD'!$F$6:$F$2989,"Discount Rent")*2)-SUMIFS('1CN8DD'!$D$6:$D$2989,'1CN8DD'!$E$6:$E$2989,"&gt;="&amp;Z7,'1CN8DD'!$E$6:$E$2989,"&lt;="&amp;EOMONTH(Z7,0),'1CN8DD'!$F$6:$F$2989,"Bond Received")+SUMIFS('1UT9BR'!$D$6:$D$2989,'1UT9BR'!$E$6:$E$2989,"&gt;="&amp;Z7,'1UT9BR'!$E$6:$E$2989,"&lt;="&amp;EOMONTH(Z7,0))-SUMIFS('1UT9BR'!$D$6:$D$2989,'1UT9BR'!$E$6:$E$2989,"&gt;="&amp;Z7,'1UT9BR'!$E$6:$E$2989,"&lt;="&amp;EOMONTH(Z7,0),'1UT9BR'!$F$6:$F$2989,$B$14)-(SUMIFS('1UT9BR'!$D$6:$D$2989,'1UT9BR'!$E$6:$E$2989,"&gt;="&amp;Z7,'1UT9BR'!$E$6:$E$2989,"&lt;="&amp;EOMONTH(Z7,0),'1UT9BR'!$F$6:$F$2989,"Discount Rent")*2)-SUMIFS('1UT9BR'!$D$6:$D$2989,'1UT9BR'!$E$6:$E$2989,"&gt;="&amp;Z7,'1UT9BR'!$E$6:$E$2989,"&lt;="&amp;EOMONTH(Z7,0),'1UT9BR'!$F$6:$F$2989,"Bond Received")+SUMIFS('1MK4UR'!$D$6:$D$2989,'1MK4UR'!$E$6:$E$2989,"&gt;="&amp;Z7,'1MK4UR'!$E$6:$E$2989,"&lt;="&amp;EOMONTH(Z7,0))-SUMIFS('1MK4UR'!$D$6:$D$2989,'1MK4UR'!$E$6:$E$2989,"&gt;="&amp;Z7,'1MK4UR'!$E$6:$E$2989,"&lt;="&amp;EOMONTH(Z7,0),'1MK4UR'!$F$6:$F$2989,$B$14)-(SUMIFS('1MK4UR'!$D$6:$D$2989,'1MK4UR'!$E$6:$E$2989,"&gt;="&amp;Z7,'1MK4UR'!$E$6:$E$2989,"&lt;="&amp;EOMONTH(Z7,0),'1MK4UR'!$F$6:$F$2989,"Discount Rent")*2)-SUMIFS('1MK4UR'!$D$6:$D$2989,'1MK4UR'!$E$6:$E$2989,"&gt;="&amp;Z7,'1MK4UR'!$E$6:$E$2989,"&lt;="&amp;EOMONTH(Z7,0),'1MK4UR'!$F$6:$F$2989,"Bond Received")</f>
        <v>#REF!</v>
      </c>
      <c r="AA10" s="108" t="e">
        <f>SUMIFS('Other Expense'!$C$8:$C$3017,'Other Expense'!$B$8:$B$3017,"&gt;="&amp;AA7,'Other Expense'!$B$8:$B$3017,"&lt;="&amp;EOMONTH(AA7,0),'Other Expense'!$D$8:$D$3017,$B$9)+SUMIFS('CEI565'!$D$6:$D$2994,'CEI565'!$E$6:$E$2994,"&gt;="&amp;AA7,'CEI565'!$E$6:$E$2994,"&lt;="&amp;EOMONTH(AA7,0))-SUMIFS('CEI565'!$D$6:$D$2994,'CEI565'!$E$6:$E$2994,"&gt;="&amp;AA7,'CEI565'!$E$6:$E$2994,"&lt;="&amp;EOMONTH(AA7,0),'CEI565'!$F$6:$F$2994,$B$14)-(SUMIFS('CEI565'!$D$6:$D$2994,'CEI565'!$E$6:$E$2994,"&gt;="&amp;AA7,'CEI565'!$E$6:$E$2994,"&lt;="&amp;EOMONTH(AA7,0),'CEI565'!$F$6:$F$2994,"Discount Rent")*2)-SUMIFS('CEI565'!$D$6:$D$2994,'CEI565'!$E$6:$E$2994,"&gt;="&amp;AA7,'CEI565'!$E$6:$E$2994,"&lt;="&amp;EOMONTH(AA7,0),'CEI565'!$F$6:$F$2994,"Bond Received")+SUMIFS('1SM3VL'!$D$6:$D$2989,'1SM3VL'!$E$6:$E$2989,"&gt;="&amp;AA7,'1SM3VL'!$E$6:$E$2989,"&lt;="&amp;EOMONTH(AA7,0))-SUMIFS('1SM3VL'!$D$6:$D$2989,'1SM3VL'!$E$6:$E$2989,"&gt;="&amp;AA7,'1SM3VL'!$E$6:$E$2989,"&lt;="&amp;EOMONTH(AA7,0),'1SM3VL'!$F$6:$F$2989,$B$14)-(SUMIFS('1SM3VL'!$D$6:$D$2989,'1SM3VL'!$E$6:$E$2989,"&gt;="&amp;AA7,'1SM3VL'!$E$6:$E$2989,"&lt;="&amp;EOMONTH(AA7,0),'1SM3VL'!$F$6:$F$2989,"Discount Rent")*2)-SUMIFS('1SM3VL'!$D$6:$D$2989,'1SM3VL'!$E$6:$E$2989,"&gt;="&amp;AA7,'1SM3VL'!$E$6:$E$2989,"&lt;="&amp;EOMONTH(AA7,0),'1SM3VL'!$F$6:$F$2989,"Bond Received")+SUMIFS('1QF4SM'!$D$6:$D$2989,'1QF4SM'!$E$6:$E$2989,"&gt;="&amp;AA7,'1QF4SM'!$E$6:$E$2989,"&lt;="&amp;EOMONTH(AA7,0))-SUMIFS('1QF4SM'!$D$6:$D$2989,'1QF4SM'!$E$6:$E$2989,"&gt;="&amp;AA7,'1QF4SM'!$E$6:$E$2989,"&lt;="&amp;EOMONTH(AA7,0),'1QF4SM'!$F$6:$F$2989,$B$14)-(SUMIFS('1QF4SM'!$D$6:$D$2989,'1QF4SM'!$E$6:$E$2989,"&gt;="&amp;AA7,'1QF4SM'!$E$6:$E$2989,"&lt;="&amp;EOMONTH(AA7,0),'1QF4SM'!$F$6:$F$2989,"Discount Rent")*2)-SUMIFS('1QF4SM'!$D$6:$D$2989,'1QF4SM'!$E$6:$E$2989,"&gt;="&amp;AA7,'1QF4SM'!$E$6:$E$2989,"&lt;="&amp;EOMONTH(AA7,0),'1QF4SM'!$F$6:$F$2989,"Bond Received")+SUMIFS('1UV5KI'!$D$6:$D$2988,'1UV5KI'!$E$6:$E$2988,"&gt;="&amp;AA7,'1UV5KI'!$E$6:$E$2988,"&lt;="&amp;EOMONTH(AA7,0))-SUMIFS('1UV5KI'!$D$6:$D$2988,'1UV5KI'!$E$6:$E$2988,"&gt;="&amp;AA7,'1UV5KI'!$E$6:$E$2988,"&lt;="&amp;EOMONTH(AA7,0),'1UV5KI'!$F$6:$F$2988,$B$14)-(SUMIFS('1UV5KI'!$D$6:$D$2988,'1UV5KI'!$E$6:$E$2988,"&gt;="&amp;AA7,'1UV5KI'!$E$6:$E$2988,"&lt;="&amp;EOMONTH(AA7,0),'1UV5KI'!$F$6:$F$2988,"Discount Rent")*2)-SUMIFS('1UV5KI'!$D$6:$D$2988,'1UV5KI'!$E$6:$E$2988,"&gt;="&amp;AA7,'1UV5KI'!$E$6:$E$2988,"&lt;="&amp;EOMONTH(AA7,0),'1UV5KI'!$F$6:$F$2988,"Bond Received")+SUMIFS(#REF!,#REF!,"&gt;="&amp;AA7,#REF!,"&lt;="&amp;EOMONTH(AA7,0))-SUMIFS(#REF!,#REF!,"&gt;="&amp;AA7,#REF!,"&lt;="&amp;EOMONTH(AA7,0),#REF!,$B$14)-(SUMIFS(#REF!,#REF!,"&gt;="&amp;AA7,#REF!,"&lt;="&amp;EOMONTH(AA7,0),#REF!,"Discount Rent")*2)-SUMIFS(#REF!,#REF!,"&gt;="&amp;AA7,#REF!,"&lt;="&amp;EOMONTH(AA7,0),#REF!,"Bond Received")+SUMIFS('1UL9RY'!$D$6:$D$2989,'1UL9RY'!$E$6:$E$2989,"&gt;="&amp;AA7,'1UL9RY'!$E$6:$E$2989,"&lt;="&amp;EOMONTH(AA7,0))-SUMIFS('1UL9RY'!$D$6:$D$2989,'1UL9RY'!$E$6:$E$2989,"&gt;="&amp;AA7,'1UL9RY'!$E$6:$E$2989,"&lt;="&amp;EOMONTH(AA7,0),'1UL9RY'!$F$6:$F$2989,$B$14)-(SUMIFS('1UL9RY'!$D$6:$D$2989,'1UL9RY'!$E$6:$E$2989,"&gt;="&amp;AA7,'1UL9RY'!$E$6:$E$2989,"&lt;="&amp;EOMONTH(AA7,0),'1UL9RY'!$F$6:$F$2989,"Discount Rent")*2)-SUMIFS('1UL9RY'!$D$6:$D$2989,'1UL9RY'!$E$6:$E$2989,"&gt;="&amp;AA7,'1UL9RY'!$E$6:$E$2989,"&lt;="&amp;EOMONTH(AA7,0),'1UL9RY'!$F$6:$F$2989,"Bond Received")+SUMIFS('1OZ7GT'!$D$6:$D$2989,'1OZ7GT'!$E$6:$E$2989,"&gt;="&amp;AA7,'1OZ7GT'!$E$6:$E$2989,"&lt;="&amp;EOMONTH(AA7,0))-SUMIFS('1OZ7GT'!$D$6:$D$2989,'1OZ7GT'!$E$6:$E$2989,"&gt;="&amp;AA7,'1OZ7GT'!$E$6:$E$2989,"&lt;="&amp;EOMONTH(AA7,0),'1OZ7GT'!$F$6:$F$2989,$B$14)-(SUMIFS('1OZ7GT'!$D$6:$D$2989,'1OZ7GT'!$E$6:$E$2989,"&gt;="&amp;AA7,'1OZ7GT'!$E$6:$E$2989,"&lt;="&amp;EOMONTH(AA7,0),'1OZ7GT'!$F$6:$F$2989,"Discount Rent")*2)-SUMIFS('1OZ7GT'!$D$6:$D$2989,'1OZ7GT'!$E$6:$E$2989,"&gt;="&amp;AA7,'1OZ7GT'!$E$6:$E$2989,"&lt;="&amp;EOMONTH(AA7,0),'1OZ7GT'!$F$6:$F$2989,"Bond Received")+SUMIFS('1CN8DD'!$D$6:$D$2989,'1CN8DD'!$E$6:$E$2989,"&gt;="&amp;AA7,'1CN8DD'!$E$6:$E$2989,"&lt;="&amp;EOMONTH(AA7,0))-SUMIFS('1CN8DD'!$D$6:$D$2989,'1CN8DD'!$E$6:$E$2989,"&gt;="&amp;AA7,'1CN8DD'!$E$6:$E$2989,"&lt;="&amp;EOMONTH(AA7,0),'1CN8DD'!$F$6:$F$2989,$B$14)-(SUMIFS('1CN8DD'!$D$6:$D$2989,'1CN8DD'!$E$6:$E$2989,"&gt;="&amp;AA7,'1CN8DD'!$E$6:$E$2989,"&lt;="&amp;EOMONTH(AA7,0),'1CN8DD'!$F$6:$F$2989,"Discount Rent")*2)-SUMIFS('1CN8DD'!$D$6:$D$2989,'1CN8DD'!$E$6:$E$2989,"&gt;="&amp;AA7,'1CN8DD'!$E$6:$E$2989,"&lt;="&amp;EOMONTH(AA7,0),'1CN8DD'!$F$6:$F$2989,"Bond Received")+SUMIFS('1UT9BR'!$D$6:$D$2989,'1UT9BR'!$E$6:$E$2989,"&gt;="&amp;AA7,'1UT9BR'!$E$6:$E$2989,"&lt;="&amp;EOMONTH(AA7,0))-SUMIFS('1UT9BR'!$D$6:$D$2989,'1UT9BR'!$E$6:$E$2989,"&gt;="&amp;AA7,'1UT9BR'!$E$6:$E$2989,"&lt;="&amp;EOMONTH(AA7,0),'1UT9BR'!$F$6:$F$2989,$B$14)-(SUMIFS('1UT9BR'!$D$6:$D$2989,'1UT9BR'!$E$6:$E$2989,"&gt;="&amp;AA7,'1UT9BR'!$E$6:$E$2989,"&lt;="&amp;EOMONTH(AA7,0),'1UT9BR'!$F$6:$F$2989,"Discount Rent")*2)-SUMIFS('1UT9BR'!$D$6:$D$2989,'1UT9BR'!$E$6:$E$2989,"&gt;="&amp;AA7,'1UT9BR'!$E$6:$E$2989,"&lt;="&amp;EOMONTH(AA7,0),'1UT9BR'!$F$6:$F$2989,"Bond Received")+SUMIFS('1MK4UR'!$D$6:$D$2989,'1MK4UR'!$E$6:$E$2989,"&gt;="&amp;AA7,'1MK4UR'!$E$6:$E$2989,"&lt;="&amp;EOMONTH(AA7,0))-SUMIFS('1MK4UR'!$D$6:$D$2989,'1MK4UR'!$E$6:$E$2989,"&gt;="&amp;AA7,'1MK4UR'!$E$6:$E$2989,"&lt;="&amp;EOMONTH(AA7,0),'1MK4UR'!$F$6:$F$2989,$B$14)-(SUMIFS('1MK4UR'!$D$6:$D$2989,'1MK4UR'!$E$6:$E$2989,"&gt;="&amp;AA7,'1MK4UR'!$E$6:$E$2989,"&lt;="&amp;EOMONTH(AA7,0),'1MK4UR'!$F$6:$F$2989,"Discount Rent")*2)-SUMIFS('1MK4UR'!$D$6:$D$2989,'1MK4UR'!$E$6:$E$2989,"&gt;="&amp;AA7,'1MK4UR'!$E$6:$E$2989,"&lt;="&amp;EOMONTH(AA7,0),'1MK4UR'!$F$6:$F$2989,"Bond Received")</f>
        <v>#REF!</v>
      </c>
      <c r="AB10" s="108" t="e">
        <f>SUMIFS('Other Expense'!$C$8:$C$3017,'Other Expense'!$B$8:$B$3017,"&gt;="&amp;AB7,'Other Expense'!$B$8:$B$3017,"&lt;="&amp;EOMONTH(AB7,0),'Other Expense'!$D$8:$D$3017,$B$9)+SUMIFS('CEI565'!$D$6:$D$2994,'CEI565'!$E$6:$E$2994,"&gt;="&amp;AB7,'CEI565'!$E$6:$E$2994,"&lt;="&amp;EOMONTH(AB7,0))-SUMIFS('CEI565'!$D$6:$D$2994,'CEI565'!$E$6:$E$2994,"&gt;="&amp;AB7,'CEI565'!$E$6:$E$2994,"&lt;="&amp;EOMONTH(AB7,0),'CEI565'!$F$6:$F$2994,$B$14)-(SUMIFS('CEI565'!$D$6:$D$2994,'CEI565'!$E$6:$E$2994,"&gt;="&amp;AB7,'CEI565'!$E$6:$E$2994,"&lt;="&amp;EOMONTH(AB7,0),'CEI565'!$F$6:$F$2994,"Discount Rent")*2)-SUMIFS('CEI565'!$D$6:$D$2994,'CEI565'!$E$6:$E$2994,"&gt;="&amp;AB7,'CEI565'!$E$6:$E$2994,"&lt;="&amp;EOMONTH(AB7,0),'CEI565'!$F$6:$F$2994,"Bond Received")+SUMIFS('1SM3VL'!$D$6:$D$2989,'1SM3VL'!$E$6:$E$2989,"&gt;="&amp;AB7,'1SM3VL'!$E$6:$E$2989,"&lt;="&amp;EOMONTH(AB7,0))-SUMIFS('1SM3VL'!$D$6:$D$2989,'1SM3VL'!$E$6:$E$2989,"&gt;="&amp;AB7,'1SM3VL'!$E$6:$E$2989,"&lt;="&amp;EOMONTH(AB7,0),'1SM3VL'!$F$6:$F$2989,$B$14)-(SUMIFS('1SM3VL'!$D$6:$D$2989,'1SM3VL'!$E$6:$E$2989,"&gt;="&amp;AB7,'1SM3VL'!$E$6:$E$2989,"&lt;="&amp;EOMONTH(AB7,0),'1SM3VL'!$F$6:$F$2989,"Discount Rent")*2)-SUMIFS('1SM3VL'!$D$6:$D$2989,'1SM3VL'!$E$6:$E$2989,"&gt;="&amp;AB7,'1SM3VL'!$E$6:$E$2989,"&lt;="&amp;EOMONTH(AB7,0),'1SM3VL'!$F$6:$F$2989,"Bond Received")+SUMIFS('1QF4SM'!$D$6:$D$2989,'1QF4SM'!$E$6:$E$2989,"&gt;="&amp;AB7,'1QF4SM'!$E$6:$E$2989,"&lt;="&amp;EOMONTH(AB7,0))-SUMIFS('1QF4SM'!$D$6:$D$2989,'1QF4SM'!$E$6:$E$2989,"&gt;="&amp;AB7,'1QF4SM'!$E$6:$E$2989,"&lt;="&amp;EOMONTH(AB7,0),'1QF4SM'!$F$6:$F$2989,$B$14)-(SUMIFS('1QF4SM'!$D$6:$D$2989,'1QF4SM'!$E$6:$E$2989,"&gt;="&amp;AB7,'1QF4SM'!$E$6:$E$2989,"&lt;="&amp;EOMONTH(AB7,0),'1QF4SM'!$F$6:$F$2989,"Discount Rent")*2)-SUMIFS('1QF4SM'!$D$6:$D$2989,'1QF4SM'!$E$6:$E$2989,"&gt;="&amp;AB7,'1QF4SM'!$E$6:$E$2989,"&lt;="&amp;EOMONTH(AB7,0),'1QF4SM'!$F$6:$F$2989,"Bond Received")+SUMIFS('1UV5KI'!$D$6:$D$2988,'1UV5KI'!$E$6:$E$2988,"&gt;="&amp;AB7,'1UV5KI'!$E$6:$E$2988,"&lt;="&amp;EOMONTH(AB7,0))-SUMIFS('1UV5KI'!$D$6:$D$2988,'1UV5KI'!$E$6:$E$2988,"&gt;="&amp;AB7,'1UV5KI'!$E$6:$E$2988,"&lt;="&amp;EOMONTH(AB7,0),'1UV5KI'!$F$6:$F$2988,$B$14)-(SUMIFS('1UV5KI'!$D$6:$D$2988,'1UV5KI'!$E$6:$E$2988,"&gt;="&amp;AB7,'1UV5KI'!$E$6:$E$2988,"&lt;="&amp;EOMONTH(AB7,0),'1UV5KI'!$F$6:$F$2988,"Discount Rent")*2)-SUMIFS('1UV5KI'!$D$6:$D$2988,'1UV5KI'!$E$6:$E$2988,"&gt;="&amp;AB7,'1UV5KI'!$E$6:$E$2988,"&lt;="&amp;EOMONTH(AB7,0),'1UV5KI'!$F$6:$F$2988,"Bond Received")+SUMIFS(#REF!,#REF!,"&gt;="&amp;AB7,#REF!,"&lt;="&amp;EOMONTH(AB7,0))-SUMIFS(#REF!,#REF!,"&gt;="&amp;AB7,#REF!,"&lt;="&amp;EOMONTH(AB7,0),#REF!,$B$14)-(SUMIFS(#REF!,#REF!,"&gt;="&amp;AB7,#REF!,"&lt;="&amp;EOMONTH(AB7,0),#REF!,"Discount Rent")*2)-SUMIFS(#REF!,#REF!,"&gt;="&amp;AB7,#REF!,"&lt;="&amp;EOMONTH(AB7,0),#REF!,"Bond Received")+SUMIFS('1UL9RY'!$D$6:$D$2989,'1UL9RY'!$E$6:$E$2989,"&gt;="&amp;AB7,'1UL9RY'!$E$6:$E$2989,"&lt;="&amp;EOMONTH(AB7,0))-SUMIFS('1UL9RY'!$D$6:$D$2989,'1UL9RY'!$E$6:$E$2989,"&gt;="&amp;AB7,'1UL9RY'!$E$6:$E$2989,"&lt;="&amp;EOMONTH(AB7,0),'1UL9RY'!$F$6:$F$2989,$B$14)-(SUMIFS('1UL9RY'!$D$6:$D$2989,'1UL9RY'!$E$6:$E$2989,"&gt;="&amp;AB7,'1UL9RY'!$E$6:$E$2989,"&lt;="&amp;EOMONTH(AB7,0),'1UL9RY'!$F$6:$F$2989,"Discount Rent")*2)-SUMIFS('1UL9RY'!$D$6:$D$2989,'1UL9RY'!$E$6:$E$2989,"&gt;="&amp;AB7,'1UL9RY'!$E$6:$E$2989,"&lt;="&amp;EOMONTH(AB7,0),'1UL9RY'!$F$6:$F$2989,"Bond Received")+SUMIFS('1OZ7GT'!$D$6:$D$2989,'1OZ7GT'!$E$6:$E$2989,"&gt;="&amp;AB7,'1OZ7GT'!$E$6:$E$2989,"&lt;="&amp;EOMONTH(AB7,0))-SUMIFS('1OZ7GT'!$D$6:$D$2989,'1OZ7GT'!$E$6:$E$2989,"&gt;="&amp;AB7,'1OZ7GT'!$E$6:$E$2989,"&lt;="&amp;EOMONTH(AB7,0),'1OZ7GT'!$F$6:$F$2989,$B$14)-(SUMIFS('1OZ7GT'!$D$6:$D$2989,'1OZ7GT'!$E$6:$E$2989,"&gt;="&amp;AB7,'1OZ7GT'!$E$6:$E$2989,"&lt;="&amp;EOMONTH(AB7,0),'1OZ7GT'!$F$6:$F$2989,"Discount Rent")*2)-SUMIFS('1OZ7GT'!$D$6:$D$2989,'1OZ7GT'!$E$6:$E$2989,"&gt;="&amp;AB7,'1OZ7GT'!$E$6:$E$2989,"&lt;="&amp;EOMONTH(AB7,0),'1OZ7GT'!$F$6:$F$2989,"Bond Received")+SUMIFS('1CN8DD'!$D$6:$D$2989,'1CN8DD'!$E$6:$E$2989,"&gt;="&amp;AB7,'1CN8DD'!$E$6:$E$2989,"&lt;="&amp;EOMONTH(AB7,0))-SUMIFS('1CN8DD'!$D$6:$D$2989,'1CN8DD'!$E$6:$E$2989,"&gt;="&amp;AB7,'1CN8DD'!$E$6:$E$2989,"&lt;="&amp;EOMONTH(AB7,0),'1CN8DD'!$F$6:$F$2989,$B$14)-(SUMIFS('1CN8DD'!$D$6:$D$2989,'1CN8DD'!$E$6:$E$2989,"&gt;="&amp;AB7,'1CN8DD'!$E$6:$E$2989,"&lt;="&amp;EOMONTH(AB7,0),'1CN8DD'!$F$6:$F$2989,"Discount Rent")*2)-SUMIFS('1CN8DD'!$D$6:$D$2989,'1CN8DD'!$E$6:$E$2989,"&gt;="&amp;AB7,'1CN8DD'!$E$6:$E$2989,"&lt;="&amp;EOMONTH(AB7,0),'1CN8DD'!$F$6:$F$2989,"Bond Received")+SUMIFS('1UT9BR'!$D$6:$D$2989,'1UT9BR'!$E$6:$E$2989,"&gt;="&amp;AB7,'1UT9BR'!$E$6:$E$2989,"&lt;="&amp;EOMONTH(AB7,0))-SUMIFS('1UT9BR'!$D$6:$D$2989,'1UT9BR'!$E$6:$E$2989,"&gt;="&amp;AB7,'1UT9BR'!$E$6:$E$2989,"&lt;="&amp;EOMONTH(AB7,0),'1UT9BR'!$F$6:$F$2989,$B$14)-(SUMIFS('1UT9BR'!$D$6:$D$2989,'1UT9BR'!$E$6:$E$2989,"&gt;="&amp;AB7,'1UT9BR'!$E$6:$E$2989,"&lt;="&amp;EOMONTH(AB7,0),'1UT9BR'!$F$6:$F$2989,"Discount Rent")*2)-SUMIFS('1UT9BR'!$D$6:$D$2989,'1UT9BR'!$E$6:$E$2989,"&gt;="&amp;AB7,'1UT9BR'!$E$6:$E$2989,"&lt;="&amp;EOMONTH(AB7,0),'1UT9BR'!$F$6:$F$2989,"Bond Received")+SUMIFS('1MK4UR'!$D$6:$D$2989,'1MK4UR'!$E$6:$E$2989,"&gt;="&amp;AB7,'1MK4UR'!$E$6:$E$2989,"&lt;="&amp;EOMONTH(AB7,0))-SUMIFS('1MK4UR'!$D$6:$D$2989,'1MK4UR'!$E$6:$E$2989,"&gt;="&amp;AB7,'1MK4UR'!$E$6:$E$2989,"&lt;="&amp;EOMONTH(AB7,0),'1MK4UR'!$F$6:$F$2989,$B$14)-(SUMIFS('1MK4UR'!$D$6:$D$2989,'1MK4UR'!$E$6:$E$2989,"&gt;="&amp;AB7,'1MK4UR'!$E$6:$E$2989,"&lt;="&amp;EOMONTH(AB7,0),'1MK4UR'!$F$6:$F$2989,"Discount Rent")*2)-SUMIFS('1MK4UR'!$D$6:$D$2989,'1MK4UR'!$E$6:$E$2989,"&gt;="&amp;AB7,'1MK4UR'!$E$6:$E$2989,"&lt;="&amp;EOMONTH(AB7,0),'1MK4UR'!$F$6:$F$2989,"Bond Received")</f>
        <v>#REF!</v>
      </c>
      <c r="AC10" s="108" t="e">
        <f>SUMIFS('Other Expense'!$C$8:$C$3017,'Other Expense'!$B$8:$B$3017,"&gt;="&amp;AC7,'Other Expense'!$B$8:$B$3017,"&lt;="&amp;EOMONTH(AC7,0),'Other Expense'!$D$8:$D$3017,$B$9)+SUMIFS('CEI565'!$D$6:$D$2994,'CEI565'!$E$6:$E$2994,"&gt;="&amp;AC7,'CEI565'!$E$6:$E$2994,"&lt;="&amp;EOMONTH(AC7,0))-SUMIFS('CEI565'!$D$6:$D$2994,'CEI565'!$E$6:$E$2994,"&gt;="&amp;AC7,'CEI565'!$E$6:$E$2994,"&lt;="&amp;EOMONTH(AC7,0),'CEI565'!$F$6:$F$2994,$B$14)-(SUMIFS('CEI565'!$D$6:$D$2994,'CEI565'!$E$6:$E$2994,"&gt;="&amp;AC7,'CEI565'!$E$6:$E$2994,"&lt;="&amp;EOMONTH(AC7,0),'CEI565'!$F$6:$F$2994,"Discount Rent")*2)-SUMIFS('CEI565'!$D$6:$D$2994,'CEI565'!$E$6:$E$2994,"&gt;="&amp;AC7,'CEI565'!$E$6:$E$2994,"&lt;="&amp;EOMONTH(AC7,0),'CEI565'!$F$6:$F$2994,"Bond Received")+SUMIFS('1SM3VL'!$D$6:$D$2989,'1SM3VL'!$E$6:$E$2989,"&gt;="&amp;AC7,'1SM3VL'!$E$6:$E$2989,"&lt;="&amp;EOMONTH(AC7,0))-SUMIFS('1SM3VL'!$D$6:$D$2989,'1SM3VL'!$E$6:$E$2989,"&gt;="&amp;AC7,'1SM3VL'!$E$6:$E$2989,"&lt;="&amp;EOMONTH(AC7,0),'1SM3VL'!$F$6:$F$2989,$B$14)-(SUMIFS('1SM3VL'!$D$6:$D$2989,'1SM3VL'!$E$6:$E$2989,"&gt;="&amp;AC7,'1SM3VL'!$E$6:$E$2989,"&lt;="&amp;EOMONTH(AC7,0),'1SM3VL'!$F$6:$F$2989,"Discount Rent")*2)-SUMIFS('1SM3VL'!$D$6:$D$2989,'1SM3VL'!$E$6:$E$2989,"&gt;="&amp;AC7,'1SM3VL'!$E$6:$E$2989,"&lt;="&amp;EOMONTH(AC7,0),'1SM3VL'!$F$6:$F$2989,"Bond Received")+SUMIFS('1QF4SM'!$D$6:$D$2989,'1QF4SM'!$E$6:$E$2989,"&gt;="&amp;AC7,'1QF4SM'!$E$6:$E$2989,"&lt;="&amp;EOMONTH(AC7,0))-SUMIFS('1QF4SM'!$D$6:$D$2989,'1QF4SM'!$E$6:$E$2989,"&gt;="&amp;AC7,'1QF4SM'!$E$6:$E$2989,"&lt;="&amp;EOMONTH(AC7,0),'1QF4SM'!$F$6:$F$2989,$B$14)-(SUMIFS('1QF4SM'!$D$6:$D$2989,'1QF4SM'!$E$6:$E$2989,"&gt;="&amp;AC7,'1QF4SM'!$E$6:$E$2989,"&lt;="&amp;EOMONTH(AC7,0),'1QF4SM'!$F$6:$F$2989,"Discount Rent")*2)-SUMIFS('1QF4SM'!$D$6:$D$2989,'1QF4SM'!$E$6:$E$2989,"&gt;="&amp;AC7,'1QF4SM'!$E$6:$E$2989,"&lt;="&amp;EOMONTH(AC7,0),'1QF4SM'!$F$6:$F$2989,"Bond Received")+SUMIFS('1UV5KI'!$D$6:$D$2988,'1UV5KI'!$E$6:$E$2988,"&gt;="&amp;AC7,'1UV5KI'!$E$6:$E$2988,"&lt;="&amp;EOMONTH(AC7,0))-SUMIFS('1UV5KI'!$D$6:$D$2988,'1UV5KI'!$E$6:$E$2988,"&gt;="&amp;AC7,'1UV5KI'!$E$6:$E$2988,"&lt;="&amp;EOMONTH(AC7,0),'1UV5KI'!$F$6:$F$2988,$B$14)-(SUMIFS('1UV5KI'!$D$6:$D$2988,'1UV5KI'!$E$6:$E$2988,"&gt;="&amp;AC7,'1UV5KI'!$E$6:$E$2988,"&lt;="&amp;EOMONTH(AC7,0),'1UV5KI'!$F$6:$F$2988,"Discount Rent")*2)-SUMIFS('1UV5KI'!$D$6:$D$2988,'1UV5KI'!$E$6:$E$2988,"&gt;="&amp;AC7,'1UV5KI'!$E$6:$E$2988,"&lt;="&amp;EOMONTH(AC7,0),'1UV5KI'!$F$6:$F$2988,"Bond Received")+SUMIFS(#REF!,#REF!,"&gt;="&amp;AC7,#REF!,"&lt;="&amp;EOMONTH(AC7,0))-SUMIFS(#REF!,#REF!,"&gt;="&amp;AC7,#REF!,"&lt;="&amp;EOMONTH(AC7,0),#REF!,$B$14)-(SUMIFS(#REF!,#REF!,"&gt;="&amp;AC7,#REF!,"&lt;="&amp;EOMONTH(AC7,0),#REF!,"Discount Rent")*2)-SUMIFS(#REF!,#REF!,"&gt;="&amp;AC7,#REF!,"&lt;="&amp;EOMONTH(AC7,0),#REF!,"Bond Received")+SUMIFS('1UL9RY'!$D$6:$D$2989,'1UL9RY'!$E$6:$E$2989,"&gt;="&amp;AC7,'1UL9RY'!$E$6:$E$2989,"&lt;="&amp;EOMONTH(AC7,0))-SUMIFS('1UL9RY'!$D$6:$D$2989,'1UL9RY'!$E$6:$E$2989,"&gt;="&amp;AC7,'1UL9RY'!$E$6:$E$2989,"&lt;="&amp;EOMONTH(AC7,0),'1UL9RY'!$F$6:$F$2989,$B$14)-(SUMIFS('1UL9RY'!$D$6:$D$2989,'1UL9RY'!$E$6:$E$2989,"&gt;="&amp;AC7,'1UL9RY'!$E$6:$E$2989,"&lt;="&amp;EOMONTH(AC7,0),'1UL9RY'!$F$6:$F$2989,"Discount Rent")*2)-SUMIFS('1UL9RY'!$D$6:$D$2989,'1UL9RY'!$E$6:$E$2989,"&gt;="&amp;AC7,'1UL9RY'!$E$6:$E$2989,"&lt;="&amp;EOMONTH(AC7,0),'1UL9RY'!$F$6:$F$2989,"Bond Received")+SUMIFS('1OZ7GT'!$D$6:$D$2989,'1OZ7GT'!$E$6:$E$2989,"&gt;="&amp;AC7,'1OZ7GT'!$E$6:$E$2989,"&lt;="&amp;EOMONTH(AC7,0))-SUMIFS('1OZ7GT'!$D$6:$D$2989,'1OZ7GT'!$E$6:$E$2989,"&gt;="&amp;AC7,'1OZ7GT'!$E$6:$E$2989,"&lt;="&amp;EOMONTH(AC7,0),'1OZ7GT'!$F$6:$F$2989,$B$14)-(SUMIFS('1OZ7GT'!$D$6:$D$2989,'1OZ7GT'!$E$6:$E$2989,"&gt;="&amp;AC7,'1OZ7GT'!$E$6:$E$2989,"&lt;="&amp;EOMONTH(AC7,0),'1OZ7GT'!$F$6:$F$2989,"Discount Rent")*2)-SUMIFS('1OZ7GT'!$D$6:$D$2989,'1OZ7GT'!$E$6:$E$2989,"&gt;="&amp;AC7,'1OZ7GT'!$E$6:$E$2989,"&lt;="&amp;EOMONTH(AC7,0),'1OZ7GT'!$F$6:$F$2989,"Bond Received")+SUMIFS('1CN8DD'!$D$6:$D$2989,'1CN8DD'!$E$6:$E$2989,"&gt;="&amp;AC7,'1CN8DD'!$E$6:$E$2989,"&lt;="&amp;EOMONTH(AC7,0))-SUMIFS('1CN8DD'!$D$6:$D$2989,'1CN8DD'!$E$6:$E$2989,"&gt;="&amp;AC7,'1CN8DD'!$E$6:$E$2989,"&lt;="&amp;EOMONTH(AC7,0),'1CN8DD'!$F$6:$F$2989,$B$14)-(SUMIFS('1CN8DD'!$D$6:$D$2989,'1CN8DD'!$E$6:$E$2989,"&gt;="&amp;AC7,'1CN8DD'!$E$6:$E$2989,"&lt;="&amp;EOMONTH(AC7,0),'1CN8DD'!$F$6:$F$2989,"Discount Rent")*2)-SUMIFS('1CN8DD'!$D$6:$D$2989,'1CN8DD'!$E$6:$E$2989,"&gt;="&amp;AC7,'1CN8DD'!$E$6:$E$2989,"&lt;="&amp;EOMONTH(AC7,0),'1CN8DD'!$F$6:$F$2989,"Bond Received")+SUMIFS('1UT9BR'!$D$6:$D$2989,'1UT9BR'!$E$6:$E$2989,"&gt;="&amp;AC7,'1UT9BR'!$E$6:$E$2989,"&lt;="&amp;EOMONTH(AC7,0))-SUMIFS('1UT9BR'!$D$6:$D$2989,'1UT9BR'!$E$6:$E$2989,"&gt;="&amp;AC7,'1UT9BR'!$E$6:$E$2989,"&lt;="&amp;EOMONTH(AC7,0),'1UT9BR'!$F$6:$F$2989,$B$14)-(SUMIFS('1UT9BR'!$D$6:$D$2989,'1UT9BR'!$E$6:$E$2989,"&gt;="&amp;AC7,'1UT9BR'!$E$6:$E$2989,"&lt;="&amp;EOMONTH(AC7,0),'1UT9BR'!$F$6:$F$2989,"Discount Rent")*2)-SUMIFS('1UT9BR'!$D$6:$D$2989,'1UT9BR'!$E$6:$E$2989,"&gt;="&amp;AC7,'1UT9BR'!$E$6:$E$2989,"&lt;="&amp;EOMONTH(AC7,0),'1UT9BR'!$F$6:$F$2989,"Bond Received")+SUMIFS('1MK4UR'!$D$6:$D$2989,'1MK4UR'!$E$6:$E$2989,"&gt;="&amp;AC7,'1MK4UR'!$E$6:$E$2989,"&lt;="&amp;EOMONTH(AC7,0))-SUMIFS('1MK4UR'!$D$6:$D$2989,'1MK4UR'!$E$6:$E$2989,"&gt;="&amp;AC7,'1MK4UR'!$E$6:$E$2989,"&lt;="&amp;EOMONTH(AC7,0),'1MK4UR'!$F$6:$F$2989,$B$14)-(SUMIFS('1MK4UR'!$D$6:$D$2989,'1MK4UR'!$E$6:$E$2989,"&gt;="&amp;AC7,'1MK4UR'!$E$6:$E$2989,"&lt;="&amp;EOMONTH(AC7,0),'1MK4UR'!$F$6:$F$2989,"Discount Rent")*2)-SUMIFS('1MK4UR'!$D$6:$D$2989,'1MK4UR'!$E$6:$E$2989,"&gt;="&amp;AC7,'1MK4UR'!$E$6:$E$2989,"&lt;="&amp;EOMONTH(AC7,0),'1MK4UR'!$F$6:$F$2989,"Bond Received")</f>
        <v>#REF!</v>
      </c>
      <c r="AD10" s="108" t="e">
        <f>SUMIFS('Other Expense'!$C$8:$C$3017,'Other Expense'!$B$8:$B$3017,"&gt;="&amp;AD7,'Other Expense'!$B$8:$B$3017,"&lt;="&amp;EOMONTH(AD7,0),'Other Expense'!$D$8:$D$3017,$B$9)+SUMIFS('CEI565'!$D$6:$D$2994,'CEI565'!$E$6:$E$2994,"&gt;="&amp;AD7,'CEI565'!$E$6:$E$2994,"&lt;="&amp;EOMONTH(AD7,0))-SUMIFS('CEI565'!$D$6:$D$2994,'CEI565'!$E$6:$E$2994,"&gt;="&amp;AD7,'CEI565'!$E$6:$E$2994,"&lt;="&amp;EOMONTH(AD7,0),'CEI565'!$F$6:$F$2994,$B$14)-(SUMIFS('CEI565'!$D$6:$D$2994,'CEI565'!$E$6:$E$2994,"&gt;="&amp;AD7,'CEI565'!$E$6:$E$2994,"&lt;="&amp;EOMONTH(AD7,0),'CEI565'!$F$6:$F$2994,"Discount Rent")*2)-SUMIFS('CEI565'!$D$6:$D$2994,'CEI565'!$E$6:$E$2994,"&gt;="&amp;AD7,'CEI565'!$E$6:$E$2994,"&lt;="&amp;EOMONTH(AD7,0),'CEI565'!$F$6:$F$2994,"Bond Received")+SUMIFS('1SM3VL'!$D$6:$D$2989,'1SM3VL'!$E$6:$E$2989,"&gt;="&amp;AD7,'1SM3VL'!$E$6:$E$2989,"&lt;="&amp;EOMONTH(AD7,0))-SUMIFS('1SM3VL'!$D$6:$D$2989,'1SM3VL'!$E$6:$E$2989,"&gt;="&amp;AD7,'1SM3VL'!$E$6:$E$2989,"&lt;="&amp;EOMONTH(AD7,0),'1SM3VL'!$F$6:$F$2989,$B$14)-(SUMIFS('1SM3VL'!$D$6:$D$2989,'1SM3VL'!$E$6:$E$2989,"&gt;="&amp;AD7,'1SM3VL'!$E$6:$E$2989,"&lt;="&amp;EOMONTH(AD7,0),'1SM3VL'!$F$6:$F$2989,"Discount Rent")*2)-SUMIFS('1SM3VL'!$D$6:$D$2989,'1SM3VL'!$E$6:$E$2989,"&gt;="&amp;AD7,'1SM3VL'!$E$6:$E$2989,"&lt;="&amp;EOMONTH(AD7,0),'1SM3VL'!$F$6:$F$2989,"Bond Received")+SUMIFS('1QF4SM'!$D$6:$D$2989,'1QF4SM'!$E$6:$E$2989,"&gt;="&amp;AD7,'1QF4SM'!$E$6:$E$2989,"&lt;="&amp;EOMONTH(AD7,0))-SUMIFS('1QF4SM'!$D$6:$D$2989,'1QF4SM'!$E$6:$E$2989,"&gt;="&amp;AD7,'1QF4SM'!$E$6:$E$2989,"&lt;="&amp;EOMONTH(AD7,0),'1QF4SM'!$F$6:$F$2989,$B$14)-(SUMIFS('1QF4SM'!$D$6:$D$2989,'1QF4SM'!$E$6:$E$2989,"&gt;="&amp;AD7,'1QF4SM'!$E$6:$E$2989,"&lt;="&amp;EOMONTH(AD7,0),'1QF4SM'!$F$6:$F$2989,"Discount Rent")*2)-SUMIFS('1QF4SM'!$D$6:$D$2989,'1QF4SM'!$E$6:$E$2989,"&gt;="&amp;AD7,'1QF4SM'!$E$6:$E$2989,"&lt;="&amp;EOMONTH(AD7,0),'1QF4SM'!$F$6:$F$2989,"Bond Received")+SUMIFS('1UV5KI'!$D$6:$D$2988,'1UV5KI'!$E$6:$E$2988,"&gt;="&amp;AD7,'1UV5KI'!$E$6:$E$2988,"&lt;="&amp;EOMONTH(AD7,0))-SUMIFS('1UV5KI'!$D$6:$D$2988,'1UV5KI'!$E$6:$E$2988,"&gt;="&amp;AD7,'1UV5KI'!$E$6:$E$2988,"&lt;="&amp;EOMONTH(AD7,0),'1UV5KI'!$F$6:$F$2988,$B$14)-(SUMIFS('1UV5KI'!$D$6:$D$2988,'1UV5KI'!$E$6:$E$2988,"&gt;="&amp;AD7,'1UV5KI'!$E$6:$E$2988,"&lt;="&amp;EOMONTH(AD7,0),'1UV5KI'!$F$6:$F$2988,"Discount Rent")*2)-SUMIFS('1UV5KI'!$D$6:$D$2988,'1UV5KI'!$E$6:$E$2988,"&gt;="&amp;AD7,'1UV5KI'!$E$6:$E$2988,"&lt;="&amp;EOMONTH(AD7,0),'1UV5KI'!$F$6:$F$2988,"Bond Received")+SUMIFS(#REF!,#REF!,"&gt;="&amp;AD7,#REF!,"&lt;="&amp;EOMONTH(AD7,0))-SUMIFS(#REF!,#REF!,"&gt;="&amp;AD7,#REF!,"&lt;="&amp;EOMONTH(AD7,0),#REF!,$B$14)-(SUMIFS(#REF!,#REF!,"&gt;="&amp;AD7,#REF!,"&lt;="&amp;EOMONTH(AD7,0),#REF!,"Discount Rent")*2)-SUMIFS(#REF!,#REF!,"&gt;="&amp;AD7,#REF!,"&lt;="&amp;EOMONTH(AD7,0),#REF!,"Bond Received")+SUMIFS('1UL9RY'!$D$6:$D$2989,'1UL9RY'!$E$6:$E$2989,"&gt;="&amp;AD7,'1UL9RY'!$E$6:$E$2989,"&lt;="&amp;EOMONTH(AD7,0))-SUMIFS('1UL9RY'!$D$6:$D$2989,'1UL9RY'!$E$6:$E$2989,"&gt;="&amp;AD7,'1UL9RY'!$E$6:$E$2989,"&lt;="&amp;EOMONTH(AD7,0),'1UL9RY'!$F$6:$F$2989,$B$14)-(SUMIFS('1UL9RY'!$D$6:$D$2989,'1UL9RY'!$E$6:$E$2989,"&gt;="&amp;AD7,'1UL9RY'!$E$6:$E$2989,"&lt;="&amp;EOMONTH(AD7,0),'1UL9RY'!$F$6:$F$2989,"Discount Rent")*2)-SUMIFS('1UL9RY'!$D$6:$D$2989,'1UL9RY'!$E$6:$E$2989,"&gt;="&amp;AD7,'1UL9RY'!$E$6:$E$2989,"&lt;="&amp;EOMONTH(AD7,0),'1UL9RY'!$F$6:$F$2989,"Bond Received")+SUMIFS('1OZ7GT'!$D$6:$D$2989,'1OZ7GT'!$E$6:$E$2989,"&gt;="&amp;AD7,'1OZ7GT'!$E$6:$E$2989,"&lt;="&amp;EOMONTH(AD7,0))-SUMIFS('1OZ7GT'!$D$6:$D$2989,'1OZ7GT'!$E$6:$E$2989,"&gt;="&amp;AD7,'1OZ7GT'!$E$6:$E$2989,"&lt;="&amp;EOMONTH(AD7,0),'1OZ7GT'!$F$6:$F$2989,$B$14)-(SUMIFS('1OZ7GT'!$D$6:$D$2989,'1OZ7GT'!$E$6:$E$2989,"&gt;="&amp;AD7,'1OZ7GT'!$E$6:$E$2989,"&lt;="&amp;EOMONTH(AD7,0),'1OZ7GT'!$F$6:$F$2989,"Discount Rent")*2)-SUMIFS('1OZ7GT'!$D$6:$D$2989,'1OZ7GT'!$E$6:$E$2989,"&gt;="&amp;AD7,'1OZ7GT'!$E$6:$E$2989,"&lt;="&amp;EOMONTH(AD7,0),'1OZ7GT'!$F$6:$F$2989,"Bond Received")+SUMIFS('1CN8DD'!$D$6:$D$2989,'1CN8DD'!$E$6:$E$2989,"&gt;="&amp;AD7,'1CN8DD'!$E$6:$E$2989,"&lt;="&amp;EOMONTH(AD7,0))-SUMIFS('1CN8DD'!$D$6:$D$2989,'1CN8DD'!$E$6:$E$2989,"&gt;="&amp;AD7,'1CN8DD'!$E$6:$E$2989,"&lt;="&amp;EOMONTH(AD7,0),'1CN8DD'!$F$6:$F$2989,$B$14)-(SUMIFS('1CN8DD'!$D$6:$D$2989,'1CN8DD'!$E$6:$E$2989,"&gt;="&amp;AD7,'1CN8DD'!$E$6:$E$2989,"&lt;="&amp;EOMONTH(AD7,0),'1CN8DD'!$F$6:$F$2989,"Discount Rent")*2)-SUMIFS('1CN8DD'!$D$6:$D$2989,'1CN8DD'!$E$6:$E$2989,"&gt;="&amp;AD7,'1CN8DD'!$E$6:$E$2989,"&lt;="&amp;EOMONTH(AD7,0),'1CN8DD'!$F$6:$F$2989,"Bond Received")+SUMIFS('1UT9BR'!$D$6:$D$2989,'1UT9BR'!$E$6:$E$2989,"&gt;="&amp;AD7,'1UT9BR'!$E$6:$E$2989,"&lt;="&amp;EOMONTH(AD7,0))-SUMIFS('1UT9BR'!$D$6:$D$2989,'1UT9BR'!$E$6:$E$2989,"&gt;="&amp;AD7,'1UT9BR'!$E$6:$E$2989,"&lt;="&amp;EOMONTH(AD7,0),'1UT9BR'!$F$6:$F$2989,$B$14)-(SUMIFS('1UT9BR'!$D$6:$D$2989,'1UT9BR'!$E$6:$E$2989,"&gt;="&amp;AD7,'1UT9BR'!$E$6:$E$2989,"&lt;="&amp;EOMONTH(AD7,0),'1UT9BR'!$F$6:$F$2989,"Discount Rent")*2)-SUMIFS('1UT9BR'!$D$6:$D$2989,'1UT9BR'!$E$6:$E$2989,"&gt;="&amp;AD7,'1UT9BR'!$E$6:$E$2989,"&lt;="&amp;EOMONTH(AD7,0),'1UT9BR'!$F$6:$F$2989,"Bond Received")+SUMIFS('1MK4UR'!$D$6:$D$2989,'1MK4UR'!$E$6:$E$2989,"&gt;="&amp;AD7,'1MK4UR'!$E$6:$E$2989,"&lt;="&amp;EOMONTH(AD7,0))-SUMIFS('1MK4UR'!$D$6:$D$2989,'1MK4UR'!$E$6:$E$2989,"&gt;="&amp;AD7,'1MK4UR'!$E$6:$E$2989,"&lt;="&amp;EOMONTH(AD7,0),'1MK4UR'!$F$6:$F$2989,$B$14)-(SUMIFS('1MK4UR'!$D$6:$D$2989,'1MK4UR'!$E$6:$E$2989,"&gt;="&amp;AD7,'1MK4UR'!$E$6:$E$2989,"&lt;="&amp;EOMONTH(AD7,0),'1MK4UR'!$F$6:$F$2989,"Discount Rent")*2)-SUMIFS('1MK4UR'!$D$6:$D$2989,'1MK4UR'!$E$6:$E$2989,"&gt;="&amp;AD7,'1MK4UR'!$E$6:$E$2989,"&lt;="&amp;EOMONTH(AD7,0),'1MK4UR'!$F$6:$F$2989,"Bond Received")</f>
        <v>#REF!</v>
      </c>
      <c r="AE10" s="108" t="e">
        <f>SUMIFS('Other Expense'!$C$8:$C$3017,'Other Expense'!$B$8:$B$3017,"&gt;="&amp;AE7,'Other Expense'!$B$8:$B$3017,"&lt;="&amp;EOMONTH(AE7,0),'Other Expense'!$D$8:$D$3017,$B$9)+SUMIFS('CEI565'!$D$6:$D$2994,'CEI565'!$E$6:$E$2994,"&gt;="&amp;AE7,'CEI565'!$E$6:$E$2994,"&lt;="&amp;EOMONTH(AE7,0))-SUMIFS('CEI565'!$D$6:$D$2994,'CEI565'!$E$6:$E$2994,"&gt;="&amp;AE7,'CEI565'!$E$6:$E$2994,"&lt;="&amp;EOMONTH(AE7,0),'CEI565'!$F$6:$F$2994,$B$14)-(SUMIFS('CEI565'!$D$6:$D$2994,'CEI565'!$E$6:$E$2994,"&gt;="&amp;AE7,'CEI565'!$E$6:$E$2994,"&lt;="&amp;EOMONTH(AE7,0),'CEI565'!$F$6:$F$2994,"Discount Rent")*2)-SUMIFS('CEI565'!$D$6:$D$2994,'CEI565'!$E$6:$E$2994,"&gt;="&amp;AE7,'CEI565'!$E$6:$E$2994,"&lt;="&amp;EOMONTH(AE7,0),'CEI565'!$F$6:$F$2994,"Bond Received")+SUMIFS('1SM3VL'!$D$6:$D$2989,'1SM3VL'!$E$6:$E$2989,"&gt;="&amp;AE7,'1SM3VL'!$E$6:$E$2989,"&lt;="&amp;EOMONTH(AE7,0))-SUMIFS('1SM3VL'!$D$6:$D$2989,'1SM3VL'!$E$6:$E$2989,"&gt;="&amp;AE7,'1SM3VL'!$E$6:$E$2989,"&lt;="&amp;EOMONTH(AE7,0),'1SM3VL'!$F$6:$F$2989,$B$14)-(SUMIFS('1SM3VL'!$D$6:$D$2989,'1SM3VL'!$E$6:$E$2989,"&gt;="&amp;AE7,'1SM3VL'!$E$6:$E$2989,"&lt;="&amp;EOMONTH(AE7,0),'1SM3VL'!$F$6:$F$2989,"Discount Rent")*2)-SUMIFS('1SM3VL'!$D$6:$D$2989,'1SM3VL'!$E$6:$E$2989,"&gt;="&amp;AE7,'1SM3VL'!$E$6:$E$2989,"&lt;="&amp;EOMONTH(AE7,0),'1SM3VL'!$F$6:$F$2989,"Bond Received")+SUMIFS('1QF4SM'!$D$6:$D$2989,'1QF4SM'!$E$6:$E$2989,"&gt;="&amp;AE7,'1QF4SM'!$E$6:$E$2989,"&lt;="&amp;EOMONTH(AE7,0))-SUMIFS('1QF4SM'!$D$6:$D$2989,'1QF4SM'!$E$6:$E$2989,"&gt;="&amp;AE7,'1QF4SM'!$E$6:$E$2989,"&lt;="&amp;EOMONTH(AE7,0),'1QF4SM'!$F$6:$F$2989,$B$14)-(SUMIFS('1QF4SM'!$D$6:$D$2989,'1QF4SM'!$E$6:$E$2989,"&gt;="&amp;AE7,'1QF4SM'!$E$6:$E$2989,"&lt;="&amp;EOMONTH(AE7,0),'1QF4SM'!$F$6:$F$2989,"Discount Rent")*2)-SUMIFS('1QF4SM'!$D$6:$D$2989,'1QF4SM'!$E$6:$E$2989,"&gt;="&amp;AE7,'1QF4SM'!$E$6:$E$2989,"&lt;="&amp;EOMONTH(AE7,0),'1QF4SM'!$F$6:$F$2989,"Bond Received")+SUMIFS('1UV5KI'!$D$6:$D$2988,'1UV5KI'!$E$6:$E$2988,"&gt;="&amp;AE7,'1UV5KI'!$E$6:$E$2988,"&lt;="&amp;EOMONTH(AE7,0))-SUMIFS('1UV5KI'!$D$6:$D$2988,'1UV5KI'!$E$6:$E$2988,"&gt;="&amp;AE7,'1UV5KI'!$E$6:$E$2988,"&lt;="&amp;EOMONTH(AE7,0),'1UV5KI'!$F$6:$F$2988,$B$14)-(SUMIFS('1UV5KI'!$D$6:$D$2988,'1UV5KI'!$E$6:$E$2988,"&gt;="&amp;AE7,'1UV5KI'!$E$6:$E$2988,"&lt;="&amp;EOMONTH(AE7,0),'1UV5KI'!$F$6:$F$2988,"Discount Rent")*2)-SUMIFS('1UV5KI'!$D$6:$D$2988,'1UV5KI'!$E$6:$E$2988,"&gt;="&amp;AE7,'1UV5KI'!$E$6:$E$2988,"&lt;="&amp;EOMONTH(AE7,0),'1UV5KI'!$F$6:$F$2988,"Bond Received")+SUMIFS(#REF!,#REF!,"&gt;="&amp;AE7,#REF!,"&lt;="&amp;EOMONTH(AE7,0))-SUMIFS(#REF!,#REF!,"&gt;="&amp;AE7,#REF!,"&lt;="&amp;EOMONTH(AE7,0),#REF!,$B$14)-(SUMIFS(#REF!,#REF!,"&gt;="&amp;AE7,#REF!,"&lt;="&amp;EOMONTH(AE7,0),#REF!,"Discount Rent")*2)-SUMIFS(#REF!,#REF!,"&gt;="&amp;AE7,#REF!,"&lt;="&amp;EOMONTH(AE7,0),#REF!,"Bond Received")+SUMIFS('1UL9RY'!$D$6:$D$2989,'1UL9RY'!$E$6:$E$2989,"&gt;="&amp;AE7,'1UL9RY'!$E$6:$E$2989,"&lt;="&amp;EOMONTH(AE7,0))-SUMIFS('1UL9RY'!$D$6:$D$2989,'1UL9RY'!$E$6:$E$2989,"&gt;="&amp;AE7,'1UL9RY'!$E$6:$E$2989,"&lt;="&amp;EOMONTH(AE7,0),'1UL9RY'!$F$6:$F$2989,$B$14)-(SUMIFS('1UL9RY'!$D$6:$D$2989,'1UL9RY'!$E$6:$E$2989,"&gt;="&amp;AE7,'1UL9RY'!$E$6:$E$2989,"&lt;="&amp;EOMONTH(AE7,0),'1UL9RY'!$F$6:$F$2989,"Discount Rent")*2)-SUMIFS('1UL9RY'!$D$6:$D$2989,'1UL9RY'!$E$6:$E$2989,"&gt;="&amp;AE7,'1UL9RY'!$E$6:$E$2989,"&lt;="&amp;EOMONTH(AE7,0),'1UL9RY'!$F$6:$F$2989,"Bond Received")+SUMIFS('1OZ7GT'!$D$6:$D$2989,'1OZ7GT'!$E$6:$E$2989,"&gt;="&amp;AE7,'1OZ7GT'!$E$6:$E$2989,"&lt;="&amp;EOMONTH(AE7,0))-SUMIFS('1OZ7GT'!$D$6:$D$2989,'1OZ7GT'!$E$6:$E$2989,"&gt;="&amp;AE7,'1OZ7GT'!$E$6:$E$2989,"&lt;="&amp;EOMONTH(AE7,0),'1OZ7GT'!$F$6:$F$2989,$B$14)-(SUMIFS('1OZ7GT'!$D$6:$D$2989,'1OZ7GT'!$E$6:$E$2989,"&gt;="&amp;AE7,'1OZ7GT'!$E$6:$E$2989,"&lt;="&amp;EOMONTH(AE7,0),'1OZ7GT'!$F$6:$F$2989,"Discount Rent")*2)-SUMIFS('1OZ7GT'!$D$6:$D$2989,'1OZ7GT'!$E$6:$E$2989,"&gt;="&amp;AE7,'1OZ7GT'!$E$6:$E$2989,"&lt;="&amp;EOMONTH(AE7,0),'1OZ7GT'!$F$6:$F$2989,"Bond Received")+SUMIFS('1CN8DD'!$D$6:$D$2989,'1CN8DD'!$E$6:$E$2989,"&gt;="&amp;AE7,'1CN8DD'!$E$6:$E$2989,"&lt;="&amp;EOMONTH(AE7,0))-SUMIFS('1CN8DD'!$D$6:$D$2989,'1CN8DD'!$E$6:$E$2989,"&gt;="&amp;AE7,'1CN8DD'!$E$6:$E$2989,"&lt;="&amp;EOMONTH(AE7,0),'1CN8DD'!$F$6:$F$2989,$B$14)-(SUMIFS('1CN8DD'!$D$6:$D$2989,'1CN8DD'!$E$6:$E$2989,"&gt;="&amp;AE7,'1CN8DD'!$E$6:$E$2989,"&lt;="&amp;EOMONTH(AE7,0),'1CN8DD'!$F$6:$F$2989,"Discount Rent")*2)-SUMIFS('1CN8DD'!$D$6:$D$2989,'1CN8DD'!$E$6:$E$2989,"&gt;="&amp;AE7,'1CN8DD'!$E$6:$E$2989,"&lt;="&amp;EOMONTH(AE7,0),'1CN8DD'!$F$6:$F$2989,"Bond Received")+SUMIFS('1UT9BR'!$D$6:$D$2989,'1UT9BR'!$E$6:$E$2989,"&gt;="&amp;AE7,'1UT9BR'!$E$6:$E$2989,"&lt;="&amp;EOMONTH(AE7,0))-SUMIFS('1UT9BR'!$D$6:$D$2989,'1UT9BR'!$E$6:$E$2989,"&gt;="&amp;AE7,'1UT9BR'!$E$6:$E$2989,"&lt;="&amp;EOMONTH(AE7,0),'1UT9BR'!$F$6:$F$2989,$B$14)-(SUMIFS('1UT9BR'!$D$6:$D$2989,'1UT9BR'!$E$6:$E$2989,"&gt;="&amp;AE7,'1UT9BR'!$E$6:$E$2989,"&lt;="&amp;EOMONTH(AE7,0),'1UT9BR'!$F$6:$F$2989,"Discount Rent")*2)-SUMIFS('1UT9BR'!$D$6:$D$2989,'1UT9BR'!$E$6:$E$2989,"&gt;="&amp;AE7,'1UT9BR'!$E$6:$E$2989,"&lt;="&amp;EOMONTH(AE7,0),'1UT9BR'!$F$6:$F$2989,"Bond Received")+SUMIFS('1MK4UR'!$D$6:$D$2989,'1MK4UR'!$E$6:$E$2989,"&gt;="&amp;AE7,'1MK4UR'!$E$6:$E$2989,"&lt;="&amp;EOMONTH(AE7,0))-SUMIFS('1MK4UR'!$D$6:$D$2989,'1MK4UR'!$E$6:$E$2989,"&gt;="&amp;AE7,'1MK4UR'!$E$6:$E$2989,"&lt;="&amp;EOMONTH(AE7,0),'1MK4UR'!$F$6:$F$2989,$B$14)-(SUMIFS('1MK4UR'!$D$6:$D$2989,'1MK4UR'!$E$6:$E$2989,"&gt;="&amp;AE7,'1MK4UR'!$E$6:$E$2989,"&lt;="&amp;EOMONTH(AE7,0),'1MK4UR'!$F$6:$F$2989,"Discount Rent")*2)-SUMIFS('1MK4UR'!$D$6:$D$2989,'1MK4UR'!$E$6:$E$2989,"&gt;="&amp;AE7,'1MK4UR'!$E$6:$E$2989,"&lt;="&amp;EOMONTH(AE7,0),'1MK4UR'!$F$6:$F$2989,"Bond Received")</f>
        <v>#REF!</v>
      </c>
      <c r="AF10" s="108" t="e">
        <f>SUMIFS('Other Expense'!$C$8:$C$3017,'Other Expense'!$B$8:$B$3017,"&gt;="&amp;AF7,'Other Expense'!$B$8:$B$3017,"&lt;="&amp;EOMONTH(AF7,0),'Other Expense'!$D$8:$D$3017,$B$9)+SUMIFS('CEI565'!$D$6:$D$2994,'CEI565'!$E$6:$E$2994,"&gt;="&amp;AF7,'CEI565'!$E$6:$E$2994,"&lt;="&amp;EOMONTH(AF7,0))-SUMIFS('CEI565'!$D$6:$D$2994,'CEI565'!$E$6:$E$2994,"&gt;="&amp;AF7,'CEI565'!$E$6:$E$2994,"&lt;="&amp;EOMONTH(AF7,0),'CEI565'!$F$6:$F$2994,$B$14)-(SUMIFS('CEI565'!$D$6:$D$2994,'CEI565'!$E$6:$E$2994,"&gt;="&amp;AF7,'CEI565'!$E$6:$E$2994,"&lt;="&amp;EOMONTH(AF7,0),'CEI565'!$F$6:$F$2994,"Discount Rent")*2)-SUMIFS('CEI565'!$D$6:$D$2994,'CEI565'!$E$6:$E$2994,"&gt;="&amp;AF7,'CEI565'!$E$6:$E$2994,"&lt;="&amp;EOMONTH(AF7,0),'CEI565'!$F$6:$F$2994,"Bond Received")+SUMIFS('1SM3VL'!$D$6:$D$2989,'1SM3VL'!$E$6:$E$2989,"&gt;="&amp;AF7,'1SM3VL'!$E$6:$E$2989,"&lt;="&amp;EOMONTH(AF7,0))-SUMIFS('1SM3VL'!$D$6:$D$2989,'1SM3VL'!$E$6:$E$2989,"&gt;="&amp;AF7,'1SM3VL'!$E$6:$E$2989,"&lt;="&amp;EOMONTH(AF7,0),'1SM3VL'!$F$6:$F$2989,$B$14)-(SUMIFS('1SM3VL'!$D$6:$D$2989,'1SM3VL'!$E$6:$E$2989,"&gt;="&amp;AF7,'1SM3VL'!$E$6:$E$2989,"&lt;="&amp;EOMONTH(AF7,0),'1SM3VL'!$F$6:$F$2989,"Discount Rent")*2)-SUMIFS('1SM3VL'!$D$6:$D$2989,'1SM3VL'!$E$6:$E$2989,"&gt;="&amp;AF7,'1SM3VL'!$E$6:$E$2989,"&lt;="&amp;EOMONTH(AF7,0),'1SM3VL'!$F$6:$F$2989,"Bond Received")+SUMIFS('1QF4SM'!$D$6:$D$2989,'1QF4SM'!$E$6:$E$2989,"&gt;="&amp;AF7,'1QF4SM'!$E$6:$E$2989,"&lt;="&amp;EOMONTH(AF7,0))-SUMIFS('1QF4SM'!$D$6:$D$2989,'1QF4SM'!$E$6:$E$2989,"&gt;="&amp;AF7,'1QF4SM'!$E$6:$E$2989,"&lt;="&amp;EOMONTH(AF7,0),'1QF4SM'!$F$6:$F$2989,$B$14)-(SUMIFS('1QF4SM'!$D$6:$D$2989,'1QF4SM'!$E$6:$E$2989,"&gt;="&amp;AF7,'1QF4SM'!$E$6:$E$2989,"&lt;="&amp;EOMONTH(AF7,0),'1QF4SM'!$F$6:$F$2989,"Discount Rent")*2)-SUMIFS('1QF4SM'!$D$6:$D$2989,'1QF4SM'!$E$6:$E$2989,"&gt;="&amp;AF7,'1QF4SM'!$E$6:$E$2989,"&lt;="&amp;EOMONTH(AF7,0),'1QF4SM'!$F$6:$F$2989,"Bond Received")+SUMIFS('1UV5KI'!$D$6:$D$2988,'1UV5KI'!$E$6:$E$2988,"&gt;="&amp;AF7,'1UV5KI'!$E$6:$E$2988,"&lt;="&amp;EOMONTH(AF7,0))-SUMIFS('1UV5KI'!$D$6:$D$2988,'1UV5KI'!$E$6:$E$2988,"&gt;="&amp;AF7,'1UV5KI'!$E$6:$E$2988,"&lt;="&amp;EOMONTH(AF7,0),'1UV5KI'!$F$6:$F$2988,$B$14)-(SUMIFS('1UV5KI'!$D$6:$D$2988,'1UV5KI'!$E$6:$E$2988,"&gt;="&amp;AF7,'1UV5KI'!$E$6:$E$2988,"&lt;="&amp;EOMONTH(AF7,0),'1UV5KI'!$F$6:$F$2988,"Discount Rent")*2)-SUMIFS('1UV5KI'!$D$6:$D$2988,'1UV5KI'!$E$6:$E$2988,"&gt;="&amp;AF7,'1UV5KI'!$E$6:$E$2988,"&lt;="&amp;EOMONTH(AF7,0),'1UV5KI'!$F$6:$F$2988,"Bond Received")+SUMIFS(#REF!,#REF!,"&gt;="&amp;AF7,#REF!,"&lt;="&amp;EOMONTH(AF7,0))-SUMIFS(#REF!,#REF!,"&gt;="&amp;AF7,#REF!,"&lt;="&amp;EOMONTH(AF7,0),#REF!,$B$14)-(SUMIFS(#REF!,#REF!,"&gt;="&amp;AF7,#REF!,"&lt;="&amp;EOMONTH(AF7,0),#REF!,"Discount Rent")*2)-SUMIFS(#REF!,#REF!,"&gt;="&amp;AF7,#REF!,"&lt;="&amp;EOMONTH(AF7,0),#REF!,"Bond Received")+SUMIFS('1UL9RY'!$D$6:$D$2989,'1UL9RY'!$E$6:$E$2989,"&gt;="&amp;AF7,'1UL9RY'!$E$6:$E$2989,"&lt;="&amp;EOMONTH(AF7,0))-SUMIFS('1UL9RY'!$D$6:$D$2989,'1UL9RY'!$E$6:$E$2989,"&gt;="&amp;AF7,'1UL9RY'!$E$6:$E$2989,"&lt;="&amp;EOMONTH(AF7,0),'1UL9RY'!$F$6:$F$2989,$B$14)-(SUMIFS('1UL9RY'!$D$6:$D$2989,'1UL9RY'!$E$6:$E$2989,"&gt;="&amp;AF7,'1UL9RY'!$E$6:$E$2989,"&lt;="&amp;EOMONTH(AF7,0),'1UL9RY'!$F$6:$F$2989,"Discount Rent")*2)-SUMIFS('1UL9RY'!$D$6:$D$2989,'1UL9RY'!$E$6:$E$2989,"&gt;="&amp;AF7,'1UL9RY'!$E$6:$E$2989,"&lt;="&amp;EOMONTH(AF7,0),'1UL9RY'!$F$6:$F$2989,"Bond Received")+SUMIFS('1OZ7GT'!$D$6:$D$2989,'1OZ7GT'!$E$6:$E$2989,"&gt;="&amp;AF7,'1OZ7GT'!$E$6:$E$2989,"&lt;="&amp;EOMONTH(AF7,0))-SUMIFS('1OZ7GT'!$D$6:$D$2989,'1OZ7GT'!$E$6:$E$2989,"&gt;="&amp;AF7,'1OZ7GT'!$E$6:$E$2989,"&lt;="&amp;EOMONTH(AF7,0),'1OZ7GT'!$F$6:$F$2989,$B$14)-(SUMIFS('1OZ7GT'!$D$6:$D$2989,'1OZ7GT'!$E$6:$E$2989,"&gt;="&amp;AF7,'1OZ7GT'!$E$6:$E$2989,"&lt;="&amp;EOMONTH(AF7,0),'1OZ7GT'!$F$6:$F$2989,"Discount Rent")*2)-SUMIFS('1OZ7GT'!$D$6:$D$2989,'1OZ7GT'!$E$6:$E$2989,"&gt;="&amp;AF7,'1OZ7GT'!$E$6:$E$2989,"&lt;="&amp;EOMONTH(AF7,0),'1OZ7GT'!$F$6:$F$2989,"Bond Received")+SUMIFS('1CN8DD'!$D$6:$D$2989,'1CN8DD'!$E$6:$E$2989,"&gt;="&amp;AF7,'1CN8DD'!$E$6:$E$2989,"&lt;="&amp;EOMONTH(AF7,0))-SUMIFS('1CN8DD'!$D$6:$D$2989,'1CN8DD'!$E$6:$E$2989,"&gt;="&amp;AF7,'1CN8DD'!$E$6:$E$2989,"&lt;="&amp;EOMONTH(AF7,0),'1CN8DD'!$F$6:$F$2989,$B$14)-(SUMIFS('1CN8DD'!$D$6:$D$2989,'1CN8DD'!$E$6:$E$2989,"&gt;="&amp;AF7,'1CN8DD'!$E$6:$E$2989,"&lt;="&amp;EOMONTH(AF7,0),'1CN8DD'!$F$6:$F$2989,"Discount Rent")*2)-SUMIFS('1CN8DD'!$D$6:$D$2989,'1CN8DD'!$E$6:$E$2989,"&gt;="&amp;AF7,'1CN8DD'!$E$6:$E$2989,"&lt;="&amp;EOMONTH(AF7,0),'1CN8DD'!$F$6:$F$2989,"Bond Received")+SUMIFS('1UT9BR'!$D$6:$D$2989,'1UT9BR'!$E$6:$E$2989,"&gt;="&amp;AF7,'1UT9BR'!$E$6:$E$2989,"&lt;="&amp;EOMONTH(AF7,0))-SUMIFS('1UT9BR'!$D$6:$D$2989,'1UT9BR'!$E$6:$E$2989,"&gt;="&amp;AF7,'1UT9BR'!$E$6:$E$2989,"&lt;="&amp;EOMONTH(AF7,0),'1UT9BR'!$F$6:$F$2989,$B$14)-(SUMIFS('1UT9BR'!$D$6:$D$2989,'1UT9BR'!$E$6:$E$2989,"&gt;="&amp;AF7,'1UT9BR'!$E$6:$E$2989,"&lt;="&amp;EOMONTH(AF7,0),'1UT9BR'!$F$6:$F$2989,"Discount Rent")*2)-SUMIFS('1UT9BR'!$D$6:$D$2989,'1UT9BR'!$E$6:$E$2989,"&gt;="&amp;AF7,'1UT9BR'!$E$6:$E$2989,"&lt;="&amp;EOMONTH(AF7,0),'1UT9BR'!$F$6:$F$2989,"Bond Received")+SUMIFS('1MK4UR'!$D$6:$D$2989,'1MK4UR'!$E$6:$E$2989,"&gt;="&amp;AF7,'1MK4UR'!$E$6:$E$2989,"&lt;="&amp;EOMONTH(AF7,0))-SUMIFS('1MK4UR'!$D$6:$D$2989,'1MK4UR'!$E$6:$E$2989,"&gt;="&amp;AF7,'1MK4UR'!$E$6:$E$2989,"&lt;="&amp;EOMONTH(AF7,0),'1MK4UR'!$F$6:$F$2989,$B$14)-(SUMIFS('1MK4UR'!$D$6:$D$2989,'1MK4UR'!$E$6:$E$2989,"&gt;="&amp;AF7,'1MK4UR'!$E$6:$E$2989,"&lt;="&amp;EOMONTH(AF7,0),'1MK4UR'!$F$6:$F$2989,"Discount Rent")*2)-SUMIFS('1MK4UR'!$D$6:$D$2989,'1MK4UR'!$E$6:$E$2989,"&gt;="&amp;AF7,'1MK4UR'!$E$6:$E$2989,"&lt;="&amp;EOMONTH(AF7,0),'1MK4UR'!$F$6:$F$2989,"Bond Received")</f>
        <v>#REF!</v>
      </c>
      <c r="AG10" s="108" t="e">
        <f>SUMIFS('Other Expense'!$C$8:$C$3017,'Other Expense'!$B$8:$B$3017,"&gt;="&amp;AG7,'Other Expense'!$B$8:$B$3017,"&lt;="&amp;EOMONTH(AG7,0),'Other Expense'!$D$8:$D$3017,$B$9)+SUMIFS('CEI565'!$D$6:$D$2994,'CEI565'!$E$6:$E$2994,"&gt;="&amp;AG7,'CEI565'!$E$6:$E$2994,"&lt;="&amp;EOMONTH(AG7,0))-SUMIFS('CEI565'!$D$6:$D$2994,'CEI565'!$E$6:$E$2994,"&gt;="&amp;AG7,'CEI565'!$E$6:$E$2994,"&lt;="&amp;EOMONTH(AG7,0),'CEI565'!$F$6:$F$2994,$B$14)-(SUMIFS('CEI565'!$D$6:$D$2994,'CEI565'!$E$6:$E$2994,"&gt;="&amp;AG7,'CEI565'!$E$6:$E$2994,"&lt;="&amp;EOMONTH(AG7,0),'CEI565'!$F$6:$F$2994,"Discount Rent")*2)-SUMIFS('CEI565'!$D$6:$D$2994,'CEI565'!$E$6:$E$2994,"&gt;="&amp;AG7,'CEI565'!$E$6:$E$2994,"&lt;="&amp;EOMONTH(AG7,0),'CEI565'!$F$6:$F$2994,"Bond Received")+SUMIFS('1SM3VL'!$D$6:$D$2989,'1SM3VL'!$E$6:$E$2989,"&gt;="&amp;AG7,'1SM3VL'!$E$6:$E$2989,"&lt;="&amp;EOMONTH(AG7,0))-SUMIFS('1SM3VL'!$D$6:$D$2989,'1SM3VL'!$E$6:$E$2989,"&gt;="&amp;AG7,'1SM3VL'!$E$6:$E$2989,"&lt;="&amp;EOMONTH(AG7,0),'1SM3VL'!$F$6:$F$2989,$B$14)-(SUMIFS('1SM3VL'!$D$6:$D$2989,'1SM3VL'!$E$6:$E$2989,"&gt;="&amp;AG7,'1SM3VL'!$E$6:$E$2989,"&lt;="&amp;EOMONTH(AG7,0),'1SM3VL'!$F$6:$F$2989,"Discount Rent")*2)-SUMIFS('1SM3VL'!$D$6:$D$2989,'1SM3VL'!$E$6:$E$2989,"&gt;="&amp;AG7,'1SM3VL'!$E$6:$E$2989,"&lt;="&amp;EOMONTH(AG7,0),'1SM3VL'!$F$6:$F$2989,"Bond Received")+SUMIFS('1QF4SM'!$D$6:$D$2989,'1QF4SM'!$E$6:$E$2989,"&gt;="&amp;AG7,'1QF4SM'!$E$6:$E$2989,"&lt;="&amp;EOMONTH(AG7,0))-SUMIFS('1QF4SM'!$D$6:$D$2989,'1QF4SM'!$E$6:$E$2989,"&gt;="&amp;AG7,'1QF4SM'!$E$6:$E$2989,"&lt;="&amp;EOMONTH(AG7,0),'1QF4SM'!$F$6:$F$2989,$B$14)-(SUMIFS('1QF4SM'!$D$6:$D$2989,'1QF4SM'!$E$6:$E$2989,"&gt;="&amp;AG7,'1QF4SM'!$E$6:$E$2989,"&lt;="&amp;EOMONTH(AG7,0),'1QF4SM'!$F$6:$F$2989,"Discount Rent")*2)-SUMIFS('1QF4SM'!$D$6:$D$2989,'1QF4SM'!$E$6:$E$2989,"&gt;="&amp;AG7,'1QF4SM'!$E$6:$E$2989,"&lt;="&amp;EOMONTH(AG7,0),'1QF4SM'!$F$6:$F$2989,"Bond Received")+SUMIFS('1UV5KI'!$D$6:$D$2988,'1UV5KI'!$E$6:$E$2988,"&gt;="&amp;AG7,'1UV5KI'!$E$6:$E$2988,"&lt;="&amp;EOMONTH(AG7,0))-SUMIFS('1UV5KI'!$D$6:$D$2988,'1UV5KI'!$E$6:$E$2988,"&gt;="&amp;AG7,'1UV5KI'!$E$6:$E$2988,"&lt;="&amp;EOMONTH(AG7,0),'1UV5KI'!$F$6:$F$2988,$B$14)-(SUMIFS('1UV5KI'!$D$6:$D$2988,'1UV5KI'!$E$6:$E$2988,"&gt;="&amp;AG7,'1UV5KI'!$E$6:$E$2988,"&lt;="&amp;EOMONTH(AG7,0),'1UV5KI'!$F$6:$F$2988,"Discount Rent")*2)-SUMIFS('1UV5KI'!$D$6:$D$2988,'1UV5KI'!$E$6:$E$2988,"&gt;="&amp;AG7,'1UV5KI'!$E$6:$E$2988,"&lt;="&amp;EOMONTH(AG7,0),'1UV5KI'!$F$6:$F$2988,"Bond Received")+SUMIFS(#REF!,#REF!,"&gt;="&amp;AG7,#REF!,"&lt;="&amp;EOMONTH(AG7,0))-SUMIFS(#REF!,#REF!,"&gt;="&amp;AG7,#REF!,"&lt;="&amp;EOMONTH(AG7,0),#REF!,$B$14)-(SUMIFS(#REF!,#REF!,"&gt;="&amp;AG7,#REF!,"&lt;="&amp;EOMONTH(AG7,0),#REF!,"Discount Rent")*2)-SUMIFS(#REF!,#REF!,"&gt;="&amp;AG7,#REF!,"&lt;="&amp;EOMONTH(AG7,0),#REF!,"Bond Received")+SUMIFS('1UL9RY'!$D$6:$D$2989,'1UL9RY'!$E$6:$E$2989,"&gt;="&amp;AG7,'1UL9RY'!$E$6:$E$2989,"&lt;="&amp;EOMONTH(AG7,0))-SUMIFS('1UL9RY'!$D$6:$D$2989,'1UL9RY'!$E$6:$E$2989,"&gt;="&amp;AG7,'1UL9RY'!$E$6:$E$2989,"&lt;="&amp;EOMONTH(AG7,0),'1UL9RY'!$F$6:$F$2989,$B$14)-(SUMIFS('1UL9RY'!$D$6:$D$2989,'1UL9RY'!$E$6:$E$2989,"&gt;="&amp;AG7,'1UL9RY'!$E$6:$E$2989,"&lt;="&amp;EOMONTH(AG7,0),'1UL9RY'!$F$6:$F$2989,"Discount Rent")*2)-SUMIFS('1UL9RY'!$D$6:$D$2989,'1UL9RY'!$E$6:$E$2989,"&gt;="&amp;AG7,'1UL9RY'!$E$6:$E$2989,"&lt;="&amp;EOMONTH(AG7,0),'1UL9RY'!$F$6:$F$2989,"Bond Received")+SUMIFS('1OZ7GT'!$D$6:$D$2989,'1OZ7GT'!$E$6:$E$2989,"&gt;="&amp;AG7,'1OZ7GT'!$E$6:$E$2989,"&lt;="&amp;EOMONTH(AG7,0))-SUMIFS('1OZ7GT'!$D$6:$D$2989,'1OZ7GT'!$E$6:$E$2989,"&gt;="&amp;AG7,'1OZ7GT'!$E$6:$E$2989,"&lt;="&amp;EOMONTH(AG7,0),'1OZ7GT'!$F$6:$F$2989,$B$14)-(SUMIFS('1OZ7GT'!$D$6:$D$2989,'1OZ7GT'!$E$6:$E$2989,"&gt;="&amp;AG7,'1OZ7GT'!$E$6:$E$2989,"&lt;="&amp;EOMONTH(AG7,0),'1OZ7GT'!$F$6:$F$2989,"Discount Rent")*2)-SUMIFS('1OZ7GT'!$D$6:$D$2989,'1OZ7GT'!$E$6:$E$2989,"&gt;="&amp;AG7,'1OZ7GT'!$E$6:$E$2989,"&lt;="&amp;EOMONTH(AG7,0),'1OZ7GT'!$F$6:$F$2989,"Bond Received")+SUMIFS('1CN8DD'!$D$6:$D$2989,'1CN8DD'!$E$6:$E$2989,"&gt;="&amp;AG7,'1CN8DD'!$E$6:$E$2989,"&lt;="&amp;EOMONTH(AG7,0))-SUMIFS('1CN8DD'!$D$6:$D$2989,'1CN8DD'!$E$6:$E$2989,"&gt;="&amp;AG7,'1CN8DD'!$E$6:$E$2989,"&lt;="&amp;EOMONTH(AG7,0),'1CN8DD'!$F$6:$F$2989,$B$14)-(SUMIFS('1CN8DD'!$D$6:$D$2989,'1CN8DD'!$E$6:$E$2989,"&gt;="&amp;AG7,'1CN8DD'!$E$6:$E$2989,"&lt;="&amp;EOMONTH(AG7,0),'1CN8DD'!$F$6:$F$2989,"Discount Rent")*2)-SUMIFS('1CN8DD'!$D$6:$D$2989,'1CN8DD'!$E$6:$E$2989,"&gt;="&amp;AG7,'1CN8DD'!$E$6:$E$2989,"&lt;="&amp;EOMONTH(AG7,0),'1CN8DD'!$F$6:$F$2989,"Bond Received")+SUMIFS('1UT9BR'!$D$6:$D$2989,'1UT9BR'!$E$6:$E$2989,"&gt;="&amp;AG7,'1UT9BR'!$E$6:$E$2989,"&lt;="&amp;EOMONTH(AG7,0))-SUMIFS('1UT9BR'!$D$6:$D$2989,'1UT9BR'!$E$6:$E$2989,"&gt;="&amp;AG7,'1UT9BR'!$E$6:$E$2989,"&lt;="&amp;EOMONTH(AG7,0),'1UT9BR'!$F$6:$F$2989,$B$14)-(SUMIFS('1UT9BR'!$D$6:$D$2989,'1UT9BR'!$E$6:$E$2989,"&gt;="&amp;AG7,'1UT9BR'!$E$6:$E$2989,"&lt;="&amp;EOMONTH(AG7,0),'1UT9BR'!$F$6:$F$2989,"Discount Rent")*2)-SUMIFS('1UT9BR'!$D$6:$D$2989,'1UT9BR'!$E$6:$E$2989,"&gt;="&amp;AG7,'1UT9BR'!$E$6:$E$2989,"&lt;="&amp;EOMONTH(AG7,0),'1UT9BR'!$F$6:$F$2989,"Bond Received")+SUMIFS('1MK4UR'!$D$6:$D$2989,'1MK4UR'!$E$6:$E$2989,"&gt;="&amp;AG7,'1MK4UR'!$E$6:$E$2989,"&lt;="&amp;EOMONTH(AG7,0))-SUMIFS('1MK4UR'!$D$6:$D$2989,'1MK4UR'!$E$6:$E$2989,"&gt;="&amp;AG7,'1MK4UR'!$E$6:$E$2989,"&lt;="&amp;EOMONTH(AG7,0),'1MK4UR'!$F$6:$F$2989,$B$14)-(SUMIFS('1MK4UR'!$D$6:$D$2989,'1MK4UR'!$E$6:$E$2989,"&gt;="&amp;AG7,'1MK4UR'!$E$6:$E$2989,"&lt;="&amp;EOMONTH(AG7,0),'1MK4UR'!$F$6:$F$2989,"Discount Rent")*2)-SUMIFS('1MK4UR'!$D$6:$D$2989,'1MK4UR'!$E$6:$E$2989,"&gt;="&amp;AG7,'1MK4UR'!$E$6:$E$2989,"&lt;="&amp;EOMONTH(AG7,0),'1MK4UR'!$F$6:$F$2989,"Bond Received")</f>
        <v>#REF!</v>
      </c>
      <c r="AH10" s="108" t="e">
        <f>SUMIFS('Other Expense'!$C$8:$C$3017,'Other Expense'!$B$8:$B$3017,"&gt;="&amp;AH7,'Other Expense'!$B$8:$B$3017,"&lt;="&amp;EOMONTH(AH7,0),'Other Expense'!$D$8:$D$3017,$B$9)+SUMIFS('CEI565'!$D$6:$D$2994,'CEI565'!$E$6:$E$2994,"&gt;="&amp;AH7,'CEI565'!$E$6:$E$2994,"&lt;="&amp;EOMONTH(AH7,0))-SUMIFS('CEI565'!$D$6:$D$2994,'CEI565'!$E$6:$E$2994,"&gt;="&amp;AH7,'CEI565'!$E$6:$E$2994,"&lt;="&amp;EOMONTH(AH7,0),'CEI565'!$F$6:$F$2994,$B$14)-(SUMIFS('CEI565'!$D$6:$D$2994,'CEI565'!$E$6:$E$2994,"&gt;="&amp;AH7,'CEI565'!$E$6:$E$2994,"&lt;="&amp;EOMONTH(AH7,0),'CEI565'!$F$6:$F$2994,"Discount Rent")*2)-SUMIFS('CEI565'!$D$6:$D$2994,'CEI565'!$E$6:$E$2994,"&gt;="&amp;AH7,'CEI565'!$E$6:$E$2994,"&lt;="&amp;EOMONTH(AH7,0),'CEI565'!$F$6:$F$2994,"Bond Received")+SUMIFS('1SM3VL'!$D$6:$D$2989,'1SM3VL'!$E$6:$E$2989,"&gt;="&amp;AH7,'1SM3VL'!$E$6:$E$2989,"&lt;="&amp;EOMONTH(AH7,0))-SUMIFS('1SM3VL'!$D$6:$D$2989,'1SM3VL'!$E$6:$E$2989,"&gt;="&amp;AH7,'1SM3VL'!$E$6:$E$2989,"&lt;="&amp;EOMONTH(AH7,0),'1SM3VL'!$F$6:$F$2989,$B$14)-(SUMIFS('1SM3VL'!$D$6:$D$2989,'1SM3VL'!$E$6:$E$2989,"&gt;="&amp;AH7,'1SM3VL'!$E$6:$E$2989,"&lt;="&amp;EOMONTH(AH7,0),'1SM3VL'!$F$6:$F$2989,"Discount Rent")*2)-SUMIFS('1SM3VL'!$D$6:$D$2989,'1SM3VL'!$E$6:$E$2989,"&gt;="&amp;AH7,'1SM3VL'!$E$6:$E$2989,"&lt;="&amp;EOMONTH(AH7,0),'1SM3VL'!$F$6:$F$2989,"Bond Received")+SUMIFS('1QF4SM'!$D$6:$D$2989,'1QF4SM'!$E$6:$E$2989,"&gt;="&amp;AH7,'1QF4SM'!$E$6:$E$2989,"&lt;="&amp;EOMONTH(AH7,0))-SUMIFS('1QF4SM'!$D$6:$D$2989,'1QF4SM'!$E$6:$E$2989,"&gt;="&amp;AH7,'1QF4SM'!$E$6:$E$2989,"&lt;="&amp;EOMONTH(AH7,0),'1QF4SM'!$F$6:$F$2989,$B$14)-(SUMIFS('1QF4SM'!$D$6:$D$2989,'1QF4SM'!$E$6:$E$2989,"&gt;="&amp;AH7,'1QF4SM'!$E$6:$E$2989,"&lt;="&amp;EOMONTH(AH7,0),'1QF4SM'!$F$6:$F$2989,"Discount Rent")*2)-SUMIFS('1QF4SM'!$D$6:$D$2989,'1QF4SM'!$E$6:$E$2989,"&gt;="&amp;AH7,'1QF4SM'!$E$6:$E$2989,"&lt;="&amp;EOMONTH(AH7,0),'1QF4SM'!$F$6:$F$2989,"Bond Received")+SUMIFS('1UV5KI'!$D$6:$D$2988,'1UV5KI'!$E$6:$E$2988,"&gt;="&amp;AH7,'1UV5KI'!$E$6:$E$2988,"&lt;="&amp;EOMONTH(AH7,0))-SUMIFS('1UV5KI'!$D$6:$D$2988,'1UV5KI'!$E$6:$E$2988,"&gt;="&amp;AH7,'1UV5KI'!$E$6:$E$2988,"&lt;="&amp;EOMONTH(AH7,0),'1UV5KI'!$F$6:$F$2988,$B$14)-(SUMIFS('1UV5KI'!$D$6:$D$2988,'1UV5KI'!$E$6:$E$2988,"&gt;="&amp;AH7,'1UV5KI'!$E$6:$E$2988,"&lt;="&amp;EOMONTH(AH7,0),'1UV5KI'!$F$6:$F$2988,"Discount Rent")*2)-SUMIFS('1UV5KI'!$D$6:$D$2988,'1UV5KI'!$E$6:$E$2988,"&gt;="&amp;AH7,'1UV5KI'!$E$6:$E$2988,"&lt;="&amp;EOMONTH(AH7,0),'1UV5KI'!$F$6:$F$2988,"Bond Received")+SUMIFS(#REF!,#REF!,"&gt;="&amp;AH7,#REF!,"&lt;="&amp;EOMONTH(AH7,0))-SUMIFS(#REF!,#REF!,"&gt;="&amp;AH7,#REF!,"&lt;="&amp;EOMONTH(AH7,0),#REF!,$B$14)-(SUMIFS(#REF!,#REF!,"&gt;="&amp;AH7,#REF!,"&lt;="&amp;EOMONTH(AH7,0),#REF!,"Discount Rent")*2)-SUMIFS(#REF!,#REF!,"&gt;="&amp;AH7,#REF!,"&lt;="&amp;EOMONTH(AH7,0),#REF!,"Bond Received")+SUMIFS('1UL9RY'!$D$6:$D$2989,'1UL9RY'!$E$6:$E$2989,"&gt;="&amp;AH7,'1UL9RY'!$E$6:$E$2989,"&lt;="&amp;EOMONTH(AH7,0))-SUMIFS('1UL9RY'!$D$6:$D$2989,'1UL9RY'!$E$6:$E$2989,"&gt;="&amp;AH7,'1UL9RY'!$E$6:$E$2989,"&lt;="&amp;EOMONTH(AH7,0),'1UL9RY'!$F$6:$F$2989,$B$14)-(SUMIFS('1UL9RY'!$D$6:$D$2989,'1UL9RY'!$E$6:$E$2989,"&gt;="&amp;AH7,'1UL9RY'!$E$6:$E$2989,"&lt;="&amp;EOMONTH(AH7,0),'1UL9RY'!$F$6:$F$2989,"Discount Rent")*2)-SUMIFS('1UL9RY'!$D$6:$D$2989,'1UL9RY'!$E$6:$E$2989,"&gt;="&amp;AH7,'1UL9RY'!$E$6:$E$2989,"&lt;="&amp;EOMONTH(AH7,0),'1UL9RY'!$F$6:$F$2989,"Bond Received")+SUMIFS('1OZ7GT'!$D$6:$D$2989,'1OZ7GT'!$E$6:$E$2989,"&gt;="&amp;AH7,'1OZ7GT'!$E$6:$E$2989,"&lt;="&amp;EOMONTH(AH7,0))-SUMIFS('1OZ7GT'!$D$6:$D$2989,'1OZ7GT'!$E$6:$E$2989,"&gt;="&amp;AH7,'1OZ7GT'!$E$6:$E$2989,"&lt;="&amp;EOMONTH(AH7,0),'1OZ7GT'!$F$6:$F$2989,$B$14)-(SUMIFS('1OZ7GT'!$D$6:$D$2989,'1OZ7GT'!$E$6:$E$2989,"&gt;="&amp;AH7,'1OZ7GT'!$E$6:$E$2989,"&lt;="&amp;EOMONTH(AH7,0),'1OZ7GT'!$F$6:$F$2989,"Discount Rent")*2)-SUMIFS('1OZ7GT'!$D$6:$D$2989,'1OZ7GT'!$E$6:$E$2989,"&gt;="&amp;AH7,'1OZ7GT'!$E$6:$E$2989,"&lt;="&amp;EOMONTH(AH7,0),'1OZ7GT'!$F$6:$F$2989,"Bond Received")+SUMIFS('1CN8DD'!$D$6:$D$2989,'1CN8DD'!$E$6:$E$2989,"&gt;="&amp;AH7,'1CN8DD'!$E$6:$E$2989,"&lt;="&amp;EOMONTH(AH7,0))-SUMIFS('1CN8DD'!$D$6:$D$2989,'1CN8DD'!$E$6:$E$2989,"&gt;="&amp;AH7,'1CN8DD'!$E$6:$E$2989,"&lt;="&amp;EOMONTH(AH7,0),'1CN8DD'!$F$6:$F$2989,$B$14)-(SUMIFS('1CN8DD'!$D$6:$D$2989,'1CN8DD'!$E$6:$E$2989,"&gt;="&amp;AH7,'1CN8DD'!$E$6:$E$2989,"&lt;="&amp;EOMONTH(AH7,0),'1CN8DD'!$F$6:$F$2989,"Discount Rent")*2)-SUMIFS('1CN8DD'!$D$6:$D$2989,'1CN8DD'!$E$6:$E$2989,"&gt;="&amp;AH7,'1CN8DD'!$E$6:$E$2989,"&lt;="&amp;EOMONTH(AH7,0),'1CN8DD'!$F$6:$F$2989,"Bond Received")+SUMIFS('1UT9BR'!$D$6:$D$2989,'1UT9BR'!$E$6:$E$2989,"&gt;="&amp;AH7,'1UT9BR'!$E$6:$E$2989,"&lt;="&amp;EOMONTH(AH7,0))-SUMIFS('1UT9BR'!$D$6:$D$2989,'1UT9BR'!$E$6:$E$2989,"&gt;="&amp;AH7,'1UT9BR'!$E$6:$E$2989,"&lt;="&amp;EOMONTH(AH7,0),'1UT9BR'!$F$6:$F$2989,$B$14)-(SUMIFS('1UT9BR'!$D$6:$D$2989,'1UT9BR'!$E$6:$E$2989,"&gt;="&amp;AH7,'1UT9BR'!$E$6:$E$2989,"&lt;="&amp;EOMONTH(AH7,0),'1UT9BR'!$F$6:$F$2989,"Discount Rent")*2)-SUMIFS('1UT9BR'!$D$6:$D$2989,'1UT9BR'!$E$6:$E$2989,"&gt;="&amp;AH7,'1UT9BR'!$E$6:$E$2989,"&lt;="&amp;EOMONTH(AH7,0),'1UT9BR'!$F$6:$F$2989,"Bond Received")+SUMIFS('1MK4UR'!$D$6:$D$2989,'1MK4UR'!$E$6:$E$2989,"&gt;="&amp;AH7,'1MK4UR'!$E$6:$E$2989,"&lt;="&amp;EOMONTH(AH7,0))-SUMIFS('1MK4UR'!$D$6:$D$2989,'1MK4UR'!$E$6:$E$2989,"&gt;="&amp;AH7,'1MK4UR'!$E$6:$E$2989,"&lt;="&amp;EOMONTH(AH7,0),'1MK4UR'!$F$6:$F$2989,$B$14)-(SUMIFS('1MK4UR'!$D$6:$D$2989,'1MK4UR'!$E$6:$E$2989,"&gt;="&amp;AH7,'1MK4UR'!$E$6:$E$2989,"&lt;="&amp;EOMONTH(AH7,0),'1MK4UR'!$F$6:$F$2989,"Discount Rent")*2)-SUMIFS('1MK4UR'!$D$6:$D$2989,'1MK4UR'!$E$6:$E$2989,"&gt;="&amp;AH7,'1MK4UR'!$E$6:$E$2989,"&lt;="&amp;EOMONTH(AH7,0),'1MK4UR'!$F$6:$F$2989,"Bond Received")</f>
        <v>#REF!</v>
      </c>
      <c r="AI10" s="108" t="e">
        <f>SUMIFS('Other Expense'!$C$8:$C$3017,'Other Expense'!$B$8:$B$3017,"&gt;="&amp;AI7,'Other Expense'!$B$8:$B$3017,"&lt;="&amp;EOMONTH(AI7,0),'Other Expense'!$D$8:$D$3017,$B$9)+SUMIFS('CEI565'!$D$6:$D$2994,'CEI565'!$E$6:$E$2994,"&gt;="&amp;AI7,'CEI565'!$E$6:$E$2994,"&lt;="&amp;EOMONTH(AI7,0))-SUMIFS('CEI565'!$D$6:$D$2994,'CEI565'!$E$6:$E$2994,"&gt;="&amp;AI7,'CEI565'!$E$6:$E$2994,"&lt;="&amp;EOMONTH(AI7,0),'CEI565'!$F$6:$F$2994,$B$14)-(SUMIFS('CEI565'!$D$6:$D$2994,'CEI565'!$E$6:$E$2994,"&gt;="&amp;AI7,'CEI565'!$E$6:$E$2994,"&lt;="&amp;EOMONTH(AI7,0),'CEI565'!$F$6:$F$2994,"Discount Rent")*2)-SUMIFS('CEI565'!$D$6:$D$2994,'CEI565'!$E$6:$E$2994,"&gt;="&amp;AI7,'CEI565'!$E$6:$E$2994,"&lt;="&amp;EOMONTH(AI7,0),'CEI565'!$F$6:$F$2994,"Bond Received")+SUMIFS('1SM3VL'!$D$6:$D$2989,'1SM3VL'!$E$6:$E$2989,"&gt;="&amp;AI7,'1SM3VL'!$E$6:$E$2989,"&lt;="&amp;EOMONTH(AI7,0))-SUMIFS('1SM3VL'!$D$6:$D$2989,'1SM3VL'!$E$6:$E$2989,"&gt;="&amp;AI7,'1SM3VL'!$E$6:$E$2989,"&lt;="&amp;EOMONTH(AI7,0),'1SM3VL'!$F$6:$F$2989,$B$14)-(SUMIFS('1SM3VL'!$D$6:$D$2989,'1SM3VL'!$E$6:$E$2989,"&gt;="&amp;AI7,'1SM3VL'!$E$6:$E$2989,"&lt;="&amp;EOMONTH(AI7,0),'1SM3VL'!$F$6:$F$2989,"Discount Rent")*2)-SUMIFS('1SM3VL'!$D$6:$D$2989,'1SM3VL'!$E$6:$E$2989,"&gt;="&amp;AI7,'1SM3VL'!$E$6:$E$2989,"&lt;="&amp;EOMONTH(AI7,0),'1SM3VL'!$F$6:$F$2989,"Bond Received")+SUMIFS('1QF4SM'!$D$6:$D$2989,'1QF4SM'!$E$6:$E$2989,"&gt;="&amp;AI7,'1QF4SM'!$E$6:$E$2989,"&lt;="&amp;EOMONTH(AI7,0))-SUMIFS('1QF4SM'!$D$6:$D$2989,'1QF4SM'!$E$6:$E$2989,"&gt;="&amp;AI7,'1QF4SM'!$E$6:$E$2989,"&lt;="&amp;EOMONTH(AI7,0),'1QF4SM'!$F$6:$F$2989,$B$14)-(SUMIFS('1QF4SM'!$D$6:$D$2989,'1QF4SM'!$E$6:$E$2989,"&gt;="&amp;AI7,'1QF4SM'!$E$6:$E$2989,"&lt;="&amp;EOMONTH(AI7,0),'1QF4SM'!$F$6:$F$2989,"Discount Rent")*2)-SUMIFS('1QF4SM'!$D$6:$D$2989,'1QF4SM'!$E$6:$E$2989,"&gt;="&amp;AI7,'1QF4SM'!$E$6:$E$2989,"&lt;="&amp;EOMONTH(AI7,0),'1QF4SM'!$F$6:$F$2989,"Bond Received")+SUMIFS('1UV5KI'!$D$6:$D$2988,'1UV5KI'!$E$6:$E$2988,"&gt;="&amp;AI7,'1UV5KI'!$E$6:$E$2988,"&lt;="&amp;EOMONTH(AI7,0))-SUMIFS('1UV5KI'!$D$6:$D$2988,'1UV5KI'!$E$6:$E$2988,"&gt;="&amp;AI7,'1UV5KI'!$E$6:$E$2988,"&lt;="&amp;EOMONTH(AI7,0),'1UV5KI'!$F$6:$F$2988,$B$14)-(SUMIFS('1UV5KI'!$D$6:$D$2988,'1UV5KI'!$E$6:$E$2988,"&gt;="&amp;AI7,'1UV5KI'!$E$6:$E$2988,"&lt;="&amp;EOMONTH(AI7,0),'1UV5KI'!$F$6:$F$2988,"Discount Rent")*2)-SUMIFS('1UV5KI'!$D$6:$D$2988,'1UV5KI'!$E$6:$E$2988,"&gt;="&amp;AI7,'1UV5KI'!$E$6:$E$2988,"&lt;="&amp;EOMONTH(AI7,0),'1UV5KI'!$F$6:$F$2988,"Bond Received")+SUMIFS(#REF!,#REF!,"&gt;="&amp;AI7,#REF!,"&lt;="&amp;EOMONTH(AI7,0))-SUMIFS(#REF!,#REF!,"&gt;="&amp;AI7,#REF!,"&lt;="&amp;EOMONTH(AI7,0),#REF!,$B$14)-(SUMIFS(#REF!,#REF!,"&gt;="&amp;AI7,#REF!,"&lt;="&amp;EOMONTH(AI7,0),#REF!,"Discount Rent")*2)-SUMIFS(#REF!,#REF!,"&gt;="&amp;AI7,#REF!,"&lt;="&amp;EOMONTH(AI7,0),#REF!,"Bond Received")+SUMIFS('1UL9RY'!$D$6:$D$2989,'1UL9RY'!$E$6:$E$2989,"&gt;="&amp;AI7,'1UL9RY'!$E$6:$E$2989,"&lt;="&amp;EOMONTH(AI7,0))-SUMIFS('1UL9RY'!$D$6:$D$2989,'1UL9RY'!$E$6:$E$2989,"&gt;="&amp;AI7,'1UL9RY'!$E$6:$E$2989,"&lt;="&amp;EOMONTH(AI7,0),'1UL9RY'!$F$6:$F$2989,$B$14)-(SUMIFS('1UL9RY'!$D$6:$D$2989,'1UL9RY'!$E$6:$E$2989,"&gt;="&amp;AI7,'1UL9RY'!$E$6:$E$2989,"&lt;="&amp;EOMONTH(AI7,0),'1UL9RY'!$F$6:$F$2989,"Discount Rent")*2)-SUMIFS('1UL9RY'!$D$6:$D$2989,'1UL9RY'!$E$6:$E$2989,"&gt;="&amp;AI7,'1UL9RY'!$E$6:$E$2989,"&lt;="&amp;EOMONTH(AI7,0),'1UL9RY'!$F$6:$F$2989,"Bond Received")+SUMIFS('1OZ7GT'!$D$6:$D$2989,'1OZ7GT'!$E$6:$E$2989,"&gt;="&amp;AI7,'1OZ7GT'!$E$6:$E$2989,"&lt;="&amp;EOMONTH(AI7,0))-SUMIFS('1OZ7GT'!$D$6:$D$2989,'1OZ7GT'!$E$6:$E$2989,"&gt;="&amp;AI7,'1OZ7GT'!$E$6:$E$2989,"&lt;="&amp;EOMONTH(AI7,0),'1OZ7GT'!$F$6:$F$2989,$B$14)-(SUMIFS('1OZ7GT'!$D$6:$D$2989,'1OZ7GT'!$E$6:$E$2989,"&gt;="&amp;AI7,'1OZ7GT'!$E$6:$E$2989,"&lt;="&amp;EOMONTH(AI7,0),'1OZ7GT'!$F$6:$F$2989,"Discount Rent")*2)-SUMIFS('1OZ7GT'!$D$6:$D$2989,'1OZ7GT'!$E$6:$E$2989,"&gt;="&amp;AI7,'1OZ7GT'!$E$6:$E$2989,"&lt;="&amp;EOMONTH(AI7,0),'1OZ7GT'!$F$6:$F$2989,"Bond Received")+SUMIFS('1CN8DD'!$D$6:$D$2989,'1CN8DD'!$E$6:$E$2989,"&gt;="&amp;AI7,'1CN8DD'!$E$6:$E$2989,"&lt;="&amp;EOMONTH(AI7,0))-SUMIFS('1CN8DD'!$D$6:$D$2989,'1CN8DD'!$E$6:$E$2989,"&gt;="&amp;AI7,'1CN8DD'!$E$6:$E$2989,"&lt;="&amp;EOMONTH(AI7,0),'1CN8DD'!$F$6:$F$2989,$B$14)-(SUMIFS('1CN8DD'!$D$6:$D$2989,'1CN8DD'!$E$6:$E$2989,"&gt;="&amp;AI7,'1CN8DD'!$E$6:$E$2989,"&lt;="&amp;EOMONTH(AI7,0),'1CN8DD'!$F$6:$F$2989,"Discount Rent")*2)-SUMIFS('1CN8DD'!$D$6:$D$2989,'1CN8DD'!$E$6:$E$2989,"&gt;="&amp;AI7,'1CN8DD'!$E$6:$E$2989,"&lt;="&amp;EOMONTH(AI7,0),'1CN8DD'!$F$6:$F$2989,"Bond Received")+SUMIFS('1UT9BR'!$D$6:$D$2989,'1UT9BR'!$E$6:$E$2989,"&gt;="&amp;AI7,'1UT9BR'!$E$6:$E$2989,"&lt;="&amp;EOMONTH(AI7,0))-SUMIFS('1UT9BR'!$D$6:$D$2989,'1UT9BR'!$E$6:$E$2989,"&gt;="&amp;AI7,'1UT9BR'!$E$6:$E$2989,"&lt;="&amp;EOMONTH(AI7,0),'1UT9BR'!$F$6:$F$2989,$B$14)-(SUMIFS('1UT9BR'!$D$6:$D$2989,'1UT9BR'!$E$6:$E$2989,"&gt;="&amp;AI7,'1UT9BR'!$E$6:$E$2989,"&lt;="&amp;EOMONTH(AI7,0),'1UT9BR'!$F$6:$F$2989,"Discount Rent")*2)-SUMIFS('1UT9BR'!$D$6:$D$2989,'1UT9BR'!$E$6:$E$2989,"&gt;="&amp;AI7,'1UT9BR'!$E$6:$E$2989,"&lt;="&amp;EOMONTH(AI7,0),'1UT9BR'!$F$6:$F$2989,"Bond Received")+SUMIFS('1MK4UR'!$D$6:$D$2989,'1MK4UR'!$E$6:$E$2989,"&gt;="&amp;AI7,'1MK4UR'!$E$6:$E$2989,"&lt;="&amp;EOMONTH(AI7,0))-SUMIFS('1MK4UR'!$D$6:$D$2989,'1MK4UR'!$E$6:$E$2989,"&gt;="&amp;AI7,'1MK4UR'!$E$6:$E$2989,"&lt;="&amp;EOMONTH(AI7,0),'1MK4UR'!$F$6:$F$2989,$B$14)-(SUMIFS('1MK4UR'!$D$6:$D$2989,'1MK4UR'!$E$6:$E$2989,"&gt;="&amp;AI7,'1MK4UR'!$E$6:$E$2989,"&lt;="&amp;EOMONTH(AI7,0),'1MK4UR'!$F$6:$F$2989,"Discount Rent")*2)-SUMIFS('1MK4UR'!$D$6:$D$2989,'1MK4UR'!$E$6:$E$2989,"&gt;="&amp;AI7,'1MK4UR'!$E$6:$E$2989,"&lt;="&amp;EOMONTH(AI7,0),'1MK4UR'!$F$6:$F$2989,"Bond Received")</f>
        <v>#REF!</v>
      </c>
      <c r="AJ10" s="108" t="e">
        <f>SUMIFS('Other Expense'!$C$8:$C$3017,'Other Expense'!$B$8:$B$3017,"&gt;="&amp;AJ7,'Other Expense'!$B$8:$B$3017,"&lt;="&amp;EOMONTH(AJ7,0),'Other Expense'!$D$8:$D$3017,$B$9)+SUMIFS('CEI565'!$D$6:$D$2994,'CEI565'!$E$6:$E$2994,"&gt;="&amp;AJ7,'CEI565'!$E$6:$E$2994,"&lt;="&amp;EOMONTH(AJ7,0))-SUMIFS('CEI565'!$D$6:$D$2994,'CEI565'!$E$6:$E$2994,"&gt;="&amp;AJ7,'CEI565'!$E$6:$E$2994,"&lt;="&amp;EOMONTH(AJ7,0),'CEI565'!$F$6:$F$2994,$B$14)-(SUMIFS('CEI565'!$D$6:$D$2994,'CEI565'!$E$6:$E$2994,"&gt;="&amp;AJ7,'CEI565'!$E$6:$E$2994,"&lt;="&amp;EOMONTH(AJ7,0),'CEI565'!$F$6:$F$2994,"Discount Rent")*2)-SUMIFS('CEI565'!$D$6:$D$2994,'CEI565'!$E$6:$E$2994,"&gt;="&amp;AJ7,'CEI565'!$E$6:$E$2994,"&lt;="&amp;EOMONTH(AJ7,0),'CEI565'!$F$6:$F$2994,"Bond Received")+SUMIFS('1SM3VL'!$D$6:$D$2989,'1SM3VL'!$E$6:$E$2989,"&gt;="&amp;AJ7,'1SM3VL'!$E$6:$E$2989,"&lt;="&amp;EOMONTH(AJ7,0))-SUMIFS('1SM3VL'!$D$6:$D$2989,'1SM3VL'!$E$6:$E$2989,"&gt;="&amp;AJ7,'1SM3VL'!$E$6:$E$2989,"&lt;="&amp;EOMONTH(AJ7,0),'1SM3VL'!$F$6:$F$2989,$B$14)-(SUMIFS('1SM3VL'!$D$6:$D$2989,'1SM3VL'!$E$6:$E$2989,"&gt;="&amp;AJ7,'1SM3VL'!$E$6:$E$2989,"&lt;="&amp;EOMONTH(AJ7,0),'1SM3VL'!$F$6:$F$2989,"Discount Rent")*2)-SUMIFS('1SM3VL'!$D$6:$D$2989,'1SM3VL'!$E$6:$E$2989,"&gt;="&amp;AJ7,'1SM3VL'!$E$6:$E$2989,"&lt;="&amp;EOMONTH(AJ7,0),'1SM3VL'!$F$6:$F$2989,"Bond Received")+SUMIFS('1QF4SM'!$D$6:$D$2989,'1QF4SM'!$E$6:$E$2989,"&gt;="&amp;AJ7,'1QF4SM'!$E$6:$E$2989,"&lt;="&amp;EOMONTH(AJ7,0))-SUMIFS('1QF4SM'!$D$6:$D$2989,'1QF4SM'!$E$6:$E$2989,"&gt;="&amp;AJ7,'1QF4SM'!$E$6:$E$2989,"&lt;="&amp;EOMONTH(AJ7,0),'1QF4SM'!$F$6:$F$2989,$B$14)-(SUMIFS('1QF4SM'!$D$6:$D$2989,'1QF4SM'!$E$6:$E$2989,"&gt;="&amp;AJ7,'1QF4SM'!$E$6:$E$2989,"&lt;="&amp;EOMONTH(AJ7,0),'1QF4SM'!$F$6:$F$2989,"Discount Rent")*2)-SUMIFS('1QF4SM'!$D$6:$D$2989,'1QF4SM'!$E$6:$E$2989,"&gt;="&amp;AJ7,'1QF4SM'!$E$6:$E$2989,"&lt;="&amp;EOMONTH(AJ7,0),'1QF4SM'!$F$6:$F$2989,"Bond Received")+SUMIFS('1UV5KI'!$D$6:$D$2988,'1UV5KI'!$E$6:$E$2988,"&gt;="&amp;AJ7,'1UV5KI'!$E$6:$E$2988,"&lt;="&amp;EOMONTH(AJ7,0))-SUMIFS('1UV5KI'!$D$6:$D$2988,'1UV5KI'!$E$6:$E$2988,"&gt;="&amp;AJ7,'1UV5KI'!$E$6:$E$2988,"&lt;="&amp;EOMONTH(AJ7,0),'1UV5KI'!$F$6:$F$2988,$B$14)-(SUMIFS('1UV5KI'!$D$6:$D$2988,'1UV5KI'!$E$6:$E$2988,"&gt;="&amp;AJ7,'1UV5KI'!$E$6:$E$2988,"&lt;="&amp;EOMONTH(AJ7,0),'1UV5KI'!$F$6:$F$2988,"Discount Rent")*2)-SUMIFS('1UV5KI'!$D$6:$D$2988,'1UV5KI'!$E$6:$E$2988,"&gt;="&amp;AJ7,'1UV5KI'!$E$6:$E$2988,"&lt;="&amp;EOMONTH(AJ7,0),'1UV5KI'!$F$6:$F$2988,"Bond Received")+SUMIFS(#REF!,#REF!,"&gt;="&amp;AJ7,#REF!,"&lt;="&amp;EOMONTH(AJ7,0))-SUMIFS(#REF!,#REF!,"&gt;="&amp;AJ7,#REF!,"&lt;="&amp;EOMONTH(AJ7,0),#REF!,$B$14)-(SUMIFS(#REF!,#REF!,"&gt;="&amp;AJ7,#REF!,"&lt;="&amp;EOMONTH(AJ7,0),#REF!,"Discount Rent")*2)-SUMIFS(#REF!,#REF!,"&gt;="&amp;AJ7,#REF!,"&lt;="&amp;EOMONTH(AJ7,0),#REF!,"Bond Received")+SUMIFS('1UL9RY'!$D$6:$D$2989,'1UL9RY'!$E$6:$E$2989,"&gt;="&amp;AJ7,'1UL9RY'!$E$6:$E$2989,"&lt;="&amp;EOMONTH(AJ7,0))-SUMIFS('1UL9RY'!$D$6:$D$2989,'1UL9RY'!$E$6:$E$2989,"&gt;="&amp;AJ7,'1UL9RY'!$E$6:$E$2989,"&lt;="&amp;EOMONTH(AJ7,0),'1UL9RY'!$F$6:$F$2989,$B$14)-(SUMIFS('1UL9RY'!$D$6:$D$2989,'1UL9RY'!$E$6:$E$2989,"&gt;="&amp;AJ7,'1UL9RY'!$E$6:$E$2989,"&lt;="&amp;EOMONTH(AJ7,0),'1UL9RY'!$F$6:$F$2989,"Discount Rent")*2)-SUMIFS('1UL9RY'!$D$6:$D$2989,'1UL9RY'!$E$6:$E$2989,"&gt;="&amp;AJ7,'1UL9RY'!$E$6:$E$2989,"&lt;="&amp;EOMONTH(AJ7,0),'1UL9RY'!$F$6:$F$2989,"Bond Received")+SUMIFS('1OZ7GT'!$D$6:$D$2989,'1OZ7GT'!$E$6:$E$2989,"&gt;="&amp;AJ7,'1OZ7GT'!$E$6:$E$2989,"&lt;="&amp;EOMONTH(AJ7,0))-SUMIFS('1OZ7GT'!$D$6:$D$2989,'1OZ7GT'!$E$6:$E$2989,"&gt;="&amp;AJ7,'1OZ7GT'!$E$6:$E$2989,"&lt;="&amp;EOMONTH(AJ7,0),'1OZ7GT'!$F$6:$F$2989,$B$14)-(SUMIFS('1OZ7GT'!$D$6:$D$2989,'1OZ7GT'!$E$6:$E$2989,"&gt;="&amp;AJ7,'1OZ7GT'!$E$6:$E$2989,"&lt;="&amp;EOMONTH(AJ7,0),'1OZ7GT'!$F$6:$F$2989,"Discount Rent")*2)-SUMIFS('1OZ7GT'!$D$6:$D$2989,'1OZ7GT'!$E$6:$E$2989,"&gt;="&amp;AJ7,'1OZ7GT'!$E$6:$E$2989,"&lt;="&amp;EOMONTH(AJ7,0),'1OZ7GT'!$F$6:$F$2989,"Bond Received")+SUMIFS('1CN8DD'!$D$6:$D$2989,'1CN8DD'!$E$6:$E$2989,"&gt;="&amp;AJ7,'1CN8DD'!$E$6:$E$2989,"&lt;="&amp;EOMONTH(AJ7,0))-SUMIFS('1CN8DD'!$D$6:$D$2989,'1CN8DD'!$E$6:$E$2989,"&gt;="&amp;AJ7,'1CN8DD'!$E$6:$E$2989,"&lt;="&amp;EOMONTH(AJ7,0),'1CN8DD'!$F$6:$F$2989,$B$14)-(SUMIFS('1CN8DD'!$D$6:$D$2989,'1CN8DD'!$E$6:$E$2989,"&gt;="&amp;AJ7,'1CN8DD'!$E$6:$E$2989,"&lt;="&amp;EOMONTH(AJ7,0),'1CN8DD'!$F$6:$F$2989,"Discount Rent")*2)-SUMIFS('1CN8DD'!$D$6:$D$2989,'1CN8DD'!$E$6:$E$2989,"&gt;="&amp;AJ7,'1CN8DD'!$E$6:$E$2989,"&lt;="&amp;EOMONTH(AJ7,0),'1CN8DD'!$F$6:$F$2989,"Bond Received")+SUMIFS('1UT9BR'!$D$6:$D$2989,'1UT9BR'!$E$6:$E$2989,"&gt;="&amp;AJ7,'1UT9BR'!$E$6:$E$2989,"&lt;="&amp;EOMONTH(AJ7,0))-SUMIFS('1UT9BR'!$D$6:$D$2989,'1UT9BR'!$E$6:$E$2989,"&gt;="&amp;AJ7,'1UT9BR'!$E$6:$E$2989,"&lt;="&amp;EOMONTH(AJ7,0),'1UT9BR'!$F$6:$F$2989,$B$14)-(SUMIFS('1UT9BR'!$D$6:$D$2989,'1UT9BR'!$E$6:$E$2989,"&gt;="&amp;AJ7,'1UT9BR'!$E$6:$E$2989,"&lt;="&amp;EOMONTH(AJ7,0),'1UT9BR'!$F$6:$F$2989,"Discount Rent")*2)-SUMIFS('1UT9BR'!$D$6:$D$2989,'1UT9BR'!$E$6:$E$2989,"&gt;="&amp;AJ7,'1UT9BR'!$E$6:$E$2989,"&lt;="&amp;EOMONTH(AJ7,0),'1UT9BR'!$F$6:$F$2989,"Bond Received")+SUMIFS('1MK4UR'!$D$6:$D$2989,'1MK4UR'!$E$6:$E$2989,"&gt;="&amp;AJ7,'1MK4UR'!$E$6:$E$2989,"&lt;="&amp;EOMONTH(AJ7,0))-SUMIFS('1MK4UR'!$D$6:$D$2989,'1MK4UR'!$E$6:$E$2989,"&gt;="&amp;AJ7,'1MK4UR'!$E$6:$E$2989,"&lt;="&amp;EOMONTH(AJ7,0),'1MK4UR'!$F$6:$F$2989,$B$14)-(SUMIFS('1MK4UR'!$D$6:$D$2989,'1MK4UR'!$E$6:$E$2989,"&gt;="&amp;AJ7,'1MK4UR'!$E$6:$E$2989,"&lt;="&amp;EOMONTH(AJ7,0),'1MK4UR'!$F$6:$F$2989,"Discount Rent")*2)-SUMIFS('1MK4UR'!$D$6:$D$2989,'1MK4UR'!$E$6:$E$2989,"&gt;="&amp;AJ7,'1MK4UR'!$E$6:$E$2989,"&lt;="&amp;EOMONTH(AJ7,0),'1MK4UR'!$F$6:$F$2989,"Bond Received")</f>
        <v>#REF!</v>
      </c>
      <c r="AK10" s="108" t="e">
        <f>SUMIFS('Other Expense'!$C$8:$C$3017,'Other Expense'!$B$8:$B$3017,"&gt;="&amp;AK7,'Other Expense'!$B$8:$B$3017,"&lt;="&amp;EOMONTH(AK7,0),'Other Expense'!$D$8:$D$3017,$B$9)+SUMIFS('CEI565'!$D$6:$D$2994,'CEI565'!$E$6:$E$2994,"&gt;="&amp;AK7,'CEI565'!$E$6:$E$2994,"&lt;="&amp;EOMONTH(AK7,0))-SUMIFS('CEI565'!$D$6:$D$2994,'CEI565'!$E$6:$E$2994,"&gt;="&amp;AK7,'CEI565'!$E$6:$E$2994,"&lt;="&amp;EOMONTH(AK7,0),'CEI565'!$F$6:$F$2994,$B$14)-(SUMIFS('CEI565'!$D$6:$D$2994,'CEI565'!$E$6:$E$2994,"&gt;="&amp;AK7,'CEI565'!$E$6:$E$2994,"&lt;="&amp;EOMONTH(AK7,0),'CEI565'!$F$6:$F$2994,"Discount Rent")*2)-SUMIFS('CEI565'!$D$6:$D$2994,'CEI565'!$E$6:$E$2994,"&gt;="&amp;AK7,'CEI565'!$E$6:$E$2994,"&lt;="&amp;EOMONTH(AK7,0),'CEI565'!$F$6:$F$2994,"Bond Received")+SUMIFS('1SM3VL'!$D$6:$D$2989,'1SM3VL'!$E$6:$E$2989,"&gt;="&amp;AK7,'1SM3VL'!$E$6:$E$2989,"&lt;="&amp;EOMONTH(AK7,0))-SUMIFS('1SM3VL'!$D$6:$D$2989,'1SM3VL'!$E$6:$E$2989,"&gt;="&amp;AK7,'1SM3VL'!$E$6:$E$2989,"&lt;="&amp;EOMONTH(AK7,0),'1SM3VL'!$F$6:$F$2989,$B$14)-(SUMIFS('1SM3VL'!$D$6:$D$2989,'1SM3VL'!$E$6:$E$2989,"&gt;="&amp;AK7,'1SM3VL'!$E$6:$E$2989,"&lt;="&amp;EOMONTH(AK7,0),'1SM3VL'!$F$6:$F$2989,"Discount Rent")*2)-SUMIFS('1SM3VL'!$D$6:$D$2989,'1SM3VL'!$E$6:$E$2989,"&gt;="&amp;AK7,'1SM3VL'!$E$6:$E$2989,"&lt;="&amp;EOMONTH(AK7,0),'1SM3VL'!$F$6:$F$2989,"Bond Received")+SUMIFS('1QF4SM'!$D$6:$D$2989,'1QF4SM'!$E$6:$E$2989,"&gt;="&amp;AK7,'1QF4SM'!$E$6:$E$2989,"&lt;="&amp;EOMONTH(AK7,0))-SUMIFS('1QF4SM'!$D$6:$D$2989,'1QF4SM'!$E$6:$E$2989,"&gt;="&amp;AK7,'1QF4SM'!$E$6:$E$2989,"&lt;="&amp;EOMONTH(AK7,0),'1QF4SM'!$F$6:$F$2989,$B$14)-(SUMIFS('1QF4SM'!$D$6:$D$2989,'1QF4SM'!$E$6:$E$2989,"&gt;="&amp;AK7,'1QF4SM'!$E$6:$E$2989,"&lt;="&amp;EOMONTH(AK7,0),'1QF4SM'!$F$6:$F$2989,"Discount Rent")*2)-SUMIFS('1QF4SM'!$D$6:$D$2989,'1QF4SM'!$E$6:$E$2989,"&gt;="&amp;AK7,'1QF4SM'!$E$6:$E$2989,"&lt;="&amp;EOMONTH(AK7,0),'1QF4SM'!$F$6:$F$2989,"Bond Received")+SUMIFS('1UV5KI'!$D$6:$D$2988,'1UV5KI'!$E$6:$E$2988,"&gt;="&amp;AK7,'1UV5KI'!$E$6:$E$2988,"&lt;="&amp;EOMONTH(AK7,0))-SUMIFS('1UV5KI'!$D$6:$D$2988,'1UV5KI'!$E$6:$E$2988,"&gt;="&amp;AK7,'1UV5KI'!$E$6:$E$2988,"&lt;="&amp;EOMONTH(AK7,0),'1UV5KI'!$F$6:$F$2988,$B$14)-(SUMIFS('1UV5KI'!$D$6:$D$2988,'1UV5KI'!$E$6:$E$2988,"&gt;="&amp;AK7,'1UV5KI'!$E$6:$E$2988,"&lt;="&amp;EOMONTH(AK7,0),'1UV5KI'!$F$6:$F$2988,"Discount Rent")*2)-SUMIFS('1UV5KI'!$D$6:$D$2988,'1UV5KI'!$E$6:$E$2988,"&gt;="&amp;AK7,'1UV5KI'!$E$6:$E$2988,"&lt;="&amp;EOMONTH(AK7,0),'1UV5KI'!$F$6:$F$2988,"Bond Received")+SUMIFS(#REF!,#REF!,"&gt;="&amp;AK7,#REF!,"&lt;="&amp;EOMONTH(AK7,0))-SUMIFS(#REF!,#REF!,"&gt;="&amp;AK7,#REF!,"&lt;="&amp;EOMONTH(AK7,0),#REF!,$B$14)-(SUMIFS(#REF!,#REF!,"&gt;="&amp;AK7,#REF!,"&lt;="&amp;EOMONTH(AK7,0),#REF!,"Discount Rent")*2)-SUMIFS(#REF!,#REF!,"&gt;="&amp;AK7,#REF!,"&lt;="&amp;EOMONTH(AK7,0),#REF!,"Bond Received")+SUMIFS('1UL9RY'!$D$6:$D$2989,'1UL9RY'!$E$6:$E$2989,"&gt;="&amp;AK7,'1UL9RY'!$E$6:$E$2989,"&lt;="&amp;EOMONTH(AK7,0))-SUMIFS('1UL9RY'!$D$6:$D$2989,'1UL9RY'!$E$6:$E$2989,"&gt;="&amp;AK7,'1UL9RY'!$E$6:$E$2989,"&lt;="&amp;EOMONTH(AK7,0),'1UL9RY'!$F$6:$F$2989,$B$14)-(SUMIFS('1UL9RY'!$D$6:$D$2989,'1UL9RY'!$E$6:$E$2989,"&gt;="&amp;AK7,'1UL9RY'!$E$6:$E$2989,"&lt;="&amp;EOMONTH(AK7,0),'1UL9RY'!$F$6:$F$2989,"Discount Rent")*2)-SUMIFS('1UL9RY'!$D$6:$D$2989,'1UL9RY'!$E$6:$E$2989,"&gt;="&amp;AK7,'1UL9RY'!$E$6:$E$2989,"&lt;="&amp;EOMONTH(AK7,0),'1UL9RY'!$F$6:$F$2989,"Bond Received")+SUMIFS('1OZ7GT'!$D$6:$D$2989,'1OZ7GT'!$E$6:$E$2989,"&gt;="&amp;AK7,'1OZ7GT'!$E$6:$E$2989,"&lt;="&amp;EOMONTH(AK7,0))-SUMIFS('1OZ7GT'!$D$6:$D$2989,'1OZ7GT'!$E$6:$E$2989,"&gt;="&amp;AK7,'1OZ7GT'!$E$6:$E$2989,"&lt;="&amp;EOMONTH(AK7,0),'1OZ7GT'!$F$6:$F$2989,$B$14)-(SUMIFS('1OZ7GT'!$D$6:$D$2989,'1OZ7GT'!$E$6:$E$2989,"&gt;="&amp;AK7,'1OZ7GT'!$E$6:$E$2989,"&lt;="&amp;EOMONTH(AK7,0),'1OZ7GT'!$F$6:$F$2989,"Discount Rent")*2)-SUMIFS('1OZ7GT'!$D$6:$D$2989,'1OZ7GT'!$E$6:$E$2989,"&gt;="&amp;AK7,'1OZ7GT'!$E$6:$E$2989,"&lt;="&amp;EOMONTH(AK7,0),'1OZ7GT'!$F$6:$F$2989,"Bond Received")+SUMIFS('1CN8DD'!$D$6:$D$2989,'1CN8DD'!$E$6:$E$2989,"&gt;="&amp;AK7,'1CN8DD'!$E$6:$E$2989,"&lt;="&amp;EOMONTH(AK7,0))-SUMIFS('1CN8DD'!$D$6:$D$2989,'1CN8DD'!$E$6:$E$2989,"&gt;="&amp;AK7,'1CN8DD'!$E$6:$E$2989,"&lt;="&amp;EOMONTH(AK7,0),'1CN8DD'!$F$6:$F$2989,$B$14)-(SUMIFS('1CN8DD'!$D$6:$D$2989,'1CN8DD'!$E$6:$E$2989,"&gt;="&amp;AK7,'1CN8DD'!$E$6:$E$2989,"&lt;="&amp;EOMONTH(AK7,0),'1CN8DD'!$F$6:$F$2989,"Discount Rent")*2)-SUMIFS('1CN8DD'!$D$6:$D$2989,'1CN8DD'!$E$6:$E$2989,"&gt;="&amp;AK7,'1CN8DD'!$E$6:$E$2989,"&lt;="&amp;EOMONTH(AK7,0),'1CN8DD'!$F$6:$F$2989,"Bond Received")+SUMIFS('1UT9BR'!$D$6:$D$2989,'1UT9BR'!$E$6:$E$2989,"&gt;="&amp;AK7,'1UT9BR'!$E$6:$E$2989,"&lt;="&amp;EOMONTH(AK7,0))-SUMIFS('1UT9BR'!$D$6:$D$2989,'1UT9BR'!$E$6:$E$2989,"&gt;="&amp;AK7,'1UT9BR'!$E$6:$E$2989,"&lt;="&amp;EOMONTH(AK7,0),'1UT9BR'!$F$6:$F$2989,$B$14)-(SUMIFS('1UT9BR'!$D$6:$D$2989,'1UT9BR'!$E$6:$E$2989,"&gt;="&amp;AK7,'1UT9BR'!$E$6:$E$2989,"&lt;="&amp;EOMONTH(AK7,0),'1UT9BR'!$F$6:$F$2989,"Discount Rent")*2)-SUMIFS('1UT9BR'!$D$6:$D$2989,'1UT9BR'!$E$6:$E$2989,"&gt;="&amp;AK7,'1UT9BR'!$E$6:$E$2989,"&lt;="&amp;EOMONTH(AK7,0),'1UT9BR'!$F$6:$F$2989,"Bond Received")+SUMIFS('1MK4UR'!$D$6:$D$2989,'1MK4UR'!$E$6:$E$2989,"&gt;="&amp;AK7,'1MK4UR'!$E$6:$E$2989,"&lt;="&amp;EOMONTH(AK7,0))-SUMIFS('1MK4UR'!$D$6:$D$2989,'1MK4UR'!$E$6:$E$2989,"&gt;="&amp;AK7,'1MK4UR'!$E$6:$E$2989,"&lt;="&amp;EOMONTH(AK7,0),'1MK4UR'!$F$6:$F$2989,$B$14)-(SUMIFS('1MK4UR'!$D$6:$D$2989,'1MK4UR'!$E$6:$E$2989,"&gt;="&amp;AK7,'1MK4UR'!$E$6:$E$2989,"&lt;="&amp;EOMONTH(AK7,0),'1MK4UR'!$F$6:$F$2989,"Discount Rent")*2)-SUMIFS('1MK4UR'!$D$6:$D$2989,'1MK4UR'!$E$6:$E$2989,"&gt;="&amp;AK7,'1MK4UR'!$E$6:$E$2989,"&lt;="&amp;EOMONTH(AK7,0),'1MK4UR'!$F$6:$F$2989,"Bond Received")</f>
        <v>#REF!</v>
      </c>
      <c r="AL10" s="108" t="e">
        <f>SUMIFS('Other Expense'!$C$8:$C$3017,'Other Expense'!$B$8:$B$3017,"&gt;="&amp;AL7,'Other Expense'!$B$8:$B$3017,"&lt;="&amp;EOMONTH(AL7,0),'Other Expense'!$D$8:$D$3017,$B$9)+SUMIFS('CEI565'!$D$6:$D$2994,'CEI565'!$E$6:$E$2994,"&gt;="&amp;AL7,'CEI565'!$E$6:$E$2994,"&lt;="&amp;EOMONTH(AL7,0))-SUMIFS('CEI565'!$D$6:$D$2994,'CEI565'!$E$6:$E$2994,"&gt;="&amp;AL7,'CEI565'!$E$6:$E$2994,"&lt;="&amp;EOMONTH(AL7,0),'CEI565'!$F$6:$F$2994,$B$14)-(SUMIFS('CEI565'!$D$6:$D$2994,'CEI565'!$E$6:$E$2994,"&gt;="&amp;AL7,'CEI565'!$E$6:$E$2994,"&lt;="&amp;EOMONTH(AL7,0),'CEI565'!$F$6:$F$2994,"Discount Rent")*2)-SUMIFS('CEI565'!$D$6:$D$2994,'CEI565'!$E$6:$E$2994,"&gt;="&amp;AL7,'CEI565'!$E$6:$E$2994,"&lt;="&amp;EOMONTH(AL7,0),'CEI565'!$F$6:$F$2994,"Bond Received")+SUMIFS('1SM3VL'!$D$6:$D$2989,'1SM3VL'!$E$6:$E$2989,"&gt;="&amp;AL7,'1SM3VL'!$E$6:$E$2989,"&lt;="&amp;EOMONTH(AL7,0))-SUMIFS('1SM3VL'!$D$6:$D$2989,'1SM3VL'!$E$6:$E$2989,"&gt;="&amp;AL7,'1SM3VL'!$E$6:$E$2989,"&lt;="&amp;EOMONTH(AL7,0),'1SM3VL'!$F$6:$F$2989,$B$14)-(SUMIFS('1SM3VL'!$D$6:$D$2989,'1SM3VL'!$E$6:$E$2989,"&gt;="&amp;AL7,'1SM3VL'!$E$6:$E$2989,"&lt;="&amp;EOMONTH(AL7,0),'1SM3VL'!$F$6:$F$2989,"Discount Rent")*2)-SUMIFS('1SM3VL'!$D$6:$D$2989,'1SM3VL'!$E$6:$E$2989,"&gt;="&amp;AL7,'1SM3VL'!$E$6:$E$2989,"&lt;="&amp;EOMONTH(AL7,0),'1SM3VL'!$F$6:$F$2989,"Bond Received")+SUMIFS('1QF4SM'!$D$6:$D$2989,'1QF4SM'!$E$6:$E$2989,"&gt;="&amp;AL7,'1QF4SM'!$E$6:$E$2989,"&lt;="&amp;EOMONTH(AL7,0))-SUMIFS('1QF4SM'!$D$6:$D$2989,'1QF4SM'!$E$6:$E$2989,"&gt;="&amp;AL7,'1QF4SM'!$E$6:$E$2989,"&lt;="&amp;EOMONTH(AL7,0),'1QF4SM'!$F$6:$F$2989,$B$14)-(SUMIFS('1QF4SM'!$D$6:$D$2989,'1QF4SM'!$E$6:$E$2989,"&gt;="&amp;AL7,'1QF4SM'!$E$6:$E$2989,"&lt;="&amp;EOMONTH(AL7,0),'1QF4SM'!$F$6:$F$2989,"Discount Rent")*2)-SUMIFS('1QF4SM'!$D$6:$D$2989,'1QF4SM'!$E$6:$E$2989,"&gt;="&amp;AL7,'1QF4SM'!$E$6:$E$2989,"&lt;="&amp;EOMONTH(AL7,0),'1QF4SM'!$F$6:$F$2989,"Bond Received")+SUMIFS('1UV5KI'!$D$6:$D$2988,'1UV5KI'!$E$6:$E$2988,"&gt;="&amp;AL7,'1UV5KI'!$E$6:$E$2988,"&lt;="&amp;EOMONTH(AL7,0))-SUMIFS('1UV5KI'!$D$6:$D$2988,'1UV5KI'!$E$6:$E$2988,"&gt;="&amp;AL7,'1UV5KI'!$E$6:$E$2988,"&lt;="&amp;EOMONTH(AL7,0),'1UV5KI'!$F$6:$F$2988,$B$14)-(SUMIFS('1UV5KI'!$D$6:$D$2988,'1UV5KI'!$E$6:$E$2988,"&gt;="&amp;AL7,'1UV5KI'!$E$6:$E$2988,"&lt;="&amp;EOMONTH(AL7,0),'1UV5KI'!$F$6:$F$2988,"Discount Rent")*2)-SUMIFS('1UV5KI'!$D$6:$D$2988,'1UV5KI'!$E$6:$E$2988,"&gt;="&amp;AL7,'1UV5KI'!$E$6:$E$2988,"&lt;="&amp;EOMONTH(AL7,0),'1UV5KI'!$F$6:$F$2988,"Bond Received")+SUMIFS(#REF!,#REF!,"&gt;="&amp;AL7,#REF!,"&lt;="&amp;EOMONTH(AL7,0))-SUMIFS(#REF!,#REF!,"&gt;="&amp;AL7,#REF!,"&lt;="&amp;EOMONTH(AL7,0),#REF!,$B$14)-(SUMIFS(#REF!,#REF!,"&gt;="&amp;AL7,#REF!,"&lt;="&amp;EOMONTH(AL7,0),#REF!,"Discount Rent")*2)-SUMIFS(#REF!,#REF!,"&gt;="&amp;AL7,#REF!,"&lt;="&amp;EOMONTH(AL7,0),#REF!,"Bond Received")+SUMIFS('1UL9RY'!$D$6:$D$2989,'1UL9RY'!$E$6:$E$2989,"&gt;="&amp;AL7,'1UL9RY'!$E$6:$E$2989,"&lt;="&amp;EOMONTH(AL7,0))-SUMIFS('1UL9RY'!$D$6:$D$2989,'1UL9RY'!$E$6:$E$2989,"&gt;="&amp;AL7,'1UL9RY'!$E$6:$E$2989,"&lt;="&amp;EOMONTH(AL7,0),'1UL9RY'!$F$6:$F$2989,$B$14)-(SUMIFS('1UL9RY'!$D$6:$D$2989,'1UL9RY'!$E$6:$E$2989,"&gt;="&amp;AL7,'1UL9RY'!$E$6:$E$2989,"&lt;="&amp;EOMONTH(AL7,0),'1UL9RY'!$F$6:$F$2989,"Discount Rent")*2)-SUMIFS('1UL9RY'!$D$6:$D$2989,'1UL9RY'!$E$6:$E$2989,"&gt;="&amp;AL7,'1UL9RY'!$E$6:$E$2989,"&lt;="&amp;EOMONTH(AL7,0),'1UL9RY'!$F$6:$F$2989,"Bond Received")+SUMIFS('1OZ7GT'!$D$6:$D$2989,'1OZ7GT'!$E$6:$E$2989,"&gt;="&amp;AL7,'1OZ7GT'!$E$6:$E$2989,"&lt;="&amp;EOMONTH(AL7,0))-SUMIFS('1OZ7GT'!$D$6:$D$2989,'1OZ7GT'!$E$6:$E$2989,"&gt;="&amp;AL7,'1OZ7GT'!$E$6:$E$2989,"&lt;="&amp;EOMONTH(AL7,0),'1OZ7GT'!$F$6:$F$2989,$B$14)-(SUMIFS('1OZ7GT'!$D$6:$D$2989,'1OZ7GT'!$E$6:$E$2989,"&gt;="&amp;AL7,'1OZ7GT'!$E$6:$E$2989,"&lt;="&amp;EOMONTH(AL7,0),'1OZ7GT'!$F$6:$F$2989,"Discount Rent")*2)-SUMIFS('1OZ7GT'!$D$6:$D$2989,'1OZ7GT'!$E$6:$E$2989,"&gt;="&amp;AL7,'1OZ7GT'!$E$6:$E$2989,"&lt;="&amp;EOMONTH(AL7,0),'1OZ7GT'!$F$6:$F$2989,"Bond Received")+SUMIFS('1CN8DD'!$D$6:$D$2989,'1CN8DD'!$E$6:$E$2989,"&gt;="&amp;AL7,'1CN8DD'!$E$6:$E$2989,"&lt;="&amp;EOMONTH(AL7,0))-SUMIFS('1CN8DD'!$D$6:$D$2989,'1CN8DD'!$E$6:$E$2989,"&gt;="&amp;AL7,'1CN8DD'!$E$6:$E$2989,"&lt;="&amp;EOMONTH(AL7,0),'1CN8DD'!$F$6:$F$2989,$B$14)-(SUMIFS('1CN8DD'!$D$6:$D$2989,'1CN8DD'!$E$6:$E$2989,"&gt;="&amp;AL7,'1CN8DD'!$E$6:$E$2989,"&lt;="&amp;EOMONTH(AL7,0),'1CN8DD'!$F$6:$F$2989,"Discount Rent")*2)-SUMIFS('1CN8DD'!$D$6:$D$2989,'1CN8DD'!$E$6:$E$2989,"&gt;="&amp;AL7,'1CN8DD'!$E$6:$E$2989,"&lt;="&amp;EOMONTH(AL7,0),'1CN8DD'!$F$6:$F$2989,"Bond Received")+SUMIFS('1UT9BR'!$D$6:$D$2989,'1UT9BR'!$E$6:$E$2989,"&gt;="&amp;AL7,'1UT9BR'!$E$6:$E$2989,"&lt;="&amp;EOMONTH(AL7,0))-SUMIFS('1UT9BR'!$D$6:$D$2989,'1UT9BR'!$E$6:$E$2989,"&gt;="&amp;AL7,'1UT9BR'!$E$6:$E$2989,"&lt;="&amp;EOMONTH(AL7,0),'1UT9BR'!$F$6:$F$2989,$B$14)-(SUMIFS('1UT9BR'!$D$6:$D$2989,'1UT9BR'!$E$6:$E$2989,"&gt;="&amp;AL7,'1UT9BR'!$E$6:$E$2989,"&lt;="&amp;EOMONTH(AL7,0),'1UT9BR'!$F$6:$F$2989,"Discount Rent")*2)-SUMIFS('1UT9BR'!$D$6:$D$2989,'1UT9BR'!$E$6:$E$2989,"&gt;="&amp;AL7,'1UT9BR'!$E$6:$E$2989,"&lt;="&amp;EOMONTH(AL7,0),'1UT9BR'!$F$6:$F$2989,"Bond Received")+SUMIFS('1MK4UR'!$D$6:$D$2989,'1MK4UR'!$E$6:$E$2989,"&gt;="&amp;AL7,'1MK4UR'!$E$6:$E$2989,"&lt;="&amp;EOMONTH(AL7,0))-SUMIFS('1MK4UR'!$D$6:$D$2989,'1MK4UR'!$E$6:$E$2989,"&gt;="&amp;AL7,'1MK4UR'!$E$6:$E$2989,"&lt;="&amp;EOMONTH(AL7,0),'1MK4UR'!$F$6:$F$2989,$B$14)-(SUMIFS('1MK4UR'!$D$6:$D$2989,'1MK4UR'!$E$6:$E$2989,"&gt;="&amp;AL7,'1MK4UR'!$E$6:$E$2989,"&lt;="&amp;EOMONTH(AL7,0),'1MK4UR'!$F$6:$F$2989,"Discount Rent")*2)-SUMIFS('1MK4UR'!$D$6:$D$2989,'1MK4UR'!$E$6:$E$2989,"&gt;="&amp;AL7,'1MK4UR'!$E$6:$E$2989,"&lt;="&amp;EOMONTH(AL7,0),'1MK4UR'!$F$6:$F$2989,"Bond Received")</f>
        <v>#REF!</v>
      </c>
      <c r="AM10" s="108" t="e">
        <f>SUMIFS('Other Expense'!$C$8:$C$3017,'Other Expense'!$B$8:$B$3017,"&gt;="&amp;AM7,'Other Expense'!$B$8:$B$3017,"&lt;="&amp;EOMONTH(AM7,0),'Other Expense'!$D$8:$D$3017,$B$9)+SUMIFS('CEI565'!$D$6:$D$2994,'CEI565'!$E$6:$E$2994,"&gt;="&amp;AM7,'CEI565'!$E$6:$E$2994,"&lt;="&amp;EOMONTH(AM7,0))-SUMIFS('CEI565'!$D$6:$D$2994,'CEI565'!$E$6:$E$2994,"&gt;="&amp;AM7,'CEI565'!$E$6:$E$2994,"&lt;="&amp;EOMONTH(AM7,0),'CEI565'!$F$6:$F$2994,$B$14)-(SUMIFS('CEI565'!$D$6:$D$2994,'CEI565'!$E$6:$E$2994,"&gt;="&amp;AM7,'CEI565'!$E$6:$E$2994,"&lt;="&amp;EOMONTH(AM7,0),'CEI565'!$F$6:$F$2994,"Discount Rent")*2)-SUMIFS('CEI565'!$D$6:$D$2994,'CEI565'!$E$6:$E$2994,"&gt;="&amp;AM7,'CEI565'!$E$6:$E$2994,"&lt;="&amp;EOMONTH(AM7,0),'CEI565'!$F$6:$F$2994,"Bond Received")+SUMIFS('1SM3VL'!$D$6:$D$2989,'1SM3VL'!$E$6:$E$2989,"&gt;="&amp;AM7,'1SM3VL'!$E$6:$E$2989,"&lt;="&amp;EOMONTH(AM7,0))-SUMIFS('1SM3VL'!$D$6:$D$2989,'1SM3VL'!$E$6:$E$2989,"&gt;="&amp;AM7,'1SM3VL'!$E$6:$E$2989,"&lt;="&amp;EOMONTH(AM7,0),'1SM3VL'!$F$6:$F$2989,$B$14)-(SUMIFS('1SM3VL'!$D$6:$D$2989,'1SM3VL'!$E$6:$E$2989,"&gt;="&amp;AM7,'1SM3VL'!$E$6:$E$2989,"&lt;="&amp;EOMONTH(AM7,0),'1SM3VL'!$F$6:$F$2989,"Discount Rent")*2)-SUMIFS('1SM3VL'!$D$6:$D$2989,'1SM3VL'!$E$6:$E$2989,"&gt;="&amp;AM7,'1SM3VL'!$E$6:$E$2989,"&lt;="&amp;EOMONTH(AM7,0),'1SM3VL'!$F$6:$F$2989,"Bond Received")+SUMIFS('1QF4SM'!$D$6:$D$2989,'1QF4SM'!$E$6:$E$2989,"&gt;="&amp;AM7,'1QF4SM'!$E$6:$E$2989,"&lt;="&amp;EOMONTH(AM7,0))-SUMIFS('1QF4SM'!$D$6:$D$2989,'1QF4SM'!$E$6:$E$2989,"&gt;="&amp;AM7,'1QF4SM'!$E$6:$E$2989,"&lt;="&amp;EOMONTH(AM7,0),'1QF4SM'!$F$6:$F$2989,$B$14)-(SUMIFS('1QF4SM'!$D$6:$D$2989,'1QF4SM'!$E$6:$E$2989,"&gt;="&amp;AM7,'1QF4SM'!$E$6:$E$2989,"&lt;="&amp;EOMONTH(AM7,0),'1QF4SM'!$F$6:$F$2989,"Discount Rent")*2)-SUMIFS('1QF4SM'!$D$6:$D$2989,'1QF4SM'!$E$6:$E$2989,"&gt;="&amp;AM7,'1QF4SM'!$E$6:$E$2989,"&lt;="&amp;EOMONTH(AM7,0),'1QF4SM'!$F$6:$F$2989,"Bond Received")+SUMIFS('1UV5KI'!$D$6:$D$2988,'1UV5KI'!$E$6:$E$2988,"&gt;="&amp;AM7,'1UV5KI'!$E$6:$E$2988,"&lt;="&amp;EOMONTH(AM7,0))-SUMIFS('1UV5KI'!$D$6:$D$2988,'1UV5KI'!$E$6:$E$2988,"&gt;="&amp;AM7,'1UV5KI'!$E$6:$E$2988,"&lt;="&amp;EOMONTH(AM7,0),'1UV5KI'!$F$6:$F$2988,$B$14)-(SUMIFS('1UV5KI'!$D$6:$D$2988,'1UV5KI'!$E$6:$E$2988,"&gt;="&amp;AM7,'1UV5KI'!$E$6:$E$2988,"&lt;="&amp;EOMONTH(AM7,0),'1UV5KI'!$F$6:$F$2988,"Discount Rent")*2)-SUMIFS('1UV5KI'!$D$6:$D$2988,'1UV5KI'!$E$6:$E$2988,"&gt;="&amp;AM7,'1UV5KI'!$E$6:$E$2988,"&lt;="&amp;EOMONTH(AM7,0),'1UV5KI'!$F$6:$F$2988,"Bond Received")+SUMIFS(#REF!,#REF!,"&gt;="&amp;AM7,#REF!,"&lt;="&amp;EOMONTH(AM7,0))-SUMIFS(#REF!,#REF!,"&gt;="&amp;AM7,#REF!,"&lt;="&amp;EOMONTH(AM7,0),#REF!,$B$14)-(SUMIFS(#REF!,#REF!,"&gt;="&amp;AM7,#REF!,"&lt;="&amp;EOMONTH(AM7,0),#REF!,"Discount Rent")*2)-SUMIFS(#REF!,#REF!,"&gt;="&amp;AM7,#REF!,"&lt;="&amp;EOMONTH(AM7,0),#REF!,"Bond Received")+SUMIFS('1UL9RY'!$D$6:$D$2989,'1UL9RY'!$E$6:$E$2989,"&gt;="&amp;AM7,'1UL9RY'!$E$6:$E$2989,"&lt;="&amp;EOMONTH(AM7,0))-SUMIFS('1UL9RY'!$D$6:$D$2989,'1UL9RY'!$E$6:$E$2989,"&gt;="&amp;AM7,'1UL9RY'!$E$6:$E$2989,"&lt;="&amp;EOMONTH(AM7,0),'1UL9RY'!$F$6:$F$2989,$B$14)-(SUMIFS('1UL9RY'!$D$6:$D$2989,'1UL9RY'!$E$6:$E$2989,"&gt;="&amp;AM7,'1UL9RY'!$E$6:$E$2989,"&lt;="&amp;EOMONTH(AM7,0),'1UL9RY'!$F$6:$F$2989,"Discount Rent")*2)-SUMIFS('1UL9RY'!$D$6:$D$2989,'1UL9RY'!$E$6:$E$2989,"&gt;="&amp;AM7,'1UL9RY'!$E$6:$E$2989,"&lt;="&amp;EOMONTH(AM7,0),'1UL9RY'!$F$6:$F$2989,"Bond Received")+SUMIFS('1OZ7GT'!$D$6:$D$2989,'1OZ7GT'!$E$6:$E$2989,"&gt;="&amp;AM7,'1OZ7GT'!$E$6:$E$2989,"&lt;="&amp;EOMONTH(AM7,0))-SUMIFS('1OZ7GT'!$D$6:$D$2989,'1OZ7GT'!$E$6:$E$2989,"&gt;="&amp;AM7,'1OZ7GT'!$E$6:$E$2989,"&lt;="&amp;EOMONTH(AM7,0),'1OZ7GT'!$F$6:$F$2989,$B$14)-(SUMIFS('1OZ7GT'!$D$6:$D$2989,'1OZ7GT'!$E$6:$E$2989,"&gt;="&amp;AM7,'1OZ7GT'!$E$6:$E$2989,"&lt;="&amp;EOMONTH(AM7,0),'1OZ7GT'!$F$6:$F$2989,"Discount Rent")*2)-SUMIFS('1OZ7GT'!$D$6:$D$2989,'1OZ7GT'!$E$6:$E$2989,"&gt;="&amp;AM7,'1OZ7GT'!$E$6:$E$2989,"&lt;="&amp;EOMONTH(AM7,0),'1OZ7GT'!$F$6:$F$2989,"Bond Received")+SUMIFS('1CN8DD'!$D$6:$D$2989,'1CN8DD'!$E$6:$E$2989,"&gt;="&amp;AM7,'1CN8DD'!$E$6:$E$2989,"&lt;="&amp;EOMONTH(AM7,0))-SUMIFS('1CN8DD'!$D$6:$D$2989,'1CN8DD'!$E$6:$E$2989,"&gt;="&amp;AM7,'1CN8DD'!$E$6:$E$2989,"&lt;="&amp;EOMONTH(AM7,0),'1CN8DD'!$F$6:$F$2989,$B$14)-(SUMIFS('1CN8DD'!$D$6:$D$2989,'1CN8DD'!$E$6:$E$2989,"&gt;="&amp;AM7,'1CN8DD'!$E$6:$E$2989,"&lt;="&amp;EOMONTH(AM7,0),'1CN8DD'!$F$6:$F$2989,"Discount Rent")*2)-SUMIFS('1CN8DD'!$D$6:$D$2989,'1CN8DD'!$E$6:$E$2989,"&gt;="&amp;AM7,'1CN8DD'!$E$6:$E$2989,"&lt;="&amp;EOMONTH(AM7,0),'1CN8DD'!$F$6:$F$2989,"Bond Received")+SUMIFS('1UT9BR'!$D$6:$D$2989,'1UT9BR'!$E$6:$E$2989,"&gt;="&amp;AM7,'1UT9BR'!$E$6:$E$2989,"&lt;="&amp;EOMONTH(AM7,0))-SUMIFS('1UT9BR'!$D$6:$D$2989,'1UT9BR'!$E$6:$E$2989,"&gt;="&amp;AM7,'1UT9BR'!$E$6:$E$2989,"&lt;="&amp;EOMONTH(AM7,0),'1UT9BR'!$F$6:$F$2989,$B$14)-(SUMIFS('1UT9BR'!$D$6:$D$2989,'1UT9BR'!$E$6:$E$2989,"&gt;="&amp;AM7,'1UT9BR'!$E$6:$E$2989,"&lt;="&amp;EOMONTH(AM7,0),'1UT9BR'!$F$6:$F$2989,"Discount Rent")*2)-SUMIFS('1UT9BR'!$D$6:$D$2989,'1UT9BR'!$E$6:$E$2989,"&gt;="&amp;AM7,'1UT9BR'!$E$6:$E$2989,"&lt;="&amp;EOMONTH(AM7,0),'1UT9BR'!$F$6:$F$2989,"Bond Received")+SUMIFS('1MK4UR'!$D$6:$D$2989,'1MK4UR'!$E$6:$E$2989,"&gt;="&amp;AM7,'1MK4UR'!$E$6:$E$2989,"&lt;="&amp;EOMONTH(AM7,0))-SUMIFS('1MK4UR'!$D$6:$D$2989,'1MK4UR'!$E$6:$E$2989,"&gt;="&amp;AM7,'1MK4UR'!$E$6:$E$2989,"&lt;="&amp;EOMONTH(AM7,0),'1MK4UR'!$F$6:$F$2989,$B$14)-(SUMIFS('1MK4UR'!$D$6:$D$2989,'1MK4UR'!$E$6:$E$2989,"&gt;="&amp;AM7,'1MK4UR'!$E$6:$E$2989,"&lt;="&amp;EOMONTH(AM7,0),'1MK4UR'!$F$6:$F$2989,"Discount Rent")*2)-SUMIFS('1MK4UR'!$D$6:$D$2989,'1MK4UR'!$E$6:$E$2989,"&gt;="&amp;AM7,'1MK4UR'!$E$6:$E$2989,"&lt;="&amp;EOMONTH(AM7,0),'1MK4UR'!$F$6:$F$2989,"Bond Received")</f>
        <v>#REF!</v>
      </c>
      <c r="AN10" s="108" t="e">
        <f>SUMIFS('Other Expense'!$C$8:$C$3017,'Other Expense'!$B$8:$B$3017,"&gt;="&amp;AN7,'Other Expense'!$B$8:$B$3017,"&lt;="&amp;EOMONTH(AN7,0),'Other Expense'!$D$8:$D$3017,$B$9)+SUMIFS('CEI565'!$D$6:$D$2994,'CEI565'!$E$6:$E$2994,"&gt;="&amp;AN7,'CEI565'!$E$6:$E$2994,"&lt;="&amp;EOMONTH(AN7,0))-SUMIFS('CEI565'!$D$6:$D$2994,'CEI565'!$E$6:$E$2994,"&gt;="&amp;AN7,'CEI565'!$E$6:$E$2994,"&lt;="&amp;EOMONTH(AN7,0),'CEI565'!$F$6:$F$2994,$B$14)-(SUMIFS('CEI565'!$D$6:$D$2994,'CEI565'!$E$6:$E$2994,"&gt;="&amp;AN7,'CEI565'!$E$6:$E$2994,"&lt;="&amp;EOMONTH(AN7,0),'CEI565'!$F$6:$F$2994,"Discount Rent")*2)-SUMIFS('CEI565'!$D$6:$D$2994,'CEI565'!$E$6:$E$2994,"&gt;="&amp;AN7,'CEI565'!$E$6:$E$2994,"&lt;="&amp;EOMONTH(AN7,0),'CEI565'!$F$6:$F$2994,"Bond Received")+SUMIFS('1SM3VL'!$D$6:$D$2989,'1SM3VL'!$E$6:$E$2989,"&gt;="&amp;AN7,'1SM3VL'!$E$6:$E$2989,"&lt;="&amp;EOMONTH(AN7,0))-SUMIFS('1SM3VL'!$D$6:$D$2989,'1SM3VL'!$E$6:$E$2989,"&gt;="&amp;AN7,'1SM3VL'!$E$6:$E$2989,"&lt;="&amp;EOMONTH(AN7,0),'1SM3VL'!$F$6:$F$2989,$B$14)-(SUMIFS('1SM3VL'!$D$6:$D$2989,'1SM3VL'!$E$6:$E$2989,"&gt;="&amp;AN7,'1SM3VL'!$E$6:$E$2989,"&lt;="&amp;EOMONTH(AN7,0),'1SM3VL'!$F$6:$F$2989,"Discount Rent")*2)-SUMIFS('1SM3VL'!$D$6:$D$2989,'1SM3VL'!$E$6:$E$2989,"&gt;="&amp;AN7,'1SM3VL'!$E$6:$E$2989,"&lt;="&amp;EOMONTH(AN7,0),'1SM3VL'!$F$6:$F$2989,"Bond Received")+SUMIFS('1QF4SM'!$D$6:$D$2989,'1QF4SM'!$E$6:$E$2989,"&gt;="&amp;AN7,'1QF4SM'!$E$6:$E$2989,"&lt;="&amp;EOMONTH(AN7,0))-SUMIFS('1QF4SM'!$D$6:$D$2989,'1QF4SM'!$E$6:$E$2989,"&gt;="&amp;AN7,'1QF4SM'!$E$6:$E$2989,"&lt;="&amp;EOMONTH(AN7,0),'1QF4SM'!$F$6:$F$2989,$B$14)-(SUMIFS('1QF4SM'!$D$6:$D$2989,'1QF4SM'!$E$6:$E$2989,"&gt;="&amp;AN7,'1QF4SM'!$E$6:$E$2989,"&lt;="&amp;EOMONTH(AN7,0),'1QF4SM'!$F$6:$F$2989,"Discount Rent")*2)-SUMIFS('1QF4SM'!$D$6:$D$2989,'1QF4SM'!$E$6:$E$2989,"&gt;="&amp;AN7,'1QF4SM'!$E$6:$E$2989,"&lt;="&amp;EOMONTH(AN7,0),'1QF4SM'!$F$6:$F$2989,"Bond Received")+SUMIFS('1UV5KI'!$D$6:$D$2988,'1UV5KI'!$E$6:$E$2988,"&gt;="&amp;AN7,'1UV5KI'!$E$6:$E$2988,"&lt;="&amp;EOMONTH(AN7,0))-SUMIFS('1UV5KI'!$D$6:$D$2988,'1UV5KI'!$E$6:$E$2988,"&gt;="&amp;AN7,'1UV5KI'!$E$6:$E$2988,"&lt;="&amp;EOMONTH(AN7,0),'1UV5KI'!$F$6:$F$2988,$B$14)-(SUMIFS('1UV5KI'!$D$6:$D$2988,'1UV5KI'!$E$6:$E$2988,"&gt;="&amp;AN7,'1UV5KI'!$E$6:$E$2988,"&lt;="&amp;EOMONTH(AN7,0),'1UV5KI'!$F$6:$F$2988,"Discount Rent")*2)-SUMIFS('1UV5KI'!$D$6:$D$2988,'1UV5KI'!$E$6:$E$2988,"&gt;="&amp;AN7,'1UV5KI'!$E$6:$E$2988,"&lt;="&amp;EOMONTH(AN7,0),'1UV5KI'!$F$6:$F$2988,"Bond Received")+SUMIFS(#REF!,#REF!,"&gt;="&amp;AN7,#REF!,"&lt;="&amp;EOMONTH(AN7,0))-SUMIFS(#REF!,#REF!,"&gt;="&amp;AN7,#REF!,"&lt;="&amp;EOMONTH(AN7,0),#REF!,$B$14)-(SUMIFS(#REF!,#REF!,"&gt;="&amp;AN7,#REF!,"&lt;="&amp;EOMONTH(AN7,0),#REF!,"Discount Rent")*2)-SUMIFS(#REF!,#REF!,"&gt;="&amp;AN7,#REF!,"&lt;="&amp;EOMONTH(AN7,0),#REF!,"Bond Received")+SUMIFS('1UL9RY'!$D$6:$D$2989,'1UL9RY'!$E$6:$E$2989,"&gt;="&amp;AN7,'1UL9RY'!$E$6:$E$2989,"&lt;="&amp;EOMONTH(AN7,0))-SUMIFS('1UL9RY'!$D$6:$D$2989,'1UL9RY'!$E$6:$E$2989,"&gt;="&amp;AN7,'1UL9RY'!$E$6:$E$2989,"&lt;="&amp;EOMONTH(AN7,0),'1UL9RY'!$F$6:$F$2989,$B$14)-(SUMIFS('1UL9RY'!$D$6:$D$2989,'1UL9RY'!$E$6:$E$2989,"&gt;="&amp;AN7,'1UL9RY'!$E$6:$E$2989,"&lt;="&amp;EOMONTH(AN7,0),'1UL9RY'!$F$6:$F$2989,"Discount Rent")*2)-SUMIFS('1UL9RY'!$D$6:$D$2989,'1UL9RY'!$E$6:$E$2989,"&gt;="&amp;AN7,'1UL9RY'!$E$6:$E$2989,"&lt;="&amp;EOMONTH(AN7,0),'1UL9RY'!$F$6:$F$2989,"Bond Received")+SUMIFS('1OZ7GT'!$D$6:$D$2989,'1OZ7GT'!$E$6:$E$2989,"&gt;="&amp;AN7,'1OZ7GT'!$E$6:$E$2989,"&lt;="&amp;EOMONTH(AN7,0))-SUMIFS('1OZ7GT'!$D$6:$D$2989,'1OZ7GT'!$E$6:$E$2989,"&gt;="&amp;AN7,'1OZ7GT'!$E$6:$E$2989,"&lt;="&amp;EOMONTH(AN7,0),'1OZ7GT'!$F$6:$F$2989,$B$14)-(SUMIFS('1OZ7GT'!$D$6:$D$2989,'1OZ7GT'!$E$6:$E$2989,"&gt;="&amp;AN7,'1OZ7GT'!$E$6:$E$2989,"&lt;="&amp;EOMONTH(AN7,0),'1OZ7GT'!$F$6:$F$2989,"Discount Rent")*2)-SUMIFS('1OZ7GT'!$D$6:$D$2989,'1OZ7GT'!$E$6:$E$2989,"&gt;="&amp;AN7,'1OZ7GT'!$E$6:$E$2989,"&lt;="&amp;EOMONTH(AN7,0),'1OZ7GT'!$F$6:$F$2989,"Bond Received")+SUMIFS('1CN8DD'!$D$6:$D$2989,'1CN8DD'!$E$6:$E$2989,"&gt;="&amp;AN7,'1CN8DD'!$E$6:$E$2989,"&lt;="&amp;EOMONTH(AN7,0))-SUMIFS('1CN8DD'!$D$6:$D$2989,'1CN8DD'!$E$6:$E$2989,"&gt;="&amp;AN7,'1CN8DD'!$E$6:$E$2989,"&lt;="&amp;EOMONTH(AN7,0),'1CN8DD'!$F$6:$F$2989,$B$14)-(SUMIFS('1CN8DD'!$D$6:$D$2989,'1CN8DD'!$E$6:$E$2989,"&gt;="&amp;AN7,'1CN8DD'!$E$6:$E$2989,"&lt;="&amp;EOMONTH(AN7,0),'1CN8DD'!$F$6:$F$2989,"Discount Rent")*2)-SUMIFS('1CN8DD'!$D$6:$D$2989,'1CN8DD'!$E$6:$E$2989,"&gt;="&amp;AN7,'1CN8DD'!$E$6:$E$2989,"&lt;="&amp;EOMONTH(AN7,0),'1CN8DD'!$F$6:$F$2989,"Bond Received")+SUMIFS('1UT9BR'!$D$6:$D$2989,'1UT9BR'!$E$6:$E$2989,"&gt;="&amp;AN7,'1UT9BR'!$E$6:$E$2989,"&lt;="&amp;EOMONTH(AN7,0))-SUMIFS('1UT9BR'!$D$6:$D$2989,'1UT9BR'!$E$6:$E$2989,"&gt;="&amp;AN7,'1UT9BR'!$E$6:$E$2989,"&lt;="&amp;EOMONTH(AN7,0),'1UT9BR'!$F$6:$F$2989,$B$14)-(SUMIFS('1UT9BR'!$D$6:$D$2989,'1UT9BR'!$E$6:$E$2989,"&gt;="&amp;AN7,'1UT9BR'!$E$6:$E$2989,"&lt;="&amp;EOMONTH(AN7,0),'1UT9BR'!$F$6:$F$2989,"Discount Rent")*2)-SUMIFS('1UT9BR'!$D$6:$D$2989,'1UT9BR'!$E$6:$E$2989,"&gt;="&amp;AN7,'1UT9BR'!$E$6:$E$2989,"&lt;="&amp;EOMONTH(AN7,0),'1UT9BR'!$F$6:$F$2989,"Bond Received")+SUMIFS('1MK4UR'!$D$6:$D$2989,'1MK4UR'!$E$6:$E$2989,"&gt;="&amp;AN7,'1MK4UR'!$E$6:$E$2989,"&lt;="&amp;EOMONTH(AN7,0))-SUMIFS('1MK4UR'!$D$6:$D$2989,'1MK4UR'!$E$6:$E$2989,"&gt;="&amp;AN7,'1MK4UR'!$E$6:$E$2989,"&lt;="&amp;EOMONTH(AN7,0),'1MK4UR'!$F$6:$F$2989,$B$14)-(SUMIFS('1MK4UR'!$D$6:$D$2989,'1MK4UR'!$E$6:$E$2989,"&gt;="&amp;AN7,'1MK4UR'!$E$6:$E$2989,"&lt;="&amp;EOMONTH(AN7,0),'1MK4UR'!$F$6:$F$2989,"Discount Rent")*2)-SUMIFS('1MK4UR'!$D$6:$D$2989,'1MK4UR'!$E$6:$E$2989,"&gt;="&amp;AN7,'1MK4UR'!$E$6:$E$2989,"&lt;="&amp;EOMONTH(AN7,0),'1MK4UR'!$F$6:$F$2989,"Bond Received")</f>
        <v>#REF!</v>
      </c>
      <c r="AO10" s="108" t="e">
        <f>SUMIFS('Other Expense'!$C$8:$C$3017,'Other Expense'!$B$8:$B$3017,"&gt;="&amp;AO7,'Other Expense'!$B$8:$B$3017,"&lt;="&amp;EOMONTH(AO7,0),'Other Expense'!$D$8:$D$3017,$B$9)+SUMIFS('CEI565'!$D$6:$D$2994,'CEI565'!$E$6:$E$2994,"&gt;="&amp;AO7,'CEI565'!$E$6:$E$2994,"&lt;="&amp;EOMONTH(AO7,0))-SUMIFS('CEI565'!$D$6:$D$2994,'CEI565'!$E$6:$E$2994,"&gt;="&amp;AO7,'CEI565'!$E$6:$E$2994,"&lt;="&amp;EOMONTH(AO7,0),'CEI565'!$F$6:$F$2994,$B$14)-(SUMIFS('CEI565'!$D$6:$D$2994,'CEI565'!$E$6:$E$2994,"&gt;="&amp;AO7,'CEI565'!$E$6:$E$2994,"&lt;="&amp;EOMONTH(AO7,0),'CEI565'!$F$6:$F$2994,"Discount Rent")*2)-SUMIFS('CEI565'!$D$6:$D$2994,'CEI565'!$E$6:$E$2994,"&gt;="&amp;AO7,'CEI565'!$E$6:$E$2994,"&lt;="&amp;EOMONTH(AO7,0),'CEI565'!$F$6:$F$2994,"Bond Received")+SUMIFS('1SM3VL'!$D$6:$D$2989,'1SM3VL'!$E$6:$E$2989,"&gt;="&amp;AO7,'1SM3VL'!$E$6:$E$2989,"&lt;="&amp;EOMONTH(AO7,0))-SUMIFS('1SM3VL'!$D$6:$D$2989,'1SM3VL'!$E$6:$E$2989,"&gt;="&amp;AO7,'1SM3VL'!$E$6:$E$2989,"&lt;="&amp;EOMONTH(AO7,0),'1SM3VL'!$F$6:$F$2989,$B$14)-(SUMIFS('1SM3VL'!$D$6:$D$2989,'1SM3VL'!$E$6:$E$2989,"&gt;="&amp;AO7,'1SM3VL'!$E$6:$E$2989,"&lt;="&amp;EOMONTH(AO7,0),'1SM3VL'!$F$6:$F$2989,"Discount Rent")*2)-SUMIFS('1SM3VL'!$D$6:$D$2989,'1SM3VL'!$E$6:$E$2989,"&gt;="&amp;AO7,'1SM3VL'!$E$6:$E$2989,"&lt;="&amp;EOMONTH(AO7,0),'1SM3VL'!$F$6:$F$2989,"Bond Received")+SUMIFS('1QF4SM'!$D$6:$D$2989,'1QF4SM'!$E$6:$E$2989,"&gt;="&amp;AO7,'1QF4SM'!$E$6:$E$2989,"&lt;="&amp;EOMONTH(AO7,0))-SUMIFS('1QF4SM'!$D$6:$D$2989,'1QF4SM'!$E$6:$E$2989,"&gt;="&amp;AO7,'1QF4SM'!$E$6:$E$2989,"&lt;="&amp;EOMONTH(AO7,0),'1QF4SM'!$F$6:$F$2989,$B$14)-(SUMIFS('1QF4SM'!$D$6:$D$2989,'1QF4SM'!$E$6:$E$2989,"&gt;="&amp;AO7,'1QF4SM'!$E$6:$E$2989,"&lt;="&amp;EOMONTH(AO7,0),'1QF4SM'!$F$6:$F$2989,"Discount Rent")*2)-SUMIFS('1QF4SM'!$D$6:$D$2989,'1QF4SM'!$E$6:$E$2989,"&gt;="&amp;AO7,'1QF4SM'!$E$6:$E$2989,"&lt;="&amp;EOMONTH(AO7,0),'1QF4SM'!$F$6:$F$2989,"Bond Received")+SUMIFS('1UV5KI'!$D$6:$D$2988,'1UV5KI'!$E$6:$E$2988,"&gt;="&amp;AO7,'1UV5KI'!$E$6:$E$2988,"&lt;="&amp;EOMONTH(AO7,0))-SUMIFS('1UV5KI'!$D$6:$D$2988,'1UV5KI'!$E$6:$E$2988,"&gt;="&amp;AO7,'1UV5KI'!$E$6:$E$2988,"&lt;="&amp;EOMONTH(AO7,0),'1UV5KI'!$F$6:$F$2988,$B$14)-(SUMIFS('1UV5KI'!$D$6:$D$2988,'1UV5KI'!$E$6:$E$2988,"&gt;="&amp;AO7,'1UV5KI'!$E$6:$E$2988,"&lt;="&amp;EOMONTH(AO7,0),'1UV5KI'!$F$6:$F$2988,"Discount Rent")*2)-SUMIFS('1UV5KI'!$D$6:$D$2988,'1UV5KI'!$E$6:$E$2988,"&gt;="&amp;AO7,'1UV5KI'!$E$6:$E$2988,"&lt;="&amp;EOMONTH(AO7,0),'1UV5KI'!$F$6:$F$2988,"Bond Received")+SUMIFS(#REF!,#REF!,"&gt;="&amp;AO7,#REF!,"&lt;="&amp;EOMONTH(AO7,0))-SUMIFS(#REF!,#REF!,"&gt;="&amp;AO7,#REF!,"&lt;="&amp;EOMONTH(AO7,0),#REF!,$B$14)-(SUMIFS(#REF!,#REF!,"&gt;="&amp;AO7,#REF!,"&lt;="&amp;EOMONTH(AO7,0),#REF!,"Discount Rent")*2)-SUMIFS(#REF!,#REF!,"&gt;="&amp;AO7,#REF!,"&lt;="&amp;EOMONTH(AO7,0),#REF!,"Bond Received")+SUMIFS('1UL9RY'!$D$6:$D$2989,'1UL9RY'!$E$6:$E$2989,"&gt;="&amp;AO7,'1UL9RY'!$E$6:$E$2989,"&lt;="&amp;EOMONTH(AO7,0))-SUMIFS('1UL9RY'!$D$6:$D$2989,'1UL9RY'!$E$6:$E$2989,"&gt;="&amp;AO7,'1UL9RY'!$E$6:$E$2989,"&lt;="&amp;EOMONTH(AO7,0),'1UL9RY'!$F$6:$F$2989,$B$14)-(SUMIFS('1UL9RY'!$D$6:$D$2989,'1UL9RY'!$E$6:$E$2989,"&gt;="&amp;AO7,'1UL9RY'!$E$6:$E$2989,"&lt;="&amp;EOMONTH(AO7,0),'1UL9RY'!$F$6:$F$2989,"Discount Rent")*2)-SUMIFS('1UL9RY'!$D$6:$D$2989,'1UL9RY'!$E$6:$E$2989,"&gt;="&amp;AO7,'1UL9RY'!$E$6:$E$2989,"&lt;="&amp;EOMONTH(AO7,0),'1UL9RY'!$F$6:$F$2989,"Bond Received")+SUMIFS('1OZ7GT'!$D$6:$D$2989,'1OZ7GT'!$E$6:$E$2989,"&gt;="&amp;AO7,'1OZ7GT'!$E$6:$E$2989,"&lt;="&amp;EOMONTH(AO7,0))-SUMIFS('1OZ7GT'!$D$6:$D$2989,'1OZ7GT'!$E$6:$E$2989,"&gt;="&amp;AO7,'1OZ7GT'!$E$6:$E$2989,"&lt;="&amp;EOMONTH(AO7,0),'1OZ7GT'!$F$6:$F$2989,$B$14)-(SUMIFS('1OZ7GT'!$D$6:$D$2989,'1OZ7GT'!$E$6:$E$2989,"&gt;="&amp;AO7,'1OZ7GT'!$E$6:$E$2989,"&lt;="&amp;EOMONTH(AO7,0),'1OZ7GT'!$F$6:$F$2989,"Discount Rent")*2)-SUMIFS('1OZ7GT'!$D$6:$D$2989,'1OZ7GT'!$E$6:$E$2989,"&gt;="&amp;AO7,'1OZ7GT'!$E$6:$E$2989,"&lt;="&amp;EOMONTH(AO7,0),'1OZ7GT'!$F$6:$F$2989,"Bond Received")+SUMIFS('1CN8DD'!$D$6:$D$2989,'1CN8DD'!$E$6:$E$2989,"&gt;="&amp;AO7,'1CN8DD'!$E$6:$E$2989,"&lt;="&amp;EOMONTH(AO7,0))-SUMIFS('1CN8DD'!$D$6:$D$2989,'1CN8DD'!$E$6:$E$2989,"&gt;="&amp;AO7,'1CN8DD'!$E$6:$E$2989,"&lt;="&amp;EOMONTH(AO7,0),'1CN8DD'!$F$6:$F$2989,$B$14)-(SUMIFS('1CN8DD'!$D$6:$D$2989,'1CN8DD'!$E$6:$E$2989,"&gt;="&amp;AO7,'1CN8DD'!$E$6:$E$2989,"&lt;="&amp;EOMONTH(AO7,0),'1CN8DD'!$F$6:$F$2989,"Discount Rent")*2)-SUMIFS('1CN8DD'!$D$6:$D$2989,'1CN8DD'!$E$6:$E$2989,"&gt;="&amp;AO7,'1CN8DD'!$E$6:$E$2989,"&lt;="&amp;EOMONTH(AO7,0),'1CN8DD'!$F$6:$F$2989,"Bond Received")+SUMIFS('1UT9BR'!$D$6:$D$2989,'1UT9BR'!$E$6:$E$2989,"&gt;="&amp;AO7,'1UT9BR'!$E$6:$E$2989,"&lt;="&amp;EOMONTH(AO7,0))-SUMIFS('1UT9BR'!$D$6:$D$2989,'1UT9BR'!$E$6:$E$2989,"&gt;="&amp;AO7,'1UT9BR'!$E$6:$E$2989,"&lt;="&amp;EOMONTH(AO7,0),'1UT9BR'!$F$6:$F$2989,$B$14)-(SUMIFS('1UT9BR'!$D$6:$D$2989,'1UT9BR'!$E$6:$E$2989,"&gt;="&amp;AO7,'1UT9BR'!$E$6:$E$2989,"&lt;="&amp;EOMONTH(AO7,0),'1UT9BR'!$F$6:$F$2989,"Discount Rent")*2)-SUMIFS('1UT9BR'!$D$6:$D$2989,'1UT9BR'!$E$6:$E$2989,"&gt;="&amp;AO7,'1UT9BR'!$E$6:$E$2989,"&lt;="&amp;EOMONTH(AO7,0),'1UT9BR'!$F$6:$F$2989,"Bond Received")+SUMIFS('1MK4UR'!$D$6:$D$2989,'1MK4UR'!$E$6:$E$2989,"&gt;="&amp;AO7,'1MK4UR'!$E$6:$E$2989,"&lt;="&amp;EOMONTH(AO7,0))-SUMIFS('1MK4UR'!$D$6:$D$2989,'1MK4UR'!$E$6:$E$2989,"&gt;="&amp;AO7,'1MK4UR'!$E$6:$E$2989,"&lt;="&amp;EOMONTH(AO7,0),'1MK4UR'!$F$6:$F$2989,$B$14)-(SUMIFS('1MK4UR'!$D$6:$D$2989,'1MK4UR'!$E$6:$E$2989,"&gt;="&amp;AO7,'1MK4UR'!$E$6:$E$2989,"&lt;="&amp;EOMONTH(AO7,0),'1MK4UR'!$F$6:$F$2989,"Discount Rent")*2)-SUMIFS('1MK4UR'!$D$6:$D$2989,'1MK4UR'!$E$6:$E$2989,"&gt;="&amp;AO7,'1MK4UR'!$E$6:$E$2989,"&lt;="&amp;EOMONTH(AO7,0),'1MK4UR'!$F$6:$F$2989,"Bond Received")</f>
        <v>#REF!</v>
      </c>
      <c r="AP10" s="108" t="e">
        <f>SUMIFS('Other Expense'!$C$8:$C$3017,'Other Expense'!$B$8:$B$3017,"&gt;="&amp;AP7,'Other Expense'!$B$8:$B$3017,"&lt;="&amp;EOMONTH(AP7,0),'Other Expense'!$D$8:$D$3017,$B$9)+SUMIFS('CEI565'!$D$6:$D$2994,'CEI565'!$E$6:$E$2994,"&gt;="&amp;AP7,'CEI565'!$E$6:$E$2994,"&lt;="&amp;EOMONTH(AP7,0))-SUMIFS('CEI565'!$D$6:$D$2994,'CEI565'!$E$6:$E$2994,"&gt;="&amp;AP7,'CEI565'!$E$6:$E$2994,"&lt;="&amp;EOMONTH(AP7,0),'CEI565'!$F$6:$F$2994,$B$14)-(SUMIFS('CEI565'!$D$6:$D$2994,'CEI565'!$E$6:$E$2994,"&gt;="&amp;AP7,'CEI565'!$E$6:$E$2994,"&lt;="&amp;EOMONTH(AP7,0),'CEI565'!$F$6:$F$2994,"Discount Rent")*2)-SUMIFS('CEI565'!$D$6:$D$2994,'CEI565'!$E$6:$E$2994,"&gt;="&amp;AP7,'CEI565'!$E$6:$E$2994,"&lt;="&amp;EOMONTH(AP7,0),'CEI565'!$F$6:$F$2994,"Bond Received")+SUMIFS('1SM3VL'!$D$6:$D$2989,'1SM3VL'!$E$6:$E$2989,"&gt;="&amp;AP7,'1SM3VL'!$E$6:$E$2989,"&lt;="&amp;EOMONTH(AP7,0))-SUMIFS('1SM3VL'!$D$6:$D$2989,'1SM3VL'!$E$6:$E$2989,"&gt;="&amp;AP7,'1SM3VL'!$E$6:$E$2989,"&lt;="&amp;EOMONTH(AP7,0),'1SM3VL'!$F$6:$F$2989,$B$14)-(SUMIFS('1SM3VL'!$D$6:$D$2989,'1SM3VL'!$E$6:$E$2989,"&gt;="&amp;AP7,'1SM3VL'!$E$6:$E$2989,"&lt;="&amp;EOMONTH(AP7,0),'1SM3VL'!$F$6:$F$2989,"Discount Rent")*2)-SUMIFS('1SM3VL'!$D$6:$D$2989,'1SM3VL'!$E$6:$E$2989,"&gt;="&amp;AP7,'1SM3VL'!$E$6:$E$2989,"&lt;="&amp;EOMONTH(AP7,0),'1SM3VL'!$F$6:$F$2989,"Bond Received")+SUMIFS('1QF4SM'!$D$6:$D$2989,'1QF4SM'!$E$6:$E$2989,"&gt;="&amp;AP7,'1QF4SM'!$E$6:$E$2989,"&lt;="&amp;EOMONTH(AP7,0))-SUMIFS('1QF4SM'!$D$6:$D$2989,'1QF4SM'!$E$6:$E$2989,"&gt;="&amp;AP7,'1QF4SM'!$E$6:$E$2989,"&lt;="&amp;EOMONTH(AP7,0),'1QF4SM'!$F$6:$F$2989,$B$14)-(SUMIFS('1QF4SM'!$D$6:$D$2989,'1QF4SM'!$E$6:$E$2989,"&gt;="&amp;AP7,'1QF4SM'!$E$6:$E$2989,"&lt;="&amp;EOMONTH(AP7,0),'1QF4SM'!$F$6:$F$2989,"Discount Rent")*2)-SUMIFS('1QF4SM'!$D$6:$D$2989,'1QF4SM'!$E$6:$E$2989,"&gt;="&amp;AP7,'1QF4SM'!$E$6:$E$2989,"&lt;="&amp;EOMONTH(AP7,0),'1QF4SM'!$F$6:$F$2989,"Bond Received")+SUMIFS('1UV5KI'!$D$6:$D$2988,'1UV5KI'!$E$6:$E$2988,"&gt;="&amp;AP7,'1UV5KI'!$E$6:$E$2988,"&lt;="&amp;EOMONTH(AP7,0))-SUMIFS('1UV5KI'!$D$6:$D$2988,'1UV5KI'!$E$6:$E$2988,"&gt;="&amp;AP7,'1UV5KI'!$E$6:$E$2988,"&lt;="&amp;EOMONTH(AP7,0),'1UV5KI'!$F$6:$F$2988,$B$14)-(SUMIFS('1UV5KI'!$D$6:$D$2988,'1UV5KI'!$E$6:$E$2988,"&gt;="&amp;AP7,'1UV5KI'!$E$6:$E$2988,"&lt;="&amp;EOMONTH(AP7,0),'1UV5KI'!$F$6:$F$2988,"Discount Rent")*2)-SUMIFS('1UV5KI'!$D$6:$D$2988,'1UV5KI'!$E$6:$E$2988,"&gt;="&amp;AP7,'1UV5KI'!$E$6:$E$2988,"&lt;="&amp;EOMONTH(AP7,0),'1UV5KI'!$F$6:$F$2988,"Bond Received")+SUMIFS(#REF!,#REF!,"&gt;="&amp;AP7,#REF!,"&lt;="&amp;EOMONTH(AP7,0))-SUMIFS(#REF!,#REF!,"&gt;="&amp;AP7,#REF!,"&lt;="&amp;EOMONTH(AP7,0),#REF!,$B$14)-(SUMIFS(#REF!,#REF!,"&gt;="&amp;AP7,#REF!,"&lt;="&amp;EOMONTH(AP7,0),#REF!,"Discount Rent")*2)-SUMIFS(#REF!,#REF!,"&gt;="&amp;AP7,#REF!,"&lt;="&amp;EOMONTH(AP7,0),#REF!,"Bond Received")+SUMIFS('1UL9RY'!$D$6:$D$2989,'1UL9RY'!$E$6:$E$2989,"&gt;="&amp;AP7,'1UL9RY'!$E$6:$E$2989,"&lt;="&amp;EOMONTH(AP7,0))-SUMIFS('1UL9RY'!$D$6:$D$2989,'1UL9RY'!$E$6:$E$2989,"&gt;="&amp;AP7,'1UL9RY'!$E$6:$E$2989,"&lt;="&amp;EOMONTH(AP7,0),'1UL9RY'!$F$6:$F$2989,$B$14)-(SUMIFS('1UL9RY'!$D$6:$D$2989,'1UL9RY'!$E$6:$E$2989,"&gt;="&amp;AP7,'1UL9RY'!$E$6:$E$2989,"&lt;="&amp;EOMONTH(AP7,0),'1UL9RY'!$F$6:$F$2989,"Discount Rent")*2)-SUMIFS('1UL9RY'!$D$6:$D$2989,'1UL9RY'!$E$6:$E$2989,"&gt;="&amp;AP7,'1UL9RY'!$E$6:$E$2989,"&lt;="&amp;EOMONTH(AP7,0),'1UL9RY'!$F$6:$F$2989,"Bond Received")+SUMIFS('1OZ7GT'!$D$6:$D$2989,'1OZ7GT'!$E$6:$E$2989,"&gt;="&amp;AP7,'1OZ7GT'!$E$6:$E$2989,"&lt;="&amp;EOMONTH(AP7,0))-SUMIFS('1OZ7GT'!$D$6:$D$2989,'1OZ7GT'!$E$6:$E$2989,"&gt;="&amp;AP7,'1OZ7GT'!$E$6:$E$2989,"&lt;="&amp;EOMONTH(AP7,0),'1OZ7GT'!$F$6:$F$2989,$B$14)-(SUMIFS('1OZ7GT'!$D$6:$D$2989,'1OZ7GT'!$E$6:$E$2989,"&gt;="&amp;AP7,'1OZ7GT'!$E$6:$E$2989,"&lt;="&amp;EOMONTH(AP7,0),'1OZ7GT'!$F$6:$F$2989,"Discount Rent")*2)-SUMIFS('1OZ7GT'!$D$6:$D$2989,'1OZ7GT'!$E$6:$E$2989,"&gt;="&amp;AP7,'1OZ7GT'!$E$6:$E$2989,"&lt;="&amp;EOMONTH(AP7,0),'1OZ7GT'!$F$6:$F$2989,"Bond Received")+SUMIFS('1CN8DD'!$D$6:$D$2989,'1CN8DD'!$E$6:$E$2989,"&gt;="&amp;AP7,'1CN8DD'!$E$6:$E$2989,"&lt;="&amp;EOMONTH(AP7,0))-SUMIFS('1CN8DD'!$D$6:$D$2989,'1CN8DD'!$E$6:$E$2989,"&gt;="&amp;AP7,'1CN8DD'!$E$6:$E$2989,"&lt;="&amp;EOMONTH(AP7,0),'1CN8DD'!$F$6:$F$2989,$B$14)-(SUMIFS('1CN8DD'!$D$6:$D$2989,'1CN8DD'!$E$6:$E$2989,"&gt;="&amp;AP7,'1CN8DD'!$E$6:$E$2989,"&lt;="&amp;EOMONTH(AP7,0),'1CN8DD'!$F$6:$F$2989,"Discount Rent")*2)-SUMIFS('1CN8DD'!$D$6:$D$2989,'1CN8DD'!$E$6:$E$2989,"&gt;="&amp;AP7,'1CN8DD'!$E$6:$E$2989,"&lt;="&amp;EOMONTH(AP7,0),'1CN8DD'!$F$6:$F$2989,"Bond Received")+SUMIFS('1UT9BR'!$D$6:$D$2989,'1UT9BR'!$E$6:$E$2989,"&gt;="&amp;AP7,'1UT9BR'!$E$6:$E$2989,"&lt;="&amp;EOMONTH(AP7,0))-SUMIFS('1UT9BR'!$D$6:$D$2989,'1UT9BR'!$E$6:$E$2989,"&gt;="&amp;AP7,'1UT9BR'!$E$6:$E$2989,"&lt;="&amp;EOMONTH(AP7,0),'1UT9BR'!$F$6:$F$2989,$B$14)-(SUMIFS('1UT9BR'!$D$6:$D$2989,'1UT9BR'!$E$6:$E$2989,"&gt;="&amp;AP7,'1UT9BR'!$E$6:$E$2989,"&lt;="&amp;EOMONTH(AP7,0),'1UT9BR'!$F$6:$F$2989,"Discount Rent")*2)-SUMIFS('1UT9BR'!$D$6:$D$2989,'1UT9BR'!$E$6:$E$2989,"&gt;="&amp;AP7,'1UT9BR'!$E$6:$E$2989,"&lt;="&amp;EOMONTH(AP7,0),'1UT9BR'!$F$6:$F$2989,"Bond Received")+SUMIFS('1MK4UR'!$D$6:$D$2989,'1MK4UR'!$E$6:$E$2989,"&gt;="&amp;AP7,'1MK4UR'!$E$6:$E$2989,"&lt;="&amp;EOMONTH(AP7,0))-SUMIFS('1MK4UR'!$D$6:$D$2989,'1MK4UR'!$E$6:$E$2989,"&gt;="&amp;AP7,'1MK4UR'!$E$6:$E$2989,"&lt;="&amp;EOMONTH(AP7,0),'1MK4UR'!$F$6:$F$2989,$B$14)-(SUMIFS('1MK4UR'!$D$6:$D$2989,'1MK4UR'!$E$6:$E$2989,"&gt;="&amp;AP7,'1MK4UR'!$E$6:$E$2989,"&lt;="&amp;EOMONTH(AP7,0),'1MK4UR'!$F$6:$F$2989,"Discount Rent")*2)-SUMIFS('1MK4UR'!$D$6:$D$2989,'1MK4UR'!$E$6:$E$2989,"&gt;="&amp;AP7,'1MK4UR'!$E$6:$E$2989,"&lt;="&amp;EOMONTH(AP7,0),'1MK4UR'!$F$6:$F$2989,"Bond Received")</f>
        <v>#REF!</v>
      </c>
      <c r="AQ10" s="108" t="e">
        <f>SUMIFS('Other Expense'!$C$8:$C$3017,'Other Expense'!$B$8:$B$3017,"&gt;="&amp;AQ7,'Other Expense'!$B$8:$B$3017,"&lt;="&amp;EOMONTH(AQ7,0),'Other Expense'!$D$8:$D$3017,$B$9)+SUMIFS('CEI565'!$D$6:$D$2994,'CEI565'!$E$6:$E$2994,"&gt;="&amp;AQ7,'CEI565'!$E$6:$E$2994,"&lt;="&amp;EOMONTH(AQ7,0))-SUMIFS('CEI565'!$D$6:$D$2994,'CEI565'!$E$6:$E$2994,"&gt;="&amp;AQ7,'CEI565'!$E$6:$E$2994,"&lt;="&amp;EOMONTH(AQ7,0),'CEI565'!$F$6:$F$2994,$B$14)-(SUMIFS('CEI565'!$D$6:$D$2994,'CEI565'!$E$6:$E$2994,"&gt;="&amp;AQ7,'CEI565'!$E$6:$E$2994,"&lt;="&amp;EOMONTH(AQ7,0),'CEI565'!$F$6:$F$2994,"Discount Rent")*2)-SUMIFS('CEI565'!$D$6:$D$2994,'CEI565'!$E$6:$E$2994,"&gt;="&amp;AQ7,'CEI565'!$E$6:$E$2994,"&lt;="&amp;EOMONTH(AQ7,0),'CEI565'!$F$6:$F$2994,"Bond Received")+SUMIFS('1SM3VL'!$D$6:$D$2989,'1SM3VL'!$E$6:$E$2989,"&gt;="&amp;AQ7,'1SM3VL'!$E$6:$E$2989,"&lt;="&amp;EOMONTH(AQ7,0))-SUMIFS('1SM3VL'!$D$6:$D$2989,'1SM3VL'!$E$6:$E$2989,"&gt;="&amp;AQ7,'1SM3VL'!$E$6:$E$2989,"&lt;="&amp;EOMONTH(AQ7,0),'1SM3VL'!$F$6:$F$2989,$B$14)-(SUMIFS('1SM3VL'!$D$6:$D$2989,'1SM3VL'!$E$6:$E$2989,"&gt;="&amp;AQ7,'1SM3VL'!$E$6:$E$2989,"&lt;="&amp;EOMONTH(AQ7,0),'1SM3VL'!$F$6:$F$2989,"Discount Rent")*2)-SUMIFS('1SM3VL'!$D$6:$D$2989,'1SM3VL'!$E$6:$E$2989,"&gt;="&amp;AQ7,'1SM3VL'!$E$6:$E$2989,"&lt;="&amp;EOMONTH(AQ7,0),'1SM3VL'!$F$6:$F$2989,"Bond Received")+SUMIFS('1QF4SM'!$D$6:$D$2989,'1QF4SM'!$E$6:$E$2989,"&gt;="&amp;AQ7,'1QF4SM'!$E$6:$E$2989,"&lt;="&amp;EOMONTH(AQ7,0))-SUMIFS('1QF4SM'!$D$6:$D$2989,'1QF4SM'!$E$6:$E$2989,"&gt;="&amp;AQ7,'1QF4SM'!$E$6:$E$2989,"&lt;="&amp;EOMONTH(AQ7,0),'1QF4SM'!$F$6:$F$2989,$B$14)-(SUMIFS('1QF4SM'!$D$6:$D$2989,'1QF4SM'!$E$6:$E$2989,"&gt;="&amp;AQ7,'1QF4SM'!$E$6:$E$2989,"&lt;="&amp;EOMONTH(AQ7,0),'1QF4SM'!$F$6:$F$2989,"Discount Rent")*2)-SUMIFS('1QF4SM'!$D$6:$D$2989,'1QF4SM'!$E$6:$E$2989,"&gt;="&amp;AQ7,'1QF4SM'!$E$6:$E$2989,"&lt;="&amp;EOMONTH(AQ7,0),'1QF4SM'!$F$6:$F$2989,"Bond Received")+SUMIFS('1UV5KI'!$D$6:$D$2988,'1UV5KI'!$E$6:$E$2988,"&gt;="&amp;AQ7,'1UV5KI'!$E$6:$E$2988,"&lt;="&amp;EOMONTH(AQ7,0))-SUMIFS('1UV5KI'!$D$6:$D$2988,'1UV5KI'!$E$6:$E$2988,"&gt;="&amp;AQ7,'1UV5KI'!$E$6:$E$2988,"&lt;="&amp;EOMONTH(AQ7,0),'1UV5KI'!$F$6:$F$2988,$B$14)-(SUMIFS('1UV5KI'!$D$6:$D$2988,'1UV5KI'!$E$6:$E$2988,"&gt;="&amp;AQ7,'1UV5KI'!$E$6:$E$2988,"&lt;="&amp;EOMONTH(AQ7,0),'1UV5KI'!$F$6:$F$2988,"Discount Rent")*2)-SUMIFS('1UV5KI'!$D$6:$D$2988,'1UV5KI'!$E$6:$E$2988,"&gt;="&amp;AQ7,'1UV5KI'!$E$6:$E$2988,"&lt;="&amp;EOMONTH(AQ7,0),'1UV5KI'!$F$6:$F$2988,"Bond Received")+SUMIFS(#REF!,#REF!,"&gt;="&amp;AQ7,#REF!,"&lt;="&amp;EOMONTH(AQ7,0))-SUMIFS(#REF!,#REF!,"&gt;="&amp;AQ7,#REF!,"&lt;="&amp;EOMONTH(AQ7,0),#REF!,$B$14)-(SUMIFS(#REF!,#REF!,"&gt;="&amp;AQ7,#REF!,"&lt;="&amp;EOMONTH(AQ7,0),#REF!,"Discount Rent")*2)-SUMIFS(#REF!,#REF!,"&gt;="&amp;AQ7,#REF!,"&lt;="&amp;EOMONTH(AQ7,0),#REF!,"Bond Received")+SUMIFS('1UL9RY'!$D$6:$D$2989,'1UL9RY'!$E$6:$E$2989,"&gt;="&amp;AQ7,'1UL9RY'!$E$6:$E$2989,"&lt;="&amp;EOMONTH(AQ7,0))-SUMIFS('1UL9RY'!$D$6:$D$2989,'1UL9RY'!$E$6:$E$2989,"&gt;="&amp;AQ7,'1UL9RY'!$E$6:$E$2989,"&lt;="&amp;EOMONTH(AQ7,0),'1UL9RY'!$F$6:$F$2989,$B$14)-(SUMIFS('1UL9RY'!$D$6:$D$2989,'1UL9RY'!$E$6:$E$2989,"&gt;="&amp;AQ7,'1UL9RY'!$E$6:$E$2989,"&lt;="&amp;EOMONTH(AQ7,0),'1UL9RY'!$F$6:$F$2989,"Discount Rent")*2)-SUMIFS('1UL9RY'!$D$6:$D$2989,'1UL9RY'!$E$6:$E$2989,"&gt;="&amp;AQ7,'1UL9RY'!$E$6:$E$2989,"&lt;="&amp;EOMONTH(AQ7,0),'1UL9RY'!$F$6:$F$2989,"Bond Received")+SUMIFS('1OZ7GT'!$D$6:$D$2989,'1OZ7GT'!$E$6:$E$2989,"&gt;="&amp;AQ7,'1OZ7GT'!$E$6:$E$2989,"&lt;="&amp;EOMONTH(AQ7,0))-SUMIFS('1OZ7GT'!$D$6:$D$2989,'1OZ7GT'!$E$6:$E$2989,"&gt;="&amp;AQ7,'1OZ7GT'!$E$6:$E$2989,"&lt;="&amp;EOMONTH(AQ7,0),'1OZ7GT'!$F$6:$F$2989,$B$14)-(SUMIFS('1OZ7GT'!$D$6:$D$2989,'1OZ7GT'!$E$6:$E$2989,"&gt;="&amp;AQ7,'1OZ7GT'!$E$6:$E$2989,"&lt;="&amp;EOMONTH(AQ7,0),'1OZ7GT'!$F$6:$F$2989,"Discount Rent")*2)-SUMIFS('1OZ7GT'!$D$6:$D$2989,'1OZ7GT'!$E$6:$E$2989,"&gt;="&amp;AQ7,'1OZ7GT'!$E$6:$E$2989,"&lt;="&amp;EOMONTH(AQ7,0),'1OZ7GT'!$F$6:$F$2989,"Bond Received")+SUMIFS('1CN8DD'!$D$6:$D$2989,'1CN8DD'!$E$6:$E$2989,"&gt;="&amp;AQ7,'1CN8DD'!$E$6:$E$2989,"&lt;="&amp;EOMONTH(AQ7,0))-SUMIFS('1CN8DD'!$D$6:$D$2989,'1CN8DD'!$E$6:$E$2989,"&gt;="&amp;AQ7,'1CN8DD'!$E$6:$E$2989,"&lt;="&amp;EOMONTH(AQ7,0),'1CN8DD'!$F$6:$F$2989,$B$14)-(SUMIFS('1CN8DD'!$D$6:$D$2989,'1CN8DD'!$E$6:$E$2989,"&gt;="&amp;AQ7,'1CN8DD'!$E$6:$E$2989,"&lt;="&amp;EOMONTH(AQ7,0),'1CN8DD'!$F$6:$F$2989,"Discount Rent")*2)-SUMIFS('1CN8DD'!$D$6:$D$2989,'1CN8DD'!$E$6:$E$2989,"&gt;="&amp;AQ7,'1CN8DD'!$E$6:$E$2989,"&lt;="&amp;EOMONTH(AQ7,0),'1CN8DD'!$F$6:$F$2989,"Bond Received")+SUMIFS('1UT9BR'!$D$6:$D$2989,'1UT9BR'!$E$6:$E$2989,"&gt;="&amp;AQ7,'1UT9BR'!$E$6:$E$2989,"&lt;="&amp;EOMONTH(AQ7,0))-SUMIFS('1UT9BR'!$D$6:$D$2989,'1UT9BR'!$E$6:$E$2989,"&gt;="&amp;AQ7,'1UT9BR'!$E$6:$E$2989,"&lt;="&amp;EOMONTH(AQ7,0),'1UT9BR'!$F$6:$F$2989,$B$14)-(SUMIFS('1UT9BR'!$D$6:$D$2989,'1UT9BR'!$E$6:$E$2989,"&gt;="&amp;AQ7,'1UT9BR'!$E$6:$E$2989,"&lt;="&amp;EOMONTH(AQ7,0),'1UT9BR'!$F$6:$F$2989,"Discount Rent")*2)-SUMIFS('1UT9BR'!$D$6:$D$2989,'1UT9BR'!$E$6:$E$2989,"&gt;="&amp;AQ7,'1UT9BR'!$E$6:$E$2989,"&lt;="&amp;EOMONTH(AQ7,0),'1UT9BR'!$F$6:$F$2989,"Bond Received")+SUMIFS('1MK4UR'!$D$6:$D$2989,'1MK4UR'!$E$6:$E$2989,"&gt;="&amp;AQ7,'1MK4UR'!$E$6:$E$2989,"&lt;="&amp;EOMONTH(AQ7,0))-SUMIFS('1MK4UR'!$D$6:$D$2989,'1MK4UR'!$E$6:$E$2989,"&gt;="&amp;AQ7,'1MK4UR'!$E$6:$E$2989,"&lt;="&amp;EOMONTH(AQ7,0),'1MK4UR'!$F$6:$F$2989,$B$14)-(SUMIFS('1MK4UR'!$D$6:$D$2989,'1MK4UR'!$E$6:$E$2989,"&gt;="&amp;AQ7,'1MK4UR'!$E$6:$E$2989,"&lt;="&amp;EOMONTH(AQ7,0),'1MK4UR'!$F$6:$F$2989,"Discount Rent")*2)-SUMIFS('1MK4UR'!$D$6:$D$2989,'1MK4UR'!$E$6:$E$2989,"&gt;="&amp;AQ7,'1MK4UR'!$E$6:$E$2989,"&lt;="&amp;EOMONTH(AQ7,0),'1MK4UR'!$F$6:$F$2989,"Bond Received")</f>
        <v>#REF!</v>
      </c>
      <c r="AR10" s="108" t="e">
        <f>SUMIFS('Other Expense'!$C$8:$C$3017,'Other Expense'!$B$8:$B$3017,"&gt;="&amp;AR7,'Other Expense'!$B$8:$B$3017,"&lt;="&amp;EOMONTH(AR7,0),'Other Expense'!$D$8:$D$3017,$B$9)+SUMIFS('CEI565'!$D$6:$D$2994,'CEI565'!$E$6:$E$2994,"&gt;="&amp;AR7,'CEI565'!$E$6:$E$2994,"&lt;="&amp;EOMONTH(AR7,0))-SUMIFS('CEI565'!$D$6:$D$2994,'CEI565'!$E$6:$E$2994,"&gt;="&amp;AR7,'CEI565'!$E$6:$E$2994,"&lt;="&amp;EOMONTH(AR7,0),'CEI565'!$F$6:$F$2994,$B$14)-(SUMIFS('CEI565'!$D$6:$D$2994,'CEI565'!$E$6:$E$2994,"&gt;="&amp;AR7,'CEI565'!$E$6:$E$2994,"&lt;="&amp;EOMONTH(AR7,0),'CEI565'!$F$6:$F$2994,"Discount Rent")*2)-SUMIFS('CEI565'!$D$6:$D$2994,'CEI565'!$E$6:$E$2994,"&gt;="&amp;AR7,'CEI565'!$E$6:$E$2994,"&lt;="&amp;EOMONTH(AR7,0),'CEI565'!$F$6:$F$2994,"Bond Received")+SUMIFS('1SM3VL'!$D$6:$D$2989,'1SM3VL'!$E$6:$E$2989,"&gt;="&amp;AR7,'1SM3VL'!$E$6:$E$2989,"&lt;="&amp;EOMONTH(AR7,0))-SUMIFS('1SM3VL'!$D$6:$D$2989,'1SM3VL'!$E$6:$E$2989,"&gt;="&amp;AR7,'1SM3VL'!$E$6:$E$2989,"&lt;="&amp;EOMONTH(AR7,0),'1SM3VL'!$F$6:$F$2989,$B$14)-(SUMIFS('1SM3VL'!$D$6:$D$2989,'1SM3VL'!$E$6:$E$2989,"&gt;="&amp;AR7,'1SM3VL'!$E$6:$E$2989,"&lt;="&amp;EOMONTH(AR7,0),'1SM3VL'!$F$6:$F$2989,"Discount Rent")*2)-SUMIFS('1SM3VL'!$D$6:$D$2989,'1SM3VL'!$E$6:$E$2989,"&gt;="&amp;AR7,'1SM3VL'!$E$6:$E$2989,"&lt;="&amp;EOMONTH(AR7,0),'1SM3VL'!$F$6:$F$2989,"Bond Received")+SUMIFS('1QF4SM'!$D$6:$D$2989,'1QF4SM'!$E$6:$E$2989,"&gt;="&amp;AR7,'1QF4SM'!$E$6:$E$2989,"&lt;="&amp;EOMONTH(AR7,0))-SUMIFS('1QF4SM'!$D$6:$D$2989,'1QF4SM'!$E$6:$E$2989,"&gt;="&amp;AR7,'1QF4SM'!$E$6:$E$2989,"&lt;="&amp;EOMONTH(AR7,0),'1QF4SM'!$F$6:$F$2989,$B$14)-(SUMIFS('1QF4SM'!$D$6:$D$2989,'1QF4SM'!$E$6:$E$2989,"&gt;="&amp;AR7,'1QF4SM'!$E$6:$E$2989,"&lt;="&amp;EOMONTH(AR7,0),'1QF4SM'!$F$6:$F$2989,"Discount Rent")*2)-SUMIFS('1QF4SM'!$D$6:$D$2989,'1QF4SM'!$E$6:$E$2989,"&gt;="&amp;AR7,'1QF4SM'!$E$6:$E$2989,"&lt;="&amp;EOMONTH(AR7,0),'1QF4SM'!$F$6:$F$2989,"Bond Received")+SUMIFS('1UV5KI'!$D$6:$D$2988,'1UV5KI'!$E$6:$E$2988,"&gt;="&amp;AR7,'1UV5KI'!$E$6:$E$2988,"&lt;="&amp;EOMONTH(AR7,0))-SUMIFS('1UV5KI'!$D$6:$D$2988,'1UV5KI'!$E$6:$E$2988,"&gt;="&amp;AR7,'1UV5KI'!$E$6:$E$2988,"&lt;="&amp;EOMONTH(AR7,0),'1UV5KI'!$F$6:$F$2988,$B$14)-(SUMIFS('1UV5KI'!$D$6:$D$2988,'1UV5KI'!$E$6:$E$2988,"&gt;="&amp;AR7,'1UV5KI'!$E$6:$E$2988,"&lt;="&amp;EOMONTH(AR7,0),'1UV5KI'!$F$6:$F$2988,"Discount Rent")*2)-SUMIFS('1UV5KI'!$D$6:$D$2988,'1UV5KI'!$E$6:$E$2988,"&gt;="&amp;AR7,'1UV5KI'!$E$6:$E$2988,"&lt;="&amp;EOMONTH(AR7,0),'1UV5KI'!$F$6:$F$2988,"Bond Received")+SUMIFS(#REF!,#REF!,"&gt;="&amp;AR7,#REF!,"&lt;="&amp;EOMONTH(AR7,0))-SUMIFS(#REF!,#REF!,"&gt;="&amp;AR7,#REF!,"&lt;="&amp;EOMONTH(AR7,0),#REF!,$B$14)-(SUMIFS(#REF!,#REF!,"&gt;="&amp;AR7,#REF!,"&lt;="&amp;EOMONTH(AR7,0),#REF!,"Discount Rent")*2)-SUMIFS(#REF!,#REF!,"&gt;="&amp;AR7,#REF!,"&lt;="&amp;EOMONTH(AR7,0),#REF!,"Bond Received")+SUMIFS('1UL9RY'!$D$6:$D$2989,'1UL9RY'!$E$6:$E$2989,"&gt;="&amp;AR7,'1UL9RY'!$E$6:$E$2989,"&lt;="&amp;EOMONTH(AR7,0))-SUMIFS('1UL9RY'!$D$6:$D$2989,'1UL9RY'!$E$6:$E$2989,"&gt;="&amp;AR7,'1UL9RY'!$E$6:$E$2989,"&lt;="&amp;EOMONTH(AR7,0),'1UL9RY'!$F$6:$F$2989,$B$14)-(SUMIFS('1UL9RY'!$D$6:$D$2989,'1UL9RY'!$E$6:$E$2989,"&gt;="&amp;AR7,'1UL9RY'!$E$6:$E$2989,"&lt;="&amp;EOMONTH(AR7,0),'1UL9RY'!$F$6:$F$2989,"Discount Rent")*2)-SUMIFS('1UL9RY'!$D$6:$D$2989,'1UL9RY'!$E$6:$E$2989,"&gt;="&amp;AR7,'1UL9RY'!$E$6:$E$2989,"&lt;="&amp;EOMONTH(AR7,0),'1UL9RY'!$F$6:$F$2989,"Bond Received")+SUMIFS('1OZ7GT'!$D$6:$D$2989,'1OZ7GT'!$E$6:$E$2989,"&gt;="&amp;AR7,'1OZ7GT'!$E$6:$E$2989,"&lt;="&amp;EOMONTH(AR7,0))-SUMIFS('1OZ7GT'!$D$6:$D$2989,'1OZ7GT'!$E$6:$E$2989,"&gt;="&amp;AR7,'1OZ7GT'!$E$6:$E$2989,"&lt;="&amp;EOMONTH(AR7,0),'1OZ7GT'!$F$6:$F$2989,$B$14)-(SUMIFS('1OZ7GT'!$D$6:$D$2989,'1OZ7GT'!$E$6:$E$2989,"&gt;="&amp;AR7,'1OZ7GT'!$E$6:$E$2989,"&lt;="&amp;EOMONTH(AR7,0),'1OZ7GT'!$F$6:$F$2989,"Discount Rent")*2)-SUMIFS('1OZ7GT'!$D$6:$D$2989,'1OZ7GT'!$E$6:$E$2989,"&gt;="&amp;AR7,'1OZ7GT'!$E$6:$E$2989,"&lt;="&amp;EOMONTH(AR7,0),'1OZ7GT'!$F$6:$F$2989,"Bond Received")+SUMIFS('1CN8DD'!$D$6:$D$2989,'1CN8DD'!$E$6:$E$2989,"&gt;="&amp;AR7,'1CN8DD'!$E$6:$E$2989,"&lt;="&amp;EOMONTH(AR7,0))-SUMIFS('1CN8DD'!$D$6:$D$2989,'1CN8DD'!$E$6:$E$2989,"&gt;="&amp;AR7,'1CN8DD'!$E$6:$E$2989,"&lt;="&amp;EOMONTH(AR7,0),'1CN8DD'!$F$6:$F$2989,$B$14)-(SUMIFS('1CN8DD'!$D$6:$D$2989,'1CN8DD'!$E$6:$E$2989,"&gt;="&amp;AR7,'1CN8DD'!$E$6:$E$2989,"&lt;="&amp;EOMONTH(AR7,0),'1CN8DD'!$F$6:$F$2989,"Discount Rent")*2)-SUMIFS('1CN8DD'!$D$6:$D$2989,'1CN8DD'!$E$6:$E$2989,"&gt;="&amp;AR7,'1CN8DD'!$E$6:$E$2989,"&lt;="&amp;EOMONTH(AR7,0),'1CN8DD'!$F$6:$F$2989,"Bond Received")+SUMIFS('1UT9BR'!$D$6:$D$2989,'1UT9BR'!$E$6:$E$2989,"&gt;="&amp;AR7,'1UT9BR'!$E$6:$E$2989,"&lt;="&amp;EOMONTH(AR7,0))-SUMIFS('1UT9BR'!$D$6:$D$2989,'1UT9BR'!$E$6:$E$2989,"&gt;="&amp;AR7,'1UT9BR'!$E$6:$E$2989,"&lt;="&amp;EOMONTH(AR7,0),'1UT9BR'!$F$6:$F$2989,$B$14)-(SUMIFS('1UT9BR'!$D$6:$D$2989,'1UT9BR'!$E$6:$E$2989,"&gt;="&amp;AR7,'1UT9BR'!$E$6:$E$2989,"&lt;="&amp;EOMONTH(AR7,0),'1UT9BR'!$F$6:$F$2989,"Discount Rent")*2)-SUMIFS('1UT9BR'!$D$6:$D$2989,'1UT9BR'!$E$6:$E$2989,"&gt;="&amp;AR7,'1UT9BR'!$E$6:$E$2989,"&lt;="&amp;EOMONTH(AR7,0),'1UT9BR'!$F$6:$F$2989,"Bond Received")+SUMIFS('1MK4UR'!$D$6:$D$2989,'1MK4UR'!$E$6:$E$2989,"&gt;="&amp;AR7,'1MK4UR'!$E$6:$E$2989,"&lt;="&amp;EOMONTH(AR7,0))-SUMIFS('1MK4UR'!$D$6:$D$2989,'1MK4UR'!$E$6:$E$2989,"&gt;="&amp;AR7,'1MK4UR'!$E$6:$E$2989,"&lt;="&amp;EOMONTH(AR7,0),'1MK4UR'!$F$6:$F$2989,$B$14)-(SUMIFS('1MK4UR'!$D$6:$D$2989,'1MK4UR'!$E$6:$E$2989,"&gt;="&amp;AR7,'1MK4UR'!$E$6:$E$2989,"&lt;="&amp;EOMONTH(AR7,0),'1MK4UR'!$F$6:$F$2989,"Discount Rent")*2)-SUMIFS('1MK4UR'!$D$6:$D$2989,'1MK4UR'!$E$6:$E$2989,"&gt;="&amp;AR7,'1MK4UR'!$E$6:$E$2989,"&lt;="&amp;EOMONTH(AR7,0),'1MK4UR'!$F$6:$F$2989,"Bond Received")</f>
        <v>#REF!</v>
      </c>
      <c r="AS10" s="108" t="e">
        <f>SUMIFS('Other Expense'!$C$8:$C$3017,'Other Expense'!$B$8:$B$3017,"&gt;="&amp;AS7,'Other Expense'!$B$8:$B$3017,"&lt;="&amp;EOMONTH(AS7,0),'Other Expense'!$D$8:$D$3017,$B$9)+SUMIFS('CEI565'!$D$6:$D$2994,'CEI565'!$E$6:$E$2994,"&gt;="&amp;AS7,'CEI565'!$E$6:$E$2994,"&lt;="&amp;EOMONTH(AS7,0))-SUMIFS('CEI565'!$D$6:$D$2994,'CEI565'!$E$6:$E$2994,"&gt;="&amp;AS7,'CEI565'!$E$6:$E$2994,"&lt;="&amp;EOMONTH(AS7,0),'CEI565'!$F$6:$F$2994,$B$14)-(SUMIFS('CEI565'!$D$6:$D$2994,'CEI565'!$E$6:$E$2994,"&gt;="&amp;AS7,'CEI565'!$E$6:$E$2994,"&lt;="&amp;EOMONTH(AS7,0),'CEI565'!$F$6:$F$2994,"Discount Rent")*2)-SUMIFS('CEI565'!$D$6:$D$2994,'CEI565'!$E$6:$E$2994,"&gt;="&amp;AS7,'CEI565'!$E$6:$E$2994,"&lt;="&amp;EOMONTH(AS7,0),'CEI565'!$F$6:$F$2994,"Bond Received")+SUMIFS('1SM3VL'!$D$6:$D$2989,'1SM3VL'!$E$6:$E$2989,"&gt;="&amp;AS7,'1SM3VL'!$E$6:$E$2989,"&lt;="&amp;EOMONTH(AS7,0))-SUMIFS('1SM3VL'!$D$6:$D$2989,'1SM3VL'!$E$6:$E$2989,"&gt;="&amp;AS7,'1SM3VL'!$E$6:$E$2989,"&lt;="&amp;EOMONTH(AS7,0),'1SM3VL'!$F$6:$F$2989,$B$14)-(SUMIFS('1SM3VL'!$D$6:$D$2989,'1SM3VL'!$E$6:$E$2989,"&gt;="&amp;AS7,'1SM3VL'!$E$6:$E$2989,"&lt;="&amp;EOMONTH(AS7,0),'1SM3VL'!$F$6:$F$2989,"Discount Rent")*2)-SUMIFS('1SM3VL'!$D$6:$D$2989,'1SM3VL'!$E$6:$E$2989,"&gt;="&amp;AS7,'1SM3VL'!$E$6:$E$2989,"&lt;="&amp;EOMONTH(AS7,0),'1SM3VL'!$F$6:$F$2989,"Bond Received")+SUMIFS('1QF4SM'!$D$6:$D$2989,'1QF4SM'!$E$6:$E$2989,"&gt;="&amp;AS7,'1QF4SM'!$E$6:$E$2989,"&lt;="&amp;EOMONTH(AS7,0))-SUMIFS('1QF4SM'!$D$6:$D$2989,'1QF4SM'!$E$6:$E$2989,"&gt;="&amp;AS7,'1QF4SM'!$E$6:$E$2989,"&lt;="&amp;EOMONTH(AS7,0),'1QF4SM'!$F$6:$F$2989,$B$14)-(SUMIFS('1QF4SM'!$D$6:$D$2989,'1QF4SM'!$E$6:$E$2989,"&gt;="&amp;AS7,'1QF4SM'!$E$6:$E$2989,"&lt;="&amp;EOMONTH(AS7,0),'1QF4SM'!$F$6:$F$2989,"Discount Rent")*2)-SUMIFS('1QF4SM'!$D$6:$D$2989,'1QF4SM'!$E$6:$E$2989,"&gt;="&amp;AS7,'1QF4SM'!$E$6:$E$2989,"&lt;="&amp;EOMONTH(AS7,0),'1QF4SM'!$F$6:$F$2989,"Bond Received")+SUMIFS('1UV5KI'!$D$6:$D$2988,'1UV5KI'!$E$6:$E$2988,"&gt;="&amp;AS7,'1UV5KI'!$E$6:$E$2988,"&lt;="&amp;EOMONTH(AS7,0))-SUMIFS('1UV5KI'!$D$6:$D$2988,'1UV5KI'!$E$6:$E$2988,"&gt;="&amp;AS7,'1UV5KI'!$E$6:$E$2988,"&lt;="&amp;EOMONTH(AS7,0),'1UV5KI'!$F$6:$F$2988,$B$14)-(SUMIFS('1UV5KI'!$D$6:$D$2988,'1UV5KI'!$E$6:$E$2988,"&gt;="&amp;AS7,'1UV5KI'!$E$6:$E$2988,"&lt;="&amp;EOMONTH(AS7,0),'1UV5KI'!$F$6:$F$2988,"Discount Rent")*2)-SUMIFS('1UV5KI'!$D$6:$D$2988,'1UV5KI'!$E$6:$E$2988,"&gt;="&amp;AS7,'1UV5KI'!$E$6:$E$2988,"&lt;="&amp;EOMONTH(AS7,0),'1UV5KI'!$F$6:$F$2988,"Bond Received")+SUMIFS(#REF!,#REF!,"&gt;="&amp;AS7,#REF!,"&lt;="&amp;EOMONTH(AS7,0))-SUMIFS(#REF!,#REF!,"&gt;="&amp;AS7,#REF!,"&lt;="&amp;EOMONTH(AS7,0),#REF!,$B$14)-(SUMIFS(#REF!,#REF!,"&gt;="&amp;AS7,#REF!,"&lt;="&amp;EOMONTH(AS7,0),#REF!,"Discount Rent")*2)-SUMIFS(#REF!,#REF!,"&gt;="&amp;AS7,#REF!,"&lt;="&amp;EOMONTH(AS7,0),#REF!,"Bond Received")+SUMIFS('1UL9RY'!$D$6:$D$2989,'1UL9RY'!$E$6:$E$2989,"&gt;="&amp;AS7,'1UL9RY'!$E$6:$E$2989,"&lt;="&amp;EOMONTH(AS7,0))-SUMIFS('1UL9RY'!$D$6:$D$2989,'1UL9RY'!$E$6:$E$2989,"&gt;="&amp;AS7,'1UL9RY'!$E$6:$E$2989,"&lt;="&amp;EOMONTH(AS7,0),'1UL9RY'!$F$6:$F$2989,$B$14)-(SUMIFS('1UL9RY'!$D$6:$D$2989,'1UL9RY'!$E$6:$E$2989,"&gt;="&amp;AS7,'1UL9RY'!$E$6:$E$2989,"&lt;="&amp;EOMONTH(AS7,0),'1UL9RY'!$F$6:$F$2989,"Discount Rent")*2)-SUMIFS('1UL9RY'!$D$6:$D$2989,'1UL9RY'!$E$6:$E$2989,"&gt;="&amp;AS7,'1UL9RY'!$E$6:$E$2989,"&lt;="&amp;EOMONTH(AS7,0),'1UL9RY'!$F$6:$F$2989,"Bond Received")+SUMIFS('1OZ7GT'!$D$6:$D$2989,'1OZ7GT'!$E$6:$E$2989,"&gt;="&amp;AS7,'1OZ7GT'!$E$6:$E$2989,"&lt;="&amp;EOMONTH(AS7,0))-SUMIFS('1OZ7GT'!$D$6:$D$2989,'1OZ7GT'!$E$6:$E$2989,"&gt;="&amp;AS7,'1OZ7GT'!$E$6:$E$2989,"&lt;="&amp;EOMONTH(AS7,0),'1OZ7GT'!$F$6:$F$2989,$B$14)-(SUMIFS('1OZ7GT'!$D$6:$D$2989,'1OZ7GT'!$E$6:$E$2989,"&gt;="&amp;AS7,'1OZ7GT'!$E$6:$E$2989,"&lt;="&amp;EOMONTH(AS7,0),'1OZ7GT'!$F$6:$F$2989,"Discount Rent")*2)-SUMIFS('1OZ7GT'!$D$6:$D$2989,'1OZ7GT'!$E$6:$E$2989,"&gt;="&amp;AS7,'1OZ7GT'!$E$6:$E$2989,"&lt;="&amp;EOMONTH(AS7,0),'1OZ7GT'!$F$6:$F$2989,"Bond Received")+SUMIFS('1CN8DD'!$D$6:$D$2989,'1CN8DD'!$E$6:$E$2989,"&gt;="&amp;AS7,'1CN8DD'!$E$6:$E$2989,"&lt;="&amp;EOMONTH(AS7,0))-SUMIFS('1CN8DD'!$D$6:$D$2989,'1CN8DD'!$E$6:$E$2989,"&gt;="&amp;AS7,'1CN8DD'!$E$6:$E$2989,"&lt;="&amp;EOMONTH(AS7,0),'1CN8DD'!$F$6:$F$2989,$B$14)-(SUMIFS('1CN8DD'!$D$6:$D$2989,'1CN8DD'!$E$6:$E$2989,"&gt;="&amp;AS7,'1CN8DD'!$E$6:$E$2989,"&lt;="&amp;EOMONTH(AS7,0),'1CN8DD'!$F$6:$F$2989,"Discount Rent")*2)-SUMIFS('1CN8DD'!$D$6:$D$2989,'1CN8DD'!$E$6:$E$2989,"&gt;="&amp;AS7,'1CN8DD'!$E$6:$E$2989,"&lt;="&amp;EOMONTH(AS7,0),'1CN8DD'!$F$6:$F$2989,"Bond Received")+SUMIFS('1UT9BR'!$D$6:$D$2989,'1UT9BR'!$E$6:$E$2989,"&gt;="&amp;AS7,'1UT9BR'!$E$6:$E$2989,"&lt;="&amp;EOMONTH(AS7,0))-SUMIFS('1UT9BR'!$D$6:$D$2989,'1UT9BR'!$E$6:$E$2989,"&gt;="&amp;AS7,'1UT9BR'!$E$6:$E$2989,"&lt;="&amp;EOMONTH(AS7,0),'1UT9BR'!$F$6:$F$2989,$B$14)-(SUMIFS('1UT9BR'!$D$6:$D$2989,'1UT9BR'!$E$6:$E$2989,"&gt;="&amp;AS7,'1UT9BR'!$E$6:$E$2989,"&lt;="&amp;EOMONTH(AS7,0),'1UT9BR'!$F$6:$F$2989,"Discount Rent")*2)-SUMIFS('1UT9BR'!$D$6:$D$2989,'1UT9BR'!$E$6:$E$2989,"&gt;="&amp;AS7,'1UT9BR'!$E$6:$E$2989,"&lt;="&amp;EOMONTH(AS7,0),'1UT9BR'!$F$6:$F$2989,"Bond Received")+SUMIFS('1MK4UR'!$D$6:$D$2989,'1MK4UR'!$E$6:$E$2989,"&gt;="&amp;AS7,'1MK4UR'!$E$6:$E$2989,"&lt;="&amp;EOMONTH(AS7,0))-SUMIFS('1MK4UR'!$D$6:$D$2989,'1MK4UR'!$E$6:$E$2989,"&gt;="&amp;AS7,'1MK4UR'!$E$6:$E$2989,"&lt;="&amp;EOMONTH(AS7,0),'1MK4UR'!$F$6:$F$2989,$B$14)-(SUMIFS('1MK4UR'!$D$6:$D$2989,'1MK4UR'!$E$6:$E$2989,"&gt;="&amp;AS7,'1MK4UR'!$E$6:$E$2989,"&lt;="&amp;EOMONTH(AS7,0),'1MK4UR'!$F$6:$F$2989,"Discount Rent")*2)-SUMIFS('1MK4UR'!$D$6:$D$2989,'1MK4UR'!$E$6:$E$2989,"&gt;="&amp;AS7,'1MK4UR'!$E$6:$E$2989,"&lt;="&amp;EOMONTH(AS7,0),'1MK4UR'!$F$6:$F$2989,"Bond Received")</f>
        <v>#REF!</v>
      </c>
      <c r="AT10" s="108" t="e">
        <f>SUMIFS('Other Expense'!$C$8:$C$3017,'Other Expense'!$B$8:$B$3017,"&gt;="&amp;AT7,'Other Expense'!$B$8:$B$3017,"&lt;="&amp;EOMONTH(AT7,0),'Other Expense'!$D$8:$D$3017,$B$9)+SUMIFS('CEI565'!$D$6:$D$2994,'CEI565'!$E$6:$E$2994,"&gt;="&amp;AT7,'CEI565'!$E$6:$E$2994,"&lt;="&amp;EOMONTH(AT7,0))-SUMIFS('CEI565'!$D$6:$D$2994,'CEI565'!$E$6:$E$2994,"&gt;="&amp;AT7,'CEI565'!$E$6:$E$2994,"&lt;="&amp;EOMONTH(AT7,0),'CEI565'!$F$6:$F$2994,$B$14)-(SUMIFS('CEI565'!$D$6:$D$2994,'CEI565'!$E$6:$E$2994,"&gt;="&amp;AT7,'CEI565'!$E$6:$E$2994,"&lt;="&amp;EOMONTH(AT7,0),'CEI565'!$F$6:$F$2994,"Discount Rent")*2)-SUMIFS('CEI565'!$D$6:$D$2994,'CEI565'!$E$6:$E$2994,"&gt;="&amp;AT7,'CEI565'!$E$6:$E$2994,"&lt;="&amp;EOMONTH(AT7,0),'CEI565'!$F$6:$F$2994,"Bond Received")+SUMIFS('1SM3VL'!$D$6:$D$2989,'1SM3VL'!$E$6:$E$2989,"&gt;="&amp;AT7,'1SM3VL'!$E$6:$E$2989,"&lt;="&amp;EOMONTH(AT7,0))-SUMIFS('1SM3VL'!$D$6:$D$2989,'1SM3VL'!$E$6:$E$2989,"&gt;="&amp;AT7,'1SM3VL'!$E$6:$E$2989,"&lt;="&amp;EOMONTH(AT7,0),'1SM3VL'!$F$6:$F$2989,$B$14)-(SUMIFS('1SM3VL'!$D$6:$D$2989,'1SM3VL'!$E$6:$E$2989,"&gt;="&amp;AT7,'1SM3VL'!$E$6:$E$2989,"&lt;="&amp;EOMONTH(AT7,0),'1SM3VL'!$F$6:$F$2989,"Discount Rent")*2)-SUMIFS('1SM3VL'!$D$6:$D$2989,'1SM3VL'!$E$6:$E$2989,"&gt;="&amp;AT7,'1SM3VL'!$E$6:$E$2989,"&lt;="&amp;EOMONTH(AT7,0),'1SM3VL'!$F$6:$F$2989,"Bond Received")+SUMIFS('1QF4SM'!$D$6:$D$2989,'1QF4SM'!$E$6:$E$2989,"&gt;="&amp;AT7,'1QF4SM'!$E$6:$E$2989,"&lt;="&amp;EOMONTH(AT7,0))-SUMIFS('1QF4SM'!$D$6:$D$2989,'1QF4SM'!$E$6:$E$2989,"&gt;="&amp;AT7,'1QF4SM'!$E$6:$E$2989,"&lt;="&amp;EOMONTH(AT7,0),'1QF4SM'!$F$6:$F$2989,$B$14)-(SUMIFS('1QF4SM'!$D$6:$D$2989,'1QF4SM'!$E$6:$E$2989,"&gt;="&amp;AT7,'1QF4SM'!$E$6:$E$2989,"&lt;="&amp;EOMONTH(AT7,0),'1QF4SM'!$F$6:$F$2989,"Discount Rent")*2)-SUMIFS('1QF4SM'!$D$6:$D$2989,'1QF4SM'!$E$6:$E$2989,"&gt;="&amp;AT7,'1QF4SM'!$E$6:$E$2989,"&lt;="&amp;EOMONTH(AT7,0),'1QF4SM'!$F$6:$F$2989,"Bond Received")+SUMIFS('1UV5KI'!$D$6:$D$2988,'1UV5KI'!$E$6:$E$2988,"&gt;="&amp;AT7,'1UV5KI'!$E$6:$E$2988,"&lt;="&amp;EOMONTH(AT7,0))-SUMIFS('1UV5KI'!$D$6:$D$2988,'1UV5KI'!$E$6:$E$2988,"&gt;="&amp;AT7,'1UV5KI'!$E$6:$E$2988,"&lt;="&amp;EOMONTH(AT7,0),'1UV5KI'!$F$6:$F$2988,$B$14)-(SUMIFS('1UV5KI'!$D$6:$D$2988,'1UV5KI'!$E$6:$E$2988,"&gt;="&amp;AT7,'1UV5KI'!$E$6:$E$2988,"&lt;="&amp;EOMONTH(AT7,0),'1UV5KI'!$F$6:$F$2988,"Discount Rent")*2)-SUMIFS('1UV5KI'!$D$6:$D$2988,'1UV5KI'!$E$6:$E$2988,"&gt;="&amp;AT7,'1UV5KI'!$E$6:$E$2988,"&lt;="&amp;EOMONTH(AT7,0),'1UV5KI'!$F$6:$F$2988,"Bond Received")+SUMIFS(#REF!,#REF!,"&gt;="&amp;AT7,#REF!,"&lt;="&amp;EOMONTH(AT7,0))-SUMIFS(#REF!,#REF!,"&gt;="&amp;AT7,#REF!,"&lt;="&amp;EOMONTH(AT7,0),#REF!,$B$14)-(SUMIFS(#REF!,#REF!,"&gt;="&amp;AT7,#REF!,"&lt;="&amp;EOMONTH(AT7,0),#REF!,"Discount Rent")*2)-SUMIFS(#REF!,#REF!,"&gt;="&amp;AT7,#REF!,"&lt;="&amp;EOMONTH(AT7,0),#REF!,"Bond Received")+SUMIFS('1UL9RY'!$D$6:$D$2989,'1UL9RY'!$E$6:$E$2989,"&gt;="&amp;AT7,'1UL9RY'!$E$6:$E$2989,"&lt;="&amp;EOMONTH(AT7,0))-SUMIFS('1UL9RY'!$D$6:$D$2989,'1UL9RY'!$E$6:$E$2989,"&gt;="&amp;AT7,'1UL9RY'!$E$6:$E$2989,"&lt;="&amp;EOMONTH(AT7,0),'1UL9RY'!$F$6:$F$2989,$B$14)-(SUMIFS('1UL9RY'!$D$6:$D$2989,'1UL9RY'!$E$6:$E$2989,"&gt;="&amp;AT7,'1UL9RY'!$E$6:$E$2989,"&lt;="&amp;EOMONTH(AT7,0),'1UL9RY'!$F$6:$F$2989,"Discount Rent")*2)-SUMIFS('1UL9RY'!$D$6:$D$2989,'1UL9RY'!$E$6:$E$2989,"&gt;="&amp;AT7,'1UL9RY'!$E$6:$E$2989,"&lt;="&amp;EOMONTH(AT7,0),'1UL9RY'!$F$6:$F$2989,"Bond Received")+SUMIFS('1OZ7GT'!$D$6:$D$2989,'1OZ7GT'!$E$6:$E$2989,"&gt;="&amp;AT7,'1OZ7GT'!$E$6:$E$2989,"&lt;="&amp;EOMONTH(AT7,0))-SUMIFS('1OZ7GT'!$D$6:$D$2989,'1OZ7GT'!$E$6:$E$2989,"&gt;="&amp;AT7,'1OZ7GT'!$E$6:$E$2989,"&lt;="&amp;EOMONTH(AT7,0),'1OZ7GT'!$F$6:$F$2989,$B$14)-(SUMIFS('1OZ7GT'!$D$6:$D$2989,'1OZ7GT'!$E$6:$E$2989,"&gt;="&amp;AT7,'1OZ7GT'!$E$6:$E$2989,"&lt;="&amp;EOMONTH(AT7,0),'1OZ7GT'!$F$6:$F$2989,"Discount Rent")*2)-SUMIFS('1OZ7GT'!$D$6:$D$2989,'1OZ7GT'!$E$6:$E$2989,"&gt;="&amp;AT7,'1OZ7GT'!$E$6:$E$2989,"&lt;="&amp;EOMONTH(AT7,0),'1OZ7GT'!$F$6:$F$2989,"Bond Received")+SUMIFS('1CN8DD'!$D$6:$D$2989,'1CN8DD'!$E$6:$E$2989,"&gt;="&amp;AT7,'1CN8DD'!$E$6:$E$2989,"&lt;="&amp;EOMONTH(AT7,0))-SUMIFS('1CN8DD'!$D$6:$D$2989,'1CN8DD'!$E$6:$E$2989,"&gt;="&amp;AT7,'1CN8DD'!$E$6:$E$2989,"&lt;="&amp;EOMONTH(AT7,0),'1CN8DD'!$F$6:$F$2989,$B$14)-(SUMIFS('1CN8DD'!$D$6:$D$2989,'1CN8DD'!$E$6:$E$2989,"&gt;="&amp;AT7,'1CN8DD'!$E$6:$E$2989,"&lt;="&amp;EOMONTH(AT7,0),'1CN8DD'!$F$6:$F$2989,"Discount Rent")*2)-SUMIFS('1CN8DD'!$D$6:$D$2989,'1CN8DD'!$E$6:$E$2989,"&gt;="&amp;AT7,'1CN8DD'!$E$6:$E$2989,"&lt;="&amp;EOMONTH(AT7,0),'1CN8DD'!$F$6:$F$2989,"Bond Received")+SUMIFS('1UT9BR'!$D$6:$D$2989,'1UT9BR'!$E$6:$E$2989,"&gt;="&amp;AT7,'1UT9BR'!$E$6:$E$2989,"&lt;="&amp;EOMONTH(AT7,0))-SUMIFS('1UT9BR'!$D$6:$D$2989,'1UT9BR'!$E$6:$E$2989,"&gt;="&amp;AT7,'1UT9BR'!$E$6:$E$2989,"&lt;="&amp;EOMONTH(AT7,0),'1UT9BR'!$F$6:$F$2989,$B$14)-(SUMIFS('1UT9BR'!$D$6:$D$2989,'1UT9BR'!$E$6:$E$2989,"&gt;="&amp;AT7,'1UT9BR'!$E$6:$E$2989,"&lt;="&amp;EOMONTH(AT7,0),'1UT9BR'!$F$6:$F$2989,"Discount Rent")*2)-SUMIFS('1UT9BR'!$D$6:$D$2989,'1UT9BR'!$E$6:$E$2989,"&gt;="&amp;AT7,'1UT9BR'!$E$6:$E$2989,"&lt;="&amp;EOMONTH(AT7,0),'1UT9BR'!$F$6:$F$2989,"Bond Received")+SUMIFS('1MK4UR'!$D$6:$D$2989,'1MK4UR'!$E$6:$E$2989,"&gt;="&amp;AT7,'1MK4UR'!$E$6:$E$2989,"&lt;="&amp;EOMONTH(AT7,0))-SUMIFS('1MK4UR'!$D$6:$D$2989,'1MK4UR'!$E$6:$E$2989,"&gt;="&amp;AT7,'1MK4UR'!$E$6:$E$2989,"&lt;="&amp;EOMONTH(AT7,0),'1MK4UR'!$F$6:$F$2989,$B$14)-(SUMIFS('1MK4UR'!$D$6:$D$2989,'1MK4UR'!$E$6:$E$2989,"&gt;="&amp;AT7,'1MK4UR'!$E$6:$E$2989,"&lt;="&amp;EOMONTH(AT7,0),'1MK4UR'!$F$6:$F$2989,"Discount Rent")*2)-SUMIFS('1MK4UR'!$D$6:$D$2989,'1MK4UR'!$E$6:$E$2989,"&gt;="&amp;AT7,'1MK4UR'!$E$6:$E$2989,"&lt;="&amp;EOMONTH(AT7,0),'1MK4UR'!$F$6:$F$2989,"Bond Received")</f>
        <v>#REF!</v>
      </c>
      <c r="AU10" s="108" t="e">
        <f>SUMIFS('Other Expense'!$C$8:$C$3017,'Other Expense'!$B$8:$B$3017,"&gt;="&amp;AU7,'Other Expense'!$B$8:$B$3017,"&lt;="&amp;EOMONTH(AU7,0),'Other Expense'!$D$8:$D$3017,$B$9)+SUMIFS('CEI565'!$D$6:$D$2994,'CEI565'!$E$6:$E$2994,"&gt;="&amp;AU7,'CEI565'!$E$6:$E$2994,"&lt;="&amp;EOMONTH(AU7,0))-SUMIFS('CEI565'!$D$6:$D$2994,'CEI565'!$E$6:$E$2994,"&gt;="&amp;AU7,'CEI565'!$E$6:$E$2994,"&lt;="&amp;EOMONTH(AU7,0),'CEI565'!$F$6:$F$2994,$B$14)-(SUMIFS('CEI565'!$D$6:$D$2994,'CEI565'!$E$6:$E$2994,"&gt;="&amp;AU7,'CEI565'!$E$6:$E$2994,"&lt;="&amp;EOMONTH(AU7,0),'CEI565'!$F$6:$F$2994,"Discount Rent")*2)-SUMIFS('CEI565'!$D$6:$D$2994,'CEI565'!$E$6:$E$2994,"&gt;="&amp;AU7,'CEI565'!$E$6:$E$2994,"&lt;="&amp;EOMONTH(AU7,0),'CEI565'!$F$6:$F$2994,"Bond Received")+SUMIFS('1SM3VL'!$D$6:$D$2989,'1SM3VL'!$E$6:$E$2989,"&gt;="&amp;AU7,'1SM3VL'!$E$6:$E$2989,"&lt;="&amp;EOMONTH(AU7,0))-SUMIFS('1SM3VL'!$D$6:$D$2989,'1SM3VL'!$E$6:$E$2989,"&gt;="&amp;AU7,'1SM3VL'!$E$6:$E$2989,"&lt;="&amp;EOMONTH(AU7,0),'1SM3VL'!$F$6:$F$2989,$B$14)-(SUMIFS('1SM3VL'!$D$6:$D$2989,'1SM3VL'!$E$6:$E$2989,"&gt;="&amp;AU7,'1SM3VL'!$E$6:$E$2989,"&lt;="&amp;EOMONTH(AU7,0),'1SM3VL'!$F$6:$F$2989,"Discount Rent")*2)-SUMIFS('1SM3VL'!$D$6:$D$2989,'1SM3VL'!$E$6:$E$2989,"&gt;="&amp;AU7,'1SM3VL'!$E$6:$E$2989,"&lt;="&amp;EOMONTH(AU7,0),'1SM3VL'!$F$6:$F$2989,"Bond Received")+SUMIFS('1QF4SM'!$D$6:$D$2989,'1QF4SM'!$E$6:$E$2989,"&gt;="&amp;AU7,'1QF4SM'!$E$6:$E$2989,"&lt;="&amp;EOMONTH(AU7,0))-SUMIFS('1QF4SM'!$D$6:$D$2989,'1QF4SM'!$E$6:$E$2989,"&gt;="&amp;AU7,'1QF4SM'!$E$6:$E$2989,"&lt;="&amp;EOMONTH(AU7,0),'1QF4SM'!$F$6:$F$2989,$B$14)-(SUMIFS('1QF4SM'!$D$6:$D$2989,'1QF4SM'!$E$6:$E$2989,"&gt;="&amp;AU7,'1QF4SM'!$E$6:$E$2989,"&lt;="&amp;EOMONTH(AU7,0),'1QF4SM'!$F$6:$F$2989,"Discount Rent")*2)-SUMIFS('1QF4SM'!$D$6:$D$2989,'1QF4SM'!$E$6:$E$2989,"&gt;="&amp;AU7,'1QF4SM'!$E$6:$E$2989,"&lt;="&amp;EOMONTH(AU7,0),'1QF4SM'!$F$6:$F$2989,"Bond Received")+SUMIFS('1UV5KI'!$D$6:$D$2988,'1UV5KI'!$E$6:$E$2988,"&gt;="&amp;AU7,'1UV5KI'!$E$6:$E$2988,"&lt;="&amp;EOMONTH(AU7,0))-SUMIFS('1UV5KI'!$D$6:$D$2988,'1UV5KI'!$E$6:$E$2988,"&gt;="&amp;AU7,'1UV5KI'!$E$6:$E$2988,"&lt;="&amp;EOMONTH(AU7,0),'1UV5KI'!$F$6:$F$2988,$B$14)-(SUMIFS('1UV5KI'!$D$6:$D$2988,'1UV5KI'!$E$6:$E$2988,"&gt;="&amp;AU7,'1UV5KI'!$E$6:$E$2988,"&lt;="&amp;EOMONTH(AU7,0),'1UV5KI'!$F$6:$F$2988,"Discount Rent")*2)-SUMIFS('1UV5KI'!$D$6:$D$2988,'1UV5KI'!$E$6:$E$2988,"&gt;="&amp;AU7,'1UV5KI'!$E$6:$E$2988,"&lt;="&amp;EOMONTH(AU7,0),'1UV5KI'!$F$6:$F$2988,"Bond Received")+SUMIFS(#REF!,#REF!,"&gt;="&amp;AU7,#REF!,"&lt;="&amp;EOMONTH(AU7,0))-SUMIFS(#REF!,#REF!,"&gt;="&amp;AU7,#REF!,"&lt;="&amp;EOMONTH(AU7,0),#REF!,$B$14)-(SUMIFS(#REF!,#REF!,"&gt;="&amp;AU7,#REF!,"&lt;="&amp;EOMONTH(AU7,0),#REF!,"Discount Rent")*2)-SUMIFS(#REF!,#REF!,"&gt;="&amp;AU7,#REF!,"&lt;="&amp;EOMONTH(AU7,0),#REF!,"Bond Received")+SUMIFS('1UL9RY'!$D$6:$D$2989,'1UL9RY'!$E$6:$E$2989,"&gt;="&amp;AU7,'1UL9RY'!$E$6:$E$2989,"&lt;="&amp;EOMONTH(AU7,0))-SUMIFS('1UL9RY'!$D$6:$D$2989,'1UL9RY'!$E$6:$E$2989,"&gt;="&amp;AU7,'1UL9RY'!$E$6:$E$2989,"&lt;="&amp;EOMONTH(AU7,0),'1UL9RY'!$F$6:$F$2989,$B$14)-(SUMIFS('1UL9RY'!$D$6:$D$2989,'1UL9RY'!$E$6:$E$2989,"&gt;="&amp;AU7,'1UL9RY'!$E$6:$E$2989,"&lt;="&amp;EOMONTH(AU7,0),'1UL9RY'!$F$6:$F$2989,"Discount Rent")*2)-SUMIFS('1UL9RY'!$D$6:$D$2989,'1UL9RY'!$E$6:$E$2989,"&gt;="&amp;AU7,'1UL9RY'!$E$6:$E$2989,"&lt;="&amp;EOMONTH(AU7,0),'1UL9RY'!$F$6:$F$2989,"Bond Received")+SUMIFS('1OZ7GT'!$D$6:$D$2989,'1OZ7GT'!$E$6:$E$2989,"&gt;="&amp;AU7,'1OZ7GT'!$E$6:$E$2989,"&lt;="&amp;EOMONTH(AU7,0))-SUMIFS('1OZ7GT'!$D$6:$D$2989,'1OZ7GT'!$E$6:$E$2989,"&gt;="&amp;AU7,'1OZ7GT'!$E$6:$E$2989,"&lt;="&amp;EOMONTH(AU7,0),'1OZ7GT'!$F$6:$F$2989,$B$14)-(SUMIFS('1OZ7GT'!$D$6:$D$2989,'1OZ7GT'!$E$6:$E$2989,"&gt;="&amp;AU7,'1OZ7GT'!$E$6:$E$2989,"&lt;="&amp;EOMONTH(AU7,0),'1OZ7GT'!$F$6:$F$2989,"Discount Rent")*2)-SUMIFS('1OZ7GT'!$D$6:$D$2989,'1OZ7GT'!$E$6:$E$2989,"&gt;="&amp;AU7,'1OZ7GT'!$E$6:$E$2989,"&lt;="&amp;EOMONTH(AU7,0),'1OZ7GT'!$F$6:$F$2989,"Bond Received")+SUMIFS('1CN8DD'!$D$6:$D$2989,'1CN8DD'!$E$6:$E$2989,"&gt;="&amp;AU7,'1CN8DD'!$E$6:$E$2989,"&lt;="&amp;EOMONTH(AU7,0))-SUMIFS('1CN8DD'!$D$6:$D$2989,'1CN8DD'!$E$6:$E$2989,"&gt;="&amp;AU7,'1CN8DD'!$E$6:$E$2989,"&lt;="&amp;EOMONTH(AU7,0),'1CN8DD'!$F$6:$F$2989,$B$14)-(SUMIFS('1CN8DD'!$D$6:$D$2989,'1CN8DD'!$E$6:$E$2989,"&gt;="&amp;AU7,'1CN8DD'!$E$6:$E$2989,"&lt;="&amp;EOMONTH(AU7,0),'1CN8DD'!$F$6:$F$2989,"Discount Rent")*2)-SUMIFS('1CN8DD'!$D$6:$D$2989,'1CN8DD'!$E$6:$E$2989,"&gt;="&amp;AU7,'1CN8DD'!$E$6:$E$2989,"&lt;="&amp;EOMONTH(AU7,0),'1CN8DD'!$F$6:$F$2989,"Bond Received")+SUMIFS('1UT9BR'!$D$6:$D$2989,'1UT9BR'!$E$6:$E$2989,"&gt;="&amp;AU7,'1UT9BR'!$E$6:$E$2989,"&lt;="&amp;EOMONTH(AU7,0))-SUMIFS('1UT9BR'!$D$6:$D$2989,'1UT9BR'!$E$6:$E$2989,"&gt;="&amp;AU7,'1UT9BR'!$E$6:$E$2989,"&lt;="&amp;EOMONTH(AU7,0),'1UT9BR'!$F$6:$F$2989,$B$14)-(SUMIFS('1UT9BR'!$D$6:$D$2989,'1UT9BR'!$E$6:$E$2989,"&gt;="&amp;AU7,'1UT9BR'!$E$6:$E$2989,"&lt;="&amp;EOMONTH(AU7,0),'1UT9BR'!$F$6:$F$2989,"Discount Rent")*2)-SUMIFS('1UT9BR'!$D$6:$D$2989,'1UT9BR'!$E$6:$E$2989,"&gt;="&amp;AU7,'1UT9BR'!$E$6:$E$2989,"&lt;="&amp;EOMONTH(AU7,0),'1UT9BR'!$F$6:$F$2989,"Bond Received")+SUMIFS('1MK4UR'!$D$6:$D$2989,'1MK4UR'!$E$6:$E$2989,"&gt;="&amp;AU7,'1MK4UR'!$E$6:$E$2989,"&lt;="&amp;EOMONTH(AU7,0))-SUMIFS('1MK4UR'!$D$6:$D$2989,'1MK4UR'!$E$6:$E$2989,"&gt;="&amp;AU7,'1MK4UR'!$E$6:$E$2989,"&lt;="&amp;EOMONTH(AU7,0),'1MK4UR'!$F$6:$F$2989,$B$14)-(SUMIFS('1MK4UR'!$D$6:$D$2989,'1MK4UR'!$E$6:$E$2989,"&gt;="&amp;AU7,'1MK4UR'!$E$6:$E$2989,"&lt;="&amp;EOMONTH(AU7,0),'1MK4UR'!$F$6:$F$2989,"Discount Rent")*2)-SUMIFS('1MK4UR'!$D$6:$D$2989,'1MK4UR'!$E$6:$E$2989,"&gt;="&amp;AU7,'1MK4UR'!$E$6:$E$2989,"&lt;="&amp;EOMONTH(AU7,0),'1MK4UR'!$F$6:$F$2989,"Bond Received")</f>
        <v>#REF!</v>
      </c>
      <c r="AV10" s="108" t="e">
        <f>SUMIFS('Other Expense'!$C$8:$C$3017,'Other Expense'!$B$8:$B$3017,"&gt;="&amp;AV7,'Other Expense'!$B$8:$B$3017,"&lt;="&amp;EOMONTH(AV7,0),'Other Expense'!$D$8:$D$3017,$B$9)+SUMIFS('CEI565'!$D$6:$D$2994,'CEI565'!$E$6:$E$2994,"&gt;="&amp;AV7,'CEI565'!$E$6:$E$2994,"&lt;="&amp;EOMONTH(AV7,0))-SUMIFS('CEI565'!$D$6:$D$2994,'CEI565'!$E$6:$E$2994,"&gt;="&amp;AV7,'CEI565'!$E$6:$E$2994,"&lt;="&amp;EOMONTH(AV7,0),'CEI565'!$F$6:$F$2994,$B$14)-(SUMIFS('CEI565'!$D$6:$D$2994,'CEI565'!$E$6:$E$2994,"&gt;="&amp;AV7,'CEI565'!$E$6:$E$2994,"&lt;="&amp;EOMONTH(AV7,0),'CEI565'!$F$6:$F$2994,"Discount Rent")*2)-SUMIFS('CEI565'!$D$6:$D$2994,'CEI565'!$E$6:$E$2994,"&gt;="&amp;AV7,'CEI565'!$E$6:$E$2994,"&lt;="&amp;EOMONTH(AV7,0),'CEI565'!$F$6:$F$2994,"Bond Received")+SUMIFS('1SM3VL'!$D$6:$D$2989,'1SM3VL'!$E$6:$E$2989,"&gt;="&amp;AV7,'1SM3VL'!$E$6:$E$2989,"&lt;="&amp;EOMONTH(AV7,0))-SUMIFS('1SM3VL'!$D$6:$D$2989,'1SM3VL'!$E$6:$E$2989,"&gt;="&amp;AV7,'1SM3VL'!$E$6:$E$2989,"&lt;="&amp;EOMONTH(AV7,0),'1SM3VL'!$F$6:$F$2989,$B$14)-(SUMIFS('1SM3VL'!$D$6:$D$2989,'1SM3VL'!$E$6:$E$2989,"&gt;="&amp;AV7,'1SM3VL'!$E$6:$E$2989,"&lt;="&amp;EOMONTH(AV7,0),'1SM3VL'!$F$6:$F$2989,"Discount Rent")*2)-SUMIFS('1SM3VL'!$D$6:$D$2989,'1SM3VL'!$E$6:$E$2989,"&gt;="&amp;AV7,'1SM3VL'!$E$6:$E$2989,"&lt;="&amp;EOMONTH(AV7,0),'1SM3VL'!$F$6:$F$2989,"Bond Received")+SUMIFS('1QF4SM'!$D$6:$D$2989,'1QF4SM'!$E$6:$E$2989,"&gt;="&amp;AV7,'1QF4SM'!$E$6:$E$2989,"&lt;="&amp;EOMONTH(AV7,0))-SUMIFS('1QF4SM'!$D$6:$D$2989,'1QF4SM'!$E$6:$E$2989,"&gt;="&amp;AV7,'1QF4SM'!$E$6:$E$2989,"&lt;="&amp;EOMONTH(AV7,0),'1QF4SM'!$F$6:$F$2989,$B$14)-(SUMIFS('1QF4SM'!$D$6:$D$2989,'1QF4SM'!$E$6:$E$2989,"&gt;="&amp;AV7,'1QF4SM'!$E$6:$E$2989,"&lt;="&amp;EOMONTH(AV7,0),'1QF4SM'!$F$6:$F$2989,"Discount Rent")*2)-SUMIFS('1QF4SM'!$D$6:$D$2989,'1QF4SM'!$E$6:$E$2989,"&gt;="&amp;AV7,'1QF4SM'!$E$6:$E$2989,"&lt;="&amp;EOMONTH(AV7,0),'1QF4SM'!$F$6:$F$2989,"Bond Received")+SUMIFS('1UV5KI'!$D$6:$D$2988,'1UV5KI'!$E$6:$E$2988,"&gt;="&amp;AV7,'1UV5KI'!$E$6:$E$2988,"&lt;="&amp;EOMONTH(AV7,0))-SUMIFS('1UV5KI'!$D$6:$D$2988,'1UV5KI'!$E$6:$E$2988,"&gt;="&amp;AV7,'1UV5KI'!$E$6:$E$2988,"&lt;="&amp;EOMONTH(AV7,0),'1UV5KI'!$F$6:$F$2988,$B$14)-(SUMIFS('1UV5KI'!$D$6:$D$2988,'1UV5KI'!$E$6:$E$2988,"&gt;="&amp;AV7,'1UV5KI'!$E$6:$E$2988,"&lt;="&amp;EOMONTH(AV7,0),'1UV5KI'!$F$6:$F$2988,"Discount Rent")*2)-SUMIFS('1UV5KI'!$D$6:$D$2988,'1UV5KI'!$E$6:$E$2988,"&gt;="&amp;AV7,'1UV5KI'!$E$6:$E$2988,"&lt;="&amp;EOMONTH(AV7,0),'1UV5KI'!$F$6:$F$2988,"Bond Received")+SUMIFS(#REF!,#REF!,"&gt;="&amp;AV7,#REF!,"&lt;="&amp;EOMONTH(AV7,0))-SUMIFS(#REF!,#REF!,"&gt;="&amp;AV7,#REF!,"&lt;="&amp;EOMONTH(AV7,0),#REF!,$B$14)-(SUMIFS(#REF!,#REF!,"&gt;="&amp;AV7,#REF!,"&lt;="&amp;EOMONTH(AV7,0),#REF!,"Discount Rent")*2)-SUMIFS(#REF!,#REF!,"&gt;="&amp;AV7,#REF!,"&lt;="&amp;EOMONTH(AV7,0),#REF!,"Bond Received")+SUMIFS('1UL9RY'!$D$6:$D$2989,'1UL9RY'!$E$6:$E$2989,"&gt;="&amp;AV7,'1UL9RY'!$E$6:$E$2989,"&lt;="&amp;EOMONTH(AV7,0))-SUMIFS('1UL9RY'!$D$6:$D$2989,'1UL9RY'!$E$6:$E$2989,"&gt;="&amp;AV7,'1UL9RY'!$E$6:$E$2989,"&lt;="&amp;EOMONTH(AV7,0),'1UL9RY'!$F$6:$F$2989,$B$14)-(SUMIFS('1UL9RY'!$D$6:$D$2989,'1UL9RY'!$E$6:$E$2989,"&gt;="&amp;AV7,'1UL9RY'!$E$6:$E$2989,"&lt;="&amp;EOMONTH(AV7,0),'1UL9RY'!$F$6:$F$2989,"Discount Rent")*2)-SUMIFS('1UL9RY'!$D$6:$D$2989,'1UL9RY'!$E$6:$E$2989,"&gt;="&amp;AV7,'1UL9RY'!$E$6:$E$2989,"&lt;="&amp;EOMONTH(AV7,0),'1UL9RY'!$F$6:$F$2989,"Bond Received")+SUMIFS('1OZ7GT'!$D$6:$D$2989,'1OZ7GT'!$E$6:$E$2989,"&gt;="&amp;AV7,'1OZ7GT'!$E$6:$E$2989,"&lt;="&amp;EOMONTH(AV7,0))-SUMIFS('1OZ7GT'!$D$6:$D$2989,'1OZ7GT'!$E$6:$E$2989,"&gt;="&amp;AV7,'1OZ7GT'!$E$6:$E$2989,"&lt;="&amp;EOMONTH(AV7,0),'1OZ7GT'!$F$6:$F$2989,$B$14)-(SUMIFS('1OZ7GT'!$D$6:$D$2989,'1OZ7GT'!$E$6:$E$2989,"&gt;="&amp;AV7,'1OZ7GT'!$E$6:$E$2989,"&lt;="&amp;EOMONTH(AV7,0),'1OZ7GT'!$F$6:$F$2989,"Discount Rent")*2)-SUMIFS('1OZ7GT'!$D$6:$D$2989,'1OZ7GT'!$E$6:$E$2989,"&gt;="&amp;AV7,'1OZ7GT'!$E$6:$E$2989,"&lt;="&amp;EOMONTH(AV7,0),'1OZ7GT'!$F$6:$F$2989,"Bond Received")+SUMIFS('1CN8DD'!$D$6:$D$2989,'1CN8DD'!$E$6:$E$2989,"&gt;="&amp;AV7,'1CN8DD'!$E$6:$E$2989,"&lt;="&amp;EOMONTH(AV7,0))-SUMIFS('1CN8DD'!$D$6:$D$2989,'1CN8DD'!$E$6:$E$2989,"&gt;="&amp;AV7,'1CN8DD'!$E$6:$E$2989,"&lt;="&amp;EOMONTH(AV7,0),'1CN8DD'!$F$6:$F$2989,$B$14)-(SUMIFS('1CN8DD'!$D$6:$D$2989,'1CN8DD'!$E$6:$E$2989,"&gt;="&amp;AV7,'1CN8DD'!$E$6:$E$2989,"&lt;="&amp;EOMONTH(AV7,0),'1CN8DD'!$F$6:$F$2989,"Discount Rent")*2)-SUMIFS('1CN8DD'!$D$6:$D$2989,'1CN8DD'!$E$6:$E$2989,"&gt;="&amp;AV7,'1CN8DD'!$E$6:$E$2989,"&lt;="&amp;EOMONTH(AV7,0),'1CN8DD'!$F$6:$F$2989,"Bond Received")+SUMIFS('1UT9BR'!$D$6:$D$2989,'1UT9BR'!$E$6:$E$2989,"&gt;="&amp;AV7,'1UT9BR'!$E$6:$E$2989,"&lt;="&amp;EOMONTH(AV7,0))-SUMIFS('1UT9BR'!$D$6:$D$2989,'1UT9BR'!$E$6:$E$2989,"&gt;="&amp;AV7,'1UT9BR'!$E$6:$E$2989,"&lt;="&amp;EOMONTH(AV7,0),'1UT9BR'!$F$6:$F$2989,$B$14)-(SUMIFS('1UT9BR'!$D$6:$D$2989,'1UT9BR'!$E$6:$E$2989,"&gt;="&amp;AV7,'1UT9BR'!$E$6:$E$2989,"&lt;="&amp;EOMONTH(AV7,0),'1UT9BR'!$F$6:$F$2989,"Discount Rent")*2)-SUMIFS('1UT9BR'!$D$6:$D$2989,'1UT9BR'!$E$6:$E$2989,"&gt;="&amp;AV7,'1UT9BR'!$E$6:$E$2989,"&lt;="&amp;EOMONTH(AV7,0),'1UT9BR'!$F$6:$F$2989,"Bond Received")+SUMIFS('1MK4UR'!$D$6:$D$2989,'1MK4UR'!$E$6:$E$2989,"&gt;="&amp;AV7,'1MK4UR'!$E$6:$E$2989,"&lt;="&amp;EOMONTH(AV7,0))-SUMIFS('1MK4UR'!$D$6:$D$2989,'1MK4UR'!$E$6:$E$2989,"&gt;="&amp;AV7,'1MK4UR'!$E$6:$E$2989,"&lt;="&amp;EOMONTH(AV7,0),'1MK4UR'!$F$6:$F$2989,$B$14)-(SUMIFS('1MK4UR'!$D$6:$D$2989,'1MK4UR'!$E$6:$E$2989,"&gt;="&amp;AV7,'1MK4UR'!$E$6:$E$2989,"&lt;="&amp;EOMONTH(AV7,0),'1MK4UR'!$F$6:$F$2989,"Discount Rent")*2)-SUMIFS('1MK4UR'!$D$6:$D$2989,'1MK4UR'!$E$6:$E$2989,"&gt;="&amp;AV7,'1MK4UR'!$E$6:$E$2989,"&lt;="&amp;EOMONTH(AV7,0),'1MK4UR'!$F$6:$F$2989,"Bond Received")</f>
        <v>#REF!</v>
      </c>
      <c r="AW10" s="108" t="e">
        <f>SUMIFS('Other Expense'!$C$8:$C$3017,'Other Expense'!$B$8:$B$3017,"&gt;="&amp;AW7,'Other Expense'!$B$8:$B$3017,"&lt;="&amp;EOMONTH(AW7,0),'Other Expense'!$D$8:$D$3017,$B$9)+SUMIFS('CEI565'!$D$6:$D$2994,'CEI565'!$E$6:$E$2994,"&gt;="&amp;AW7,'CEI565'!$E$6:$E$2994,"&lt;="&amp;EOMONTH(AW7,0))-SUMIFS('CEI565'!$D$6:$D$2994,'CEI565'!$E$6:$E$2994,"&gt;="&amp;AW7,'CEI565'!$E$6:$E$2994,"&lt;="&amp;EOMONTH(AW7,0),'CEI565'!$F$6:$F$2994,$B$14)-(SUMIFS('CEI565'!$D$6:$D$2994,'CEI565'!$E$6:$E$2994,"&gt;="&amp;AW7,'CEI565'!$E$6:$E$2994,"&lt;="&amp;EOMONTH(AW7,0),'CEI565'!$F$6:$F$2994,"Discount Rent")*2)-SUMIFS('CEI565'!$D$6:$D$2994,'CEI565'!$E$6:$E$2994,"&gt;="&amp;AW7,'CEI565'!$E$6:$E$2994,"&lt;="&amp;EOMONTH(AW7,0),'CEI565'!$F$6:$F$2994,"Bond Received")+SUMIFS('1SM3VL'!$D$6:$D$2989,'1SM3VL'!$E$6:$E$2989,"&gt;="&amp;AW7,'1SM3VL'!$E$6:$E$2989,"&lt;="&amp;EOMONTH(AW7,0))-SUMIFS('1SM3VL'!$D$6:$D$2989,'1SM3VL'!$E$6:$E$2989,"&gt;="&amp;AW7,'1SM3VL'!$E$6:$E$2989,"&lt;="&amp;EOMONTH(AW7,0),'1SM3VL'!$F$6:$F$2989,$B$14)-(SUMIFS('1SM3VL'!$D$6:$D$2989,'1SM3VL'!$E$6:$E$2989,"&gt;="&amp;AW7,'1SM3VL'!$E$6:$E$2989,"&lt;="&amp;EOMONTH(AW7,0),'1SM3VL'!$F$6:$F$2989,"Discount Rent")*2)-SUMIFS('1SM3VL'!$D$6:$D$2989,'1SM3VL'!$E$6:$E$2989,"&gt;="&amp;AW7,'1SM3VL'!$E$6:$E$2989,"&lt;="&amp;EOMONTH(AW7,0),'1SM3VL'!$F$6:$F$2989,"Bond Received")+SUMIFS('1QF4SM'!$D$6:$D$2989,'1QF4SM'!$E$6:$E$2989,"&gt;="&amp;AW7,'1QF4SM'!$E$6:$E$2989,"&lt;="&amp;EOMONTH(AW7,0))-SUMIFS('1QF4SM'!$D$6:$D$2989,'1QF4SM'!$E$6:$E$2989,"&gt;="&amp;AW7,'1QF4SM'!$E$6:$E$2989,"&lt;="&amp;EOMONTH(AW7,0),'1QF4SM'!$F$6:$F$2989,$B$14)-(SUMIFS('1QF4SM'!$D$6:$D$2989,'1QF4SM'!$E$6:$E$2989,"&gt;="&amp;AW7,'1QF4SM'!$E$6:$E$2989,"&lt;="&amp;EOMONTH(AW7,0),'1QF4SM'!$F$6:$F$2989,"Discount Rent")*2)-SUMIFS('1QF4SM'!$D$6:$D$2989,'1QF4SM'!$E$6:$E$2989,"&gt;="&amp;AW7,'1QF4SM'!$E$6:$E$2989,"&lt;="&amp;EOMONTH(AW7,0),'1QF4SM'!$F$6:$F$2989,"Bond Received")+SUMIFS('1UV5KI'!$D$6:$D$2988,'1UV5KI'!$E$6:$E$2988,"&gt;="&amp;AW7,'1UV5KI'!$E$6:$E$2988,"&lt;="&amp;EOMONTH(AW7,0))-SUMIFS('1UV5KI'!$D$6:$D$2988,'1UV5KI'!$E$6:$E$2988,"&gt;="&amp;AW7,'1UV5KI'!$E$6:$E$2988,"&lt;="&amp;EOMONTH(AW7,0),'1UV5KI'!$F$6:$F$2988,$B$14)-(SUMIFS('1UV5KI'!$D$6:$D$2988,'1UV5KI'!$E$6:$E$2988,"&gt;="&amp;AW7,'1UV5KI'!$E$6:$E$2988,"&lt;="&amp;EOMONTH(AW7,0),'1UV5KI'!$F$6:$F$2988,"Discount Rent")*2)-SUMIFS('1UV5KI'!$D$6:$D$2988,'1UV5KI'!$E$6:$E$2988,"&gt;="&amp;AW7,'1UV5KI'!$E$6:$E$2988,"&lt;="&amp;EOMONTH(AW7,0),'1UV5KI'!$F$6:$F$2988,"Bond Received")+SUMIFS(#REF!,#REF!,"&gt;="&amp;AW7,#REF!,"&lt;="&amp;EOMONTH(AW7,0))-SUMIFS(#REF!,#REF!,"&gt;="&amp;AW7,#REF!,"&lt;="&amp;EOMONTH(AW7,0),#REF!,$B$14)-(SUMIFS(#REF!,#REF!,"&gt;="&amp;AW7,#REF!,"&lt;="&amp;EOMONTH(AW7,0),#REF!,"Discount Rent")*2)-SUMIFS(#REF!,#REF!,"&gt;="&amp;AW7,#REF!,"&lt;="&amp;EOMONTH(AW7,0),#REF!,"Bond Received")+SUMIFS('1UL9RY'!$D$6:$D$2989,'1UL9RY'!$E$6:$E$2989,"&gt;="&amp;AW7,'1UL9RY'!$E$6:$E$2989,"&lt;="&amp;EOMONTH(AW7,0))-SUMIFS('1UL9RY'!$D$6:$D$2989,'1UL9RY'!$E$6:$E$2989,"&gt;="&amp;AW7,'1UL9RY'!$E$6:$E$2989,"&lt;="&amp;EOMONTH(AW7,0),'1UL9RY'!$F$6:$F$2989,$B$14)-(SUMIFS('1UL9RY'!$D$6:$D$2989,'1UL9RY'!$E$6:$E$2989,"&gt;="&amp;AW7,'1UL9RY'!$E$6:$E$2989,"&lt;="&amp;EOMONTH(AW7,0),'1UL9RY'!$F$6:$F$2989,"Discount Rent")*2)-SUMIFS('1UL9RY'!$D$6:$D$2989,'1UL9RY'!$E$6:$E$2989,"&gt;="&amp;AW7,'1UL9RY'!$E$6:$E$2989,"&lt;="&amp;EOMONTH(AW7,0),'1UL9RY'!$F$6:$F$2989,"Bond Received")+SUMIFS('1OZ7GT'!$D$6:$D$2989,'1OZ7GT'!$E$6:$E$2989,"&gt;="&amp;AW7,'1OZ7GT'!$E$6:$E$2989,"&lt;="&amp;EOMONTH(AW7,0))-SUMIFS('1OZ7GT'!$D$6:$D$2989,'1OZ7GT'!$E$6:$E$2989,"&gt;="&amp;AW7,'1OZ7GT'!$E$6:$E$2989,"&lt;="&amp;EOMONTH(AW7,0),'1OZ7GT'!$F$6:$F$2989,$B$14)-(SUMIFS('1OZ7GT'!$D$6:$D$2989,'1OZ7GT'!$E$6:$E$2989,"&gt;="&amp;AW7,'1OZ7GT'!$E$6:$E$2989,"&lt;="&amp;EOMONTH(AW7,0),'1OZ7GT'!$F$6:$F$2989,"Discount Rent")*2)-SUMIFS('1OZ7GT'!$D$6:$D$2989,'1OZ7GT'!$E$6:$E$2989,"&gt;="&amp;AW7,'1OZ7GT'!$E$6:$E$2989,"&lt;="&amp;EOMONTH(AW7,0),'1OZ7GT'!$F$6:$F$2989,"Bond Received")+SUMIFS('1CN8DD'!$D$6:$D$2989,'1CN8DD'!$E$6:$E$2989,"&gt;="&amp;AW7,'1CN8DD'!$E$6:$E$2989,"&lt;="&amp;EOMONTH(AW7,0))-SUMIFS('1CN8DD'!$D$6:$D$2989,'1CN8DD'!$E$6:$E$2989,"&gt;="&amp;AW7,'1CN8DD'!$E$6:$E$2989,"&lt;="&amp;EOMONTH(AW7,0),'1CN8DD'!$F$6:$F$2989,$B$14)-(SUMIFS('1CN8DD'!$D$6:$D$2989,'1CN8DD'!$E$6:$E$2989,"&gt;="&amp;AW7,'1CN8DD'!$E$6:$E$2989,"&lt;="&amp;EOMONTH(AW7,0),'1CN8DD'!$F$6:$F$2989,"Discount Rent")*2)-SUMIFS('1CN8DD'!$D$6:$D$2989,'1CN8DD'!$E$6:$E$2989,"&gt;="&amp;AW7,'1CN8DD'!$E$6:$E$2989,"&lt;="&amp;EOMONTH(AW7,0),'1CN8DD'!$F$6:$F$2989,"Bond Received")+SUMIFS('1UT9BR'!$D$6:$D$2989,'1UT9BR'!$E$6:$E$2989,"&gt;="&amp;AW7,'1UT9BR'!$E$6:$E$2989,"&lt;="&amp;EOMONTH(AW7,0))-SUMIFS('1UT9BR'!$D$6:$D$2989,'1UT9BR'!$E$6:$E$2989,"&gt;="&amp;AW7,'1UT9BR'!$E$6:$E$2989,"&lt;="&amp;EOMONTH(AW7,0),'1UT9BR'!$F$6:$F$2989,$B$14)-(SUMIFS('1UT9BR'!$D$6:$D$2989,'1UT9BR'!$E$6:$E$2989,"&gt;="&amp;AW7,'1UT9BR'!$E$6:$E$2989,"&lt;="&amp;EOMONTH(AW7,0),'1UT9BR'!$F$6:$F$2989,"Discount Rent")*2)-SUMIFS('1UT9BR'!$D$6:$D$2989,'1UT9BR'!$E$6:$E$2989,"&gt;="&amp;AW7,'1UT9BR'!$E$6:$E$2989,"&lt;="&amp;EOMONTH(AW7,0),'1UT9BR'!$F$6:$F$2989,"Bond Received")+SUMIFS('1MK4UR'!$D$6:$D$2989,'1MK4UR'!$E$6:$E$2989,"&gt;="&amp;AW7,'1MK4UR'!$E$6:$E$2989,"&lt;="&amp;EOMONTH(AW7,0))-SUMIFS('1MK4UR'!$D$6:$D$2989,'1MK4UR'!$E$6:$E$2989,"&gt;="&amp;AW7,'1MK4UR'!$E$6:$E$2989,"&lt;="&amp;EOMONTH(AW7,0),'1MK4UR'!$F$6:$F$2989,$B$14)-(SUMIFS('1MK4UR'!$D$6:$D$2989,'1MK4UR'!$E$6:$E$2989,"&gt;="&amp;AW7,'1MK4UR'!$E$6:$E$2989,"&lt;="&amp;EOMONTH(AW7,0),'1MK4UR'!$F$6:$F$2989,"Discount Rent")*2)-SUMIFS('1MK4UR'!$D$6:$D$2989,'1MK4UR'!$E$6:$E$2989,"&gt;="&amp;AW7,'1MK4UR'!$E$6:$E$2989,"&lt;="&amp;EOMONTH(AW7,0),'1MK4UR'!$F$6:$F$2989,"Bond Received")</f>
        <v>#REF!</v>
      </c>
      <c r="AX10" s="108" t="e">
        <f>SUMIFS('Other Expense'!$C$8:$C$3017,'Other Expense'!$B$8:$B$3017,"&gt;="&amp;AX7,'Other Expense'!$B$8:$B$3017,"&lt;="&amp;EOMONTH(AX7,0),'Other Expense'!$D$8:$D$3017,$B$9)+SUMIFS('CEI565'!$D$6:$D$2994,'CEI565'!$E$6:$E$2994,"&gt;="&amp;AX7,'CEI565'!$E$6:$E$2994,"&lt;="&amp;EOMONTH(AX7,0))-SUMIFS('CEI565'!$D$6:$D$2994,'CEI565'!$E$6:$E$2994,"&gt;="&amp;AX7,'CEI565'!$E$6:$E$2994,"&lt;="&amp;EOMONTH(AX7,0),'CEI565'!$F$6:$F$2994,$B$14)-(SUMIFS('CEI565'!$D$6:$D$2994,'CEI565'!$E$6:$E$2994,"&gt;="&amp;AX7,'CEI565'!$E$6:$E$2994,"&lt;="&amp;EOMONTH(AX7,0),'CEI565'!$F$6:$F$2994,"Discount Rent")*2)-SUMIFS('CEI565'!$D$6:$D$2994,'CEI565'!$E$6:$E$2994,"&gt;="&amp;AX7,'CEI565'!$E$6:$E$2994,"&lt;="&amp;EOMONTH(AX7,0),'CEI565'!$F$6:$F$2994,"Bond Received")+SUMIFS('1SM3VL'!$D$6:$D$2989,'1SM3VL'!$E$6:$E$2989,"&gt;="&amp;AX7,'1SM3VL'!$E$6:$E$2989,"&lt;="&amp;EOMONTH(AX7,0))-SUMIFS('1SM3VL'!$D$6:$D$2989,'1SM3VL'!$E$6:$E$2989,"&gt;="&amp;AX7,'1SM3VL'!$E$6:$E$2989,"&lt;="&amp;EOMONTH(AX7,0),'1SM3VL'!$F$6:$F$2989,$B$14)-(SUMIFS('1SM3VL'!$D$6:$D$2989,'1SM3VL'!$E$6:$E$2989,"&gt;="&amp;AX7,'1SM3VL'!$E$6:$E$2989,"&lt;="&amp;EOMONTH(AX7,0),'1SM3VL'!$F$6:$F$2989,"Discount Rent")*2)-SUMIFS('1SM3VL'!$D$6:$D$2989,'1SM3VL'!$E$6:$E$2989,"&gt;="&amp;AX7,'1SM3VL'!$E$6:$E$2989,"&lt;="&amp;EOMONTH(AX7,0),'1SM3VL'!$F$6:$F$2989,"Bond Received")+SUMIFS('1QF4SM'!$D$6:$D$2989,'1QF4SM'!$E$6:$E$2989,"&gt;="&amp;AX7,'1QF4SM'!$E$6:$E$2989,"&lt;="&amp;EOMONTH(AX7,0))-SUMIFS('1QF4SM'!$D$6:$D$2989,'1QF4SM'!$E$6:$E$2989,"&gt;="&amp;AX7,'1QF4SM'!$E$6:$E$2989,"&lt;="&amp;EOMONTH(AX7,0),'1QF4SM'!$F$6:$F$2989,$B$14)-(SUMIFS('1QF4SM'!$D$6:$D$2989,'1QF4SM'!$E$6:$E$2989,"&gt;="&amp;AX7,'1QF4SM'!$E$6:$E$2989,"&lt;="&amp;EOMONTH(AX7,0),'1QF4SM'!$F$6:$F$2989,"Discount Rent")*2)-SUMIFS('1QF4SM'!$D$6:$D$2989,'1QF4SM'!$E$6:$E$2989,"&gt;="&amp;AX7,'1QF4SM'!$E$6:$E$2989,"&lt;="&amp;EOMONTH(AX7,0),'1QF4SM'!$F$6:$F$2989,"Bond Received")+SUMIFS('1UV5KI'!$D$6:$D$2988,'1UV5KI'!$E$6:$E$2988,"&gt;="&amp;AX7,'1UV5KI'!$E$6:$E$2988,"&lt;="&amp;EOMONTH(AX7,0))-SUMIFS('1UV5KI'!$D$6:$D$2988,'1UV5KI'!$E$6:$E$2988,"&gt;="&amp;AX7,'1UV5KI'!$E$6:$E$2988,"&lt;="&amp;EOMONTH(AX7,0),'1UV5KI'!$F$6:$F$2988,$B$14)-(SUMIFS('1UV5KI'!$D$6:$D$2988,'1UV5KI'!$E$6:$E$2988,"&gt;="&amp;AX7,'1UV5KI'!$E$6:$E$2988,"&lt;="&amp;EOMONTH(AX7,0),'1UV5KI'!$F$6:$F$2988,"Discount Rent")*2)-SUMIFS('1UV5KI'!$D$6:$D$2988,'1UV5KI'!$E$6:$E$2988,"&gt;="&amp;AX7,'1UV5KI'!$E$6:$E$2988,"&lt;="&amp;EOMONTH(AX7,0),'1UV5KI'!$F$6:$F$2988,"Bond Received")+SUMIFS(#REF!,#REF!,"&gt;="&amp;AX7,#REF!,"&lt;="&amp;EOMONTH(AX7,0))-SUMIFS(#REF!,#REF!,"&gt;="&amp;AX7,#REF!,"&lt;="&amp;EOMONTH(AX7,0),#REF!,$B$14)-(SUMIFS(#REF!,#REF!,"&gt;="&amp;AX7,#REF!,"&lt;="&amp;EOMONTH(AX7,0),#REF!,"Discount Rent")*2)-SUMIFS(#REF!,#REF!,"&gt;="&amp;AX7,#REF!,"&lt;="&amp;EOMONTH(AX7,0),#REF!,"Bond Received")+SUMIFS('1UL9RY'!$D$6:$D$2989,'1UL9RY'!$E$6:$E$2989,"&gt;="&amp;AX7,'1UL9RY'!$E$6:$E$2989,"&lt;="&amp;EOMONTH(AX7,0))-SUMIFS('1UL9RY'!$D$6:$D$2989,'1UL9RY'!$E$6:$E$2989,"&gt;="&amp;AX7,'1UL9RY'!$E$6:$E$2989,"&lt;="&amp;EOMONTH(AX7,0),'1UL9RY'!$F$6:$F$2989,$B$14)-(SUMIFS('1UL9RY'!$D$6:$D$2989,'1UL9RY'!$E$6:$E$2989,"&gt;="&amp;AX7,'1UL9RY'!$E$6:$E$2989,"&lt;="&amp;EOMONTH(AX7,0),'1UL9RY'!$F$6:$F$2989,"Discount Rent")*2)-SUMIFS('1UL9RY'!$D$6:$D$2989,'1UL9RY'!$E$6:$E$2989,"&gt;="&amp;AX7,'1UL9RY'!$E$6:$E$2989,"&lt;="&amp;EOMONTH(AX7,0),'1UL9RY'!$F$6:$F$2989,"Bond Received")+SUMIFS('1OZ7GT'!$D$6:$D$2989,'1OZ7GT'!$E$6:$E$2989,"&gt;="&amp;AX7,'1OZ7GT'!$E$6:$E$2989,"&lt;="&amp;EOMONTH(AX7,0))-SUMIFS('1OZ7GT'!$D$6:$D$2989,'1OZ7GT'!$E$6:$E$2989,"&gt;="&amp;AX7,'1OZ7GT'!$E$6:$E$2989,"&lt;="&amp;EOMONTH(AX7,0),'1OZ7GT'!$F$6:$F$2989,$B$14)-(SUMIFS('1OZ7GT'!$D$6:$D$2989,'1OZ7GT'!$E$6:$E$2989,"&gt;="&amp;AX7,'1OZ7GT'!$E$6:$E$2989,"&lt;="&amp;EOMONTH(AX7,0),'1OZ7GT'!$F$6:$F$2989,"Discount Rent")*2)-SUMIFS('1OZ7GT'!$D$6:$D$2989,'1OZ7GT'!$E$6:$E$2989,"&gt;="&amp;AX7,'1OZ7GT'!$E$6:$E$2989,"&lt;="&amp;EOMONTH(AX7,0),'1OZ7GT'!$F$6:$F$2989,"Bond Received")+SUMIFS('1CN8DD'!$D$6:$D$2989,'1CN8DD'!$E$6:$E$2989,"&gt;="&amp;AX7,'1CN8DD'!$E$6:$E$2989,"&lt;="&amp;EOMONTH(AX7,0))-SUMIFS('1CN8DD'!$D$6:$D$2989,'1CN8DD'!$E$6:$E$2989,"&gt;="&amp;AX7,'1CN8DD'!$E$6:$E$2989,"&lt;="&amp;EOMONTH(AX7,0),'1CN8DD'!$F$6:$F$2989,$B$14)-(SUMIFS('1CN8DD'!$D$6:$D$2989,'1CN8DD'!$E$6:$E$2989,"&gt;="&amp;AX7,'1CN8DD'!$E$6:$E$2989,"&lt;="&amp;EOMONTH(AX7,0),'1CN8DD'!$F$6:$F$2989,"Discount Rent")*2)-SUMIFS('1CN8DD'!$D$6:$D$2989,'1CN8DD'!$E$6:$E$2989,"&gt;="&amp;AX7,'1CN8DD'!$E$6:$E$2989,"&lt;="&amp;EOMONTH(AX7,0),'1CN8DD'!$F$6:$F$2989,"Bond Received")+SUMIFS('1UT9BR'!$D$6:$D$2989,'1UT9BR'!$E$6:$E$2989,"&gt;="&amp;AX7,'1UT9BR'!$E$6:$E$2989,"&lt;="&amp;EOMONTH(AX7,0))-SUMIFS('1UT9BR'!$D$6:$D$2989,'1UT9BR'!$E$6:$E$2989,"&gt;="&amp;AX7,'1UT9BR'!$E$6:$E$2989,"&lt;="&amp;EOMONTH(AX7,0),'1UT9BR'!$F$6:$F$2989,$B$14)-(SUMIFS('1UT9BR'!$D$6:$D$2989,'1UT9BR'!$E$6:$E$2989,"&gt;="&amp;AX7,'1UT9BR'!$E$6:$E$2989,"&lt;="&amp;EOMONTH(AX7,0),'1UT9BR'!$F$6:$F$2989,"Discount Rent")*2)-SUMIFS('1UT9BR'!$D$6:$D$2989,'1UT9BR'!$E$6:$E$2989,"&gt;="&amp;AX7,'1UT9BR'!$E$6:$E$2989,"&lt;="&amp;EOMONTH(AX7,0),'1UT9BR'!$F$6:$F$2989,"Bond Received")+SUMIFS('1MK4UR'!$D$6:$D$2989,'1MK4UR'!$E$6:$E$2989,"&gt;="&amp;AX7,'1MK4UR'!$E$6:$E$2989,"&lt;="&amp;EOMONTH(AX7,0))-SUMIFS('1MK4UR'!$D$6:$D$2989,'1MK4UR'!$E$6:$E$2989,"&gt;="&amp;AX7,'1MK4UR'!$E$6:$E$2989,"&lt;="&amp;EOMONTH(AX7,0),'1MK4UR'!$F$6:$F$2989,$B$14)-(SUMIFS('1MK4UR'!$D$6:$D$2989,'1MK4UR'!$E$6:$E$2989,"&gt;="&amp;AX7,'1MK4UR'!$E$6:$E$2989,"&lt;="&amp;EOMONTH(AX7,0),'1MK4UR'!$F$6:$F$2989,"Discount Rent")*2)-SUMIFS('1MK4UR'!$D$6:$D$2989,'1MK4UR'!$E$6:$E$2989,"&gt;="&amp;AX7,'1MK4UR'!$E$6:$E$2989,"&lt;="&amp;EOMONTH(AX7,0),'1MK4UR'!$F$6:$F$2989,"Bond Received")</f>
        <v>#REF!</v>
      </c>
      <c r="AY10" s="108" t="e">
        <f>SUMIFS('Other Expense'!$C$8:$C$3017,'Other Expense'!$B$8:$B$3017,"&gt;="&amp;AY7,'Other Expense'!$B$8:$B$3017,"&lt;="&amp;EOMONTH(AY7,0),'Other Expense'!$D$8:$D$3017,$B$9)+SUMIFS('CEI565'!$D$6:$D$2994,'CEI565'!$E$6:$E$2994,"&gt;="&amp;AY7,'CEI565'!$E$6:$E$2994,"&lt;="&amp;EOMONTH(AY7,0))-SUMIFS('CEI565'!$D$6:$D$2994,'CEI565'!$E$6:$E$2994,"&gt;="&amp;AY7,'CEI565'!$E$6:$E$2994,"&lt;="&amp;EOMONTH(AY7,0),'CEI565'!$F$6:$F$2994,$B$14)-(SUMIFS('CEI565'!$D$6:$D$2994,'CEI565'!$E$6:$E$2994,"&gt;="&amp;AY7,'CEI565'!$E$6:$E$2994,"&lt;="&amp;EOMONTH(AY7,0),'CEI565'!$F$6:$F$2994,"Discount Rent")*2)-SUMIFS('CEI565'!$D$6:$D$2994,'CEI565'!$E$6:$E$2994,"&gt;="&amp;AY7,'CEI565'!$E$6:$E$2994,"&lt;="&amp;EOMONTH(AY7,0),'CEI565'!$F$6:$F$2994,"Bond Received")+SUMIFS('1SM3VL'!$D$6:$D$2989,'1SM3VL'!$E$6:$E$2989,"&gt;="&amp;AY7,'1SM3VL'!$E$6:$E$2989,"&lt;="&amp;EOMONTH(AY7,0))-SUMIFS('1SM3VL'!$D$6:$D$2989,'1SM3VL'!$E$6:$E$2989,"&gt;="&amp;AY7,'1SM3VL'!$E$6:$E$2989,"&lt;="&amp;EOMONTH(AY7,0),'1SM3VL'!$F$6:$F$2989,$B$14)-(SUMIFS('1SM3VL'!$D$6:$D$2989,'1SM3VL'!$E$6:$E$2989,"&gt;="&amp;AY7,'1SM3VL'!$E$6:$E$2989,"&lt;="&amp;EOMONTH(AY7,0),'1SM3VL'!$F$6:$F$2989,"Discount Rent")*2)-SUMIFS('1SM3VL'!$D$6:$D$2989,'1SM3VL'!$E$6:$E$2989,"&gt;="&amp;AY7,'1SM3VL'!$E$6:$E$2989,"&lt;="&amp;EOMONTH(AY7,0),'1SM3VL'!$F$6:$F$2989,"Bond Received")+SUMIFS('1QF4SM'!$D$6:$D$2989,'1QF4SM'!$E$6:$E$2989,"&gt;="&amp;AY7,'1QF4SM'!$E$6:$E$2989,"&lt;="&amp;EOMONTH(AY7,0))-SUMIFS('1QF4SM'!$D$6:$D$2989,'1QF4SM'!$E$6:$E$2989,"&gt;="&amp;AY7,'1QF4SM'!$E$6:$E$2989,"&lt;="&amp;EOMONTH(AY7,0),'1QF4SM'!$F$6:$F$2989,$B$14)-(SUMIFS('1QF4SM'!$D$6:$D$2989,'1QF4SM'!$E$6:$E$2989,"&gt;="&amp;AY7,'1QF4SM'!$E$6:$E$2989,"&lt;="&amp;EOMONTH(AY7,0),'1QF4SM'!$F$6:$F$2989,"Discount Rent")*2)-SUMIFS('1QF4SM'!$D$6:$D$2989,'1QF4SM'!$E$6:$E$2989,"&gt;="&amp;AY7,'1QF4SM'!$E$6:$E$2989,"&lt;="&amp;EOMONTH(AY7,0),'1QF4SM'!$F$6:$F$2989,"Bond Received")+SUMIFS('1UV5KI'!$D$6:$D$2988,'1UV5KI'!$E$6:$E$2988,"&gt;="&amp;AY7,'1UV5KI'!$E$6:$E$2988,"&lt;="&amp;EOMONTH(AY7,0))-SUMIFS('1UV5KI'!$D$6:$D$2988,'1UV5KI'!$E$6:$E$2988,"&gt;="&amp;AY7,'1UV5KI'!$E$6:$E$2988,"&lt;="&amp;EOMONTH(AY7,0),'1UV5KI'!$F$6:$F$2988,$B$14)-(SUMIFS('1UV5KI'!$D$6:$D$2988,'1UV5KI'!$E$6:$E$2988,"&gt;="&amp;AY7,'1UV5KI'!$E$6:$E$2988,"&lt;="&amp;EOMONTH(AY7,0),'1UV5KI'!$F$6:$F$2988,"Discount Rent")*2)-SUMIFS('1UV5KI'!$D$6:$D$2988,'1UV5KI'!$E$6:$E$2988,"&gt;="&amp;AY7,'1UV5KI'!$E$6:$E$2988,"&lt;="&amp;EOMONTH(AY7,0),'1UV5KI'!$F$6:$F$2988,"Bond Received")+SUMIFS(#REF!,#REF!,"&gt;="&amp;AY7,#REF!,"&lt;="&amp;EOMONTH(AY7,0))-SUMIFS(#REF!,#REF!,"&gt;="&amp;AY7,#REF!,"&lt;="&amp;EOMONTH(AY7,0),#REF!,$B$14)-(SUMIFS(#REF!,#REF!,"&gt;="&amp;AY7,#REF!,"&lt;="&amp;EOMONTH(AY7,0),#REF!,"Discount Rent")*2)-SUMIFS(#REF!,#REF!,"&gt;="&amp;AY7,#REF!,"&lt;="&amp;EOMONTH(AY7,0),#REF!,"Bond Received")+SUMIFS('1UL9RY'!$D$6:$D$2989,'1UL9RY'!$E$6:$E$2989,"&gt;="&amp;AY7,'1UL9RY'!$E$6:$E$2989,"&lt;="&amp;EOMONTH(AY7,0))-SUMIFS('1UL9RY'!$D$6:$D$2989,'1UL9RY'!$E$6:$E$2989,"&gt;="&amp;AY7,'1UL9RY'!$E$6:$E$2989,"&lt;="&amp;EOMONTH(AY7,0),'1UL9RY'!$F$6:$F$2989,$B$14)-(SUMIFS('1UL9RY'!$D$6:$D$2989,'1UL9RY'!$E$6:$E$2989,"&gt;="&amp;AY7,'1UL9RY'!$E$6:$E$2989,"&lt;="&amp;EOMONTH(AY7,0),'1UL9RY'!$F$6:$F$2989,"Discount Rent")*2)-SUMIFS('1UL9RY'!$D$6:$D$2989,'1UL9RY'!$E$6:$E$2989,"&gt;="&amp;AY7,'1UL9RY'!$E$6:$E$2989,"&lt;="&amp;EOMONTH(AY7,0),'1UL9RY'!$F$6:$F$2989,"Bond Received")+SUMIFS('1OZ7GT'!$D$6:$D$2989,'1OZ7GT'!$E$6:$E$2989,"&gt;="&amp;AY7,'1OZ7GT'!$E$6:$E$2989,"&lt;="&amp;EOMONTH(AY7,0))-SUMIFS('1OZ7GT'!$D$6:$D$2989,'1OZ7GT'!$E$6:$E$2989,"&gt;="&amp;AY7,'1OZ7GT'!$E$6:$E$2989,"&lt;="&amp;EOMONTH(AY7,0),'1OZ7GT'!$F$6:$F$2989,$B$14)-(SUMIFS('1OZ7GT'!$D$6:$D$2989,'1OZ7GT'!$E$6:$E$2989,"&gt;="&amp;AY7,'1OZ7GT'!$E$6:$E$2989,"&lt;="&amp;EOMONTH(AY7,0),'1OZ7GT'!$F$6:$F$2989,"Discount Rent")*2)-SUMIFS('1OZ7GT'!$D$6:$D$2989,'1OZ7GT'!$E$6:$E$2989,"&gt;="&amp;AY7,'1OZ7GT'!$E$6:$E$2989,"&lt;="&amp;EOMONTH(AY7,0),'1OZ7GT'!$F$6:$F$2989,"Bond Received")+SUMIFS('1CN8DD'!$D$6:$D$2989,'1CN8DD'!$E$6:$E$2989,"&gt;="&amp;AY7,'1CN8DD'!$E$6:$E$2989,"&lt;="&amp;EOMONTH(AY7,0))-SUMIFS('1CN8DD'!$D$6:$D$2989,'1CN8DD'!$E$6:$E$2989,"&gt;="&amp;AY7,'1CN8DD'!$E$6:$E$2989,"&lt;="&amp;EOMONTH(AY7,0),'1CN8DD'!$F$6:$F$2989,$B$14)-(SUMIFS('1CN8DD'!$D$6:$D$2989,'1CN8DD'!$E$6:$E$2989,"&gt;="&amp;AY7,'1CN8DD'!$E$6:$E$2989,"&lt;="&amp;EOMONTH(AY7,0),'1CN8DD'!$F$6:$F$2989,"Discount Rent")*2)-SUMIFS('1CN8DD'!$D$6:$D$2989,'1CN8DD'!$E$6:$E$2989,"&gt;="&amp;AY7,'1CN8DD'!$E$6:$E$2989,"&lt;="&amp;EOMONTH(AY7,0),'1CN8DD'!$F$6:$F$2989,"Bond Received")+SUMIFS('1UT9BR'!$D$6:$D$2989,'1UT9BR'!$E$6:$E$2989,"&gt;="&amp;AY7,'1UT9BR'!$E$6:$E$2989,"&lt;="&amp;EOMONTH(AY7,0))-SUMIFS('1UT9BR'!$D$6:$D$2989,'1UT9BR'!$E$6:$E$2989,"&gt;="&amp;AY7,'1UT9BR'!$E$6:$E$2989,"&lt;="&amp;EOMONTH(AY7,0),'1UT9BR'!$F$6:$F$2989,$B$14)-(SUMIFS('1UT9BR'!$D$6:$D$2989,'1UT9BR'!$E$6:$E$2989,"&gt;="&amp;AY7,'1UT9BR'!$E$6:$E$2989,"&lt;="&amp;EOMONTH(AY7,0),'1UT9BR'!$F$6:$F$2989,"Discount Rent")*2)-SUMIFS('1UT9BR'!$D$6:$D$2989,'1UT9BR'!$E$6:$E$2989,"&gt;="&amp;AY7,'1UT9BR'!$E$6:$E$2989,"&lt;="&amp;EOMONTH(AY7,0),'1UT9BR'!$F$6:$F$2989,"Bond Received")+SUMIFS('1MK4UR'!$D$6:$D$2989,'1MK4UR'!$E$6:$E$2989,"&gt;="&amp;AY7,'1MK4UR'!$E$6:$E$2989,"&lt;="&amp;EOMONTH(AY7,0))-SUMIFS('1MK4UR'!$D$6:$D$2989,'1MK4UR'!$E$6:$E$2989,"&gt;="&amp;AY7,'1MK4UR'!$E$6:$E$2989,"&lt;="&amp;EOMONTH(AY7,0),'1MK4UR'!$F$6:$F$2989,$B$14)-(SUMIFS('1MK4UR'!$D$6:$D$2989,'1MK4UR'!$E$6:$E$2989,"&gt;="&amp;AY7,'1MK4UR'!$E$6:$E$2989,"&lt;="&amp;EOMONTH(AY7,0),'1MK4UR'!$F$6:$F$2989,"Discount Rent")*2)-SUMIFS('1MK4UR'!$D$6:$D$2989,'1MK4UR'!$E$6:$E$2989,"&gt;="&amp;AY7,'1MK4UR'!$E$6:$E$2989,"&lt;="&amp;EOMONTH(AY7,0),'1MK4UR'!$F$6:$F$2989,"Bond Received")</f>
        <v>#REF!</v>
      </c>
      <c r="AZ10" s="108" t="e">
        <f>SUMIFS('Other Expense'!$C$8:$C$3017,'Other Expense'!$B$8:$B$3017,"&gt;="&amp;AZ7,'Other Expense'!$B$8:$B$3017,"&lt;="&amp;EOMONTH(AZ7,0),'Other Expense'!$D$8:$D$3017,$B$9)+SUMIFS('CEI565'!$D$6:$D$2994,'CEI565'!$E$6:$E$2994,"&gt;="&amp;AZ7,'CEI565'!$E$6:$E$2994,"&lt;="&amp;EOMONTH(AZ7,0))-SUMIFS('CEI565'!$D$6:$D$2994,'CEI565'!$E$6:$E$2994,"&gt;="&amp;AZ7,'CEI565'!$E$6:$E$2994,"&lt;="&amp;EOMONTH(AZ7,0),'CEI565'!$F$6:$F$2994,$B$14)-(SUMIFS('CEI565'!$D$6:$D$2994,'CEI565'!$E$6:$E$2994,"&gt;="&amp;AZ7,'CEI565'!$E$6:$E$2994,"&lt;="&amp;EOMONTH(AZ7,0),'CEI565'!$F$6:$F$2994,"Discount Rent")*2)-SUMIFS('CEI565'!$D$6:$D$2994,'CEI565'!$E$6:$E$2994,"&gt;="&amp;AZ7,'CEI565'!$E$6:$E$2994,"&lt;="&amp;EOMONTH(AZ7,0),'CEI565'!$F$6:$F$2994,"Bond Received")+SUMIFS('1SM3VL'!$D$6:$D$2989,'1SM3VL'!$E$6:$E$2989,"&gt;="&amp;AZ7,'1SM3VL'!$E$6:$E$2989,"&lt;="&amp;EOMONTH(AZ7,0))-SUMIFS('1SM3VL'!$D$6:$D$2989,'1SM3VL'!$E$6:$E$2989,"&gt;="&amp;AZ7,'1SM3VL'!$E$6:$E$2989,"&lt;="&amp;EOMONTH(AZ7,0),'1SM3VL'!$F$6:$F$2989,$B$14)-(SUMIFS('1SM3VL'!$D$6:$D$2989,'1SM3VL'!$E$6:$E$2989,"&gt;="&amp;AZ7,'1SM3VL'!$E$6:$E$2989,"&lt;="&amp;EOMONTH(AZ7,0),'1SM3VL'!$F$6:$F$2989,"Discount Rent")*2)-SUMIFS('1SM3VL'!$D$6:$D$2989,'1SM3VL'!$E$6:$E$2989,"&gt;="&amp;AZ7,'1SM3VL'!$E$6:$E$2989,"&lt;="&amp;EOMONTH(AZ7,0),'1SM3VL'!$F$6:$F$2989,"Bond Received")+SUMIFS('1QF4SM'!$D$6:$D$2989,'1QF4SM'!$E$6:$E$2989,"&gt;="&amp;AZ7,'1QF4SM'!$E$6:$E$2989,"&lt;="&amp;EOMONTH(AZ7,0))-SUMIFS('1QF4SM'!$D$6:$D$2989,'1QF4SM'!$E$6:$E$2989,"&gt;="&amp;AZ7,'1QF4SM'!$E$6:$E$2989,"&lt;="&amp;EOMONTH(AZ7,0),'1QF4SM'!$F$6:$F$2989,$B$14)-(SUMIFS('1QF4SM'!$D$6:$D$2989,'1QF4SM'!$E$6:$E$2989,"&gt;="&amp;AZ7,'1QF4SM'!$E$6:$E$2989,"&lt;="&amp;EOMONTH(AZ7,0),'1QF4SM'!$F$6:$F$2989,"Discount Rent")*2)-SUMIFS('1QF4SM'!$D$6:$D$2989,'1QF4SM'!$E$6:$E$2989,"&gt;="&amp;AZ7,'1QF4SM'!$E$6:$E$2989,"&lt;="&amp;EOMONTH(AZ7,0),'1QF4SM'!$F$6:$F$2989,"Bond Received")+SUMIFS('1UV5KI'!$D$6:$D$2988,'1UV5KI'!$E$6:$E$2988,"&gt;="&amp;AZ7,'1UV5KI'!$E$6:$E$2988,"&lt;="&amp;EOMONTH(AZ7,0))-SUMIFS('1UV5KI'!$D$6:$D$2988,'1UV5KI'!$E$6:$E$2988,"&gt;="&amp;AZ7,'1UV5KI'!$E$6:$E$2988,"&lt;="&amp;EOMONTH(AZ7,0),'1UV5KI'!$F$6:$F$2988,$B$14)-(SUMIFS('1UV5KI'!$D$6:$D$2988,'1UV5KI'!$E$6:$E$2988,"&gt;="&amp;AZ7,'1UV5KI'!$E$6:$E$2988,"&lt;="&amp;EOMONTH(AZ7,0),'1UV5KI'!$F$6:$F$2988,"Discount Rent")*2)-SUMIFS('1UV5KI'!$D$6:$D$2988,'1UV5KI'!$E$6:$E$2988,"&gt;="&amp;AZ7,'1UV5KI'!$E$6:$E$2988,"&lt;="&amp;EOMONTH(AZ7,0),'1UV5KI'!$F$6:$F$2988,"Bond Received")+SUMIFS(#REF!,#REF!,"&gt;="&amp;AZ7,#REF!,"&lt;="&amp;EOMONTH(AZ7,0))-SUMIFS(#REF!,#REF!,"&gt;="&amp;AZ7,#REF!,"&lt;="&amp;EOMONTH(AZ7,0),#REF!,$B$14)-(SUMIFS(#REF!,#REF!,"&gt;="&amp;AZ7,#REF!,"&lt;="&amp;EOMONTH(AZ7,0),#REF!,"Discount Rent")*2)-SUMIFS(#REF!,#REF!,"&gt;="&amp;AZ7,#REF!,"&lt;="&amp;EOMONTH(AZ7,0),#REF!,"Bond Received")+SUMIFS('1UL9RY'!$D$6:$D$2989,'1UL9RY'!$E$6:$E$2989,"&gt;="&amp;AZ7,'1UL9RY'!$E$6:$E$2989,"&lt;="&amp;EOMONTH(AZ7,0))-SUMIFS('1UL9RY'!$D$6:$D$2989,'1UL9RY'!$E$6:$E$2989,"&gt;="&amp;AZ7,'1UL9RY'!$E$6:$E$2989,"&lt;="&amp;EOMONTH(AZ7,0),'1UL9RY'!$F$6:$F$2989,$B$14)-(SUMIFS('1UL9RY'!$D$6:$D$2989,'1UL9RY'!$E$6:$E$2989,"&gt;="&amp;AZ7,'1UL9RY'!$E$6:$E$2989,"&lt;="&amp;EOMONTH(AZ7,0),'1UL9RY'!$F$6:$F$2989,"Discount Rent")*2)-SUMIFS('1UL9RY'!$D$6:$D$2989,'1UL9RY'!$E$6:$E$2989,"&gt;="&amp;AZ7,'1UL9RY'!$E$6:$E$2989,"&lt;="&amp;EOMONTH(AZ7,0),'1UL9RY'!$F$6:$F$2989,"Bond Received")+SUMIFS('1OZ7GT'!$D$6:$D$2989,'1OZ7GT'!$E$6:$E$2989,"&gt;="&amp;AZ7,'1OZ7GT'!$E$6:$E$2989,"&lt;="&amp;EOMONTH(AZ7,0))-SUMIFS('1OZ7GT'!$D$6:$D$2989,'1OZ7GT'!$E$6:$E$2989,"&gt;="&amp;AZ7,'1OZ7GT'!$E$6:$E$2989,"&lt;="&amp;EOMONTH(AZ7,0),'1OZ7GT'!$F$6:$F$2989,$B$14)-(SUMIFS('1OZ7GT'!$D$6:$D$2989,'1OZ7GT'!$E$6:$E$2989,"&gt;="&amp;AZ7,'1OZ7GT'!$E$6:$E$2989,"&lt;="&amp;EOMONTH(AZ7,0),'1OZ7GT'!$F$6:$F$2989,"Discount Rent")*2)-SUMIFS('1OZ7GT'!$D$6:$D$2989,'1OZ7GT'!$E$6:$E$2989,"&gt;="&amp;AZ7,'1OZ7GT'!$E$6:$E$2989,"&lt;="&amp;EOMONTH(AZ7,0),'1OZ7GT'!$F$6:$F$2989,"Bond Received")+SUMIFS('1CN8DD'!$D$6:$D$2989,'1CN8DD'!$E$6:$E$2989,"&gt;="&amp;AZ7,'1CN8DD'!$E$6:$E$2989,"&lt;="&amp;EOMONTH(AZ7,0))-SUMIFS('1CN8DD'!$D$6:$D$2989,'1CN8DD'!$E$6:$E$2989,"&gt;="&amp;AZ7,'1CN8DD'!$E$6:$E$2989,"&lt;="&amp;EOMONTH(AZ7,0),'1CN8DD'!$F$6:$F$2989,$B$14)-(SUMIFS('1CN8DD'!$D$6:$D$2989,'1CN8DD'!$E$6:$E$2989,"&gt;="&amp;AZ7,'1CN8DD'!$E$6:$E$2989,"&lt;="&amp;EOMONTH(AZ7,0),'1CN8DD'!$F$6:$F$2989,"Discount Rent")*2)-SUMIFS('1CN8DD'!$D$6:$D$2989,'1CN8DD'!$E$6:$E$2989,"&gt;="&amp;AZ7,'1CN8DD'!$E$6:$E$2989,"&lt;="&amp;EOMONTH(AZ7,0),'1CN8DD'!$F$6:$F$2989,"Bond Received")+SUMIFS('1UT9BR'!$D$6:$D$2989,'1UT9BR'!$E$6:$E$2989,"&gt;="&amp;AZ7,'1UT9BR'!$E$6:$E$2989,"&lt;="&amp;EOMONTH(AZ7,0))-SUMIFS('1UT9BR'!$D$6:$D$2989,'1UT9BR'!$E$6:$E$2989,"&gt;="&amp;AZ7,'1UT9BR'!$E$6:$E$2989,"&lt;="&amp;EOMONTH(AZ7,0),'1UT9BR'!$F$6:$F$2989,$B$14)-(SUMIFS('1UT9BR'!$D$6:$D$2989,'1UT9BR'!$E$6:$E$2989,"&gt;="&amp;AZ7,'1UT9BR'!$E$6:$E$2989,"&lt;="&amp;EOMONTH(AZ7,0),'1UT9BR'!$F$6:$F$2989,"Discount Rent")*2)-SUMIFS('1UT9BR'!$D$6:$D$2989,'1UT9BR'!$E$6:$E$2989,"&gt;="&amp;AZ7,'1UT9BR'!$E$6:$E$2989,"&lt;="&amp;EOMONTH(AZ7,0),'1UT9BR'!$F$6:$F$2989,"Bond Received")+SUMIFS('1MK4UR'!$D$6:$D$2989,'1MK4UR'!$E$6:$E$2989,"&gt;="&amp;AZ7,'1MK4UR'!$E$6:$E$2989,"&lt;="&amp;EOMONTH(AZ7,0))-SUMIFS('1MK4UR'!$D$6:$D$2989,'1MK4UR'!$E$6:$E$2989,"&gt;="&amp;AZ7,'1MK4UR'!$E$6:$E$2989,"&lt;="&amp;EOMONTH(AZ7,0),'1MK4UR'!$F$6:$F$2989,$B$14)-(SUMIFS('1MK4UR'!$D$6:$D$2989,'1MK4UR'!$E$6:$E$2989,"&gt;="&amp;AZ7,'1MK4UR'!$E$6:$E$2989,"&lt;="&amp;EOMONTH(AZ7,0),'1MK4UR'!$F$6:$F$2989,"Discount Rent")*2)-SUMIFS('1MK4UR'!$D$6:$D$2989,'1MK4UR'!$E$6:$E$2989,"&gt;="&amp;AZ7,'1MK4UR'!$E$6:$E$2989,"&lt;="&amp;EOMONTH(AZ7,0),'1MK4UR'!$F$6:$F$2989,"Bond Received")</f>
        <v>#REF!</v>
      </c>
      <c r="BA10" s="108" t="e">
        <f>SUMIFS('Other Expense'!$C$8:$C$3017,'Other Expense'!$B$8:$B$3017,"&gt;="&amp;BA7,'Other Expense'!$B$8:$B$3017,"&lt;="&amp;EOMONTH(BA7,0),'Other Expense'!$D$8:$D$3017,$B$9)+SUMIFS('CEI565'!$D$6:$D$2994,'CEI565'!$E$6:$E$2994,"&gt;="&amp;BA7,'CEI565'!$E$6:$E$2994,"&lt;="&amp;EOMONTH(BA7,0))-SUMIFS('CEI565'!$D$6:$D$2994,'CEI565'!$E$6:$E$2994,"&gt;="&amp;BA7,'CEI565'!$E$6:$E$2994,"&lt;="&amp;EOMONTH(BA7,0),'CEI565'!$F$6:$F$2994,$B$14)-(SUMIFS('CEI565'!$D$6:$D$2994,'CEI565'!$E$6:$E$2994,"&gt;="&amp;BA7,'CEI565'!$E$6:$E$2994,"&lt;="&amp;EOMONTH(BA7,0),'CEI565'!$F$6:$F$2994,"Discount Rent")*2)-SUMIFS('CEI565'!$D$6:$D$2994,'CEI565'!$E$6:$E$2994,"&gt;="&amp;BA7,'CEI565'!$E$6:$E$2994,"&lt;="&amp;EOMONTH(BA7,0),'CEI565'!$F$6:$F$2994,"Bond Received")+SUMIFS('1SM3VL'!$D$6:$D$2989,'1SM3VL'!$E$6:$E$2989,"&gt;="&amp;BA7,'1SM3VL'!$E$6:$E$2989,"&lt;="&amp;EOMONTH(BA7,0))-SUMIFS('1SM3VL'!$D$6:$D$2989,'1SM3VL'!$E$6:$E$2989,"&gt;="&amp;BA7,'1SM3VL'!$E$6:$E$2989,"&lt;="&amp;EOMONTH(BA7,0),'1SM3VL'!$F$6:$F$2989,$B$14)-(SUMIFS('1SM3VL'!$D$6:$D$2989,'1SM3VL'!$E$6:$E$2989,"&gt;="&amp;BA7,'1SM3VL'!$E$6:$E$2989,"&lt;="&amp;EOMONTH(BA7,0),'1SM3VL'!$F$6:$F$2989,"Discount Rent")*2)-SUMIFS('1SM3VL'!$D$6:$D$2989,'1SM3VL'!$E$6:$E$2989,"&gt;="&amp;BA7,'1SM3VL'!$E$6:$E$2989,"&lt;="&amp;EOMONTH(BA7,0),'1SM3VL'!$F$6:$F$2989,"Bond Received")+SUMIFS('1QF4SM'!$D$6:$D$2989,'1QF4SM'!$E$6:$E$2989,"&gt;="&amp;BA7,'1QF4SM'!$E$6:$E$2989,"&lt;="&amp;EOMONTH(BA7,0))-SUMIFS('1QF4SM'!$D$6:$D$2989,'1QF4SM'!$E$6:$E$2989,"&gt;="&amp;BA7,'1QF4SM'!$E$6:$E$2989,"&lt;="&amp;EOMONTH(BA7,0),'1QF4SM'!$F$6:$F$2989,$B$14)-(SUMIFS('1QF4SM'!$D$6:$D$2989,'1QF4SM'!$E$6:$E$2989,"&gt;="&amp;BA7,'1QF4SM'!$E$6:$E$2989,"&lt;="&amp;EOMONTH(BA7,0),'1QF4SM'!$F$6:$F$2989,"Discount Rent")*2)-SUMIFS('1QF4SM'!$D$6:$D$2989,'1QF4SM'!$E$6:$E$2989,"&gt;="&amp;BA7,'1QF4SM'!$E$6:$E$2989,"&lt;="&amp;EOMONTH(BA7,0),'1QF4SM'!$F$6:$F$2989,"Bond Received")+SUMIFS('1UV5KI'!$D$6:$D$2988,'1UV5KI'!$E$6:$E$2988,"&gt;="&amp;BA7,'1UV5KI'!$E$6:$E$2988,"&lt;="&amp;EOMONTH(BA7,0))-SUMIFS('1UV5KI'!$D$6:$D$2988,'1UV5KI'!$E$6:$E$2988,"&gt;="&amp;BA7,'1UV5KI'!$E$6:$E$2988,"&lt;="&amp;EOMONTH(BA7,0),'1UV5KI'!$F$6:$F$2988,$B$14)-(SUMIFS('1UV5KI'!$D$6:$D$2988,'1UV5KI'!$E$6:$E$2988,"&gt;="&amp;BA7,'1UV5KI'!$E$6:$E$2988,"&lt;="&amp;EOMONTH(BA7,0),'1UV5KI'!$F$6:$F$2988,"Discount Rent")*2)-SUMIFS('1UV5KI'!$D$6:$D$2988,'1UV5KI'!$E$6:$E$2988,"&gt;="&amp;BA7,'1UV5KI'!$E$6:$E$2988,"&lt;="&amp;EOMONTH(BA7,0),'1UV5KI'!$F$6:$F$2988,"Bond Received")+SUMIFS(#REF!,#REF!,"&gt;="&amp;BA7,#REF!,"&lt;="&amp;EOMONTH(BA7,0))-SUMIFS(#REF!,#REF!,"&gt;="&amp;BA7,#REF!,"&lt;="&amp;EOMONTH(BA7,0),#REF!,$B$14)-(SUMIFS(#REF!,#REF!,"&gt;="&amp;BA7,#REF!,"&lt;="&amp;EOMONTH(BA7,0),#REF!,"Discount Rent")*2)-SUMIFS(#REF!,#REF!,"&gt;="&amp;BA7,#REF!,"&lt;="&amp;EOMONTH(BA7,0),#REF!,"Bond Received")+SUMIFS('1UL9RY'!$D$6:$D$2989,'1UL9RY'!$E$6:$E$2989,"&gt;="&amp;BA7,'1UL9RY'!$E$6:$E$2989,"&lt;="&amp;EOMONTH(BA7,0))-SUMIFS('1UL9RY'!$D$6:$D$2989,'1UL9RY'!$E$6:$E$2989,"&gt;="&amp;BA7,'1UL9RY'!$E$6:$E$2989,"&lt;="&amp;EOMONTH(BA7,0),'1UL9RY'!$F$6:$F$2989,$B$14)-(SUMIFS('1UL9RY'!$D$6:$D$2989,'1UL9RY'!$E$6:$E$2989,"&gt;="&amp;BA7,'1UL9RY'!$E$6:$E$2989,"&lt;="&amp;EOMONTH(BA7,0),'1UL9RY'!$F$6:$F$2989,"Discount Rent")*2)-SUMIFS('1UL9RY'!$D$6:$D$2989,'1UL9RY'!$E$6:$E$2989,"&gt;="&amp;BA7,'1UL9RY'!$E$6:$E$2989,"&lt;="&amp;EOMONTH(BA7,0),'1UL9RY'!$F$6:$F$2989,"Bond Received")+SUMIFS('1OZ7GT'!$D$6:$D$2989,'1OZ7GT'!$E$6:$E$2989,"&gt;="&amp;BA7,'1OZ7GT'!$E$6:$E$2989,"&lt;="&amp;EOMONTH(BA7,0))-SUMIFS('1OZ7GT'!$D$6:$D$2989,'1OZ7GT'!$E$6:$E$2989,"&gt;="&amp;BA7,'1OZ7GT'!$E$6:$E$2989,"&lt;="&amp;EOMONTH(BA7,0),'1OZ7GT'!$F$6:$F$2989,$B$14)-(SUMIFS('1OZ7GT'!$D$6:$D$2989,'1OZ7GT'!$E$6:$E$2989,"&gt;="&amp;BA7,'1OZ7GT'!$E$6:$E$2989,"&lt;="&amp;EOMONTH(BA7,0),'1OZ7GT'!$F$6:$F$2989,"Discount Rent")*2)-SUMIFS('1OZ7GT'!$D$6:$D$2989,'1OZ7GT'!$E$6:$E$2989,"&gt;="&amp;BA7,'1OZ7GT'!$E$6:$E$2989,"&lt;="&amp;EOMONTH(BA7,0),'1OZ7GT'!$F$6:$F$2989,"Bond Received")+SUMIFS('1CN8DD'!$D$6:$D$2989,'1CN8DD'!$E$6:$E$2989,"&gt;="&amp;BA7,'1CN8DD'!$E$6:$E$2989,"&lt;="&amp;EOMONTH(BA7,0))-SUMIFS('1CN8DD'!$D$6:$D$2989,'1CN8DD'!$E$6:$E$2989,"&gt;="&amp;BA7,'1CN8DD'!$E$6:$E$2989,"&lt;="&amp;EOMONTH(BA7,0),'1CN8DD'!$F$6:$F$2989,$B$14)-(SUMIFS('1CN8DD'!$D$6:$D$2989,'1CN8DD'!$E$6:$E$2989,"&gt;="&amp;BA7,'1CN8DD'!$E$6:$E$2989,"&lt;="&amp;EOMONTH(BA7,0),'1CN8DD'!$F$6:$F$2989,"Discount Rent")*2)-SUMIFS('1CN8DD'!$D$6:$D$2989,'1CN8DD'!$E$6:$E$2989,"&gt;="&amp;BA7,'1CN8DD'!$E$6:$E$2989,"&lt;="&amp;EOMONTH(BA7,0),'1CN8DD'!$F$6:$F$2989,"Bond Received")+SUMIFS('1UT9BR'!$D$6:$D$2989,'1UT9BR'!$E$6:$E$2989,"&gt;="&amp;BA7,'1UT9BR'!$E$6:$E$2989,"&lt;="&amp;EOMONTH(BA7,0))-SUMIFS('1UT9BR'!$D$6:$D$2989,'1UT9BR'!$E$6:$E$2989,"&gt;="&amp;BA7,'1UT9BR'!$E$6:$E$2989,"&lt;="&amp;EOMONTH(BA7,0),'1UT9BR'!$F$6:$F$2989,$B$14)-(SUMIFS('1UT9BR'!$D$6:$D$2989,'1UT9BR'!$E$6:$E$2989,"&gt;="&amp;BA7,'1UT9BR'!$E$6:$E$2989,"&lt;="&amp;EOMONTH(BA7,0),'1UT9BR'!$F$6:$F$2989,"Discount Rent")*2)-SUMIFS('1UT9BR'!$D$6:$D$2989,'1UT9BR'!$E$6:$E$2989,"&gt;="&amp;BA7,'1UT9BR'!$E$6:$E$2989,"&lt;="&amp;EOMONTH(BA7,0),'1UT9BR'!$F$6:$F$2989,"Bond Received")+SUMIFS('1MK4UR'!$D$6:$D$2989,'1MK4UR'!$E$6:$E$2989,"&gt;="&amp;BA7,'1MK4UR'!$E$6:$E$2989,"&lt;="&amp;EOMONTH(BA7,0))-SUMIFS('1MK4UR'!$D$6:$D$2989,'1MK4UR'!$E$6:$E$2989,"&gt;="&amp;BA7,'1MK4UR'!$E$6:$E$2989,"&lt;="&amp;EOMONTH(BA7,0),'1MK4UR'!$F$6:$F$2989,$B$14)-(SUMIFS('1MK4UR'!$D$6:$D$2989,'1MK4UR'!$E$6:$E$2989,"&gt;="&amp;BA7,'1MK4UR'!$E$6:$E$2989,"&lt;="&amp;EOMONTH(BA7,0),'1MK4UR'!$F$6:$F$2989,"Discount Rent")*2)-SUMIFS('1MK4UR'!$D$6:$D$2989,'1MK4UR'!$E$6:$E$2989,"&gt;="&amp;BA7,'1MK4UR'!$E$6:$E$2989,"&lt;="&amp;EOMONTH(BA7,0),'1MK4UR'!$F$6:$F$2989,"Bond Received")</f>
        <v>#REF!</v>
      </c>
    </row>
    <row r="11" spans="1:53" hidden="1" x14ac:dyDescent="0.25">
      <c r="B11" s="73" t="s">
        <v>185</v>
      </c>
      <c r="C11" s="69"/>
      <c r="D11" s="109" t="e">
        <f t="shared" si="2"/>
        <v>#REF!</v>
      </c>
      <c r="E11" s="69"/>
      <c r="F11" s="109" t="e">
        <f t="shared" si="3"/>
        <v>#REF!</v>
      </c>
      <c r="G11" s="69"/>
      <c r="H11" s="109" t="e">
        <f t="shared" si="4"/>
        <v>#REF!</v>
      </c>
      <c r="I11" s="108" t="e">
        <f>SUMIFS(#REF!,#REF!,"&gt;="&amp;I7,#REF!,"&lt;="&amp;EOMONTH(I7,0))-SUMIFS(#REF!,#REF!,"&gt;="&amp;I7,#REF!,"&lt;="&amp;EOMONTH(I7,0),#REF!,$B$14)-(SUMIFS(#REF!,#REF!,"&gt;="&amp;I7,#REF!,"&lt;="&amp;EOMONTH(I7,0),#REF!,"Discount Rent")*2)-SUMIFS(#REF!,#REF!,"&gt;="&amp;I7,#REF!,"&lt;="&amp;EOMONTH(I7,0),#REF!,"Bond Received")+SUMIFS('1JI2UE'!$D$6:$D$2989,'1JI2UE'!$E$6:$E$2989,"&gt;="&amp;I7,'1JI2UE'!$E$6:$E$2989,"&lt;="&amp;EOMONTH(I7,0))-SUMIFS('1JI2UE'!$D$6:$D$2989,'1JI2UE'!$E$6:$E$2989,"&gt;="&amp;I7,'1JI2UE'!$E$6:$E$2989,"&lt;="&amp;EOMONTH(I7,0),'1JI2UE'!$F$6:$F$2989,$B$14)-(SUMIFS('1JI2UE'!$D$6:$D$2989,'1JI2UE'!$E$6:$E$2989,"&gt;="&amp;I7,'1JI2UE'!$E$6:$E$2989,"&lt;="&amp;EOMONTH(I7,0),'1JI2UE'!$F$6:$F$2989,"Discount Rent")*2)-SUMIFS('1JI2UE'!$D$6:$D$2989,'1JI2UE'!$E$6:$E$2989,"&gt;="&amp;I7,'1JI2UE'!$E$6:$E$2989,"&lt;="&amp;EOMONTH(I7,0),'1JI2UE'!$F$6:$F$2989,"Bond Received")+SUMIFS(#REF!,#REF!,"&gt;="&amp;I7,#REF!,"&lt;="&amp;EOMONTH(I7,0))-SUMIFS(#REF!,#REF!,"&gt;="&amp;I7,#REF!,"&lt;="&amp;EOMONTH(I7,0),#REF!,$B$14)-(SUMIFS(#REF!,#REF!,"&gt;="&amp;I7,#REF!,"&lt;="&amp;EOMONTH(I7,0),#REF!,"Discount Rent")*2)-SUMIFS(#REF!,#REF!,"&gt;="&amp;I7,#REF!,"&lt;="&amp;EOMONTH(I7,0),#REF!,"Bond Received")+SUMIFS('1SI9BW'!$D$6:$D$2989,'1SI9BW'!$E$6:$E$2989,"&gt;="&amp;I7,'1SI9BW'!$E$6:$E$2989,"&lt;="&amp;EOMONTH(I7,0))-SUMIFS('1SI9BW'!$D$6:$D$2989,'1SI9BW'!$E$6:$E$2989,"&gt;="&amp;I7,'1SI9BW'!$E$6:$E$2989,"&lt;="&amp;EOMONTH(I7,0),'1SI9BW'!$F$6:$F$2989,$B$14)-(SUMIFS('1SI9BW'!$D$6:$D$2989,'1SI9BW'!$E$6:$E$2989,"&gt;="&amp;I7,'1SI9BW'!$E$6:$E$2989,"&lt;="&amp;EOMONTH(I7,0),'1SI9BW'!$F$6:$F$2989,"Discount Rent")*2)-SUMIFS('1SI9BW'!$D$6:$D$2989,'1SI9BW'!$E$6:$E$2989,"&gt;="&amp;I7,'1SI9BW'!$E$6:$E$2989,"&lt;="&amp;EOMONTH(I7,0),'1SI9BW'!$F$6:$F$2989,"Bond Received")+SUMIFS(Suzuki!$D$6:$D$2989,Suzuki!$E$6:$E$2989,"&gt;="&amp;I7,Suzuki!$E$6:$E$2989,"&lt;="&amp;EOMONTH(I7,0))-SUMIFS(Suzuki!$D$6:$D$2989,Suzuki!$E$6:$E$2989,"&gt;="&amp;I7,Suzuki!$E$6:$E$2989,"&lt;="&amp;EOMONTH(I7,0),Suzuki!$F$6:$F$2989,$B$14)-(SUMIFS(Suzuki!$D$6:$D$2989,Suzuki!$E$6:$E$2989,"&gt;="&amp;I7,Suzuki!$E$6:$E$2989,"&lt;="&amp;EOMONTH(I7,0),Suzuki!$F$6:$F$2989,"Discount Rent")*2)-SUMIFS(Suzuki!$D$6:$D$2989,Suzuki!$E$6:$E$2989,"&gt;="&amp;I7,Suzuki!$E$6:$E$2989,"&lt;="&amp;EOMONTH(I7,0),Suzuki!$F$6:$F$2989,"Bond Received")+SUMIFS('1SK3DD'!$D$6:$D$2989,'1SK3DD'!$E$6:$E$2989,"&gt;="&amp;I7,'1SK3DD'!$E$6:$E$2989,"&lt;="&amp;EOMONTH(I7,0))-SUMIFS('1SK3DD'!$D$6:$D$2989,'1SK3DD'!$E$6:$E$2989,"&gt;="&amp;I7,'1SK3DD'!$E$6:$E$2989,"&lt;="&amp;EOMONTH(I7,0),'1SK3DD'!$F$6:$F$2989,$B$14)-(SUMIFS('1SK3DD'!$D$6:$D$2989,'1SK3DD'!$E$6:$E$2989,"&gt;="&amp;I7,'1SK3DD'!$E$6:$E$2989,"&lt;="&amp;EOMONTH(I7,0),'1SK3DD'!$F$6:$F$2989,"Discount Rent")*2)-SUMIFS('1SK3DD'!$D$6:$D$2989,'1SK3DD'!$E$6:$E$2989,"&gt;="&amp;I7,'1SK3DD'!$E$6:$E$2989,"&lt;="&amp;EOMONTH(I7,0),'1SK3DD'!$F$6:$F$2989,"Bond Received")+SUMIFS('1SX5TQ'!$D$6:$D$2989,'1SX5TQ'!$E$6:$E$2989,"&gt;="&amp;I7,'1SX5TQ'!$E$6:$E$2989,"&lt;="&amp;EOMONTH(I7,0))-SUMIFS('1SX5TQ'!$D$6:$D$2989,'1SX5TQ'!$E$6:$E$2989,"&gt;="&amp;I7,'1SX5TQ'!$E$6:$E$2989,"&lt;="&amp;EOMONTH(I7,0),'1SX5TQ'!$F$6:$F$2989,$B$14)-(SUMIFS('1SX5TQ'!$D$6:$D$2989,'1SX5TQ'!$E$6:$E$2989,"&gt;="&amp;I7,'1SX5TQ'!$E$6:$E$2989,"&lt;="&amp;EOMONTH(I7,0),'1SX5TQ'!$F$6:$F$2989,"Discount Rent")*2)-SUMIFS('1SX5TQ'!$D$6:$D$2989,'1SX5TQ'!$E$6:$E$2989,"&gt;="&amp;I7,'1SX5TQ'!$E$6:$E$2989,"&lt;="&amp;EOMONTH(I7,0),'1SX5TQ'!$F$6:$F$2989,"Bond Received")+SUMIFS('BMM465'!$D$6:$D$2989,'BMM465'!$E$6:$E$2989,"&gt;="&amp;I7,'BMM465'!$E$6:$E$2989,"&lt;="&amp;EOMONTH(I7,0))-SUMIFS('BMM465'!$D$6:$D$2989,'BMM465'!$E$6:$E$2989,"&gt;="&amp;I7,'BMM465'!$E$6:$E$2989,"&lt;="&amp;EOMONTH(I7,0),'BMM465'!$F$6:$F$2989,$B$14)-(SUMIFS('BMM465'!$D$6:$D$2989,'BMM465'!$E$6:$E$2989,"&gt;="&amp;I7,'BMM465'!$E$6:$E$2989,"&lt;="&amp;EOMONTH(I7,0),'BMM465'!$F$6:$F$2989,"Discount Rent")*2)-SUMIFS('BMM465'!$D$6:$D$2989,'BMM465'!$E$6:$E$2989,"&gt;="&amp;I7,'BMM465'!$E$6:$E$2989,"&lt;="&amp;EOMONTH(I7,0),'BMM465'!$F$6:$F$2989,"Bond Received")+SUMIFS('1CF1ZO'!$D$6:$D$2989,'1CF1ZO'!$E$6:$E$2989,"&gt;="&amp;I7,'1CF1ZO'!$E$6:$E$2989,"&lt;="&amp;EOMONTH(I7,0))-SUMIFS('1CF1ZO'!$D$6:$D$2989,'1CF1ZO'!$E$6:$E$2989,"&gt;="&amp;I7,'1CF1ZO'!$E$6:$E$2989,"&lt;="&amp;EOMONTH(I7,0),'1CF1ZO'!$F$6:$F$2989,$B$14)-(SUMIFS('1CF1ZO'!$D$6:$D$2989,'1CF1ZO'!$E$6:$E$2989,"&gt;="&amp;I7,'1CF1ZO'!$E$6:$E$2989,"&lt;="&amp;EOMONTH(I7,0),'1CF1ZO'!$F$6:$F$2989,"Discount Rent")*2)-SUMIFS('1CF1ZO'!$D$6:$D$2989,'1CF1ZO'!$E$6:$E$2989,"&gt;="&amp;I7,'1CF1ZO'!$E$6:$E$2989,"&lt;="&amp;EOMONTH(I7,0),'1CF1ZO'!$F$6:$F$2989,"Bond Received")+SUMIFS('1UK1BK'!$D$6:$D$2989,'1UK1BK'!$E$6:$E$2989,"&gt;="&amp;I7,'1UK1BK'!$E$6:$E$2989,"&lt;="&amp;EOMONTH(I7,0))-SUMIFS('1UK1BK'!$D$6:$D$2989,'1UK1BK'!$E$6:$E$2989,"&gt;="&amp;I7,'1UK1BK'!$E$6:$E$2989,"&lt;="&amp;EOMONTH(I7,0),'1UK1BK'!$F$6:$F$2989,$B$14)-(SUMIFS('1UK1BK'!$D$6:$D$2989,'1UK1BK'!$E$6:$E$2989,"&gt;="&amp;I7,'1UK1BK'!$E$6:$E$2989,"&lt;="&amp;EOMONTH(I7,0),'1UK1BK'!$F$6:$F$2989,"Discount Rent")*2)-SUMIFS('1UK1BK'!$D$6:$D$2989,'1UK1BK'!$E$6:$E$2989,"&gt;="&amp;I7,'1UK1BK'!$E$6:$E$2989,"&lt;="&amp;EOMONTH(I7,0),'1UK1BK'!$F$6:$F$2989,"Bond Received")</f>
        <v>#REF!</v>
      </c>
      <c r="J11" s="108" t="e">
        <f>SUMIFS(#REF!,#REF!,"&gt;="&amp;J7,#REF!,"&lt;="&amp;EOMONTH(J7,0))-SUMIFS(#REF!,#REF!,"&gt;="&amp;J7,#REF!,"&lt;="&amp;EOMONTH(J7,0),#REF!,$B$14)-(SUMIFS(#REF!,#REF!,"&gt;="&amp;J7,#REF!,"&lt;="&amp;EOMONTH(J7,0),#REF!,"Discount Rent")*2)-SUMIFS(#REF!,#REF!,"&gt;="&amp;J7,#REF!,"&lt;="&amp;EOMONTH(J7,0),#REF!,"Bond Received")+SUMIFS('1JI2UE'!$D$6:$D$2989,'1JI2UE'!$E$6:$E$2989,"&gt;="&amp;J7,'1JI2UE'!$E$6:$E$2989,"&lt;="&amp;EOMONTH(J7,0))-SUMIFS('1JI2UE'!$D$6:$D$2989,'1JI2UE'!$E$6:$E$2989,"&gt;="&amp;J7,'1JI2UE'!$E$6:$E$2989,"&lt;="&amp;EOMONTH(J7,0),'1JI2UE'!$F$6:$F$2989,$B$14)-(SUMIFS('1JI2UE'!$D$6:$D$2989,'1JI2UE'!$E$6:$E$2989,"&gt;="&amp;J7,'1JI2UE'!$E$6:$E$2989,"&lt;="&amp;EOMONTH(J7,0),'1JI2UE'!$F$6:$F$2989,"Discount Rent")*2)-SUMIFS('1JI2UE'!$D$6:$D$2989,'1JI2UE'!$E$6:$E$2989,"&gt;="&amp;J7,'1JI2UE'!$E$6:$E$2989,"&lt;="&amp;EOMONTH(J7,0),'1JI2UE'!$F$6:$F$2989,"Bond Received")+SUMIFS(#REF!,#REF!,"&gt;="&amp;J7,#REF!,"&lt;="&amp;EOMONTH(J7,0))-SUMIFS(#REF!,#REF!,"&gt;="&amp;J7,#REF!,"&lt;="&amp;EOMONTH(J7,0),#REF!,$B$14)-(SUMIFS(#REF!,#REF!,"&gt;="&amp;J7,#REF!,"&lt;="&amp;EOMONTH(J7,0),#REF!,"Discount Rent")*2)-SUMIFS(#REF!,#REF!,"&gt;="&amp;J7,#REF!,"&lt;="&amp;EOMONTH(J7,0),#REF!,"Bond Received")+SUMIFS('1SI9BW'!$D$6:$D$2989,'1SI9BW'!$E$6:$E$2989,"&gt;="&amp;J7,'1SI9BW'!$E$6:$E$2989,"&lt;="&amp;EOMONTH(J7,0))-SUMIFS('1SI9BW'!$D$6:$D$2989,'1SI9BW'!$E$6:$E$2989,"&gt;="&amp;J7,'1SI9BW'!$E$6:$E$2989,"&lt;="&amp;EOMONTH(J7,0),'1SI9BW'!$F$6:$F$2989,$B$14)-(SUMIFS('1SI9BW'!$D$6:$D$2989,'1SI9BW'!$E$6:$E$2989,"&gt;="&amp;J7,'1SI9BW'!$E$6:$E$2989,"&lt;="&amp;EOMONTH(J7,0),'1SI9BW'!$F$6:$F$2989,"Discount Rent")*2)-SUMIFS('1SI9BW'!$D$6:$D$2989,'1SI9BW'!$E$6:$E$2989,"&gt;="&amp;J7,'1SI9BW'!$E$6:$E$2989,"&lt;="&amp;EOMONTH(J7,0),'1SI9BW'!$F$6:$F$2989,"Bond Received")+SUMIFS(Suzuki!$D$6:$D$2989,Suzuki!$E$6:$E$2989,"&gt;="&amp;J7,Suzuki!$E$6:$E$2989,"&lt;="&amp;EOMONTH(J7,0))-SUMIFS(Suzuki!$D$6:$D$2989,Suzuki!$E$6:$E$2989,"&gt;="&amp;J7,Suzuki!$E$6:$E$2989,"&lt;="&amp;EOMONTH(J7,0),Suzuki!$F$6:$F$2989,$B$14)-(SUMIFS(Suzuki!$D$6:$D$2989,Suzuki!$E$6:$E$2989,"&gt;="&amp;J7,Suzuki!$E$6:$E$2989,"&lt;="&amp;EOMONTH(J7,0),Suzuki!$F$6:$F$2989,"Discount Rent")*2)-SUMIFS(Suzuki!$D$6:$D$2989,Suzuki!$E$6:$E$2989,"&gt;="&amp;J7,Suzuki!$E$6:$E$2989,"&lt;="&amp;EOMONTH(J7,0),Suzuki!$F$6:$F$2989,"Bond Received")+SUMIFS('1SK3DD'!$D$6:$D$2989,'1SK3DD'!$E$6:$E$2989,"&gt;="&amp;J7,'1SK3DD'!$E$6:$E$2989,"&lt;="&amp;EOMONTH(J7,0))-SUMIFS('1SK3DD'!$D$6:$D$2989,'1SK3DD'!$E$6:$E$2989,"&gt;="&amp;J7,'1SK3DD'!$E$6:$E$2989,"&lt;="&amp;EOMONTH(J7,0),'1SK3DD'!$F$6:$F$2989,$B$14)-(SUMIFS('1SK3DD'!$D$6:$D$2989,'1SK3DD'!$E$6:$E$2989,"&gt;="&amp;J7,'1SK3DD'!$E$6:$E$2989,"&lt;="&amp;EOMONTH(J7,0),'1SK3DD'!$F$6:$F$2989,"Discount Rent")*2)-SUMIFS('1SK3DD'!$D$6:$D$2989,'1SK3DD'!$E$6:$E$2989,"&gt;="&amp;J7,'1SK3DD'!$E$6:$E$2989,"&lt;="&amp;EOMONTH(J7,0),'1SK3DD'!$F$6:$F$2989,"Bond Received")+SUMIFS('1SX5TQ'!$D$6:$D$2989,'1SX5TQ'!$E$6:$E$2989,"&gt;="&amp;J7,'1SX5TQ'!$E$6:$E$2989,"&lt;="&amp;EOMONTH(J7,0))-SUMIFS('1SX5TQ'!$D$6:$D$2989,'1SX5TQ'!$E$6:$E$2989,"&gt;="&amp;J7,'1SX5TQ'!$E$6:$E$2989,"&lt;="&amp;EOMONTH(J7,0),'1SX5TQ'!$F$6:$F$2989,$B$14)-(SUMIFS('1SX5TQ'!$D$6:$D$2989,'1SX5TQ'!$E$6:$E$2989,"&gt;="&amp;J7,'1SX5TQ'!$E$6:$E$2989,"&lt;="&amp;EOMONTH(J7,0),'1SX5TQ'!$F$6:$F$2989,"Discount Rent")*2)-SUMIFS('1SX5TQ'!$D$6:$D$2989,'1SX5TQ'!$E$6:$E$2989,"&gt;="&amp;J7,'1SX5TQ'!$E$6:$E$2989,"&lt;="&amp;EOMONTH(J7,0),'1SX5TQ'!$F$6:$F$2989,"Bond Received")+SUMIFS('BMM465'!$D$6:$D$2989,'BMM465'!$E$6:$E$2989,"&gt;="&amp;J7,'BMM465'!$E$6:$E$2989,"&lt;="&amp;EOMONTH(J7,0))-SUMIFS('BMM465'!$D$6:$D$2989,'BMM465'!$E$6:$E$2989,"&gt;="&amp;J7,'BMM465'!$E$6:$E$2989,"&lt;="&amp;EOMONTH(J7,0),'BMM465'!$F$6:$F$2989,$B$14)-(SUMIFS('BMM465'!$D$6:$D$2989,'BMM465'!$E$6:$E$2989,"&gt;="&amp;J7,'BMM465'!$E$6:$E$2989,"&lt;="&amp;EOMONTH(J7,0),'BMM465'!$F$6:$F$2989,"Discount Rent")*2)-SUMIFS('BMM465'!$D$6:$D$2989,'BMM465'!$E$6:$E$2989,"&gt;="&amp;J7,'BMM465'!$E$6:$E$2989,"&lt;="&amp;EOMONTH(J7,0),'BMM465'!$F$6:$F$2989,"Bond Received")+SUMIFS('1CF1ZO'!$D$6:$D$2989,'1CF1ZO'!$E$6:$E$2989,"&gt;="&amp;J7,'1CF1ZO'!$E$6:$E$2989,"&lt;="&amp;EOMONTH(J7,0))-SUMIFS('1CF1ZO'!$D$6:$D$2989,'1CF1ZO'!$E$6:$E$2989,"&gt;="&amp;J7,'1CF1ZO'!$E$6:$E$2989,"&lt;="&amp;EOMONTH(J7,0),'1CF1ZO'!$F$6:$F$2989,$B$14)-(SUMIFS('1CF1ZO'!$D$6:$D$2989,'1CF1ZO'!$E$6:$E$2989,"&gt;="&amp;J7,'1CF1ZO'!$E$6:$E$2989,"&lt;="&amp;EOMONTH(J7,0),'1CF1ZO'!$F$6:$F$2989,"Discount Rent")*2)-SUMIFS('1CF1ZO'!$D$6:$D$2989,'1CF1ZO'!$E$6:$E$2989,"&gt;="&amp;J7,'1CF1ZO'!$E$6:$E$2989,"&lt;="&amp;EOMONTH(J7,0),'1CF1ZO'!$F$6:$F$2989,"Bond Received")+SUMIFS('1UK1BK'!$D$6:$D$2989,'1UK1BK'!$E$6:$E$2989,"&gt;="&amp;J7,'1UK1BK'!$E$6:$E$2989,"&lt;="&amp;EOMONTH(J7,0))-SUMIFS('1UK1BK'!$D$6:$D$2989,'1UK1BK'!$E$6:$E$2989,"&gt;="&amp;J7,'1UK1BK'!$E$6:$E$2989,"&lt;="&amp;EOMONTH(J7,0),'1UK1BK'!$F$6:$F$2989,$B$14)-(SUMIFS('1UK1BK'!$D$6:$D$2989,'1UK1BK'!$E$6:$E$2989,"&gt;="&amp;J7,'1UK1BK'!$E$6:$E$2989,"&lt;="&amp;EOMONTH(J7,0),'1UK1BK'!$F$6:$F$2989,"Discount Rent")*2)-SUMIFS('1UK1BK'!$D$6:$D$2989,'1UK1BK'!$E$6:$E$2989,"&gt;="&amp;J7,'1UK1BK'!$E$6:$E$2989,"&lt;="&amp;EOMONTH(J7,0),'1UK1BK'!$F$6:$F$2989,"Bond Received")</f>
        <v>#REF!</v>
      </c>
      <c r="K11" s="108" t="e">
        <f>SUMIFS(#REF!,#REF!,"&gt;="&amp;K7,#REF!,"&lt;="&amp;EOMONTH(K7,0))-SUMIFS(#REF!,#REF!,"&gt;="&amp;K7,#REF!,"&lt;="&amp;EOMONTH(K7,0),#REF!,$B$14)-(SUMIFS(#REF!,#REF!,"&gt;="&amp;K7,#REF!,"&lt;="&amp;EOMONTH(K7,0),#REF!,"Discount Rent")*2)-SUMIFS(#REF!,#REF!,"&gt;="&amp;K7,#REF!,"&lt;="&amp;EOMONTH(K7,0),#REF!,"Bond Received")+SUMIFS('1JI2UE'!$D$6:$D$2989,'1JI2UE'!$E$6:$E$2989,"&gt;="&amp;K7,'1JI2UE'!$E$6:$E$2989,"&lt;="&amp;EOMONTH(K7,0))-SUMIFS('1JI2UE'!$D$6:$D$2989,'1JI2UE'!$E$6:$E$2989,"&gt;="&amp;K7,'1JI2UE'!$E$6:$E$2989,"&lt;="&amp;EOMONTH(K7,0),'1JI2UE'!$F$6:$F$2989,$B$14)-(SUMIFS('1JI2UE'!$D$6:$D$2989,'1JI2UE'!$E$6:$E$2989,"&gt;="&amp;K7,'1JI2UE'!$E$6:$E$2989,"&lt;="&amp;EOMONTH(K7,0),'1JI2UE'!$F$6:$F$2989,"Discount Rent")*2)-SUMIFS('1JI2UE'!$D$6:$D$2989,'1JI2UE'!$E$6:$E$2989,"&gt;="&amp;K7,'1JI2UE'!$E$6:$E$2989,"&lt;="&amp;EOMONTH(K7,0),'1JI2UE'!$F$6:$F$2989,"Bond Received")+SUMIFS(#REF!,#REF!,"&gt;="&amp;K7,#REF!,"&lt;="&amp;EOMONTH(K7,0))-SUMIFS(#REF!,#REF!,"&gt;="&amp;K7,#REF!,"&lt;="&amp;EOMONTH(K7,0),#REF!,$B$14)-(SUMIFS(#REF!,#REF!,"&gt;="&amp;K7,#REF!,"&lt;="&amp;EOMONTH(K7,0),#REF!,"Discount Rent")*2)-SUMIFS(#REF!,#REF!,"&gt;="&amp;K7,#REF!,"&lt;="&amp;EOMONTH(K7,0),#REF!,"Bond Received")+SUMIFS('1SI9BW'!$D$6:$D$2989,'1SI9BW'!$E$6:$E$2989,"&gt;="&amp;K7,'1SI9BW'!$E$6:$E$2989,"&lt;="&amp;EOMONTH(K7,0))-SUMIFS('1SI9BW'!$D$6:$D$2989,'1SI9BW'!$E$6:$E$2989,"&gt;="&amp;K7,'1SI9BW'!$E$6:$E$2989,"&lt;="&amp;EOMONTH(K7,0),'1SI9BW'!$F$6:$F$2989,$B$14)-(SUMIFS('1SI9BW'!$D$6:$D$2989,'1SI9BW'!$E$6:$E$2989,"&gt;="&amp;K7,'1SI9BW'!$E$6:$E$2989,"&lt;="&amp;EOMONTH(K7,0),'1SI9BW'!$F$6:$F$2989,"Discount Rent")*2)-SUMIFS('1SI9BW'!$D$6:$D$2989,'1SI9BW'!$E$6:$E$2989,"&gt;="&amp;K7,'1SI9BW'!$E$6:$E$2989,"&lt;="&amp;EOMONTH(K7,0),'1SI9BW'!$F$6:$F$2989,"Bond Received")+SUMIFS(Suzuki!$D$6:$D$2989,Suzuki!$E$6:$E$2989,"&gt;="&amp;K7,Suzuki!$E$6:$E$2989,"&lt;="&amp;EOMONTH(K7,0))-SUMIFS(Suzuki!$D$6:$D$2989,Suzuki!$E$6:$E$2989,"&gt;="&amp;K7,Suzuki!$E$6:$E$2989,"&lt;="&amp;EOMONTH(K7,0),Suzuki!$F$6:$F$2989,$B$14)-(SUMIFS(Suzuki!$D$6:$D$2989,Suzuki!$E$6:$E$2989,"&gt;="&amp;K7,Suzuki!$E$6:$E$2989,"&lt;="&amp;EOMONTH(K7,0),Suzuki!$F$6:$F$2989,"Discount Rent")*2)-SUMIFS(Suzuki!$D$6:$D$2989,Suzuki!$E$6:$E$2989,"&gt;="&amp;K7,Suzuki!$E$6:$E$2989,"&lt;="&amp;EOMONTH(K7,0),Suzuki!$F$6:$F$2989,"Bond Received")+SUMIFS('1SK3DD'!$D$6:$D$2989,'1SK3DD'!$E$6:$E$2989,"&gt;="&amp;K7,'1SK3DD'!$E$6:$E$2989,"&lt;="&amp;EOMONTH(K7,0))-SUMIFS('1SK3DD'!$D$6:$D$2989,'1SK3DD'!$E$6:$E$2989,"&gt;="&amp;K7,'1SK3DD'!$E$6:$E$2989,"&lt;="&amp;EOMONTH(K7,0),'1SK3DD'!$F$6:$F$2989,$B$14)-(SUMIFS('1SK3DD'!$D$6:$D$2989,'1SK3DD'!$E$6:$E$2989,"&gt;="&amp;K7,'1SK3DD'!$E$6:$E$2989,"&lt;="&amp;EOMONTH(K7,0),'1SK3DD'!$F$6:$F$2989,"Discount Rent")*2)-SUMIFS('1SK3DD'!$D$6:$D$2989,'1SK3DD'!$E$6:$E$2989,"&gt;="&amp;K7,'1SK3DD'!$E$6:$E$2989,"&lt;="&amp;EOMONTH(K7,0),'1SK3DD'!$F$6:$F$2989,"Bond Received")+SUMIFS('1SX5TQ'!$D$6:$D$2989,'1SX5TQ'!$E$6:$E$2989,"&gt;="&amp;K7,'1SX5TQ'!$E$6:$E$2989,"&lt;="&amp;EOMONTH(K7,0))-SUMIFS('1SX5TQ'!$D$6:$D$2989,'1SX5TQ'!$E$6:$E$2989,"&gt;="&amp;K7,'1SX5TQ'!$E$6:$E$2989,"&lt;="&amp;EOMONTH(K7,0),'1SX5TQ'!$F$6:$F$2989,$B$14)-(SUMIFS('1SX5TQ'!$D$6:$D$2989,'1SX5TQ'!$E$6:$E$2989,"&gt;="&amp;K7,'1SX5TQ'!$E$6:$E$2989,"&lt;="&amp;EOMONTH(K7,0),'1SX5TQ'!$F$6:$F$2989,"Discount Rent")*2)-SUMIFS('1SX5TQ'!$D$6:$D$2989,'1SX5TQ'!$E$6:$E$2989,"&gt;="&amp;K7,'1SX5TQ'!$E$6:$E$2989,"&lt;="&amp;EOMONTH(K7,0),'1SX5TQ'!$F$6:$F$2989,"Bond Received")+SUMIFS('BMM465'!$D$6:$D$2989,'BMM465'!$E$6:$E$2989,"&gt;="&amp;K7,'BMM465'!$E$6:$E$2989,"&lt;="&amp;EOMONTH(K7,0))-SUMIFS('BMM465'!$D$6:$D$2989,'BMM465'!$E$6:$E$2989,"&gt;="&amp;K7,'BMM465'!$E$6:$E$2989,"&lt;="&amp;EOMONTH(K7,0),'BMM465'!$F$6:$F$2989,$B$14)-(SUMIFS('BMM465'!$D$6:$D$2989,'BMM465'!$E$6:$E$2989,"&gt;="&amp;K7,'BMM465'!$E$6:$E$2989,"&lt;="&amp;EOMONTH(K7,0),'BMM465'!$F$6:$F$2989,"Discount Rent")*2)-SUMIFS('BMM465'!$D$6:$D$2989,'BMM465'!$E$6:$E$2989,"&gt;="&amp;K7,'BMM465'!$E$6:$E$2989,"&lt;="&amp;EOMONTH(K7,0),'BMM465'!$F$6:$F$2989,"Bond Received")+SUMIFS('1CF1ZO'!$D$6:$D$2989,'1CF1ZO'!$E$6:$E$2989,"&gt;="&amp;K7,'1CF1ZO'!$E$6:$E$2989,"&lt;="&amp;EOMONTH(K7,0))-SUMIFS('1CF1ZO'!$D$6:$D$2989,'1CF1ZO'!$E$6:$E$2989,"&gt;="&amp;K7,'1CF1ZO'!$E$6:$E$2989,"&lt;="&amp;EOMONTH(K7,0),'1CF1ZO'!$F$6:$F$2989,$B$14)-(SUMIFS('1CF1ZO'!$D$6:$D$2989,'1CF1ZO'!$E$6:$E$2989,"&gt;="&amp;K7,'1CF1ZO'!$E$6:$E$2989,"&lt;="&amp;EOMONTH(K7,0),'1CF1ZO'!$F$6:$F$2989,"Discount Rent")*2)-SUMIFS('1CF1ZO'!$D$6:$D$2989,'1CF1ZO'!$E$6:$E$2989,"&gt;="&amp;K7,'1CF1ZO'!$E$6:$E$2989,"&lt;="&amp;EOMONTH(K7,0),'1CF1ZO'!$F$6:$F$2989,"Bond Received")+SUMIFS('1UK1BK'!$D$6:$D$2989,'1UK1BK'!$E$6:$E$2989,"&gt;="&amp;K7,'1UK1BK'!$E$6:$E$2989,"&lt;="&amp;EOMONTH(K7,0))-SUMIFS('1UK1BK'!$D$6:$D$2989,'1UK1BK'!$E$6:$E$2989,"&gt;="&amp;K7,'1UK1BK'!$E$6:$E$2989,"&lt;="&amp;EOMONTH(K7,0),'1UK1BK'!$F$6:$F$2989,$B$14)-(SUMIFS('1UK1BK'!$D$6:$D$2989,'1UK1BK'!$E$6:$E$2989,"&gt;="&amp;K7,'1UK1BK'!$E$6:$E$2989,"&lt;="&amp;EOMONTH(K7,0),'1UK1BK'!$F$6:$F$2989,"Discount Rent")*2)-SUMIFS('1UK1BK'!$D$6:$D$2989,'1UK1BK'!$E$6:$E$2989,"&gt;="&amp;K7,'1UK1BK'!$E$6:$E$2989,"&lt;="&amp;EOMONTH(K7,0),'1UK1BK'!$F$6:$F$2989,"Bond Received")</f>
        <v>#REF!</v>
      </c>
      <c r="L11" s="108" t="e">
        <f>SUMIFS(#REF!,#REF!,"&gt;="&amp;L7,#REF!,"&lt;="&amp;EOMONTH(L7,0))-SUMIFS(#REF!,#REF!,"&gt;="&amp;L7,#REF!,"&lt;="&amp;EOMONTH(L7,0),#REF!,$B$14)-(SUMIFS(#REF!,#REF!,"&gt;="&amp;L7,#REF!,"&lt;="&amp;EOMONTH(L7,0),#REF!,"Discount Rent")*2)-SUMIFS(#REF!,#REF!,"&gt;="&amp;L7,#REF!,"&lt;="&amp;EOMONTH(L7,0),#REF!,"Bond Received")+SUMIFS('1JI2UE'!$D$6:$D$2989,'1JI2UE'!$E$6:$E$2989,"&gt;="&amp;L7,'1JI2UE'!$E$6:$E$2989,"&lt;="&amp;EOMONTH(L7,0))-SUMIFS('1JI2UE'!$D$6:$D$2989,'1JI2UE'!$E$6:$E$2989,"&gt;="&amp;L7,'1JI2UE'!$E$6:$E$2989,"&lt;="&amp;EOMONTH(L7,0),'1JI2UE'!$F$6:$F$2989,$B$14)-(SUMIFS('1JI2UE'!$D$6:$D$2989,'1JI2UE'!$E$6:$E$2989,"&gt;="&amp;L7,'1JI2UE'!$E$6:$E$2989,"&lt;="&amp;EOMONTH(L7,0),'1JI2UE'!$F$6:$F$2989,"Discount Rent")*2)-SUMIFS('1JI2UE'!$D$6:$D$2989,'1JI2UE'!$E$6:$E$2989,"&gt;="&amp;L7,'1JI2UE'!$E$6:$E$2989,"&lt;="&amp;EOMONTH(L7,0),'1JI2UE'!$F$6:$F$2989,"Bond Received")+SUMIFS(#REF!,#REF!,"&gt;="&amp;L7,#REF!,"&lt;="&amp;EOMONTH(L7,0))-SUMIFS(#REF!,#REF!,"&gt;="&amp;L7,#REF!,"&lt;="&amp;EOMONTH(L7,0),#REF!,$B$14)-(SUMIFS(#REF!,#REF!,"&gt;="&amp;L7,#REF!,"&lt;="&amp;EOMONTH(L7,0),#REF!,"Discount Rent")*2)-SUMIFS(#REF!,#REF!,"&gt;="&amp;L7,#REF!,"&lt;="&amp;EOMONTH(L7,0),#REF!,"Bond Received")+SUMIFS('1SI9BW'!$D$6:$D$2989,'1SI9BW'!$E$6:$E$2989,"&gt;="&amp;L7,'1SI9BW'!$E$6:$E$2989,"&lt;="&amp;EOMONTH(L7,0))-SUMIFS('1SI9BW'!$D$6:$D$2989,'1SI9BW'!$E$6:$E$2989,"&gt;="&amp;L7,'1SI9BW'!$E$6:$E$2989,"&lt;="&amp;EOMONTH(L7,0),'1SI9BW'!$F$6:$F$2989,$B$14)-(SUMIFS('1SI9BW'!$D$6:$D$2989,'1SI9BW'!$E$6:$E$2989,"&gt;="&amp;L7,'1SI9BW'!$E$6:$E$2989,"&lt;="&amp;EOMONTH(L7,0),'1SI9BW'!$F$6:$F$2989,"Discount Rent")*2)-SUMIFS('1SI9BW'!$D$6:$D$2989,'1SI9BW'!$E$6:$E$2989,"&gt;="&amp;L7,'1SI9BW'!$E$6:$E$2989,"&lt;="&amp;EOMONTH(L7,0),'1SI9BW'!$F$6:$F$2989,"Bond Received")+SUMIFS(Suzuki!$D$6:$D$2989,Suzuki!$E$6:$E$2989,"&gt;="&amp;L7,Suzuki!$E$6:$E$2989,"&lt;="&amp;EOMONTH(L7,0))-SUMIFS(Suzuki!$D$6:$D$2989,Suzuki!$E$6:$E$2989,"&gt;="&amp;L7,Suzuki!$E$6:$E$2989,"&lt;="&amp;EOMONTH(L7,0),Suzuki!$F$6:$F$2989,$B$14)-(SUMIFS(Suzuki!$D$6:$D$2989,Suzuki!$E$6:$E$2989,"&gt;="&amp;L7,Suzuki!$E$6:$E$2989,"&lt;="&amp;EOMONTH(L7,0),Suzuki!$F$6:$F$2989,"Discount Rent")*2)-SUMIFS(Suzuki!$D$6:$D$2989,Suzuki!$E$6:$E$2989,"&gt;="&amp;L7,Suzuki!$E$6:$E$2989,"&lt;="&amp;EOMONTH(L7,0),Suzuki!$F$6:$F$2989,"Bond Received")+SUMIFS('1SK3DD'!$D$6:$D$2989,'1SK3DD'!$E$6:$E$2989,"&gt;="&amp;L7,'1SK3DD'!$E$6:$E$2989,"&lt;="&amp;EOMONTH(L7,0))-SUMIFS('1SK3DD'!$D$6:$D$2989,'1SK3DD'!$E$6:$E$2989,"&gt;="&amp;L7,'1SK3DD'!$E$6:$E$2989,"&lt;="&amp;EOMONTH(L7,0),'1SK3DD'!$F$6:$F$2989,$B$14)-(SUMIFS('1SK3DD'!$D$6:$D$2989,'1SK3DD'!$E$6:$E$2989,"&gt;="&amp;L7,'1SK3DD'!$E$6:$E$2989,"&lt;="&amp;EOMONTH(L7,0),'1SK3DD'!$F$6:$F$2989,"Discount Rent")*2)-SUMIFS('1SK3DD'!$D$6:$D$2989,'1SK3DD'!$E$6:$E$2989,"&gt;="&amp;L7,'1SK3DD'!$E$6:$E$2989,"&lt;="&amp;EOMONTH(L7,0),'1SK3DD'!$F$6:$F$2989,"Bond Received")+SUMIFS('1SX5TQ'!$D$6:$D$2989,'1SX5TQ'!$E$6:$E$2989,"&gt;="&amp;L7,'1SX5TQ'!$E$6:$E$2989,"&lt;="&amp;EOMONTH(L7,0))-SUMIFS('1SX5TQ'!$D$6:$D$2989,'1SX5TQ'!$E$6:$E$2989,"&gt;="&amp;L7,'1SX5TQ'!$E$6:$E$2989,"&lt;="&amp;EOMONTH(L7,0),'1SX5TQ'!$F$6:$F$2989,$B$14)-(SUMIFS('1SX5TQ'!$D$6:$D$2989,'1SX5TQ'!$E$6:$E$2989,"&gt;="&amp;L7,'1SX5TQ'!$E$6:$E$2989,"&lt;="&amp;EOMONTH(L7,0),'1SX5TQ'!$F$6:$F$2989,"Discount Rent")*2)-SUMIFS('1SX5TQ'!$D$6:$D$2989,'1SX5TQ'!$E$6:$E$2989,"&gt;="&amp;L7,'1SX5TQ'!$E$6:$E$2989,"&lt;="&amp;EOMONTH(L7,0),'1SX5TQ'!$F$6:$F$2989,"Bond Received")+SUMIFS('BMM465'!$D$6:$D$2989,'BMM465'!$E$6:$E$2989,"&gt;="&amp;L7,'BMM465'!$E$6:$E$2989,"&lt;="&amp;EOMONTH(L7,0))-SUMIFS('BMM465'!$D$6:$D$2989,'BMM465'!$E$6:$E$2989,"&gt;="&amp;L7,'BMM465'!$E$6:$E$2989,"&lt;="&amp;EOMONTH(L7,0),'BMM465'!$F$6:$F$2989,$B$14)-(SUMIFS('BMM465'!$D$6:$D$2989,'BMM465'!$E$6:$E$2989,"&gt;="&amp;L7,'BMM465'!$E$6:$E$2989,"&lt;="&amp;EOMONTH(L7,0),'BMM465'!$F$6:$F$2989,"Discount Rent")*2)-SUMIFS('BMM465'!$D$6:$D$2989,'BMM465'!$E$6:$E$2989,"&gt;="&amp;L7,'BMM465'!$E$6:$E$2989,"&lt;="&amp;EOMONTH(L7,0),'BMM465'!$F$6:$F$2989,"Bond Received")+SUMIFS('1CF1ZO'!$D$6:$D$2989,'1CF1ZO'!$E$6:$E$2989,"&gt;="&amp;L7,'1CF1ZO'!$E$6:$E$2989,"&lt;="&amp;EOMONTH(L7,0))-SUMIFS('1CF1ZO'!$D$6:$D$2989,'1CF1ZO'!$E$6:$E$2989,"&gt;="&amp;L7,'1CF1ZO'!$E$6:$E$2989,"&lt;="&amp;EOMONTH(L7,0),'1CF1ZO'!$F$6:$F$2989,$B$14)-(SUMIFS('1CF1ZO'!$D$6:$D$2989,'1CF1ZO'!$E$6:$E$2989,"&gt;="&amp;L7,'1CF1ZO'!$E$6:$E$2989,"&lt;="&amp;EOMONTH(L7,0),'1CF1ZO'!$F$6:$F$2989,"Discount Rent")*2)-SUMIFS('1CF1ZO'!$D$6:$D$2989,'1CF1ZO'!$E$6:$E$2989,"&gt;="&amp;L7,'1CF1ZO'!$E$6:$E$2989,"&lt;="&amp;EOMONTH(L7,0),'1CF1ZO'!$F$6:$F$2989,"Bond Received")+SUMIFS('1UK1BK'!$D$6:$D$2989,'1UK1BK'!$E$6:$E$2989,"&gt;="&amp;L7,'1UK1BK'!$E$6:$E$2989,"&lt;="&amp;EOMONTH(L7,0))-SUMIFS('1UK1BK'!$D$6:$D$2989,'1UK1BK'!$E$6:$E$2989,"&gt;="&amp;L7,'1UK1BK'!$E$6:$E$2989,"&lt;="&amp;EOMONTH(L7,0),'1UK1BK'!$F$6:$F$2989,$B$14)-(SUMIFS('1UK1BK'!$D$6:$D$2989,'1UK1BK'!$E$6:$E$2989,"&gt;="&amp;L7,'1UK1BK'!$E$6:$E$2989,"&lt;="&amp;EOMONTH(L7,0),'1UK1BK'!$F$6:$F$2989,"Discount Rent")*2)-SUMIFS('1UK1BK'!$D$6:$D$2989,'1UK1BK'!$E$6:$E$2989,"&gt;="&amp;L7,'1UK1BK'!$E$6:$E$2989,"&lt;="&amp;EOMONTH(L7,0),'1UK1BK'!$F$6:$F$2989,"Bond Received")</f>
        <v>#REF!</v>
      </c>
      <c r="M11" s="108" t="e">
        <f>SUMIFS(#REF!,#REF!,"&gt;="&amp;M7,#REF!,"&lt;="&amp;EOMONTH(M7,0))-SUMIFS(#REF!,#REF!,"&gt;="&amp;M7,#REF!,"&lt;="&amp;EOMONTH(M7,0),#REF!,$B$14)-(SUMIFS(#REF!,#REF!,"&gt;="&amp;M7,#REF!,"&lt;="&amp;EOMONTH(M7,0),#REF!,"Discount Rent")*2)-SUMIFS(#REF!,#REF!,"&gt;="&amp;M7,#REF!,"&lt;="&amp;EOMONTH(M7,0),#REF!,"Bond Received")+SUMIFS('1JI2UE'!$D$6:$D$2989,'1JI2UE'!$E$6:$E$2989,"&gt;="&amp;M7,'1JI2UE'!$E$6:$E$2989,"&lt;="&amp;EOMONTH(M7,0))-SUMIFS('1JI2UE'!$D$6:$D$2989,'1JI2UE'!$E$6:$E$2989,"&gt;="&amp;M7,'1JI2UE'!$E$6:$E$2989,"&lt;="&amp;EOMONTH(M7,0),'1JI2UE'!$F$6:$F$2989,$B$14)-(SUMIFS('1JI2UE'!$D$6:$D$2989,'1JI2UE'!$E$6:$E$2989,"&gt;="&amp;M7,'1JI2UE'!$E$6:$E$2989,"&lt;="&amp;EOMONTH(M7,0),'1JI2UE'!$F$6:$F$2989,"Discount Rent")*2)-SUMIFS('1JI2UE'!$D$6:$D$2989,'1JI2UE'!$E$6:$E$2989,"&gt;="&amp;M7,'1JI2UE'!$E$6:$E$2989,"&lt;="&amp;EOMONTH(M7,0),'1JI2UE'!$F$6:$F$2989,"Bond Received")+SUMIFS(#REF!,#REF!,"&gt;="&amp;M7,#REF!,"&lt;="&amp;EOMONTH(M7,0))-SUMIFS(#REF!,#REF!,"&gt;="&amp;M7,#REF!,"&lt;="&amp;EOMONTH(M7,0),#REF!,$B$14)-(SUMIFS(#REF!,#REF!,"&gt;="&amp;M7,#REF!,"&lt;="&amp;EOMONTH(M7,0),#REF!,"Discount Rent")*2)-SUMIFS(#REF!,#REF!,"&gt;="&amp;M7,#REF!,"&lt;="&amp;EOMONTH(M7,0),#REF!,"Bond Received")+SUMIFS('1SI9BW'!$D$6:$D$2989,'1SI9BW'!$E$6:$E$2989,"&gt;="&amp;M7,'1SI9BW'!$E$6:$E$2989,"&lt;="&amp;EOMONTH(M7,0))-SUMIFS('1SI9BW'!$D$6:$D$2989,'1SI9BW'!$E$6:$E$2989,"&gt;="&amp;M7,'1SI9BW'!$E$6:$E$2989,"&lt;="&amp;EOMONTH(M7,0),'1SI9BW'!$F$6:$F$2989,$B$14)-(SUMIFS('1SI9BW'!$D$6:$D$2989,'1SI9BW'!$E$6:$E$2989,"&gt;="&amp;M7,'1SI9BW'!$E$6:$E$2989,"&lt;="&amp;EOMONTH(M7,0),'1SI9BW'!$F$6:$F$2989,"Discount Rent")*2)-SUMIFS('1SI9BW'!$D$6:$D$2989,'1SI9BW'!$E$6:$E$2989,"&gt;="&amp;M7,'1SI9BW'!$E$6:$E$2989,"&lt;="&amp;EOMONTH(M7,0),'1SI9BW'!$F$6:$F$2989,"Bond Received")+SUMIFS(Suzuki!$D$6:$D$2989,Suzuki!$E$6:$E$2989,"&gt;="&amp;M7,Suzuki!$E$6:$E$2989,"&lt;="&amp;EOMONTH(M7,0))-SUMIFS(Suzuki!$D$6:$D$2989,Suzuki!$E$6:$E$2989,"&gt;="&amp;M7,Suzuki!$E$6:$E$2989,"&lt;="&amp;EOMONTH(M7,0),Suzuki!$F$6:$F$2989,$B$14)-(SUMIFS(Suzuki!$D$6:$D$2989,Suzuki!$E$6:$E$2989,"&gt;="&amp;M7,Suzuki!$E$6:$E$2989,"&lt;="&amp;EOMONTH(M7,0),Suzuki!$F$6:$F$2989,"Discount Rent")*2)-SUMIFS(Suzuki!$D$6:$D$2989,Suzuki!$E$6:$E$2989,"&gt;="&amp;M7,Suzuki!$E$6:$E$2989,"&lt;="&amp;EOMONTH(M7,0),Suzuki!$F$6:$F$2989,"Bond Received")+SUMIFS('1SK3DD'!$D$6:$D$2989,'1SK3DD'!$E$6:$E$2989,"&gt;="&amp;M7,'1SK3DD'!$E$6:$E$2989,"&lt;="&amp;EOMONTH(M7,0))-SUMIFS('1SK3DD'!$D$6:$D$2989,'1SK3DD'!$E$6:$E$2989,"&gt;="&amp;M7,'1SK3DD'!$E$6:$E$2989,"&lt;="&amp;EOMONTH(M7,0),'1SK3DD'!$F$6:$F$2989,$B$14)-(SUMIFS('1SK3DD'!$D$6:$D$2989,'1SK3DD'!$E$6:$E$2989,"&gt;="&amp;M7,'1SK3DD'!$E$6:$E$2989,"&lt;="&amp;EOMONTH(M7,0),'1SK3DD'!$F$6:$F$2989,"Discount Rent")*2)-SUMIFS('1SK3DD'!$D$6:$D$2989,'1SK3DD'!$E$6:$E$2989,"&gt;="&amp;M7,'1SK3DD'!$E$6:$E$2989,"&lt;="&amp;EOMONTH(M7,0),'1SK3DD'!$F$6:$F$2989,"Bond Received")+SUMIFS('1SX5TQ'!$D$6:$D$2989,'1SX5TQ'!$E$6:$E$2989,"&gt;="&amp;M7,'1SX5TQ'!$E$6:$E$2989,"&lt;="&amp;EOMONTH(M7,0))-SUMIFS('1SX5TQ'!$D$6:$D$2989,'1SX5TQ'!$E$6:$E$2989,"&gt;="&amp;M7,'1SX5TQ'!$E$6:$E$2989,"&lt;="&amp;EOMONTH(M7,0),'1SX5TQ'!$F$6:$F$2989,$B$14)-(SUMIFS('1SX5TQ'!$D$6:$D$2989,'1SX5TQ'!$E$6:$E$2989,"&gt;="&amp;M7,'1SX5TQ'!$E$6:$E$2989,"&lt;="&amp;EOMONTH(M7,0),'1SX5TQ'!$F$6:$F$2989,"Discount Rent")*2)-SUMIFS('1SX5TQ'!$D$6:$D$2989,'1SX5TQ'!$E$6:$E$2989,"&gt;="&amp;M7,'1SX5TQ'!$E$6:$E$2989,"&lt;="&amp;EOMONTH(M7,0),'1SX5TQ'!$F$6:$F$2989,"Bond Received")+SUMIFS('BMM465'!$D$6:$D$2989,'BMM465'!$E$6:$E$2989,"&gt;="&amp;M7,'BMM465'!$E$6:$E$2989,"&lt;="&amp;EOMONTH(M7,0))-SUMIFS('BMM465'!$D$6:$D$2989,'BMM465'!$E$6:$E$2989,"&gt;="&amp;M7,'BMM465'!$E$6:$E$2989,"&lt;="&amp;EOMONTH(M7,0),'BMM465'!$F$6:$F$2989,$B$14)-(SUMIFS('BMM465'!$D$6:$D$2989,'BMM465'!$E$6:$E$2989,"&gt;="&amp;M7,'BMM465'!$E$6:$E$2989,"&lt;="&amp;EOMONTH(M7,0),'BMM465'!$F$6:$F$2989,"Discount Rent")*2)-SUMIFS('BMM465'!$D$6:$D$2989,'BMM465'!$E$6:$E$2989,"&gt;="&amp;M7,'BMM465'!$E$6:$E$2989,"&lt;="&amp;EOMONTH(M7,0),'BMM465'!$F$6:$F$2989,"Bond Received")+SUMIFS('1CF1ZO'!$D$6:$D$2989,'1CF1ZO'!$E$6:$E$2989,"&gt;="&amp;M7,'1CF1ZO'!$E$6:$E$2989,"&lt;="&amp;EOMONTH(M7,0))-SUMIFS('1CF1ZO'!$D$6:$D$2989,'1CF1ZO'!$E$6:$E$2989,"&gt;="&amp;M7,'1CF1ZO'!$E$6:$E$2989,"&lt;="&amp;EOMONTH(M7,0),'1CF1ZO'!$F$6:$F$2989,$B$14)-(SUMIFS('1CF1ZO'!$D$6:$D$2989,'1CF1ZO'!$E$6:$E$2989,"&gt;="&amp;M7,'1CF1ZO'!$E$6:$E$2989,"&lt;="&amp;EOMONTH(M7,0),'1CF1ZO'!$F$6:$F$2989,"Discount Rent")*2)-SUMIFS('1CF1ZO'!$D$6:$D$2989,'1CF1ZO'!$E$6:$E$2989,"&gt;="&amp;M7,'1CF1ZO'!$E$6:$E$2989,"&lt;="&amp;EOMONTH(M7,0),'1CF1ZO'!$F$6:$F$2989,"Bond Received")+SUMIFS('1UK1BK'!$D$6:$D$2989,'1UK1BK'!$E$6:$E$2989,"&gt;="&amp;M7,'1UK1BK'!$E$6:$E$2989,"&lt;="&amp;EOMONTH(M7,0))-SUMIFS('1UK1BK'!$D$6:$D$2989,'1UK1BK'!$E$6:$E$2989,"&gt;="&amp;M7,'1UK1BK'!$E$6:$E$2989,"&lt;="&amp;EOMONTH(M7,0),'1UK1BK'!$F$6:$F$2989,$B$14)-(SUMIFS('1UK1BK'!$D$6:$D$2989,'1UK1BK'!$E$6:$E$2989,"&gt;="&amp;M7,'1UK1BK'!$E$6:$E$2989,"&lt;="&amp;EOMONTH(M7,0),'1UK1BK'!$F$6:$F$2989,"Discount Rent")*2)-SUMIFS('1UK1BK'!$D$6:$D$2989,'1UK1BK'!$E$6:$E$2989,"&gt;="&amp;M7,'1UK1BK'!$E$6:$E$2989,"&lt;="&amp;EOMONTH(M7,0),'1UK1BK'!$F$6:$F$2989,"Bond Received")</f>
        <v>#REF!</v>
      </c>
      <c r="N11" s="108" t="e">
        <f>SUMIFS(#REF!,#REF!,"&gt;="&amp;N7,#REF!,"&lt;="&amp;EOMONTH(N7,0))-SUMIFS(#REF!,#REF!,"&gt;="&amp;N7,#REF!,"&lt;="&amp;EOMONTH(N7,0),#REF!,$B$14)-(SUMIFS(#REF!,#REF!,"&gt;="&amp;N7,#REF!,"&lt;="&amp;EOMONTH(N7,0),#REF!,"Discount Rent")*2)-SUMIFS(#REF!,#REF!,"&gt;="&amp;N7,#REF!,"&lt;="&amp;EOMONTH(N7,0),#REF!,"Bond Received")+SUMIFS('1JI2UE'!$D$6:$D$2989,'1JI2UE'!$E$6:$E$2989,"&gt;="&amp;N7,'1JI2UE'!$E$6:$E$2989,"&lt;="&amp;EOMONTH(N7,0))-SUMIFS('1JI2UE'!$D$6:$D$2989,'1JI2UE'!$E$6:$E$2989,"&gt;="&amp;N7,'1JI2UE'!$E$6:$E$2989,"&lt;="&amp;EOMONTH(N7,0),'1JI2UE'!$F$6:$F$2989,$B$14)-(SUMIFS('1JI2UE'!$D$6:$D$2989,'1JI2UE'!$E$6:$E$2989,"&gt;="&amp;N7,'1JI2UE'!$E$6:$E$2989,"&lt;="&amp;EOMONTH(N7,0),'1JI2UE'!$F$6:$F$2989,"Discount Rent")*2)-SUMIFS('1JI2UE'!$D$6:$D$2989,'1JI2UE'!$E$6:$E$2989,"&gt;="&amp;N7,'1JI2UE'!$E$6:$E$2989,"&lt;="&amp;EOMONTH(N7,0),'1JI2UE'!$F$6:$F$2989,"Bond Received")+SUMIFS(#REF!,#REF!,"&gt;="&amp;N7,#REF!,"&lt;="&amp;EOMONTH(N7,0))-SUMIFS(#REF!,#REF!,"&gt;="&amp;N7,#REF!,"&lt;="&amp;EOMONTH(N7,0),#REF!,$B$14)-(SUMIFS(#REF!,#REF!,"&gt;="&amp;N7,#REF!,"&lt;="&amp;EOMONTH(N7,0),#REF!,"Discount Rent")*2)-SUMIFS(#REF!,#REF!,"&gt;="&amp;N7,#REF!,"&lt;="&amp;EOMONTH(N7,0),#REF!,"Bond Received")+SUMIFS('1SI9BW'!$D$6:$D$2989,'1SI9BW'!$E$6:$E$2989,"&gt;="&amp;N7,'1SI9BW'!$E$6:$E$2989,"&lt;="&amp;EOMONTH(N7,0))-SUMIFS('1SI9BW'!$D$6:$D$2989,'1SI9BW'!$E$6:$E$2989,"&gt;="&amp;N7,'1SI9BW'!$E$6:$E$2989,"&lt;="&amp;EOMONTH(N7,0),'1SI9BW'!$F$6:$F$2989,$B$14)-(SUMIFS('1SI9BW'!$D$6:$D$2989,'1SI9BW'!$E$6:$E$2989,"&gt;="&amp;N7,'1SI9BW'!$E$6:$E$2989,"&lt;="&amp;EOMONTH(N7,0),'1SI9BW'!$F$6:$F$2989,"Discount Rent")*2)-SUMIFS('1SI9BW'!$D$6:$D$2989,'1SI9BW'!$E$6:$E$2989,"&gt;="&amp;N7,'1SI9BW'!$E$6:$E$2989,"&lt;="&amp;EOMONTH(N7,0),'1SI9BW'!$F$6:$F$2989,"Bond Received")+SUMIFS(Suzuki!$D$6:$D$2989,Suzuki!$E$6:$E$2989,"&gt;="&amp;N7,Suzuki!$E$6:$E$2989,"&lt;="&amp;EOMONTH(N7,0))-SUMIFS(Suzuki!$D$6:$D$2989,Suzuki!$E$6:$E$2989,"&gt;="&amp;N7,Suzuki!$E$6:$E$2989,"&lt;="&amp;EOMONTH(N7,0),Suzuki!$F$6:$F$2989,$B$14)-(SUMIFS(Suzuki!$D$6:$D$2989,Suzuki!$E$6:$E$2989,"&gt;="&amp;N7,Suzuki!$E$6:$E$2989,"&lt;="&amp;EOMONTH(N7,0),Suzuki!$F$6:$F$2989,"Discount Rent")*2)-SUMIFS(Suzuki!$D$6:$D$2989,Suzuki!$E$6:$E$2989,"&gt;="&amp;N7,Suzuki!$E$6:$E$2989,"&lt;="&amp;EOMONTH(N7,0),Suzuki!$F$6:$F$2989,"Bond Received")+SUMIFS('1SK3DD'!$D$6:$D$2989,'1SK3DD'!$E$6:$E$2989,"&gt;="&amp;N7,'1SK3DD'!$E$6:$E$2989,"&lt;="&amp;EOMONTH(N7,0))-SUMIFS('1SK3DD'!$D$6:$D$2989,'1SK3DD'!$E$6:$E$2989,"&gt;="&amp;N7,'1SK3DD'!$E$6:$E$2989,"&lt;="&amp;EOMONTH(N7,0),'1SK3DD'!$F$6:$F$2989,$B$14)-(SUMIFS('1SK3DD'!$D$6:$D$2989,'1SK3DD'!$E$6:$E$2989,"&gt;="&amp;N7,'1SK3DD'!$E$6:$E$2989,"&lt;="&amp;EOMONTH(N7,0),'1SK3DD'!$F$6:$F$2989,"Discount Rent")*2)-SUMIFS('1SK3DD'!$D$6:$D$2989,'1SK3DD'!$E$6:$E$2989,"&gt;="&amp;N7,'1SK3DD'!$E$6:$E$2989,"&lt;="&amp;EOMONTH(N7,0),'1SK3DD'!$F$6:$F$2989,"Bond Received")+SUMIFS('1SX5TQ'!$D$6:$D$2989,'1SX5TQ'!$E$6:$E$2989,"&gt;="&amp;N7,'1SX5TQ'!$E$6:$E$2989,"&lt;="&amp;EOMONTH(N7,0))-SUMIFS('1SX5TQ'!$D$6:$D$2989,'1SX5TQ'!$E$6:$E$2989,"&gt;="&amp;N7,'1SX5TQ'!$E$6:$E$2989,"&lt;="&amp;EOMONTH(N7,0),'1SX5TQ'!$F$6:$F$2989,$B$14)-(SUMIFS('1SX5TQ'!$D$6:$D$2989,'1SX5TQ'!$E$6:$E$2989,"&gt;="&amp;N7,'1SX5TQ'!$E$6:$E$2989,"&lt;="&amp;EOMONTH(N7,0),'1SX5TQ'!$F$6:$F$2989,"Discount Rent")*2)-SUMIFS('1SX5TQ'!$D$6:$D$2989,'1SX5TQ'!$E$6:$E$2989,"&gt;="&amp;N7,'1SX5TQ'!$E$6:$E$2989,"&lt;="&amp;EOMONTH(N7,0),'1SX5TQ'!$F$6:$F$2989,"Bond Received")+SUMIFS('BMM465'!$D$6:$D$2989,'BMM465'!$E$6:$E$2989,"&gt;="&amp;N7,'BMM465'!$E$6:$E$2989,"&lt;="&amp;EOMONTH(N7,0))-SUMIFS('BMM465'!$D$6:$D$2989,'BMM465'!$E$6:$E$2989,"&gt;="&amp;N7,'BMM465'!$E$6:$E$2989,"&lt;="&amp;EOMONTH(N7,0),'BMM465'!$F$6:$F$2989,$B$14)-(SUMIFS('BMM465'!$D$6:$D$2989,'BMM465'!$E$6:$E$2989,"&gt;="&amp;N7,'BMM465'!$E$6:$E$2989,"&lt;="&amp;EOMONTH(N7,0),'BMM465'!$F$6:$F$2989,"Discount Rent")*2)-SUMIFS('BMM465'!$D$6:$D$2989,'BMM465'!$E$6:$E$2989,"&gt;="&amp;N7,'BMM465'!$E$6:$E$2989,"&lt;="&amp;EOMONTH(N7,0),'BMM465'!$F$6:$F$2989,"Bond Received")+SUMIFS('1CF1ZO'!$D$6:$D$2989,'1CF1ZO'!$E$6:$E$2989,"&gt;="&amp;N7,'1CF1ZO'!$E$6:$E$2989,"&lt;="&amp;EOMONTH(N7,0))-SUMIFS('1CF1ZO'!$D$6:$D$2989,'1CF1ZO'!$E$6:$E$2989,"&gt;="&amp;N7,'1CF1ZO'!$E$6:$E$2989,"&lt;="&amp;EOMONTH(N7,0),'1CF1ZO'!$F$6:$F$2989,$B$14)-(SUMIFS('1CF1ZO'!$D$6:$D$2989,'1CF1ZO'!$E$6:$E$2989,"&gt;="&amp;N7,'1CF1ZO'!$E$6:$E$2989,"&lt;="&amp;EOMONTH(N7,0),'1CF1ZO'!$F$6:$F$2989,"Discount Rent")*2)-SUMIFS('1CF1ZO'!$D$6:$D$2989,'1CF1ZO'!$E$6:$E$2989,"&gt;="&amp;N7,'1CF1ZO'!$E$6:$E$2989,"&lt;="&amp;EOMONTH(N7,0),'1CF1ZO'!$F$6:$F$2989,"Bond Received")+SUMIFS('1UK1BK'!$D$6:$D$2989,'1UK1BK'!$E$6:$E$2989,"&gt;="&amp;N7,'1UK1BK'!$E$6:$E$2989,"&lt;="&amp;EOMONTH(N7,0))-SUMIFS('1UK1BK'!$D$6:$D$2989,'1UK1BK'!$E$6:$E$2989,"&gt;="&amp;N7,'1UK1BK'!$E$6:$E$2989,"&lt;="&amp;EOMONTH(N7,0),'1UK1BK'!$F$6:$F$2989,$B$14)-(SUMIFS('1UK1BK'!$D$6:$D$2989,'1UK1BK'!$E$6:$E$2989,"&gt;="&amp;N7,'1UK1BK'!$E$6:$E$2989,"&lt;="&amp;EOMONTH(N7,0),'1UK1BK'!$F$6:$F$2989,"Discount Rent")*2)-SUMIFS('1UK1BK'!$D$6:$D$2989,'1UK1BK'!$E$6:$E$2989,"&gt;="&amp;N7,'1UK1BK'!$E$6:$E$2989,"&lt;="&amp;EOMONTH(N7,0),'1UK1BK'!$F$6:$F$2989,"Bond Received")</f>
        <v>#REF!</v>
      </c>
      <c r="O11" s="108" t="e">
        <f>SUMIFS(#REF!,#REF!,"&gt;="&amp;O7,#REF!,"&lt;="&amp;EOMONTH(O7,0))-SUMIFS(#REF!,#REF!,"&gt;="&amp;O7,#REF!,"&lt;="&amp;EOMONTH(O7,0),#REF!,$B$14)-(SUMIFS(#REF!,#REF!,"&gt;="&amp;O7,#REF!,"&lt;="&amp;EOMONTH(O7,0),#REF!,"Discount Rent")*2)-SUMIFS(#REF!,#REF!,"&gt;="&amp;O7,#REF!,"&lt;="&amp;EOMONTH(O7,0),#REF!,"Bond Received")+SUMIFS('1JI2UE'!$D$6:$D$2989,'1JI2UE'!$E$6:$E$2989,"&gt;="&amp;O7,'1JI2UE'!$E$6:$E$2989,"&lt;="&amp;EOMONTH(O7,0))-SUMIFS('1JI2UE'!$D$6:$D$2989,'1JI2UE'!$E$6:$E$2989,"&gt;="&amp;O7,'1JI2UE'!$E$6:$E$2989,"&lt;="&amp;EOMONTH(O7,0),'1JI2UE'!$F$6:$F$2989,$B$14)-(SUMIFS('1JI2UE'!$D$6:$D$2989,'1JI2UE'!$E$6:$E$2989,"&gt;="&amp;O7,'1JI2UE'!$E$6:$E$2989,"&lt;="&amp;EOMONTH(O7,0),'1JI2UE'!$F$6:$F$2989,"Discount Rent")*2)-SUMIFS('1JI2UE'!$D$6:$D$2989,'1JI2UE'!$E$6:$E$2989,"&gt;="&amp;O7,'1JI2UE'!$E$6:$E$2989,"&lt;="&amp;EOMONTH(O7,0),'1JI2UE'!$F$6:$F$2989,"Bond Received")+SUMIFS(#REF!,#REF!,"&gt;="&amp;O7,#REF!,"&lt;="&amp;EOMONTH(O7,0))-SUMIFS(#REF!,#REF!,"&gt;="&amp;O7,#REF!,"&lt;="&amp;EOMONTH(O7,0),#REF!,$B$14)-(SUMIFS(#REF!,#REF!,"&gt;="&amp;O7,#REF!,"&lt;="&amp;EOMONTH(O7,0),#REF!,"Discount Rent")*2)-SUMIFS(#REF!,#REF!,"&gt;="&amp;O7,#REF!,"&lt;="&amp;EOMONTH(O7,0),#REF!,"Bond Received")+SUMIFS('1SI9BW'!$D$6:$D$2989,'1SI9BW'!$E$6:$E$2989,"&gt;="&amp;O7,'1SI9BW'!$E$6:$E$2989,"&lt;="&amp;EOMONTH(O7,0))-SUMIFS('1SI9BW'!$D$6:$D$2989,'1SI9BW'!$E$6:$E$2989,"&gt;="&amp;O7,'1SI9BW'!$E$6:$E$2989,"&lt;="&amp;EOMONTH(O7,0),'1SI9BW'!$F$6:$F$2989,$B$14)-(SUMIFS('1SI9BW'!$D$6:$D$2989,'1SI9BW'!$E$6:$E$2989,"&gt;="&amp;O7,'1SI9BW'!$E$6:$E$2989,"&lt;="&amp;EOMONTH(O7,0),'1SI9BW'!$F$6:$F$2989,"Discount Rent")*2)-SUMIFS('1SI9BW'!$D$6:$D$2989,'1SI9BW'!$E$6:$E$2989,"&gt;="&amp;O7,'1SI9BW'!$E$6:$E$2989,"&lt;="&amp;EOMONTH(O7,0),'1SI9BW'!$F$6:$F$2989,"Bond Received")+SUMIFS(Suzuki!$D$6:$D$2989,Suzuki!$E$6:$E$2989,"&gt;="&amp;O7,Suzuki!$E$6:$E$2989,"&lt;="&amp;EOMONTH(O7,0))-SUMIFS(Suzuki!$D$6:$D$2989,Suzuki!$E$6:$E$2989,"&gt;="&amp;O7,Suzuki!$E$6:$E$2989,"&lt;="&amp;EOMONTH(O7,0),Suzuki!$F$6:$F$2989,$B$14)-(SUMIFS(Suzuki!$D$6:$D$2989,Suzuki!$E$6:$E$2989,"&gt;="&amp;O7,Suzuki!$E$6:$E$2989,"&lt;="&amp;EOMONTH(O7,0),Suzuki!$F$6:$F$2989,"Discount Rent")*2)-SUMIFS(Suzuki!$D$6:$D$2989,Suzuki!$E$6:$E$2989,"&gt;="&amp;O7,Suzuki!$E$6:$E$2989,"&lt;="&amp;EOMONTH(O7,0),Suzuki!$F$6:$F$2989,"Bond Received")+SUMIFS('1SK3DD'!$D$6:$D$2989,'1SK3DD'!$E$6:$E$2989,"&gt;="&amp;O7,'1SK3DD'!$E$6:$E$2989,"&lt;="&amp;EOMONTH(O7,0))-SUMIFS('1SK3DD'!$D$6:$D$2989,'1SK3DD'!$E$6:$E$2989,"&gt;="&amp;O7,'1SK3DD'!$E$6:$E$2989,"&lt;="&amp;EOMONTH(O7,0),'1SK3DD'!$F$6:$F$2989,$B$14)-(SUMIFS('1SK3DD'!$D$6:$D$2989,'1SK3DD'!$E$6:$E$2989,"&gt;="&amp;O7,'1SK3DD'!$E$6:$E$2989,"&lt;="&amp;EOMONTH(O7,0),'1SK3DD'!$F$6:$F$2989,"Discount Rent")*2)-SUMIFS('1SK3DD'!$D$6:$D$2989,'1SK3DD'!$E$6:$E$2989,"&gt;="&amp;O7,'1SK3DD'!$E$6:$E$2989,"&lt;="&amp;EOMONTH(O7,0),'1SK3DD'!$F$6:$F$2989,"Bond Received")+SUMIFS('1SX5TQ'!$D$6:$D$2989,'1SX5TQ'!$E$6:$E$2989,"&gt;="&amp;O7,'1SX5TQ'!$E$6:$E$2989,"&lt;="&amp;EOMONTH(O7,0))-SUMIFS('1SX5TQ'!$D$6:$D$2989,'1SX5TQ'!$E$6:$E$2989,"&gt;="&amp;O7,'1SX5TQ'!$E$6:$E$2989,"&lt;="&amp;EOMONTH(O7,0),'1SX5TQ'!$F$6:$F$2989,$B$14)-(SUMIFS('1SX5TQ'!$D$6:$D$2989,'1SX5TQ'!$E$6:$E$2989,"&gt;="&amp;O7,'1SX5TQ'!$E$6:$E$2989,"&lt;="&amp;EOMONTH(O7,0),'1SX5TQ'!$F$6:$F$2989,"Discount Rent")*2)-SUMIFS('1SX5TQ'!$D$6:$D$2989,'1SX5TQ'!$E$6:$E$2989,"&gt;="&amp;O7,'1SX5TQ'!$E$6:$E$2989,"&lt;="&amp;EOMONTH(O7,0),'1SX5TQ'!$F$6:$F$2989,"Bond Received")+SUMIFS('BMM465'!$D$6:$D$2989,'BMM465'!$E$6:$E$2989,"&gt;="&amp;O7,'BMM465'!$E$6:$E$2989,"&lt;="&amp;EOMONTH(O7,0))-SUMIFS('BMM465'!$D$6:$D$2989,'BMM465'!$E$6:$E$2989,"&gt;="&amp;O7,'BMM465'!$E$6:$E$2989,"&lt;="&amp;EOMONTH(O7,0),'BMM465'!$F$6:$F$2989,$B$14)-(SUMIFS('BMM465'!$D$6:$D$2989,'BMM465'!$E$6:$E$2989,"&gt;="&amp;O7,'BMM465'!$E$6:$E$2989,"&lt;="&amp;EOMONTH(O7,0),'BMM465'!$F$6:$F$2989,"Discount Rent")*2)-SUMIFS('BMM465'!$D$6:$D$2989,'BMM465'!$E$6:$E$2989,"&gt;="&amp;O7,'BMM465'!$E$6:$E$2989,"&lt;="&amp;EOMONTH(O7,0),'BMM465'!$F$6:$F$2989,"Bond Received")+SUMIFS('1CF1ZO'!$D$6:$D$2989,'1CF1ZO'!$E$6:$E$2989,"&gt;="&amp;O7,'1CF1ZO'!$E$6:$E$2989,"&lt;="&amp;EOMONTH(O7,0))-SUMIFS('1CF1ZO'!$D$6:$D$2989,'1CF1ZO'!$E$6:$E$2989,"&gt;="&amp;O7,'1CF1ZO'!$E$6:$E$2989,"&lt;="&amp;EOMONTH(O7,0),'1CF1ZO'!$F$6:$F$2989,$B$14)-(SUMIFS('1CF1ZO'!$D$6:$D$2989,'1CF1ZO'!$E$6:$E$2989,"&gt;="&amp;O7,'1CF1ZO'!$E$6:$E$2989,"&lt;="&amp;EOMONTH(O7,0),'1CF1ZO'!$F$6:$F$2989,"Discount Rent")*2)-SUMIFS('1CF1ZO'!$D$6:$D$2989,'1CF1ZO'!$E$6:$E$2989,"&gt;="&amp;O7,'1CF1ZO'!$E$6:$E$2989,"&lt;="&amp;EOMONTH(O7,0),'1CF1ZO'!$F$6:$F$2989,"Bond Received")+SUMIFS('1UK1BK'!$D$6:$D$2989,'1UK1BK'!$E$6:$E$2989,"&gt;="&amp;O7,'1UK1BK'!$E$6:$E$2989,"&lt;="&amp;EOMONTH(O7,0))-SUMIFS('1UK1BK'!$D$6:$D$2989,'1UK1BK'!$E$6:$E$2989,"&gt;="&amp;O7,'1UK1BK'!$E$6:$E$2989,"&lt;="&amp;EOMONTH(O7,0),'1UK1BK'!$F$6:$F$2989,$B$14)-(SUMIFS('1UK1BK'!$D$6:$D$2989,'1UK1BK'!$E$6:$E$2989,"&gt;="&amp;O7,'1UK1BK'!$E$6:$E$2989,"&lt;="&amp;EOMONTH(O7,0),'1UK1BK'!$F$6:$F$2989,"Discount Rent")*2)-SUMIFS('1UK1BK'!$D$6:$D$2989,'1UK1BK'!$E$6:$E$2989,"&gt;="&amp;O7,'1UK1BK'!$E$6:$E$2989,"&lt;="&amp;EOMONTH(O7,0),'1UK1BK'!$F$6:$F$2989,"Bond Received")</f>
        <v>#REF!</v>
      </c>
      <c r="P11" s="108" t="e">
        <f>SUMIFS(#REF!,#REF!,"&gt;="&amp;P7,#REF!,"&lt;="&amp;EOMONTH(P7,0))-SUMIFS(#REF!,#REF!,"&gt;="&amp;P7,#REF!,"&lt;="&amp;EOMONTH(P7,0),#REF!,$B$14)-(SUMIFS(#REF!,#REF!,"&gt;="&amp;P7,#REF!,"&lt;="&amp;EOMONTH(P7,0),#REF!,"Discount Rent")*2)-SUMIFS(#REF!,#REF!,"&gt;="&amp;P7,#REF!,"&lt;="&amp;EOMONTH(P7,0),#REF!,"Bond Received")+SUMIFS('1JI2UE'!$D$6:$D$2989,'1JI2UE'!$E$6:$E$2989,"&gt;="&amp;P7,'1JI2UE'!$E$6:$E$2989,"&lt;="&amp;EOMONTH(P7,0))-SUMIFS('1JI2UE'!$D$6:$D$2989,'1JI2UE'!$E$6:$E$2989,"&gt;="&amp;P7,'1JI2UE'!$E$6:$E$2989,"&lt;="&amp;EOMONTH(P7,0),'1JI2UE'!$F$6:$F$2989,$B$14)-(SUMIFS('1JI2UE'!$D$6:$D$2989,'1JI2UE'!$E$6:$E$2989,"&gt;="&amp;P7,'1JI2UE'!$E$6:$E$2989,"&lt;="&amp;EOMONTH(P7,0),'1JI2UE'!$F$6:$F$2989,"Discount Rent")*2)-SUMIFS('1JI2UE'!$D$6:$D$2989,'1JI2UE'!$E$6:$E$2989,"&gt;="&amp;P7,'1JI2UE'!$E$6:$E$2989,"&lt;="&amp;EOMONTH(P7,0),'1JI2UE'!$F$6:$F$2989,"Bond Received")+SUMIFS(#REF!,#REF!,"&gt;="&amp;P7,#REF!,"&lt;="&amp;EOMONTH(P7,0))-SUMIFS(#REF!,#REF!,"&gt;="&amp;P7,#REF!,"&lt;="&amp;EOMONTH(P7,0),#REF!,$B$14)-(SUMIFS(#REF!,#REF!,"&gt;="&amp;P7,#REF!,"&lt;="&amp;EOMONTH(P7,0),#REF!,"Discount Rent")*2)-SUMIFS(#REF!,#REF!,"&gt;="&amp;P7,#REF!,"&lt;="&amp;EOMONTH(P7,0),#REF!,"Bond Received")+SUMIFS('1SI9BW'!$D$6:$D$2989,'1SI9BW'!$E$6:$E$2989,"&gt;="&amp;P7,'1SI9BW'!$E$6:$E$2989,"&lt;="&amp;EOMONTH(P7,0))-SUMIFS('1SI9BW'!$D$6:$D$2989,'1SI9BW'!$E$6:$E$2989,"&gt;="&amp;P7,'1SI9BW'!$E$6:$E$2989,"&lt;="&amp;EOMONTH(P7,0),'1SI9BW'!$F$6:$F$2989,$B$14)-(SUMIFS('1SI9BW'!$D$6:$D$2989,'1SI9BW'!$E$6:$E$2989,"&gt;="&amp;P7,'1SI9BW'!$E$6:$E$2989,"&lt;="&amp;EOMONTH(P7,0),'1SI9BW'!$F$6:$F$2989,"Discount Rent")*2)-SUMIFS('1SI9BW'!$D$6:$D$2989,'1SI9BW'!$E$6:$E$2989,"&gt;="&amp;P7,'1SI9BW'!$E$6:$E$2989,"&lt;="&amp;EOMONTH(P7,0),'1SI9BW'!$F$6:$F$2989,"Bond Received")+SUMIFS(Suzuki!$D$6:$D$2989,Suzuki!$E$6:$E$2989,"&gt;="&amp;P7,Suzuki!$E$6:$E$2989,"&lt;="&amp;EOMONTH(P7,0))-SUMIFS(Suzuki!$D$6:$D$2989,Suzuki!$E$6:$E$2989,"&gt;="&amp;P7,Suzuki!$E$6:$E$2989,"&lt;="&amp;EOMONTH(P7,0),Suzuki!$F$6:$F$2989,$B$14)-(SUMIFS(Suzuki!$D$6:$D$2989,Suzuki!$E$6:$E$2989,"&gt;="&amp;P7,Suzuki!$E$6:$E$2989,"&lt;="&amp;EOMONTH(P7,0),Suzuki!$F$6:$F$2989,"Discount Rent")*2)-SUMIFS(Suzuki!$D$6:$D$2989,Suzuki!$E$6:$E$2989,"&gt;="&amp;P7,Suzuki!$E$6:$E$2989,"&lt;="&amp;EOMONTH(P7,0),Suzuki!$F$6:$F$2989,"Bond Received")+SUMIFS('1SK3DD'!$D$6:$D$2989,'1SK3DD'!$E$6:$E$2989,"&gt;="&amp;P7,'1SK3DD'!$E$6:$E$2989,"&lt;="&amp;EOMONTH(P7,0))-SUMIFS('1SK3DD'!$D$6:$D$2989,'1SK3DD'!$E$6:$E$2989,"&gt;="&amp;P7,'1SK3DD'!$E$6:$E$2989,"&lt;="&amp;EOMONTH(P7,0),'1SK3DD'!$F$6:$F$2989,$B$14)-(SUMIFS('1SK3DD'!$D$6:$D$2989,'1SK3DD'!$E$6:$E$2989,"&gt;="&amp;P7,'1SK3DD'!$E$6:$E$2989,"&lt;="&amp;EOMONTH(P7,0),'1SK3DD'!$F$6:$F$2989,"Discount Rent")*2)-SUMIFS('1SK3DD'!$D$6:$D$2989,'1SK3DD'!$E$6:$E$2989,"&gt;="&amp;P7,'1SK3DD'!$E$6:$E$2989,"&lt;="&amp;EOMONTH(P7,0),'1SK3DD'!$F$6:$F$2989,"Bond Received")+SUMIFS('1SX5TQ'!$D$6:$D$2989,'1SX5TQ'!$E$6:$E$2989,"&gt;="&amp;P7,'1SX5TQ'!$E$6:$E$2989,"&lt;="&amp;EOMONTH(P7,0))-SUMIFS('1SX5TQ'!$D$6:$D$2989,'1SX5TQ'!$E$6:$E$2989,"&gt;="&amp;P7,'1SX5TQ'!$E$6:$E$2989,"&lt;="&amp;EOMONTH(P7,0),'1SX5TQ'!$F$6:$F$2989,$B$14)-(SUMIFS('1SX5TQ'!$D$6:$D$2989,'1SX5TQ'!$E$6:$E$2989,"&gt;="&amp;P7,'1SX5TQ'!$E$6:$E$2989,"&lt;="&amp;EOMONTH(P7,0),'1SX5TQ'!$F$6:$F$2989,"Discount Rent")*2)-SUMIFS('1SX5TQ'!$D$6:$D$2989,'1SX5TQ'!$E$6:$E$2989,"&gt;="&amp;P7,'1SX5TQ'!$E$6:$E$2989,"&lt;="&amp;EOMONTH(P7,0),'1SX5TQ'!$F$6:$F$2989,"Bond Received")+SUMIFS('BMM465'!$D$6:$D$2989,'BMM465'!$E$6:$E$2989,"&gt;="&amp;P7,'BMM465'!$E$6:$E$2989,"&lt;="&amp;EOMONTH(P7,0))-SUMIFS('BMM465'!$D$6:$D$2989,'BMM465'!$E$6:$E$2989,"&gt;="&amp;P7,'BMM465'!$E$6:$E$2989,"&lt;="&amp;EOMONTH(P7,0),'BMM465'!$F$6:$F$2989,$B$14)-(SUMIFS('BMM465'!$D$6:$D$2989,'BMM465'!$E$6:$E$2989,"&gt;="&amp;P7,'BMM465'!$E$6:$E$2989,"&lt;="&amp;EOMONTH(P7,0),'BMM465'!$F$6:$F$2989,"Discount Rent")*2)-SUMIFS('BMM465'!$D$6:$D$2989,'BMM465'!$E$6:$E$2989,"&gt;="&amp;P7,'BMM465'!$E$6:$E$2989,"&lt;="&amp;EOMONTH(P7,0),'BMM465'!$F$6:$F$2989,"Bond Received")+SUMIFS('1CF1ZO'!$D$6:$D$2989,'1CF1ZO'!$E$6:$E$2989,"&gt;="&amp;P7,'1CF1ZO'!$E$6:$E$2989,"&lt;="&amp;EOMONTH(P7,0))-SUMIFS('1CF1ZO'!$D$6:$D$2989,'1CF1ZO'!$E$6:$E$2989,"&gt;="&amp;P7,'1CF1ZO'!$E$6:$E$2989,"&lt;="&amp;EOMONTH(P7,0),'1CF1ZO'!$F$6:$F$2989,$B$14)-(SUMIFS('1CF1ZO'!$D$6:$D$2989,'1CF1ZO'!$E$6:$E$2989,"&gt;="&amp;P7,'1CF1ZO'!$E$6:$E$2989,"&lt;="&amp;EOMONTH(P7,0),'1CF1ZO'!$F$6:$F$2989,"Discount Rent")*2)-SUMIFS('1CF1ZO'!$D$6:$D$2989,'1CF1ZO'!$E$6:$E$2989,"&gt;="&amp;P7,'1CF1ZO'!$E$6:$E$2989,"&lt;="&amp;EOMONTH(P7,0),'1CF1ZO'!$F$6:$F$2989,"Bond Received")+SUMIFS('1UK1BK'!$D$6:$D$2989,'1UK1BK'!$E$6:$E$2989,"&gt;="&amp;P7,'1UK1BK'!$E$6:$E$2989,"&lt;="&amp;EOMONTH(P7,0))-SUMIFS('1UK1BK'!$D$6:$D$2989,'1UK1BK'!$E$6:$E$2989,"&gt;="&amp;P7,'1UK1BK'!$E$6:$E$2989,"&lt;="&amp;EOMONTH(P7,0),'1UK1BK'!$F$6:$F$2989,$B$14)-(SUMIFS('1UK1BK'!$D$6:$D$2989,'1UK1BK'!$E$6:$E$2989,"&gt;="&amp;P7,'1UK1BK'!$E$6:$E$2989,"&lt;="&amp;EOMONTH(P7,0),'1UK1BK'!$F$6:$F$2989,"Discount Rent")*2)-SUMIFS('1UK1BK'!$D$6:$D$2989,'1UK1BK'!$E$6:$E$2989,"&gt;="&amp;P7,'1UK1BK'!$E$6:$E$2989,"&lt;="&amp;EOMONTH(P7,0),'1UK1BK'!$F$6:$F$2989,"Bond Received")</f>
        <v>#REF!</v>
      </c>
      <c r="Q11" s="108" t="e">
        <f>SUMIFS(#REF!,#REF!,"&gt;="&amp;Q7,#REF!,"&lt;="&amp;EOMONTH(Q7,0))-SUMIFS(#REF!,#REF!,"&gt;="&amp;Q7,#REF!,"&lt;="&amp;EOMONTH(Q7,0),#REF!,$B$14)-(SUMIFS(#REF!,#REF!,"&gt;="&amp;Q7,#REF!,"&lt;="&amp;EOMONTH(Q7,0),#REF!,"Discount Rent")*2)-SUMIFS(#REF!,#REF!,"&gt;="&amp;Q7,#REF!,"&lt;="&amp;EOMONTH(Q7,0),#REF!,"Bond Received")+SUMIFS('1JI2UE'!$D$6:$D$2989,'1JI2UE'!$E$6:$E$2989,"&gt;="&amp;Q7,'1JI2UE'!$E$6:$E$2989,"&lt;="&amp;EOMONTH(Q7,0))-SUMIFS('1JI2UE'!$D$6:$D$2989,'1JI2UE'!$E$6:$E$2989,"&gt;="&amp;Q7,'1JI2UE'!$E$6:$E$2989,"&lt;="&amp;EOMONTH(Q7,0),'1JI2UE'!$F$6:$F$2989,$B$14)-(SUMIFS('1JI2UE'!$D$6:$D$2989,'1JI2UE'!$E$6:$E$2989,"&gt;="&amp;Q7,'1JI2UE'!$E$6:$E$2989,"&lt;="&amp;EOMONTH(Q7,0),'1JI2UE'!$F$6:$F$2989,"Discount Rent")*2)-SUMIFS('1JI2UE'!$D$6:$D$2989,'1JI2UE'!$E$6:$E$2989,"&gt;="&amp;Q7,'1JI2UE'!$E$6:$E$2989,"&lt;="&amp;EOMONTH(Q7,0),'1JI2UE'!$F$6:$F$2989,"Bond Received")+SUMIFS(#REF!,#REF!,"&gt;="&amp;Q7,#REF!,"&lt;="&amp;EOMONTH(Q7,0))-SUMIFS(#REF!,#REF!,"&gt;="&amp;Q7,#REF!,"&lt;="&amp;EOMONTH(Q7,0),#REF!,$B$14)-(SUMIFS(#REF!,#REF!,"&gt;="&amp;Q7,#REF!,"&lt;="&amp;EOMONTH(Q7,0),#REF!,"Discount Rent")*2)-SUMIFS(#REF!,#REF!,"&gt;="&amp;Q7,#REF!,"&lt;="&amp;EOMONTH(Q7,0),#REF!,"Bond Received")+SUMIFS('1SI9BW'!$D$6:$D$2989,'1SI9BW'!$E$6:$E$2989,"&gt;="&amp;Q7,'1SI9BW'!$E$6:$E$2989,"&lt;="&amp;EOMONTH(Q7,0))-SUMIFS('1SI9BW'!$D$6:$D$2989,'1SI9BW'!$E$6:$E$2989,"&gt;="&amp;Q7,'1SI9BW'!$E$6:$E$2989,"&lt;="&amp;EOMONTH(Q7,0),'1SI9BW'!$F$6:$F$2989,$B$14)-(SUMIFS('1SI9BW'!$D$6:$D$2989,'1SI9BW'!$E$6:$E$2989,"&gt;="&amp;Q7,'1SI9BW'!$E$6:$E$2989,"&lt;="&amp;EOMONTH(Q7,0),'1SI9BW'!$F$6:$F$2989,"Discount Rent")*2)-SUMIFS('1SI9BW'!$D$6:$D$2989,'1SI9BW'!$E$6:$E$2989,"&gt;="&amp;Q7,'1SI9BW'!$E$6:$E$2989,"&lt;="&amp;EOMONTH(Q7,0),'1SI9BW'!$F$6:$F$2989,"Bond Received")+SUMIFS(Suzuki!$D$6:$D$2989,Suzuki!$E$6:$E$2989,"&gt;="&amp;Q7,Suzuki!$E$6:$E$2989,"&lt;="&amp;EOMONTH(Q7,0))-SUMIFS(Suzuki!$D$6:$D$2989,Suzuki!$E$6:$E$2989,"&gt;="&amp;Q7,Suzuki!$E$6:$E$2989,"&lt;="&amp;EOMONTH(Q7,0),Suzuki!$F$6:$F$2989,$B$14)-(SUMIFS(Suzuki!$D$6:$D$2989,Suzuki!$E$6:$E$2989,"&gt;="&amp;Q7,Suzuki!$E$6:$E$2989,"&lt;="&amp;EOMONTH(Q7,0),Suzuki!$F$6:$F$2989,"Discount Rent")*2)-SUMIFS(Suzuki!$D$6:$D$2989,Suzuki!$E$6:$E$2989,"&gt;="&amp;Q7,Suzuki!$E$6:$E$2989,"&lt;="&amp;EOMONTH(Q7,0),Suzuki!$F$6:$F$2989,"Bond Received")+SUMIFS('1SK3DD'!$D$6:$D$2989,'1SK3DD'!$E$6:$E$2989,"&gt;="&amp;Q7,'1SK3DD'!$E$6:$E$2989,"&lt;="&amp;EOMONTH(Q7,0))-SUMIFS('1SK3DD'!$D$6:$D$2989,'1SK3DD'!$E$6:$E$2989,"&gt;="&amp;Q7,'1SK3DD'!$E$6:$E$2989,"&lt;="&amp;EOMONTH(Q7,0),'1SK3DD'!$F$6:$F$2989,$B$14)-(SUMIFS('1SK3DD'!$D$6:$D$2989,'1SK3DD'!$E$6:$E$2989,"&gt;="&amp;Q7,'1SK3DD'!$E$6:$E$2989,"&lt;="&amp;EOMONTH(Q7,0),'1SK3DD'!$F$6:$F$2989,"Discount Rent")*2)-SUMIFS('1SK3DD'!$D$6:$D$2989,'1SK3DD'!$E$6:$E$2989,"&gt;="&amp;Q7,'1SK3DD'!$E$6:$E$2989,"&lt;="&amp;EOMONTH(Q7,0),'1SK3DD'!$F$6:$F$2989,"Bond Received")+SUMIFS('1SX5TQ'!$D$6:$D$2989,'1SX5TQ'!$E$6:$E$2989,"&gt;="&amp;Q7,'1SX5TQ'!$E$6:$E$2989,"&lt;="&amp;EOMONTH(Q7,0))-SUMIFS('1SX5TQ'!$D$6:$D$2989,'1SX5TQ'!$E$6:$E$2989,"&gt;="&amp;Q7,'1SX5TQ'!$E$6:$E$2989,"&lt;="&amp;EOMONTH(Q7,0),'1SX5TQ'!$F$6:$F$2989,$B$14)-(SUMIFS('1SX5TQ'!$D$6:$D$2989,'1SX5TQ'!$E$6:$E$2989,"&gt;="&amp;Q7,'1SX5TQ'!$E$6:$E$2989,"&lt;="&amp;EOMONTH(Q7,0),'1SX5TQ'!$F$6:$F$2989,"Discount Rent")*2)-SUMIFS('1SX5TQ'!$D$6:$D$2989,'1SX5TQ'!$E$6:$E$2989,"&gt;="&amp;Q7,'1SX5TQ'!$E$6:$E$2989,"&lt;="&amp;EOMONTH(Q7,0),'1SX5TQ'!$F$6:$F$2989,"Bond Received")+SUMIFS('BMM465'!$D$6:$D$2989,'BMM465'!$E$6:$E$2989,"&gt;="&amp;Q7,'BMM465'!$E$6:$E$2989,"&lt;="&amp;EOMONTH(Q7,0))-SUMIFS('BMM465'!$D$6:$D$2989,'BMM465'!$E$6:$E$2989,"&gt;="&amp;Q7,'BMM465'!$E$6:$E$2989,"&lt;="&amp;EOMONTH(Q7,0),'BMM465'!$F$6:$F$2989,$B$14)-(SUMIFS('BMM465'!$D$6:$D$2989,'BMM465'!$E$6:$E$2989,"&gt;="&amp;Q7,'BMM465'!$E$6:$E$2989,"&lt;="&amp;EOMONTH(Q7,0),'BMM465'!$F$6:$F$2989,"Discount Rent")*2)-SUMIFS('BMM465'!$D$6:$D$2989,'BMM465'!$E$6:$E$2989,"&gt;="&amp;Q7,'BMM465'!$E$6:$E$2989,"&lt;="&amp;EOMONTH(Q7,0),'BMM465'!$F$6:$F$2989,"Bond Received")+SUMIFS('1CF1ZO'!$D$6:$D$2989,'1CF1ZO'!$E$6:$E$2989,"&gt;="&amp;Q7,'1CF1ZO'!$E$6:$E$2989,"&lt;="&amp;EOMONTH(Q7,0))-SUMIFS('1CF1ZO'!$D$6:$D$2989,'1CF1ZO'!$E$6:$E$2989,"&gt;="&amp;Q7,'1CF1ZO'!$E$6:$E$2989,"&lt;="&amp;EOMONTH(Q7,0),'1CF1ZO'!$F$6:$F$2989,$B$14)-(SUMIFS('1CF1ZO'!$D$6:$D$2989,'1CF1ZO'!$E$6:$E$2989,"&gt;="&amp;Q7,'1CF1ZO'!$E$6:$E$2989,"&lt;="&amp;EOMONTH(Q7,0),'1CF1ZO'!$F$6:$F$2989,"Discount Rent")*2)-SUMIFS('1CF1ZO'!$D$6:$D$2989,'1CF1ZO'!$E$6:$E$2989,"&gt;="&amp;Q7,'1CF1ZO'!$E$6:$E$2989,"&lt;="&amp;EOMONTH(Q7,0),'1CF1ZO'!$F$6:$F$2989,"Bond Received")+SUMIFS('1UK1BK'!$D$6:$D$2989,'1UK1BK'!$E$6:$E$2989,"&gt;="&amp;Q7,'1UK1BK'!$E$6:$E$2989,"&lt;="&amp;EOMONTH(Q7,0))-SUMIFS('1UK1BK'!$D$6:$D$2989,'1UK1BK'!$E$6:$E$2989,"&gt;="&amp;Q7,'1UK1BK'!$E$6:$E$2989,"&lt;="&amp;EOMONTH(Q7,0),'1UK1BK'!$F$6:$F$2989,$B$14)-(SUMIFS('1UK1BK'!$D$6:$D$2989,'1UK1BK'!$E$6:$E$2989,"&gt;="&amp;Q7,'1UK1BK'!$E$6:$E$2989,"&lt;="&amp;EOMONTH(Q7,0),'1UK1BK'!$F$6:$F$2989,"Discount Rent")*2)-SUMIFS('1UK1BK'!$D$6:$D$2989,'1UK1BK'!$E$6:$E$2989,"&gt;="&amp;Q7,'1UK1BK'!$E$6:$E$2989,"&lt;="&amp;EOMONTH(Q7,0),'1UK1BK'!$F$6:$F$2989,"Bond Received")</f>
        <v>#REF!</v>
      </c>
      <c r="R11" s="108" t="e">
        <f>SUMIFS(#REF!,#REF!,"&gt;="&amp;R7,#REF!,"&lt;="&amp;EOMONTH(R7,0))-SUMIFS(#REF!,#REF!,"&gt;="&amp;R7,#REF!,"&lt;="&amp;EOMONTH(R7,0),#REF!,$B$14)-(SUMIFS(#REF!,#REF!,"&gt;="&amp;R7,#REF!,"&lt;="&amp;EOMONTH(R7,0),#REF!,"Discount Rent")*2)-SUMIFS(#REF!,#REF!,"&gt;="&amp;R7,#REF!,"&lt;="&amp;EOMONTH(R7,0),#REF!,"Bond Received")+SUMIFS('1JI2UE'!$D$6:$D$2989,'1JI2UE'!$E$6:$E$2989,"&gt;="&amp;R7,'1JI2UE'!$E$6:$E$2989,"&lt;="&amp;EOMONTH(R7,0))-SUMIFS('1JI2UE'!$D$6:$D$2989,'1JI2UE'!$E$6:$E$2989,"&gt;="&amp;R7,'1JI2UE'!$E$6:$E$2989,"&lt;="&amp;EOMONTH(R7,0),'1JI2UE'!$F$6:$F$2989,$B$14)-(SUMIFS('1JI2UE'!$D$6:$D$2989,'1JI2UE'!$E$6:$E$2989,"&gt;="&amp;R7,'1JI2UE'!$E$6:$E$2989,"&lt;="&amp;EOMONTH(R7,0),'1JI2UE'!$F$6:$F$2989,"Discount Rent")*2)-SUMIFS('1JI2UE'!$D$6:$D$2989,'1JI2UE'!$E$6:$E$2989,"&gt;="&amp;R7,'1JI2UE'!$E$6:$E$2989,"&lt;="&amp;EOMONTH(R7,0),'1JI2UE'!$F$6:$F$2989,"Bond Received")+SUMIFS(#REF!,#REF!,"&gt;="&amp;R7,#REF!,"&lt;="&amp;EOMONTH(R7,0))-SUMIFS(#REF!,#REF!,"&gt;="&amp;R7,#REF!,"&lt;="&amp;EOMONTH(R7,0),#REF!,$B$14)-(SUMIFS(#REF!,#REF!,"&gt;="&amp;R7,#REF!,"&lt;="&amp;EOMONTH(R7,0),#REF!,"Discount Rent")*2)-SUMIFS(#REF!,#REF!,"&gt;="&amp;R7,#REF!,"&lt;="&amp;EOMONTH(R7,0),#REF!,"Bond Received")+SUMIFS('1SI9BW'!$D$6:$D$2989,'1SI9BW'!$E$6:$E$2989,"&gt;="&amp;R7,'1SI9BW'!$E$6:$E$2989,"&lt;="&amp;EOMONTH(R7,0))-SUMIFS('1SI9BW'!$D$6:$D$2989,'1SI9BW'!$E$6:$E$2989,"&gt;="&amp;R7,'1SI9BW'!$E$6:$E$2989,"&lt;="&amp;EOMONTH(R7,0),'1SI9BW'!$F$6:$F$2989,$B$14)-(SUMIFS('1SI9BW'!$D$6:$D$2989,'1SI9BW'!$E$6:$E$2989,"&gt;="&amp;R7,'1SI9BW'!$E$6:$E$2989,"&lt;="&amp;EOMONTH(R7,0),'1SI9BW'!$F$6:$F$2989,"Discount Rent")*2)-SUMIFS('1SI9BW'!$D$6:$D$2989,'1SI9BW'!$E$6:$E$2989,"&gt;="&amp;R7,'1SI9BW'!$E$6:$E$2989,"&lt;="&amp;EOMONTH(R7,0),'1SI9BW'!$F$6:$F$2989,"Bond Received")+SUMIFS(Suzuki!$D$6:$D$2989,Suzuki!$E$6:$E$2989,"&gt;="&amp;R7,Suzuki!$E$6:$E$2989,"&lt;="&amp;EOMONTH(R7,0))-SUMIFS(Suzuki!$D$6:$D$2989,Suzuki!$E$6:$E$2989,"&gt;="&amp;R7,Suzuki!$E$6:$E$2989,"&lt;="&amp;EOMONTH(R7,0),Suzuki!$F$6:$F$2989,$B$14)-(SUMIFS(Suzuki!$D$6:$D$2989,Suzuki!$E$6:$E$2989,"&gt;="&amp;R7,Suzuki!$E$6:$E$2989,"&lt;="&amp;EOMONTH(R7,0),Suzuki!$F$6:$F$2989,"Discount Rent")*2)-SUMIFS(Suzuki!$D$6:$D$2989,Suzuki!$E$6:$E$2989,"&gt;="&amp;R7,Suzuki!$E$6:$E$2989,"&lt;="&amp;EOMONTH(R7,0),Suzuki!$F$6:$F$2989,"Bond Received")+SUMIFS('1SK3DD'!$D$6:$D$2989,'1SK3DD'!$E$6:$E$2989,"&gt;="&amp;R7,'1SK3DD'!$E$6:$E$2989,"&lt;="&amp;EOMONTH(R7,0))-SUMIFS('1SK3DD'!$D$6:$D$2989,'1SK3DD'!$E$6:$E$2989,"&gt;="&amp;R7,'1SK3DD'!$E$6:$E$2989,"&lt;="&amp;EOMONTH(R7,0),'1SK3DD'!$F$6:$F$2989,$B$14)-(SUMIFS('1SK3DD'!$D$6:$D$2989,'1SK3DD'!$E$6:$E$2989,"&gt;="&amp;R7,'1SK3DD'!$E$6:$E$2989,"&lt;="&amp;EOMONTH(R7,0),'1SK3DD'!$F$6:$F$2989,"Discount Rent")*2)-SUMIFS('1SK3DD'!$D$6:$D$2989,'1SK3DD'!$E$6:$E$2989,"&gt;="&amp;R7,'1SK3DD'!$E$6:$E$2989,"&lt;="&amp;EOMONTH(R7,0),'1SK3DD'!$F$6:$F$2989,"Bond Received")+SUMIFS('1SX5TQ'!$D$6:$D$2989,'1SX5TQ'!$E$6:$E$2989,"&gt;="&amp;R7,'1SX5TQ'!$E$6:$E$2989,"&lt;="&amp;EOMONTH(R7,0))-SUMIFS('1SX5TQ'!$D$6:$D$2989,'1SX5TQ'!$E$6:$E$2989,"&gt;="&amp;R7,'1SX5TQ'!$E$6:$E$2989,"&lt;="&amp;EOMONTH(R7,0),'1SX5TQ'!$F$6:$F$2989,$B$14)-(SUMIFS('1SX5TQ'!$D$6:$D$2989,'1SX5TQ'!$E$6:$E$2989,"&gt;="&amp;R7,'1SX5TQ'!$E$6:$E$2989,"&lt;="&amp;EOMONTH(R7,0),'1SX5TQ'!$F$6:$F$2989,"Discount Rent")*2)-SUMIFS('1SX5TQ'!$D$6:$D$2989,'1SX5TQ'!$E$6:$E$2989,"&gt;="&amp;R7,'1SX5TQ'!$E$6:$E$2989,"&lt;="&amp;EOMONTH(R7,0),'1SX5TQ'!$F$6:$F$2989,"Bond Received")+SUMIFS('BMM465'!$D$6:$D$2989,'BMM465'!$E$6:$E$2989,"&gt;="&amp;R7,'BMM465'!$E$6:$E$2989,"&lt;="&amp;EOMONTH(R7,0))-SUMIFS('BMM465'!$D$6:$D$2989,'BMM465'!$E$6:$E$2989,"&gt;="&amp;R7,'BMM465'!$E$6:$E$2989,"&lt;="&amp;EOMONTH(R7,0),'BMM465'!$F$6:$F$2989,$B$14)-(SUMIFS('BMM465'!$D$6:$D$2989,'BMM465'!$E$6:$E$2989,"&gt;="&amp;R7,'BMM465'!$E$6:$E$2989,"&lt;="&amp;EOMONTH(R7,0),'BMM465'!$F$6:$F$2989,"Discount Rent")*2)-SUMIFS('BMM465'!$D$6:$D$2989,'BMM465'!$E$6:$E$2989,"&gt;="&amp;R7,'BMM465'!$E$6:$E$2989,"&lt;="&amp;EOMONTH(R7,0),'BMM465'!$F$6:$F$2989,"Bond Received")+SUMIFS('1CF1ZO'!$D$6:$D$2989,'1CF1ZO'!$E$6:$E$2989,"&gt;="&amp;R7,'1CF1ZO'!$E$6:$E$2989,"&lt;="&amp;EOMONTH(R7,0))-SUMIFS('1CF1ZO'!$D$6:$D$2989,'1CF1ZO'!$E$6:$E$2989,"&gt;="&amp;R7,'1CF1ZO'!$E$6:$E$2989,"&lt;="&amp;EOMONTH(R7,0),'1CF1ZO'!$F$6:$F$2989,$B$14)-(SUMIFS('1CF1ZO'!$D$6:$D$2989,'1CF1ZO'!$E$6:$E$2989,"&gt;="&amp;R7,'1CF1ZO'!$E$6:$E$2989,"&lt;="&amp;EOMONTH(R7,0),'1CF1ZO'!$F$6:$F$2989,"Discount Rent")*2)-SUMIFS('1CF1ZO'!$D$6:$D$2989,'1CF1ZO'!$E$6:$E$2989,"&gt;="&amp;R7,'1CF1ZO'!$E$6:$E$2989,"&lt;="&amp;EOMONTH(R7,0),'1CF1ZO'!$F$6:$F$2989,"Bond Received")+SUMIFS('1UK1BK'!$D$6:$D$2989,'1UK1BK'!$E$6:$E$2989,"&gt;="&amp;R7,'1UK1BK'!$E$6:$E$2989,"&lt;="&amp;EOMONTH(R7,0))-SUMIFS('1UK1BK'!$D$6:$D$2989,'1UK1BK'!$E$6:$E$2989,"&gt;="&amp;R7,'1UK1BK'!$E$6:$E$2989,"&lt;="&amp;EOMONTH(R7,0),'1UK1BK'!$F$6:$F$2989,$B$14)-(SUMIFS('1UK1BK'!$D$6:$D$2989,'1UK1BK'!$E$6:$E$2989,"&gt;="&amp;R7,'1UK1BK'!$E$6:$E$2989,"&lt;="&amp;EOMONTH(R7,0),'1UK1BK'!$F$6:$F$2989,"Discount Rent")*2)-SUMIFS('1UK1BK'!$D$6:$D$2989,'1UK1BK'!$E$6:$E$2989,"&gt;="&amp;R7,'1UK1BK'!$E$6:$E$2989,"&lt;="&amp;EOMONTH(R7,0),'1UK1BK'!$F$6:$F$2989,"Bond Received")</f>
        <v>#REF!</v>
      </c>
      <c r="S11" s="108" t="e">
        <f>SUMIFS(#REF!,#REF!,"&gt;="&amp;S7,#REF!,"&lt;="&amp;EOMONTH(S7,0))-SUMIFS(#REF!,#REF!,"&gt;="&amp;S7,#REF!,"&lt;="&amp;EOMONTH(S7,0),#REF!,$B$14)-(SUMIFS(#REF!,#REF!,"&gt;="&amp;S7,#REF!,"&lt;="&amp;EOMONTH(S7,0),#REF!,"Discount Rent")*2)-SUMIFS(#REF!,#REF!,"&gt;="&amp;S7,#REF!,"&lt;="&amp;EOMONTH(S7,0),#REF!,"Bond Received")+SUMIFS('1JI2UE'!$D$6:$D$2989,'1JI2UE'!$E$6:$E$2989,"&gt;="&amp;S7,'1JI2UE'!$E$6:$E$2989,"&lt;="&amp;EOMONTH(S7,0))-SUMIFS('1JI2UE'!$D$6:$D$2989,'1JI2UE'!$E$6:$E$2989,"&gt;="&amp;S7,'1JI2UE'!$E$6:$E$2989,"&lt;="&amp;EOMONTH(S7,0),'1JI2UE'!$F$6:$F$2989,$B$14)-(SUMIFS('1JI2UE'!$D$6:$D$2989,'1JI2UE'!$E$6:$E$2989,"&gt;="&amp;S7,'1JI2UE'!$E$6:$E$2989,"&lt;="&amp;EOMONTH(S7,0),'1JI2UE'!$F$6:$F$2989,"Discount Rent")*2)-SUMIFS('1JI2UE'!$D$6:$D$2989,'1JI2UE'!$E$6:$E$2989,"&gt;="&amp;S7,'1JI2UE'!$E$6:$E$2989,"&lt;="&amp;EOMONTH(S7,0),'1JI2UE'!$F$6:$F$2989,"Bond Received")+SUMIFS(#REF!,#REF!,"&gt;="&amp;S7,#REF!,"&lt;="&amp;EOMONTH(S7,0))-SUMIFS(#REF!,#REF!,"&gt;="&amp;S7,#REF!,"&lt;="&amp;EOMONTH(S7,0),#REF!,$B$14)-(SUMIFS(#REF!,#REF!,"&gt;="&amp;S7,#REF!,"&lt;="&amp;EOMONTH(S7,0),#REF!,"Discount Rent")*2)-SUMIFS(#REF!,#REF!,"&gt;="&amp;S7,#REF!,"&lt;="&amp;EOMONTH(S7,0),#REF!,"Bond Received")+SUMIFS('1SI9BW'!$D$6:$D$2989,'1SI9BW'!$E$6:$E$2989,"&gt;="&amp;S7,'1SI9BW'!$E$6:$E$2989,"&lt;="&amp;EOMONTH(S7,0))-SUMIFS('1SI9BW'!$D$6:$D$2989,'1SI9BW'!$E$6:$E$2989,"&gt;="&amp;S7,'1SI9BW'!$E$6:$E$2989,"&lt;="&amp;EOMONTH(S7,0),'1SI9BW'!$F$6:$F$2989,$B$14)-(SUMIFS('1SI9BW'!$D$6:$D$2989,'1SI9BW'!$E$6:$E$2989,"&gt;="&amp;S7,'1SI9BW'!$E$6:$E$2989,"&lt;="&amp;EOMONTH(S7,0),'1SI9BW'!$F$6:$F$2989,"Discount Rent")*2)-SUMIFS('1SI9BW'!$D$6:$D$2989,'1SI9BW'!$E$6:$E$2989,"&gt;="&amp;S7,'1SI9BW'!$E$6:$E$2989,"&lt;="&amp;EOMONTH(S7,0),'1SI9BW'!$F$6:$F$2989,"Bond Received")+SUMIFS(Suzuki!$D$6:$D$2989,Suzuki!$E$6:$E$2989,"&gt;="&amp;S7,Suzuki!$E$6:$E$2989,"&lt;="&amp;EOMONTH(S7,0))-SUMIFS(Suzuki!$D$6:$D$2989,Suzuki!$E$6:$E$2989,"&gt;="&amp;S7,Suzuki!$E$6:$E$2989,"&lt;="&amp;EOMONTH(S7,0),Suzuki!$F$6:$F$2989,$B$14)-(SUMIFS(Suzuki!$D$6:$D$2989,Suzuki!$E$6:$E$2989,"&gt;="&amp;S7,Suzuki!$E$6:$E$2989,"&lt;="&amp;EOMONTH(S7,0),Suzuki!$F$6:$F$2989,"Discount Rent")*2)-SUMIFS(Suzuki!$D$6:$D$2989,Suzuki!$E$6:$E$2989,"&gt;="&amp;S7,Suzuki!$E$6:$E$2989,"&lt;="&amp;EOMONTH(S7,0),Suzuki!$F$6:$F$2989,"Bond Received")+SUMIFS('1SK3DD'!$D$6:$D$2989,'1SK3DD'!$E$6:$E$2989,"&gt;="&amp;S7,'1SK3DD'!$E$6:$E$2989,"&lt;="&amp;EOMONTH(S7,0))-SUMIFS('1SK3DD'!$D$6:$D$2989,'1SK3DD'!$E$6:$E$2989,"&gt;="&amp;S7,'1SK3DD'!$E$6:$E$2989,"&lt;="&amp;EOMONTH(S7,0),'1SK3DD'!$F$6:$F$2989,$B$14)-(SUMIFS('1SK3DD'!$D$6:$D$2989,'1SK3DD'!$E$6:$E$2989,"&gt;="&amp;S7,'1SK3DD'!$E$6:$E$2989,"&lt;="&amp;EOMONTH(S7,0),'1SK3DD'!$F$6:$F$2989,"Discount Rent")*2)-SUMIFS('1SK3DD'!$D$6:$D$2989,'1SK3DD'!$E$6:$E$2989,"&gt;="&amp;S7,'1SK3DD'!$E$6:$E$2989,"&lt;="&amp;EOMONTH(S7,0),'1SK3DD'!$F$6:$F$2989,"Bond Received")+SUMIFS('1SX5TQ'!$D$6:$D$2989,'1SX5TQ'!$E$6:$E$2989,"&gt;="&amp;S7,'1SX5TQ'!$E$6:$E$2989,"&lt;="&amp;EOMONTH(S7,0))-SUMIFS('1SX5TQ'!$D$6:$D$2989,'1SX5TQ'!$E$6:$E$2989,"&gt;="&amp;S7,'1SX5TQ'!$E$6:$E$2989,"&lt;="&amp;EOMONTH(S7,0),'1SX5TQ'!$F$6:$F$2989,$B$14)-(SUMIFS('1SX5TQ'!$D$6:$D$2989,'1SX5TQ'!$E$6:$E$2989,"&gt;="&amp;S7,'1SX5TQ'!$E$6:$E$2989,"&lt;="&amp;EOMONTH(S7,0),'1SX5TQ'!$F$6:$F$2989,"Discount Rent")*2)-SUMIFS('1SX5TQ'!$D$6:$D$2989,'1SX5TQ'!$E$6:$E$2989,"&gt;="&amp;S7,'1SX5TQ'!$E$6:$E$2989,"&lt;="&amp;EOMONTH(S7,0),'1SX5TQ'!$F$6:$F$2989,"Bond Received")+SUMIFS('BMM465'!$D$6:$D$2989,'BMM465'!$E$6:$E$2989,"&gt;="&amp;S7,'BMM465'!$E$6:$E$2989,"&lt;="&amp;EOMONTH(S7,0))-SUMIFS('BMM465'!$D$6:$D$2989,'BMM465'!$E$6:$E$2989,"&gt;="&amp;S7,'BMM465'!$E$6:$E$2989,"&lt;="&amp;EOMONTH(S7,0),'BMM465'!$F$6:$F$2989,$B$14)-(SUMIFS('BMM465'!$D$6:$D$2989,'BMM465'!$E$6:$E$2989,"&gt;="&amp;S7,'BMM465'!$E$6:$E$2989,"&lt;="&amp;EOMONTH(S7,0),'BMM465'!$F$6:$F$2989,"Discount Rent")*2)-SUMIFS('BMM465'!$D$6:$D$2989,'BMM465'!$E$6:$E$2989,"&gt;="&amp;S7,'BMM465'!$E$6:$E$2989,"&lt;="&amp;EOMONTH(S7,0),'BMM465'!$F$6:$F$2989,"Bond Received")+SUMIFS('1CF1ZO'!$D$6:$D$2989,'1CF1ZO'!$E$6:$E$2989,"&gt;="&amp;S7,'1CF1ZO'!$E$6:$E$2989,"&lt;="&amp;EOMONTH(S7,0))-SUMIFS('1CF1ZO'!$D$6:$D$2989,'1CF1ZO'!$E$6:$E$2989,"&gt;="&amp;S7,'1CF1ZO'!$E$6:$E$2989,"&lt;="&amp;EOMONTH(S7,0),'1CF1ZO'!$F$6:$F$2989,$B$14)-(SUMIFS('1CF1ZO'!$D$6:$D$2989,'1CF1ZO'!$E$6:$E$2989,"&gt;="&amp;S7,'1CF1ZO'!$E$6:$E$2989,"&lt;="&amp;EOMONTH(S7,0),'1CF1ZO'!$F$6:$F$2989,"Discount Rent")*2)-SUMIFS('1CF1ZO'!$D$6:$D$2989,'1CF1ZO'!$E$6:$E$2989,"&gt;="&amp;S7,'1CF1ZO'!$E$6:$E$2989,"&lt;="&amp;EOMONTH(S7,0),'1CF1ZO'!$F$6:$F$2989,"Bond Received")+SUMIFS('1UK1BK'!$D$6:$D$2989,'1UK1BK'!$E$6:$E$2989,"&gt;="&amp;S7,'1UK1BK'!$E$6:$E$2989,"&lt;="&amp;EOMONTH(S7,0))-SUMIFS('1UK1BK'!$D$6:$D$2989,'1UK1BK'!$E$6:$E$2989,"&gt;="&amp;S7,'1UK1BK'!$E$6:$E$2989,"&lt;="&amp;EOMONTH(S7,0),'1UK1BK'!$F$6:$F$2989,$B$14)-(SUMIFS('1UK1BK'!$D$6:$D$2989,'1UK1BK'!$E$6:$E$2989,"&gt;="&amp;S7,'1UK1BK'!$E$6:$E$2989,"&lt;="&amp;EOMONTH(S7,0),'1UK1BK'!$F$6:$F$2989,"Discount Rent")*2)-SUMIFS('1UK1BK'!$D$6:$D$2989,'1UK1BK'!$E$6:$E$2989,"&gt;="&amp;S7,'1UK1BK'!$E$6:$E$2989,"&lt;="&amp;EOMONTH(S7,0),'1UK1BK'!$F$6:$F$2989,"Bond Received")</f>
        <v>#REF!</v>
      </c>
      <c r="T11" s="108" t="e">
        <f>SUMIFS(#REF!,#REF!,"&gt;="&amp;T7,#REF!,"&lt;="&amp;EOMONTH(T7,0))-SUMIFS(#REF!,#REF!,"&gt;="&amp;T7,#REF!,"&lt;="&amp;EOMONTH(T7,0),#REF!,$B$14)-(SUMIFS(#REF!,#REF!,"&gt;="&amp;T7,#REF!,"&lt;="&amp;EOMONTH(T7,0),#REF!,"Discount Rent")*2)-SUMIFS(#REF!,#REF!,"&gt;="&amp;T7,#REF!,"&lt;="&amp;EOMONTH(T7,0),#REF!,"Bond Received")+SUMIFS('1JI2UE'!$D$6:$D$2989,'1JI2UE'!$E$6:$E$2989,"&gt;="&amp;T7,'1JI2UE'!$E$6:$E$2989,"&lt;="&amp;EOMONTH(T7,0))-SUMIFS('1JI2UE'!$D$6:$D$2989,'1JI2UE'!$E$6:$E$2989,"&gt;="&amp;T7,'1JI2UE'!$E$6:$E$2989,"&lt;="&amp;EOMONTH(T7,0),'1JI2UE'!$F$6:$F$2989,$B$14)-(SUMIFS('1JI2UE'!$D$6:$D$2989,'1JI2UE'!$E$6:$E$2989,"&gt;="&amp;T7,'1JI2UE'!$E$6:$E$2989,"&lt;="&amp;EOMONTH(T7,0),'1JI2UE'!$F$6:$F$2989,"Discount Rent")*2)-SUMIFS('1JI2UE'!$D$6:$D$2989,'1JI2UE'!$E$6:$E$2989,"&gt;="&amp;T7,'1JI2UE'!$E$6:$E$2989,"&lt;="&amp;EOMONTH(T7,0),'1JI2UE'!$F$6:$F$2989,"Bond Received")+SUMIFS(#REF!,#REF!,"&gt;="&amp;T7,#REF!,"&lt;="&amp;EOMONTH(T7,0))-SUMIFS(#REF!,#REF!,"&gt;="&amp;T7,#REF!,"&lt;="&amp;EOMONTH(T7,0),#REF!,$B$14)-(SUMIFS(#REF!,#REF!,"&gt;="&amp;T7,#REF!,"&lt;="&amp;EOMONTH(T7,0),#REF!,"Discount Rent")*2)-SUMIFS(#REF!,#REF!,"&gt;="&amp;T7,#REF!,"&lt;="&amp;EOMONTH(T7,0),#REF!,"Bond Received")+SUMIFS('1SI9BW'!$D$6:$D$2989,'1SI9BW'!$E$6:$E$2989,"&gt;="&amp;T7,'1SI9BW'!$E$6:$E$2989,"&lt;="&amp;EOMONTH(T7,0))-SUMIFS('1SI9BW'!$D$6:$D$2989,'1SI9BW'!$E$6:$E$2989,"&gt;="&amp;T7,'1SI9BW'!$E$6:$E$2989,"&lt;="&amp;EOMONTH(T7,0),'1SI9BW'!$F$6:$F$2989,$B$14)-(SUMIFS('1SI9BW'!$D$6:$D$2989,'1SI9BW'!$E$6:$E$2989,"&gt;="&amp;T7,'1SI9BW'!$E$6:$E$2989,"&lt;="&amp;EOMONTH(T7,0),'1SI9BW'!$F$6:$F$2989,"Discount Rent")*2)-SUMIFS('1SI9BW'!$D$6:$D$2989,'1SI9BW'!$E$6:$E$2989,"&gt;="&amp;T7,'1SI9BW'!$E$6:$E$2989,"&lt;="&amp;EOMONTH(T7,0),'1SI9BW'!$F$6:$F$2989,"Bond Received")+SUMIFS(Suzuki!$D$6:$D$2989,Suzuki!$E$6:$E$2989,"&gt;="&amp;T7,Suzuki!$E$6:$E$2989,"&lt;="&amp;EOMONTH(T7,0))-SUMIFS(Suzuki!$D$6:$D$2989,Suzuki!$E$6:$E$2989,"&gt;="&amp;T7,Suzuki!$E$6:$E$2989,"&lt;="&amp;EOMONTH(T7,0),Suzuki!$F$6:$F$2989,$B$14)-(SUMIFS(Suzuki!$D$6:$D$2989,Suzuki!$E$6:$E$2989,"&gt;="&amp;T7,Suzuki!$E$6:$E$2989,"&lt;="&amp;EOMONTH(T7,0),Suzuki!$F$6:$F$2989,"Discount Rent")*2)-SUMIFS(Suzuki!$D$6:$D$2989,Suzuki!$E$6:$E$2989,"&gt;="&amp;T7,Suzuki!$E$6:$E$2989,"&lt;="&amp;EOMONTH(T7,0),Suzuki!$F$6:$F$2989,"Bond Received")+SUMIFS('1SK3DD'!$D$6:$D$2989,'1SK3DD'!$E$6:$E$2989,"&gt;="&amp;T7,'1SK3DD'!$E$6:$E$2989,"&lt;="&amp;EOMONTH(T7,0))-SUMIFS('1SK3DD'!$D$6:$D$2989,'1SK3DD'!$E$6:$E$2989,"&gt;="&amp;T7,'1SK3DD'!$E$6:$E$2989,"&lt;="&amp;EOMONTH(T7,0),'1SK3DD'!$F$6:$F$2989,$B$14)-(SUMIFS('1SK3DD'!$D$6:$D$2989,'1SK3DD'!$E$6:$E$2989,"&gt;="&amp;T7,'1SK3DD'!$E$6:$E$2989,"&lt;="&amp;EOMONTH(T7,0),'1SK3DD'!$F$6:$F$2989,"Discount Rent")*2)-SUMIFS('1SK3DD'!$D$6:$D$2989,'1SK3DD'!$E$6:$E$2989,"&gt;="&amp;T7,'1SK3DD'!$E$6:$E$2989,"&lt;="&amp;EOMONTH(T7,0),'1SK3DD'!$F$6:$F$2989,"Bond Received")+SUMIFS('1SX5TQ'!$D$6:$D$2989,'1SX5TQ'!$E$6:$E$2989,"&gt;="&amp;T7,'1SX5TQ'!$E$6:$E$2989,"&lt;="&amp;EOMONTH(T7,0))-SUMIFS('1SX5TQ'!$D$6:$D$2989,'1SX5TQ'!$E$6:$E$2989,"&gt;="&amp;T7,'1SX5TQ'!$E$6:$E$2989,"&lt;="&amp;EOMONTH(T7,0),'1SX5TQ'!$F$6:$F$2989,$B$14)-(SUMIFS('1SX5TQ'!$D$6:$D$2989,'1SX5TQ'!$E$6:$E$2989,"&gt;="&amp;T7,'1SX5TQ'!$E$6:$E$2989,"&lt;="&amp;EOMONTH(T7,0),'1SX5TQ'!$F$6:$F$2989,"Discount Rent")*2)-SUMIFS('1SX5TQ'!$D$6:$D$2989,'1SX5TQ'!$E$6:$E$2989,"&gt;="&amp;T7,'1SX5TQ'!$E$6:$E$2989,"&lt;="&amp;EOMONTH(T7,0),'1SX5TQ'!$F$6:$F$2989,"Bond Received")+SUMIFS('BMM465'!$D$6:$D$2989,'BMM465'!$E$6:$E$2989,"&gt;="&amp;T7,'BMM465'!$E$6:$E$2989,"&lt;="&amp;EOMONTH(T7,0))-SUMIFS('BMM465'!$D$6:$D$2989,'BMM465'!$E$6:$E$2989,"&gt;="&amp;T7,'BMM465'!$E$6:$E$2989,"&lt;="&amp;EOMONTH(T7,0),'BMM465'!$F$6:$F$2989,$B$14)-(SUMIFS('BMM465'!$D$6:$D$2989,'BMM465'!$E$6:$E$2989,"&gt;="&amp;T7,'BMM465'!$E$6:$E$2989,"&lt;="&amp;EOMONTH(T7,0),'BMM465'!$F$6:$F$2989,"Discount Rent")*2)-SUMIFS('BMM465'!$D$6:$D$2989,'BMM465'!$E$6:$E$2989,"&gt;="&amp;T7,'BMM465'!$E$6:$E$2989,"&lt;="&amp;EOMONTH(T7,0),'BMM465'!$F$6:$F$2989,"Bond Received")+SUMIFS('1CF1ZO'!$D$6:$D$2989,'1CF1ZO'!$E$6:$E$2989,"&gt;="&amp;T7,'1CF1ZO'!$E$6:$E$2989,"&lt;="&amp;EOMONTH(T7,0))-SUMIFS('1CF1ZO'!$D$6:$D$2989,'1CF1ZO'!$E$6:$E$2989,"&gt;="&amp;T7,'1CF1ZO'!$E$6:$E$2989,"&lt;="&amp;EOMONTH(T7,0),'1CF1ZO'!$F$6:$F$2989,$B$14)-(SUMIFS('1CF1ZO'!$D$6:$D$2989,'1CF1ZO'!$E$6:$E$2989,"&gt;="&amp;T7,'1CF1ZO'!$E$6:$E$2989,"&lt;="&amp;EOMONTH(T7,0),'1CF1ZO'!$F$6:$F$2989,"Discount Rent")*2)-SUMIFS('1CF1ZO'!$D$6:$D$2989,'1CF1ZO'!$E$6:$E$2989,"&gt;="&amp;T7,'1CF1ZO'!$E$6:$E$2989,"&lt;="&amp;EOMONTH(T7,0),'1CF1ZO'!$F$6:$F$2989,"Bond Received")+SUMIFS('1UK1BK'!$D$6:$D$2989,'1UK1BK'!$E$6:$E$2989,"&gt;="&amp;T7,'1UK1BK'!$E$6:$E$2989,"&lt;="&amp;EOMONTH(T7,0))-SUMIFS('1UK1BK'!$D$6:$D$2989,'1UK1BK'!$E$6:$E$2989,"&gt;="&amp;T7,'1UK1BK'!$E$6:$E$2989,"&lt;="&amp;EOMONTH(T7,0),'1UK1BK'!$F$6:$F$2989,$B$14)-(SUMIFS('1UK1BK'!$D$6:$D$2989,'1UK1BK'!$E$6:$E$2989,"&gt;="&amp;T7,'1UK1BK'!$E$6:$E$2989,"&lt;="&amp;EOMONTH(T7,0),'1UK1BK'!$F$6:$F$2989,"Discount Rent")*2)-SUMIFS('1UK1BK'!$D$6:$D$2989,'1UK1BK'!$E$6:$E$2989,"&gt;="&amp;T7,'1UK1BK'!$E$6:$E$2989,"&lt;="&amp;EOMONTH(T7,0),'1UK1BK'!$F$6:$F$2989,"Bond Received")</f>
        <v>#REF!</v>
      </c>
      <c r="U11" s="108" t="e">
        <f>SUMIFS(#REF!,#REF!,"&gt;="&amp;U7,#REF!,"&lt;="&amp;EOMONTH(U7,0))-SUMIFS(#REF!,#REF!,"&gt;="&amp;U7,#REF!,"&lt;="&amp;EOMONTH(U7,0),#REF!,$B$14)-(SUMIFS(#REF!,#REF!,"&gt;="&amp;U7,#REF!,"&lt;="&amp;EOMONTH(U7,0),#REF!,"Discount Rent")*2)-SUMIFS(#REF!,#REF!,"&gt;="&amp;U7,#REF!,"&lt;="&amp;EOMONTH(U7,0),#REF!,"Bond Received")+SUMIFS('1JI2UE'!$D$6:$D$2989,'1JI2UE'!$E$6:$E$2989,"&gt;="&amp;U7,'1JI2UE'!$E$6:$E$2989,"&lt;="&amp;EOMONTH(U7,0))-SUMIFS('1JI2UE'!$D$6:$D$2989,'1JI2UE'!$E$6:$E$2989,"&gt;="&amp;U7,'1JI2UE'!$E$6:$E$2989,"&lt;="&amp;EOMONTH(U7,0),'1JI2UE'!$F$6:$F$2989,$B$14)-(SUMIFS('1JI2UE'!$D$6:$D$2989,'1JI2UE'!$E$6:$E$2989,"&gt;="&amp;U7,'1JI2UE'!$E$6:$E$2989,"&lt;="&amp;EOMONTH(U7,0),'1JI2UE'!$F$6:$F$2989,"Discount Rent")*2)-SUMIFS('1JI2UE'!$D$6:$D$2989,'1JI2UE'!$E$6:$E$2989,"&gt;="&amp;U7,'1JI2UE'!$E$6:$E$2989,"&lt;="&amp;EOMONTH(U7,0),'1JI2UE'!$F$6:$F$2989,"Bond Received")+SUMIFS(#REF!,#REF!,"&gt;="&amp;U7,#REF!,"&lt;="&amp;EOMONTH(U7,0))-SUMIFS(#REF!,#REF!,"&gt;="&amp;U7,#REF!,"&lt;="&amp;EOMONTH(U7,0),#REF!,$B$14)-(SUMIFS(#REF!,#REF!,"&gt;="&amp;U7,#REF!,"&lt;="&amp;EOMONTH(U7,0),#REF!,"Discount Rent")*2)-SUMIFS(#REF!,#REF!,"&gt;="&amp;U7,#REF!,"&lt;="&amp;EOMONTH(U7,0),#REF!,"Bond Received")+SUMIFS('1SI9BW'!$D$6:$D$2989,'1SI9BW'!$E$6:$E$2989,"&gt;="&amp;U7,'1SI9BW'!$E$6:$E$2989,"&lt;="&amp;EOMONTH(U7,0))-SUMIFS('1SI9BW'!$D$6:$D$2989,'1SI9BW'!$E$6:$E$2989,"&gt;="&amp;U7,'1SI9BW'!$E$6:$E$2989,"&lt;="&amp;EOMONTH(U7,0),'1SI9BW'!$F$6:$F$2989,$B$14)-(SUMIFS('1SI9BW'!$D$6:$D$2989,'1SI9BW'!$E$6:$E$2989,"&gt;="&amp;U7,'1SI9BW'!$E$6:$E$2989,"&lt;="&amp;EOMONTH(U7,0),'1SI9BW'!$F$6:$F$2989,"Discount Rent")*2)-SUMIFS('1SI9BW'!$D$6:$D$2989,'1SI9BW'!$E$6:$E$2989,"&gt;="&amp;U7,'1SI9BW'!$E$6:$E$2989,"&lt;="&amp;EOMONTH(U7,0),'1SI9BW'!$F$6:$F$2989,"Bond Received")+SUMIFS(Suzuki!$D$6:$D$2989,Suzuki!$E$6:$E$2989,"&gt;="&amp;U7,Suzuki!$E$6:$E$2989,"&lt;="&amp;EOMONTH(U7,0))-SUMIFS(Suzuki!$D$6:$D$2989,Suzuki!$E$6:$E$2989,"&gt;="&amp;U7,Suzuki!$E$6:$E$2989,"&lt;="&amp;EOMONTH(U7,0),Suzuki!$F$6:$F$2989,$B$14)-(SUMIFS(Suzuki!$D$6:$D$2989,Suzuki!$E$6:$E$2989,"&gt;="&amp;U7,Suzuki!$E$6:$E$2989,"&lt;="&amp;EOMONTH(U7,0),Suzuki!$F$6:$F$2989,"Discount Rent")*2)-SUMIFS(Suzuki!$D$6:$D$2989,Suzuki!$E$6:$E$2989,"&gt;="&amp;U7,Suzuki!$E$6:$E$2989,"&lt;="&amp;EOMONTH(U7,0),Suzuki!$F$6:$F$2989,"Bond Received")+SUMIFS('1SK3DD'!$D$6:$D$2989,'1SK3DD'!$E$6:$E$2989,"&gt;="&amp;U7,'1SK3DD'!$E$6:$E$2989,"&lt;="&amp;EOMONTH(U7,0))-SUMIFS('1SK3DD'!$D$6:$D$2989,'1SK3DD'!$E$6:$E$2989,"&gt;="&amp;U7,'1SK3DD'!$E$6:$E$2989,"&lt;="&amp;EOMONTH(U7,0),'1SK3DD'!$F$6:$F$2989,$B$14)-(SUMIFS('1SK3DD'!$D$6:$D$2989,'1SK3DD'!$E$6:$E$2989,"&gt;="&amp;U7,'1SK3DD'!$E$6:$E$2989,"&lt;="&amp;EOMONTH(U7,0),'1SK3DD'!$F$6:$F$2989,"Discount Rent")*2)-SUMIFS('1SK3DD'!$D$6:$D$2989,'1SK3DD'!$E$6:$E$2989,"&gt;="&amp;U7,'1SK3DD'!$E$6:$E$2989,"&lt;="&amp;EOMONTH(U7,0),'1SK3DD'!$F$6:$F$2989,"Bond Received")+SUMIFS('1SX5TQ'!$D$6:$D$2989,'1SX5TQ'!$E$6:$E$2989,"&gt;="&amp;U7,'1SX5TQ'!$E$6:$E$2989,"&lt;="&amp;EOMONTH(U7,0))-SUMIFS('1SX5TQ'!$D$6:$D$2989,'1SX5TQ'!$E$6:$E$2989,"&gt;="&amp;U7,'1SX5TQ'!$E$6:$E$2989,"&lt;="&amp;EOMONTH(U7,0),'1SX5TQ'!$F$6:$F$2989,$B$14)-(SUMIFS('1SX5TQ'!$D$6:$D$2989,'1SX5TQ'!$E$6:$E$2989,"&gt;="&amp;U7,'1SX5TQ'!$E$6:$E$2989,"&lt;="&amp;EOMONTH(U7,0),'1SX5TQ'!$F$6:$F$2989,"Discount Rent")*2)-SUMIFS('1SX5TQ'!$D$6:$D$2989,'1SX5TQ'!$E$6:$E$2989,"&gt;="&amp;U7,'1SX5TQ'!$E$6:$E$2989,"&lt;="&amp;EOMONTH(U7,0),'1SX5TQ'!$F$6:$F$2989,"Bond Received")+SUMIFS('BMM465'!$D$6:$D$2989,'BMM465'!$E$6:$E$2989,"&gt;="&amp;U7,'BMM465'!$E$6:$E$2989,"&lt;="&amp;EOMONTH(U7,0))-SUMIFS('BMM465'!$D$6:$D$2989,'BMM465'!$E$6:$E$2989,"&gt;="&amp;U7,'BMM465'!$E$6:$E$2989,"&lt;="&amp;EOMONTH(U7,0),'BMM465'!$F$6:$F$2989,$B$14)-(SUMIFS('BMM465'!$D$6:$D$2989,'BMM465'!$E$6:$E$2989,"&gt;="&amp;U7,'BMM465'!$E$6:$E$2989,"&lt;="&amp;EOMONTH(U7,0),'BMM465'!$F$6:$F$2989,"Discount Rent")*2)-SUMIFS('BMM465'!$D$6:$D$2989,'BMM465'!$E$6:$E$2989,"&gt;="&amp;U7,'BMM465'!$E$6:$E$2989,"&lt;="&amp;EOMONTH(U7,0),'BMM465'!$F$6:$F$2989,"Bond Received")+SUMIFS('1CF1ZO'!$D$6:$D$2989,'1CF1ZO'!$E$6:$E$2989,"&gt;="&amp;U7,'1CF1ZO'!$E$6:$E$2989,"&lt;="&amp;EOMONTH(U7,0))-SUMIFS('1CF1ZO'!$D$6:$D$2989,'1CF1ZO'!$E$6:$E$2989,"&gt;="&amp;U7,'1CF1ZO'!$E$6:$E$2989,"&lt;="&amp;EOMONTH(U7,0),'1CF1ZO'!$F$6:$F$2989,$B$14)-(SUMIFS('1CF1ZO'!$D$6:$D$2989,'1CF1ZO'!$E$6:$E$2989,"&gt;="&amp;U7,'1CF1ZO'!$E$6:$E$2989,"&lt;="&amp;EOMONTH(U7,0),'1CF1ZO'!$F$6:$F$2989,"Discount Rent")*2)-SUMIFS('1CF1ZO'!$D$6:$D$2989,'1CF1ZO'!$E$6:$E$2989,"&gt;="&amp;U7,'1CF1ZO'!$E$6:$E$2989,"&lt;="&amp;EOMONTH(U7,0),'1CF1ZO'!$F$6:$F$2989,"Bond Received")+SUMIFS('1UK1BK'!$D$6:$D$2989,'1UK1BK'!$E$6:$E$2989,"&gt;="&amp;U7,'1UK1BK'!$E$6:$E$2989,"&lt;="&amp;EOMONTH(U7,0))-SUMIFS('1UK1BK'!$D$6:$D$2989,'1UK1BK'!$E$6:$E$2989,"&gt;="&amp;U7,'1UK1BK'!$E$6:$E$2989,"&lt;="&amp;EOMONTH(U7,0),'1UK1BK'!$F$6:$F$2989,$B$14)-(SUMIFS('1UK1BK'!$D$6:$D$2989,'1UK1BK'!$E$6:$E$2989,"&gt;="&amp;U7,'1UK1BK'!$E$6:$E$2989,"&lt;="&amp;EOMONTH(U7,0),'1UK1BK'!$F$6:$F$2989,"Discount Rent")*2)-SUMIFS('1UK1BK'!$D$6:$D$2989,'1UK1BK'!$E$6:$E$2989,"&gt;="&amp;U7,'1UK1BK'!$E$6:$E$2989,"&lt;="&amp;EOMONTH(U7,0),'1UK1BK'!$F$6:$F$2989,"Bond Received")</f>
        <v>#REF!</v>
      </c>
      <c r="V11" s="108" t="e">
        <f>SUMIFS(#REF!,#REF!,"&gt;="&amp;V7,#REF!,"&lt;="&amp;EOMONTH(V7,0))-SUMIFS(#REF!,#REF!,"&gt;="&amp;V7,#REF!,"&lt;="&amp;EOMONTH(V7,0),#REF!,$B$14)-(SUMIFS(#REF!,#REF!,"&gt;="&amp;V7,#REF!,"&lt;="&amp;EOMONTH(V7,0),#REF!,"Discount Rent")*2)-SUMIFS(#REF!,#REF!,"&gt;="&amp;V7,#REF!,"&lt;="&amp;EOMONTH(V7,0),#REF!,"Bond Received")+SUMIFS('1JI2UE'!$D$6:$D$2989,'1JI2UE'!$E$6:$E$2989,"&gt;="&amp;V7,'1JI2UE'!$E$6:$E$2989,"&lt;="&amp;EOMONTH(V7,0))-SUMIFS('1JI2UE'!$D$6:$D$2989,'1JI2UE'!$E$6:$E$2989,"&gt;="&amp;V7,'1JI2UE'!$E$6:$E$2989,"&lt;="&amp;EOMONTH(V7,0),'1JI2UE'!$F$6:$F$2989,$B$14)-(SUMIFS('1JI2UE'!$D$6:$D$2989,'1JI2UE'!$E$6:$E$2989,"&gt;="&amp;V7,'1JI2UE'!$E$6:$E$2989,"&lt;="&amp;EOMONTH(V7,0),'1JI2UE'!$F$6:$F$2989,"Discount Rent")*2)-SUMIFS('1JI2UE'!$D$6:$D$2989,'1JI2UE'!$E$6:$E$2989,"&gt;="&amp;V7,'1JI2UE'!$E$6:$E$2989,"&lt;="&amp;EOMONTH(V7,0),'1JI2UE'!$F$6:$F$2989,"Bond Received")+SUMIFS(#REF!,#REF!,"&gt;="&amp;V7,#REF!,"&lt;="&amp;EOMONTH(V7,0))-SUMIFS(#REF!,#REF!,"&gt;="&amp;V7,#REF!,"&lt;="&amp;EOMONTH(V7,0),#REF!,$B$14)-(SUMIFS(#REF!,#REF!,"&gt;="&amp;V7,#REF!,"&lt;="&amp;EOMONTH(V7,0),#REF!,"Discount Rent")*2)-SUMIFS(#REF!,#REF!,"&gt;="&amp;V7,#REF!,"&lt;="&amp;EOMONTH(V7,0),#REF!,"Bond Received")+SUMIFS('1SI9BW'!$D$6:$D$2989,'1SI9BW'!$E$6:$E$2989,"&gt;="&amp;V7,'1SI9BW'!$E$6:$E$2989,"&lt;="&amp;EOMONTH(V7,0))-SUMIFS('1SI9BW'!$D$6:$D$2989,'1SI9BW'!$E$6:$E$2989,"&gt;="&amp;V7,'1SI9BW'!$E$6:$E$2989,"&lt;="&amp;EOMONTH(V7,0),'1SI9BW'!$F$6:$F$2989,$B$14)-(SUMIFS('1SI9BW'!$D$6:$D$2989,'1SI9BW'!$E$6:$E$2989,"&gt;="&amp;V7,'1SI9BW'!$E$6:$E$2989,"&lt;="&amp;EOMONTH(V7,0),'1SI9BW'!$F$6:$F$2989,"Discount Rent")*2)-SUMIFS('1SI9BW'!$D$6:$D$2989,'1SI9BW'!$E$6:$E$2989,"&gt;="&amp;V7,'1SI9BW'!$E$6:$E$2989,"&lt;="&amp;EOMONTH(V7,0),'1SI9BW'!$F$6:$F$2989,"Bond Received")+SUMIFS(Suzuki!$D$6:$D$2989,Suzuki!$E$6:$E$2989,"&gt;="&amp;V7,Suzuki!$E$6:$E$2989,"&lt;="&amp;EOMONTH(V7,0))-SUMIFS(Suzuki!$D$6:$D$2989,Suzuki!$E$6:$E$2989,"&gt;="&amp;V7,Suzuki!$E$6:$E$2989,"&lt;="&amp;EOMONTH(V7,0),Suzuki!$F$6:$F$2989,$B$14)-(SUMIFS(Suzuki!$D$6:$D$2989,Suzuki!$E$6:$E$2989,"&gt;="&amp;V7,Suzuki!$E$6:$E$2989,"&lt;="&amp;EOMONTH(V7,0),Suzuki!$F$6:$F$2989,"Discount Rent")*2)-SUMIFS(Suzuki!$D$6:$D$2989,Suzuki!$E$6:$E$2989,"&gt;="&amp;V7,Suzuki!$E$6:$E$2989,"&lt;="&amp;EOMONTH(V7,0),Suzuki!$F$6:$F$2989,"Bond Received")+SUMIFS('1SK3DD'!$D$6:$D$2989,'1SK3DD'!$E$6:$E$2989,"&gt;="&amp;V7,'1SK3DD'!$E$6:$E$2989,"&lt;="&amp;EOMONTH(V7,0))-SUMIFS('1SK3DD'!$D$6:$D$2989,'1SK3DD'!$E$6:$E$2989,"&gt;="&amp;V7,'1SK3DD'!$E$6:$E$2989,"&lt;="&amp;EOMONTH(V7,0),'1SK3DD'!$F$6:$F$2989,$B$14)-(SUMIFS('1SK3DD'!$D$6:$D$2989,'1SK3DD'!$E$6:$E$2989,"&gt;="&amp;V7,'1SK3DD'!$E$6:$E$2989,"&lt;="&amp;EOMONTH(V7,0),'1SK3DD'!$F$6:$F$2989,"Discount Rent")*2)-SUMIFS('1SK3DD'!$D$6:$D$2989,'1SK3DD'!$E$6:$E$2989,"&gt;="&amp;V7,'1SK3DD'!$E$6:$E$2989,"&lt;="&amp;EOMONTH(V7,0),'1SK3DD'!$F$6:$F$2989,"Bond Received")+SUMIFS('1SX5TQ'!$D$6:$D$2989,'1SX5TQ'!$E$6:$E$2989,"&gt;="&amp;V7,'1SX5TQ'!$E$6:$E$2989,"&lt;="&amp;EOMONTH(V7,0))-SUMIFS('1SX5TQ'!$D$6:$D$2989,'1SX5TQ'!$E$6:$E$2989,"&gt;="&amp;V7,'1SX5TQ'!$E$6:$E$2989,"&lt;="&amp;EOMONTH(V7,0),'1SX5TQ'!$F$6:$F$2989,$B$14)-(SUMIFS('1SX5TQ'!$D$6:$D$2989,'1SX5TQ'!$E$6:$E$2989,"&gt;="&amp;V7,'1SX5TQ'!$E$6:$E$2989,"&lt;="&amp;EOMONTH(V7,0),'1SX5TQ'!$F$6:$F$2989,"Discount Rent")*2)-SUMIFS('1SX5TQ'!$D$6:$D$2989,'1SX5TQ'!$E$6:$E$2989,"&gt;="&amp;V7,'1SX5TQ'!$E$6:$E$2989,"&lt;="&amp;EOMONTH(V7,0),'1SX5TQ'!$F$6:$F$2989,"Bond Received")+SUMIFS('BMM465'!$D$6:$D$2989,'BMM465'!$E$6:$E$2989,"&gt;="&amp;V7,'BMM465'!$E$6:$E$2989,"&lt;="&amp;EOMONTH(V7,0))-SUMIFS('BMM465'!$D$6:$D$2989,'BMM465'!$E$6:$E$2989,"&gt;="&amp;V7,'BMM465'!$E$6:$E$2989,"&lt;="&amp;EOMONTH(V7,0),'BMM465'!$F$6:$F$2989,$B$14)-(SUMIFS('BMM465'!$D$6:$D$2989,'BMM465'!$E$6:$E$2989,"&gt;="&amp;V7,'BMM465'!$E$6:$E$2989,"&lt;="&amp;EOMONTH(V7,0),'BMM465'!$F$6:$F$2989,"Discount Rent")*2)-SUMIFS('BMM465'!$D$6:$D$2989,'BMM465'!$E$6:$E$2989,"&gt;="&amp;V7,'BMM465'!$E$6:$E$2989,"&lt;="&amp;EOMONTH(V7,0),'BMM465'!$F$6:$F$2989,"Bond Received")+SUMIFS('1CF1ZO'!$D$6:$D$2989,'1CF1ZO'!$E$6:$E$2989,"&gt;="&amp;V7,'1CF1ZO'!$E$6:$E$2989,"&lt;="&amp;EOMONTH(V7,0))-SUMIFS('1CF1ZO'!$D$6:$D$2989,'1CF1ZO'!$E$6:$E$2989,"&gt;="&amp;V7,'1CF1ZO'!$E$6:$E$2989,"&lt;="&amp;EOMONTH(V7,0),'1CF1ZO'!$F$6:$F$2989,$B$14)-(SUMIFS('1CF1ZO'!$D$6:$D$2989,'1CF1ZO'!$E$6:$E$2989,"&gt;="&amp;V7,'1CF1ZO'!$E$6:$E$2989,"&lt;="&amp;EOMONTH(V7,0),'1CF1ZO'!$F$6:$F$2989,"Discount Rent")*2)-SUMIFS('1CF1ZO'!$D$6:$D$2989,'1CF1ZO'!$E$6:$E$2989,"&gt;="&amp;V7,'1CF1ZO'!$E$6:$E$2989,"&lt;="&amp;EOMONTH(V7,0),'1CF1ZO'!$F$6:$F$2989,"Bond Received")+SUMIFS('1UK1BK'!$D$6:$D$2989,'1UK1BK'!$E$6:$E$2989,"&gt;="&amp;V7,'1UK1BK'!$E$6:$E$2989,"&lt;="&amp;EOMONTH(V7,0))-SUMIFS('1UK1BK'!$D$6:$D$2989,'1UK1BK'!$E$6:$E$2989,"&gt;="&amp;V7,'1UK1BK'!$E$6:$E$2989,"&lt;="&amp;EOMONTH(V7,0),'1UK1BK'!$F$6:$F$2989,$B$14)-(SUMIFS('1UK1BK'!$D$6:$D$2989,'1UK1BK'!$E$6:$E$2989,"&gt;="&amp;V7,'1UK1BK'!$E$6:$E$2989,"&lt;="&amp;EOMONTH(V7,0),'1UK1BK'!$F$6:$F$2989,"Discount Rent")*2)-SUMIFS('1UK1BK'!$D$6:$D$2989,'1UK1BK'!$E$6:$E$2989,"&gt;="&amp;V7,'1UK1BK'!$E$6:$E$2989,"&lt;="&amp;EOMONTH(V7,0),'1UK1BK'!$F$6:$F$2989,"Bond Received")</f>
        <v>#REF!</v>
      </c>
      <c r="W11" s="108" t="e">
        <f>SUMIFS(#REF!,#REF!,"&gt;="&amp;W7,#REF!,"&lt;="&amp;EOMONTH(W7,0))-SUMIFS(#REF!,#REF!,"&gt;="&amp;W7,#REF!,"&lt;="&amp;EOMONTH(W7,0),#REF!,$B$14)-(SUMIFS(#REF!,#REF!,"&gt;="&amp;W7,#REF!,"&lt;="&amp;EOMONTH(W7,0),#REF!,"Discount Rent")*2)-SUMIFS(#REF!,#REF!,"&gt;="&amp;W7,#REF!,"&lt;="&amp;EOMONTH(W7,0),#REF!,"Bond Received")+SUMIFS('1JI2UE'!$D$6:$D$2989,'1JI2UE'!$E$6:$E$2989,"&gt;="&amp;W7,'1JI2UE'!$E$6:$E$2989,"&lt;="&amp;EOMONTH(W7,0))-SUMIFS('1JI2UE'!$D$6:$D$2989,'1JI2UE'!$E$6:$E$2989,"&gt;="&amp;W7,'1JI2UE'!$E$6:$E$2989,"&lt;="&amp;EOMONTH(W7,0),'1JI2UE'!$F$6:$F$2989,$B$14)-(SUMIFS('1JI2UE'!$D$6:$D$2989,'1JI2UE'!$E$6:$E$2989,"&gt;="&amp;W7,'1JI2UE'!$E$6:$E$2989,"&lt;="&amp;EOMONTH(W7,0),'1JI2UE'!$F$6:$F$2989,"Discount Rent")*2)-SUMIFS('1JI2UE'!$D$6:$D$2989,'1JI2UE'!$E$6:$E$2989,"&gt;="&amp;W7,'1JI2UE'!$E$6:$E$2989,"&lt;="&amp;EOMONTH(W7,0),'1JI2UE'!$F$6:$F$2989,"Bond Received")+SUMIFS(#REF!,#REF!,"&gt;="&amp;W7,#REF!,"&lt;="&amp;EOMONTH(W7,0))-SUMIFS(#REF!,#REF!,"&gt;="&amp;W7,#REF!,"&lt;="&amp;EOMONTH(W7,0),#REF!,$B$14)-(SUMIFS(#REF!,#REF!,"&gt;="&amp;W7,#REF!,"&lt;="&amp;EOMONTH(W7,0),#REF!,"Discount Rent")*2)-SUMIFS(#REF!,#REF!,"&gt;="&amp;W7,#REF!,"&lt;="&amp;EOMONTH(W7,0),#REF!,"Bond Received")+SUMIFS('1SI9BW'!$D$6:$D$2989,'1SI9BW'!$E$6:$E$2989,"&gt;="&amp;W7,'1SI9BW'!$E$6:$E$2989,"&lt;="&amp;EOMONTH(W7,0))-SUMIFS('1SI9BW'!$D$6:$D$2989,'1SI9BW'!$E$6:$E$2989,"&gt;="&amp;W7,'1SI9BW'!$E$6:$E$2989,"&lt;="&amp;EOMONTH(W7,0),'1SI9BW'!$F$6:$F$2989,$B$14)-(SUMIFS('1SI9BW'!$D$6:$D$2989,'1SI9BW'!$E$6:$E$2989,"&gt;="&amp;W7,'1SI9BW'!$E$6:$E$2989,"&lt;="&amp;EOMONTH(W7,0),'1SI9BW'!$F$6:$F$2989,"Discount Rent")*2)-SUMIFS('1SI9BW'!$D$6:$D$2989,'1SI9BW'!$E$6:$E$2989,"&gt;="&amp;W7,'1SI9BW'!$E$6:$E$2989,"&lt;="&amp;EOMONTH(W7,0),'1SI9BW'!$F$6:$F$2989,"Bond Received")+SUMIFS(Suzuki!$D$6:$D$2989,Suzuki!$E$6:$E$2989,"&gt;="&amp;W7,Suzuki!$E$6:$E$2989,"&lt;="&amp;EOMONTH(W7,0))-SUMIFS(Suzuki!$D$6:$D$2989,Suzuki!$E$6:$E$2989,"&gt;="&amp;W7,Suzuki!$E$6:$E$2989,"&lt;="&amp;EOMONTH(W7,0),Suzuki!$F$6:$F$2989,$B$14)-(SUMIFS(Suzuki!$D$6:$D$2989,Suzuki!$E$6:$E$2989,"&gt;="&amp;W7,Suzuki!$E$6:$E$2989,"&lt;="&amp;EOMONTH(W7,0),Suzuki!$F$6:$F$2989,"Discount Rent")*2)-SUMIFS(Suzuki!$D$6:$D$2989,Suzuki!$E$6:$E$2989,"&gt;="&amp;W7,Suzuki!$E$6:$E$2989,"&lt;="&amp;EOMONTH(W7,0),Suzuki!$F$6:$F$2989,"Bond Received")+SUMIFS('1SK3DD'!$D$6:$D$2989,'1SK3DD'!$E$6:$E$2989,"&gt;="&amp;W7,'1SK3DD'!$E$6:$E$2989,"&lt;="&amp;EOMONTH(W7,0))-SUMIFS('1SK3DD'!$D$6:$D$2989,'1SK3DD'!$E$6:$E$2989,"&gt;="&amp;W7,'1SK3DD'!$E$6:$E$2989,"&lt;="&amp;EOMONTH(W7,0),'1SK3DD'!$F$6:$F$2989,$B$14)-(SUMIFS('1SK3DD'!$D$6:$D$2989,'1SK3DD'!$E$6:$E$2989,"&gt;="&amp;W7,'1SK3DD'!$E$6:$E$2989,"&lt;="&amp;EOMONTH(W7,0),'1SK3DD'!$F$6:$F$2989,"Discount Rent")*2)-SUMIFS('1SK3DD'!$D$6:$D$2989,'1SK3DD'!$E$6:$E$2989,"&gt;="&amp;W7,'1SK3DD'!$E$6:$E$2989,"&lt;="&amp;EOMONTH(W7,0),'1SK3DD'!$F$6:$F$2989,"Bond Received")+SUMIFS('1SX5TQ'!$D$6:$D$2989,'1SX5TQ'!$E$6:$E$2989,"&gt;="&amp;W7,'1SX5TQ'!$E$6:$E$2989,"&lt;="&amp;EOMONTH(W7,0))-SUMIFS('1SX5TQ'!$D$6:$D$2989,'1SX5TQ'!$E$6:$E$2989,"&gt;="&amp;W7,'1SX5TQ'!$E$6:$E$2989,"&lt;="&amp;EOMONTH(W7,0),'1SX5TQ'!$F$6:$F$2989,$B$14)-(SUMIFS('1SX5TQ'!$D$6:$D$2989,'1SX5TQ'!$E$6:$E$2989,"&gt;="&amp;W7,'1SX5TQ'!$E$6:$E$2989,"&lt;="&amp;EOMONTH(W7,0),'1SX5TQ'!$F$6:$F$2989,"Discount Rent")*2)-SUMIFS('1SX5TQ'!$D$6:$D$2989,'1SX5TQ'!$E$6:$E$2989,"&gt;="&amp;W7,'1SX5TQ'!$E$6:$E$2989,"&lt;="&amp;EOMONTH(W7,0),'1SX5TQ'!$F$6:$F$2989,"Bond Received")+SUMIFS('BMM465'!$D$6:$D$2989,'BMM465'!$E$6:$E$2989,"&gt;="&amp;W7,'BMM465'!$E$6:$E$2989,"&lt;="&amp;EOMONTH(W7,0))-SUMIFS('BMM465'!$D$6:$D$2989,'BMM465'!$E$6:$E$2989,"&gt;="&amp;W7,'BMM465'!$E$6:$E$2989,"&lt;="&amp;EOMONTH(W7,0),'BMM465'!$F$6:$F$2989,$B$14)-(SUMIFS('BMM465'!$D$6:$D$2989,'BMM465'!$E$6:$E$2989,"&gt;="&amp;W7,'BMM465'!$E$6:$E$2989,"&lt;="&amp;EOMONTH(W7,0),'BMM465'!$F$6:$F$2989,"Discount Rent")*2)-SUMIFS('BMM465'!$D$6:$D$2989,'BMM465'!$E$6:$E$2989,"&gt;="&amp;W7,'BMM465'!$E$6:$E$2989,"&lt;="&amp;EOMONTH(W7,0),'BMM465'!$F$6:$F$2989,"Bond Received")+SUMIFS('1CF1ZO'!$D$6:$D$2989,'1CF1ZO'!$E$6:$E$2989,"&gt;="&amp;W7,'1CF1ZO'!$E$6:$E$2989,"&lt;="&amp;EOMONTH(W7,0))-SUMIFS('1CF1ZO'!$D$6:$D$2989,'1CF1ZO'!$E$6:$E$2989,"&gt;="&amp;W7,'1CF1ZO'!$E$6:$E$2989,"&lt;="&amp;EOMONTH(W7,0),'1CF1ZO'!$F$6:$F$2989,$B$14)-(SUMIFS('1CF1ZO'!$D$6:$D$2989,'1CF1ZO'!$E$6:$E$2989,"&gt;="&amp;W7,'1CF1ZO'!$E$6:$E$2989,"&lt;="&amp;EOMONTH(W7,0),'1CF1ZO'!$F$6:$F$2989,"Discount Rent")*2)-SUMIFS('1CF1ZO'!$D$6:$D$2989,'1CF1ZO'!$E$6:$E$2989,"&gt;="&amp;W7,'1CF1ZO'!$E$6:$E$2989,"&lt;="&amp;EOMONTH(W7,0),'1CF1ZO'!$F$6:$F$2989,"Bond Received")+SUMIFS('1UK1BK'!$D$6:$D$2989,'1UK1BK'!$E$6:$E$2989,"&gt;="&amp;W7,'1UK1BK'!$E$6:$E$2989,"&lt;="&amp;EOMONTH(W7,0))-SUMIFS('1UK1BK'!$D$6:$D$2989,'1UK1BK'!$E$6:$E$2989,"&gt;="&amp;W7,'1UK1BK'!$E$6:$E$2989,"&lt;="&amp;EOMONTH(W7,0),'1UK1BK'!$F$6:$F$2989,$B$14)-(SUMIFS('1UK1BK'!$D$6:$D$2989,'1UK1BK'!$E$6:$E$2989,"&gt;="&amp;W7,'1UK1BK'!$E$6:$E$2989,"&lt;="&amp;EOMONTH(W7,0),'1UK1BK'!$F$6:$F$2989,"Discount Rent")*2)-SUMIFS('1UK1BK'!$D$6:$D$2989,'1UK1BK'!$E$6:$E$2989,"&gt;="&amp;W7,'1UK1BK'!$E$6:$E$2989,"&lt;="&amp;EOMONTH(W7,0),'1UK1BK'!$F$6:$F$2989,"Bond Received")</f>
        <v>#REF!</v>
      </c>
      <c r="X11" s="108" t="e">
        <f>SUMIFS(#REF!,#REF!,"&gt;="&amp;X7,#REF!,"&lt;="&amp;EOMONTH(X7,0))-SUMIFS(#REF!,#REF!,"&gt;="&amp;X7,#REF!,"&lt;="&amp;EOMONTH(X7,0),#REF!,$B$14)-(SUMIFS(#REF!,#REF!,"&gt;="&amp;X7,#REF!,"&lt;="&amp;EOMONTH(X7,0),#REF!,"Discount Rent")*2)-SUMIFS(#REF!,#REF!,"&gt;="&amp;X7,#REF!,"&lt;="&amp;EOMONTH(X7,0),#REF!,"Bond Received")+SUMIFS('1JI2UE'!$D$6:$D$2989,'1JI2UE'!$E$6:$E$2989,"&gt;="&amp;X7,'1JI2UE'!$E$6:$E$2989,"&lt;="&amp;EOMONTH(X7,0))-SUMIFS('1JI2UE'!$D$6:$D$2989,'1JI2UE'!$E$6:$E$2989,"&gt;="&amp;X7,'1JI2UE'!$E$6:$E$2989,"&lt;="&amp;EOMONTH(X7,0),'1JI2UE'!$F$6:$F$2989,$B$14)-(SUMIFS('1JI2UE'!$D$6:$D$2989,'1JI2UE'!$E$6:$E$2989,"&gt;="&amp;X7,'1JI2UE'!$E$6:$E$2989,"&lt;="&amp;EOMONTH(X7,0),'1JI2UE'!$F$6:$F$2989,"Discount Rent")*2)-SUMIFS('1JI2UE'!$D$6:$D$2989,'1JI2UE'!$E$6:$E$2989,"&gt;="&amp;X7,'1JI2UE'!$E$6:$E$2989,"&lt;="&amp;EOMONTH(X7,0),'1JI2UE'!$F$6:$F$2989,"Bond Received")+SUMIFS(#REF!,#REF!,"&gt;="&amp;X7,#REF!,"&lt;="&amp;EOMONTH(X7,0))-SUMIFS(#REF!,#REF!,"&gt;="&amp;X7,#REF!,"&lt;="&amp;EOMONTH(X7,0),#REF!,$B$14)-(SUMIFS(#REF!,#REF!,"&gt;="&amp;X7,#REF!,"&lt;="&amp;EOMONTH(X7,0),#REF!,"Discount Rent")*2)-SUMIFS(#REF!,#REF!,"&gt;="&amp;X7,#REF!,"&lt;="&amp;EOMONTH(X7,0),#REF!,"Bond Received")+SUMIFS('1SI9BW'!$D$6:$D$2989,'1SI9BW'!$E$6:$E$2989,"&gt;="&amp;X7,'1SI9BW'!$E$6:$E$2989,"&lt;="&amp;EOMONTH(X7,0))-SUMIFS('1SI9BW'!$D$6:$D$2989,'1SI9BW'!$E$6:$E$2989,"&gt;="&amp;X7,'1SI9BW'!$E$6:$E$2989,"&lt;="&amp;EOMONTH(X7,0),'1SI9BW'!$F$6:$F$2989,$B$14)-(SUMIFS('1SI9BW'!$D$6:$D$2989,'1SI9BW'!$E$6:$E$2989,"&gt;="&amp;X7,'1SI9BW'!$E$6:$E$2989,"&lt;="&amp;EOMONTH(X7,0),'1SI9BW'!$F$6:$F$2989,"Discount Rent")*2)-SUMIFS('1SI9BW'!$D$6:$D$2989,'1SI9BW'!$E$6:$E$2989,"&gt;="&amp;X7,'1SI9BW'!$E$6:$E$2989,"&lt;="&amp;EOMONTH(X7,0),'1SI9BW'!$F$6:$F$2989,"Bond Received")+SUMIFS(Suzuki!$D$6:$D$2989,Suzuki!$E$6:$E$2989,"&gt;="&amp;X7,Suzuki!$E$6:$E$2989,"&lt;="&amp;EOMONTH(X7,0))-SUMIFS(Suzuki!$D$6:$D$2989,Suzuki!$E$6:$E$2989,"&gt;="&amp;X7,Suzuki!$E$6:$E$2989,"&lt;="&amp;EOMONTH(X7,0),Suzuki!$F$6:$F$2989,$B$14)-(SUMIFS(Suzuki!$D$6:$D$2989,Suzuki!$E$6:$E$2989,"&gt;="&amp;X7,Suzuki!$E$6:$E$2989,"&lt;="&amp;EOMONTH(X7,0),Suzuki!$F$6:$F$2989,"Discount Rent")*2)-SUMIFS(Suzuki!$D$6:$D$2989,Suzuki!$E$6:$E$2989,"&gt;="&amp;X7,Suzuki!$E$6:$E$2989,"&lt;="&amp;EOMONTH(X7,0),Suzuki!$F$6:$F$2989,"Bond Received")+SUMIFS('1SK3DD'!$D$6:$D$2989,'1SK3DD'!$E$6:$E$2989,"&gt;="&amp;X7,'1SK3DD'!$E$6:$E$2989,"&lt;="&amp;EOMONTH(X7,0))-SUMIFS('1SK3DD'!$D$6:$D$2989,'1SK3DD'!$E$6:$E$2989,"&gt;="&amp;X7,'1SK3DD'!$E$6:$E$2989,"&lt;="&amp;EOMONTH(X7,0),'1SK3DD'!$F$6:$F$2989,$B$14)-(SUMIFS('1SK3DD'!$D$6:$D$2989,'1SK3DD'!$E$6:$E$2989,"&gt;="&amp;X7,'1SK3DD'!$E$6:$E$2989,"&lt;="&amp;EOMONTH(X7,0),'1SK3DD'!$F$6:$F$2989,"Discount Rent")*2)-SUMIFS('1SK3DD'!$D$6:$D$2989,'1SK3DD'!$E$6:$E$2989,"&gt;="&amp;X7,'1SK3DD'!$E$6:$E$2989,"&lt;="&amp;EOMONTH(X7,0),'1SK3DD'!$F$6:$F$2989,"Bond Received")+SUMIFS('1SX5TQ'!$D$6:$D$2989,'1SX5TQ'!$E$6:$E$2989,"&gt;="&amp;X7,'1SX5TQ'!$E$6:$E$2989,"&lt;="&amp;EOMONTH(X7,0))-SUMIFS('1SX5TQ'!$D$6:$D$2989,'1SX5TQ'!$E$6:$E$2989,"&gt;="&amp;X7,'1SX5TQ'!$E$6:$E$2989,"&lt;="&amp;EOMONTH(X7,0),'1SX5TQ'!$F$6:$F$2989,$B$14)-(SUMIFS('1SX5TQ'!$D$6:$D$2989,'1SX5TQ'!$E$6:$E$2989,"&gt;="&amp;X7,'1SX5TQ'!$E$6:$E$2989,"&lt;="&amp;EOMONTH(X7,0),'1SX5TQ'!$F$6:$F$2989,"Discount Rent")*2)-SUMIFS('1SX5TQ'!$D$6:$D$2989,'1SX5TQ'!$E$6:$E$2989,"&gt;="&amp;X7,'1SX5TQ'!$E$6:$E$2989,"&lt;="&amp;EOMONTH(X7,0),'1SX5TQ'!$F$6:$F$2989,"Bond Received")+SUMIFS('BMM465'!$D$6:$D$2989,'BMM465'!$E$6:$E$2989,"&gt;="&amp;X7,'BMM465'!$E$6:$E$2989,"&lt;="&amp;EOMONTH(X7,0))-SUMIFS('BMM465'!$D$6:$D$2989,'BMM465'!$E$6:$E$2989,"&gt;="&amp;X7,'BMM465'!$E$6:$E$2989,"&lt;="&amp;EOMONTH(X7,0),'BMM465'!$F$6:$F$2989,$B$14)-(SUMIFS('BMM465'!$D$6:$D$2989,'BMM465'!$E$6:$E$2989,"&gt;="&amp;X7,'BMM465'!$E$6:$E$2989,"&lt;="&amp;EOMONTH(X7,0),'BMM465'!$F$6:$F$2989,"Discount Rent")*2)-SUMIFS('BMM465'!$D$6:$D$2989,'BMM465'!$E$6:$E$2989,"&gt;="&amp;X7,'BMM465'!$E$6:$E$2989,"&lt;="&amp;EOMONTH(X7,0),'BMM465'!$F$6:$F$2989,"Bond Received")+SUMIFS('1CF1ZO'!$D$6:$D$2989,'1CF1ZO'!$E$6:$E$2989,"&gt;="&amp;X7,'1CF1ZO'!$E$6:$E$2989,"&lt;="&amp;EOMONTH(X7,0))-SUMIFS('1CF1ZO'!$D$6:$D$2989,'1CF1ZO'!$E$6:$E$2989,"&gt;="&amp;X7,'1CF1ZO'!$E$6:$E$2989,"&lt;="&amp;EOMONTH(X7,0),'1CF1ZO'!$F$6:$F$2989,$B$14)-(SUMIFS('1CF1ZO'!$D$6:$D$2989,'1CF1ZO'!$E$6:$E$2989,"&gt;="&amp;X7,'1CF1ZO'!$E$6:$E$2989,"&lt;="&amp;EOMONTH(X7,0),'1CF1ZO'!$F$6:$F$2989,"Discount Rent")*2)-SUMIFS('1CF1ZO'!$D$6:$D$2989,'1CF1ZO'!$E$6:$E$2989,"&gt;="&amp;X7,'1CF1ZO'!$E$6:$E$2989,"&lt;="&amp;EOMONTH(X7,0),'1CF1ZO'!$F$6:$F$2989,"Bond Received")+SUMIFS('1UK1BK'!$D$6:$D$2989,'1UK1BK'!$E$6:$E$2989,"&gt;="&amp;X7,'1UK1BK'!$E$6:$E$2989,"&lt;="&amp;EOMONTH(X7,0))-SUMIFS('1UK1BK'!$D$6:$D$2989,'1UK1BK'!$E$6:$E$2989,"&gt;="&amp;X7,'1UK1BK'!$E$6:$E$2989,"&lt;="&amp;EOMONTH(X7,0),'1UK1BK'!$F$6:$F$2989,$B$14)-(SUMIFS('1UK1BK'!$D$6:$D$2989,'1UK1BK'!$E$6:$E$2989,"&gt;="&amp;X7,'1UK1BK'!$E$6:$E$2989,"&lt;="&amp;EOMONTH(X7,0),'1UK1BK'!$F$6:$F$2989,"Discount Rent")*2)-SUMIFS('1UK1BK'!$D$6:$D$2989,'1UK1BK'!$E$6:$E$2989,"&gt;="&amp;X7,'1UK1BK'!$E$6:$E$2989,"&lt;="&amp;EOMONTH(X7,0),'1UK1BK'!$F$6:$F$2989,"Bond Received")</f>
        <v>#REF!</v>
      </c>
      <c r="Y11" s="108" t="e">
        <f>SUMIFS(#REF!,#REF!,"&gt;="&amp;Y7,#REF!,"&lt;="&amp;EOMONTH(Y7,0))-SUMIFS(#REF!,#REF!,"&gt;="&amp;Y7,#REF!,"&lt;="&amp;EOMONTH(Y7,0),#REF!,$B$14)-(SUMIFS(#REF!,#REF!,"&gt;="&amp;Y7,#REF!,"&lt;="&amp;EOMONTH(Y7,0),#REF!,"Discount Rent")*2)-SUMIFS(#REF!,#REF!,"&gt;="&amp;Y7,#REF!,"&lt;="&amp;EOMONTH(Y7,0),#REF!,"Bond Received")+SUMIFS('1JI2UE'!$D$6:$D$2989,'1JI2UE'!$E$6:$E$2989,"&gt;="&amp;Y7,'1JI2UE'!$E$6:$E$2989,"&lt;="&amp;EOMONTH(Y7,0))-SUMIFS('1JI2UE'!$D$6:$D$2989,'1JI2UE'!$E$6:$E$2989,"&gt;="&amp;Y7,'1JI2UE'!$E$6:$E$2989,"&lt;="&amp;EOMONTH(Y7,0),'1JI2UE'!$F$6:$F$2989,$B$14)-(SUMIFS('1JI2UE'!$D$6:$D$2989,'1JI2UE'!$E$6:$E$2989,"&gt;="&amp;Y7,'1JI2UE'!$E$6:$E$2989,"&lt;="&amp;EOMONTH(Y7,0),'1JI2UE'!$F$6:$F$2989,"Discount Rent")*2)-SUMIFS('1JI2UE'!$D$6:$D$2989,'1JI2UE'!$E$6:$E$2989,"&gt;="&amp;Y7,'1JI2UE'!$E$6:$E$2989,"&lt;="&amp;EOMONTH(Y7,0),'1JI2UE'!$F$6:$F$2989,"Bond Received")+SUMIFS(#REF!,#REF!,"&gt;="&amp;Y7,#REF!,"&lt;="&amp;EOMONTH(Y7,0))-SUMIFS(#REF!,#REF!,"&gt;="&amp;Y7,#REF!,"&lt;="&amp;EOMONTH(Y7,0),#REF!,$B$14)-(SUMIFS(#REF!,#REF!,"&gt;="&amp;Y7,#REF!,"&lt;="&amp;EOMONTH(Y7,0),#REF!,"Discount Rent")*2)-SUMIFS(#REF!,#REF!,"&gt;="&amp;Y7,#REF!,"&lt;="&amp;EOMONTH(Y7,0),#REF!,"Bond Received")+SUMIFS('1SI9BW'!$D$6:$D$2989,'1SI9BW'!$E$6:$E$2989,"&gt;="&amp;Y7,'1SI9BW'!$E$6:$E$2989,"&lt;="&amp;EOMONTH(Y7,0))-SUMIFS('1SI9BW'!$D$6:$D$2989,'1SI9BW'!$E$6:$E$2989,"&gt;="&amp;Y7,'1SI9BW'!$E$6:$E$2989,"&lt;="&amp;EOMONTH(Y7,0),'1SI9BW'!$F$6:$F$2989,$B$14)-(SUMIFS('1SI9BW'!$D$6:$D$2989,'1SI9BW'!$E$6:$E$2989,"&gt;="&amp;Y7,'1SI9BW'!$E$6:$E$2989,"&lt;="&amp;EOMONTH(Y7,0),'1SI9BW'!$F$6:$F$2989,"Discount Rent")*2)-SUMIFS('1SI9BW'!$D$6:$D$2989,'1SI9BW'!$E$6:$E$2989,"&gt;="&amp;Y7,'1SI9BW'!$E$6:$E$2989,"&lt;="&amp;EOMONTH(Y7,0),'1SI9BW'!$F$6:$F$2989,"Bond Received")+SUMIFS(Suzuki!$D$6:$D$2989,Suzuki!$E$6:$E$2989,"&gt;="&amp;Y7,Suzuki!$E$6:$E$2989,"&lt;="&amp;EOMONTH(Y7,0))-SUMIFS(Suzuki!$D$6:$D$2989,Suzuki!$E$6:$E$2989,"&gt;="&amp;Y7,Suzuki!$E$6:$E$2989,"&lt;="&amp;EOMONTH(Y7,0),Suzuki!$F$6:$F$2989,$B$14)-(SUMIFS(Suzuki!$D$6:$D$2989,Suzuki!$E$6:$E$2989,"&gt;="&amp;Y7,Suzuki!$E$6:$E$2989,"&lt;="&amp;EOMONTH(Y7,0),Suzuki!$F$6:$F$2989,"Discount Rent")*2)-SUMIFS(Suzuki!$D$6:$D$2989,Suzuki!$E$6:$E$2989,"&gt;="&amp;Y7,Suzuki!$E$6:$E$2989,"&lt;="&amp;EOMONTH(Y7,0),Suzuki!$F$6:$F$2989,"Bond Received")+SUMIFS('1SK3DD'!$D$6:$D$2989,'1SK3DD'!$E$6:$E$2989,"&gt;="&amp;Y7,'1SK3DD'!$E$6:$E$2989,"&lt;="&amp;EOMONTH(Y7,0))-SUMIFS('1SK3DD'!$D$6:$D$2989,'1SK3DD'!$E$6:$E$2989,"&gt;="&amp;Y7,'1SK3DD'!$E$6:$E$2989,"&lt;="&amp;EOMONTH(Y7,0),'1SK3DD'!$F$6:$F$2989,$B$14)-(SUMIFS('1SK3DD'!$D$6:$D$2989,'1SK3DD'!$E$6:$E$2989,"&gt;="&amp;Y7,'1SK3DD'!$E$6:$E$2989,"&lt;="&amp;EOMONTH(Y7,0),'1SK3DD'!$F$6:$F$2989,"Discount Rent")*2)-SUMIFS('1SK3DD'!$D$6:$D$2989,'1SK3DD'!$E$6:$E$2989,"&gt;="&amp;Y7,'1SK3DD'!$E$6:$E$2989,"&lt;="&amp;EOMONTH(Y7,0),'1SK3DD'!$F$6:$F$2989,"Bond Received")+SUMIFS('1SX5TQ'!$D$6:$D$2989,'1SX5TQ'!$E$6:$E$2989,"&gt;="&amp;Y7,'1SX5TQ'!$E$6:$E$2989,"&lt;="&amp;EOMONTH(Y7,0))-SUMIFS('1SX5TQ'!$D$6:$D$2989,'1SX5TQ'!$E$6:$E$2989,"&gt;="&amp;Y7,'1SX5TQ'!$E$6:$E$2989,"&lt;="&amp;EOMONTH(Y7,0),'1SX5TQ'!$F$6:$F$2989,$B$14)-(SUMIFS('1SX5TQ'!$D$6:$D$2989,'1SX5TQ'!$E$6:$E$2989,"&gt;="&amp;Y7,'1SX5TQ'!$E$6:$E$2989,"&lt;="&amp;EOMONTH(Y7,0),'1SX5TQ'!$F$6:$F$2989,"Discount Rent")*2)-SUMIFS('1SX5TQ'!$D$6:$D$2989,'1SX5TQ'!$E$6:$E$2989,"&gt;="&amp;Y7,'1SX5TQ'!$E$6:$E$2989,"&lt;="&amp;EOMONTH(Y7,0),'1SX5TQ'!$F$6:$F$2989,"Bond Received")+SUMIFS('BMM465'!$D$6:$D$2989,'BMM465'!$E$6:$E$2989,"&gt;="&amp;Y7,'BMM465'!$E$6:$E$2989,"&lt;="&amp;EOMONTH(Y7,0))-SUMIFS('BMM465'!$D$6:$D$2989,'BMM465'!$E$6:$E$2989,"&gt;="&amp;Y7,'BMM465'!$E$6:$E$2989,"&lt;="&amp;EOMONTH(Y7,0),'BMM465'!$F$6:$F$2989,$B$14)-(SUMIFS('BMM465'!$D$6:$D$2989,'BMM465'!$E$6:$E$2989,"&gt;="&amp;Y7,'BMM465'!$E$6:$E$2989,"&lt;="&amp;EOMONTH(Y7,0),'BMM465'!$F$6:$F$2989,"Discount Rent")*2)-SUMIFS('BMM465'!$D$6:$D$2989,'BMM465'!$E$6:$E$2989,"&gt;="&amp;Y7,'BMM465'!$E$6:$E$2989,"&lt;="&amp;EOMONTH(Y7,0),'BMM465'!$F$6:$F$2989,"Bond Received")+SUMIFS('1CF1ZO'!$D$6:$D$2989,'1CF1ZO'!$E$6:$E$2989,"&gt;="&amp;Y7,'1CF1ZO'!$E$6:$E$2989,"&lt;="&amp;EOMONTH(Y7,0))-SUMIFS('1CF1ZO'!$D$6:$D$2989,'1CF1ZO'!$E$6:$E$2989,"&gt;="&amp;Y7,'1CF1ZO'!$E$6:$E$2989,"&lt;="&amp;EOMONTH(Y7,0),'1CF1ZO'!$F$6:$F$2989,$B$14)-(SUMIFS('1CF1ZO'!$D$6:$D$2989,'1CF1ZO'!$E$6:$E$2989,"&gt;="&amp;Y7,'1CF1ZO'!$E$6:$E$2989,"&lt;="&amp;EOMONTH(Y7,0),'1CF1ZO'!$F$6:$F$2989,"Discount Rent")*2)-SUMIFS('1CF1ZO'!$D$6:$D$2989,'1CF1ZO'!$E$6:$E$2989,"&gt;="&amp;Y7,'1CF1ZO'!$E$6:$E$2989,"&lt;="&amp;EOMONTH(Y7,0),'1CF1ZO'!$F$6:$F$2989,"Bond Received")+SUMIFS('1UK1BK'!$D$6:$D$2989,'1UK1BK'!$E$6:$E$2989,"&gt;="&amp;Y7,'1UK1BK'!$E$6:$E$2989,"&lt;="&amp;EOMONTH(Y7,0))-SUMIFS('1UK1BK'!$D$6:$D$2989,'1UK1BK'!$E$6:$E$2989,"&gt;="&amp;Y7,'1UK1BK'!$E$6:$E$2989,"&lt;="&amp;EOMONTH(Y7,0),'1UK1BK'!$F$6:$F$2989,$B$14)-(SUMIFS('1UK1BK'!$D$6:$D$2989,'1UK1BK'!$E$6:$E$2989,"&gt;="&amp;Y7,'1UK1BK'!$E$6:$E$2989,"&lt;="&amp;EOMONTH(Y7,0),'1UK1BK'!$F$6:$F$2989,"Discount Rent")*2)-SUMIFS('1UK1BK'!$D$6:$D$2989,'1UK1BK'!$E$6:$E$2989,"&gt;="&amp;Y7,'1UK1BK'!$E$6:$E$2989,"&lt;="&amp;EOMONTH(Y7,0),'1UK1BK'!$F$6:$F$2989,"Bond Received")</f>
        <v>#REF!</v>
      </c>
      <c r="Z11" s="108" t="e">
        <f>SUMIFS(#REF!,#REF!,"&gt;="&amp;Z7,#REF!,"&lt;="&amp;EOMONTH(Z7,0))-SUMIFS(#REF!,#REF!,"&gt;="&amp;Z7,#REF!,"&lt;="&amp;EOMONTH(Z7,0),#REF!,$B$14)-(SUMIFS(#REF!,#REF!,"&gt;="&amp;Z7,#REF!,"&lt;="&amp;EOMONTH(Z7,0),#REF!,"Discount Rent")*2)-SUMIFS(#REF!,#REF!,"&gt;="&amp;Z7,#REF!,"&lt;="&amp;EOMONTH(Z7,0),#REF!,"Bond Received")+SUMIFS('1JI2UE'!$D$6:$D$2989,'1JI2UE'!$E$6:$E$2989,"&gt;="&amp;Z7,'1JI2UE'!$E$6:$E$2989,"&lt;="&amp;EOMONTH(Z7,0))-SUMIFS('1JI2UE'!$D$6:$D$2989,'1JI2UE'!$E$6:$E$2989,"&gt;="&amp;Z7,'1JI2UE'!$E$6:$E$2989,"&lt;="&amp;EOMONTH(Z7,0),'1JI2UE'!$F$6:$F$2989,$B$14)-(SUMIFS('1JI2UE'!$D$6:$D$2989,'1JI2UE'!$E$6:$E$2989,"&gt;="&amp;Z7,'1JI2UE'!$E$6:$E$2989,"&lt;="&amp;EOMONTH(Z7,0),'1JI2UE'!$F$6:$F$2989,"Discount Rent")*2)-SUMIFS('1JI2UE'!$D$6:$D$2989,'1JI2UE'!$E$6:$E$2989,"&gt;="&amp;Z7,'1JI2UE'!$E$6:$E$2989,"&lt;="&amp;EOMONTH(Z7,0),'1JI2UE'!$F$6:$F$2989,"Bond Received")+SUMIFS(#REF!,#REF!,"&gt;="&amp;Z7,#REF!,"&lt;="&amp;EOMONTH(Z7,0))-SUMIFS(#REF!,#REF!,"&gt;="&amp;Z7,#REF!,"&lt;="&amp;EOMONTH(Z7,0),#REF!,$B$14)-(SUMIFS(#REF!,#REF!,"&gt;="&amp;Z7,#REF!,"&lt;="&amp;EOMONTH(Z7,0),#REF!,"Discount Rent")*2)-SUMIFS(#REF!,#REF!,"&gt;="&amp;Z7,#REF!,"&lt;="&amp;EOMONTH(Z7,0),#REF!,"Bond Received")+SUMIFS('1SI9BW'!$D$6:$D$2989,'1SI9BW'!$E$6:$E$2989,"&gt;="&amp;Z7,'1SI9BW'!$E$6:$E$2989,"&lt;="&amp;EOMONTH(Z7,0))-SUMIFS('1SI9BW'!$D$6:$D$2989,'1SI9BW'!$E$6:$E$2989,"&gt;="&amp;Z7,'1SI9BW'!$E$6:$E$2989,"&lt;="&amp;EOMONTH(Z7,0),'1SI9BW'!$F$6:$F$2989,$B$14)-(SUMIFS('1SI9BW'!$D$6:$D$2989,'1SI9BW'!$E$6:$E$2989,"&gt;="&amp;Z7,'1SI9BW'!$E$6:$E$2989,"&lt;="&amp;EOMONTH(Z7,0),'1SI9BW'!$F$6:$F$2989,"Discount Rent")*2)-SUMIFS('1SI9BW'!$D$6:$D$2989,'1SI9BW'!$E$6:$E$2989,"&gt;="&amp;Z7,'1SI9BW'!$E$6:$E$2989,"&lt;="&amp;EOMONTH(Z7,0),'1SI9BW'!$F$6:$F$2989,"Bond Received")+SUMIFS(Suzuki!$D$6:$D$2989,Suzuki!$E$6:$E$2989,"&gt;="&amp;Z7,Suzuki!$E$6:$E$2989,"&lt;="&amp;EOMONTH(Z7,0))-SUMIFS(Suzuki!$D$6:$D$2989,Suzuki!$E$6:$E$2989,"&gt;="&amp;Z7,Suzuki!$E$6:$E$2989,"&lt;="&amp;EOMONTH(Z7,0),Suzuki!$F$6:$F$2989,$B$14)-(SUMIFS(Suzuki!$D$6:$D$2989,Suzuki!$E$6:$E$2989,"&gt;="&amp;Z7,Suzuki!$E$6:$E$2989,"&lt;="&amp;EOMONTH(Z7,0),Suzuki!$F$6:$F$2989,"Discount Rent")*2)-SUMIFS(Suzuki!$D$6:$D$2989,Suzuki!$E$6:$E$2989,"&gt;="&amp;Z7,Suzuki!$E$6:$E$2989,"&lt;="&amp;EOMONTH(Z7,0),Suzuki!$F$6:$F$2989,"Bond Received")+SUMIFS('1SK3DD'!$D$6:$D$2989,'1SK3DD'!$E$6:$E$2989,"&gt;="&amp;Z7,'1SK3DD'!$E$6:$E$2989,"&lt;="&amp;EOMONTH(Z7,0))-SUMIFS('1SK3DD'!$D$6:$D$2989,'1SK3DD'!$E$6:$E$2989,"&gt;="&amp;Z7,'1SK3DD'!$E$6:$E$2989,"&lt;="&amp;EOMONTH(Z7,0),'1SK3DD'!$F$6:$F$2989,$B$14)-(SUMIFS('1SK3DD'!$D$6:$D$2989,'1SK3DD'!$E$6:$E$2989,"&gt;="&amp;Z7,'1SK3DD'!$E$6:$E$2989,"&lt;="&amp;EOMONTH(Z7,0),'1SK3DD'!$F$6:$F$2989,"Discount Rent")*2)-SUMIFS('1SK3DD'!$D$6:$D$2989,'1SK3DD'!$E$6:$E$2989,"&gt;="&amp;Z7,'1SK3DD'!$E$6:$E$2989,"&lt;="&amp;EOMONTH(Z7,0),'1SK3DD'!$F$6:$F$2989,"Bond Received")+SUMIFS('1SX5TQ'!$D$6:$D$2989,'1SX5TQ'!$E$6:$E$2989,"&gt;="&amp;Z7,'1SX5TQ'!$E$6:$E$2989,"&lt;="&amp;EOMONTH(Z7,0))-SUMIFS('1SX5TQ'!$D$6:$D$2989,'1SX5TQ'!$E$6:$E$2989,"&gt;="&amp;Z7,'1SX5TQ'!$E$6:$E$2989,"&lt;="&amp;EOMONTH(Z7,0),'1SX5TQ'!$F$6:$F$2989,$B$14)-(SUMIFS('1SX5TQ'!$D$6:$D$2989,'1SX5TQ'!$E$6:$E$2989,"&gt;="&amp;Z7,'1SX5TQ'!$E$6:$E$2989,"&lt;="&amp;EOMONTH(Z7,0),'1SX5TQ'!$F$6:$F$2989,"Discount Rent")*2)-SUMIFS('1SX5TQ'!$D$6:$D$2989,'1SX5TQ'!$E$6:$E$2989,"&gt;="&amp;Z7,'1SX5TQ'!$E$6:$E$2989,"&lt;="&amp;EOMONTH(Z7,0),'1SX5TQ'!$F$6:$F$2989,"Bond Received")+SUMIFS('BMM465'!$D$6:$D$2989,'BMM465'!$E$6:$E$2989,"&gt;="&amp;Z7,'BMM465'!$E$6:$E$2989,"&lt;="&amp;EOMONTH(Z7,0))-SUMIFS('BMM465'!$D$6:$D$2989,'BMM465'!$E$6:$E$2989,"&gt;="&amp;Z7,'BMM465'!$E$6:$E$2989,"&lt;="&amp;EOMONTH(Z7,0),'BMM465'!$F$6:$F$2989,$B$14)-(SUMIFS('BMM465'!$D$6:$D$2989,'BMM465'!$E$6:$E$2989,"&gt;="&amp;Z7,'BMM465'!$E$6:$E$2989,"&lt;="&amp;EOMONTH(Z7,0),'BMM465'!$F$6:$F$2989,"Discount Rent")*2)-SUMIFS('BMM465'!$D$6:$D$2989,'BMM465'!$E$6:$E$2989,"&gt;="&amp;Z7,'BMM465'!$E$6:$E$2989,"&lt;="&amp;EOMONTH(Z7,0),'BMM465'!$F$6:$F$2989,"Bond Received")+SUMIFS('1CF1ZO'!$D$6:$D$2989,'1CF1ZO'!$E$6:$E$2989,"&gt;="&amp;Z7,'1CF1ZO'!$E$6:$E$2989,"&lt;="&amp;EOMONTH(Z7,0))-SUMIFS('1CF1ZO'!$D$6:$D$2989,'1CF1ZO'!$E$6:$E$2989,"&gt;="&amp;Z7,'1CF1ZO'!$E$6:$E$2989,"&lt;="&amp;EOMONTH(Z7,0),'1CF1ZO'!$F$6:$F$2989,$B$14)-(SUMIFS('1CF1ZO'!$D$6:$D$2989,'1CF1ZO'!$E$6:$E$2989,"&gt;="&amp;Z7,'1CF1ZO'!$E$6:$E$2989,"&lt;="&amp;EOMONTH(Z7,0),'1CF1ZO'!$F$6:$F$2989,"Discount Rent")*2)-SUMIFS('1CF1ZO'!$D$6:$D$2989,'1CF1ZO'!$E$6:$E$2989,"&gt;="&amp;Z7,'1CF1ZO'!$E$6:$E$2989,"&lt;="&amp;EOMONTH(Z7,0),'1CF1ZO'!$F$6:$F$2989,"Bond Received")+SUMIFS('1UK1BK'!$D$6:$D$2989,'1UK1BK'!$E$6:$E$2989,"&gt;="&amp;Z7,'1UK1BK'!$E$6:$E$2989,"&lt;="&amp;EOMONTH(Z7,0))-SUMIFS('1UK1BK'!$D$6:$D$2989,'1UK1BK'!$E$6:$E$2989,"&gt;="&amp;Z7,'1UK1BK'!$E$6:$E$2989,"&lt;="&amp;EOMONTH(Z7,0),'1UK1BK'!$F$6:$F$2989,$B$14)-(SUMIFS('1UK1BK'!$D$6:$D$2989,'1UK1BK'!$E$6:$E$2989,"&gt;="&amp;Z7,'1UK1BK'!$E$6:$E$2989,"&lt;="&amp;EOMONTH(Z7,0),'1UK1BK'!$F$6:$F$2989,"Discount Rent")*2)-SUMIFS('1UK1BK'!$D$6:$D$2989,'1UK1BK'!$E$6:$E$2989,"&gt;="&amp;Z7,'1UK1BK'!$E$6:$E$2989,"&lt;="&amp;EOMONTH(Z7,0),'1UK1BK'!$F$6:$F$2989,"Bond Received")</f>
        <v>#REF!</v>
      </c>
      <c r="AA11" s="108" t="e">
        <f>SUMIFS(#REF!,#REF!,"&gt;="&amp;AA7,#REF!,"&lt;="&amp;EOMONTH(AA7,0))-SUMIFS(#REF!,#REF!,"&gt;="&amp;AA7,#REF!,"&lt;="&amp;EOMONTH(AA7,0),#REF!,$B$14)-(SUMIFS(#REF!,#REF!,"&gt;="&amp;AA7,#REF!,"&lt;="&amp;EOMONTH(AA7,0),#REF!,"Discount Rent")*2)-SUMIFS(#REF!,#REF!,"&gt;="&amp;AA7,#REF!,"&lt;="&amp;EOMONTH(AA7,0),#REF!,"Bond Received")+SUMIFS('1JI2UE'!$D$6:$D$2989,'1JI2UE'!$E$6:$E$2989,"&gt;="&amp;AA7,'1JI2UE'!$E$6:$E$2989,"&lt;="&amp;EOMONTH(AA7,0))-SUMIFS('1JI2UE'!$D$6:$D$2989,'1JI2UE'!$E$6:$E$2989,"&gt;="&amp;AA7,'1JI2UE'!$E$6:$E$2989,"&lt;="&amp;EOMONTH(AA7,0),'1JI2UE'!$F$6:$F$2989,$B$14)-(SUMIFS('1JI2UE'!$D$6:$D$2989,'1JI2UE'!$E$6:$E$2989,"&gt;="&amp;AA7,'1JI2UE'!$E$6:$E$2989,"&lt;="&amp;EOMONTH(AA7,0),'1JI2UE'!$F$6:$F$2989,"Discount Rent")*2)-SUMIFS('1JI2UE'!$D$6:$D$2989,'1JI2UE'!$E$6:$E$2989,"&gt;="&amp;AA7,'1JI2UE'!$E$6:$E$2989,"&lt;="&amp;EOMONTH(AA7,0),'1JI2UE'!$F$6:$F$2989,"Bond Received")+SUMIFS(#REF!,#REF!,"&gt;="&amp;AA7,#REF!,"&lt;="&amp;EOMONTH(AA7,0))-SUMIFS(#REF!,#REF!,"&gt;="&amp;AA7,#REF!,"&lt;="&amp;EOMONTH(AA7,0),#REF!,$B$14)-(SUMIFS(#REF!,#REF!,"&gt;="&amp;AA7,#REF!,"&lt;="&amp;EOMONTH(AA7,0),#REF!,"Discount Rent")*2)-SUMIFS(#REF!,#REF!,"&gt;="&amp;AA7,#REF!,"&lt;="&amp;EOMONTH(AA7,0),#REF!,"Bond Received")+SUMIFS('1SI9BW'!$D$6:$D$2989,'1SI9BW'!$E$6:$E$2989,"&gt;="&amp;AA7,'1SI9BW'!$E$6:$E$2989,"&lt;="&amp;EOMONTH(AA7,0))-SUMIFS('1SI9BW'!$D$6:$D$2989,'1SI9BW'!$E$6:$E$2989,"&gt;="&amp;AA7,'1SI9BW'!$E$6:$E$2989,"&lt;="&amp;EOMONTH(AA7,0),'1SI9BW'!$F$6:$F$2989,$B$14)-(SUMIFS('1SI9BW'!$D$6:$D$2989,'1SI9BW'!$E$6:$E$2989,"&gt;="&amp;AA7,'1SI9BW'!$E$6:$E$2989,"&lt;="&amp;EOMONTH(AA7,0),'1SI9BW'!$F$6:$F$2989,"Discount Rent")*2)-SUMIFS('1SI9BW'!$D$6:$D$2989,'1SI9BW'!$E$6:$E$2989,"&gt;="&amp;AA7,'1SI9BW'!$E$6:$E$2989,"&lt;="&amp;EOMONTH(AA7,0),'1SI9BW'!$F$6:$F$2989,"Bond Received")+SUMIFS(Suzuki!$D$6:$D$2989,Suzuki!$E$6:$E$2989,"&gt;="&amp;AA7,Suzuki!$E$6:$E$2989,"&lt;="&amp;EOMONTH(AA7,0))-SUMIFS(Suzuki!$D$6:$D$2989,Suzuki!$E$6:$E$2989,"&gt;="&amp;AA7,Suzuki!$E$6:$E$2989,"&lt;="&amp;EOMONTH(AA7,0),Suzuki!$F$6:$F$2989,$B$14)-(SUMIFS(Suzuki!$D$6:$D$2989,Suzuki!$E$6:$E$2989,"&gt;="&amp;AA7,Suzuki!$E$6:$E$2989,"&lt;="&amp;EOMONTH(AA7,0),Suzuki!$F$6:$F$2989,"Discount Rent")*2)-SUMIFS(Suzuki!$D$6:$D$2989,Suzuki!$E$6:$E$2989,"&gt;="&amp;AA7,Suzuki!$E$6:$E$2989,"&lt;="&amp;EOMONTH(AA7,0),Suzuki!$F$6:$F$2989,"Bond Received")+SUMIFS('1SK3DD'!$D$6:$D$2989,'1SK3DD'!$E$6:$E$2989,"&gt;="&amp;AA7,'1SK3DD'!$E$6:$E$2989,"&lt;="&amp;EOMONTH(AA7,0))-SUMIFS('1SK3DD'!$D$6:$D$2989,'1SK3DD'!$E$6:$E$2989,"&gt;="&amp;AA7,'1SK3DD'!$E$6:$E$2989,"&lt;="&amp;EOMONTH(AA7,0),'1SK3DD'!$F$6:$F$2989,$B$14)-(SUMIFS('1SK3DD'!$D$6:$D$2989,'1SK3DD'!$E$6:$E$2989,"&gt;="&amp;AA7,'1SK3DD'!$E$6:$E$2989,"&lt;="&amp;EOMONTH(AA7,0),'1SK3DD'!$F$6:$F$2989,"Discount Rent")*2)-SUMIFS('1SK3DD'!$D$6:$D$2989,'1SK3DD'!$E$6:$E$2989,"&gt;="&amp;AA7,'1SK3DD'!$E$6:$E$2989,"&lt;="&amp;EOMONTH(AA7,0),'1SK3DD'!$F$6:$F$2989,"Bond Received")+SUMIFS('1SX5TQ'!$D$6:$D$2989,'1SX5TQ'!$E$6:$E$2989,"&gt;="&amp;AA7,'1SX5TQ'!$E$6:$E$2989,"&lt;="&amp;EOMONTH(AA7,0))-SUMIFS('1SX5TQ'!$D$6:$D$2989,'1SX5TQ'!$E$6:$E$2989,"&gt;="&amp;AA7,'1SX5TQ'!$E$6:$E$2989,"&lt;="&amp;EOMONTH(AA7,0),'1SX5TQ'!$F$6:$F$2989,$B$14)-(SUMIFS('1SX5TQ'!$D$6:$D$2989,'1SX5TQ'!$E$6:$E$2989,"&gt;="&amp;AA7,'1SX5TQ'!$E$6:$E$2989,"&lt;="&amp;EOMONTH(AA7,0),'1SX5TQ'!$F$6:$F$2989,"Discount Rent")*2)-SUMIFS('1SX5TQ'!$D$6:$D$2989,'1SX5TQ'!$E$6:$E$2989,"&gt;="&amp;AA7,'1SX5TQ'!$E$6:$E$2989,"&lt;="&amp;EOMONTH(AA7,0),'1SX5TQ'!$F$6:$F$2989,"Bond Received")+SUMIFS('BMM465'!$D$6:$D$2989,'BMM465'!$E$6:$E$2989,"&gt;="&amp;AA7,'BMM465'!$E$6:$E$2989,"&lt;="&amp;EOMONTH(AA7,0))-SUMIFS('BMM465'!$D$6:$D$2989,'BMM465'!$E$6:$E$2989,"&gt;="&amp;AA7,'BMM465'!$E$6:$E$2989,"&lt;="&amp;EOMONTH(AA7,0),'BMM465'!$F$6:$F$2989,$B$14)-(SUMIFS('BMM465'!$D$6:$D$2989,'BMM465'!$E$6:$E$2989,"&gt;="&amp;AA7,'BMM465'!$E$6:$E$2989,"&lt;="&amp;EOMONTH(AA7,0),'BMM465'!$F$6:$F$2989,"Discount Rent")*2)-SUMIFS('BMM465'!$D$6:$D$2989,'BMM465'!$E$6:$E$2989,"&gt;="&amp;AA7,'BMM465'!$E$6:$E$2989,"&lt;="&amp;EOMONTH(AA7,0),'BMM465'!$F$6:$F$2989,"Bond Received")+SUMIFS('1CF1ZO'!$D$6:$D$2989,'1CF1ZO'!$E$6:$E$2989,"&gt;="&amp;AA7,'1CF1ZO'!$E$6:$E$2989,"&lt;="&amp;EOMONTH(AA7,0))-SUMIFS('1CF1ZO'!$D$6:$D$2989,'1CF1ZO'!$E$6:$E$2989,"&gt;="&amp;AA7,'1CF1ZO'!$E$6:$E$2989,"&lt;="&amp;EOMONTH(AA7,0),'1CF1ZO'!$F$6:$F$2989,$B$14)-(SUMIFS('1CF1ZO'!$D$6:$D$2989,'1CF1ZO'!$E$6:$E$2989,"&gt;="&amp;AA7,'1CF1ZO'!$E$6:$E$2989,"&lt;="&amp;EOMONTH(AA7,0),'1CF1ZO'!$F$6:$F$2989,"Discount Rent")*2)-SUMIFS('1CF1ZO'!$D$6:$D$2989,'1CF1ZO'!$E$6:$E$2989,"&gt;="&amp;AA7,'1CF1ZO'!$E$6:$E$2989,"&lt;="&amp;EOMONTH(AA7,0),'1CF1ZO'!$F$6:$F$2989,"Bond Received")+SUMIFS('1UK1BK'!$D$6:$D$2989,'1UK1BK'!$E$6:$E$2989,"&gt;="&amp;AA7,'1UK1BK'!$E$6:$E$2989,"&lt;="&amp;EOMONTH(AA7,0))-SUMIFS('1UK1BK'!$D$6:$D$2989,'1UK1BK'!$E$6:$E$2989,"&gt;="&amp;AA7,'1UK1BK'!$E$6:$E$2989,"&lt;="&amp;EOMONTH(AA7,0),'1UK1BK'!$F$6:$F$2989,$B$14)-(SUMIFS('1UK1BK'!$D$6:$D$2989,'1UK1BK'!$E$6:$E$2989,"&gt;="&amp;AA7,'1UK1BK'!$E$6:$E$2989,"&lt;="&amp;EOMONTH(AA7,0),'1UK1BK'!$F$6:$F$2989,"Discount Rent")*2)-SUMIFS('1UK1BK'!$D$6:$D$2989,'1UK1BK'!$E$6:$E$2989,"&gt;="&amp;AA7,'1UK1BK'!$E$6:$E$2989,"&lt;="&amp;EOMONTH(AA7,0),'1UK1BK'!$F$6:$F$2989,"Bond Received")</f>
        <v>#REF!</v>
      </c>
      <c r="AB11" s="108" t="e">
        <f>SUMIFS(#REF!,#REF!,"&gt;="&amp;AB7,#REF!,"&lt;="&amp;EOMONTH(AB7,0))-SUMIFS(#REF!,#REF!,"&gt;="&amp;AB7,#REF!,"&lt;="&amp;EOMONTH(AB7,0),#REF!,$B$14)-(SUMIFS(#REF!,#REF!,"&gt;="&amp;AB7,#REF!,"&lt;="&amp;EOMONTH(AB7,0),#REF!,"Discount Rent")*2)-SUMIFS(#REF!,#REF!,"&gt;="&amp;AB7,#REF!,"&lt;="&amp;EOMONTH(AB7,0),#REF!,"Bond Received")+SUMIFS('1JI2UE'!$D$6:$D$2989,'1JI2UE'!$E$6:$E$2989,"&gt;="&amp;AB7,'1JI2UE'!$E$6:$E$2989,"&lt;="&amp;EOMONTH(AB7,0))-SUMIFS('1JI2UE'!$D$6:$D$2989,'1JI2UE'!$E$6:$E$2989,"&gt;="&amp;AB7,'1JI2UE'!$E$6:$E$2989,"&lt;="&amp;EOMONTH(AB7,0),'1JI2UE'!$F$6:$F$2989,$B$14)-(SUMIFS('1JI2UE'!$D$6:$D$2989,'1JI2UE'!$E$6:$E$2989,"&gt;="&amp;AB7,'1JI2UE'!$E$6:$E$2989,"&lt;="&amp;EOMONTH(AB7,0),'1JI2UE'!$F$6:$F$2989,"Discount Rent")*2)-SUMIFS('1JI2UE'!$D$6:$D$2989,'1JI2UE'!$E$6:$E$2989,"&gt;="&amp;AB7,'1JI2UE'!$E$6:$E$2989,"&lt;="&amp;EOMONTH(AB7,0),'1JI2UE'!$F$6:$F$2989,"Bond Received")+SUMIFS(#REF!,#REF!,"&gt;="&amp;AB7,#REF!,"&lt;="&amp;EOMONTH(AB7,0))-SUMIFS(#REF!,#REF!,"&gt;="&amp;AB7,#REF!,"&lt;="&amp;EOMONTH(AB7,0),#REF!,$B$14)-(SUMIFS(#REF!,#REF!,"&gt;="&amp;AB7,#REF!,"&lt;="&amp;EOMONTH(AB7,0),#REF!,"Discount Rent")*2)-SUMIFS(#REF!,#REF!,"&gt;="&amp;AB7,#REF!,"&lt;="&amp;EOMONTH(AB7,0),#REF!,"Bond Received")+SUMIFS('1SI9BW'!$D$6:$D$2989,'1SI9BW'!$E$6:$E$2989,"&gt;="&amp;AB7,'1SI9BW'!$E$6:$E$2989,"&lt;="&amp;EOMONTH(AB7,0))-SUMIFS('1SI9BW'!$D$6:$D$2989,'1SI9BW'!$E$6:$E$2989,"&gt;="&amp;AB7,'1SI9BW'!$E$6:$E$2989,"&lt;="&amp;EOMONTH(AB7,0),'1SI9BW'!$F$6:$F$2989,$B$14)-(SUMIFS('1SI9BW'!$D$6:$D$2989,'1SI9BW'!$E$6:$E$2989,"&gt;="&amp;AB7,'1SI9BW'!$E$6:$E$2989,"&lt;="&amp;EOMONTH(AB7,0),'1SI9BW'!$F$6:$F$2989,"Discount Rent")*2)-SUMIFS('1SI9BW'!$D$6:$D$2989,'1SI9BW'!$E$6:$E$2989,"&gt;="&amp;AB7,'1SI9BW'!$E$6:$E$2989,"&lt;="&amp;EOMONTH(AB7,0),'1SI9BW'!$F$6:$F$2989,"Bond Received")+SUMIFS(Suzuki!$D$6:$D$2989,Suzuki!$E$6:$E$2989,"&gt;="&amp;AB7,Suzuki!$E$6:$E$2989,"&lt;="&amp;EOMONTH(AB7,0))-SUMIFS(Suzuki!$D$6:$D$2989,Suzuki!$E$6:$E$2989,"&gt;="&amp;AB7,Suzuki!$E$6:$E$2989,"&lt;="&amp;EOMONTH(AB7,0),Suzuki!$F$6:$F$2989,$B$14)-(SUMIFS(Suzuki!$D$6:$D$2989,Suzuki!$E$6:$E$2989,"&gt;="&amp;AB7,Suzuki!$E$6:$E$2989,"&lt;="&amp;EOMONTH(AB7,0),Suzuki!$F$6:$F$2989,"Discount Rent")*2)-SUMIFS(Suzuki!$D$6:$D$2989,Suzuki!$E$6:$E$2989,"&gt;="&amp;AB7,Suzuki!$E$6:$E$2989,"&lt;="&amp;EOMONTH(AB7,0),Suzuki!$F$6:$F$2989,"Bond Received")+SUMIFS('1SK3DD'!$D$6:$D$2989,'1SK3DD'!$E$6:$E$2989,"&gt;="&amp;AB7,'1SK3DD'!$E$6:$E$2989,"&lt;="&amp;EOMONTH(AB7,0))-SUMIFS('1SK3DD'!$D$6:$D$2989,'1SK3DD'!$E$6:$E$2989,"&gt;="&amp;AB7,'1SK3DD'!$E$6:$E$2989,"&lt;="&amp;EOMONTH(AB7,0),'1SK3DD'!$F$6:$F$2989,$B$14)-(SUMIFS('1SK3DD'!$D$6:$D$2989,'1SK3DD'!$E$6:$E$2989,"&gt;="&amp;AB7,'1SK3DD'!$E$6:$E$2989,"&lt;="&amp;EOMONTH(AB7,0),'1SK3DD'!$F$6:$F$2989,"Discount Rent")*2)-SUMIFS('1SK3DD'!$D$6:$D$2989,'1SK3DD'!$E$6:$E$2989,"&gt;="&amp;AB7,'1SK3DD'!$E$6:$E$2989,"&lt;="&amp;EOMONTH(AB7,0),'1SK3DD'!$F$6:$F$2989,"Bond Received")+SUMIFS('1SX5TQ'!$D$6:$D$2989,'1SX5TQ'!$E$6:$E$2989,"&gt;="&amp;AB7,'1SX5TQ'!$E$6:$E$2989,"&lt;="&amp;EOMONTH(AB7,0))-SUMIFS('1SX5TQ'!$D$6:$D$2989,'1SX5TQ'!$E$6:$E$2989,"&gt;="&amp;AB7,'1SX5TQ'!$E$6:$E$2989,"&lt;="&amp;EOMONTH(AB7,0),'1SX5TQ'!$F$6:$F$2989,$B$14)-(SUMIFS('1SX5TQ'!$D$6:$D$2989,'1SX5TQ'!$E$6:$E$2989,"&gt;="&amp;AB7,'1SX5TQ'!$E$6:$E$2989,"&lt;="&amp;EOMONTH(AB7,0),'1SX5TQ'!$F$6:$F$2989,"Discount Rent")*2)-SUMIFS('1SX5TQ'!$D$6:$D$2989,'1SX5TQ'!$E$6:$E$2989,"&gt;="&amp;AB7,'1SX5TQ'!$E$6:$E$2989,"&lt;="&amp;EOMONTH(AB7,0),'1SX5TQ'!$F$6:$F$2989,"Bond Received")+SUMIFS('BMM465'!$D$6:$D$2989,'BMM465'!$E$6:$E$2989,"&gt;="&amp;AB7,'BMM465'!$E$6:$E$2989,"&lt;="&amp;EOMONTH(AB7,0))-SUMIFS('BMM465'!$D$6:$D$2989,'BMM465'!$E$6:$E$2989,"&gt;="&amp;AB7,'BMM465'!$E$6:$E$2989,"&lt;="&amp;EOMONTH(AB7,0),'BMM465'!$F$6:$F$2989,$B$14)-(SUMIFS('BMM465'!$D$6:$D$2989,'BMM465'!$E$6:$E$2989,"&gt;="&amp;AB7,'BMM465'!$E$6:$E$2989,"&lt;="&amp;EOMONTH(AB7,0),'BMM465'!$F$6:$F$2989,"Discount Rent")*2)-SUMIFS('BMM465'!$D$6:$D$2989,'BMM465'!$E$6:$E$2989,"&gt;="&amp;AB7,'BMM465'!$E$6:$E$2989,"&lt;="&amp;EOMONTH(AB7,0),'BMM465'!$F$6:$F$2989,"Bond Received")+SUMIFS('1CF1ZO'!$D$6:$D$2989,'1CF1ZO'!$E$6:$E$2989,"&gt;="&amp;AB7,'1CF1ZO'!$E$6:$E$2989,"&lt;="&amp;EOMONTH(AB7,0))-SUMIFS('1CF1ZO'!$D$6:$D$2989,'1CF1ZO'!$E$6:$E$2989,"&gt;="&amp;AB7,'1CF1ZO'!$E$6:$E$2989,"&lt;="&amp;EOMONTH(AB7,0),'1CF1ZO'!$F$6:$F$2989,$B$14)-(SUMIFS('1CF1ZO'!$D$6:$D$2989,'1CF1ZO'!$E$6:$E$2989,"&gt;="&amp;AB7,'1CF1ZO'!$E$6:$E$2989,"&lt;="&amp;EOMONTH(AB7,0),'1CF1ZO'!$F$6:$F$2989,"Discount Rent")*2)-SUMIFS('1CF1ZO'!$D$6:$D$2989,'1CF1ZO'!$E$6:$E$2989,"&gt;="&amp;AB7,'1CF1ZO'!$E$6:$E$2989,"&lt;="&amp;EOMONTH(AB7,0),'1CF1ZO'!$F$6:$F$2989,"Bond Received")+SUMIFS('1UK1BK'!$D$6:$D$2989,'1UK1BK'!$E$6:$E$2989,"&gt;="&amp;AB7,'1UK1BK'!$E$6:$E$2989,"&lt;="&amp;EOMONTH(AB7,0))-SUMIFS('1UK1BK'!$D$6:$D$2989,'1UK1BK'!$E$6:$E$2989,"&gt;="&amp;AB7,'1UK1BK'!$E$6:$E$2989,"&lt;="&amp;EOMONTH(AB7,0),'1UK1BK'!$F$6:$F$2989,$B$14)-(SUMIFS('1UK1BK'!$D$6:$D$2989,'1UK1BK'!$E$6:$E$2989,"&gt;="&amp;AB7,'1UK1BK'!$E$6:$E$2989,"&lt;="&amp;EOMONTH(AB7,0),'1UK1BK'!$F$6:$F$2989,"Discount Rent")*2)-SUMIFS('1UK1BK'!$D$6:$D$2989,'1UK1BK'!$E$6:$E$2989,"&gt;="&amp;AB7,'1UK1BK'!$E$6:$E$2989,"&lt;="&amp;EOMONTH(AB7,0),'1UK1BK'!$F$6:$F$2989,"Bond Received")</f>
        <v>#REF!</v>
      </c>
      <c r="AC11" s="108" t="e">
        <f>SUMIFS(#REF!,#REF!,"&gt;="&amp;AC7,#REF!,"&lt;="&amp;EOMONTH(AC7,0))-SUMIFS(#REF!,#REF!,"&gt;="&amp;AC7,#REF!,"&lt;="&amp;EOMONTH(AC7,0),#REF!,$B$14)-(SUMIFS(#REF!,#REF!,"&gt;="&amp;AC7,#REF!,"&lt;="&amp;EOMONTH(AC7,0),#REF!,"Discount Rent")*2)-SUMIFS(#REF!,#REF!,"&gt;="&amp;AC7,#REF!,"&lt;="&amp;EOMONTH(AC7,0),#REF!,"Bond Received")+SUMIFS('1JI2UE'!$D$6:$D$2989,'1JI2UE'!$E$6:$E$2989,"&gt;="&amp;AC7,'1JI2UE'!$E$6:$E$2989,"&lt;="&amp;EOMONTH(AC7,0))-SUMIFS('1JI2UE'!$D$6:$D$2989,'1JI2UE'!$E$6:$E$2989,"&gt;="&amp;AC7,'1JI2UE'!$E$6:$E$2989,"&lt;="&amp;EOMONTH(AC7,0),'1JI2UE'!$F$6:$F$2989,$B$14)-(SUMIFS('1JI2UE'!$D$6:$D$2989,'1JI2UE'!$E$6:$E$2989,"&gt;="&amp;AC7,'1JI2UE'!$E$6:$E$2989,"&lt;="&amp;EOMONTH(AC7,0),'1JI2UE'!$F$6:$F$2989,"Discount Rent")*2)-SUMIFS('1JI2UE'!$D$6:$D$2989,'1JI2UE'!$E$6:$E$2989,"&gt;="&amp;AC7,'1JI2UE'!$E$6:$E$2989,"&lt;="&amp;EOMONTH(AC7,0),'1JI2UE'!$F$6:$F$2989,"Bond Received")+SUMIFS(#REF!,#REF!,"&gt;="&amp;AC7,#REF!,"&lt;="&amp;EOMONTH(AC7,0))-SUMIFS(#REF!,#REF!,"&gt;="&amp;AC7,#REF!,"&lt;="&amp;EOMONTH(AC7,0),#REF!,$B$14)-(SUMIFS(#REF!,#REF!,"&gt;="&amp;AC7,#REF!,"&lt;="&amp;EOMONTH(AC7,0),#REF!,"Discount Rent")*2)-SUMIFS(#REF!,#REF!,"&gt;="&amp;AC7,#REF!,"&lt;="&amp;EOMONTH(AC7,0),#REF!,"Bond Received")+SUMIFS('1SI9BW'!$D$6:$D$2989,'1SI9BW'!$E$6:$E$2989,"&gt;="&amp;AC7,'1SI9BW'!$E$6:$E$2989,"&lt;="&amp;EOMONTH(AC7,0))-SUMIFS('1SI9BW'!$D$6:$D$2989,'1SI9BW'!$E$6:$E$2989,"&gt;="&amp;AC7,'1SI9BW'!$E$6:$E$2989,"&lt;="&amp;EOMONTH(AC7,0),'1SI9BW'!$F$6:$F$2989,$B$14)-(SUMIFS('1SI9BW'!$D$6:$D$2989,'1SI9BW'!$E$6:$E$2989,"&gt;="&amp;AC7,'1SI9BW'!$E$6:$E$2989,"&lt;="&amp;EOMONTH(AC7,0),'1SI9BW'!$F$6:$F$2989,"Discount Rent")*2)-SUMIFS('1SI9BW'!$D$6:$D$2989,'1SI9BW'!$E$6:$E$2989,"&gt;="&amp;AC7,'1SI9BW'!$E$6:$E$2989,"&lt;="&amp;EOMONTH(AC7,0),'1SI9BW'!$F$6:$F$2989,"Bond Received")+SUMIFS(Suzuki!$D$6:$D$2989,Suzuki!$E$6:$E$2989,"&gt;="&amp;AC7,Suzuki!$E$6:$E$2989,"&lt;="&amp;EOMONTH(AC7,0))-SUMIFS(Suzuki!$D$6:$D$2989,Suzuki!$E$6:$E$2989,"&gt;="&amp;AC7,Suzuki!$E$6:$E$2989,"&lt;="&amp;EOMONTH(AC7,0),Suzuki!$F$6:$F$2989,$B$14)-(SUMIFS(Suzuki!$D$6:$D$2989,Suzuki!$E$6:$E$2989,"&gt;="&amp;AC7,Suzuki!$E$6:$E$2989,"&lt;="&amp;EOMONTH(AC7,0),Suzuki!$F$6:$F$2989,"Discount Rent")*2)-SUMIFS(Suzuki!$D$6:$D$2989,Suzuki!$E$6:$E$2989,"&gt;="&amp;AC7,Suzuki!$E$6:$E$2989,"&lt;="&amp;EOMONTH(AC7,0),Suzuki!$F$6:$F$2989,"Bond Received")+SUMIFS('1SK3DD'!$D$6:$D$2989,'1SK3DD'!$E$6:$E$2989,"&gt;="&amp;AC7,'1SK3DD'!$E$6:$E$2989,"&lt;="&amp;EOMONTH(AC7,0))-SUMIFS('1SK3DD'!$D$6:$D$2989,'1SK3DD'!$E$6:$E$2989,"&gt;="&amp;AC7,'1SK3DD'!$E$6:$E$2989,"&lt;="&amp;EOMONTH(AC7,0),'1SK3DD'!$F$6:$F$2989,$B$14)-(SUMIFS('1SK3DD'!$D$6:$D$2989,'1SK3DD'!$E$6:$E$2989,"&gt;="&amp;AC7,'1SK3DD'!$E$6:$E$2989,"&lt;="&amp;EOMONTH(AC7,0),'1SK3DD'!$F$6:$F$2989,"Discount Rent")*2)-SUMIFS('1SK3DD'!$D$6:$D$2989,'1SK3DD'!$E$6:$E$2989,"&gt;="&amp;AC7,'1SK3DD'!$E$6:$E$2989,"&lt;="&amp;EOMONTH(AC7,0),'1SK3DD'!$F$6:$F$2989,"Bond Received")+SUMIFS('1SX5TQ'!$D$6:$D$2989,'1SX5TQ'!$E$6:$E$2989,"&gt;="&amp;AC7,'1SX5TQ'!$E$6:$E$2989,"&lt;="&amp;EOMONTH(AC7,0))-SUMIFS('1SX5TQ'!$D$6:$D$2989,'1SX5TQ'!$E$6:$E$2989,"&gt;="&amp;AC7,'1SX5TQ'!$E$6:$E$2989,"&lt;="&amp;EOMONTH(AC7,0),'1SX5TQ'!$F$6:$F$2989,$B$14)-(SUMIFS('1SX5TQ'!$D$6:$D$2989,'1SX5TQ'!$E$6:$E$2989,"&gt;="&amp;AC7,'1SX5TQ'!$E$6:$E$2989,"&lt;="&amp;EOMONTH(AC7,0),'1SX5TQ'!$F$6:$F$2989,"Discount Rent")*2)-SUMIFS('1SX5TQ'!$D$6:$D$2989,'1SX5TQ'!$E$6:$E$2989,"&gt;="&amp;AC7,'1SX5TQ'!$E$6:$E$2989,"&lt;="&amp;EOMONTH(AC7,0),'1SX5TQ'!$F$6:$F$2989,"Bond Received")+SUMIFS('BMM465'!$D$6:$D$2989,'BMM465'!$E$6:$E$2989,"&gt;="&amp;AC7,'BMM465'!$E$6:$E$2989,"&lt;="&amp;EOMONTH(AC7,0))-SUMIFS('BMM465'!$D$6:$D$2989,'BMM465'!$E$6:$E$2989,"&gt;="&amp;AC7,'BMM465'!$E$6:$E$2989,"&lt;="&amp;EOMONTH(AC7,0),'BMM465'!$F$6:$F$2989,$B$14)-(SUMIFS('BMM465'!$D$6:$D$2989,'BMM465'!$E$6:$E$2989,"&gt;="&amp;AC7,'BMM465'!$E$6:$E$2989,"&lt;="&amp;EOMONTH(AC7,0),'BMM465'!$F$6:$F$2989,"Discount Rent")*2)-SUMIFS('BMM465'!$D$6:$D$2989,'BMM465'!$E$6:$E$2989,"&gt;="&amp;AC7,'BMM465'!$E$6:$E$2989,"&lt;="&amp;EOMONTH(AC7,0),'BMM465'!$F$6:$F$2989,"Bond Received")+SUMIFS('1CF1ZO'!$D$6:$D$2989,'1CF1ZO'!$E$6:$E$2989,"&gt;="&amp;AC7,'1CF1ZO'!$E$6:$E$2989,"&lt;="&amp;EOMONTH(AC7,0))-SUMIFS('1CF1ZO'!$D$6:$D$2989,'1CF1ZO'!$E$6:$E$2989,"&gt;="&amp;AC7,'1CF1ZO'!$E$6:$E$2989,"&lt;="&amp;EOMONTH(AC7,0),'1CF1ZO'!$F$6:$F$2989,$B$14)-(SUMIFS('1CF1ZO'!$D$6:$D$2989,'1CF1ZO'!$E$6:$E$2989,"&gt;="&amp;AC7,'1CF1ZO'!$E$6:$E$2989,"&lt;="&amp;EOMONTH(AC7,0),'1CF1ZO'!$F$6:$F$2989,"Discount Rent")*2)-SUMIFS('1CF1ZO'!$D$6:$D$2989,'1CF1ZO'!$E$6:$E$2989,"&gt;="&amp;AC7,'1CF1ZO'!$E$6:$E$2989,"&lt;="&amp;EOMONTH(AC7,0),'1CF1ZO'!$F$6:$F$2989,"Bond Received")+SUMIFS('1UK1BK'!$D$6:$D$2989,'1UK1BK'!$E$6:$E$2989,"&gt;="&amp;AC7,'1UK1BK'!$E$6:$E$2989,"&lt;="&amp;EOMONTH(AC7,0))-SUMIFS('1UK1BK'!$D$6:$D$2989,'1UK1BK'!$E$6:$E$2989,"&gt;="&amp;AC7,'1UK1BK'!$E$6:$E$2989,"&lt;="&amp;EOMONTH(AC7,0),'1UK1BK'!$F$6:$F$2989,$B$14)-(SUMIFS('1UK1BK'!$D$6:$D$2989,'1UK1BK'!$E$6:$E$2989,"&gt;="&amp;AC7,'1UK1BK'!$E$6:$E$2989,"&lt;="&amp;EOMONTH(AC7,0),'1UK1BK'!$F$6:$F$2989,"Discount Rent")*2)-SUMIFS('1UK1BK'!$D$6:$D$2989,'1UK1BK'!$E$6:$E$2989,"&gt;="&amp;AC7,'1UK1BK'!$E$6:$E$2989,"&lt;="&amp;EOMONTH(AC7,0),'1UK1BK'!$F$6:$F$2989,"Bond Received")</f>
        <v>#REF!</v>
      </c>
      <c r="AD11" s="108" t="e">
        <f>SUMIFS(#REF!,#REF!,"&gt;="&amp;AD7,#REF!,"&lt;="&amp;EOMONTH(AD7,0))-SUMIFS(#REF!,#REF!,"&gt;="&amp;AD7,#REF!,"&lt;="&amp;EOMONTH(AD7,0),#REF!,$B$14)-(SUMIFS(#REF!,#REF!,"&gt;="&amp;AD7,#REF!,"&lt;="&amp;EOMONTH(AD7,0),#REF!,"Discount Rent")*2)-SUMIFS(#REF!,#REF!,"&gt;="&amp;AD7,#REF!,"&lt;="&amp;EOMONTH(AD7,0),#REF!,"Bond Received")+SUMIFS('1JI2UE'!$D$6:$D$2989,'1JI2UE'!$E$6:$E$2989,"&gt;="&amp;AD7,'1JI2UE'!$E$6:$E$2989,"&lt;="&amp;EOMONTH(AD7,0))-SUMIFS('1JI2UE'!$D$6:$D$2989,'1JI2UE'!$E$6:$E$2989,"&gt;="&amp;AD7,'1JI2UE'!$E$6:$E$2989,"&lt;="&amp;EOMONTH(AD7,0),'1JI2UE'!$F$6:$F$2989,$B$14)-(SUMIFS('1JI2UE'!$D$6:$D$2989,'1JI2UE'!$E$6:$E$2989,"&gt;="&amp;AD7,'1JI2UE'!$E$6:$E$2989,"&lt;="&amp;EOMONTH(AD7,0),'1JI2UE'!$F$6:$F$2989,"Discount Rent")*2)-SUMIFS('1JI2UE'!$D$6:$D$2989,'1JI2UE'!$E$6:$E$2989,"&gt;="&amp;AD7,'1JI2UE'!$E$6:$E$2989,"&lt;="&amp;EOMONTH(AD7,0),'1JI2UE'!$F$6:$F$2989,"Bond Received")+SUMIFS(#REF!,#REF!,"&gt;="&amp;AD7,#REF!,"&lt;="&amp;EOMONTH(AD7,0))-SUMIFS(#REF!,#REF!,"&gt;="&amp;AD7,#REF!,"&lt;="&amp;EOMONTH(AD7,0),#REF!,$B$14)-(SUMIFS(#REF!,#REF!,"&gt;="&amp;AD7,#REF!,"&lt;="&amp;EOMONTH(AD7,0),#REF!,"Discount Rent")*2)-SUMIFS(#REF!,#REF!,"&gt;="&amp;AD7,#REF!,"&lt;="&amp;EOMONTH(AD7,0),#REF!,"Bond Received")+SUMIFS('1SI9BW'!$D$6:$D$2989,'1SI9BW'!$E$6:$E$2989,"&gt;="&amp;AD7,'1SI9BW'!$E$6:$E$2989,"&lt;="&amp;EOMONTH(AD7,0))-SUMIFS('1SI9BW'!$D$6:$D$2989,'1SI9BW'!$E$6:$E$2989,"&gt;="&amp;AD7,'1SI9BW'!$E$6:$E$2989,"&lt;="&amp;EOMONTH(AD7,0),'1SI9BW'!$F$6:$F$2989,$B$14)-(SUMIFS('1SI9BW'!$D$6:$D$2989,'1SI9BW'!$E$6:$E$2989,"&gt;="&amp;AD7,'1SI9BW'!$E$6:$E$2989,"&lt;="&amp;EOMONTH(AD7,0),'1SI9BW'!$F$6:$F$2989,"Discount Rent")*2)-SUMIFS('1SI9BW'!$D$6:$D$2989,'1SI9BW'!$E$6:$E$2989,"&gt;="&amp;AD7,'1SI9BW'!$E$6:$E$2989,"&lt;="&amp;EOMONTH(AD7,0),'1SI9BW'!$F$6:$F$2989,"Bond Received")+SUMIFS(Suzuki!$D$6:$D$2989,Suzuki!$E$6:$E$2989,"&gt;="&amp;AD7,Suzuki!$E$6:$E$2989,"&lt;="&amp;EOMONTH(AD7,0))-SUMIFS(Suzuki!$D$6:$D$2989,Suzuki!$E$6:$E$2989,"&gt;="&amp;AD7,Suzuki!$E$6:$E$2989,"&lt;="&amp;EOMONTH(AD7,0),Suzuki!$F$6:$F$2989,$B$14)-(SUMIFS(Suzuki!$D$6:$D$2989,Suzuki!$E$6:$E$2989,"&gt;="&amp;AD7,Suzuki!$E$6:$E$2989,"&lt;="&amp;EOMONTH(AD7,0),Suzuki!$F$6:$F$2989,"Discount Rent")*2)-SUMIFS(Suzuki!$D$6:$D$2989,Suzuki!$E$6:$E$2989,"&gt;="&amp;AD7,Suzuki!$E$6:$E$2989,"&lt;="&amp;EOMONTH(AD7,0),Suzuki!$F$6:$F$2989,"Bond Received")+SUMIFS('1SK3DD'!$D$6:$D$2989,'1SK3DD'!$E$6:$E$2989,"&gt;="&amp;AD7,'1SK3DD'!$E$6:$E$2989,"&lt;="&amp;EOMONTH(AD7,0))-SUMIFS('1SK3DD'!$D$6:$D$2989,'1SK3DD'!$E$6:$E$2989,"&gt;="&amp;AD7,'1SK3DD'!$E$6:$E$2989,"&lt;="&amp;EOMONTH(AD7,0),'1SK3DD'!$F$6:$F$2989,$B$14)-(SUMIFS('1SK3DD'!$D$6:$D$2989,'1SK3DD'!$E$6:$E$2989,"&gt;="&amp;AD7,'1SK3DD'!$E$6:$E$2989,"&lt;="&amp;EOMONTH(AD7,0),'1SK3DD'!$F$6:$F$2989,"Discount Rent")*2)-SUMIFS('1SK3DD'!$D$6:$D$2989,'1SK3DD'!$E$6:$E$2989,"&gt;="&amp;AD7,'1SK3DD'!$E$6:$E$2989,"&lt;="&amp;EOMONTH(AD7,0),'1SK3DD'!$F$6:$F$2989,"Bond Received")+SUMIFS('1SX5TQ'!$D$6:$D$2989,'1SX5TQ'!$E$6:$E$2989,"&gt;="&amp;AD7,'1SX5TQ'!$E$6:$E$2989,"&lt;="&amp;EOMONTH(AD7,0))-SUMIFS('1SX5TQ'!$D$6:$D$2989,'1SX5TQ'!$E$6:$E$2989,"&gt;="&amp;AD7,'1SX5TQ'!$E$6:$E$2989,"&lt;="&amp;EOMONTH(AD7,0),'1SX5TQ'!$F$6:$F$2989,$B$14)-(SUMIFS('1SX5TQ'!$D$6:$D$2989,'1SX5TQ'!$E$6:$E$2989,"&gt;="&amp;AD7,'1SX5TQ'!$E$6:$E$2989,"&lt;="&amp;EOMONTH(AD7,0),'1SX5TQ'!$F$6:$F$2989,"Discount Rent")*2)-SUMIFS('1SX5TQ'!$D$6:$D$2989,'1SX5TQ'!$E$6:$E$2989,"&gt;="&amp;AD7,'1SX5TQ'!$E$6:$E$2989,"&lt;="&amp;EOMONTH(AD7,0),'1SX5TQ'!$F$6:$F$2989,"Bond Received")+SUMIFS('BMM465'!$D$6:$D$2989,'BMM465'!$E$6:$E$2989,"&gt;="&amp;AD7,'BMM465'!$E$6:$E$2989,"&lt;="&amp;EOMONTH(AD7,0))-SUMIFS('BMM465'!$D$6:$D$2989,'BMM465'!$E$6:$E$2989,"&gt;="&amp;AD7,'BMM465'!$E$6:$E$2989,"&lt;="&amp;EOMONTH(AD7,0),'BMM465'!$F$6:$F$2989,$B$14)-(SUMIFS('BMM465'!$D$6:$D$2989,'BMM465'!$E$6:$E$2989,"&gt;="&amp;AD7,'BMM465'!$E$6:$E$2989,"&lt;="&amp;EOMONTH(AD7,0),'BMM465'!$F$6:$F$2989,"Discount Rent")*2)-SUMIFS('BMM465'!$D$6:$D$2989,'BMM465'!$E$6:$E$2989,"&gt;="&amp;AD7,'BMM465'!$E$6:$E$2989,"&lt;="&amp;EOMONTH(AD7,0),'BMM465'!$F$6:$F$2989,"Bond Received")+SUMIFS('1CF1ZO'!$D$6:$D$2989,'1CF1ZO'!$E$6:$E$2989,"&gt;="&amp;AD7,'1CF1ZO'!$E$6:$E$2989,"&lt;="&amp;EOMONTH(AD7,0))-SUMIFS('1CF1ZO'!$D$6:$D$2989,'1CF1ZO'!$E$6:$E$2989,"&gt;="&amp;AD7,'1CF1ZO'!$E$6:$E$2989,"&lt;="&amp;EOMONTH(AD7,0),'1CF1ZO'!$F$6:$F$2989,$B$14)-(SUMIFS('1CF1ZO'!$D$6:$D$2989,'1CF1ZO'!$E$6:$E$2989,"&gt;="&amp;AD7,'1CF1ZO'!$E$6:$E$2989,"&lt;="&amp;EOMONTH(AD7,0),'1CF1ZO'!$F$6:$F$2989,"Discount Rent")*2)-SUMIFS('1CF1ZO'!$D$6:$D$2989,'1CF1ZO'!$E$6:$E$2989,"&gt;="&amp;AD7,'1CF1ZO'!$E$6:$E$2989,"&lt;="&amp;EOMONTH(AD7,0),'1CF1ZO'!$F$6:$F$2989,"Bond Received")+SUMIFS('1UK1BK'!$D$6:$D$2989,'1UK1BK'!$E$6:$E$2989,"&gt;="&amp;AD7,'1UK1BK'!$E$6:$E$2989,"&lt;="&amp;EOMONTH(AD7,0))-SUMIFS('1UK1BK'!$D$6:$D$2989,'1UK1BK'!$E$6:$E$2989,"&gt;="&amp;AD7,'1UK1BK'!$E$6:$E$2989,"&lt;="&amp;EOMONTH(AD7,0),'1UK1BK'!$F$6:$F$2989,$B$14)-(SUMIFS('1UK1BK'!$D$6:$D$2989,'1UK1BK'!$E$6:$E$2989,"&gt;="&amp;AD7,'1UK1BK'!$E$6:$E$2989,"&lt;="&amp;EOMONTH(AD7,0),'1UK1BK'!$F$6:$F$2989,"Discount Rent")*2)-SUMIFS('1UK1BK'!$D$6:$D$2989,'1UK1BK'!$E$6:$E$2989,"&gt;="&amp;AD7,'1UK1BK'!$E$6:$E$2989,"&lt;="&amp;EOMONTH(AD7,0),'1UK1BK'!$F$6:$F$2989,"Bond Received")</f>
        <v>#REF!</v>
      </c>
      <c r="AE11" s="108" t="e">
        <f>SUMIFS(#REF!,#REF!,"&gt;="&amp;AE7,#REF!,"&lt;="&amp;EOMONTH(AE7,0))-SUMIFS(#REF!,#REF!,"&gt;="&amp;AE7,#REF!,"&lt;="&amp;EOMONTH(AE7,0),#REF!,$B$14)-(SUMIFS(#REF!,#REF!,"&gt;="&amp;AE7,#REF!,"&lt;="&amp;EOMONTH(AE7,0),#REF!,"Discount Rent")*2)-SUMIFS(#REF!,#REF!,"&gt;="&amp;AE7,#REF!,"&lt;="&amp;EOMONTH(AE7,0),#REF!,"Bond Received")+SUMIFS('1JI2UE'!$D$6:$D$2989,'1JI2UE'!$E$6:$E$2989,"&gt;="&amp;AE7,'1JI2UE'!$E$6:$E$2989,"&lt;="&amp;EOMONTH(AE7,0))-SUMIFS('1JI2UE'!$D$6:$D$2989,'1JI2UE'!$E$6:$E$2989,"&gt;="&amp;AE7,'1JI2UE'!$E$6:$E$2989,"&lt;="&amp;EOMONTH(AE7,0),'1JI2UE'!$F$6:$F$2989,$B$14)-(SUMIFS('1JI2UE'!$D$6:$D$2989,'1JI2UE'!$E$6:$E$2989,"&gt;="&amp;AE7,'1JI2UE'!$E$6:$E$2989,"&lt;="&amp;EOMONTH(AE7,0),'1JI2UE'!$F$6:$F$2989,"Discount Rent")*2)-SUMIFS('1JI2UE'!$D$6:$D$2989,'1JI2UE'!$E$6:$E$2989,"&gt;="&amp;AE7,'1JI2UE'!$E$6:$E$2989,"&lt;="&amp;EOMONTH(AE7,0),'1JI2UE'!$F$6:$F$2989,"Bond Received")+SUMIFS(#REF!,#REF!,"&gt;="&amp;AE7,#REF!,"&lt;="&amp;EOMONTH(AE7,0))-SUMIFS(#REF!,#REF!,"&gt;="&amp;AE7,#REF!,"&lt;="&amp;EOMONTH(AE7,0),#REF!,$B$14)-(SUMIFS(#REF!,#REF!,"&gt;="&amp;AE7,#REF!,"&lt;="&amp;EOMONTH(AE7,0),#REF!,"Discount Rent")*2)-SUMIFS(#REF!,#REF!,"&gt;="&amp;AE7,#REF!,"&lt;="&amp;EOMONTH(AE7,0),#REF!,"Bond Received")+SUMIFS('1SI9BW'!$D$6:$D$2989,'1SI9BW'!$E$6:$E$2989,"&gt;="&amp;AE7,'1SI9BW'!$E$6:$E$2989,"&lt;="&amp;EOMONTH(AE7,0))-SUMIFS('1SI9BW'!$D$6:$D$2989,'1SI9BW'!$E$6:$E$2989,"&gt;="&amp;AE7,'1SI9BW'!$E$6:$E$2989,"&lt;="&amp;EOMONTH(AE7,0),'1SI9BW'!$F$6:$F$2989,$B$14)-(SUMIFS('1SI9BW'!$D$6:$D$2989,'1SI9BW'!$E$6:$E$2989,"&gt;="&amp;AE7,'1SI9BW'!$E$6:$E$2989,"&lt;="&amp;EOMONTH(AE7,0),'1SI9BW'!$F$6:$F$2989,"Discount Rent")*2)-SUMIFS('1SI9BW'!$D$6:$D$2989,'1SI9BW'!$E$6:$E$2989,"&gt;="&amp;AE7,'1SI9BW'!$E$6:$E$2989,"&lt;="&amp;EOMONTH(AE7,0),'1SI9BW'!$F$6:$F$2989,"Bond Received")+SUMIFS(Suzuki!$D$6:$D$2989,Suzuki!$E$6:$E$2989,"&gt;="&amp;AE7,Suzuki!$E$6:$E$2989,"&lt;="&amp;EOMONTH(AE7,0))-SUMIFS(Suzuki!$D$6:$D$2989,Suzuki!$E$6:$E$2989,"&gt;="&amp;AE7,Suzuki!$E$6:$E$2989,"&lt;="&amp;EOMONTH(AE7,0),Suzuki!$F$6:$F$2989,$B$14)-(SUMIFS(Suzuki!$D$6:$D$2989,Suzuki!$E$6:$E$2989,"&gt;="&amp;AE7,Suzuki!$E$6:$E$2989,"&lt;="&amp;EOMONTH(AE7,0),Suzuki!$F$6:$F$2989,"Discount Rent")*2)-SUMIFS(Suzuki!$D$6:$D$2989,Suzuki!$E$6:$E$2989,"&gt;="&amp;AE7,Suzuki!$E$6:$E$2989,"&lt;="&amp;EOMONTH(AE7,0),Suzuki!$F$6:$F$2989,"Bond Received")+SUMIFS('1SK3DD'!$D$6:$D$2989,'1SK3DD'!$E$6:$E$2989,"&gt;="&amp;AE7,'1SK3DD'!$E$6:$E$2989,"&lt;="&amp;EOMONTH(AE7,0))-SUMIFS('1SK3DD'!$D$6:$D$2989,'1SK3DD'!$E$6:$E$2989,"&gt;="&amp;AE7,'1SK3DD'!$E$6:$E$2989,"&lt;="&amp;EOMONTH(AE7,0),'1SK3DD'!$F$6:$F$2989,$B$14)-(SUMIFS('1SK3DD'!$D$6:$D$2989,'1SK3DD'!$E$6:$E$2989,"&gt;="&amp;AE7,'1SK3DD'!$E$6:$E$2989,"&lt;="&amp;EOMONTH(AE7,0),'1SK3DD'!$F$6:$F$2989,"Discount Rent")*2)-SUMIFS('1SK3DD'!$D$6:$D$2989,'1SK3DD'!$E$6:$E$2989,"&gt;="&amp;AE7,'1SK3DD'!$E$6:$E$2989,"&lt;="&amp;EOMONTH(AE7,0),'1SK3DD'!$F$6:$F$2989,"Bond Received")+SUMIFS('1SX5TQ'!$D$6:$D$2989,'1SX5TQ'!$E$6:$E$2989,"&gt;="&amp;AE7,'1SX5TQ'!$E$6:$E$2989,"&lt;="&amp;EOMONTH(AE7,0))-SUMIFS('1SX5TQ'!$D$6:$D$2989,'1SX5TQ'!$E$6:$E$2989,"&gt;="&amp;AE7,'1SX5TQ'!$E$6:$E$2989,"&lt;="&amp;EOMONTH(AE7,0),'1SX5TQ'!$F$6:$F$2989,$B$14)-(SUMIFS('1SX5TQ'!$D$6:$D$2989,'1SX5TQ'!$E$6:$E$2989,"&gt;="&amp;AE7,'1SX5TQ'!$E$6:$E$2989,"&lt;="&amp;EOMONTH(AE7,0),'1SX5TQ'!$F$6:$F$2989,"Discount Rent")*2)-SUMIFS('1SX5TQ'!$D$6:$D$2989,'1SX5TQ'!$E$6:$E$2989,"&gt;="&amp;AE7,'1SX5TQ'!$E$6:$E$2989,"&lt;="&amp;EOMONTH(AE7,0),'1SX5TQ'!$F$6:$F$2989,"Bond Received")+SUMIFS('BMM465'!$D$6:$D$2989,'BMM465'!$E$6:$E$2989,"&gt;="&amp;AE7,'BMM465'!$E$6:$E$2989,"&lt;="&amp;EOMONTH(AE7,0))-SUMIFS('BMM465'!$D$6:$D$2989,'BMM465'!$E$6:$E$2989,"&gt;="&amp;AE7,'BMM465'!$E$6:$E$2989,"&lt;="&amp;EOMONTH(AE7,0),'BMM465'!$F$6:$F$2989,$B$14)-(SUMIFS('BMM465'!$D$6:$D$2989,'BMM465'!$E$6:$E$2989,"&gt;="&amp;AE7,'BMM465'!$E$6:$E$2989,"&lt;="&amp;EOMONTH(AE7,0),'BMM465'!$F$6:$F$2989,"Discount Rent")*2)-SUMIFS('BMM465'!$D$6:$D$2989,'BMM465'!$E$6:$E$2989,"&gt;="&amp;AE7,'BMM465'!$E$6:$E$2989,"&lt;="&amp;EOMONTH(AE7,0),'BMM465'!$F$6:$F$2989,"Bond Received")+SUMIFS('1CF1ZO'!$D$6:$D$2989,'1CF1ZO'!$E$6:$E$2989,"&gt;="&amp;AE7,'1CF1ZO'!$E$6:$E$2989,"&lt;="&amp;EOMONTH(AE7,0))-SUMIFS('1CF1ZO'!$D$6:$D$2989,'1CF1ZO'!$E$6:$E$2989,"&gt;="&amp;AE7,'1CF1ZO'!$E$6:$E$2989,"&lt;="&amp;EOMONTH(AE7,0),'1CF1ZO'!$F$6:$F$2989,$B$14)-(SUMIFS('1CF1ZO'!$D$6:$D$2989,'1CF1ZO'!$E$6:$E$2989,"&gt;="&amp;AE7,'1CF1ZO'!$E$6:$E$2989,"&lt;="&amp;EOMONTH(AE7,0),'1CF1ZO'!$F$6:$F$2989,"Discount Rent")*2)-SUMIFS('1CF1ZO'!$D$6:$D$2989,'1CF1ZO'!$E$6:$E$2989,"&gt;="&amp;AE7,'1CF1ZO'!$E$6:$E$2989,"&lt;="&amp;EOMONTH(AE7,0),'1CF1ZO'!$F$6:$F$2989,"Bond Received")+SUMIFS('1UK1BK'!$D$6:$D$2989,'1UK1BK'!$E$6:$E$2989,"&gt;="&amp;AE7,'1UK1BK'!$E$6:$E$2989,"&lt;="&amp;EOMONTH(AE7,0))-SUMIFS('1UK1BK'!$D$6:$D$2989,'1UK1BK'!$E$6:$E$2989,"&gt;="&amp;AE7,'1UK1BK'!$E$6:$E$2989,"&lt;="&amp;EOMONTH(AE7,0),'1UK1BK'!$F$6:$F$2989,$B$14)-(SUMIFS('1UK1BK'!$D$6:$D$2989,'1UK1BK'!$E$6:$E$2989,"&gt;="&amp;AE7,'1UK1BK'!$E$6:$E$2989,"&lt;="&amp;EOMONTH(AE7,0),'1UK1BK'!$F$6:$F$2989,"Discount Rent")*2)-SUMIFS('1UK1BK'!$D$6:$D$2989,'1UK1BK'!$E$6:$E$2989,"&gt;="&amp;AE7,'1UK1BK'!$E$6:$E$2989,"&lt;="&amp;EOMONTH(AE7,0),'1UK1BK'!$F$6:$F$2989,"Bond Received")</f>
        <v>#REF!</v>
      </c>
      <c r="AF11" s="108" t="e">
        <f>SUMIFS(#REF!,#REF!,"&gt;="&amp;AF7,#REF!,"&lt;="&amp;EOMONTH(AF7,0))-SUMIFS(#REF!,#REF!,"&gt;="&amp;AF7,#REF!,"&lt;="&amp;EOMONTH(AF7,0),#REF!,$B$14)-(SUMIFS(#REF!,#REF!,"&gt;="&amp;AF7,#REF!,"&lt;="&amp;EOMONTH(AF7,0),#REF!,"Discount Rent")*2)-SUMIFS(#REF!,#REF!,"&gt;="&amp;AF7,#REF!,"&lt;="&amp;EOMONTH(AF7,0),#REF!,"Bond Received")+SUMIFS('1JI2UE'!$D$6:$D$2989,'1JI2UE'!$E$6:$E$2989,"&gt;="&amp;AF7,'1JI2UE'!$E$6:$E$2989,"&lt;="&amp;EOMONTH(AF7,0))-SUMIFS('1JI2UE'!$D$6:$D$2989,'1JI2UE'!$E$6:$E$2989,"&gt;="&amp;AF7,'1JI2UE'!$E$6:$E$2989,"&lt;="&amp;EOMONTH(AF7,0),'1JI2UE'!$F$6:$F$2989,$B$14)-(SUMIFS('1JI2UE'!$D$6:$D$2989,'1JI2UE'!$E$6:$E$2989,"&gt;="&amp;AF7,'1JI2UE'!$E$6:$E$2989,"&lt;="&amp;EOMONTH(AF7,0),'1JI2UE'!$F$6:$F$2989,"Discount Rent")*2)-SUMIFS('1JI2UE'!$D$6:$D$2989,'1JI2UE'!$E$6:$E$2989,"&gt;="&amp;AF7,'1JI2UE'!$E$6:$E$2989,"&lt;="&amp;EOMONTH(AF7,0),'1JI2UE'!$F$6:$F$2989,"Bond Received")+SUMIFS(#REF!,#REF!,"&gt;="&amp;AF7,#REF!,"&lt;="&amp;EOMONTH(AF7,0))-SUMIFS(#REF!,#REF!,"&gt;="&amp;AF7,#REF!,"&lt;="&amp;EOMONTH(AF7,0),#REF!,$B$14)-(SUMIFS(#REF!,#REF!,"&gt;="&amp;AF7,#REF!,"&lt;="&amp;EOMONTH(AF7,0),#REF!,"Discount Rent")*2)-SUMIFS(#REF!,#REF!,"&gt;="&amp;AF7,#REF!,"&lt;="&amp;EOMONTH(AF7,0),#REF!,"Bond Received")+SUMIFS('1SI9BW'!$D$6:$D$2989,'1SI9BW'!$E$6:$E$2989,"&gt;="&amp;AF7,'1SI9BW'!$E$6:$E$2989,"&lt;="&amp;EOMONTH(AF7,0))-SUMIFS('1SI9BW'!$D$6:$D$2989,'1SI9BW'!$E$6:$E$2989,"&gt;="&amp;AF7,'1SI9BW'!$E$6:$E$2989,"&lt;="&amp;EOMONTH(AF7,0),'1SI9BW'!$F$6:$F$2989,$B$14)-(SUMIFS('1SI9BW'!$D$6:$D$2989,'1SI9BW'!$E$6:$E$2989,"&gt;="&amp;AF7,'1SI9BW'!$E$6:$E$2989,"&lt;="&amp;EOMONTH(AF7,0),'1SI9BW'!$F$6:$F$2989,"Discount Rent")*2)-SUMIFS('1SI9BW'!$D$6:$D$2989,'1SI9BW'!$E$6:$E$2989,"&gt;="&amp;AF7,'1SI9BW'!$E$6:$E$2989,"&lt;="&amp;EOMONTH(AF7,0),'1SI9BW'!$F$6:$F$2989,"Bond Received")+SUMIFS(Suzuki!$D$6:$D$2989,Suzuki!$E$6:$E$2989,"&gt;="&amp;AF7,Suzuki!$E$6:$E$2989,"&lt;="&amp;EOMONTH(AF7,0))-SUMIFS(Suzuki!$D$6:$D$2989,Suzuki!$E$6:$E$2989,"&gt;="&amp;AF7,Suzuki!$E$6:$E$2989,"&lt;="&amp;EOMONTH(AF7,0),Suzuki!$F$6:$F$2989,$B$14)-(SUMIFS(Suzuki!$D$6:$D$2989,Suzuki!$E$6:$E$2989,"&gt;="&amp;AF7,Suzuki!$E$6:$E$2989,"&lt;="&amp;EOMONTH(AF7,0),Suzuki!$F$6:$F$2989,"Discount Rent")*2)-SUMIFS(Suzuki!$D$6:$D$2989,Suzuki!$E$6:$E$2989,"&gt;="&amp;AF7,Suzuki!$E$6:$E$2989,"&lt;="&amp;EOMONTH(AF7,0),Suzuki!$F$6:$F$2989,"Bond Received")+SUMIFS('1SK3DD'!$D$6:$D$2989,'1SK3DD'!$E$6:$E$2989,"&gt;="&amp;AF7,'1SK3DD'!$E$6:$E$2989,"&lt;="&amp;EOMONTH(AF7,0))-SUMIFS('1SK3DD'!$D$6:$D$2989,'1SK3DD'!$E$6:$E$2989,"&gt;="&amp;AF7,'1SK3DD'!$E$6:$E$2989,"&lt;="&amp;EOMONTH(AF7,0),'1SK3DD'!$F$6:$F$2989,$B$14)-(SUMIFS('1SK3DD'!$D$6:$D$2989,'1SK3DD'!$E$6:$E$2989,"&gt;="&amp;AF7,'1SK3DD'!$E$6:$E$2989,"&lt;="&amp;EOMONTH(AF7,0),'1SK3DD'!$F$6:$F$2989,"Discount Rent")*2)-SUMIFS('1SK3DD'!$D$6:$D$2989,'1SK3DD'!$E$6:$E$2989,"&gt;="&amp;AF7,'1SK3DD'!$E$6:$E$2989,"&lt;="&amp;EOMONTH(AF7,0),'1SK3DD'!$F$6:$F$2989,"Bond Received")+SUMIFS('1SX5TQ'!$D$6:$D$2989,'1SX5TQ'!$E$6:$E$2989,"&gt;="&amp;AF7,'1SX5TQ'!$E$6:$E$2989,"&lt;="&amp;EOMONTH(AF7,0))-SUMIFS('1SX5TQ'!$D$6:$D$2989,'1SX5TQ'!$E$6:$E$2989,"&gt;="&amp;AF7,'1SX5TQ'!$E$6:$E$2989,"&lt;="&amp;EOMONTH(AF7,0),'1SX5TQ'!$F$6:$F$2989,$B$14)-(SUMIFS('1SX5TQ'!$D$6:$D$2989,'1SX5TQ'!$E$6:$E$2989,"&gt;="&amp;AF7,'1SX5TQ'!$E$6:$E$2989,"&lt;="&amp;EOMONTH(AF7,0),'1SX5TQ'!$F$6:$F$2989,"Discount Rent")*2)-SUMIFS('1SX5TQ'!$D$6:$D$2989,'1SX5TQ'!$E$6:$E$2989,"&gt;="&amp;AF7,'1SX5TQ'!$E$6:$E$2989,"&lt;="&amp;EOMONTH(AF7,0),'1SX5TQ'!$F$6:$F$2989,"Bond Received")+SUMIFS('BMM465'!$D$6:$D$2989,'BMM465'!$E$6:$E$2989,"&gt;="&amp;AF7,'BMM465'!$E$6:$E$2989,"&lt;="&amp;EOMONTH(AF7,0))-SUMIFS('BMM465'!$D$6:$D$2989,'BMM465'!$E$6:$E$2989,"&gt;="&amp;AF7,'BMM465'!$E$6:$E$2989,"&lt;="&amp;EOMONTH(AF7,0),'BMM465'!$F$6:$F$2989,$B$14)-(SUMIFS('BMM465'!$D$6:$D$2989,'BMM465'!$E$6:$E$2989,"&gt;="&amp;AF7,'BMM465'!$E$6:$E$2989,"&lt;="&amp;EOMONTH(AF7,0),'BMM465'!$F$6:$F$2989,"Discount Rent")*2)-SUMIFS('BMM465'!$D$6:$D$2989,'BMM465'!$E$6:$E$2989,"&gt;="&amp;AF7,'BMM465'!$E$6:$E$2989,"&lt;="&amp;EOMONTH(AF7,0),'BMM465'!$F$6:$F$2989,"Bond Received")+SUMIFS('1CF1ZO'!$D$6:$D$2989,'1CF1ZO'!$E$6:$E$2989,"&gt;="&amp;AF7,'1CF1ZO'!$E$6:$E$2989,"&lt;="&amp;EOMONTH(AF7,0))-SUMIFS('1CF1ZO'!$D$6:$D$2989,'1CF1ZO'!$E$6:$E$2989,"&gt;="&amp;AF7,'1CF1ZO'!$E$6:$E$2989,"&lt;="&amp;EOMONTH(AF7,0),'1CF1ZO'!$F$6:$F$2989,$B$14)-(SUMIFS('1CF1ZO'!$D$6:$D$2989,'1CF1ZO'!$E$6:$E$2989,"&gt;="&amp;AF7,'1CF1ZO'!$E$6:$E$2989,"&lt;="&amp;EOMONTH(AF7,0),'1CF1ZO'!$F$6:$F$2989,"Discount Rent")*2)-SUMIFS('1CF1ZO'!$D$6:$D$2989,'1CF1ZO'!$E$6:$E$2989,"&gt;="&amp;AF7,'1CF1ZO'!$E$6:$E$2989,"&lt;="&amp;EOMONTH(AF7,0),'1CF1ZO'!$F$6:$F$2989,"Bond Received")+SUMIFS('1UK1BK'!$D$6:$D$2989,'1UK1BK'!$E$6:$E$2989,"&gt;="&amp;AF7,'1UK1BK'!$E$6:$E$2989,"&lt;="&amp;EOMONTH(AF7,0))-SUMIFS('1UK1BK'!$D$6:$D$2989,'1UK1BK'!$E$6:$E$2989,"&gt;="&amp;AF7,'1UK1BK'!$E$6:$E$2989,"&lt;="&amp;EOMONTH(AF7,0),'1UK1BK'!$F$6:$F$2989,$B$14)-(SUMIFS('1UK1BK'!$D$6:$D$2989,'1UK1BK'!$E$6:$E$2989,"&gt;="&amp;AF7,'1UK1BK'!$E$6:$E$2989,"&lt;="&amp;EOMONTH(AF7,0),'1UK1BK'!$F$6:$F$2989,"Discount Rent")*2)-SUMIFS('1UK1BK'!$D$6:$D$2989,'1UK1BK'!$E$6:$E$2989,"&gt;="&amp;AF7,'1UK1BK'!$E$6:$E$2989,"&lt;="&amp;EOMONTH(AF7,0),'1UK1BK'!$F$6:$F$2989,"Bond Received")</f>
        <v>#REF!</v>
      </c>
      <c r="AG11" s="108" t="e">
        <f>SUMIFS(#REF!,#REF!,"&gt;="&amp;AG7,#REF!,"&lt;="&amp;EOMONTH(AG7,0))-SUMIFS(#REF!,#REF!,"&gt;="&amp;AG7,#REF!,"&lt;="&amp;EOMONTH(AG7,0),#REF!,$B$14)-(SUMIFS(#REF!,#REF!,"&gt;="&amp;AG7,#REF!,"&lt;="&amp;EOMONTH(AG7,0),#REF!,"Discount Rent")*2)-SUMIFS(#REF!,#REF!,"&gt;="&amp;AG7,#REF!,"&lt;="&amp;EOMONTH(AG7,0),#REF!,"Bond Received")+SUMIFS('1JI2UE'!$D$6:$D$2989,'1JI2UE'!$E$6:$E$2989,"&gt;="&amp;AG7,'1JI2UE'!$E$6:$E$2989,"&lt;="&amp;EOMONTH(AG7,0))-SUMIFS('1JI2UE'!$D$6:$D$2989,'1JI2UE'!$E$6:$E$2989,"&gt;="&amp;AG7,'1JI2UE'!$E$6:$E$2989,"&lt;="&amp;EOMONTH(AG7,0),'1JI2UE'!$F$6:$F$2989,$B$14)-(SUMIFS('1JI2UE'!$D$6:$D$2989,'1JI2UE'!$E$6:$E$2989,"&gt;="&amp;AG7,'1JI2UE'!$E$6:$E$2989,"&lt;="&amp;EOMONTH(AG7,0),'1JI2UE'!$F$6:$F$2989,"Discount Rent")*2)-SUMIFS('1JI2UE'!$D$6:$D$2989,'1JI2UE'!$E$6:$E$2989,"&gt;="&amp;AG7,'1JI2UE'!$E$6:$E$2989,"&lt;="&amp;EOMONTH(AG7,0),'1JI2UE'!$F$6:$F$2989,"Bond Received")+SUMIFS(#REF!,#REF!,"&gt;="&amp;AG7,#REF!,"&lt;="&amp;EOMONTH(AG7,0))-SUMIFS(#REF!,#REF!,"&gt;="&amp;AG7,#REF!,"&lt;="&amp;EOMONTH(AG7,0),#REF!,$B$14)-(SUMIFS(#REF!,#REF!,"&gt;="&amp;AG7,#REF!,"&lt;="&amp;EOMONTH(AG7,0),#REF!,"Discount Rent")*2)-SUMIFS(#REF!,#REF!,"&gt;="&amp;AG7,#REF!,"&lt;="&amp;EOMONTH(AG7,0),#REF!,"Bond Received")+SUMIFS('1SI9BW'!$D$6:$D$2989,'1SI9BW'!$E$6:$E$2989,"&gt;="&amp;AG7,'1SI9BW'!$E$6:$E$2989,"&lt;="&amp;EOMONTH(AG7,0))-SUMIFS('1SI9BW'!$D$6:$D$2989,'1SI9BW'!$E$6:$E$2989,"&gt;="&amp;AG7,'1SI9BW'!$E$6:$E$2989,"&lt;="&amp;EOMONTH(AG7,0),'1SI9BW'!$F$6:$F$2989,$B$14)-(SUMIFS('1SI9BW'!$D$6:$D$2989,'1SI9BW'!$E$6:$E$2989,"&gt;="&amp;AG7,'1SI9BW'!$E$6:$E$2989,"&lt;="&amp;EOMONTH(AG7,0),'1SI9BW'!$F$6:$F$2989,"Discount Rent")*2)-SUMIFS('1SI9BW'!$D$6:$D$2989,'1SI9BW'!$E$6:$E$2989,"&gt;="&amp;AG7,'1SI9BW'!$E$6:$E$2989,"&lt;="&amp;EOMONTH(AG7,0),'1SI9BW'!$F$6:$F$2989,"Bond Received")+SUMIFS(Suzuki!$D$6:$D$2989,Suzuki!$E$6:$E$2989,"&gt;="&amp;AG7,Suzuki!$E$6:$E$2989,"&lt;="&amp;EOMONTH(AG7,0))-SUMIFS(Suzuki!$D$6:$D$2989,Suzuki!$E$6:$E$2989,"&gt;="&amp;AG7,Suzuki!$E$6:$E$2989,"&lt;="&amp;EOMONTH(AG7,0),Suzuki!$F$6:$F$2989,$B$14)-(SUMIFS(Suzuki!$D$6:$D$2989,Suzuki!$E$6:$E$2989,"&gt;="&amp;AG7,Suzuki!$E$6:$E$2989,"&lt;="&amp;EOMONTH(AG7,0),Suzuki!$F$6:$F$2989,"Discount Rent")*2)-SUMIFS(Suzuki!$D$6:$D$2989,Suzuki!$E$6:$E$2989,"&gt;="&amp;AG7,Suzuki!$E$6:$E$2989,"&lt;="&amp;EOMONTH(AG7,0),Suzuki!$F$6:$F$2989,"Bond Received")+SUMIFS('1SK3DD'!$D$6:$D$2989,'1SK3DD'!$E$6:$E$2989,"&gt;="&amp;AG7,'1SK3DD'!$E$6:$E$2989,"&lt;="&amp;EOMONTH(AG7,0))-SUMIFS('1SK3DD'!$D$6:$D$2989,'1SK3DD'!$E$6:$E$2989,"&gt;="&amp;AG7,'1SK3DD'!$E$6:$E$2989,"&lt;="&amp;EOMONTH(AG7,0),'1SK3DD'!$F$6:$F$2989,$B$14)-(SUMIFS('1SK3DD'!$D$6:$D$2989,'1SK3DD'!$E$6:$E$2989,"&gt;="&amp;AG7,'1SK3DD'!$E$6:$E$2989,"&lt;="&amp;EOMONTH(AG7,0),'1SK3DD'!$F$6:$F$2989,"Discount Rent")*2)-SUMIFS('1SK3DD'!$D$6:$D$2989,'1SK3DD'!$E$6:$E$2989,"&gt;="&amp;AG7,'1SK3DD'!$E$6:$E$2989,"&lt;="&amp;EOMONTH(AG7,0),'1SK3DD'!$F$6:$F$2989,"Bond Received")+SUMIFS('1SX5TQ'!$D$6:$D$2989,'1SX5TQ'!$E$6:$E$2989,"&gt;="&amp;AG7,'1SX5TQ'!$E$6:$E$2989,"&lt;="&amp;EOMONTH(AG7,0))-SUMIFS('1SX5TQ'!$D$6:$D$2989,'1SX5TQ'!$E$6:$E$2989,"&gt;="&amp;AG7,'1SX5TQ'!$E$6:$E$2989,"&lt;="&amp;EOMONTH(AG7,0),'1SX5TQ'!$F$6:$F$2989,$B$14)-(SUMIFS('1SX5TQ'!$D$6:$D$2989,'1SX5TQ'!$E$6:$E$2989,"&gt;="&amp;AG7,'1SX5TQ'!$E$6:$E$2989,"&lt;="&amp;EOMONTH(AG7,0),'1SX5TQ'!$F$6:$F$2989,"Discount Rent")*2)-SUMIFS('1SX5TQ'!$D$6:$D$2989,'1SX5TQ'!$E$6:$E$2989,"&gt;="&amp;AG7,'1SX5TQ'!$E$6:$E$2989,"&lt;="&amp;EOMONTH(AG7,0),'1SX5TQ'!$F$6:$F$2989,"Bond Received")+SUMIFS('BMM465'!$D$6:$D$2989,'BMM465'!$E$6:$E$2989,"&gt;="&amp;AG7,'BMM465'!$E$6:$E$2989,"&lt;="&amp;EOMONTH(AG7,0))-SUMIFS('BMM465'!$D$6:$D$2989,'BMM465'!$E$6:$E$2989,"&gt;="&amp;AG7,'BMM465'!$E$6:$E$2989,"&lt;="&amp;EOMONTH(AG7,0),'BMM465'!$F$6:$F$2989,$B$14)-(SUMIFS('BMM465'!$D$6:$D$2989,'BMM465'!$E$6:$E$2989,"&gt;="&amp;AG7,'BMM465'!$E$6:$E$2989,"&lt;="&amp;EOMONTH(AG7,0),'BMM465'!$F$6:$F$2989,"Discount Rent")*2)-SUMIFS('BMM465'!$D$6:$D$2989,'BMM465'!$E$6:$E$2989,"&gt;="&amp;AG7,'BMM465'!$E$6:$E$2989,"&lt;="&amp;EOMONTH(AG7,0),'BMM465'!$F$6:$F$2989,"Bond Received")+SUMIFS('1CF1ZO'!$D$6:$D$2989,'1CF1ZO'!$E$6:$E$2989,"&gt;="&amp;AG7,'1CF1ZO'!$E$6:$E$2989,"&lt;="&amp;EOMONTH(AG7,0))-SUMIFS('1CF1ZO'!$D$6:$D$2989,'1CF1ZO'!$E$6:$E$2989,"&gt;="&amp;AG7,'1CF1ZO'!$E$6:$E$2989,"&lt;="&amp;EOMONTH(AG7,0),'1CF1ZO'!$F$6:$F$2989,$B$14)-(SUMIFS('1CF1ZO'!$D$6:$D$2989,'1CF1ZO'!$E$6:$E$2989,"&gt;="&amp;AG7,'1CF1ZO'!$E$6:$E$2989,"&lt;="&amp;EOMONTH(AG7,0),'1CF1ZO'!$F$6:$F$2989,"Discount Rent")*2)-SUMIFS('1CF1ZO'!$D$6:$D$2989,'1CF1ZO'!$E$6:$E$2989,"&gt;="&amp;AG7,'1CF1ZO'!$E$6:$E$2989,"&lt;="&amp;EOMONTH(AG7,0),'1CF1ZO'!$F$6:$F$2989,"Bond Received")+SUMIFS('1UK1BK'!$D$6:$D$2989,'1UK1BK'!$E$6:$E$2989,"&gt;="&amp;AG7,'1UK1BK'!$E$6:$E$2989,"&lt;="&amp;EOMONTH(AG7,0))-SUMIFS('1UK1BK'!$D$6:$D$2989,'1UK1BK'!$E$6:$E$2989,"&gt;="&amp;AG7,'1UK1BK'!$E$6:$E$2989,"&lt;="&amp;EOMONTH(AG7,0),'1UK1BK'!$F$6:$F$2989,$B$14)-(SUMIFS('1UK1BK'!$D$6:$D$2989,'1UK1BK'!$E$6:$E$2989,"&gt;="&amp;AG7,'1UK1BK'!$E$6:$E$2989,"&lt;="&amp;EOMONTH(AG7,0),'1UK1BK'!$F$6:$F$2989,"Discount Rent")*2)-SUMIFS('1UK1BK'!$D$6:$D$2989,'1UK1BK'!$E$6:$E$2989,"&gt;="&amp;AG7,'1UK1BK'!$E$6:$E$2989,"&lt;="&amp;EOMONTH(AG7,0),'1UK1BK'!$F$6:$F$2989,"Bond Received")</f>
        <v>#REF!</v>
      </c>
      <c r="AH11" s="108" t="e">
        <f>SUMIFS(#REF!,#REF!,"&gt;="&amp;AH7,#REF!,"&lt;="&amp;EOMONTH(AH7,0))-SUMIFS(#REF!,#REF!,"&gt;="&amp;AH7,#REF!,"&lt;="&amp;EOMONTH(AH7,0),#REF!,$B$14)-(SUMIFS(#REF!,#REF!,"&gt;="&amp;AH7,#REF!,"&lt;="&amp;EOMONTH(AH7,0),#REF!,"Discount Rent")*2)-SUMIFS(#REF!,#REF!,"&gt;="&amp;AH7,#REF!,"&lt;="&amp;EOMONTH(AH7,0),#REF!,"Bond Received")+SUMIFS('1JI2UE'!$D$6:$D$2989,'1JI2UE'!$E$6:$E$2989,"&gt;="&amp;AH7,'1JI2UE'!$E$6:$E$2989,"&lt;="&amp;EOMONTH(AH7,0))-SUMIFS('1JI2UE'!$D$6:$D$2989,'1JI2UE'!$E$6:$E$2989,"&gt;="&amp;AH7,'1JI2UE'!$E$6:$E$2989,"&lt;="&amp;EOMONTH(AH7,0),'1JI2UE'!$F$6:$F$2989,$B$14)-(SUMIFS('1JI2UE'!$D$6:$D$2989,'1JI2UE'!$E$6:$E$2989,"&gt;="&amp;AH7,'1JI2UE'!$E$6:$E$2989,"&lt;="&amp;EOMONTH(AH7,0),'1JI2UE'!$F$6:$F$2989,"Discount Rent")*2)-SUMIFS('1JI2UE'!$D$6:$D$2989,'1JI2UE'!$E$6:$E$2989,"&gt;="&amp;AH7,'1JI2UE'!$E$6:$E$2989,"&lt;="&amp;EOMONTH(AH7,0),'1JI2UE'!$F$6:$F$2989,"Bond Received")+SUMIFS(#REF!,#REF!,"&gt;="&amp;AH7,#REF!,"&lt;="&amp;EOMONTH(AH7,0))-SUMIFS(#REF!,#REF!,"&gt;="&amp;AH7,#REF!,"&lt;="&amp;EOMONTH(AH7,0),#REF!,$B$14)-(SUMIFS(#REF!,#REF!,"&gt;="&amp;AH7,#REF!,"&lt;="&amp;EOMONTH(AH7,0),#REF!,"Discount Rent")*2)-SUMIFS(#REF!,#REF!,"&gt;="&amp;AH7,#REF!,"&lt;="&amp;EOMONTH(AH7,0),#REF!,"Bond Received")+SUMIFS('1SI9BW'!$D$6:$D$2989,'1SI9BW'!$E$6:$E$2989,"&gt;="&amp;AH7,'1SI9BW'!$E$6:$E$2989,"&lt;="&amp;EOMONTH(AH7,0))-SUMIFS('1SI9BW'!$D$6:$D$2989,'1SI9BW'!$E$6:$E$2989,"&gt;="&amp;AH7,'1SI9BW'!$E$6:$E$2989,"&lt;="&amp;EOMONTH(AH7,0),'1SI9BW'!$F$6:$F$2989,$B$14)-(SUMIFS('1SI9BW'!$D$6:$D$2989,'1SI9BW'!$E$6:$E$2989,"&gt;="&amp;AH7,'1SI9BW'!$E$6:$E$2989,"&lt;="&amp;EOMONTH(AH7,0),'1SI9BW'!$F$6:$F$2989,"Discount Rent")*2)-SUMIFS('1SI9BW'!$D$6:$D$2989,'1SI9BW'!$E$6:$E$2989,"&gt;="&amp;AH7,'1SI9BW'!$E$6:$E$2989,"&lt;="&amp;EOMONTH(AH7,0),'1SI9BW'!$F$6:$F$2989,"Bond Received")+SUMIFS(Suzuki!$D$6:$D$2989,Suzuki!$E$6:$E$2989,"&gt;="&amp;AH7,Suzuki!$E$6:$E$2989,"&lt;="&amp;EOMONTH(AH7,0))-SUMIFS(Suzuki!$D$6:$D$2989,Suzuki!$E$6:$E$2989,"&gt;="&amp;AH7,Suzuki!$E$6:$E$2989,"&lt;="&amp;EOMONTH(AH7,0),Suzuki!$F$6:$F$2989,$B$14)-(SUMIFS(Suzuki!$D$6:$D$2989,Suzuki!$E$6:$E$2989,"&gt;="&amp;AH7,Suzuki!$E$6:$E$2989,"&lt;="&amp;EOMONTH(AH7,0),Suzuki!$F$6:$F$2989,"Discount Rent")*2)-SUMIFS(Suzuki!$D$6:$D$2989,Suzuki!$E$6:$E$2989,"&gt;="&amp;AH7,Suzuki!$E$6:$E$2989,"&lt;="&amp;EOMONTH(AH7,0),Suzuki!$F$6:$F$2989,"Bond Received")+SUMIFS('1SK3DD'!$D$6:$D$2989,'1SK3DD'!$E$6:$E$2989,"&gt;="&amp;AH7,'1SK3DD'!$E$6:$E$2989,"&lt;="&amp;EOMONTH(AH7,0))-SUMIFS('1SK3DD'!$D$6:$D$2989,'1SK3DD'!$E$6:$E$2989,"&gt;="&amp;AH7,'1SK3DD'!$E$6:$E$2989,"&lt;="&amp;EOMONTH(AH7,0),'1SK3DD'!$F$6:$F$2989,$B$14)-(SUMIFS('1SK3DD'!$D$6:$D$2989,'1SK3DD'!$E$6:$E$2989,"&gt;="&amp;AH7,'1SK3DD'!$E$6:$E$2989,"&lt;="&amp;EOMONTH(AH7,0),'1SK3DD'!$F$6:$F$2989,"Discount Rent")*2)-SUMIFS('1SK3DD'!$D$6:$D$2989,'1SK3DD'!$E$6:$E$2989,"&gt;="&amp;AH7,'1SK3DD'!$E$6:$E$2989,"&lt;="&amp;EOMONTH(AH7,0),'1SK3DD'!$F$6:$F$2989,"Bond Received")+SUMIFS('1SX5TQ'!$D$6:$D$2989,'1SX5TQ'!$E$6:$E$2989,"&gt;="&amp;AH7,'1SX5TQ'!$E$6:$E$2989,"&lt;="&amp;EOMONTH(AH7,0))-SUMIFS('1SX5TQ'!$D$6:$D$2989,'1SX5TQ'!$E$6:$E$2989,"&gt;="&amp;AH7,'1SX5TQ'!$E$6:$E$2989,"&lt;="&amp;EOMONTH(AH7,0),'1SX5TQ'!$F$6:$F$2989,$B$14)-(SUMIFS('1SX5TQ'!$D$6:$D$2989,'1SX5TQ'!$E$6:$E$2989,"&gt;="&amp;AH7,'1SX5TQ'!$E$6:$E$2989,"&lt;="&amp;EOMONTH(AH7,0),'1SX5TQ'!$F$6:$F$2989,"Discount Rent")*2)-SUMIFS('1SX5TQ'!$D$6:$D$2989,'1SX5TQ'!$E$6:$E$2989,"&gt;="&amp;AH7,'1SX5TQ'!$E$6:$E$2989,"&lt;="&amp;EOMONTH(AH7,0),'1SX5TQ'!$F$6:$F$2989,"Bond Received")+SUMIFS('BMM465'!$D$6:$D$2989,'BMM465'!$E$6:$E$2989,"&gt;="&amp;AH7,'BMM465'!$E$6:$E$2989,"&lt;="&amp;EOMONTH(AH7,0))-SUMIFS('BMM465'!$D$6:$D$2989,'BMM465'!$E$6:$E$2989,"&gt;="&amp;AH7,'BMM465'!$E$6:$E$2989,"&lt;="&amp;EOMONTH(AH7,0),'BMM465'!$F$6:$F$2989,$B$14)-(SUMIFS('BMM465'!$D$6:$D$2989,'BMM465'!$E$6:$E$2989,"&gt;="&amp;AH7,'BMM465'!$E$6:$E$2989,"&lt;="&amp;EOMONTH(AH7,0),'BMM465'!$F$6:$F$2989,"Discount Rent")*2)-SUMIFS('BMM465'!$D$6:$D$2989,'BMM465'!$E$6:$E$2989,"&gt;="&amp;AH7,'BMM465'!$E$6:$E$2989,"&lt;="&amp;EOMONTH(AH7,0),'BMM465'!$F$6:$F$2989,"Bond Received")+SUMIFS('1CF1ZO'!$D$6:$D$2989,'1CF1ZO'!$E$6:$E$2989,"&gt;="&amp;AH7,'1CF1ZO'!$E$6:$E$2989,"&lt;="&amp;EOMONTH(AH7,0))-SUMIFS('1CF1ZO'!$D$6:$D$2989,'1CF1ZO'!$E$6:$E$2989,"&gt;="&amp;AH7,'1CF1ZO'!$E$6:$E$2989,"&lt;="&amp;EOMONTH(AH7,0),'1CF1ZO'!$F$6:$F$2989,$B$14)-(SUMIFS('1CF1ZO'!$D$6:$D$2989,'1CF1ZO'!$E$6:$E$2989,"&gt;="&amp;AH7,'1CF1ZO'!$E$6:$E$2989,"&lt;="&amp;EOMONTH(AH7,0),'1CF1ZO'!$F$6:$F$2989,"Discount Rent")*2)-SUMIFS('1CF1ZO'!$D$6:$D$2989,'1CF1ZO'!$E$6:$E$2989,"&gt;="&amp;AH7,'1CF1ZO'!$E$6:$E$2989,"&lt;="&amp;EOMONTH(AH7,0),'1CF1ZO'!$F$6:$F$2989,"Bond Received")+SUMIFS('1UK1BK'!$D$6:$D$2989,'1UK1BK'!$E$6:$E$2989,"&gt;="&amp;AH7,'1UK1BK'!$E$6:$E$2989,"&lt;="&amp;EOMONTH(AH7,0))-SUMIFS('1UK1BK'!$D$6:$D$2989,'1UK1BK'!$E$6:$E$2989,"&gt;="&amp;AH7,'1UK1BK'!$E$6:$E$2989,"&lt;="&amp;EOMONTH(AH7,0),'1UK1BK'!$F$6:$F$2989,$B$14)-(SUMIFS('1UK1BK'!$D$6:$D$2989,'1UK1BK'!$E$6:$E$2989,"&gt;="&amp;AH7,'1UK1BK'!$E$6:$E$2989,"&lt;="&amp;EOMONTH(AH7,0),'1UK1BK'!$F$6:$F$2989,"Discount Rent")*2)-SUMIFS('1UK1BK'!$D$6:$D$2989,'1UK1BK'!$E$6:$E$2989,"&gt;="&amp;AH7,'1UK1BK'!$E$6:$E$2989,"&lt;="&amp;EOMONTH(AH7,0),'1UK1BK'!$F$6:$F$2989,"Bond Received")</f>
        <v>#REF!</v>
      </c>
      <c r="AI11" s="108" t="e">
        <f>SUMIFS(#REF!,#REF!,"&gt;="&amp;AI7,#REF!,"&lt;="&amp;EOMONTH(AI7,0))-SUMIFS(#REF!,#REF!,"&gt;="&amp;AI7,#REF!,"&lt;="&amp;EOMONTH(AI7,0),#REF!,$B$14)-(SUMIFS(#REF!,#REF!,"&gt;="&amp;AI7,#REF!,"&lt;="&amp;EOMONTH(AI7,0),#REF!,"Discount Rent")*2)-SUMIFS(#REF!,#REF!,"&gt;="&amp;AI7,#REF!,"&lt;="&amp;EOMONTH(AI7,0),#REF!,"Bond Received")+SUMIFS('1JI2UE'!$D$6:$D$2989,'1JI2UE'!$E$6:$E$2989,"&gt;="&amp;AI7,'1JI2UE'!$E$6:$E$2989,"&lt;="&amp;EOMONTH(AI7,0))-SUMIFS('1JI2UE'!$D$6:$D$2989,'1JI2UE'!$E$6:$E$2989,"&gt;="&amp;AI7,'1JI2UE'!$E$6:$E$2989,"&lt;="&amp;EOMONTH(AI7,0),'1JI2UE'!$F$6:$F$2989,$B$14)-(SUMIFS('1JI2UE'!$D$6:$D$2989,'1JI2UE'!$E$6:$E$2989,"&gt;="&amp;AI7,'1JI2UE'!$E$6:$E$2989,"&lt;="&amp;EOMONTH(AI7,0),'1JI2UE'!$F$6:$F$2989,"Discount Rent")*2)-SUMIFS('1JI2UE'!$D$6:$D$2989,'1JI2UE'!$E$6:$E$2989,"&gt;="&amp;AI7,'1JI2UE'!$E$6:$E$2989,"&lt;="&amp;EOMONTH(AI7,0),'1JI2UE'!$F$6:$F$2989,"Bond Received")+SUMIFS(#REF!,#REF!,"&gt;="&amp;AI7,#REF!,"&lt;="&amp;EOMONTH(AI7,0))-SUMIFS(#REF!,#REF!,"&gt;="&amp;AI7,#REF!,"&lt;="&amp;EOMONTH(AI7,0),#REF!,$B$14)-(SUMIFS(#REF!,#REF!,"&gt;="&amp;AI7,#REF!,"&lt;="&amp;EOMONTH(AI7,0),#REF!,"Discount Rent")*2)-SUMIFS(#REF!,#REF!,"&gt;="&amp;AI7,#REF!,"&lt;="&amp;EOMONTH(AI7,0),#REF!,"Bond Received")+SUMIFS('1SI9BW'!$D$6:$D$2989,'1SI9BW'!$E$6:$E$2989,"&gt;="&amp;AI7,'1SI9BW'!$E$6:$E$2989,"&lt;="&amp;EOMONTH(AI7,0))-SUMIFS('1SI9BW'!$D$6:$D$2989,'1SI9BW'!$E$6:$E$2989,"&gt;="&amp;AI7,'1SI9BW'!$E$6:$E$2989,"&lt;="&amp;EOMONTH(AI7,0),'1SI9BW'!$F$6:$F$2989,$B$14)-(SUMIFS('1SI9BW'!$D$6:$D$2989,'1SI9BW'!$E$6:$E$2989,"&gt;="&amp;AI7,'1SI9BW'!$E$6:$E$2989,"&lt;="&amp;EOMONTH(AI7,0),'1SI9BW'!$F$6:$F$2989,"Discount Rent")*2)-SUMIFS('1SI9BW'!$D$6:$D$2989,'1SI9BW'!$E$6:$E$2989,"&gt;="&amp;AI7,'1SI9BW'!$E$6:$E$2989,"&lt;="&amp;EOMONTH(AI7,0),'1SI9BW'!$F$6:$F$2989,"Bond Received")+SUMIFS(Suzuki!$D$6:$D$2989,Suzuki!$E$6:$E$2989,"&gt;="&amp;AI7,Suzuki!$E$6:$E$2989,"&lt;="&amp;EOMONTH(AI7,0))-SUMIFS(Suzuki!$D$6:$D$2989,Suzuki!$E$6:$E$2989,"&gt;="&amp;AI7,Suzuki!$E$6:$E$2989,"&lt;="&amp;EOMONTH(AI7,0),Suzuki!$F$6:$F$2989,$B$14)-(SUMIFS(Suzuki!$D$6:$D$2989,Suzuki!$E$6:$E$2989,"&gt;="&amp;AI7,Suzuki!$E$6:$E$2989,"&lt;="&amp;EOMONTH(AI7,0),Suzuki!$F$6:$F$2989,"Discount Rent")*2)-SUMIFS(Suzuki!$D$6:$D$2989,Suzuki!$E$6:$E$2989,"&gt;="&amp;AI7,Suzuki!$E$6:$E$2989,"&lt;="&amp;EOMONTH(AI7,0),Suzuki!$F$6:$F$2989,"Bond Received")+SUMIFS('1SK3DD'!$D$6:$D$2989,'1SK3DD'!$E$6:$E$2989,"&gt;="&amp;AI7,'1SK3DD'!$E$6:$E$2989,"&lt;="&amp;EOMONTH(AI7,0))-SUMIFS('1SK3DD'!$D$6:$D$2989,'1SK3DD'!$E$6:$E$2989,"&gt;="&amp;AI7,'1SK3DD'!$E$6:$E$2989,"&lt;="&amp;EOMONTH(AI7,0),'1SK3DD'!$F$6:$F$2989,$B$14)-(SUMIFS('1SK3DD'!$D$6:$D$2989,'1SK3DD'!$E$6:$E$2989,"&gt;="&amp;AI7,'1SK3DD'!$E$6:$E$2989,"&lt;="&amp;EOMONTH(AI7,0),'1SK3DD'!$F$6:$F$2989,"Discount Rent")*2)-SUMIFS('1SK3DD'!$D$6:$D$2989,'1SK3DD'!$E$6:$E$2989,"&gt;="&amp;AI7,'1SK3DD'!$E$6:$E$2989,"&lt;="&amp;EOMONTH(AI7,0),'1SK3DD'!$F$6:$F$2989,"Bond Received")+SUMIFS('1SX5TQ'!$D$6:$D$2989,'1SX5TQ'!$E$6:$E$2989,"&gt;="&amp;AI7,'1SX5TQ'!$E$6:$E$2989,"&lt;="&amp;EOMONTH(AI7,0))-SUMIFS('1SX5TQ'!$D$6:$D$2989,'1SX5TQ'!$E$6:$E$2989,"&gt;="&amp;AI7,'1SX5TQ'!$E$6:$E$2989,"&lt;="&amp;EOMONTH(AI7,0),'1SX5TQ'!$F$6:$F$2989,$B$14)-(SUMIFS('1SX5TQ'!$D$6:$D$2989,'1SX5TQ'!$E$6:$E$2989,"&gt;="&amp;AI7,'1SX5TQ'!$E$6:$E$2989,"&lt;="&amp;EOMONTH(AI7,0),'1SX5TQ'!$F$6:$F$2989,"Discount Rent")*2)-SUMIFS('1SX5TQ'!$D$6:$D$2989,'1SX5TQ'!$E$6:$E$2989,"&gt;="&amp;AI7,'1SX5TQ'!$E$6:$E$2989,"&lt;="&amp;EOMONTH(AI7,0),'1SX5TQ'!$F$6:$F$2989,"Bond Received")+SUMIFS('BMM465'!$D$6:$D$2989,'BMM465'!$E$6:$E$2989,"&gt;="&amp;AI7,'BMM465'!$E$6:$E$2989,"&lt;="&amp;EOMONTH(AI7,0))-SUMIFS('BMM465'!$D$6:$D$2989,'BMM465'!$E$6:$E$2989,"&gt;="&amp;AI7,'BMM465'!$E$6:$E$2989,"&lt;="&amp;EOMONTH(AI7,0),'BMM465'!$F$6:$F$2989,$B$14)-(SUMIFS('BMM465'!$D$6:$D$2989,'BMM465'!$E$6:$E$2989,"&gt;="&amp;AI7,'BMM465'!$E$6:$E$2989,"&lt;="&amp;EOMONTH(AI7,0),'BMM465'!$F$6:$F$2989,"Discount Rent")*2)-SUMIFS('BMM465'!$D$6:$D$2989,'BMM465'!$E$6:$E$2989,"&gt;="&amp;AI7,'BMM465'!$E$6:$E$2989,"&lt;="&amp;EOMONTH(AI7,0),'BMM465'!$F$6:$F$2989,"Bond Received")+SUMIFS('1CF1ZO'!$D$6:$D$2989,'1CF1ZO'!$E$6:$E$2989,"&gt;="&amp;AI7,'1CF1ZO'!$E$6:$E$2989,"&lt;="&amp;EOMONTH(AI7,0))-SUMIFS('1CF1ZO'!$D$6:$D$2989,'1CF1ZO'!$E$6:$E$2989,"&gt;="&amp;AI7,'1CF1ZO'!$E$6:$E$2989,"&lt;="&amp;EOMONTH(AI7,0),'1CF1ZO'!$F$6:$F$2989,$B$14)-(SUMIFS('1CF1ZO'!$D$6:$D$2989,'1CF1ZO'!$E$6:$E$2989,"&gt;="&amp;AI7,'1CF1ZO'!$E$6:$E$2989,"&lt;="&amp;EOMONTH(AI7,0),'1CF1ZO'!$F$6:$F$2989,"Discount Rent")*2)-SUMIFS('1CF1ZO'!$D$6:$D$2989,'1CF1ZO'!$E$6:$E$2989,"&gt;="&amp;AI7,'1CF1ZO'!$E$6:$E$2989,"&lt;="&amp;EOMONTH(AI7,0),'1CF1ZO'!$F$6:$F$2989,"Bond Received")+SUMIFS('1UK1BK'!$D$6:$D$2989,'1UK1BK'!$E$6:$E$2989,"&gt;="&amp;AI7,'1UK1BK'!$E$6:$E$2989,"&lt;="&amp;EOMONTH(AI7,0))-SUMIFS('1UK1BK'!$D$6:$D$2989,'1UK1BK'!$E$6:$E$2989,"&gt;="&amp;AI7,'1UK1BK'!$E$6:$E$2989,"&lt;="&amp;EOMONTH(AI7,0),'1UK1BK'!$F$6:$F$2989,$B$14)-(SUMIFS('1UK1BK'!$D$6:$D$2989,'1UK1BK'!$E$6:$E$2989,"&gt;="&amp;AI7,'1UK1BK'!$E$6:$E$2989,"&lt;="&amp;EOMONTH(AI7,0),'1UK1BK'!$F$6:$F$2989,"Discount Rent")*2)-SUMIFS('1UK1BK'!$D$6:$D$2989,'1UK1BK'!$E$6:$E$2989,"&gt;="&amp;AI7,'1UK1BK'!$E$6:$E$2989,"&lt;="&amp;EOMONTH(AI7,0),'1UK1BK'!$F$6:$F$2989,"Bond Received")</f>
        <v>#REF!</v>
      </c>
      <c r="AJ11" s="108" t="e">
        <f>SUMIFS(#REF!,#REF!,"&gt;="&amp;AJ7,#REF!,"&lt;="&amp;EOMONTH(AJ7,0))-SUMIFS(#REF!,#REF!,"&gt;="&amp;AJ7,#REF!,"&lt;="&amp;EOMONTH(AJ7,0),#REF!,$B$14)-(SUMIFS(#REF!,#REF!,"&gt;="&amp;AJ7,#REF!,"&lt;="&amp;EOMONTH(AJ7,0),#REF!,"Discount Rent")*2)-SUMIFS(#REF!,#REF!,"&gt;="&amp;AJ7,#REF!,"&lt;="&amp;EOMONTH(AJ7,0),#REF!,"Bond Received")+SUMIFS('1JI2UE'!$D$6:$D$2989,'1JI2UE'!$E$6:$E$2989,"&gt;="&amp;AJ7,'1JI2UE'!$E$6:$E$2989,"&lt;="&amp;EOMONTH(AJ7,0))-SUMIFS('1JI2UE'!$D$6:$D$2989,'1JI2UE'!$E$6:$E$2989,"&gt;="&amp;AJ7,'1JI2UE'!$E$6:$E$2989,"&lt;="&amp;EOMONTH(AJ7,0),'1JI2UE'!$F$6:$F$2989,$B$14)-(SUMIFS('1JI2UE'!$D$6:$D$2989,'1JI2UE'!$E$6:$E$2989,"&gt;="&amp;AJ7,'1JI2UE'!$E$6:$E$2989,"&lt;="&amp;EOMONTH(AJ7,0),'1JI2UE'!$F$6:$F$2989,"Discount Rent")*2)-SUMIFS('1JI2UE'!$D$6:$D$2989,'1JI2UE'!$E$6:$E$2989,"&gt;="&amp;AJ7,'1JI2UE'!$E$6:$E$2989,"&lt;="&amp;EOMONTH(AJ7,0),'1JI2UE'!$F$6:$F$2989,"Bond Received")+SUMIFS(#REF!,#REF!,"&gt;="&amp;AJ7,#REF!,"&lt;="&amp;EOMONTH(AJ7,0))-SUMIFS(#REF!,#REF!,"&gt;="&amp;AJ7,#REF!,"&lt;="&amp;EOMONTH(AJ7,0),#REF!,$B$14)-(SUMIFS(#REF!,#REF!,"&gt;="&amp;AJ7,#REF!,"&lt;="&amp;EOMONTH(AJ7,0),#REF!,"Discount Rent")*2)-SUMIFS(#REF!,#REF!,"&gt;="&amp;AJ7,#REF!,"&lt;="&amp;EOMONTH(AJ7,0),#REF!,"Bond Received")+SUMIFS('1SI9BW'!$D$6:$D$2989,'1SI9BW'!$E$6:$E$2989,"&gt;="&amp;AJ7,'1SI9BW'!$E$6:$E$2989,"&lt;="&amp;EOMONTH(AJ7,0))-SUMIFS('1SI9BW'!$D$6:$D$2989,'1SI9BW'!$E$6:$E$2989,"&gt;="&amp;AJ7,'1SI9BW'!$E$6:$E$2989,"&lt;="&amp;EOMONTH(AJ7,0),'1SI9BW'!$F$6:$F$2989,$B$14)-(SUMIFS('1SI9BW'!$D$6:$D$2989,'1SI9BW'!$E$6:$E$2989,"&gt;="&amp;AJ7,'1SI9BW'!$E$6:$E$2989,"&lt;="&amp;EOMONTH(AJ7,0),'1SI9BW'!$F$6:$F$2989,"Discount Rent")*2)-SUMIFS('1SI9BW'!$D$6:$D$2989,'1SI9BW'!$E$6:$E$2989,"&gt;="&amp;AJ7,'1SI9BW'!$E$6:$E$2989,"&lt;="&amp;EOMONTH(AJ7,0),'1SI9BW'!$F$6:$F$2989,"Bond Received")+SUMIFS(Suzuki!$D$6:$D$2989,Suzuki!$E$6:$E$2989,"&gt;="&amp;AJ7,Suzuki!$E$6:$E$2989,"&lt;="&amp;EOMONTH(AJ7,0))-SUMIFS(Suzuki!$D$6:$D$2989,Suzuki!$E$6:$E$2989,"&gt;="&amp;AJ7,Suzuki!$E$6:$E$2989,"&lt;="&amp;EOMONTH(AJ7,0),Suzuki!$F$6:$F$2989,$B$14)-(SUMIFS(Suzuki!$D$6:$D$2989,Suzuki!$E$6:$E$2989,"&gt;="&amp;AJ7,Suzuki!$E$6:$E$2989,"&lt;="&amp;EOMONTH(AJ7,0),Suzuki!$F$6:$F$2989,"Discount Rent")*2)-SUMIFS(Suzuki!$D$6:$D$2989,Suzuki!$E$6:$E$2989,"&gt;="&amp;AJ7,Suzuki!$E$6:$E$2989,"&lt;="&amp;EOMONTH(AJ7,0),Suzuki!$F$6:$F$2989,"Bond Received")+SUMIFS('1SK3DD'!$D$6:$D$2989,'1SK3DD'!$E$6:$E$2989,"&gt;="&amp;AJ7,'1SK3DD'!$E$6:$E$2989,"&lt;="&amp;EOMONTH(AJ7,0))-SUMIFS('1SK3DD'!$D$6:$D$2989,'1SK3DD'!$E$6:$E$2989,"&gt;="&amp;AJ7,'1SK3DD'!$E$6:$E$2989,"&lt;="&amp;EOMONTH(AJ7,0),'1SK3DD'!$F$6:$F$2989,$B$14)-(SUMIFS('1SK3DD'!$D$6:$D$2989,'1SK3DD'!$E$6:$E$2989,"&gt;="&amp;AJ7,'1SK3DD'!$E$6:$E$2989,"&lt;="&amp;EOMONTH(AJ7,0),'1SK3DD'!$F$6:$F$2989,"Discount Rent")*2)-SUMIFS('1SK3DD'!$D$6:$D$2989,'1SK3DD'!$E$6:$E$2989,"&gt;="&amp;AJ7,'1SK3DD'!$E$6:$E$2989,"&lt;="&amp;EOMONTH(AJ7,0),'1SK3DD'!$F$6:$F$2989,"Bond Received")+SUMIFS('1SX5TQ'!$D$6:$D$2989,'1SX5TQ'!$E$6:$E$2989,"&gt;="&amp;AJ7,'1SX5TQ'!$E$6:$E$2989,"&lt;="&amp;EOMONTH(AJ7,0))-SUMIFS('1SX5TQ'!$D$6:$D$2989,'1SX5TQ'!$E$6:$E$2989,"&gt;="&amp;AJ7,'1SX5TQ'!$E$6:$E$2989,"&lt;="&amp;EOMONTH(AJ7,0),'1SX5TQ'!$F$6:$F$2989,$B$14)-(SUMIFS('1SX5TQ'!$D$6:$D$2989,'1SX5TQ'!$E$6:$E$2989,"&gt;="&amp;AJ7,'1SX5TQ'!$E$6:$E$2989,"&lt;="&amp;EOMONTH(AJ7,0),'1SX5TQ'!$F$6:$F$2989,"Discount Rent")*2)-SUMIFS('1SX5TQ'!$D$6:$D$2989,'1SX5TQ'!$E$6:$E$2989,"&gt;="&amp;AJ7,'1SX5TQ'!$E$6:$E$2989,"&lt;="&amp;EOMONTH(AJ7,0),'1SX5TQ'!$F$6:$F$2989,"Bond Received")+SUMIFS('BMM465'!$D$6:$D$2989,'BMM465'!$E$6:$E$2989,"&gt;="&amp;AJ7,'BMM465'!$E$6:$E$2989,"&lt;="&amp;EOMONTH(AJ7,0))-SUMIFS('BMM465'!$D$6:$D$2989,'BMM465'!$E$6:$E$2989,"&gt;="&amp;AJ7,'BMM465'!$E$6:$E$2989,"&lt;="&amp;EOMONTH(AJ7,0),'BMM465'!$F$6:$F$2989,$B$14)-(SUMIFS('BMM465'!$D$6:$D$2989,'BMM465'!$E$6:$E$2989,"&gt;="&amp;AJ7,'BMM465'!$E$6:$E$2989,"&lt;="&amp;EOMONTH(AJ7,0),'BMM465'!$F$6:$F$2989,"Discount Rent")*2)-SUMIFS('BMM465'!$D$6:$D$2989,'BMM465'!$E$6:$E$2989,"&gt;="&amp;AJ7,'BMM465'!$E$6:$E$2989,"&lt;="&amp;EOMONTH(AJ7,0),'BMM465'!$F$6:$F$2989,"Bond Received")+SUMIFS('1CF1ZO'!$D$6:$D$2989,'1CF1ZO'!$E$6:$E$2989,"&gt;="&amp;AJ7,'1CF1ZO'!$E$6:$E$2989,"&lt;="&amp;EOMONTH(AJ7,0))-SUMIFS('1CF1ZO'!$D$6:$D$2989,'1CF1ZO'!$E$6:$E$2989,"&gt;="&amp;AJ7,'1CF1ZO'!$E$6:$E$2989,"&lt;="&amp;EOMONTH(AJ7,0),'1CF1ZO'!$F$6:$F$2989,$B$14)-(SUMIFS('1CF1ZO'!$D$6:$D$2989,'1CF1ZO'!$E$6:$E$2989,"&gt;="&amp;AJ7,'1CF1ZO'!$E$6:$E$2989,"&lt;="&amp;EOMONTH(AJ7,0),'1CF1ZO'!$F$6:$F$2989,"Discount Rent")*2)-SUMIFS('1CF1ZO'!$D$6:$D$2989,'1CF1ZO'!$E$6:$E$2989,"&gt;="&amp;AJ7,'1CF1ZO'!$E$6:$E$2989,"&lt;="&amp;EOMONTH(AJ7,0),'1CF1ZO'!$F$6:$F$2989,"Bond Received")+SUMIFS('1UK1BK'!$D$6:$D$2989,'1UK1BK'!$E$6:$E$2989,"&gt;="&amp;AJ7,'1UK1BK'!$E$6:$E$2989,"&lt;="&amp;EOMONTH(AJ7,0))-SUMIFS('1UK1BK'!$D$6:$D$2989,'1UK1BK'!$E$6:$E$2989,"&gt;="&amp;AJ7,'1UK1BK'!$E$6:$E$2989,"&lt;="&amp;EOMONTH(AJ7,0),'1UK1BK'!$F$6:$F$2989,$B$14)-(SUMIFS('1UK1BK'!$D$6:$D$2989,'1UK1BK'!$E$6:$E$2989,"&gt;="&amp;AJ7,'1UK1BK'!$E$6:$E$2989,"&lt;="&amp;EOMONTH(AJ7,0),'1UK1BK'!$F$6:$F$2989,"Discount Rent")*2)-SUMIFS('1UK1BK'!$D$6:$D$2989,'1UK1BK'!$E$6:$E$2989,"&gt;="&amp;AJ7,'1UK1BK'!$E$6:$E$2989,"&lt;="&amp;EOMONTH(AJ7,0),'1UK1BK'!$F$6:$F$2989,"Bond Received")</f>
        <v>#REF!</v>
      </c>
      <c r="AK11" s="108" t="e">
        <f>SUMIFS(#REF!,#REF!,"&gt;="&amp;AK7,#REF!,"&lt;="&amp;EOMONTH(AK7,0))-SUMIFS(#REF!,#REF!,"&gt;="&amp;AK7,#REF!,"&lt;="&amp;EOMONTH(AK7,0),#REF!,$B$14)-(SUMIFS(#REF!,#REF!,"&gt;="&amp;AK7,#REF!,"&lt;="&amp;EOMONTH(AK7,0),#REF!,"Discount Rent")*2)-SUMIFS(#REF!,#REF!,"&gt;="&amp;AK7,#REF!,"&lt;="&amp;EOMONTH(AK7,0),#REF!,"Bond Received")+SUMIFS('1JI2UE'!$D$6:$D$2989,'1JI2UE'!$E$6:$E$2989,"&gt;="&amp;AK7,'1JI2UE'!$E$6:$E$2989,"&lt;="&amp;EOMONTH(AK7,0))-SUMIFS('1JI2UE'!$D$6:$D$2989,'1JI2UE'!$E$6:$E$2989,"&gt;="&amp;AK7,'1JI2UE'!$E$6:$E$2989,"&lt;="&amp;EOMONTH(AK7,0),'1JI2UE'!$F$6:$F$2989,$B$14)-(SUMIFS('1JI2UE'!$D$6:$D$2989,'1JI2UE'!$E$6:$E$2989,"&gt;="&amp;AK7,'1JI2UE'!$E$6:$E$2989,"&lt;="&amp;EOMONTH(AK7,0),'1JI2UE'!$F$6:$F$2989,"Discount Rent")*2)-SUMIFS('1JI2UE'!$D$6:$D$2989,'1JI2UE'!$E$6:$E$2989,"&gt;="&amp;AK7,'1JI2UE'!$E$6:$E$2989,"&lt;="&amp;EOMONTH(AK7,0),'1JI2UE'!$F$6:$F$2989,"Bond Received")+SUMIFS(#REF!,#REF!,"&gt;="&amp;AK7,#REF!,"&lt;="&amp;EOMONTH(AK7,0))-SUMIFS(#REF!,#REF!,"&gt;="&amp;AK7,#REF!,"&lt;="&amp;EOMONTH(AK7,0),#REF!,$B$14)-(SUMIFS(#REF!,#REF!,"&gt;="&amp;AK7,#REF!,"&lt;="&amp;EOMONTH(AK7,0),#REF!,"Discount Rent")*2)-SUMIFS(#REF!,#REF!,"&gt;="&amp;AK7,#REF!,"&lt;="&amp;EOMONTH(AK7,0),#REF!,"Bond Received")+SUMIFS('1SI9BW'!$D$6:$D$2989,'1SI9BW'!$E$6:$E$2989,"&gt;="&amp;AK7,'1SI9BW'!$E$6:$E$2989,"&lt;="&amp;EOMONTH(AK7,0))-SUMIFS('1SI9BW'!$D$6:$D$2989,'1SI9BW'!$E$6:$E$2989,"&gt;="&amp;AK7,'1SI9BW'!$E$6:$E$2989,"&lt;="&amp;EOMONTH(AK7,0),'1SI9BW'!$F$6:$F$2989,$B$14)-(SUMIFS('1SI9BW'!$D$6:$D$2989,'1SI9BW'!$E$6:$E$2989,"&gt;="&amp;AK7,'1SI9BW'!$E$6:$E$2989,"&lt;="&amp;EOMONTH(AK7,0),'1SI9BW'!$F$6:$F$2989,"Discount Rent")*2)-SUMIFS('1SI9BW'!$D$6:$D$2989,'1SI9BW'!$E$6:$E$2989,"&gt;="&amp;AK7,'1SI9BW'!$E$6:$E$2989,"&lt;="&amp;EOMONTH(AK7,0),'1SI9BW'!$F$6:$F$2989,"Bond Received")+SUMIFS(Suzuki!$D$6:$D$2989,Suzuki!$E$6:$E$2989,"&gt;="&amp;AK7,Suzuki!$E$6:$E$2989,"&lt;="&amp;EOMONTH(AK7,0))-SUMIFS(Suzuki!$D$6:$D$2989,Suzuki!$E$6:$E$2989,"&gt;="&amp;AK7,Suzuki!$E$6:$E$2989,"&lt;="&amp;EOMONTH(AK7,0),Suzuki!$F$6:$F$2989,$B$14)-(SUMIFS(Suzuki!$D$6:$D$2989,Suzuki!$E$6:$E$2989,"&gt;="&amp;AK7,Suzuki!$E$6:$E$2989,"&lt;="&amp;EOMONTH(AK7,0),Suzuki!$F$6:$F$2989,"Discount Rent")*2)-SUMIFS(Suzuki!$D$6:$D$2989,Suzuki!$E$6:$E$2989,"&gt;="&amp;AK7,Suzuki!$E$6:$E$2989,"&lt;="&amp;EOMONTH(AK7,0),Suzuki!$F$6:$F$2989,"Bond Received")+SUMIFS('1SK3DD'!$D$6:$D$2989,'1SK3DD'!$E$6:$E$2989,"&gt;="&amp;AK7,'1SK3DD'!$E$6:$E$2989,"&lt;="&amp;EOMONTH(AK7,0))-SUMIFS('1SK3DD'!$D$6:$D$2989,'1SK3DD'!$E$6:$E$2989,"&gt;="&amp;AK7,'1SK3DD'!$E$6:$E$2989,"&lt;="&amp;EOMONTH(AK7,0),'1SK3DD'!$F$6:$F$2989,$B$14)-(SUMIFS('1SK3DD'!$D$6:$D$2989,'1SK3DD'!$E$6:$E$2989,"&gt;="&amp;AK7,'1SK3DD'!$E$6:$E$2989,"&lt;="&amp;EOMONTH(AK7,0),'1SK3DD'!$F$6:$F$2989,"Discount Rent")*2)-SUMIFS('1SK3DD'!$D$6:$D$2989,'1SK3DD'!$E$6:$E$2989,"&gt;="&amp;AK7,'1SK3DD'!$E$6:$E$2989,"&lt;="&amp;EOMONTH(AK7,0),'1SK3DD'!$F$6:$F$2989,"Bond Received")+SUMIFS('1SX5TQ'!$D$6:$D$2989,'1SX5TQ'!$E$6:$E$2989,"&gt;="&amp;AK7,'1SX5TQ'!$E$6:$E$2989,"&lt;="&amp;EOMONTH(AK7,0))-SUMIFS('1SX5TQ'!$D$6:$D$2989,'1SX5TQ'!$E$6:$E$2989,"&gt;="&amp;AK7,'1SX5TQ'!$E$6:$E$2989,"&lt;="&amp;EOMONTH(AK7,0),'1SX5TQ'!$F$6:$F$2989,$B$14)-(SUMIFS('1SX5TQ'!$D$6:$D$2989,'1SX5TQ'!$E$6:$E$2989,"&gt;="&amp;AK7,'1SX5TQ'!$E$6:$E$2989,"&lt;="&amp;EOMONTH(AK7,0),'1SX5TQ'!$F$6:$F$2989,"Discount Rent")*2)-SUMIFS('1SX5TQ'!$D$6:$D$2989,'1SX5TQ'!$E$6:$E$2989,"&gt;="&amp;AK7,'1SX5TQ'!$E$6:$E$2989,"&lt;="&amp;EOMONTH(AK7,0),'1SX5TQ'!$F$6:$F$2989,"Bond Received")+SUMIFS('BMM465'!$D$6:$D$2989,'BMM465'!$E$6:$E$2989,"&gt;="&amp;AK7,'BMM465'!$E$6:$E$2989,"&lt;="&amp;EOMONTH(AK7,0))-SUMIFS('BMM465'!$D$6:$D$2989,'BMM465'!$E$6:$E$2989,"&gt;="&amp;AK7,'BMM465'!$E$6:$E$2989,"&lt;="&amp;EOMONTH(AK7,0),'BMM465'!$F$6:$F$2989,$B$14)-(SUMIFS('BMM465'!$D$6:$D$2989,'BMM465'!$E$6:$E$2989,"&gt;="&amp;AK7,'BMM465'!$E$6:$E$2989,"&lt;="&amp;EOMONTH(AK7,0),'BMM465'!$F$6:$F$2989,"Discount Rent")*2)-SUMIFS('BMM465'!$D$6:$D$2989,'BMM465'!$E$6:$E$2989,"&gt;="&amp;AK7,'BMM465'!$E$6:$E$2989,"&lt;="&amp;EOMONTH(AK7,0),'BMM465'!$F$6:$F$2989,"Bond Received")+SUMIFS('1CF1ZO'!$D$6:$D$2989,'1CF1ZO'!$E$6:$E$2989,"&gt;="&amp;AK7,'1CF1ZO'!$E$6:$E$2989,"&lt;="&amp;EOMONTH(AK7,0))-SUMIFS('1CF1ZO'!$D$6:$D$2989,'1CF1ZO'!$E$6:$E$2989,"&gt;="&amp;AK7,'1CF1ZO'!$E$6:$E$2989,"&lt;="&amp;EOMONTH(AK7,0),'1CF1ZO'!$F$6:$F$2989,$B$14)-(SUMIFS('1CF1ZO'!$D$6:$D$2989,'1CF1ZO'!$E$6:$E$2989,"&gt;="&amp;AK7,'1CF1ZO'!$E$6:$E$2989,"&lt;="&amp;EOMONTH(AK7,0),'1CF1ZO'!$F$6:$F$2989,"Discount Rent")*2)-SUMIFS('1CF1ZO'!$D$6:$D$2989,'1CF1ZO'!$E$6:$E$2989,"&gt;="&amp;AK7,'1CF1ZO'!$E$6:$E$2989,"&lt;="&amp;EOMONTH(AK7,0),'1CF1ZO'!$F$6:$F$2989,"Bond Received")+SUMIFS('1UK1BK'!$D$6:$D$2989,'1UK1BK'!$E$6:$E$2989,"&gt;="&amp;AK7,'1UK1BK'!$E$6:$E$2989,"&lt;="&amp;EOMONTH(AK7,0))-SUMIFS('1UK1BK'!$D$6:$D$2989,'1UK1BK'!$E$6:$E$2989,"&gt;="&amp;AK7,'1UK1BK'!$E$6:$E$2989,"&lt;="&amp;EOMONTH(AK7,0),'1UK1BK'!$F$6:$F$2989,$B$14)-(SUMIFS('1UK1BK'!$D$6:$D$2989,'1UK1BK'!$E$6:$E$2989,"&gt;="&amp;AK7,'1UK1BK'!$E$6:$E$2989,"&lt;="&amp;EOMONTH(AK7,0),'1UK1BK'!$F$6:$F$2989,"Discount Rent")*2)-SUMIFS('1UK1BK'!$D$6:$D$2989,'1UK1BK'!$E$6:$E$2989,"&gt;="&amp;AK7,'1UK1BK'!$E$6:$E$2989,"&lt;="&amp;EOMONTH(AK7,0),'1UK1BK'!$F$6:$F$2989,"Bond Received")</f>
        <v>#REF!</v>
      </c>
      <c r="AL11" s="108" t="e">
        <f>SUMIFS(#REF!,#REF!,"&gt;="&amp;AL7,#REF!,"&lt;="&amp;EOMONTH(AL7,0))-SUMIFS(#REF!,#REF!,"&gt;="&amp;AL7,#REF!,"&lt;="&amp;EOMONTH(AL7,0),#REF!,$B$14)-(SUMIFS(#REF!,#REF!,"&gt;="&amp;AL7,#REF!,"&lt;="&amp;EOMONTH(AL7,0),#REF!,"Discount Rent")*2)-SUMIFS(#REF!,#REF!,"&gt;="&amp;AL7,#REF!,"&lt;="&amp;EOMONTH(AL7,0),#REF!,"Bond Received")+SUMIFS('1JI2UE'!$D$6:$D$2989,'1JI2UE'!$E$6:$E$2989,"&gt;="&amp;AL7,'1JI2UE'!$E$6:$E$2989,"&lt;="&amp;EOMONTH(AL7,0))-SUMIFS('1JI2UE'!$D$6:$D$2989,'1JI2UE'!$E$6:$E$2989,"&gt;="&amp;AL7,'1JI2UE'!$E$6:$E$2989,"&lt;="&amp;EOMONTH(AL7,0),'1JI2UE'!$F$6:$F$2989,$B$14)-(SUMIFS('1JI2UE'!$D$6:$D$2989,'1JI2UE'!$E$6:$E$2989,"&gt;="&amp;AL7,'1JI2UE'!$E$6:$E$2989,"&lt;="&amp;EOMONTH(AL7,0),'1JI2UE'!$F$6:$F$2989,"Discount Rent")*2)-SUMIFS('1JI2UE'!$D$6:$D$2989,'1JI2UE'!$E$6:$E$2989,"&gt;="&amp;AL7,'1JI2UE'!$E$6:$E$2989,"&lt;="&amp;EOMONTH(AL7,0),'1JI2UE'!$F$6:$F$2989,"Bond Received")+SUMIFS(#REF!,#REF!,"&gt;="&amp;AL7,#REF!,"&lt;="&amp;EOMONTH(AL7,0))-SUMIFS(#REF!,#REF!,"&gt;="&amp;AL7,#REF!,"&lt;="&amp;EOMONTH(AL7,0),#REF!,$B$14)-(SUMIFS(#REF!,#REF!,"&gt;="&amp;AL7,#REF!,"&lt;="&amp;EOMONTH(AL7,0),#REF!,"Discount Rent")*2)-SUMIFS(#REF!,#REF!,"&gt;="&amp;AL7,#REF!,"&lt;="&amp;EOMONTH(AL7,0),#REF!,"Bond Received")+SUMIFS('1SI9BW'!$D$6:$D$2989,'1SI9BW'!$E$6:$E$2989,"&gt;="&amp;AL7,'1SI9BW'!$E$6:$E$2989,"&lt;="&amp;EOMONTH(AL7,0))-SUMIFS('1SI9BW'!$D$6:$D$2989,'1SI9BW'!$E$6:$E$2989,"&gt;="&amp;AL7,'1SI9BW'!$E$6:$E$2989,"&lt;="&amp;EOMONTH(AL7,0),'1SI9BW'!$F$6:$F$2989,$B$14)-(SUMIFS('1SI9BW'!$D$6:$D$2989,'1SI9BW'!$E$6:$E$2989,"&gt;="&amp;AL7,'1SI9BW'!$E$6:$E$2989,"&lt;="&amp;EOMONTH(AL7,0),'1SI9BW'!$F$6:$F$2989,"Discount Rent")*2)-SUMIFS('1SI9BW'!$D$6:$D$2989,'1SI9BW'!$E$6:$E$2989,"&gt;="&amp;AL7,'1SI9BW'!$E$6:$E$2989,"&lt;="&amp;EOMONTH(AL7,0),'1SI9BW'!$F$6:$F$2989,"Bond Received")+SUMIFS(Suzuki!$D$6:$D$2989,Suzuki!$E$6:$E$2989,"&gt;="&amp;AL7,Suzuki!$E$6:$E$2989,"&lt;="&amp;EOMONTH(AL7,0))-SUMIFS(Suzuki!$D$6:$D$2989,Suzuki!$E$6:$E$2989,"&gt;="&amp;AL7,Suzuki!$E$6:$E$2989,"&lt;="&amp;EOMONTH(AL7,0),Suzuki!$F$6:$F$2989,$B$14)-(SUMIFS(Suzuki!$D$6:$D$2989,Suzuki!$E$6:$E$2989,"&gt;="&amp;AL7,Suzuki!$E$6:$E$2989,"&lt;="&amp;EOMONTH(AL7,0),Suzuki!$F$6:$F$2989,"Discount Rent")*2)-SUMIFS(Suzuki!$D$6:$D$2989,Suzuki!$E$6:$E$2989,"&gt;="&amp;AL7,Suzuki!$E$6:$E$2989,"&lt;="&amp;EOMONTH(AL7,0),Suzuki!$F$6:$F$2989,"Bond Received")+SUMIFS('1SK3DD'!$D$6:$D$2989,'1SK3DD'!$E$6:$E$2989,"&gt;="&amp;AL7,'1SK3DD'!$E$6:$E$2989,"&lt;="&amp;EOMONTH(AL7,0))-SUMIFS('1SK3DD'!$D$6:$D$2989,'1SK3DD'!$E$6:$E$2989,"&gt;="&amp;AL7,'1SK3DD'!$E$6:$E$2989,"&lt;="&amp;EOMONTH(AL7,0),'1SK3DD'!$F$6:$F$2989,$B$14)-(SUMIFS('1SK3DD'!$D$6:$D$2989,'1SK3DD'!$E$6:$E$2989,"&gt;="&amp;AL7,'1SK3DD'!$E$6:$E$2989,"&lt;="&amp;EOMONTH(AL7,0),'1SK3DD'!$F$6:$F$2989,"Discount Rent")*2)-SUMIFS('1SK3DD'!$D$6:$D$2989,'1SK3DD'!$E$6:$E$2989,"&gt;="&amp;AL7,'1SK3DD'!$E$6:$E$2989,"&lt;="&amp;EOMONTH(AL7,0),'1SK3DD'!$F$6:$F$2989,"Bond Received")+SUMIFS('1SX5TQ'!$D$6:$D$2989,'1SX5TQ'!$E$6:$E$2989,"&gt;="&amp;AL7,'1SX5TQ'!$E$6:$E$2989,"&lt;="&amp;EOMONTH(AL7,0))-SUMIFS('1SX5TQ'!$D$6:$D$2989,'1SX5TQ'!$E$6:$E$2989,"&gt;="&amp;AL7,'1SX5TQ'!$E$6:$E$2989,"&lt;="&amp;EOMONTH(AL7,0),'1SX5TQ'!$F$6:$F$2989,$B$14)-(SUMIFS('1SX5TQ'!$D$6:$D$2989,'1SX5TQ'!$E$6:$E$2989,"&gt;="&amp;AL7,'1SX5TQ'!$E$6:$E$2989,"&lt;="&amp;EOMONTH(AL7,0),'1SX5TQ'!$F$6:$F$2989,"Discount Rent")*2)-SUMIFS('1SX5TQ'!$D$6:$D$2989,'1SX5TQ'!$E$6:$E$2989,"&gt;="&amp;AL7,'1SX5TQ'!$E$6:$E$2989,"&lt;="&amp;EOMONTH(AL7,0),'1SX5TQ'!$F$6:$F$2989,"Bond Received")+SUMIFS('BMM465'!$D$6:$D$2989,'BMM465'!$E$6:$E$2989,"&gt;="&amp;AL7,'BMM465'!$E$6:$E$2989,"&lt;="&amp;EOMONTH(AL7,0))-SUMIFS('BMM465'!$D$6:$D$2989,'BMM465'!$E$6:$E$2989,"&gt;="&amp;AL7,'BMM465'!$E$6:$E$2989,"&lt;="&amp;EOMONTH(AL7,0),'BMM465'!$F$6:$F$2989,$B$14)-(SUMIFS('BMM465'!$D$6:$D$2989,'BMM465'!$E$6:$E$2989,"&gt;="&amp;AL7,'BMM465'!$E$6:$E$2989,"&lt;="&amp;EOMONTH(AL7,0),'BMM465'!$F$6:$F$2989,"Discount Rent")*2)-SUMIFS('BMM465'!$D$6:$D$2989,'BMM465'!$E$6:$E$2989,"&gt;="&amp;AL7,'BMM465'!$E$6:$E$2989,"&lt;="&amp;EOMONTH(AL7,0),'BMM465'!$F$6:$F$2989,"Bond Received")+SUMIFS('1CF1ZO'!$D$6:$D$2989,'1CF1ZO'!$E$6:$E$2989,"&gt;="&amp;AL7,'1CF1ZO'!$E$6:$E$2989,"&lt;="&amp;EOMONTH(AL7,0))-SUMIFS('1CF1ZO'!$D$6:$D$2989,'1CF1ZO'!$E$6:$E$2989,"&gt;="&amp;AL7,'1CF1ZO'!$E$6:$E$2989,"&lt;="&amp;EOMONTH(AL7,0),'1CF1ZO'!$F$6:$F$2989,$B$14)-(SUMIFS('1CF1ZO'!$D$6:$D$2989,'1CF1ZO'!$E$6:$E$2989,"&gt;="&amp;AL7,'1CF1ZO'!$E$6:$E$2989,"&lt;="&amp;EOMONTH(AL7,0),'1CF1ZO'!$F$6:$F$2989,"Discount Rent")*2)-SUMIFS('1CF1ZO'!$D$6:$D$2989,'1CF1ZO'!$E$6:$E$2989,"&gt;="&amp;AL7,'1CF1ZO'!$E$6:$E$2989,"&lt;="&amp;EOMONTH(AL7,0),'1CF1ZO'!$F$6:$F$2989,"Bond Received")+SUMIFS('1UK1BK'!$D$6:$D$2989,'1UK1BK'!$E$6:$E$2989,"&gt;="&amp;AL7,'1UK1BK'!$E$6:$E$2989,"&lt;="&amp;EOMONTH(AL7,0))-SUMIFS('1UK1BK'!$D$6:$D$2989,'1UK1BK'!$E$6:$E$2989,"&gt;="&amp;AL7,'1UK1BK'!$E$6:$E$2989,"&lt;="&amp;EOMONTH(AL7,0),'1UK1BK'!$F$6:$F$2989,$B$14)-(SUMIFS('1UK1BK'!$D$6:$D$2989,'1UK1BK'!$E$6:$E$2989,"&gt;="&amp;AL7,'1UK1BK'!$E$6:$E$2989,"&lt;="&amp;EOMONTH(AL7,0),'1UK1BK'!$F$6:$F$2989,"Discount Rent")*2)-SUMIFS('1UK1BK'!$D$6:$D$2989,'1UK1BK'!$E$6:$E$2989,"&gt;="&amp;AL7,'1UK1BK'!$E$6:$E$2989,"&lt;="&amp;EOMONTH(AL7,0),'1UK1BK'!$F$6:$F$2989,"Bond Received")</f>
        <v>#REF!</v>
      </c>
      <c r="AM11" s="108" t="e">
        <f>SUMIFS(#REF!,#REF!,"&gt;="&amp;AM7,#REF!,"&lt;="&amp;EOMONTH(AM7,0))-SUMIFS(#REF!,#REF!,"&gt;="&amp;AM7,#REF!,"&lt;="&amp;EOMONTH(AM7,0),#REF!,$B$14)-(SUMIFS(#REF!,#REF!,"&gt;="&amp;AM7,#REF!,"&lt;="&amp;EOMONTH(AM7,0),#REF!,"Discount Rent")*2)-SUMIFS(#REF!,#REF!,"&gt;="&amp;AM7,#REF!,"&lt;="&amp;EOMONTH(AM7,0),#REF!,"Bond Received")+SUMIFS('1JI2UE'!$D$6:$D$2989,'1JI2UE'!$E$6:$E$2989,"&gt;="&amp;AM7,'1JI2UE'!$E$6:$E$2989,"&lt;="&amp;EOMONTH(AM7,0))-SUMIFS('1JI2UE'!$D$6:$D$2989,'1JI2UE'!$E$6:$E$2989,"&gt;="&amp;AM7,'1JI2UE'!$E$6:$E$2989,"&lt;="&amp;EOMONTH(AM7,0),'1JI2UE'!$F$6:$F$2989,$B$14)-(SUMIFS('1JI2UE'!$D$6:$D$2989,'1JI2UE'!$E$6:$E$2989,"&gt;="&amp;AM7,'1JI2UE'!$E$6:$E$2989,"&lt;="&amp;EOMONTH(AM7,0),'1JI2UE'!$F$6:$F$2989,"Discount Rent")*2)-SUMIFS('1JI2UE'!$D$6:$D$2989,'1JI2UE'!$E$6:$E$2989,"&gt;="&amp;AM7,'1JI2UE'!$E$6:$E$2989,"&lt;="&amp;EOMONTH(AM7,0),'1JI2UE'!$F$6:$F$2989,"Bond Received")+SUMIFS(#REF!,#REF!,"&gt;="&amp;AM7,#REF!,"&lt;="&amp;EOMONTH(AM7,0))-SUMIFS(#REF!,#REF!,"&gt;="&amp;AM7,#REF!,"&lt;="&amp;EOMONTH(AM7,0),#REF!,$B$14)-(SUMIFS(#REF!,#REF!,"&gt;="&amp;AM7,#REF!,"&lt;="&amp;EOMONTH(AM7,0),#REF!,"Discount Rent")*2)-SUMIFS(#REF!,#REF!,"&gt;="&amp;AM7,#REF!,"&lt;="&amp;EOMONTH(AM7,0),#REF!,"Bond Received")+SUMIFS('1SI9BW'!$D$6:$D$2989,'1SI9BW'!$E$6:$E$2989,"&gt;="&amp;AM7,'1SI9BW'!$E$6:$E$2989,"&lt;="&amp;EOMONTH(AM7,0))-SUMIFS('1SI9BW'!$D$6:$D$2989,'1SI9BW'!$E$6:$E$2989,"&gt;="&amp;AM7,'1SI9BW'!$E$6:$E$2989,"&lt;="&amp;EOMONTH(AM7,0),'1SI9BW'!$F$6:$F$2989,$B$14)-(SUMIFS('1SI9BW'!$D$6:$D$2989,'1SI9BW'!$E$6:$E$2989,"&gt;="&amp;AM7,'1SI9BW'!$E$6:$E$2989,"&lt;="&amp;EOMONTH(AM7,0),'1SI9BW'!$F$6:$F$2989,"Discount Rent")*2)-SUMIFS('1SI9BW'!$D$6:$D$2989,'1SI9BW'!$E$6:$E$2989,"&gt;="&amp;AM7,'1SI9BW'!$E$6:$E$2989,"&lt;="&amp;EOMONTH(AM7,0),'1SI9BW'!$F$6:$F$2989,"Bond Received")+SUMIFS(Suzuki!$D$6:$D$2989,Suzuki!$E$6:$E$2989,"&gt;="&amp;AM7,Suzuki!$E$6:$E$2989,"&lt;="&amp;EOMONTH(AM7,0))-SUMIFS(Suzuki!$D$6:$D$2989,Suzuki!$E$6:$E$2989,"&gt;="&amp;AM7,Suzuki!$E$6:$E$2989,"&lt;="&amp;EOMONTH(AM7,0),Suzuki!$F$6:$F$2989,$B$14)-(SUMIFS(Suzuki!$D$6:$D$2989,Suzuki!$E$6:$E$2989,"&gt;="&amp;AM7,Suzuki!$E$6:$E$2989,"&lt;="&amp;EOMONTH(AM7,0),Suzuki!$F$6:$F$2989,"Discount Rent")*2)-SUMIFS(Suzuki!$D$6:$D$2989,Suzuki!$E$6:$E$2989,"&gt;="&amp;AM7,Suzuki!$E$6:$E$2989,"&lt;="&amp;EOMONTH(AM7,0),Suzuki!$F$6:$F$2989,"Bond Received")+SUMIFS('1SK3DD'!$D$6:$D$2989,'1SK3DD'!$E$6:$E$2989,"&gt;="&amp;AM7,'1SK3DD'!$E$6:$E$2989,"&lt;="&amp;EOMONTH(AM7,0))-SUMIFS('1SK3DD'!$D$6:$D$2989,'1SK3DD'!$E$6:$E$2989,"&gt;="&amp;AM7,'1SK3DD'!$E$6:$E$2989,"&lt;="&amp;EOMONTH(AM7,0),'1SK3DD'!$F$6:$F$2989,$B$14)-(SUMIFS('1SK3DD'!$D$6:$D$2989,'1SK3DD'!$E$6:$E$2989,"&gt;="&amp;AM7,'1SK3DD'!$E$6:$E$2989,"&lt;="&amp;EOMONTH(AM7,0),'1SK3DD'!$F$6:$F$2989,"Discount Rent")*2)-SUMIFS('1SK3DD'!$D$6:$D$2989,'1SK3DD'!$E$6:$E$2989,"&gt;="&amp;AM7,'1SK3DD'!$E$6:$E$2989,"&lt;="&amp;EOMONTH(AM7,0),'1SK3DD'!$F$6:$F$2989,"Bond Received")+SUMIFS('1SX5TQ'!$D$6:$D$2989,'1SX5TQ'!$E$6:$E$2989,"&gt;="&amp;AM7,'1SX5TQ'!$E$6:$E$2989,"&lt;="&amp;EOMONTH(AM7,0))-SUMIFS('1SX5TQ'!$D$6:$D$2989,'1SX5TQ'!$E$6:$E$2989,"&gt;="&amp;AM7,'1SX5TQ'!$E$6:$E$2989,"&lt;="&amp;EOMONTH(AM7,0),'1SX5TQ'!$F$6:$F$2989,$B$14)-(SUMIFS('1SX5TQ'!$D$6:$D$2989,'1SX5TQ'!$E$6:$E$2989,"&gt;="&amp;AM7,'1SX5TQ'!$E$6:$E$2989,"&lt;="&amp;EOMONTH(AM7,0),'1SX5TQ'!$F$6:$F$2989,"Discount Rent")*2)-SUMIFS('1SX5TQ'!$D$6:$D$2989,'1SX5TQ'!$E$6:$E$2989,"&gt;="&amp;AM7,'1SX5TQ'!$E$6:$E$2989,"&lt;="&amp;EOMONTH(AM7,0),'1SX5TQ'!$F$6:$F$2989,"Bond Received")+SUMIFS('BMM465'!$D$6:$D$2989,'BMM465'!$E$6:$E$2989,"&gt;="&amp;AM7,'BMM465'!$E$6:$E$2989,"&lt;="&amp;EOMONTH(AM7,0))-SUMIFS('BMM465'!$D$6:$D$2989,'BMM465'!$E$6:$E$2989,"&gt;="&amp;AM7,'BMM465'!$E$6:$E$2989,"&lt;="&amp;EOMONTH(AM7,0),'BMM465'!$F$6:$F$2989,$B$14)-(SUMIFS('BMM465'!$D$6:$D$2989,'BMM465'!$E$6:$E$2989,"&gt;="&amp;AM7,'BMM465'!$E$6:$E$2989,"&lt;="&amp;EOMONTH(AM7,0),'BMM465'!$F$6:$F$2989,"Discount Rent")*2)-SUMIFS('BMM465'!$D$6:$D$2989,'BMM465'!$E$6:$E$2989,"&gt;="&amp;AM7,'BMM465'!$E$6:$E$2989,"&lt;="&amp;EOMONTH(AM7,0),'BMM465'!$F$6:$F$2989,"Bond Received")+SUMIFS('1CF1ZO'!$D$6:$D$2989,'1CF1ZO'!$E$6:$E$2989,"&gt;="&amp;AM7,'1CF1ZO'!$E$6:$E$2989,"&lt;="&amp;EOMONTH(AM7,0))-SUMIFS('1CF1ZO'!$D$6:$D$2989,'1CF1ZO'!$E$6:$E$2989,"&gt;="&amp;AM7,'1CF1ZO'!$E$6:$E$2989,"&lt;="&amp;EOMONTH(AM7,0),'1CF1ZO'!$F$6:$F$2989,$B$14)-(SUMIFS('1CF1ZO'!$D$6:$D$2989,'1CF1ZO'!$E$6:$E$2989,"&gt;="&amp;AM7,'1CF1ZO'!$E$6:$E$2989,"&lt;="&amp;EOMONTH(AM7,0),'1CF1ZO'!$F$6:$F$2989,"Discount Rent")*2)-SUMIFS('1CF1ZO'!$D$6:$D$2989,'1CF1ZO'!$E$6:$E$2989,"&gt;="&amp;AM7,'1CF1ZO'!$E$6:$E$2989,"&lt;="&amp;EOMONTH(AM7,0),'1CF1ZO'!$F$6:$F$2989,"Bond Received")+SUMIFS('1UK1BK'!$D$6:$D$2989,'1UK1BK'!$E$6:$E$2989,"&gt;="&amp;AM7,'1UK1BK'!$E$6:$E$2989,"&lt;="&amp;EOMONTH(AM7,0))-SUMIFS('1UK1BK'!$D$6:$D$2989,'1UK1BK'!$E$6:$E$2989,"&gt;="&amp;AM7,'1UK1BK'!$E$6:$E$2989,"&lt;="&amp;EOMONTH(AM7,0),'1UK1BK'!$F$6:$F$2989,$B$14)-(SUMIFS('1UK1BK'!$D$6:$D$2989,'1UK1BK'!$E$6:$E$2989,"&gt;="&amp;AM7,'1UK1BK'!$E$6:$E$2989,"&lt;="&amp;EOMONTH(AM7,0),'1UK1BK'!$F$6:$F$2989,"Discount Rent")*2)-SUMIFS('1UK1BK'!$D$6:$D$2989,'1UK1BK'!$E$6:$E$2989,"&gt;="&amp;AM7,'1UK1BK'!$E$6:$E$2989,"&lt;="&amp;EOMONTH(AM7,0),'1UK1BK'!$F$6:$F$2989,"Bond Received")</f>
        <v>#REF!</v>
      </c>
      <c r="AN11" s="108" t="e">
        <f>SUMIFS(#REF!,#REF!,"&gt;="&amp;AN7,#REF!,"&lt;="&amp;EOMONTH(AN7,0))-SUMIFS(#REF!,#REF!,"&gt;="&amp;AN7,#REF!,"&lt;="&amp;EOMONTH(AN7,0),#REF!,$B$14)-(SUMIFS(#REF!,#REF!,"&gt;="&amp;AN7,#REF!,"&lt;="&amp;EOMONTH(AN7,0),#REF!,"Discount Rent")*2)-SUMIFS(#REF!,#REF!,"&gt;="&amp;AN7,#REF!,"&lt;="&amp;EOMONTH(AN7,0),#REF!,"Bond Received")+SUMIFS('1JI2UE'!$D$6:$D$2989,'1JI2UE'!$E$6:$E$2989,"&gt;="&amp;AN7,'1JI2UE'!$E$6:$E$2989,"&lt;="&amp;EOMONTH(AN7,0))-SUMIFS('1JI2UE'!$D$6:$D$2989,'1JI2UE'!$E$6:$E$2989,"&gt;="&amp;AN7,'1JI2UE'!$E$6:$E$2989,"&lt;="&amp;EOMONTH(AN7,0),'1JI2UE'!$F$6:$F$2989,$B$14)-(SUMIFS('1JI2UE'!$D$6:$D$2989,'1JI2UE'!$E$6:$E$2989,"&gt;="&amp;AN7,'1JI2UE'!$E$6:$E$2989,"&lt;="&amp;EOMONTH(AN7,0),'1JI2UE'!$F$6:$F$2989,"Discount Rent")*2)-SUMIFS('1JI2UE'!$D$6:$D$2989,'1JI2UE'!$E$6:$E$2989,"&gt;="&amp;AN7,'1JI2UE'!$E$6:$E$2989,"&lt;="&amp;EOMONTH(AN7,0),'1JI2UE'!$F$6:$F$2989,"Bond Received")+SUMIFS(#REF!,#REF!,"&gt;="&amp;AN7,#REF!,"&lt;="&amp;EOMONTH(AN7,0))-SUMIFS(#REF!,#REF!,"&gt;="&amp;AN7,#REF!,"&lt;="&amp;EOMONTH(AN7,0),#REF!,$B$14)-(SUMIFS(#REF!,#REF!,"&gt;="&amp;AN7,#REF!,"&lt;="&amp;EOMONTH(AN7,0),#REF!,"Discount Rent")*2)-SUMIFS(#REF!,#REF!,"&gt;="&amp;AN7,#REF!,"&lt;="&amp;EOMONTH(AN7,0),#REF!,"Bond Received")+SUMIFS('1SI9BW'!$D$6:$D$2989,'1SI9BW'!$E$6:$E$2989,"&gt;="&amp;AN7,'1SI9BW'!$E$6:$E$2989,"&lt;="&amp;EOMONTH(AN7,0))-SUMIFS('1SI9BW'!$D$6:$D$2989,'1SI9BW'!$E$6:$E$2989,"&gt;="&amp;AN7,'1SI9BW'!$E$6:$E$2989,"&lt;="&amp;EOMONTH(AN7,0),'1SI9BW'!$F$6:$F$2989,$B$14)-(SUMIFS('1SI9BW'!$D$6:$D$2989,'1SI9BW'!$E$6:$E$2989,"&gt;="&amp;AN7,'1SI9BW'!$E$6:$E$2989,"&lt;="&amp;EOMONTH(AN7,0),'1SI9BW'!$F$6:$F$2989,"Discount Rent")*2)-SUMIFS('1SI9BW'!$D$6:$D$2989,'1SI9BW'!$E$6:$E$2989,"&gt;="&amp;AN7,'1SI9BW'!$E$6:$E$2989,"&lt;="&amp;EOMONTH(AN7,0),'1SI9BW'!$F$6:$F$2989,"Bond Received")+SUMIFS(Suzuki!$D$6:$D$2989,Suzuki!$E$6:$E$2989,"&gt;="&amp;AN7,Suzuki!$E$6:$E$2989,"&lt;="&amp;EOMONTH(AN7,0))-SUMIFS(Suzuki!$D$6:$D$2989,Suzuki!$E$6:$E$2989,"&gt;="&amp;AN7,Suzuki!$E$6:$E$2989,"&lt;="&amp;EOMONTH(AN7,0),Suzuki!$F$6:$F$2989,$B$14)-(SUMIFS(Suzuki!$D$6:$D$2989,Suzuki!$E$6:$E$2989,"&gt;="&amp;AN7,Suzuki!$E$6:$E$2989,"&lt;="&amp;EOMONTH(AN7,0),Suzuki!$F$6:$F$2989,"Discount Rent")*2)-SUMIFS(Suzuki!$D$6:$D$2989,Suzuki!$E$6:$E$2989,"&gt;="&amp;AN7,Suzuki!$E$6:$E$2989,"&lt;="&amp;EOMONTH(AN7,0),Suzuki!$F$6:$F$2989,"Bond Received")+SUMIFS('1SK3DD'!$D$6:$D$2989,'1SK3DD'!$E$6:$E$2989,"&gt;="&amp;AN7,'1SK3DD'!$E$6:$E$2989,"&lt;="&amp;EOMONTH(AN7,0))-SUMIFS('1SK3DD'!$D$6:$D$2989,'1SK3DD'!$E$6:$E$2989,"&gt;="&amp;AN7,'1SK3DD'!$E$6:$E$2989,"&lt;="&amp;EOMONTH(AN7,0),'1SK3DD'!$F$6:$F$2989,$B$14)-(SUMIFS('1SK3DD'!$D$6:$D$2989,'1SK3DD'!$E$6:$E$2989,"&gt;="&amp;AN7,'1SK3DD'!$E$6:$E$2989,"&lt;="&amp;EOMONTH(AN7,0),'1SK3DD'!$F$6:$F$2989,"Discount Rent")*2)-SUMIFS('1SK3DD'!$D$6:$D$2989,'1SK3DD'!$E$6:$E$2989,"&gt;="&amp;AN7,'1SK3DD'!$E$6:$E$2989,"&lt;="&amp;EOMONTH(AN7,0),'1SK3DD'!$F$6:$F$2989,"Bond Received")+SUMIFS('1SX5TQ'!$D$6:$D$2989,'1SX5TQ'!$E$6:$E$2989,"&gt;="&amp;AN7,'1SX5TQ'!$E$6:$E$2989,"&lt;="&amp;EOMONTH(AN7,0))-SUMIFS('1SX5TQ'!$D$6:$D$2989,'1SX5TQ'!$E$6:$E$2989,"&gt;="&amp;AN7,'1SX5TQ'!$E$6:$E$2989,"&lt;="&amp;EOMONTH(AN7,0),'1SX5TQ'!$F$6:$F$2989,$B$14)-(SUMIFS('1SX5TQ'!$D$6:$D$2989,'1SX5TQ'!$E$6:$E$2989,"&gt;="&amp;AN7,'1SX5TQ'!$E$6:$E$2989,"&lt;="&amp;EOMONTH(AN7,0),'1SX5TQ'!$F$6:$F$2989,"Discount Rent")*2)-SUMIFS('1SX5TQ'!$D$6:$D$2989,'1SX5TQ'!$E$6:$E$2989,"&gt;="&amp;AN7,'1SX5TQ'!$E$6:$E$2989,"&lt;="&amp;EOMONTH(AN7,0),'1SX5TQ'!$F$6:$F$2989,"Bond Received")+SUMIFS('BMM465'!$D$6:$D$2989,'BMM465'!$E$6:$E$2989,"&gt;="&amp;AN7,'BMM465'!$E$6:$E$2989,"&lt;="&amp;EOMONTH(AN7,0))-SUMIFS('BMM465'!$D$6:$D$2989,'BMM465'!$E$6:$E$2989,"&gt;="&amp;AN7,'BMM465'!$E$6:$E$2989,"&lt;="&amp;EOMONTH(AN7,0),'BMM465'!$F$6:$F$2989,$B$14)-(SUMIFS('BMM465'!$D$6:$D$2989,'BMM465'!$E$6:$E$2989,"&gt;="&amp;AN7,'BMM465'!$E$6:$E$2989,"&lt;="&amp;EOMONTH(AN7,0),'BMM465'!$F$6:$F$2989,"Discount Rent")*2)-SUMIFS('BMM465'!$D$6:$D$2989,'BMM465'!$E$6:$E$2989,"&gt;="&amp;AN7,'BMM465'!$E$6:$E$2989,"&lt;="&amp;EOMONTH(AN7,0),'BMM465'!$F$6:$F$2989,"Bond Received")+SUMIFS('1CF1ZO'!$D$6:$D$2989,'1CF1ZO'!$E$6:$E$2989,"&gt;="&amp;AN7,'1CF1ZO'!$E$6:$E$2989,"&lt;="&amp;EOMONTH(AN7,0))-SUMIFS('1CF1ZO'!$D$6:$D$2989,'1CF1ZO'!$E$6:$E$2989,"&gt;="&amp;AN7,'1CF1ZO'!$E$6:$E$2989,"&lt;="&amp;EOMONTH(AN7,0),'1CF1ZO'!$F$6:$F$2989,$B$14)-(SUMIFS('1CF1ZO'!$D$6:$D$2989,'1CF1ZO'!$E$6:$E$2989,"&gt;="&amp;AN7,'1CF1ZO'!$E$6:$E$2989,"&lt;="&amp;EOMONTH(AN7,0),'1CF1ZO'!$F$6:$F$2989,"Discount Rent")*2)-SUMIFS('1CF1ZO'!$D$6:$D$2989,'1CF1ZO'!$E$6:$E$2989,"&gt;="&amp;AN7,'1CF1ZO'!$E$6:$E$2989,"&lt;="&amp;EOMONTH(AN7,0),'1CF1ZO'!$F$6:$F$2989,"Bond Received")+SUMIFS('1UK1BK'!$D$6:$D$2989,'1UK1BK'!$E$6:$E$2989,"&gt;="&amp;AN7,'1UK1BK'!$E$6:$E$2989,"&lt;="&amp;EOMONTH(AN7,0))-SUMIFS('1UK1BK'!$D$6:$D$2989,'1UK1BK'!$E$6:$E$2989,"&gt;="&amp;AN7,'1UK1BK'!$E$6:$E$2989,"&lt;="&amp;EOMONTH(AN7,0),'1UK1BK'!$F$6:$F$2989,$B$14)-(SUMIFS('1UK1BK'!$D$6:$D$2989,'1UK1BK'!$E$6:$E$2989,"&gt;="&amp;AN7,'1UK1BK'!$E$6:$E$2989,"&lt;="&amp;EOMONTH(AN7,0),'1UK1BK'!$F$6:$F$2989,"Discount Rent")*2)-SUMIFS('1UK1BK'!$D$6:$D$2989,'1UK1BK'!$E$6:$E$2989,"&gt;="&amp;AN7,'1UK1BK'!$E$6:$E$2989,"&lt;="&amp;EOMONTH(AN7,0),'1UK1BK'!$F$6:$F$2989,"Bond Received")</f>
        <v>#REF!</v>
      </c>
      <c r="AO11" s="108" t="e">
        <f>SUMIFS(#REF!,#REF!,"&gt;="&amp;AO7,#REF!,"&lt;="&amp;EOMONTH(AO7,0))-SUMIFS(#REF!,#REF!,"&gt;="&amp;AO7,#REF!,"&lt;="&amp;EOMONTH(AO7,0),#REF!,$B$14)-(SUMIFS(#REF!,#REF!,"&gt;="&amp;AO7,#REF!,"&lt;="&amp;EOMONTH(AO7,0),#REF!,"Discount Rent")*2)-SUMIFS(#REF!,#REF!,"&gt;="&amp;AO7,#REF!,"&lt;="&amp;EOMONTH(AO7,0),#REF!,"Bond Received")+SUMIFS('1JI2UE'!$D$6:$D$2989,'1JI2UE'!$E$6:$E$2989,"&gt;="&amp;AO7,'1JI2UE'!$E$6:$E$2989,"&lt;="&amp;EOMONTH(AO7,0))-SUMIFS('1JI2UE'!$D$6:$D$2989,'1JI2UE'!$E$6:$E$2989,"&gt;="&amp;AO7,'1JI2UE'!$E$6:$E$2989,"&lt;="&amp;EOMONTH(AO7,0),'1JI2UE'!$F$6:$F$2989,$B$14)-(SUMIFS('1JI2UE'!$D$6:$D$2989,'1JI2UE'!$E$6:$E$2989,"&gt;="&amp;AO7,'1JI2UE'!$E$6:$E$2989,"&lt;="&amp;EOMONTH(AO7,0),'1JI2UE'!$F$6:$F$2989,"Discount Rent")*2)-SUMIFS('1JI2UE'!$D$6:$D$2989,'1JI2UE'!$E$6:$E$2989,"&gt;="&amp;AO7,'1JI2UE'!$E$6:$E$2989,"&lt;="&amp;EOMONTH(AO7,0),'1JI2UE'!$F$6:$F$2989,"Bond Received")+SUMIFS(#REF!,#REF!,"&gt;="&amp;AO7,#REF!,"&lt;="&amp;EOMONTH(AO7,0))-SUMIFS(#REF!,#REF!,"&gt;="&amp;AO7,#REF!,"&lt;="&amp;EOMONTH(AO7,0),#REF!,$B$14)-(SUMIFS(#REF!,#REF!,"&gt;="&amp;AO7,#REF!,"&lt;="&amp;EOMONTH(AO7,0),#REF!,"Discount Rent")*2)-SUMIFS(#REF!,#REF!,"&gt;="&amp;AO7,#REF!,"&lt;="&amp;EOMONTH(AO7,0),#REF!,"Bond Received")+SUMIFS('1SI9BW'!$D$6:$D$2989,'1SI9BW'!$E$6:$E$2989,"&gt;="&amp;AO7,'1SI9BW'!$E$6:$E$2989,"&lt;="&amp;EOMONTH(AO7,0))-SUMIFS('1SI9BW'!$D$6:$D$2989,'1SI9BW'!$E$6:$E$2989,"&gt;="&amp;AO7,'1SI9BW'!$E$6:$E$2989,"&lt;="&amp;EOMONTH(AO7,0),'1SI9BW'!$F$6:$F$2989,$B$14)-(SUMIFS('1SI9BW'!$D$6:$D$2989,'1SI9BW'!$E$6:$E$2989,"&gt;="&amp;AO7,'1SI9BW'!$E$6:$E$2989,"&lt;="&amp;EOMONTH(AO7,0),'1SI9BW'!$F$6:$F$2989,"Discount Rent")*2)-SUMIFS('1SI9BW'!$D$6:$D$2989,'1SI9BW'!$E$6:$E$2989,"&gt;="&amp;AO7,'1SI9BW'!$E$6:$E$2989,"&lt;="&amp;EOMONTH(AO7,0),'1SI9BW'!$F$6:$F$2989,"Bond Received")+SUMIFS(Suzuki!$D$6:$D$2989,Suzuki!$E$6:$E$2989,"&gt;="&amp;AO7,Suzuki!$E$6:$E$2989,"&lt;="&amp;EOMONTH(AO7,0))-SUMIFS(Suzuki!$D$6:$D$2989,Suzuki!$E$6:$E$2989,"&gt;="&amp;AO7,Suzuki!$E$6:$E$2989,"&lt;="&amp;EOMONTH(AO7,0),Suzuki!$F$6:$F$2989,$B$14)-(SUMIFS(Suzuki!$D$6:$D$2989,Suzuki!$E$6:$E$2989,"&gt;="&amp;AO7,Suzuki!$E$6:$E$2989,"&lt;="&amp;EOMONTH(AO7,0),Suzuki!$F$6:$F$2989,"Discount Rent")*2)-SUMIFS(Suzuki!$D$6:$D$2989,Suzuki!$E$6:$E$2989,"&gt;="&amp;AO7,Suzuki!$E$6:$E$2989,"&lt;="&amp;EOMONTH(AO7,0),Suzuki!$F$6:$F$2989,"Bond Received")+SUMIFS('1SK3DD'!$D$6:$D$2989,'1SK3DD'!$E$6:$E$2989,"&gt;="&amp;AO7,'1SK3DD'!$E$6:$E$2989,"&lt;="&amp;EOMONTH(AO7,0))-SUMIFS('1SK3DD'!$D$6:$D$2989,'1SK3DD'!$E$6:$E$2989,"&gt;="&amp;AO7,'1SK3DD'!$E$6:$E$2989,"&lt;="&amp;EOMONTH(AO7,0),'1SK3DD'!$F$6:$F$2989,$B$14)-(SUMIFS('1SK3DD'!$D$6:$D$2989,'1SK3DD'!$E$6:$E$2989,"&gt;="&amp;AO7,'1SK3DD'!$E$6:$E$2989,"&lt;="&amp;EOMONTH(AO7,0),'1SK3DD'!$F$6:$F$2989,"Discount Rent")*2)-SUMIFS('1SK3DD'!$D$6:$D$2989,'1SK3DD'!$E$6:$E$2989,"&gt;="&amp;AO7,'1SK3DD'!$E$6:$E$2989,"&lt;="&amp;EOMONTH(AO7,0),'1SK3DD'!$F$6:$F$2989,"Bond Received")+SUMIFS('1SX5TQ'!$D$6:$D$2989,'1SX5TQ'!$E$6:$E$2989,"&gt;="&amp;AO7,'1SX5TQ'!$E$6:$E$2989,"&lt;="&amp;EOMONTH(AO7,0))-SUMIFS('1SX5TQ'!$D$6:$D$2989,'1SX5TQ'!$E$6:$E$2989,"&gt;="&amp;AO7,'1SX5TQ'!$E$6:$E$2989,"&lt;="&amp;EOMONTH(AO7,0),'1SX5TQ'!$F$6:$F$2989,$B$14)-(SUMIFS('1SX5TQ'!$D$6:$D$2989,'1SX5TQ'!$E$6:$E$2989,"&gt;="&amp;AO7,'1SX5TQ'!$E$6:$E$2989,"&lt;="&amp;EOMONTH(AO7,0),'1SX5TQ'!$F$6:$F$2989,"Discount Rent")*2)-SUMIFS('1SX5TQ'!$D$6:$D$2989,'1SX5TQ'!$E$6:$E$2989,"&gt;="&amp;AO7,'1SX5TQ'!$E$6:$E$2989,"&lt;="&amp;EOMONTH(AO7,0),'1SX5TQ'!$F$6:$F$2989,"Bond Received")+SUMIFS('BMM465'!$D$6:$D$2989,'BMM465'!$E$6:$E$2989,"&gt;="&amp;AO7,'BMM465'!$E$6:$E$2989,"&lt;="&amp;EOMONTH(AO7,0))-SUMIFS('BMM465'!$D$6:$D$2989,'BMM465'!$E$6:$E$2989,"&gt;="&amp;AO7,'BMM465'!$E$6:$E$2989,"&lt;="&amp;EOMONTH(AO7,0),'BMM465'!$F$6:$F$2989,$B$14)-(SUMIFS('BMM465'!$D$6:$D$2989,'BMM465'!$E$6:$E$2989,"&gt;="&amp;AO7,'BMM465'!$E$6:$E$2989,"&lt;="&amp;EOMONTH(AO7,0),'BMM465'!$F$6:$F$2989,"Discount Rent")*2)-SUMIFS('BMM465'!$D$6:$D$2989,'BMM465'!$E$6:$E$2989,"&gt;="&amp;AO7,'BMM465'!$E$6:$E$2989,"&lt;="&amp;EOMONTH(AO7,0),'BMM465'!$F$6:$F$2989,"Bond Received")+SUMIFS('1CF1ZO'!$D$6:$D$2989,'1CF1ZO'!$E$6:$E$2989,"&gt;="&amp;AO7,'1CF1ZO'!$E$6:$E$2989,"&lt;="&amp;EOMONTH(AO7,0))-SUMIFS('1CF1ZO'!$D$6:$D$2989,'1CF1ZO'!$E$6:$E$2989,"&gt;="&amp;AO7,'1CF1ZO'!$E$6:$E$2989,"&lt;="&amp;EOMONTH(AO7,0),'1CF1ZO'!$F$6:$F$2989,$B$14)-(SUMIFS('1CF1ZO'!$D$6:$D$2989,'1CF1ZO'!$E$6:$E$2989,"&gt;="&amp;AO7,'1CF1ZO'!$E$6:$E$2989,"&lt;="&amp;EOMONTH(AO7,0),'1CF1ZO'!$F$6:$F$2989,"Discount Rent")*2)-SUMIFS('1CF1ZO'!$D$6:$D$2989,'1CF1ZO'!$E$6:$E$2989,"&gt;="&amp;AO7,'1CF1ZO'!$E$6:$E$2989,"&lt;="&amp;EOMONTH(AO7,0),'1CF1ZO'!$F$6:$F$2989,"Bond Received")+SUMIFS('1UK1BK'!$D$6:$D$2989,'1UK1BK'!$E$6:$E$2989,"&gt;="&amp;AO7,'1UK1BK'!$E$6:$E$2989,"&lt;="&amp;EOMONTH(AO7,0))-SUMIFS('1UK1BK'!$D$6:$D$2989,'1UK1BK'!$E$6:$E$2989,"&gt;="&amp;AO7,'1UK1BK'!$E$6:$E$2989,"&lt;="&amp;EOMONTH(AO7,0),'1UK1BK'!$F$6:$F$2989,$B$14)-(SUMIFS('1UK1BK'!$D$6:$D$2989,'1UK1BK'!$E$6:$E$2989,"&gt;="&amp;AO7,'1UK1BK'!$E$6:$E$2989,"&lt;="&amp;EOMONTH(AO7,0),'1UK1BK'!$F$6:$F$2989,"Discount Rent")*2)-SUMIFS('1UK1BK'!$D$6:$D$2989,'1UK1BK'!$E$6:$E$2989,"&gt;="&amp;AO7,'1UK1BK'!$E$6:$E$2989,"&lt;="&amp;EOMONTH(AO7,0),'1UK1BK'!$F$6:$F$2989,"Bond Received")</f>
        <v>#REF!</v>
      </c>
      <c r="AP11" s="108" t="e">
        <f>SUMIFS(#REF!,#REF!,"&gt;="&amp;AP7,#REF!,"&lt;="&amp;EOMONTH(AP7,0))-SUMIFS(#REF!,#REF!,"&gt;="&amp;AP7,#REF!,"&lt;="&amp;EOMONTH(AP7,0),#REF!,$B$14)-(SUMIFS(#REF!,#REF!,"&gt;="&amp;AP7,#REF!,"&lt;="&amp;EOMONTH(AP7,0),#REF!,"Discount Rent")*2)-SUMIFS(#REF!,#REF!,"&gt;="&amp;AP7,#REF!,"&lt;="&amp;EOMONTH(AP7,0),#REF!,"Bond Received")+SUMIFS('1JI2UE'!$D$6:$D$2989,'1JI2UE'!$E$6:$E$2989,"&gt;="&amp;AP7,'1JI2UE'!$E$6:$E$2989,"&lt;="&amp;EOMONTH(AP7,0))-SUMIFS('1JI2UE'!$D$6:$D$2989,'1JI2UE'!$E$6:$E$2989,"&gt;="&amp;AP7,'1JI2UE'!$E$6:$E$2989,"&lt;="&amp;EOMONTH(AP7,0),'1JI2UE'!$F$6:$F$2989,$B$14)-(SUMIFS('1JI2UE'!$D$6:$D$2989,'1JI2UE'!$E$6:$E$2989,"&gt;="&amp;AP7,'1JI2UE'!$E$6:$E$2989,"&lt;="&amp;EOMONTH(AP7,0),'1JI2UE'!$F$6:$F$2989,"Discount Rent")*2)-SUMIFS('1JI2UE'!$D$6:$D$2989,'1JI2UE'!$E$6:$E$2989,"&gt;="&amp;AP7,'1JI2UE'!$E$6:$E$2989,"&lt;="&amp;EOMONTH(AP7,0),'1JI2UE'!$F$6:$F$2989,"Bond Received")+SUMIFS(#REF!,#REF!,"&gt;="&amp;AP7,#REF!,"&lt;="&amp;EOMONTH(AP7,0))-SUMIFS(#REF!,#REF!,"&gt;="&amp;AP7,#REF!,"&lt;="&amp;EOMONTH(AP7,0),#REF!,$B$14)-(SUMIFS(#REF!,#REF!,"&gt;="&amp;AP7,#REF!,"&lt;="&amp;EOMONTH(AP7,0),#REF!,"Discount Rent")*2)-SUMIFS(#REF!,#REF!,"&gt;="&amp;AP7,#REF!,"&lt;="&amp;EOMONTH(AP7,0),#REF!,"Bond Received")+SUMIFS('1SI9BW'!$D$6:$D$2989,'1SI9BW'!$E$6:$E$2989,"&gt;="&amp;AP7,'1SI9BW'!$E$6:$E$2989,"&lt;="&amp;EOMONTH(AP7,0))-SUMIFS('1SI9BW'!$D$6:$D$2989,'1SI9BW'!$E$6:$E$2989,"&gt;="&amp;AP7,'1SI9BW'!$E$6:$E$2989,"&lt;="&amp;EOMONTH(AP7,0),'1SI9BW'!$F$6:$F$2989,$B$14)-(SUMIFS('1SI9BW'!$D$6:$D$2989,'1SI9BW'!$E$6:$E$2989,"&gt;="&amp;AP7,'1SI9BW'!$E$6:$E$2989,"&lt;="&amp;EOMONTH(AP7,0),'1SI9BW'!$F$6:$F$2989,"Discount Rent")*2)-SUMIFS('1SI9BW'!$D$6:$D$2989,'1SI9BW'!$E$6:$E$2989,"&gt;="&amp;AP7,'1SI9BW'!$E$6:$E$2989,"&lt;="&amp;EOMONTH(AP7,0),'1SI9BW'!$F$6:$F$2989,"Bond Received")+SUMIFS(Suzuki!$D$6:$D$2989,Suzuki!$E$6:$E$2989,"&gt;="&amp;AP7,Suzuki!$E$6:$E$2989,"&lt;="&amp;EOMONTH(AP7,0))-SUMIFS(Suzuki!$D$6:$D$2989,Suzuki!$E$6:$E$2989,"&gt;="&amp;AP7,Suzuki!$E$6:$E$2989,"&lt;="&amp;EOMONTH(AP7,0),Suzuki!$F$6:$F$2989,$B$14)-(SUMIFS(Suzuki!$D$6:$D$2989,Suzuki!$E$6:$E$2989,"&gt;="&amp;AP7,Suzuki!$E$6:$E$2989,"&lt;="&amp;EOMONTH(AP7,0),Suzuki!$F$6:$F$2989,"Discount Rent")*2)-SUMIFS(Suzuki!$D$6:$D$2989,Suzuki!$E$6:$E$2989,"&gt;="&amp;AP7,Suzuki!$E$6:$E$2989,"&lt;="&amp;EOMONTH(AP7,0),Suzuki!$F$6:$F$2989,"Bond Received")+SUMIFS('1SK3DD'!$D$6:$D$2989,'1SK3DD'!$E$6:$E$2989,"&gt;="&amp;AP7,'1SK3DD'!$E$6:$E$2989,"&lt;="&amp;EOMONTH(AP7,0))-SUMIFS('1SK3DD'!$D$6:$D$2989,'1SK3DD'!$E$6:$E$2989,"&gt;="&amp;AP7,'1SK3DD'!$E$6:$E$2989,"&lt;="&amp;EOMONTH(AP7,0),'1SK3DD'!$F$6:$F$2989,$B$14)-(SUMIFS('1SK3DD'!$D$6:$D$2989,'1SK3DD'!$E$6:$E$2989,"&gt;="&amp;AP7,'1SK3DD'!$E$6:$E$2989,"&lt;="&amp;EOMONTH(AP7,0),'1SK3DD'!$F$6:$F$2989,"Discount Rent")*2)-SUMIFS('1SK3DD'!$D$6:$D$2989,'1SK3DD'!$E$6:$E$2989,"&gt;="&amp;AP7,'1SK3DD'!$E$6:$E$2989,"&lt;="&amp;EOMONTH(AP7,0),'1SK3DD'!$F$6:$F$2989,"Bond Received")+SUMIFS('1SX5TQ'!$D$6:$D$2989,'1SX5TQ'!$E$6:$E$2989,"&gt;="&amp;AP7,'1SX5TQ'!$E$6:$E$2989,"&lt;="&amp;EOMONTH(AP7,0))-SUMIFS('1SX5TQ'!$D$6:$D$2989,'1SX5TQ'!$E$6:$E$2989,"&gt;="&amp;AP7,'1SX5TQ'!$E$6:$E$2989,"&lt;="&amp;EOMONTH(AP7,0),'1SX5TQ'!$F$6:$F$2989,$B$14)-(SUMIFS('1SX5TQ'!$D$6:$D$2989,'1SX5TQ'!$E$6:$E$2989,"&gt;="&amp;AP7,'1SX5TQ'!$E$6:$E$2989,"&lt;="&amp;EOMONTH(AP7,0),'1SX5TQ'!$F$6:$F$2989,"Discount Rent")*2)-SUMIFS('1SX5TQ'!$D$6:$D$2989,'1SX5TQ'!$E$6:$E$2989,"&gt;="&amp;AP7,'1SX5TQ'!$E$6:$E$2989,"&lt;="&amp;EOMONTH(AP7,0),'1SX5TQ'!$F$6:$F$2989,"Bond Received")+SUMIFS('BMM465'!$D$6:$D$2989,'BMM465'!$E$6:$E$2989,"&gt;="&amp;AP7,'BMM465'!$E$6:$E$2989,"&lt;="&amp;EOMONTH(AP7,0))-SUMIFS('BMM465'!$D$6:$D$2989,'BMM465'!$E$6:$E$2989,"&gt;="&amp;AP7,'BMM465'!$E$6:$E$2989,"&lt;="&amp;EOMONTH(AP7,0),'BMM465'!$F$6:$F$2989,$B$14)-(SUMIFS('BMM465'!$D$6:$D$2989,'BMM465'!$E$6:$E$2989,"&gt;="&amp;AP7,'BMM465'!$E$6:$E$2989,"&lt;="&amp;EOMONTH(AP7,0),'BMM465'!$F$6:$F$2989,"Discount Rent")*2)-SUMIFS('BMM465'!$D$6:$D$2989,'BMM465'!$E$6:$E$2989,"&gt;="&amp;AP7,'BMM465'!$E$6:$E$2989,"&lt;="&amp;EOMONTH(AP7,0),'BMM465'!$F$6:$F$2989,"Bond Received")+SUMIFS('1CF1ZO'!$D$6:$D$2989,'1CF1ZO'!$E$6:$E$2989,"&gt;="&amp;AP7,'1CF1ZO'!$E$6:$E$2989,"&lt;="&amp;EOMONTH(AP7,0))-SUMIFS('1CF1ZO'!$D$6:$D$2989,'1CF1ZO'!$E$6:$E$2989,"&gt;="&amp;AP7,'1CF1ZO'!$E$6:$E$2989,"&lt;="&amp;EOMONTH(AP7,0),'1CF1ZO'!$F$6:$F$2989,$B$14)-(SUMIFS('1CF1ZO'!$D$6:$D$2989,'1CF1ZO'!$E$6:$E$2989,"&gt;="&amp;AP7,'1CF1ZO'!$E$6:$E$2989,"&lt;="&amp;EOMONTH(AP7,0),'1CF1ZO'!$F$6:$F$2989,"Discount Rent")*2)-SUMIFS('1CF1ZO'!$D$6:$D$2989,'1CF1ZO'!$E$6:$E$2989,"&gt;="&amp;AP7,'1CF1ZO'!$E$6:$E$2989,"&lt;="&amp;EOMONTH(AP7,0),'1CF1ZO'!$F$6:$F$2989,"Bond Received")+SUMIFS('1UK1BK'!$D$6:$D$2989,'1UK1BK'!$E$6:$E$2989,"&gt;="&amp;AP7,'1UK1BK'!$E$6:$E$2989,"&lt;="&amp;EOMONTH(AP7,0))-SUMIFS('1UK1BK'!$D$6:$D$2989,'1UK1BK'!$E$6:$E$2989,"&gt;="&amp;AP7,'1UK1BK'!$E$6:$E$2989,"&lt;="&amp;EOMONTH(AP7,0),'1UK1BK'!$F$6:$F$2989,$B$14)-(SUMIFS('1UK1BK'!$D$6:$D$2989,'1UK1BK'!$E$6:$E$2989,"&gt;="&amp;AP7,'1UK1BK'!$E$6:$E$2989,"&lt;="&amp;EOMONTH(AP7,0),'1UK1BK'!$F$6:$F$2989,"Discount Rent")*2)-SUMIFS('1UK1BK'!$D$6:$D$2989,'1UK1BK'!$E$6:$E$2989,"&gt;="&amp;AP7,'1UK1BK'!$E$6:$E$2989,"&lt;="&amp;EOMONTH(AP7,0),'1UK1BK'!$F$6:$F$2989,"Bond Received")</f>
        <v>#REF!</v>
      </c>
      <c r="AQ11" s="108" t="e">
        <f>SUMIFS(#REF!,#REF!,"&gt;="&amp;AQ7,#REF!,"&lt;="&amp;EOMONTH(AQ7,0))-SUMIFS(#REF!,#REF!,"&gt;="&amp;AQ7,#REF!,"&lt;="&amp;EOMONTH(AQ7,0),#REF!,$B$14)-(SUMIFS(#REF!,#REF!,"&gt;="&amp;AQ7,#REF!,"&lt;="&amp;EOMONTH(AQ7,0),#REF!,"Discount Rent")*2)-SUMIFS(#REF!,#REF!,"&gt;="&amp;AQ7,#REF!,"&lt;="&amp;EOMONTH(AQ7,0),#REF!,"Bond Received")+SUMIFS('1JI2UE'!$D$6:$D$2989,'1JI2UE'!$E$6:$E$2989,"&gt;="&amp;AQ7,'1JI2UE'!$E$6:$E$2989,"&lt;="&amp;EOMONTH(AQ7,0))-SUMIFS('1JI2UE'!$D$6:$D$2989,'1JI2UE'!$E$6:$E$2989,"&gt;="&amp;AQ7,'1JI2UE'!$E$6:$E$2989,"&lt;="&amp;EOMONTH(AQ7,0),'1JI2UE'!$F$6:$F$2989,$B$14)-(SUMIFS('1JI2UE'!$D$6:$D$2989,'1JI2UE'!$E$6:$E$2989,"&gt;="&amp;AQ7,'1JI2UE'!$E$6:$E$2989,"&lt;="&amp;EOMONTH(AQ7,0),'1JI2UE'!$F$6:$F$2989,"Discount Rent")*2)-SUMIFS('1JI2UE'!$D$6:$D$2989,'1JI2UE'!$E$6:$E$2989,"&gt;="&amp;AQ7,'1JI2UE'!$E$6:$E$2989,"&lt;="&amp;EOMONTH(AQ7,0),'1JI2UE'!$F$6:$F$2989,"Bond Received")+SUMIFS(#REF!,#REF!,"&gt;="&amp;AQ7,#REF!,"&lt;="&amp;EOMONTH(AQ7,0))-SUMIFS(#REF!,#REF!,"&gt;="&amp;AQ7,#REF!,"&lt;="&amp;EOMONTH(AQ7,0),#REF!,$B$14)-(SUMIFS(#REF!,#REF!,"&gt;="&amp;AQ7,#REF!,"&lt;="&amp;EOMONTH(AQ7,0),#REF!,"Discount Rent")*2)-SUMIFS(#REF!,#REF!,"&gt;="&amp;AQ7,#REF!,"&lt;="&amp;EOMONTH(AQ7,0),#REF!,"Bond Received")+SUMIFS('1SI9BW'!$D$6:$D$2989,'1SI9BW'!$E$6:$E$2989,"&gt;="&amp;AQ7,'1SI9BW'!$E$6:$E$2989,"&lt;="&amp;EOMONTH(AQ7,0))-SUMIFS('1SI9BW'!$D$6:$D$2989,'1SI9BW'!$E$6:$E$2989,"&gt;="&amp;AQ7,'1SI9BW'!$E$6:$E$2989,"&lt;="&amp;EOMONTH(AQ7,0),'1SI9BW'!$F$6:$F$2989,$B$14)-(SUMIFS('1SI9BW'!$D$6:$D$2989,'1SI9BW'!$E$6:$E$2989,"&gt;="&amp;AQ7,'1SI9BW'!$E$6:$E$2989,"&lt;="&amp;EOMONTH(AQ7,0),'1SI9BW'!$F$6:$F$2989,"Discount Rent")*2)-SUMIFS('1SI9BW'!$D$6:$D$2989,'1SI9BW'!$E$6:$E$2989,"&gt;="&amp;AQ7,'1SI9BW'!$E$6:$E$2989,"&lt;="&amp;EOMONTH(AQ7,0),'1SI9BW'!$F$6:$F$2989,"Bond Received")+SUMIFS(Suzuki!$D$6:$D$2989,Suzuki!$E$6:$E$2989,"&gt;="&amp;AQ7,Suzuki!$E$6:$E$2989,"&lt;="&amp;EOMONTH(AQ7,0))-SUMIFS(Suzuki!$D$6:$D$2989,Suzuki!$E$6:$E$2989,"&gt;="&amp;AQ7,Suzuki!$E$6:$E$2989,"&lt;="&amp;EOMONTH(AQ7,0),Suzuki!$F$6:$F$2989,$B$14)-(SUMIFS(Suzuki!$D$6:$D$2989,Suzuki!$E$6:$E$2989,"&gt;="&amp;AQ7,Suzuki!$E$6:$E$2989,"&lt;="&amp;EOMONTH(AQ7,0),Suzuki!$F$6:$F$2989,"Discount Rent")*2)-SUMIFS(Suzuki!$D$6:$D$2989,Suzuki!$E$6:$E$2989,"&gt;="&amp;AQ7,Suzuki!$E$6:$E$2989,"&lt;="&amp;EOMONTH(AQ7,0),Suzuki!$F$6:$F$2989,"Bond Received")+SUMIFS('1SK3DD'!$D$6:$D$2989,'1SK3DD'!$E$6:$E$2989,"&gt;="&amp;AQ7,'1SK3DD'!$E$6:$E$2989,"&lt;="&amp;EOMONTH(AQ7,0))-SUMIFS('1SK3DD'!$D$6:$D$2989,'1SK3DD'!$E$6:$E$2989,"&gt;="&amp;AQ7,'1SK3DD'!$E$6:$E$2989,"&lt;="&amp;EOMONTH(AQ7,0),'1SK3DD'!$F$6:$F$2989,$B$14)-(SUMIFS('1SK3DD'!$D$6:$D$2989,'1SK3DD'!$E$6:$E$2989,"&gt;="&amp;AQ7,'1SK3DD'!$E$6:$E$2989,"&lt;="&amp;EOMONTH(AQ7,0),'1SK3DD'!$F$6:$F$2989,"Discount Rent")*2)-SUMIFS('1SK3DD'!$D$6:$D$2989,'1SK3DD'!$E$6:$E$2989,"&gt;="&amp;AQ7,'1SK3DD'!$E$6:$E$2989,"&lt;="&amp;EOMONTH(AQ7,0),'1SK3DD'!$F$6:$F$2989,"Bond Received")+SUMIFS('1SX5TQ'!$D$6:$D$2989,'1SX5TQ'!$E$6:$E$2989,"&gt;="&amp;AQ7,'1SX5TQ'!$E$6:$E$2989,"&lt;="&amp;EOMONTH(AQ7,0))-SUMIFS('1SX5TQ'!$D$6:$D$2989,'1SX5TQ'!$E$6:$E$2989,"&gt;="&amp;AQ7,'1SX5TQ'!$E$6:$E$2989,"&lt;="&amp;EOMONTH(AQ7,0),'1SX5TQ'!$F$6:$F$2989,$B$14)-(SUMIFS('1SX5TQ'!$D$6:$D$2989,'1SX5TQ'!$E$6:$E$2989,"&gt;="&amp;AQ7,'1SX5TQ'!$E$6:$E$2989,"&lt;="&amp;EOMONTH(AQ7,0),'1SX5TQ'!$F$6:$F$2989,"Discount Rent")*2)-SUMIFS('1SX5TQ'!$D$6:$D$2989,'1SX5TQ'!$E$6:$E$2989,"&gt;="&amp;AQ7,'1SX5TQ'!$E$6:$E$2989,"&lt;="&amp;EOMONTH(AQ7,0),'1SX5TQ'!$F$6:$F$2989,"Bond Received")+SUMIFS('BMM465'!$D$6:$D$2989,'BMM465'!$E$6:$E$2989,"&gt;="&amp;AQ7,'BMM465'!$E$6:$E$2989,"&lt;="&amp;EOMONTH(AQ7,0))-SUMIFS('BMM465'!$D$6:$D$2989,'BMM465'!$E$6:$E$2989,"&gt;="&amp;AQ7,'BMM465'!$E$6:$E$2989,"&lt;="&amp;EOMONTH(AQ7,0),'BMM465'!$F$6:$F$2989,$B$14)-(SUMIFS('BMM465'!$D$6:$D$2989,'BMM465'!$E$6:$E$2989,"&gt;="&amp;AQ7,'BMM465'!$E$6:$E$2989,"&lt;="&amp;EOMONTH(AQ7,0),'BMM465'!$F$6:$F$2989,"Discount Rent")*2)-SUMIFS('BMM465'!$D$6:$D$2989,'BMM465'!$E$6:$E$2989,"&gt;="&amp;AQ7,'BMM465'!$E$6:$E$2989,"&lt;="&amp;EOMONTH(AQ7,0),'BMM465'!$F$6:$F$2989,"Bond Received")+SUMIFS('1CF1ZO'!$D$6:$D$2989,'1CF1ZO'!$E$6:$E$2989,"&gt;="&amp;AQ7,'1CF1ZO'!$E$6:$E$2989,"&lt;="&amp;EOMONTH(AQ7,0))-SUMIFS('1CF1ZO'!$D$6:$D$2989,'1CF1ZO'!$E$6:$E$2989,"&gt;="&amp;AQ7,'1CF1ZO'!$E$6:$E$2989,"&lt;="&amp;EOMONTH(AQ7,0),'1CF1ZO'!$F$6:$F$2989,$B$14)-(SUMIFS('1CF1ZO'!$D$6:$D$2989,'1CF1ZO'!$E$6:$E$2989,"&gt;="&amp;AQ7,'1CF1ZO'!$E$6:$E$2989,"&lt;="&amp;EOMONTH(AQ7,0),'1CF1ZO'!$F$6:$F$2989,"Discount Rent")*2)-SUMIFS('1CF1ZO'!$D$6:$D$2989,'1CF1ZO'!$E$6:$E$2989,"&gt;="&amp;AQ7,'1CF1ZO'!$E$6:$E$2989,"&lt;="&amp;EOMONTH(AQ7,0),'1CF1ZO'!$F$6:$F$2989,"Bond Received")+SUMIFS('1UK1BK'!$D$6:$D$2989,'1UK1BK'!$E$6:$E$2989,"&gt;="&amp;AQ7,'1UK1BK'!$E$6:$E$2989,"&lt;="&amp;EOMONTH(AQ7,0))-SUMIFS('1UK1BK'!$D$6:$D$2989,'1UK1BK'!$E$6:$E$2989,"&gt;="&amp;AQ7,'1UK1BK'!$E$6:$E$2989,"&lt;="&amp;EOMONTH(AQ7,0),'1UK1BK'!$F$6:$F$2989,$B$14)-(SUMIFS('1UK1BK'!$D$6:$D$2989,'1UK1BK'!$E$6:$E$2989,"&gt;="&amp;AQ7,'1UK1BK'!$E$6:$E$2989,"&lt;="&amp;EOMONTH(AQ7,0),'1UK1BK'!$F$6:$F$2989,"Discount Rent")*2)-SUMIFS('1UK1BK'!$D$6:$D$2989,'1UK1BK'!$E$6:$E$2989,"&gt;="&amp;AQ7,'1UK1BK'!$E$6:$E$2989,"&lt;="&amp;EOMONTH(AQ7,0),'1UK1BK'!$F$6:$F$2989,"Bond Received")</f>
        <v>#REF!</v>
      </c>
      <c r="AR11" s="108" t="e">
        <f>SUMIFS(#REF!,#REF!,"&gt;="&amp;AR7,#REF!,"&lt;="&amp;EOMONTH(AR7,0))-SUMIFS(#REF!,#REF!,"&gt;="&amp;AR7,#REF!,"&lt;="&amp;EOMONTH(AR7,0),#REF!,$B$14)-(SUMIFS(#REF!,#REF!,"&gt;="&amp;AR7,#REF!,"&lt;="&amp;EOMONTH(AR7,0),#REF!,"Discount Rent")*2)-SUMIFS(#REF!,#REF!,"&gt;="&amp;AR7,#REF!,"&lt;="&amp;EOMONTH(AR7,0),#REF!,"Bond Received")+SUMIFS('1JI2UE'!$D$6:$D$2989,'1JI2UE'!$E$6:$E$2989,"&gt;="&amp;AR7,'1JI2UE'!$E$6:$E$2989,"&lt;="&amp;EOMONTH(AR7,0))-SUMIFS('1JI2UE'!$D$6:$D$2989,'1JI2UE'!$E$6:$E$2989,"&gt;="&amp;AR7,'1JI2UE'!$E$6:$E$2989,"&lt;="&amp;EOMONTH(AR7,0),'1JI2UE'!$F$6:$F$2989,$B$14)-(SUMIFS('1JI2UE'!$D$6:$D$2989,'1JI2UE'!$E$6:$E$2989,"&gt;="&amp;AR7,'1JI2UE'!$E$6:$E$2989,"&lt;="&amp;EOMONTH(AR7,0),'1JI2UE'!$F$6:$F$2989,"Discount Rent")*2)-SUMIFS('1JI2UE'!$D$6:$D$2989,'1JI2UE'!$E$6:$E$2989,"&gt;="&amp;AR7,'1JI2UE'!$E$6:$E$2989,"&lt;="&amp;EOMONTH(AR7,0),'1JI2UE'!$F$6:$F$2989,"Bond Received")+SUMIFS(#REF!,#REF!,"&gt;="&amp;AR7,#REF!,"&lt;="&amp;EOMONTH(AR7,0))-SUMIFS(#REF!,#REF!,"&gt;="&amp;AR7,#REF!,"&lt;="&amp;EOMONTH(AR7,0),#REF!,$B$14)-(SUMIFS(#REF!,#REF!,"&gt;="&amp;AR7,#REF!,"&lt;="&amp;EOMONTH(AR7,0),#REF!,"Discount Rent")*2)-SUMIFS(#REF!,#REF!,"&gt;="&amp;AR7,#REF!,"&lt;="&amp;EOMONTH(AR7,0),#REF!,"Bond Received")+SUMIFS('1SI9BW'!$D$6:$D$2989,'1SI9BW'!$E$6:$E$2989,"&gt;="&amp;AR7,'1SI9BW'!$E$6:$E$2989,"&lt;="&amp;EOMONTH(AR7,0))-SUMIFS('1SI9BW'!$D$6:$D$2989,'1SI9BW'!$E$6:$E$2989,"&gt;="&amp;AR7,'1SI9BW'!$E$6:$E$2989,"&lt;="&amp;EOMONTH(AR7,0),'1SI9BW'!$F$6:$F$2989,$B$14)-(SUMIFS('1SI9BW'!$D$6:$D$2989,'1SI9BW'!$E$6:$E$2989,"&gt;="&amp;AR7,'1SI9BW'!$E$6:$E$2989,"&lt;="&amp;EOMONTH(AR7,0),'1SI9BW'!$F$6:$F$2989,"Discount Rent")*2)-SUMIFS('1SI9BW'!$D$6:$D$2989,'1SI9BW'!$E$6:$E$2989,"&gt;="&amp;AR7,'1SI9BW'!$E$6:$E$2989,"&lt;="&amp;EOMONTH(AR7,0),'1SI9BW'!$F$6:$F$2989,"Bond Received")+SUMIFS(Suzuki!$D$6:$D$2989,Suzuki!$E$6:$E$2989,"&gt;="&amp;AR7,Suzuki!$E$6:$E$2989,"&lt;="&amp;EOMONTH(AR7,0))-SUMIFS(Suzuki!$D$6:$D$2989,Suzuki!$E$6:$E$2989,"&gt;="&amp;AR7,Suzuki!$E$6:$E$2989,"&lt;="&amp;EOMONTH(AR7,0),Suzuki!$F$6:$F$2989,$B$14)-(SUMIFS(Suzuki!$D$6:$D$2989,Suzuki!$E$6:$E$2989,"&gt;="&amp;AR7,Suzuki!$E$6:$E$2989,"&lt;="&amp;EOMONTH(AR7,0),Suzuki!$F$6:$F$2989,"Discount Rent")*2)-SUMIFS(Suzuki!$D$6:$D$2989,Suzuki!$E$6:$E$2989,"&gt;="&amp;AR7,Suzuki!$E$6:$E$2989,"&lt;="&amp;EOMONTH(AR7,0),Suzuki!$F$6:$F$2989,"Bond Received")+SUMIFS('1SK3DD'!$D$6:$D$2989,'1SK3DD'!$E$6:$E$2989,"&gt;="&amp;AR7,'1SK3DD'!$E$6:$E$2989,"&lt;="&amp;EOMONTH(AR7,0))-SUMIFS('1SK3DD'!$D$6:$D$2989,'1SK3DD'!$E$6:$E$2989,"&gt;="&amp;AR7,'1SK3DD'!$E$6:$E$2989,"&lt;="&amp;EOMONTH(AR7,0),'1SK3DD'!$F$6:$F$2989,$B$14)-(SUMIFS('1SK3DD'!$D$6:$D$2989,'1SK3DD'!$E$6:$E$2989,"&gt;="&amp;AR7,'1SK3DD'!$E$6:$E$2989,"&lt;="&amp;EOMONTH(AR7,0),'1SK3DD'!$F$6:$F$2989,"Discount Rent")*2)-SUMIFS('1SK3DD'!$D$6:$D$2989,'1SK3DD'!$E$6:$E$2989,"&gt;="&amp;AR7,'1SK3DD'!$E$6:$E$2989,"&lt;="&amp;EOMONTH(AR7,0),'1SK3DD'!$F$6:$F$2989,"Bond Received")+SUMIFS('1SX5TQ'!$D$6:$D$2989,'1SX5TQ'!$E$6:$E$2989,"&gt;="&amp;AR7,'1SX5TQ'!$E$6:$E$2989,"&lt;="&amp;EOMONTH(AR7,0))-SUMIFS('1SX5TQ'!$D$6:$D$2989,'1SX5TQ'!$E$6:$E$2989,"&gt;="&amp;AR7,'1SX5TQ'!$E$6:$E$2989,"&lt;="&amp;EOMONTH(AR7,0),'1SX5TQ'!$F$6:$F$2989,$B$14)-(SUMIFS('1SX5TQ'!$D$6:$D$2989,'1SX5TQ'!$E$6:$E$2989,"&gt;="&amp;AR7,'1SX5TQ'!$E$6:$E$2989,"&lt;="&amp;EOMONTH(AR7,0),'1SX5TQ'!$F$6:$F$2989,"Discount Rent")*2)-SUMIFS('1SX5TQ'!$D$6:$D$2989,'1SX5TQ'!$E$6:$E$2989,"&gt;="&amp;AR7,'1SX5TQ'!$E$6:$E$2989,"&lt;="&amp;EOMONTH(AR7,0),'1SX5TQ'!$F$6:$F$2989,"Bond Received")+SUMIFS('BMM465'!$D$6:$D$2989,'BMM465'!$E$6:$E$2989,"&gt;="&amp;AR7,'BMM465'!$E$6:$E$2989,"&lt;="&amp;EOMONTH(AR7,0))-SUMIFS('BMM465'!$D$6:$D$2989,'BMM465'!$E$6:$E$2989,"&gt;="&amp;AR7,'BMM465'!$E$6:$E$2989,"&lt;="&amp;EOMONTH(AR7,0),'BMM465'!$F$6:$F$2989,$B$14)-(SUMIFS('BMM465'!$D$6:$D$2989,'BMM465'!$E$6:$E$2989,"&gt;="&amp;AR7,'BMM465'!$E$6:$E$2989,"&lt;="&amp;EOMONTH(AR7,0),'BMM465'!$F$6:$F$2989,"Discount Rent")*2)-SUMIFS('BMM465'!$D$6:$D$2989,'BMM465'!$E$6:$E$2989,"&gt;="&amp;AR7,'BMM465'!$E$6:$E$2989,"&lt;="&amp;EOMONTH(AR7,0),'BMM465'!$F$6:$F$2989,"Bond Received")+SUMIFS('1CF1ZO'!$D$6:$D$2989,'1CF1ZO'!$E$6:$E$2989,"&gt;="&amp;AR7,'1CF1ZO'!$E$6:$E$2989,"&lt;="&amp;EOMONTH(AR7,0))-SUMIFS('1CF1ZO'!$D$6:$D$2989,'1CF1ZO'!$E$6:$E$2989,"&gt;="&amp;AR7,'1CF1ZO'!$E$6:$E$2989,"&lt;="&amp;EOMONTH(AR7,0),'1CF1ZO'!$F$6:$F$2989,$B$14)-(SUMIFS('1CF1ZO'!$D$6:$D$2989,'1CF1ZO'!$E$6:$E$2989,"&gt;="&amp;AR7,'1CF1ZO'!$E$6:$E$2989,"&lt;="&amp;EOMONTH(AR7,0),'1CF1ZO'!$F$6:$F$2989,"Discount Rent")*2)-SUMIFS('1CF1ZO'!$D$6:$D$2989,'1CF1ZO'!$E$6:$E$2989,"&gt;="&amp;AR7,'1CF1ZO'!$E$6:$E$2989,"&lt;="&amp;EOMONTH(AR7,0),'1CF1ZO'!$F$6:$F$2989,"Bond Received")+SUMIFS('1UK1BK'!$D$6:$D$2989,'1UK1BK'!$E$6:$E$2989,"&gt;="&amp;AR7,'1UK1BK'!$E$6:$E$2989,"&lt;="&amp;EOMONTH(AR7,0))-SUMIFS('1UK1BK'!$D$6:$D$2989,'1UK1BK'!$E$6:$E$2989,"&gt;="&amp;AR7,'1UK1BK'!$E$6:$E$2989,"&lt;="&amp;EOMONTH(AR7,0),'1UK1BK'!$F$6:$F$2989,$B$14)-(SUMIFS('1UK1BK'!$D$6:$D$2989,'1UK1BK'!$E$6:$E$2989,"&gt;="&amp;AR7,'1UK1BK'!$E$6:$E$2989,"&lt;="&amp;EOMONTH(AR7,0),'1UK1BK'!$F$6:$F$2989,"Discount Rent")*2)-SUMIFS('1UK1BK'!$D$6:$D$2989,'1UK1BK'!$E$6:$E$2989,"&gt;="&amp;AR7,'1UK1BK'!$E$6:$E$2989,"&lt;="&amp;EOMONTH(AR7,0),'1UK1BK'!$F$6:$F$2989,"Bond Received")</f>
        <v>#REF!</v>
      </c>
      <c r="AS11" s="108" t="e">
        <f>SUMIFS(#REF!,#REF!,"&gt;="&amp;AS7,#REF!,"&lt;="&amp;EOMONTH(AS7,0))-SUMIFS(#REF!,#REF!,"&gt;="&amp;AS7,#REF!,"&lt;="&amp;EOMONTH(AS7,0),#REF!,$B$14)-(SUMIFS(#REF!,#REF!,"&gt;="&amp;AS7,#REF!,"&lt;="&amp;EOMONTH(AS7,0),#REF!,"Discount Rent")*2)-SUMIFS(#REF!,#REF!,"&gt;="&amp;AS7,#REF!,"&lt;="&amp;EOMONTH(AS7,0),#REF!,"Bond Received")+SUMIFS('1JI2UE'!$D$6:$D$2989,'1JI2UE'!$E$6:$E$2989,"&gt;="&amp;AS7,'1JI2UE'!$E$6:$E$2989,"&lt;="&amp;EOMONTH(AS7,0))-SUMIFS('1JI2UE'!$D$6:$D$2989,'1JI2UE'!$E$6:$E$2989,"&gt;="&amp;AS7,'1JI2UE'!$E$6:$E$2989,"&lt;="&amp;EOMONTH(AS7,0),'1JI2UE'!$F$6:$F$2989,$B$14)-(SUMIFS('1JI2UE'!$D$6:$D$2989,'1JI2UE'!$E$6:$E$2989,"&gt;="&amp;AS7,'1JI2UE'!$E$6:$E$2989,"&lt;="&amp;EOMONTH(AS7,0),'1JI2UE'!$F$6:$F$2989,"Discount Rent")*2)-SUMIFS('1JI2UE'!$D$6:$D$2989,'1JI2UE'!$E$6:$E$2989,"&gt;="&amp;AS7,'1JI2UE'!$E$6:$E$2989,"&lt;="&amp;EOMONTH(AS7,0),'1JI2UE'!$F$6:$F$2989,"Bond Received")+SUMIFS(#REF!,#REF!,"&gt;="&amp;AS7,#REF!,"&lt;="&amp;EOMONTH(AS7,0))-SUMIFS(#REF!,#REF!,"&gt;="&amp;AS7,#REF!,"&lt;="&amp;EOMONTH(AS7,0),#REF!,$B$14)-(SUMIFS(#REF!,#REF!,"&gt;="&amp;AS7,#REF!,"&lt;="&amp;EOMONTH(AS7,0),#REF!,"Discount Rent")*2)-SUMIFS(#REF!,#REF!,"&gt;="&amp;AS7,#REF!,"&lt;="&amp;EOMONTH(AS7,0),#REF!,"Bond Received")+SUMIFS('1SI9BW'!$D$6:$D$2989,'1SI9BW'!$E$6:$E$2989,"&gt;="&amp;AS7,'1SI9BW'!$E$6:$E$2989,"&lt;="&amp;EOMONTH(AS7,0))-SUMIFS('1SI9BW'!$D$6:$D$2989,'1SI9BW'!$E$6:$E$2989,"&gt;="&amp;AS7,'1SI9BW'!$E$6:$E$2989,"&lt;="&amp;EOMONTH(AS7,0),'1SI9BW'!$F$6:$F$2989,$B$14)-(SUMIFS('1SI9BW'!$D$6:$D$2989,'1SI9BW'!$E$6:$E$2989,"&gt;="&amp;AS7,'1SI9BW'!$E$6:$E$2989,"&lt;="&amp;EOMONTH(AS7,0),'1SI9BW'!$F$6:$F$2989,"Discount Rent")*2)-SUMIFS('1SI9BW'!$D$6:$D$2989,'1SI9BW'!$E$6:$E$2989,"&gt;="&amp;AS7,'1SI9BW'!$E$6:$E$2989,"&lt;="&amp;EOMONTH(AS7,0),'1SI9BW'!$F$6:$F$2989,"Bond Received")+SUMIFS(Suzuki!$D$6:$D$2989,Suzuki!$E$6:$E$2989,"&gt;="&amp;AS7,Suzuki!$E$6:$E$2989,"&lt;="&amp;EOMONTH(AS7,0))-SUMIFS(Suzuki!$D$6:$D$2989,Suzuki!$E$6:$E$2989,"&gt;="&amp;AS7,Suzuki!$E$6:$E$2989,"&lt;="&amp;EOMONTH(AS7,0),Suzuki!$F$6:$F$2989,$B$14)-(SUMIFS(Suzuki!$D$6:$D$2989,Suzuki!$E$6:$E$2989,"&gt;="&amp;AS7,Suzuki!$E$6:$E$2989,"&lt;="&amp;EOMONTH(AS7,0),Suzuki!$F$6:$F$2989,"Discount Rent")*2)-SUMIFS(Suzuki!$D$6:$D$2989,Suzuki!$E$6:$E$2989,"&gt;="&amp;AS7,Suzuki!$E$6:$E$2989,"&lt;="&amp;EOMONTH(AS7,0),Suzuki!$F$6:$F$2989,"Bond Received")+SUMIFS('1SK3DD'!$D$6:$D$2989,'1SK3DD'!$E$6:$E$2989,"&gt;="&amp;AS7,'1SK3DD'!$E$6:$E$2989,"&lt;="&amp;EOMONTH(AS7,0))-SUMIFS('1SK3DD'!$D$6:$D$2989,'1SK3DD'!$E$6:$E$2989,"&gt;="&amp;AS7,'1SK3DD'!$E$6:$E$2989,"&lt;="&amp;EOMONTH(AS7,0),'1SK3DD'!$F$6:$F$2989,$B$14)-(SUMIFS('1SK3DD'!$D$6:$D$2989,'1SK3DD'!$E$6:$E$2989,"&gt;="&amp;AS7,'1SK3DD'!$E$6:$E$2989,"&lt;="&amp;EOMONTH(AS7,0),'1SK3DD'!$F$6:$F$2989,"Discount Rent")*2)-SUMIFS('1SK3DD'!$D$6:$D$2989,'1SK3DD'!$E$6:$E$2989,"&gt;="&amp;AS7,'1SK3DD'!$E$6:$E$2989,"&lt;="&amp;EOMONTH(AS7,0),'1SK3DD'!$F$6:$F$2989,"Bond Received")+SUMIFS('1SX5TQ'!$D$6:$D$2989,'1SX5TQ'!$E$6:$E$2989,"&gt;="&amp;AS7,'1SX5TQ'!$E$6:$E$2989,"&lt;="&amp;EOMONTH(AS7,0))-SUMIFS('1SX5TQ'!$D$6:$D$2989,'1SX5TQ'!$E$6:$E$2989,"&gt;="&amp;AS7,'1SX5TQ'!$E$6:$E$2989,"&lt;="&amp;EOMONTH(AS7,0),'1SX5TQ'!$F$6:$F$2989,$B$14)-(SUMIFS('1SX5TQ'!$D$6:$D$2989,'1SX5TQ'!$E$6:$E$2989,"&gt;="&amp;AS7,'1SX5TQ'!$E$6:$E$2989,"&lt;="&amp;EOMONTH(AS7,0),'1SX5TQ'!$F$6:$F$2989,"Discount Rent")*2)-SUMIFS('1SX5TQ'!$D$6:$D$2989,'1SX5TQ'!$E$6:$E$2989,"&gt;="&amp;AS7,'1SX5TQ'!$E$6:$E$2989,"&lt;="&amp;EOMONTH(AS7,0),'1SX5TQ'!$F$6:$F$2989,"Bond Received")+SUMIFS('BMM465'!$D$6:$D$2989,'BMM465'!$E$6:$E$2989,"&gt;="&amp;AS7,'BMM465'!$E$6:$E$2989,"&lt;="&amp;EOMONTH(AS7,0))-SUMIFS('BMM465'!$D$6:$D$2989,'BMM465'!$E$6:$E$2989,"&gt;="&amp;AS7,'BMM465'!$E$6:$E$2989,"&lt;="&amp;EOMONTH(AS7,0),'BMM465'!$F$6:$F$2989,$B$14)-(SUMIFS('BMM465'!$D$6:$D$2989,'BMM465'!$E$6:$E$2989,"&gt;="&amp;AS7,'BMM465'!$E$6:$E$2989,"&lt;="&amp;EOMONTH(AS7,0),'BMM465'!$F$6:$F$2989,"Discount Rent")*2)-SUMIFS('BMM465'!$D$6:$D$2989,'BMM465'!$E$6:$E$2989,"&gt;="&amp;AS7,'BMM465'!$E$6:$E$2989,"&lt;="&amp;EOMONTH(AS7,0),'BMM465'!$F$6:$F$2989,"Bond Received")+SUMIFS('1CF1ZO'!$D$6:$D$2989,'1CF1ZO'!$E$6:$E$2989,"&gt;="&amp;AS7,'1CF1ZO'!$E$6:$E$2989,"&lt;="&amp;EOMONTH(AS7,0))-SUMIFS('1CF1ZO'!$D$6:$D$2989,'1CF1ZO'!$E$6:$E$2989,"&gt;="&amp;AS7,'1CF1ZO'!$E$6:$E$2989,"&lt;="&amp;EOMONTH(AS7,0),'1CF1ZO'!$F$6:$F$2989,$B$14)-(SUMIFS('1CF1ZO'!$D$6:$D$2989,'1CF1ZO'!$E$6:$E$2989,"&gt;="&amp;AS7,'1CF1ZO'!$E$6:$E$2989,"&lt;="&amp;EOMONTH(AS7,0),'1CF1ZO'!$F$6:$F$2989,"Discount Rent")*2)-SUMIFS('1CF1ZO'!$D$6:$D$2989,'1CF1ZO'!$E$6:$E$2989,"&gt;="&amp;AS7,'1CF1ZO'!$E$6:$E$2989,"&lt;="&amp;EOMONTH(AS7,0),'1CF1ZO'!$F$6:$F$2989,"Bond Received")+SUMIFS('1UK1BK'!$D$6:$D$2989,'1UK1BK'!$E$6:$E$2989,"&gt;="&amp;AS7,'1UK1BK'!$E$6:$E$2989,"&lt;="&amp;EOMONTH(AS7,0))-SUMIFS('1UK1BK'!$D$6:$D$2989,'1UK1BK'!$E$6:$E$2989,"&gt;="&amp;AS7,'1UK1BK'!$E$6:$E$2989,"&lt;="&amp;EOMONTH(AS7,0),'1UK1BK'!$F$6:$F$2989,$B$14)-(SUMIFS('1UK1BK'!$D$6:$D$2989,'1UK1BK'!$E$6:$E$2989,"&gt;="&amp;AS7,'1UK1BK'!$E$6:$E$2989,"&lt;="&amp;EOMONTH(AS7,0),'1UK1BK'!$F$6:$F$2989,"Discount Rent")*2)-SUMIFS('1UK1BK'!$D$6:$D$2989,'1UK1BK'!$E$6:$E$2989,"&gt;="&amp;AS7,'1UK1BK'!$E$6:$E$2989,"&lt;="&amp;EOMONTH(AS7,0),'1UK1BK'!$F$6:$F$2989,"Bond Received")</f>
        <v>#REF!</v>
      </c>
      <c r="AT11" s="108" t="e">
        <f>SUMIFS(#REF!,#REF!,"&gt;="&amp;AT7,#REF!,"&lt;="&amp;EOMONTH(AT7,0))-SUMIFS(#REF!,#REF!,"&gt;="&amp;AT7,#REF!,"&lt;="&amp;EOMONTH(AT7,0),#REF!,$B$14)-(SUMIFS(#REF!,#REF!,"&gt;="&amp;AT7,#REF!,"&lt;="&amp;EOMONTH(AT7,0),#REF!,"Discount Rent")*2)-SUMIFS(#REF!,#REF!,"&gt;="&amp;AT7,#REF!,"&lt;="&amp;EOMONTH(AT7,0),#REF!,"Bond Received")+SUMIFS('1JI2UE'!$D$6:$D$2989,'1JI2UE'!$E$6:$E$2989,"&gt;="&amp;AT7,'1JI2UE'!$E$6:$E$2989,"&lt;="&amp;EOMONTH(AT7,0))-SUMIFS('1JI2UE'!$D$6:$D$2989,'1JI2UE'!$E$6:$E$2989,"&gt;="&amp;AT7,'1JI2UE'!$E$6:$E$2989,"&lt;="&amp;EOMONTH(AT7,0),'1JI2UE'!$F$6:$F$2989,$B$14)-(SUMIFS('1JI2UE'!$D$6:$D$2989,'1JI2UE'!$E$6:$E$2989,"&gt;="&amp;AT7,'1JI2UE'!$E$6:$E$2989,"&lt;="&amp;EOMONTH(AT7,0),'1JI2UE'!$F$6:$F$2989,"Discount Rent")*2)-SUMIFS('1JI2UE'!$D$6:$D$2989,'1JI2UE'!$E$6:$E$2989,"&gt;="&amp;AT7,'1JI2UE'!$E$6:$E$2989,"&lt;="&amp;EOMONTH(AT7,0),'1JI2UE'!$F$6:$F$2989,"Bond Received")+SUMIFS(#REF!,#REF!,"&gt;="&amp;AT7,#REF!,"&lt;="&amp;EOMONTH(AT7,0))-SUMIFS(#REF!,#REF!,"&gt;="&amp;AT7,#REF!,"&lt;="&amp;EOMONTH(AT7,0),#REF!,$B$14)-(SUMIFS(#REF!,#REF!,"&gt;="&amp;AT7,#REF!,"&lt;="&amp;EOMONTH(AT7,0),#REF!,"Discount Rent")*2)-SUMIFS(#REF!,#REF!,"&gt;="&amp;AT7,#REF!,"&lt;="&amp;EOMONTH(AT7,0),#REF!,"Bond Received")+SUMIFS('1SI9BW'!$D$6:$D$2989,'1SI9BW'!$E$6:$E$2989,"&gt;="&amp;AT7,'1SI9BW'!$E$6:$E$2989,"&lt;="&amp;EOMONTH(AT7,0))-SUMIFS('1SI9BW'!$D$6:$D$2989,'1SI9BW'!$E$6:$E$2989,"&gt;="&amp;AT7,'1SI9BW'!$E$6:$E$2989,"&lt;="&amp;EOMONTH(AT7,0),'1SI9BW'!$F$6:$F$2989,$B$14)-(SUMIFS('1SI9BW'!$D$6:$D$2989,'1SI9BW'!$E$6:$E$2989,"&gt;="&amp;AT7,'1SI9BW'!$E$6:$E$2989,"&lt;="&amp;EOMONTH(AT7,0),'1SI9BW'!$F$6:$F$2989,"Discount Rent")*2)-SUMIFS('1SI9BW'!$D$6:$D$2989,'1SI9BW'!$E$6:$E$2989,"&gt;="&amp;AT7,'1SI9BW'!$E$6:$E$2989,"&lt;="&amp;EOMONTH(AT7,0),'1SI9BW'!$F$6:$F$2989,"Bond Received")+SUMIFS(Suzuki!$D$6:$D$2989,Suzuki!$E$6:$E$2989,"&gt;="&amp;AT7,Suzuki!$E$6:$E$2989,"&lt;="&amp;EOMONTH(AT7,0))-SUMIFS(Suzuki!$D$6:$D$2989,Suzuki!$E$6:$E$2989,"&gt;="&amp;AT7,Suzuki!$E$6:$E$2989,"&lt;="&amp;EOMONTH(AT7,0),Suzuki!$F$6:$F$2989,$B$14)-(SUMIFS(Suzuki!$D$6:$D$2989,Suzuki!$E$6:$E$2989,"&gt;="&amp;AT7,Suzuki!$E$6:$E$2989,"&lt;="&amp;EOMONTH(AT7,0),Suzuki!$F$6:$F$2989,"Discount Rent")*2)-SUMIFS(Suzuki!$D$6:$D$2989,Suzuki!$E$6:$E$2989,"&gt;="&amp;AT7,Suzuki!$E$6:$E$2989,"&lt;="&amp;EOMONTH(AT7,0),Suzuki!$F$6:$F$2989,"Bond Received")+SUMIFS('1SK3DD'!$D$6:$D$2989,'1SK3DD'!$E$6:$E$2989,"&gt;="&amp;AT7,'1SK3DD'!$E$6:$E$2989,"&lt;="&amp;EOMONTH(AT7,0))-SUMIFS('1SK3DD'!$D$6:$D$2989,'1SK3DD'!$E$6:$E$2989,"&gt;="&amp;AT7,'1SK3DD'!$E$6:$E$2989,"&lt;="&amp;EOMONTH(AT7,0),'1SK3DD'!$F$6:$F$2989,$B$14)-(SUMIFS('1SK3DD'!$D$6:$D$2989,'1SK3DD'!$E$6:$E$2989,"&gt;="&amp;AT7,'1SK3DD'!$E$6:$E$2989,"&lt;="&amp;EOMONTH(AT7,0),'1SK3DD'!$F$6:$F$2989,"Discount Rent")*2)-SUMIFS('1SK3DD'!$D$6:$D$2989,'1SK3DD'!$E$6:$E$2989,"&gt;="&amp;AT7,'1SK3DD'!$E$6:$E$2989,"&lt;="&amp;EOMONTH(AT7,0),'1SK3DD'!$F$6:$F$2989,"Bond Received")+SUMIFS('1SX5TQ'!$D$6:$D$2989,'1SX5TQ'!$E$6:$E$2989,"&gt;="&amp;AT7,'1SX5TQ'!$E$6:$E$2989,"&lt;="&amp;EOMONTH(AT7,0))-SUMIFS('1SX5TQ'!$D$6:$D$2989,'1SX5TQ'!$E$6:$E$2989,"&gt;="&amp;AT7,'1SX5TQ'!$E$6:$E$2989,"&lt;="&amp;EOMONTH(AT7,0),'1SX5TQ'!$F$6:$F$2989,$B$14)-(SUMIFS('1SX5TQ'!$D$6:$D$2989,'1SX5TQ'!$E$6:$E$2989,"&gt;="&amp;AT7,'1SX5TQ'!$E$6:$E$2989,"&lt;="&amp;EOMONTH(AT7,0),'1SX5TQ'!$F$6:$F$2989,"Discount Rent")*2)-SUMIFS('1SX5TQ'!$D$6:$D$2989,'1SX5TQ'!$E$6:$E$2989,"&gt;="&amp;AT7,'1SX5TQ'!$E$6:$E$2989,"&lt;="&amp;EOMONTH(AT7,0),'1SX5TQ'!$F$6:$F$2989,"Bond Received")+SUMIFS('BMM465'!$D$6:$D$2989,'BMM465'!$E$6:$E$2989,"&gt;="&amp;AT7,'BMM465'!$E$6:$E$2989,"&lt;="&amp;EOMONTH(AT7,0))-SUMIFS('BMM465'!$D$6:$D$2989,'BMM465'!$E$6:$E$2989,"&gt;="&amp;AT7,'BMM465'!$E$6:$E$2989,"&lt;="&amp;EOMONTH(AT7,0),'BMM465'!$F$6:$F$2989,$B$14)-(SUMIFS('BMM465'!$D$6:$D$2989,'BMM465'!$E$6:$E$2989,"&gt;="&amp;AT7,'BMM465'!$E$6:$E$2989,"&lt;="&amp;EOMONTH(AT7,0),'BMM465'!$F$6:$F$2989,"Discount Rent")*2)-SUMIFS('BMM465'!$D$6:$D$2989,'BMM465'!$E$6:$E$2989,"&gt;="&amp;AT7,'BMM465'!$E$6:$E$2989,"&lt;="&amp;EOMONTH(AT7,0),'BMM465'!$F$6:$F$2989,"Bond Received")+SUMIFS('1CF1ZO'!$D$6:$D$2989,'1CF1ZO'!$E$6:$E$2989,"&gt;="&amp;AT7,'1CF1ZO'!$E$6:$E$2989,"&lt;="&amp;EOMONTH(AT7,0))-SUMIFS('1CF1ZO'!$D$6:$D$2989,'1CF1ZO'!$E$6:$E$2989,"&gt;="&amp;AT7,'1CF1ZO'!$E$6:$E$2989,"&lt;="&amp;EOMONTH(AT7,0),'1CF1ZO'!$F$6:$F$2989,$B$14)-(SUMIFS('1CF1ZO'!$D$6:$D$2989,'1CF1ZO'!$E$6:$E$2989,"&gt;="&amp;AT7,'1CF1ZO'!$E$6:$E$2989,"&lt;="&amp;EOMONTH(AT7,0),'1CF1ZO'!$F$6:$F$2989,"Discount Rent")*2)-SUMIFS('1CF1ZO'!$D$6:$D$2989,'1CF1ZO'!$E$6:$E$2989,"&gt;="&amp;AT7,'1CF1ZO'!$E$6:$E$2989,"&lt;="&amp;EOMONTH(AT7,0),'1CF1ZO'!$F$6:$F$2989,"Bond Received")+SUMIFS('1UK1BK'!$D$6:$D$2989,'1UK1BK'!$E$6:$E$2989,"&gt;="&amp;AT7,'1UK1BK'!$E$6:$E$2989,"&lt;="&amp;EOMONTH(AT7,0))-SUMIFS('1UK1BK'!$D$6:$D$2989,'1UK1BK'!$E$6:$E$2989,"&gt;="&amp;AT7,'1UK1BK'!$E$6:$E$2989,"&lt;="&amp;EOMONTH(AT7,0),'1UK1BK'!$F$6:$F$2989,$B$14)-(SUMIFS('1UK1BK'!$D$6:$D$2989,'1UK1BK'!$E$6:$E$2989,"&gt;="&amp;AT7,'1UK1BK'!$E$6:$E$2989,"&lt;="&amp;EOMONTH(AT7,0),'1UK1BK'!$F$6:$F$2989,"Discount Rent")*2)-SUMIFS('1UK1BK'!$D$6:$D$2989,'1UK1BK'!$E$6:$E$2989,"&gt;="&amp;AT7,'1UK1BK'!$E$6:$E$2989,"&lt;="&amp;EOMONTH(AT7,0),'1UK1BK'!$F$6:$F$2989,"Bond Received")</f>
        <v>#REF!</v>
      </c>
      <c r="AU11" s="108" t="e">
        <f>SUMIFS(#REF!,#REF!,"&gt;="&amp;AU7,#REF!,"&lt;="&amp;EOMONTH(AU7,0))-SUMIFS(#REF!,#REF!,"&gt;="&amp;AU7,#REF!,"&lt;="&amp;EOMONTH(AU7,0),#REF!,$B$14)-(SUMIFS(#REF!,#REF!,"&gt;="&amp;AU7,#REF!,"&lt;="&amp;EOMONTH(AU7,0),#REF!,"Discount Rent")*2)-SUMIFS(#REF!,#REF!,"&gt;="&amp;AU7,#REF!,"&lt;="&amp;EOMONTH(AU7,0),#REF!,"Bond Received")+SUMIFS('1JI2UE'!$D$6:$D$2989,'1JI2UE'!$E$6:$E$2989,"&gt;="&amp;AU7,'1JI2UE'!$E$6:$E$2989,"&lt;="&amp;EOMONTH(AU7,0))-SUMIFS('1JI2UE'!$D$6:$D$2989,'1JI2UE'!$E$6:$E$2989,"&gt;="&amp;AU7,'1JI2UE'!$E$6:$E$2989,"&lt;="&amp;EOMONTH(AU7,0),'1JI2UE'!$F$6:$F$2989,$B$14)-(SUMIFS('1JI2UE'!$D$6:$D$2989,'1JI2UE'!$E$6:$E$2989,"&gt;="&amp;AU7,'1JI2UE'!$E$6:$E$2989,"&lt;="&amp;EOMONTH(AU7,0),'1JI2UE'!$F$6:$F$2989,"Discount Rent")*2)-SUMIFS('1JI2UE'!$D$6:$D$2989,'1JI2UE'!$E$6:$E$2989,"&gt;="&amp;AU7,'1JI2UE'!$E$6:$E$2989,"&lt;="&amp;EOMONTH(AU7,0),'1JI2UE'!$F$6:$F$2989,"Bond Received")+SUMIFS(#REF!,#REF!,"&gt;="&amp;AU7,#REF!,"&lt;="&amp;EOMONTH(AU7,0))-SUMIFS(#REF!,#REF!,"&gt;="&amp;AU7,#REF!,"&lt;="&amp;EOMONTH(AU7,0),#REF!,$B$14)-(SUMIFS(#REF!,#REF!,"&gt;="&amp;AU7,#REF!,"&lt;="&amp;EOMONTH(AU7,0),#REF!,"Discount Rent")*2)-SUMIFS(#REF!,#REF!,"&gt;="&amp;AU7,#REF!,"&lt;="&amp;EOMONTH(AU7,0),#REF!,"Bond Received")+SUMIFS('1SI9BW'!$D$6:$D$2989,'1SI9BW'!$E$6:$E$2989,"&gt;="&amp;AU7,'1SI9BW'!$E$6:$E$2989,"&lt;="&amp;EOMONTH(AU7,0))-SUMIFS('1SI9BW'!$D$6:$D$2989,'1SI9BW'!$E$6:$E$2989,"&gt;="&amp;AU7,'1SI9BW'!$E$6:$E$2989,"&lt;="&amp;EOMONTH(AU7,0),'1SI9BW'!$F$6:$F$2989,$B$14)-(SUMIFS('1SI9BW'!$D$6:$D$2989,'1SI9BW'!$E$6:$E$2989,"&gt;="&amp;AU7,'1SI9BW'!$E$6:$E$2989,"&lt;="&amp;EOMONTH(AU7,0),'1SI9BW'!$F$6:$F$2989,"Discount Rent")*2)-SUMIFS('1SI9BW'!$D$6:$D$2989,'1SI9BW'!$E$6:$E$2989,"&gt;="&amp;AU7,'1SI9BW'!$E$6:$E$2989,"&lt;="&amp;EOMONTH(AU7,0),'1SI9BW'!$F$6:$F$2989,"Bond Received")+SUMIFS(Suzuki!$D$6:$D$2989,Suzuki!$E$6:$E$2989,"&gt;="&amp;AU7,Suzuki!$E$6:$E$2989,"&lt;="&amp;EOMONTH(AU7,0))-SUMIFS(Suzuki!$D$6:$D$2989,Suzuki!$E$6:$E$2989,"&gt;="&amp;AU7,Suzuki!$E$6:$E$2989,"&lt;="&amp;EOMONTH(AU7,0),Suzuki!$F$6:$F$2989,$B$14)-(SUMIFS(Suzuki!$D$6:$D$2989,Suzuki!$E$6:$E$2989,"&gt;="&amp;AU7,Suzuki!$E$6:$E$2989,"&lt;="&amp;EOMONTH(AU7,0),Suzuki!$F$6:$F$2989,"Discount Rent")*2)-SUMIFS(Suzuki!$D$6:$D$2989,Suzuki!$E$6:$E$2989,"&gt;="&amp;AU7,Suzuki!$E$6:$E$2989,"&lt;="&amp;EOMONTH(AU7,0),Suzuki!$F$6:$F$2989,"Bond Received")+SUMIFS('1SK3DD'!$D$6:$D$2989,'1SK3DD'!$E$6:$E$2989,"&gt;="&amp;AU7,'1SK3DD'!$E$6:$E$2989,"&lt;="&amp;EOMONTH(AU7,0))-SUMIFS('1SK3DD'!$D$6:$D$2989,'1SK3DD'!$E$6:$E$2989,"&gt;="&amp;AU7,'1SK3DD'!$E$6:$E$2989,"&lt;="&amp;EOMONTH(AU7,0),'1SK3DD'!$F$6:$F$2989,$B$14)-(SUMIFS('1SK3DD'!$D$6:$D$2989,'1SK3DD'!$E$6:$E$2989,"&gt;="&amp;AU7,'1SK3DD'!$E$6:$E$2989,"&lt;="&amp;EOMONTH(AU7,0),'1SK3DD'!$F$6:$F$2989,"Discount Rent")*2)-SUMIFS('1SK3DD'!$D$6:$D$2989,'1SK3DD'!$E$6:$E$2989,"&gt;="&amp;AU7,'1SK3DD'!$E$6:$E$2989,"&lt;="&amp;EOMONTH(AU7,0),'1SK3DD'!$F$6:$F$2989,"Bond Received")+SUMIFS('1SX5TQ'!$D$6:$D$2989,'1SX5TQ'!$E$6:$E$2989,"&gt;="&amp;AU7,'1SX5TQ'!$E$6:$E$2989,"&lt;="&amp;EOMONTH(AU7,0))-SUMIFS('1SX5TQ'!$D$6:$D$2989,'1SX5TQ'!$E$6:$E$2989,"&gt;="&amp;AU7,'1SX5TQ'!$E$6:$E$2989,"&lt;="&amp;EOMONTH(AU7,0),'1SX5TQ'!$F$6:$F$2989,$B$14)-(SUMIFS('1SX5TQ'!$D$6:$D$2989,'1SX5TQ'!$E$6:$E$2989,"&gt;="&amp;AU7,'1SX5TQ'!$E$6:$E$2989,"&lt;="&amp;EOMONTH(AU7,0),'1SX5TQ'!$F$6:$F$2989,"Discount Rent")*2)-SUMIFS('1SX5TQ'!$D$6:$D$2989,'1SX5TQ'!$E$6:$E$2989,"&gt;="&amp;AU7,'1SX5TQ'!$E$6:$E$2989,"&lt;="&amp;EOMONTH(AU7,0),'1SX5TQ'!$F$6:$F$2989,"Bond Received")+SUMIFS('BMM465'!$D$6:$D$2989,'BMM465'!$E$6:$E$2989,"&gt;="&amp;AU7,'BMM465'!$E$6:$E$2989,"&lt;="&amp;EOMONTH(AU7,0))-SUMIFS('BMM465'!$D$6:$D$2989,'BMM465'!$E$6:$E$2989,"&gt;="&amp;AU7,'BMM465'!$E$6:$E$2989,"&lt;="&amp;EOMONTH(AU7,0),'BMM465'!$F$6:$F$2989,$B$14)-(SUMIFS('BMM465'!$D$6:$D$2989,'BMM465'!$E$6:$E$2989,"&gt;="&amp;AU7,'BMM465'!$E$6:$E$2989,"&lt;="&amp;EOMONTH(AU7,0),'BMM465'!$F$6:$F$2989,"Discount Rent")*2)-SUMIFS('BMM465'!$D$6:$D$2989,'BMM465'!$E$6:$E$2989,"&gt;="&amp;AU7,'BMM465'!$E$6:$E$2989,"&lt;="&amp;EOMONTH(AU7,0),'BMM465'!$F$6:$F$2989,"Bond Received")+SUMIFS('1CF1ZO'!$D$6:$D$2989,'1CF1ZO'!$E$6:$E$2989,"&gt;="&amp;AU7,'1CF1ZO'!$E$6:$E$2989,"&lt;="&amp;EOMONTH(AU7,0))-SUMIFS('1CF1ZO'!$D$6:$D$2989,'1CF1ZO'!$E$6:$E$2989,"&gt;="&amp;AU7,'1CF1ZO'!$E$6:$E$2989,"&lt;="&amp;EOMONTH(AU7,0),'1CF1ZO'!$F$6:$F$2989,$B$14)-(SUMIFS('1CF1ZO'!$D$6:$D$2989,'1CF1ZO'!$E$6:$E$2989,"&gt;="&amp;AU7,'1CF1ZO'!$E$6:$E$2989,"&lt;="&amp;EOMONTH(AU7,0),'1CF1ZO'!$F$6:$F$2989,"Discount Rent")*2)-SUMIFS('1CF1ZO'!$D$6:$D$2989,'1CF1ZO'!$E$6:$E$2989,"&gt;="&amp;AU7,'1CF1ZO'!$E$6:$E$2989,"&lt;="&amp;EOMONTH(AU7,0),'1CF1ZO'!$F$6:$F$2989,"Bond Received")+SUMIFS('1UK1BK'!$D$6:$D$2989,'1UK1BK'!$E$6:$E$2989,"&gt;="&amp;AU7,'1UK1BK'!$E$6:$E$2989,"&lt;="&amp;EOMONTH(AU7,0))-SUMIFS('1UK1BK'!$D$6:$D$2989,'1UK1BK'!$E$6:$E$2989,"&gt;="&amp;AU7,'1UK1BK'!$E$6:$E$2989,"&lt;="&amp;EOMONTH(AU7,0),'1UK1BK'!$F$6:$F$2989,$B$14)-(SUMIFS('1UK1BK'!$D$6:$D$2989,'1UK1BK'!$E$6:$E$2989,"&gt;="&amp;AU7,'1UK1BK'!$E$6:$E$2989,"&lt;="&amp;EOMONTH(AU7,0),'1UK1BK'!$F$6:$F$2989,"Discount Rent")*2)-SUMIFS('1UK1BK'!$D$6:$D$2989,'1UK1BK'!$E$6:$E$2989,"&gt;="&amp;AU7,'1UK1BK'!$E$6:$E$2989,"&lt;="&amp;EOMONTH(AU7,0),'1UK1BK'!$F$6:$F$2989,"Bond Received")</f>
        <v>#REF!</v>
      </c>
      <c r="AV11" s="108" t="e">
        <f>SUMIFS(#REF!,#REF!,"&gt;="&amp;AV7,#REF!,"&lt;="&amp;EOMONTH(AV7,0))-SUMIFS(#REF!,#REF!,"&gt;="&amp;AV7,#REF!,"&lt;="&amp;EOMONTH(AV7,0),#REF!,$B$14)-(SUMIFS(#REF!,#REF!,"&gt;="&amp;AV7,#REF!,"&lt;="&amp;EOMONTH(AV7,0),#REF!,"Discount Rent")*2)-SUMIFS(#REF!,#REF!,"&gt;="&amp;AV7,#REF!,"&lt;="&amp;EOMONTH(AV7,0),#REF!,"Bond Received")+SUMIFS('1JI2UE'!$D$6:$D$2989,'1JI2UE'!$E$6:$E$2989,"&gt;="&amp;AV7,'1JI2UE'!$E$6:$E$2989,"&lt;="&amp;EOMONTH(AV7,0))-SUMIFS('1JI2UE'!$D$6:$D$2989,'1JI2UE'!$E$6:$E$2989,"&gt;="&amp;AV7,'1JI2UE'!$E$6:$E$2989,"&lt;="&amp;EOMONTH(AV7,0),'1JI2UE'!$F$6:$F$2989,$B$14)-(SUMIFS('1JI2UE'!$D$6:$D$2989,'1JI2UE'!$E$6:$E$2989,"&gt;="&amp;AV7,'1JI2UE'!$E$6:$E$2989,"&lt;="&amp;EOMONTH(AV7,0),'1JI2UE'!$F$6:$F$2989,"Discount Rent")*2)-SUMIFS('1JI2UE'!$D$6:$D$2989,'1JI2UE'!$E$6:$E$2989,"&gt;="&amp;AV7,'1JI2UE'!$E$6:$E$2989,"&lt;="&amp;EOMONTH(AV7,0),'1JI2UE'!$F$6:$F$2989,"Bond Received")+SUMIFS(#REF!,#REF!,"&gt;="&amp;AV7,#REF!,"&lt;="&amp;EOMONTH(AV7,0))-SUMIFS(#REF!,#REF!,"&gt;="&amp;AV7,#REF!,"&lt;="&amp;EOMONTH(AV7,0),#REF!,$B$14)-(SUMIFS(#REF!,#REF!,"&gt;="&amp;AV7,#REF!,"&lt;="&amp;EOMONTH(AV7,0),#REF!,"Discount Rent")*2)-SUMIFS(#REF!,#REF!,"&gt;="&amp;AV7,#REF!,"&lt;="&amp;EOMONTH(AV7,0),#REF!,"Bond Received")+SUMIFS('1SI9BW'!$D$6:$D$2989,'1SI9BW'!$E$6:$E$2989,"&gt;="&amp;AV7,'1SI9BW'!$E$6:$E$2989,"&lt;="&amp;EOMONTH(AV7,0))-SUMIFS('1SI9BW'!$D$6:$D$2989,'1SI9BW'!$E$6:$E$2989,"&gt;="&amp;AV7,'1SI9BW'!$E$6:$E$2989,"&lt;="&amp;EOMONTH(AV7,0),'1SI9BW'!$F$6:$F$2989,$B$14)-(SUMIFS('1SI9BW'!$D$6:$D$2989,'1SI9BW'!$E$6:$E$2989,"&gt;="&amp;AV7,'1SI9BW'!$E$6:$E$2989,"&lt;="&amp;EOMONTH(AV7,0),'1SI9BW'!$F$6:$F$2989,"Discount Rent")*2)-SUMIFS('1SI9BW'!$D$6:$D$2989,'1SI9BW'!$E$6:$E$2989,"&gt;="&amp;AV7,'1SI9BW'!$E$6:$E$2989,"&lt;="&amp;EOMONTH(AV7,0),'1SI9BW'!$F$6:$F$2989,"Bond Received")+SUMIFS(Suzuki!$D$6:$D$2989,Suzuki!$E$6:$E$2989,"&gt;="&amp;AV7,Suzuki!$E$6:$E$2989,"&lt;="&amp;EOMONTH(AV7,0))-SUMIFS(Suzuki!$D$6:$D$2989,Suzuki!$E$6:$E$2989,"&gt;="&amp;AV7,Suzuki!$E$6:$E$2989,"&lt;="&amp;EOMONTH(AV7,0),Suzuki!$F$6:$F$2989,$B$14)-(SUMIFS(Suzuki!$D$6:$D$2989,Suzuki!$E$6:$E$2989,"&gt;="&amp;AV7,Suzuki!$E$6:$E$2989,"&lt;="&amp;EOMONTH(AV7,0),Suzuki!$F$6:$F$2989,"Discount Rent")*2)-SUMIFS(Suzuki!$D$6:$D$2989,Suzuki!$E$6:$E$2989,"&gt;="&amp;AV7,Suzuki!$E$6:$E$2989,"&lt;="&amp;EOMONTH(AV7,0),Suzuki!$F$6:$F$2989,"Bond Received")+SUMIFS('1SK3DD'!$D$6:$D$2989,'1SK3DD'!$E$6:$E$2989,"&gt;="&amp;AV7,'1SK3DD'!$E$6:$E$2989,"&lt;="&amp;EOMONTH(AV7,0))-SUMIFS('1SK3DD'!$D$6:$D$2989,'1SK3DD'!$E$6:$E$2989,"&gt;="&amp;AV7,'1SK3DD'!$E$6:$E$2989,"&lt;="&amp;EOMONTH(AV7,0),'1SK3DD'!$F$6:$F$2989,$B$14)-(SUMIFS('1SK3DD'!$D$6:$D$2989,'1SK3DD'!$E$6:$E$2989,"&gt;="&amp;AV7,'1SK3DD'!$E$6:$E$2989,"&lt;="&amp;EOMONTH(AV7,0),'1SK3DD'!$F$6:$F$2989,"Discount Rent")*2)-SUMIFS('1SK3DD'!$D$6:$D$2989,'1SK3DD'!$E$6:$E$2989,"&gt;="&amp;AV7,'1SK3DD'!$E$6:$E$2989,"&lt;="&amp;EOMONTH(AV7,0),'1SK3DD'!$F$6:$F$2989,"Bond Received")+SUMIFS('1SX5TQ'!$D$6:$D$2989,'1SX5TQ'!$E$6:$E$2989,"&gt;="&amp;AV7,'1SX5TQ'!$E$6:$E$2989,"&lt;="&amp;EOMONTH(AV7,0))-SUMIFS('1SX5TQ'!$D$6:$D$2989,'1SX5TQ'!$E$6:$E$2989,"&gt;="&amp;AV7,'1SX5TQ'!$E$6:$E$2989,"&lt;="&amp;EOMONTH(AV7,0),'1SX5TQ'!$F$6:$F$2989,$B$14)-(SUMIFS('1SX5TQ'!$D$6:$D$2989,'1SX5TQ'!$E$6:$E$2989,"&gt;="&amp;AV7,'1SX5TQ'!$E$6:$E$2989,"&lt;="&amp;EOMONTH(AV7,0),'1SX5TQ'!$F$6:$F$2989,"Discount Rent")*2)-SUMIFS('1SX5TQ'!$D$6:$D$2989,'1SX5TQ'!$E$6:$E$2989,"&gt;="&amp;AV7,'1SX5TQ'!$E$6:$E$2989,"&lt;="&amp;EOMONTH(AV7,0),'1SX5TQ'!$F$6:$F$2989,"Bond Received")+SUMIFS('BMM465'!$D$6:$D$2989,'BMM465'!$E$6:$E$2989,"&gt;="&amp;AV7,'BMM465'!$E$6:$E$2989,"&lt;="&amp;EOMONTH(AV7,0))-SUMIFS('BMM465'!$D$6:$D$2989,'BMM465'!$E$6:$E$2989,"&gt;="&amp;AV7,'BMM465'!$E$6:$E$2989,"&lt;="&amp;EOMONTH(AV7,0),'BMM465'!$F$6:$F$2989,$B$14)-(SUMIFS('BMM465'!$D$6:$D$2989,'BMM465'!$E$6:$E$2989,"&gt;="&amp;AV7,'BMM465'!$E$6:$E$2989,"&lt;="&amp;EOMONTH(AV7,0),'BMM465'!$F$6:$F$2989,"Discount Rent")*2)-SUMIFS('BMM465'!$D$6:$D$2989,'BMM465'!$E$6:$E$2989,"&gt;="&amp;AV7,'BMM465'!$E$6:$E$2989,"&lt;="&amp;EOMONTH(AV7,0),'BMM465'!$F$6:$F$2989,"Bond Received")+SUMIFS('1CF1ZO'!$D$6:$D$2989,'1CF1ZO'!$E$6:$E$2989,"&gt;="&amp;AV7,'1CF1ZO'!$E$6:$E$2989,"&lt;="&amp;EOMONTH(AV7,0))-SUMIFS('1CF1ZO'!$D$6:$D$2989,'1CF1ZO'!$E$6:$E$2989,"&gt;="&amp;AV7,'1CF1ZO'!$E$6:$E$2989,"&lt;="&amp;EOMONTH(AV7,0),'1CF1ZO'!$F$6:$F$2989,$B$14)-(SUMIFS('1CF1ZO'!$D$6:$D$2989,'1CF1ZO'!$E$6:$E$2989,"&gt;="&amp;AV7,'1CF1ZO'!$E$6:$E$2989,"&lt;="&amp;EOMONTH(AV7,0),'1CF1ZO'!$F$6:$F$2989,"Discount Rent")*2)-SUMIFS('1CF1ZO'!$D$6:$D$2989,'1CF1ZO'!$E$6:$E$2989,"&gt;="&amp;AV7,'1CF1ZO'!$E$6:$E$2989,"&lt;="&amp;EOMONTH(AV7,0),'1CF1ZO'!$F$6:$F$2989,"Bond Received")+SUMIFS('1UK1BK'!$D$6:$D$2989,'1UK1BK'!$E$6:$E$2989,"&gt;="&amp;AV7,'1UK1BK'!$E$6:$E$2989,"&lt;="&amp;EOMONTH(AV7,0))-SUMIFS('1UK1BK'!$D$6:$D$2989,'1UK1BK'!$E$6:$E$2989,"&gt;="&amp;AV7,'1UK1BK'!$E$6:$E$2989,"&lt;="&amp;EOMONTH(AV7,0),'1UK1BK'!$F$6:$F$2989,$B$14)-(SUMIFS('1UK1BK'!$D$6:$D$2989,'1UK1BK'!$E$6:$E$2989,"&gt;="&amp;AV7,'1UK1BK'!$E$6:$E$2989,"&lt;="&amp;EOMONTH(AV7,0),'1UK1BK'!$F$6:$F$2989,"Discount Rent")*2)-SUMIFS('1UK1BK'!$D$6:$D$2989,'1UK1BK'!$E$6:$E$2989,"&gt;="&amp;AV7,'1UK1BK'!$E$6:$E$2989,"&lt;="&amp;EOMONTH(AV7,0),'1UK1BK'!$F$6:$F$2989,"Bond Received")</f>
        <v>#REF!</v>
      </c>
      <c r="AW11" s="108" t="e">
        <f>SUMIFS(#REF!,#REF!,"&gt;="&amp;AW7,#REF!,"&lt;="&amp;EOMONTH(AW7,0))-SUMIFS(#REF!,#REF!,"&gt;="&amp;AW7,#REF!,"&lt;="&amp;EOMONTH(AW7,0),#REF!,$B$14)-(SUMIFS(#REF!,#REF!,"&gt;="&amp;AW7,#REF!,"&lt;="&amp;EOMONTH(AW7,0),#REF!,"Discount Rent")*2)-SUMIFS(#REF!,#REF!,"&gt;="&amp;AW7,#REF!,"&lt;="&amp;EOMONTH(AW7,0),#REF!,"Bond Received")+SUMIFS('1JI2UE'!$D$6:$D$2989,'1JI2UE'!$E$6:$E$2989,"&gt;="&amp;AW7,'1JI2UE'!$E$6:$E$2989,"&lt;="&amp;EOMONTH(AW7,0))-SUMIFS('1JI2UE'!$D$6:$D$2989,'1JI2UE'!$E$6:$E$2989,"&gt;="&amp;AW7,'1JI2UE'!$E$6:$E$2989,"&lt;="&amp;EOMONTH(AW7,0),'1JI2UE'!$F$6:$F$2989,$B$14)-(SUMIFS('1JI2UE'!$D$6:$D$2989,'1JI2UE'!$E$6:$E$2989,"&gt;="&amp;AW7,'1JI2UE'!$E$6:$E$2989,"&lt;="&amp;EOMONTH(AW7,0),'1JI2UE'!$F$6:$F$2989,"Discount Rent")*2)-SUMIFS('1JI2UE'!$D$6:$D$2989,'1JI2UE'!$E$6:$E$2989,"&gt;="&amp;AW7,'1JI2UE'!$E$6:$E$2989,"&lt;="&amp;EOMONTH(AW7,0),'1JI2UE'!$F$6:$F$2989,"Bond Received")+SUMIFS(#REF!,#REF!,"&gt;="&amp;AW7,#REF!,"&lt;="&amp;EOMONTH(AW7,0))-SUMIFS(#REF!,#REF!,"&gt;="&amp;AW7,#REF!,"&lt;="&amp;EOMONTH(AW7,0),#REF!,$B$14)-(SUMIFS(#REF!,#REF!,"&gt;="&amp;AW7,#REF!,"&lt;="&amp;EOMONTH(AW7,0),#REF!,"Discount Rent")*2)-SUMIFS(#REF!,#REF!,"&gt;="&amp;AW7,#REF!,"&lt;="&amp;EOMONTH(AW7,0),#REF!,"Bond Received")+SUMIFS('1SI9BW'!$D$6:$D$2989,'1SI9BW'!$E$6:$E$2989,"&gt;="&amp;AW7,'1SI9BW'!$E$6:$E$2989,"&lt;="&amp;EOMONTH(AW7,0))-SUMIFS('1SI9BW'!$D$6:$D$2989,'1SI9BW'!$E$6:$E$2989,"&gt;="&amp;AW7,'1SI9BW'!$E$6:$E$2989,"&lt;="&amp;EOMONTH(AW7,0),'1SI9BW'!$F$6:$F$2989,$B$14)-(SUMIFS('1SI9BW'!$D$6:$D$2989,'1SI9BW'!$E$6:$E$2989,"&gt;="&amp;AW7,'1SI9BW'!$E$6:$E$2989,"&lt;="&amp;EOMONTH(AW7,0),'1SI9BW'!$F$6:$F$2989,"Discount Rent")*2)-SUMIFS('1SI9BW'!$D$6:$D$2989,'1SI9BW'!$E$6:$E$2989,"&gt;="&amp;AW7,'1SI9BW'!$E$6:$E$2989,"&lt;="&amp;EOMONTH(AW7,0),'1SI9BW'!$F$6:$F$2989,"Bond Received")+SUMIFS(Suzuki!$D$6:$D$2989,Suzuki!$E$6:$E$2989,"&gt;="&amp;AW7,Suzuki!$E$6:$E$2989,"&lt;="&amp;EOMONTH(AW7,0))-SUMIFS(Suzuki!$D$6:$D$2989,Suzuki!$E$6:$E$2989,"&gt;="&amp;AW7,Suzuki!$E$6:$E$2989,"&lt;="&amp;EOMONTH(AW7,0),Suzuki!$F$6:$F$2989,$B$14)-(SUMIFS(Suzuki!$D$6:$D$2989,Suzuki!$E$6:$E$2989,"&gt;="&amp;AW7,Suzuki!$E$6:$E$2989,"&lt;="&amp;EOMONTH(AW7,0),Suzuki!$F$6:$F$2989,"Discount Rent")*2)-SUMIFS(Suzuki!$D$6:$D$2989,Suzuki!$E$6:$E$2989,"&gt;="&amp;AW7,Suzuki!$E$6:$E$2989,"&lt;="&amp;EOMONTH(AW7,0),Suzuki!$F$6:$F$2989,"Bond Received")+SUMIFS('1SK3DD'!$D$6:$D$2989,'1SK3DD'!$E$6:$E$2989,"&gt;="&amp;AW7,'1SK3DD'!$E$6:$E$2989,"&lt;="&amp;EOMONTH(AW7,0))-SUMIFS('1SK3DD'!$D$6:$D$2989,'1SK3DD'!$E$6:$E$2989,"&gt;="&amp;AW7,'1SK3DD'!$E$6:$E$2989,"&lt;="&amp;EOMONTH(AW7,0),'1SK3DD'!$F$6:$F$2989,$B$14)-(SUMIFS('1SK3DD'!$D$6:$D$2989,'1SK3DD'!$E$6:$E$2989,"&gt;="&amp;AW7,'1SK3DD'!$E$6:$E$2989,"&lt;="&amp;EOMONTH(AW7,0),'1SK3DD'!$F$6:$F$2989,"Discount Rent")*2)-SUMIFS('1SK3DD'!$D$6:$D$2989,'1SK3DD'!$E$6:$E$2989,"&gt;="&amp;AW7,'1SK3DD'!$E$6:$E$2989,"&lt;="&amp;EOMONTH(AW7,0),'1SK3DD'!$F$6:$F$2989,"Bond Received")+SUMIFS('1SX5TQ'!$D$6:$D$2989,'1SX5TQ'!$E$6:$E$2989,"&gt;="&amp;AW7,'1SX5TQ'!$E$6:$E$2989,"&lt;="&amp;EOMONTH(AW7,0))-SUMIFS('1SX5TQ'!$D$6:$D$2989,'1SX5TQ'!$E$6:$E$2989,"&gt;="&amp;AW7,'1SX5TQ'!$E$6:$E$2989,"&lt;="&amp;EOMONTH(AW7,0),'1SX5TQ'!$F$6:$F$2989,$B$14)-(SUMIFS('1SX5TQ'!$D$6:$D$2989,'1SX5TQ'!$E$6:$E$2989,"&gt;="&amp;AW7,'1SX5TQ'!$E$6:$E$2989,"&lt;="&amp;EOMONTH(AW7,0),'1SX5TQ'!$F$6:$F$2989,"Discount Rent")*2)-SUMIFS('1SX5TQ'!$D$6:$D$2989,'1SX5TQ'!$E$6:$E$2989,"&gt;="&amp;AW7,'1SX5TQ'!$E$6:$E$2989,"&lt;="&amp;EOMONTH(AW7,0),'1SX5TQ'!$F$6:$F$2989,"Bond Received")+SUMIFS('BMM465'!$D$6:$D$2989,'BMM465'!$E$6:$E$2989,"&gt;="&amp;AW7,'BMM465'!$E$6:$E$2989,"&lt;="&amp;EOMONTH(AW7,0))-SUMIFS('BMM465'!$D$6:$D$2989,'BMM465'!$E$6:$E$2989,"&gt;="&amp;AW7,'BMM465'!$E$6:$E$2989,"&lt;="&amp;EOMONTH(AW7,0),'BMM465'!$F$6:$F$2989,$B$14)-(SUMIFS('BMM465'!$D$6:$D$2989,'BMM465'!$E$6:$E$2989,"&gt;="&amp;AW7,'BMM465'!$E$6:$E$2989,"&lt;="&amp;EOMONTH(AW7,0),'BMM465'!$F$6:$F$2989,"Discount Rent")*2)-SUMIFS('BMM465'!$D$6:$D$2989,'BMM465'!$E$6:$E$2989,"&gt;="&amp;AW7,'BMM465'!$E$6:$E$2989,"&lt;="&amp;EOMONTH(AW7,0),'BMM465'!$F$6:$F$2989,"Bond Received")+SUMIFS('1CF1ZO'!$D$6:$D$2989,'1CF1ZO'!$E$6:$E$2989,"&gt;="&amp;AW7,'1CF1ZO'!$E$6:$E$2989,"&lt;="&amp;EOMONTH(AW7,0))-SUMIFS('1CF1ZO'!$D$6:$D$2989,'1CF1ZO'!$E$6:$E$2989,"&gt;="&amp;AW7,'1CF1ZO'!$E$6:$E$2989,"&lt;="&amp;EOMONTH(AW7,0),'1CF1ZO'!$F$6:$F$2989,$B$14)-(SUMIFS('1CF1ZO'!$D$6:$D$2989,'1CF1ZO'!$E$6:$E$2989,"&gt;="&amp;AW7,'1CF1ZO'!$E$6:$E$2989,"&lt;="&amp;EOMONTH(AW7,0),'1CF1ZO'!$F$6:$F$2989,"Discount Rent")*2)-SUMIFS('1CF1ZO'!$D$6:$D$2989,'1CF1ZO'!$E$6:$E$2989,"&gt;="&amp;AW7,'1CF1ZO'!$E$6:$E$2989,"&lt;="&amp;EOMONTH(AW7,0),'1CF1ZO'!$F$6:$F$2989,"Bond Received")+SUMIFS('1UK1BK'!$D$6:$D$2989,'1UK1BK'!$E$6:$E$2989,"&gt;="&amp;AW7,'1UK1BK'!$E$6:$E$2989,"&lt;="&amp;EOMONTH(AW7,0))-SUMIFS('1UK1BK'!$D$6:$D$2989,'1UK1BK'!$E$6:$E$2989,"&gt;="&amp;AW7,'1UK1BK'!$E$6:$E$2989,"&lt;="&amp;EOMONTH(AW7,0),'1UK1BK'!$F$6:$F$2989,$B$14)-(SUMIFS('1UK1BK'!$D$6:$D$2989,'1UK1BK'!$E$6:$E$2989,"&gt;="&amp;AW7,'1UK1BK'!$E$6:$E$2989,"&lt;="&amp;EOMONTH(AW7,0),'1UK1BK'!$F$6:$F$2989,"Discount Rent")*2)-SUMIFS('1UK1BK'!$D$6:$D$2989,'1UK1BK'!$E$6:$E$2989,"&gt;="&amp;AW7,'1UK1BK'!$E$6:$E$2989,"&lt;="&amp;EOMONTH(AW7,0),'1UK1BK'!$F$6:$F$2989,"Bond Received")</f>
        <v>#REF!</v>
      </c>
      <c r="AX11" s="108" t="e">
        <f>SUMIFS(#REF!,#REF!,"&gt;="&amp;AX7,#REF!,"&lt;="&amp;EOMONTH(AX7,0))-SUMIFS(#REF!,#REF!,"&gt;="&amp;AX7,#REF!,"&lt;="&amp;EOMONTH(AX7,0),#REF!,$B$14)-(SUMIFS(#REF!,#REF!,"&gt;="&amp;AX7,#REF!,"&lt;="&amp;EOMONTH(AX7,0),#REF!,"Discount Rent")*2)-SUMIFS(#REF!,#REF!,"&gt;="&amp;AX7,#REF!,"&lt;="&amp;EOMONTH(AX7,0),#REF!,"Bond Received")+SUMIFS('1JI2UE'!$D$6:$D$2989,'1JI2UE'!$E$6:$E$2989,"&gt;="&amp;AX7,'1JI2UE'!$E$6:$E$2989,"&lt;="&amp;EOMONTH(AX7,0))-SUMIFS('1JI2UE'!$D$6:$D$2989,'1JI2UE'!$E$6:$E$2989,"&gt;="&amp;AX7,'1JI2UE'!$E$6:$E$2989,"&lt;="&amp;EOMONTH(AX7,0),'1JI2UE'!$F$6:$F$2989,$B$14)-(SUMIFS('1JI2UE'!$D$6:$D$2989,'1JI2UE'!$E$6:$E$2989,"&gt;="&amp;AX7,'1JI2UE'!$E$6:$E$2989,"&lt;="&amp;EOMONTH(AX7,0),'1JI2UE'!$F$6:$F$2989,"Discount Rent")*2)-SUMIFS('1JI2UE'!$D$6:$D$2989,'1JI2UE'!$E$6:$E$2989,"&gt;="&amp;AX7,'1JI2UE'!$E$6:$E$2989,"&lt;="&amp;EOMONTH(AX7,0),'1JI2UE'!$F$6:$F$2989,"Bond Received")+SUMIFS(#REF!,#REF!,"&gt;="&amp;AX7,#REF!,"&lt;="&amp;EOMONTH(AX7,0))-SUMIFS(#REF!,#REF!,"&gt;="&amp;AX7,#REF!,"&lt;="&amp;EOMONTH(AX7,0),#REF!,$B$14)-(SUMIFS(#REF!,#REF!,"&gt;="&amp;AX7,#REF!,"&lt;="&amp;EOMONTH(AX7,0),#REF!,"Discount Rent")*2)-SUMIFS(#REF!,#REF!,"&gt;="&amp;AX7,#REF!,"&lt;="&amp;EOMONTH(AX7,0),#REF!,"Bond Received")+SUMIFS('1SI9BW'!$D$6:$D$2989,'1SI9BW'!$E$6:$E$2989,"&gt;="&amp;AX7,'1SI9BW'!$E$6:$E$2989,"&lt;="&amp;EOMONTH(AX7,0))-SUMIFS('1SI9BW'!$D$6:$D$2989,'1SI9BW'!$E$6:$E$2989,"&gt;="&amp;AX7,'1SI9BW'!$E$6:$E$2989,"&lt;="&amp;EOMONTH(AX7,0),'1SI9BW'!$F$6:$F$2989,$B$14)-(SUMIFS('1SI9BW'!$D$6:$D$2989,'1SI9BW'!$E$6:$E$2989,"&gt;="&amp;AX7,'1SI9BW'!$E$6:$E$2989,"&lt;="&amp;EOMONTH(AX7,0),'1SI9BW'!$F$6:$F$2989,"Discount Rent")*2)-SUMIFS('1SI9BW'!$D$6:$D$2989,'1SI9BW'!$E$6:$E$2989,"&gt;="&amp;AX7,'1SI9BW'!$E$6:$E$2989,"&lt;="&amp;EOMONTH(AX7,0),'1SI9BW'!$F$6:$F$2989,"Bond Received")+SUMIFS(Suzuki!$D$6:$D$2989,Suzuki!$E$6:$E$2989,"&gt;="&amp;AX7,Suzuki!$E$6:$E$2989,"&lt;="&amp;EOMONTH(AX7,0))-SUMIFS(Suzuki!$D$6:$D$2989,Suzuki!$E$6:$E$2989,"&gt;="&amp;AX7,Suzuki!$E$6:$E$2989,"&lt;="&amp;EOMONTH(AX7,0),Suzuki!$F$6:$F$2989,$B$14)-(SUMIFS(Suzuki!$D$6:$D$2989,Suzuki!$E$6:$E$2989,"&gt;="&amp;AX7,Suzuki!$E$6:$E$2989,"&lt;="&amp;EOMONTH(AX7,0),Suzuki!$F$6:$F$2989,"Discount Rent")*2)-SUMIFS(Suzuki!$D$6:$D$2989,Suzuki!$E$6:$E$2989,"&gt;="&amp;AX7,Suzuki!$E$6:$E$2989,"&lt;="&amp;EOMONTH(AX7,0),Suzuki!$F$6:$F$2989,"Bond Received")+SUMIFS('1SK3DD'!$D$6:$D$2989,'1SK3DD'!$E$6:$E$2989,"&gt;="&amp;AX7,'1SK3DD'!$E$6:$E$2989,"&lt;="&amp;EOMONTH(AX7,0))-SUMIFS('1SK3DD'!$D$6:$D$2989,'1SK3DD'!$E$6:$E$2989,"&gt;="&amp;AX7,'1SK3DD'!$E$6:$E$2989,"&lt;="&amp;EOMONTH(AX7,0),'1SK3DD'!$F$6:$F$2989,$B$14)-(SUMIFS('1SK3DD'!$D$6:$D$2989,'1SK3DD'!$E$6:$E$2989,"&gt;="&amp;AX7,'1SK3DD'!$E$6:$E$2989,"&lt;="&amp;EOMONTH(AX7,0),'1SK3DD'!$F$6:$F$2989,"Discount Rent")*2)-SUMIFS('1SK3DD'!$D$6:$D$2989,'1SK3DD'!$E$6:$E$2989,"&gt;="&amp;AX7,'1SK3DD'!$E$6:$E$2989,"&lt;="&amp;EOMONTH(AX7,0),'1SK3DD'!$F$6:$F$2989,"Bond Received")+SUMIFS('1SX5TQ'!$D$6:$D$2989,'1SX5TQ'!$E$6:$E$2989,"&gt;="&amp;AX7,'1SX5TQ'!$E$6:$E$2989,"&lt;="&amp;EOMONTH(AX7,0))-SUMIFS('1SX5TQ'!$D$6:$D$2989,'1SX5TQ'!$E$6:$E$2989,"&gt;="&amp;AX7,'1SX5TQ'!$E$6:$E$2989,"&lt;="&amp;EOMONTH(AX7,0),'1SX5TQ'!$F$6:$F$2989,$B$14)-(SUMIFS('1SX5TQ'!$D$6:$D$2989,'1SX5TQ'!$E$6:$E$2989,"&gt;="&amp;AX7,'1SX5TQ'!$E$6:$E$2989,"&lt;="&amp;EOMONTH(AX7,0),'1SX5TQ'!$F$6:$F$2989,"Discount Rent")*2)-SUMIFS('1SX5TQ'!$D$6:$D$2989,'1SX5TQ'!$E$6:$E$2989,"&gt;="&amp;AX7,'1SX5TQ'!$E$6:$E$2989,"&lt;="&amp;EOMONTH(AX7,0),'1SX5TQ'!$F$6:$F$2989,"Bond Received")+SUMIFS('BMM465'!$D$6:$D$2989,'BMM465'!$E$6:$E$2989,"&gt;="&amp;AX7,'BMM465'!$E$6:$E$2989,"&lt;="&amp;EOMONTH(AX7,0))-SUMIFS('BMM465'!$D$6:$D$2989,'BMM465'!$E$6:$E$2989,"&gt;="&amp;AX7,'BMM465'!$E$6:$E$2989,"&lt;="&amp;EOMONTH(AX7,0),'BMM465'!$F$6:$F$2989,$B$14)-(SUMIFS('BMM465'!$D$6:$D$2989,'BMM465'!$E$6:$E$2989,"&gt;="&amp;AX7,'BMM465'!$E$6:$E$2989,"&lt;="&amp;EOMONTH(AX7,0),'BMM465'!$F$6:$F$2989,"Discount Rent")*2)-SUMIFS('BMM465'!$D$6:$D$2989,'BMM465'!$E$6:$E$2989,"&gt;="&amp;AX7,'BMM465'!$E$6:$E$2989,"&lt;="&amp;EOMONTH(AX7,0),'BMM465'!$F$6:$F$2989,"Bond Received")+SUMIFS('1CF1ZO'!$D$6:$D$2989,'1CF1ZO'!$E$6:$E$2989,"&gt;="&amp;AX7,'1CF1ZO'!$E$6:$E$2989,"&lt;="&amp;EOMONTH(AX7,0))-SUMIFS('1CF1ZO'!$D$6:$D$2989,'1CF1ZO'!$E$6:$E$2989,"&gt;="&amp;AX7,'1CF1ZO'!$E$6:$E$2989,"&lt;="&amp;EOMONTH(AX7,0),'1CF1ZO'!$F$6:$F$2989,$B$14)-(SUMIFS('1CF1ZO'!$D$6:$D$2989,'1CF1ZO'!$E$6:$E$2989,"&gt;="&amp;AX7,'1CF1ZO'!$E$6:$E$2989,"&lt;="&amp;EOMONTH(AX7,0),'1CF1ZO'!$F$6:$F$2989,"Discount Rent")*2)-SUMIFS('1CF1ZO'!$D$6:$D$2989,'1CF1ZO'!$E$6:$E$2989,"&gt;="&amp;AX7,'1CF1ZO'!$E$6:$E$2989,"&lt;="&amp;EOMONTH(AX7,0),'1CF1ZO'!$F$6:$F$2989,"Bond Received")+SUMIFS('1UK1BK'!$D$6:$D$2989,'1UK1BK'!$E$6:$E$2989,"&gt;="&amp;AX7,'1UK1BK'!$E$6:$E$2989,"&lt;="&amp;EOMONTH(AX7,0))-SUMIFS('1UK1BK'!$D$6:$D$2989,'1UK1BK'!$E$6:$E$2989,"&gt;="&amp;AX7,'1UK1BK'!$E$6:$E$2989,"&lt;="&amp;EOMONTH(AX7,0),'1UK1BK'!$F$6:$F$2989,$B$14)-(SUMIFS('1UK1BK'!$D$6:$D$2989,'1UK1BK'!$E$6:$E$2989,"&gt;="&amp;AX7,'1UK1BK'!$E$6:$E$2989,"&lt;="&amp;EOMONTH(AX7,0),'1UK1BK'!$F$6:$F$2989,"Discount Rent")*2)-SUMIFS('1UK1BK'!$D$6:$D$2989,'1UK1BK'!$E$6:$E$2989,"&gt;="&amp;AX7,'1UK1BK'!$E$6:$E$2989,"&lt;="&amp;EOMONTH(AX7,0),'1UK1BK'!$F$6:$F$2989,"Bond Received")</f>
        <v>#REF!</v>
      </c>
      <c r="AY11" s="108" t="e">
        <f>SUMIFS(#REF!,#REF!,"&gt;="&amp;AY7,#REF!,"&lt;="&amp;EOMONTH(AY7,0))-SUMIFS(#REF!,#REF!,"&gt;="&amp;AY7,#REF!,"&lt;="&amp;EOMONTH(AY7,0),#REF!,$B$14)-(SUMIFS(#REF!,#REF!,"&gt;="&amp;AY7,#REF!,"&lt;="&amp;EOMONTH(AY7,0),#REF!,"Discount Rent")*2)-SUMIFS(#REF!,#REF!,"&gt;="&amp;AY7,#REF!,"&lt;="&amp;EOMONTH(AY7,0),#REF!,"Bond Received")+SUMIFS('1JI2UE'!$D$6:$D$2989,'1JI2UE'!$E$6:$E$2989,"&gt;="&amp;AY7,'1JI2UE'!$E$6:$E$2989,"&lt;="&amp;EOMONTH(AY7,0))-SUMIFS('1JI2UE'!$D$6:$D$2989,'1JI2UE'!$E$6:$E$2989,"&gt;="&amp;AY7,'1JI2UE'!$E$6:$E$2989,"&lt;="&amp;EOMONTH(AY7,0),'1JI2UE'!$F$6:$F$2989,$B$14)-(SUMIFS('1JI2UE'!$D$6:$D$2989,'1JI2UE'!$E$6:$E$2989,"&gt;="&amp;AY7,'1JI2UE'!$E$6:$E$2989,"&lt;="&amp;EOMONTH(AY7,0),'1JI2UE'!$F$6:$F$2989,"Discount Rent")*2)-SUMIFS('1JI2UE'!$D$6:$D$2989,'1JI2UE'!$E$6:$E$2989,"&gt;="&amp;AY7,'1JI2UE'!$E$6:$E$2989,"&lt;="&amp;EOMONTH(AY7,0),'1JI2UE'!$F$6:$F$2989,"Bond Received")+SUMIFS(#REF!,#REF!,"&gt;="&amp;AY7,#REF!,"&lt;="&amp;EOMONTH(AY7,0))-SUMIFS(#REF!,#REF!,"&gt;="&amp;AY7,#REF!,"&lt;="&amp;EOMONTH(AY7,0),#REF!,$B$14)-(SUMIFS(#REF!,#REF!,"&gt;="&amp;AY7,#REF!,"&lt;="&amp;EOMONTH(AY7,0),#REF!,"Discount Rent")*2)-SUMIFS(#REF!,#REF!,"&gt;="&amp;AY7,#REF!,"&lt;="&amp;EOMONTH(AY7,0),#REF!,"Bond Received")+SUMIFS('1SI9BW'!$D$6:$D$2989,'1SI9BW'!$E$6:$E$2989,"&gt;="&amp;AY7,'1SI9BW'!$E$6:$E$2989,"&lt;="&amp;EOMONTH(AY7,0))-SUMIFS('1SI9BW'!$D$6:$D$2989,'1SI9BW'!$E$6:$E$2989,"&gt;="&amp;AY7,'1SI9BW'!$E$6:$E$2989,"&lt;="&amp;EOMONTH(AY7,0),'1SI9BW'!$F$6:$F$2989,$B$14)-(SUMIFS('1SI9BW'!$D$6:$D$2989,'1SI9BW'!$E$6:$E$2989,"&gt;="&amp;AY7,'1SI9BW'!$E$6:$E$2989,"&lt;="&amp;EOMONTH(AY7,0),'1SI9BW'!$F$6:$F$2989,"Discount Rent")*2)-SUMIFS('1SI9BW'!$D$6:$D$2989,'1SI9BW'!$E$6:$E$2989,"&gt;="&amp;AY7,'1SI9BW'!$E$6:$E$2989,"&lt;="&amp;EOMONTH(AY7,0),'1SI9BW'!$F$6:$F$2989,"Bond Received")+SUMIFS(Suzuki!$D$6:$D$2989,Suzuki!$E$6:$E$2989,"&gt;="&amp;AY7,Suzuki!$E$6:$E$2989,"&lt;="&amp;EOMONTH(AY7,0))-SUMIFS(Suzuki!$D$6:$D$2989,Suzuki!$E$6:$E$2989,"&gt;="&amp;AY7,Suzuki!$E$6:$E$2989,"&lt;="&amp;EOMONTH(AY7,0),Suzuki!$F$6:$F$2989,$B$14)-(SUMIFS(Suzuki!$D$6:$D$2989,Suzuki!$E$6:$E$2989,"&gt;="&amp;AY7,Suzuki!$E$6:$E$2989,"&lt;="&amp;EOMONTH(AY7,0),Suzuki!$F$6:$F$2989,"Discount Rent")*2)-SUMIFS(Suzuki!$D$6:$D$2989,Suzuki!$E$6:$E$2989,"&gt;="&amp;AY7,Suzuki!$E$6:$E$2989,"&lt;="&amp;EOMONTH(AY7,0),Suzuki!$F$6:$F$2989,"Bond Received")+SUMIFS('1SK3DD'!$D$6:$D$2989,'1SK3DD'!$E$6:$E$2989,"&gt;="&amp;AY7,'1SK3DD'!$E$6:$E$2989,"&lt;="&amp;EOMONTH(AY7,0))-SUMIFS('1SK3DD'!$D$6:$D$2989,'1SK3DD'!$E$6:$E$2989,"&gt;="&amp;AY7,'1SK3DD'!$E$6:$E$2989,"&lt;="&amp;EOMONTH(AY7,0),'1SK3DD'!$F$6:$F$2989,$B$14)-(SUMIFS('1SK3DD'!$D$6:$D$2989,'1SK3DD'!$E$6:$E$2989,"&gt;="&amp;AY7,'1SK3DD'!$E$6:$E$2989,"&lt;="&amp;EOMONTH(AY7,0),'1SK3DD'!$F$6:$F$2989,"Discount Rent")*2)-SUMIFS('1SK3DD'!$D$6:$D$2989,'1SK3DD'!$E$6:$E$2989,"&gt;="&amp;AY7,'1SK3DD'!$E$6:$E$2989,"&lt;="&amp;EOMONTH(AY7,0),'1SK3DD'!$F$6:$F$2989,"Bond Received")+SUMIFS('1SX5TQ'!$D$6:$D$2989,'1SX5TQ'!$E$6:$E$2989,"&gt;="&amp;AY7,'1SX5TQ'!$E$6:$E$2989,"&lt;="&amp;EOMONTH(AY7,0))-SUMIFS('1SX5TQ'!$D$6:$D$2989,'1SX5TQ'!$E$6:$E$2989,"&gt;="&amp;AY7,'1SX5TQ'!$E$6:$E$2989,"&lt;="&amp;EOMONTH(AY7,0),'1SX5TQ'!$F$6:$F$2989,$B$14)-(SUMIFS('1SX5TQ'!$D$6:$D$2989,'1SX5TQ'!$E$6:$E$2989,"&gt;="&amp;AY7,'1SX5TQ'!$E$6:$E$2989,"&lt;="&amp;EOMONTH(AY7,0),'1SX5TQ'!$F$6:$F$2989,"Discount Rent")*2)-SUMIFS('1SX5TQ'!$D$6:$D$2989,'1SX5TQ'!$E$6:$E$2989,"&gt;="&amp;AY7,'1SX5TQ'!$E$6:$E$2989,"&lt;="&amp;EOMONTH(AY7,0),'1SX5TQ'!$F$6:$F$2989,"Bond Received")+SUMIFS('BMM465'!$D$6:$D$2989,'BMM465'!$E$6:$E$2989,"&gt;="&amp;AY7,'BMM465'!$E$6:$E$2989,"&lt;="&amp;EOMONTH(AY7,0))-SUMIFS('BMM465'!$D$6:$D$2989,'BMM465'!$E$6:$E$2989,"&gt;="&amp;AY7,'BMM465'!$E$6:$E$2989,"&lt;="&amp;EOMONTH(AY7,0),'BMM465'!$F$6:$F$2989,$B$14)-(SUMIFS('BMM465'!$D$6:$D$2989,'BMM465'!$E$6:$E$2989,"&gt;="&amp;AY7,'BMM465'!$E$6:$E$2989,"&lt;="&amp;EOMONTH(AY7,0),'BMM465'!$F$6:$F$2989,"Discount Rent")*2)-SUMIFS('BMM465'!$D$6:$D$2989,'BMM465'!$E$6:$E$2989,"&gt;="&amp;AY7,'BMM465'!$E$6:$E$2989,"&lt;="&amp;EOMONTH(AY7,0),'BMM465'!$F$6:$F$2989,"Bond Received")+SUMIFS('1CF1ZO'!$D$6:$D$2989,'1CF1ZO'!$E$6:$E$2989,"&gt;="&amp;AY7,'1CF1ZO'!$E$6:$E$2989,"&lt;="&amp;EOMONTH(AY7,0))-SUMIFS('1CF1ZO'!$D$6:$D$2989,'1CF1ZO'!$E$6:$E$2989,"&gt;="&amp;AY7,'1CF1ZO'!$E$6:$E$2989,"&lt;="&amp;EOMONTH(AY7,0),'1CF1ZO'!$F$6:$F$2989,$B$14)-(SUMIFS('1CF1ZO'!$D$6:$D$2989,'1CF1ZO'!$E$6:$E$2989,"&gt;="&amp;AY7,'1CF1ZO'!$E$6:$E$2989,"&lt;="&amp;EOMONTH(AY7,0),'1CF1ZO'!$F$6:$F$2989,"Discount Rent")*2)-SUMIFS('1CF1ZO'!$D$6:$D$2989,'1CF1ZO'!$E$6:$E$2989,"&gt;="&amp;AY7,'1CF1ZO'!$E$6:$E$2989,"&lt;="&amp;EOMONTH(AY7,0),'1CF1ZO'!$F$6:$F$2989,"Bond Received")+SUMIFS('1UK1BK'!$D$6:$D$2989,'1UK1BK'!$E$6:$E$2989,"&gt;="&amp;AY7,'1UK1BK'!$E$6:$E$2989,"&lt;="&amp;EOMONTH(AY7,0))-SUMIFS('1UK1BK'!$D$6:$D$2989,'1UK1BK'!$E$6:$E$2989,"&gt;="&amp;AY7,'1UK1BK'!$E$6:$E$2989,"&lt;="&amp;EOMONTH(AY7,0),'1UK1BK'!$F$6:$F$2989,$B$14)-(SUMIFS('1UK1BK'!$D$6:$D$2989,'1UK1BK'!$E$6:$E$2989,"&gt;="&amp;AY7,'1UK1BK'!$E$6:$E$2989,"&lt;="&amp;EOMONTH(AY7,0),'1UK1BK'!$F$6:$F$2989,"Discount Rent")*2)-SUMIFS('1UK1BK'!$D$6:$D$2989,'1UK1BK'!$E$6:$E$2989,"&gt;="&amp;AY7,'1UK1BK'!$E$6:$E$2989,"&lt;="&amp;EOMONTH(AY7,0),'1UK1BK'!$F$6:$F$2989,"Bond Received")</f>
        <v>#REF!</v>
      </c>
      <c r="AZ11" s="108" t="e">
        <f>SUMIFS(#REF!,#REF!,"&gt;="&amp;AZ7,#REF!,"&lt;="&amp;EOMONTH(AZ7,0))-SUMIFS(#REF!,#REF!,"&gt;="&amp;AZ7,#REF!,"&lt;="&amp;EOMONTH(AZ7,0),#REF!,$B$14)-(SUMIFS(#REF!,#REF!,"&gt;="&amp;AZ7,#REF!,"&lt;="&amp;EOMONTH(AZ7,0),#REF!,"Discount Rent")*2)-SUMIFS(#REF!,#REF!,"&gt;="&amp;AZ7,#REF!,"&lt;="&amp;EOMONTH(AZ7,0),#REF!,"Bond Received")+SUMIFS('1JI2UE'!$D$6:$D$2989,'1JI2UE'!$E$6:$E$2989,"&gt;="&amp;AZ7,'1JI2UE'!$E$6:$E$2989,"&lt;="&amp;EOMONTH(AZ7,0))-SUMIFS('1JI2UE'!$D$6:$D$2989,'1JI2UE'!$E$6:$E$2989,"&gt;="&amp;AZ7,'1JI2UE'!$E$6:$E$2989,"&lt;="&amp;EOMONTH(AZ7,0),'1JI2UE'!$F$6:$F$2989,$B$14)-(SUMIFS('1JI2UE'!$D$6:$D$2989,'1JI2UE'!$E$6:$E$2989,"&gt;="&amp;AZ7,'1JI2UE'!$E$6:$E$2989,"&lt;="&amp;EOMONTH(AZ7,0),'1JI2UE'!$F$6:$F$2989,"Discount Rent")*2)-SUMIFS('1JI2UE'!$D$6:$D$2989,'1JI2UE'!$E$6:$E$2989,"&gt;="&amp;AZ7,'1JI2UE'!$E$6:$E$2989,"&lt;="&amp;EOMONTH(AZ7,0),'1JI2UE'!$F$6:$F$2989,"Bond Received")+SUMIFS(#REF!,#REF!,"&gt;="&amp;AZ7,#REF!,"&lt;="&amp;EOMONTH(AZ7,0))-SUMIFS(#REF!,#REF!,"&gt;="&amp;AZ7,#REF!,"&lt;="&amp;EOMONTH(AZ7,0),#REF!,$B$14)-(SUMIFS(#REF!,#REF!,"&gt;="&amp;AZ7,#REF!,"&lt;="&amp;EOMONTH(AZ7,0),#REF!,"Discount Rent")*2)-SUMIFS(#REF!,#REF!,"&gt;="&amp;AZ7,#REF!,"&lt;="&amp;EOMONTH(AZ7,0),#REF!,"Bond Received")+SUMIFS('1SI9BW'!$D$6:$D$2989,'1SI9BW'!$E$6:$E$2989,"&gt;="&amp;AZ7,'1SI9BW'!$E$6:$E$2989,"&lt;="&amp;EOMONTH(AZ7,0))-SUMIFS('1SI9BW'!$D$6:$D$2989,'1SI9BW'!$E$6:$E$2989,"&gt;="&amp;AZ7,'1SI9BW'!$E$6:$E$2989,"&lt;="&amp;EOMONTH(AZ7,0),'1SI9BW'!$F$6:$F$2989,$B$14)-(SUMIFS('1SI9BW'!$D$6:$D$2989,'1SI9BW'!$E$6:$E$2989,"&gt;="&amp;AZ7,'1SI9BW'!$E$6:$E$2989,"&lt;="&amp;EOMONTH(AZ7,0),'1SI9BW'!$F$6:$F$2989,"Discount Rent")*2)-SUMIFS('1SI9BW'!$D$6:$D$2989,'1SI9BW'!$E$6:$E$2989,"&gt;="&amp;AZ7,'1SI9BW'!$E$6:$E$2989,"&lt;="&amp;EOMONTH(AZ7,0),'1SI9BW'!$F$6:$F$2989,"Bond Received")+SUMIFS(Suzuki!$D$6:$D$2989,Suzuki!$E$6:$E$2989,"&gt;="&amp;AZ7,Suzuki!$E$6:$E$2989,"&lt;="&amp;EOMONTH(AZ7,0))-SUMIFS(Suzuki!$D$6:$D$2989,Suzuki!$E$6:$E$2989,"&gt;="&amp;AZ7,Suzuki!$E$6:$E$2989,"&lt;="&amp;EOMONTH(AZ7,0),Suzuki!$F$6:$F$2989,$B$14)-(SUMIFS(Suzuki!$D$6:$D$2989,Suzuki!$E$6:$E$2989,"&gt;="&amp;AZ7,Suzuki!$E$6:$E$2989,"&lt;="&amp;EOMONTH(AZ7,0),Suzuki!$F$6:$F$2989,"Discount Rent")*2)-SUMIFS(Suzuki!$D$6:$D$2989,Suzuki!$E$6:$E$2989,"&gt;="&amp;AZ7,Suzuki!$E$6:$E$2989,"&lt;="&amp;EOMONTH(AZ7,0),Suzuki!$F$6:$F$2989,"Bond Received")+SUMIFS('1SK3DD'!$D$6:$D$2989,'1SK3DD'!$E$6:$E$2989,"&gt;="&amp;AZ7,'1SK3DD'!$E$6:$E$2989,"&lt;="&amp;EOMONTH(AZ7,0))-SUMIFS('1SK3DD'!$D$6:$D$2989,'1SK3DD'!$E$6:$E$2989,"&gt;="&amp;AZ7,'1SK3DD'!$E$6:$E$2989,"&lt;="&amp;EOMONTH(AZ7,0),'1SK3DD'!$F$6:$F$2989,$B$14)-(SUMIFS('1SK3DD'!$D$6:$D$2989,'1SK3DD'!$E$6:$E$2989,"&gt;="&amp;AZ7,'1SK3DD'!$E$6:$E$2989,"&lt;="&amp;EOMONTH(AZ7,0),'1SK3DD'!$F$6:$F$2989,"Discount Rent")*2)-SUMIFS('1SK3DD'!$D$6:$D$2989,'1SK3DD'!$E$6:$E$2989,"&gt;="&amp;AZ7,'1SK3DD'!$E$6:$E$2989,"&lt;="&amp;EOMONTH(AZ7,0),'1SK3DD'!$F$6:$F$2989,"Bond Received")+SUMIFS('1SX5TQ'!$D$6:$D$2989,'1SX5TQ'!$E$6:$E$2989,"&gt;="&amp;AZ7,'1SX5TQ'!$E$6:$E$2989,"&lt;="&amp;EOMONTH(AZ7,0))-SUMIFS('1SX5TQ'!$D$6:$D$2989,'1SX5TQ'!$E$6:$E$2989,"&gt;="&amp;AZ7,'1SX5TQ'!$E$6:$E$2989,"&lt;="&amp;EOMONTH(AZ7,0),'1SX5TQ'!$F$6:$F$2989,$B$14)-(SUMIFS('1SX5TQ'!$D$6:$D$2989,'1SX5TQ'!$E$6:$E$2989,"&gt;="&amp;AZ7,'1SX5TQ'!$E$6:$E$2989,"&lt;="&amp;EOMONTH(AZ7,0),'1SX5TQ'!$F$6:$F$2989,"Discount Rent")*2)-SUMIFS('1SX5TQ'!$D$6:$D$2989,'1SX5TQ'!$E$6:$E$2989,"&gt;="&amp;AZ7,'1SX5TQ'!$E$6:$E$2989,"&lt;="&amp;EOMONTH(AZ7,0),'1SX5TQ'!$F$6:$F$2989,"Bond Received")+SUMIFS('BMM465'!$D$6:$D$2989,'BMM465'!$E$6:$E$2989,"&gt;="&amp;AZ7,'BMM465'!$E$6:$E$2989,"&lt;="&amp;EOMONTH(AZ7,0))-SUMIFS('BMM465'!$D$6:$D$2989,'BMM465'!$E$6:$E$2989,"&gt;="&amp;AZ7,'BMM465'!$E$6:$E$2989,"&lt;="&amp;EOMONTH(AZ7,0),'BMM465'!$F$6:$F$2989,$B$14)-(SUMIFS('BMM465'!$D$6:$D$2989,'BMM465'!$E$6:$E$2989,"&gt;="&amp;AZ7,'BMM465'!$E$6:$E$2989,"&lt;="&amp;EOMONTH(AZ7,0),'BMM465'!$F$6:$F$2989,"Discount Rent")*2)-SUMIFS('BMM465'!$D$6:$D$2989,'BMM465'!$E$6:$E$2989,"&gt;="&amp;AZ7,'BMM465'!$E$6:$E$2989,"&lt;="&amp;EOMONTH(AZ7,0),'BMM465'!$F$6:$F$2989,"Bond Received")+SUMIFS('1CF1ZO'!$D$6:$D$2989,'1CF1ZO'!$E$6:$E$2989,"&gt;="&amp;AZ7,'1CF1ZO'!$E$6:$E$2989,"&lt;="&amp;EOMONTH(AZ7,0))-SUMIFS('1CF1ZO'!$D$6:$D$2989,'1CF1ZO'!$E$6:$E$2989,"&gt;="&amp;AZ7,'1CF1ZO'!$E$6:$E$2989,"&lt;="&amp;EOMONTH(AZ7,0),'1CF1ZO'!$F$6:$F$2989,$B$14)-(SUMIFS('1CF1ZO'!$D$6:$D$2989,'1CF1ZO'!$E$6:$E$2989,"&gt;="&amp;AZ7,'1CF1ZO'!$E$6:$E$2989,"&lt;="&amp;EOMONTH(AZ7,0),'1CF1ZO'!$F$6:$F$2989,"Discount Rent")*2)-SUMIFS('1CF1ZO'!$D$6:$D$2989,'1CF1ZO'!$E$6:$E$2989,"&gt;="&amp;AZ7,'1CF1ZO'!$E$6:$E$2989,"&lt;="&amp;EOMONTH(AZ7,0),'1CF1ZO'!$F$6:$F$2989,"Bond Received")+SUMIFS('1UK1BK'!$D$6:$D$2989,'1UK1BK'!$E$6:$E$2989,"&gt;="&amp;AZ7,'1UK1BK'!$E$6:$E$2989,"&lt;="&amp;EOMONTH(AZ7,0))-SUMIFS('1UK1BK'!$D$6:$D$2989,'1UK1BK'!$E$6:$E$2989,"&gt;="&amp;AZ7,'1UK1BK'!$E$6:$E$2989,"&lt;="&amp;EOMONTH(AZ7,0),'1UK1BK'!$F$6:$F$2989,$B$14)-(SUMIFS('1UK1BK'!$D$6:$D$2989,'1UK1BK'!$E$6:$E$2989,"&gt;="&amp;AZ7,'1UK1BK'!$E$6:$E$2989,"&lt;="&amp;EOMONTH(AZ7,0),'1UK1BK'!$F$6:$F$2989,"Discount Rent")*2)-SUMIFS('1UK1BK'!$D$6:$D$2989,'1UK1BK'!$E$6:$E$2989,"&gt;="&amp;AZ7,'1UK1BK'!$E$6:$E$2989,"&lt;="&amp;EOMONTH(AZ7,0),'1UK1BK'!$F$6:$F$2989,"Bond Received")</f>
        <v>#REF!</v>
      </c>
      <c r="BA11" s="108" t="e">
        <f>SUMIFS(#REF!,#REF!,"&gt;="&amp;BA7,#REF!,"&lt;="&amp;EOMONTH(BA7,0))-SUMIFS(#REF!,#REF!,"&gt;="&amp;BA7,#REF!,"&lt;="&amp;EOMONTH(BA7,0),#REF!,$B$14)-(SUMIFS(#REF!,#REF!,"&gt;="&amp;BA7,#REF!,"&lt;="&amp;EOMONTH(BA7,0),#REF!,"Discount Rent")*2)-SUMIFS(#REF!,#REF!,"&gt;="&amp;BA7,#REF!,"&lt;="&amp;EOMONTH(BA7,0),#REF!,"Bond Received")+SUMIFS('1JI2UE'!$D$6:$D$2989,'1JI2UE'!$E$6:$E$2989,"&gt;="&amp;BA7,'1JI2UE'!$E$6:$E$2989,"&lt;="&amp;EOMONTH(BA7,0))-SUMIFS('1JI2UE'!$D$6:$D$2989,'1JI2UE'!$E$6:$E$2989,"&gt;="&amp;BA7,'1JI2UE'!$E$6:$E$2989,"&lt;="&amp;EOMONTH(BA7,0),'1JI2UE'!$F$6:$F$2989,$B$14)-(SUMIFS('1JI2UE'!$D$6:$D$2989,'1JI2UE'!$E$6:$E$2989,"&gt;="&amp;BA7,'1JI2UE'!$E$6:$E$2989,"&lt;="&amp;EOMONTH(BA7,0),'1JI2UE'!$F$6:$F$2989,"Discount Rent")*2)-SUMIFS('1JI2UE'!$D$6:$D$2989,'1JI2UE'!$E$6:$E$2989,"&gt;="&amp;BA7,'1JI2UE'!$E$6:$E$2989,"&lt;="&amp;EOMONTH(BA7,0),'1JI2UE'!$F$6:$F$2989,"Bond Received")+SUMIFS(#REF!,#REF!,"&gt;="&amp;BA7,#REF!,"&lt;="&amp;EOMONTH(BA7,0))-SUMIFS(#REF!,#REF!,"&gt;="&amp;BA7,#REF!,"&lt;="&amp;EOMONTH(BA7,0),#REF!,$B$14)-(SUMIFS(#REF!,#REF!,"&gt;="&amp;BA7,#REF!,"&lt;="&amp;EOMONTH(BA7,0),#REF!,"Discount Rent")*2)-SUMIFS(#REF!,#REF!,"&gt;="&amp;BA7,#REF!,"&lt;="&amp;EOMONTH(BA7,0),#REF!,"Bond Received")+SUMIFS('1SI9BW'!$D$6:$D$2989,'1SI9BW'!$E$6:$E$2989,"&gt;="&amp;BA7,'1SI9BW'!$E$6:$E$2989,"&lt;="&amp;EOMONTH(BA7,0))-SUMIFS('1SI9BW'!$D$6:$D$2989,'1SI9BW'!$E$6:$E$2989,"&gt;="&amp;BA7,'1SI9BW'!$E$6:$E$2989,"&lt;="&amp;EOMONTH(BA7,0),'1SI9BW'!$F$6:$F$2989,$B$14)-(SUMIFS('1SI9BW'!$D$6:$D$2989,'1SI9BW'!$E$6:$E$2989,"&gt;="&amp;BA7,'1SI9BW'!$E$6:$E$2989,"&lt;="&amp;EOMONTH(BA7,0),'1SI9BW'!$F$6:$F$2989,"Discount Rent")*2)-SUMIFS('1SI9BW'!$D$6:$D$2989,'1SI9BW'!$E$6:$E$2989,"&gt;="&amp;BA7,'1SI9BW'!$E$6:$E$2989,"&lt;="&amp;EOMONTH(BA7,0),'1SI9BW'!$F$6:$F$2989,"Bond Received")+SUMIFS(Suzuki!$D$6:$D$2989,Suzuki!$E$6:$E$2989,"&gt;="&amp;BA7,Suzuki!$E$6:$E$2989,"&lt;="&amp;EOMONTH(BA7,0))-SUMIFS(Suzuki!$D$6:$D$2989,Suzuki!$E$6:$E$2989,"&gt;="&amp;BA7,Suzuki!$E$6:$E$2989,"&lt;="&amp;EOMONTH(BA7,0),Suzuki!$F$6:$F$2989,$B$14)-(SUMIFS(Suzuki!$D$6:$D$2989,Suzuki!$E$6:$E$2989,"&gt;="&amp;BA7,Suzuki!$E$6:$E$2989,"&lt;="&amp;EOMONTH(BA7,0),Suzuki!$F$6:$F$2989,"Discount Rent")*2)-SUMIFS(Suzuki!$D$6:$D$2989,Suzuki!$E$6:$E$2989,"&gt;="&amp;BA7,Suzuki!$E$6:$E$2989,"&lt;="&amp;EOMONTH(BA7,0),Suzuki!$F$6:$F$2989,"Bond Received")+SUMIFS('1SK3DD'!$D$6:$D$2989,'1SK3DD'!$E$6:$E$2989,"&gt;="&amp;BA7,'1SK3DD'!$E$6:$E$2989,"&lt;="&amp;EOMONTH(BA7,0))-SUMIFS('1SK3DD'!$D$6:$D$2989,'1SK3DD'!$E$6:$E$2989,"&gt;="&amp;BA7,'1SK3DD'!$E$6:$E$2989,"&lt;="&amp;EOMONTH(BA7,0),'1SK3DD'!$F$6:$F$2989,$B$14)-(SUMIFS('1SK3DD'!$D$6:$D$2989,'1SK3DD'!$E$6:$E$2989,"&gt;="&amp;BA7,'1SK3DD'!$E$6:$E$2989,"&lt;="&amp;EOMONTH(BA7,0),'1SK3DD'!$F$6:$F$2989,"Discount Rent")*2)-SUMIFS('1SK3DD'!$D$6:$D$2989,'1SK3DD'!$E$6:$E$2989,"&gt;="&amp;BA7,'1SK3DD'!$E$6:$E$2989,"&lt;="&amp;EOMONTH(BA7,0),'1SK3DD'!$F$6:$F$2989,"Bond Received")+SUMIFS('1SX5TQ'!$D$6:$D$2989,'1SX5TQ'!$E$6:$E$2989,"&gt;="&amp;BA7,'1SX5TQ'!$E$6:$E$2989,"&lt;="&amp;EOMONTH(BA7,0))-SUMIFS('1SX5TQ'!$D$6:$D$2989,'1SX5TQ'!$E$6:$E$2989,"&gt;="&amp;BA7,'1SX5TQ'!$E$6:$E$2989,"&lt;="&amp;EOMONTH(BA7,0),'1SX5TQ'!$F$6:$F$2989,$B$14)-(SUMIFS('1SX5TQ'!$D$6:$D$2989,'1SX5TQ'!$E$6:$E$2989,"&gt;="&amp;BA7,'1SX5TQ'!$E$6:$E$2989,"&lt;="&amp;EOMONTH(BA7,0),'1SX5TQ'!$F$6:$F$2989,"Discount Rent")*2)-SUMIFS('1SX5TQ'!$D$6:$D$2989,'1SX5TQ'!$E$6:$E$2989,"&gt;="&amp;BA7,'1SX5TQ'!$E$6:$E$2989,"&lt;="&amp;EOMONTH(BA7,0),'1SX5TQ'!$F$6:$F$2989,"Bond Received")+SUMIFS('BMM465'!$D$6:$D$2989,'BMM465'!$E$6:$E$2989,"&gt;="&amp;BA7,'BMM465'!$E$6:$E$2989,"&lt;="&amp;EOMONTH(BA7,0))-SUMIFS('BMM465'!$D$6:$D$2989,'BMM465'!$E$6:$E$2989,"&gt;="&amp;BA7,'BMM465'!$E$6:$E$2989,"&lt;="&amp;EOMONTH(BA7,0),'BMM465'!$F$6:$F$2989,$B$14)-(SUMIFS('BMM465'!$D$6:$D$2989,'BMM465'!$E$6:$E$2989,"&gt;="&amp;BA7,'BMM465'!$E$6:$E$2989,"&lt;="&amp;EOMONTH(BA7,0),'BMM465'!$F$6:$F$2989,"Discount Rent")*2)-SUMIFS('BMM465'!$D$6:$D$2989,'BMM465'!$E$6:$E$2989,"&gt;="&amp;BA7,'BMM465'!$E$6:$E$2989,"&lt;="&amp;EOMONTH(BA7,0),'BMM465'!$F$6:$F$2989,"Bond Received")+SUMIFS('1CF1ZO'!$D$6:$D$2989,'1CF1ZO'!$E$6:$E$2989,"&gt;="&amp;BA7,'1CF1ZO'!$E$6:$E$2989,"&lt;="&amp;EOMONTH(BA7,0))-SUMIFS('1CF1ZO'!$D$6:$D$2989,'1CF1ZO'!$E$6:$E$2989,"&gt;="&amp;BA7,'1CF1ZO'!$E$6:$E$2989,"&lt;="&amp;EOMONTH(BA7,0),'1CF1ZO'!$F$6:$F$2989,$B$14)-(SUMIFS('1CF1ZO'!$D$6:$D$2989,'1CF1ZO'!$E$6:$E$2989,"&gt;="&amp;BA7,'1CF1ZO'!$E$6:$E$2989,"&lt;="&amp;EOMONTH(BA7,0),'1CF1ZO'!$F$6:$F$2989,"Discount Rent")*2)-SUMIFS('1CF1ZO'!$D$6:$D$2989,'1CF1ZO'!$E$6:$E$2989,"&gt;="&amp;BA7,'1CF1ZO'!$E$6:$E$2989,"&lt;="&amp;EOMONTH(BA7,0),'1CF1ZO'!$F$6:$F$2989,"Bond Received")+SUMIFS('1UK1BK'!$D$6:$D$2989,'1UK1BK'!$E$6:$E$2989,"&gt;="&amp;BA7,'1UK1BK'!$E$6:$E$2989,"&lt;="&amp;EOMONTH(BA7,0))-SUMIFS('1UK1BK'!$D$6:$D$2989,'1UK1BK'!$E$6:$E$2989,"&gt;="&amp;BA7,'1UK1BK'!$E$6:$E$2989,"&lt;="&amp;EOMONTH(BA7,0),'1UK1BK'!$F$6:$F$2989,$B$14)-(SUMIFS('1UK1BK'!$D$6:$D$2989,'1UK1BK'!$E$6:$E$2989,"&gt;="&amp;BA7,'1UK1BK'!$E$6:$E$2989,"&lt;="&amp;EOMONTH(BA7,0),'1UK1BK'!$F$6:$F$2989,"Discount Rent")*2)-SUMIFS('1UK1BK'!$D$6:$D$2989,'1UK1BK'!$E$6:$E$2989,"&gt;="&amp;BA7,'1UK1BK'!$E$6:$E$2989,"&lt;="&amp;EOMONTH(BA7,0),'1UK1BK'!$F$6:$F$2989,"Bond Received")</f>
        <v>#REF!</v>
      </c>
    </row>
    <row r="12" spans="1:53" x14ac:dyDescent="0.25">
      <c r="B12" s="5" t="s">
        <v>654</v>
      </c>
      <c r="C12" s="69" t="str">
        <f>IFERROR(D12/$D$8,"")</f>
        <v/>
      </c>
      <c r="D12" s="109" t="e">
        <f>SUM(I12:R12)</f>
        <v>#REF!</v>
      </c>
      <c r="E12" s="69" t="str">
        <f>IFERROR(F12/$F$8,"")</f>
        <v/>
      </c>
      <c r="F12" s="109" t="e">
        <f>SUM(S12:AD12)</f>
        <v>#REF!</v>
      </c>
      <c r="G12" s="69" t="str">
        <f>IFERROR(H12/$H$8,"")</f>
        <v/>
      </c>
      <c r="H12" s="109" t="e">
        <f>SUM(I12:AAD12)</f>
        <v>#REF!</v>
      </c>
      <c r="I12" s="108" t="e">
        <f>I9*0.1</f>
        <v>#REF!</v>
      </c>
      <c r="J12" s="108" t="e">
        <f t="shared" ref="J12:AD12" si="7">J9*0.1</f>
        <v>#REF!</v>
      </c>
      <c r="K12" s="108" t="e">
        <f t="shared" si="7"/>
        <v>#REF!</v>
      </c>
      <c r="L12" s="108" t="e">
        <f t="shared" si="7"/>
        <v>#REF!</v>
      </c>
      <c r="M12" s="108" t="e">
        <f t="shared" si="7"/>
        <v>#REF!</v>
      </c>
      <c r="N12" s="108" t="e">
        <f t="shared" si="7"/>
        <v>#REF!</v>
      </c>
      <c r="O12" s="108" t="e">
        <f t="shared" si="7"/>
        <v>#REF!</v>
      </c>
      <c r="P12" s="108" t="e">
        <f t="shared" si="7"/>
        <v>#REF!</v>
      </c>
      <c r="Q12" s="108" t="e">
        <f t="shared" si="7"/>
        <v>#REF!</v>
      </c>
      <c r="R12" s="108" t="e">
        <f t="shared" si="7"/>
        <v>#REF!</v>
      </c>
      <c r="S12" s="108" t="e">
        <f t="shared" si="7"/>
        <v>#REF!</v>
      </c>
      <c r="T12" s="108" t="e">
        <f t="shared" si="7"/>
        <v>#REF!</v>
      </c>
      <c r="U12" s="108" t="e">
        <f t="shared" si="7"/>
        <v>#REF!</v>
      </c>
      <c r="V12" s="108" t="e">
        <f t="shared" si="7"/>
        <v>#REF!</v>
      </c>
      <c r="W12" s="108" t="e">
        <f t="shared" si="7"/>
        <v>#REF!</v>
      </c>
      <c r="X12" s="108" t="e">
        <f t="shared" si="7"/>
        <v>#REF!</v>
      </c>
      <c r="Y12" s="108" t="e">
        <f t="shared" si="7"/>
        <v>#REF!</v>
      </c>
      <c r="Z12" s="108" t="e">
        <f t="shared" si="7"/>
        <v>#REF!</v>
      </c>
      <c r="AA12" s="108" t="e">
        <f t="shared" si="7"/>
        <v>#REF!</v>
      </c>
      <c r="AB12" s="108" t="e">
        <f t="shared" si="7"/>
        <v>#REF!</v>
      </c>
      <c r="AC12" s="108" t="e">
        <f t="shared" si="7"/>
        <v>#REF!</v>
      </c>
      <c r="AD12" s="108" t="e">
        <f t="shared" si="7"/>
        <v>#REF!</v>
      </c>
      <c r="AE12" s="108" t="e">
        <f t="shared" ref="AE12:BA12" si="8">AE9*0.1</f>
        <v>#REF!</v>
      </c>
      <c r="AF12" s="108" t="e">
        <f t="shared" si="8"/>
        <v>#REF!</v>
      </c>
      <c r="AG12" s="108" t="e">
        <f t="shared" si="8"/>
        <v>#REF!</v>
      </c>
      <c r="AH12" s="108" t="e">
        <f t="shared" si="8"/>
        <v>#REF!</v>
      </c>
      <c r="AI12" s="108" t="e">
        <f t="shared" si="8"/>
        <v>#REF!</v>
      </c>
      <c r="AJ12" s="108" t="e">
        <f t="shared" si="8"/>
        <v>#REF!</v>
      </c>
      <c r="AK12" s="108" t="e">
        <f t="shared" si="8"/>
        <v>#REF!</v>
      </c>
      <c r="AL12" s="108" t="e">
        <f t="shared" si="8"/>
        <v>#REF!</v>
      </c>
      <c r="AM12" s="108" t="e">
        <f t="shared" si="8"/>
        <v>#REF!</v>
      </c>
      <c r="AN12" s="108" t="e">
        <f t="shared" si="8"/>
        <v>#REF!</v>
      </c>
      <c r="AO12" s="108" t="e">
        <f t="shared" si="8"/>
        <v>#REF!</v>
      </c>
      <c r="AP12" s="108" t="e">
        <f t="shared" si="8"/>
        <v>#REF!</v>
      </c>
      <c r="AQ12" s="108" t="e">
        <f t="shared" si="8"/>
        <v>#REF!</v>
      </c>
      <c r="AR12" s="108" t="e">
        <f t="shared" si="8"/>
        <v>#REF!</v>
      </c>
      <c r="AS12" s="108" t="e">
        <f t="shared" si="8"/>
        <v>#REF!</v>
      </c>
      <c r="AT12" s="108" t="e">
        <f t="shared" si="8"/>
        <v>#REF!</v>
      </c>
      <c r="AU12" s="108" t="e">
        <f t="shared" si="8"/>
        <v>#REF!</v>
      </c>
      <c r="AV12" s="108" t="e">
        <f t="shared" si="8"/>
        <v>#REF!</v>
      </c>
      <c r="AW12" s="108" t="e">
        <f t="shared" si="8"/>
        <v>#REF!</v>
      </c>
      <c r="AX12" s="108" t="e">
        <f t="shared" si="8"/>
        <v>#REF!</v>
      </c>
      <c r="AY12" s="108" t="e">
        <f t="shared" si="8"/>
        <v>#REF!</v>
      </c>
      <c r="AZ12" s="108" t="e">
        <f t="shared" si="8"/>
        <v>#REF!</v>
      </c>
      <c r="BA12" s="108" t="e">
        <f t="shared" si="8"/>
        <v>#REF!</v>
      </c>
    </row>
    <row r="13" spans="1:53" x14ac:dyDescent="0.25">
      <c r="B13" s="5" t="s">
        <v>653</v>
      </c>
      <c r="C13" s="69" t="str">
        <f>IFERROR(D13/$H$8,"")</f>
        <v/>
      </c>
      <c r="D13" s="109" t="e">
        <f>SUM(I13:R13)</f>
        <v>#REF!</v>
      </c>
      <c r="E13" s="69" t="str">
        <f>IFERROR(F13/$H$8,"")</f>
        <v/>
      </c>
      <c r="F13" s="109" t="e">
        <f>SUM(S13:AD13)</f>
        <v>#REF!</v>
      </c>
      <c r="G13" s="69" t="str">
        <f>IFERROR(H13/$H$8,"")</f>
        <v/>
      </c>
      <c r="H13" s="109" t="e">
        <f>SUM(I13:AAD13)</f>
        <v>#REF!</v>
      </c>
      <c r="I13" s="108" t="e">
        <f t="shared" ref="I13:AD13" si="9">I9-(I9*0.1)</f>
        <v>#REF!</v>
      </c>
      <c r="J13" s="108" t="e">
        <f t="shared" si="9"/>
        <v>#REF!</v>
      </c>
      <c r="K13" s="108" t="e">
        <f t="shared" si="9"/>
        <v>#REF!</v>
      </c>
      <c r="L13" s="108" t="e">
        <f t="shared" si="9"/>
        <v>#REF!</v>
      </c>
      <c r="M13" s="108" t="e">
        <f t="shared" si="9"/>
        <v>#REF!</v>
      </c>
      <c r="N13" s="108" t="e">
        <f t="shared" si="9"/>
        <v>#REF!</v>
      </c>
      <c r="O13" s="108" t="e">
        <f t="shared" si="9"/>
        <v>#REF!</v>
      </c>
      <c r="P13" s="108" t="e">
        <f t="shared" si="9"/>
        <v>#REF!</v>
      </c>
      <c r="Q13" s="108" t="e">
        <f t="shared" si="9"/>
        <v>#REF!</v>
      </c>
      <c r="R13" s="108" t="e">
        <f t="shared" si="9"/>
        <v>#REF!</v>
      </c>
      <c r="S13" s="108" t="e">
        <f t="shared" si="9"/>
        <v>#REF!</v>
      </c>
      <c r="T13" s="108" t="e">
        <f t="shared" si="9"/>
        <v>#REF!</v>
      </c>
      <c r="U13" s="108" t="e">
        <f t="shared" si="9"/>
        <v>#REF!</v>
      </c>
      <c r="V13" s="108" t="e">
        <f t="shared" si="9"/>
        <v>#REF!</v>
      </c>
      <c r="W13" s="108" t="e">
        <f t="shared" si="9"/>
        <v>#REF!</v>
      </c>
      <c r="X13" s="108" t="e">
        <f t="shared" si="9"/>
        <v>#REF!</v>
      </c>
      <c r="Y13" s="108" t="e">
        <f t="shared" si="9"/>
        <v>#REF!</v>
      </c>
      <c r="Z13" s="108" t="e">
        <f t="shared" si="9"/>
        <v>#REF!</v>
      </c>
      <c r="AA13" s="108" t="e">
        <f t="shared" si="9"/>
        <v>#REF!</v>
      </c>
      <c r="AB13" s="108" t="e">
        <f t="shared" si="9"/>
        <v>#REF!</v>
      </c>
      <c r="AC13" s="108" t="e">
        <f t="shared" si="9"/>
        <v>#REF!</v>
      </c>
      <c r="AD13" s="108" t="e">
        <f t="shared" si="9"/>
        <v>#REF!</v>
      </c>
      <c r="AE13" s="108" t="e">
        <f t="shared" ref="AE13:BA13" si="10">AE9-(AE9*0.1)</f>
        <v>#REF!</v>
      </c>
      <c r="AF13" s="108" t="e">
        <f t="shared" si="10"/>
        <v>#REF!</v>
      </c>
      <c r="AG13" s="108" t="e">
        <f t="shared" si="10"/>
        <v>#REF!</v>
      </c>
      <c r="AH13" s="108" t="e">
        <f t="shared" si="10"/>
        <v>#REF!</v>
      </c>
      <c r="AI13" s="108" t="e">
        <f t="shared" si="10"/>
        <v>#REF!</v>
      </c>
      <c r="AJ13" s="108" t="e">
        <f t="shared" si="10"/>
        <v>#REF!</v>
      </c>
      <c r="AK13" s="108" t="e">
        <f t="shared" si="10"/>
        <v>#REF!</v>
      </c>
      <c r="AL13" s="108" t="e">
        <f t="shared" si="10"/>
        <v>#REF!</v>
      </c>
      <c r="AM13" s="108" t="e">
        <f t="shared" si="10"/>
        <v>#REF!</v>
      </c>
      <c r="AN13" s="108" t="e">
        <f t="shared" si="10"/>
        <v>#REF!</v>
      </c>
      <c r="AO13" s="108" t="e">
        <f t="shared" si="10"/>
        <v>#REF!</v>
      </c>
      <c r="AP13" s="108" t="e">
        <f t="shared" si="10"/>
        <v>#REF!</v>
      </c>
      <c r="AQ13" s="108" t="e">
        <f t="shared" si="10"/>
        <v>#REF!</v>
      </c>
      <c r="AR13" s="108" t="e">
        <f t="shared" si="10"/>
        <v>#REF!</v>
      </c>
      <c r="AS13" s="108" t="e">
        <f t="shared" si="10"/>
        <v>#REF!</v>
      </c>
      <c r="AT13" s="108" t="e">
        <f t="shared" si="10"/>
        <v>#REF!</v>
      </c>
      <c r="AU13" s="108" t="e">
        <f t="shared" si="10"/>
        <v>#REF!</v>
      </c>
      <c r="AV13" s="108" t="e">
        <f t="shared" si="10"/>
        <v>#REF!</v>
      </c>
      <c r="AW13" s="108" t="e">
        <f t="shared" si="10"/>
        <v>#REF!</v>
      </c>
      <c r="AX13" s="108" t="e">
        <f t="shared" si="10"/>
        <v>#REF!</v>
      </c>
      <c r="AY13" s="108" t="e">
        <f t="shared" si="10"/>
        <v>#REF!</v>
      </c>
      <c r="AZ13" s="108" t="e">
        <f t="shared" si="10"/>
        <v>#REF!</v>
      </c>
      <c r="BA13" s="108" t="e">
        <f t="shared" si="10"/>
        <v>#REF!</v>
      </c>
    </row>
    <row r="14" spans="1:53" x14ac:dyDescent="0.25">
      <c r="B14" s="5" t="s">
        <v>111</v>
      </c>
      <c r="C14" s="69" t="str">
        <f>IFERROR(D14/$H$8,"")</f>
        <v/>
      </c>
      <c r="D14" s="109" t="e">
        <f t="shared" si="2"/>
        <v>#REF!</v>
      </c>
      <c r="E14" s="69" t="str">
        <f>IFERROR(F14/$H$8,"")</f>
        <v/>
      </c>
      <c r="F14" s="109" t="e">
        <f t="shared" si="3"/>
        <v>#REF!</v>
      </c>
      <c r="G14" s="69" t="str">
        <f>IFERROR(H14/$H$8,"")</f>
        <v/>
      </c>
      <c r="H14" s="109" t="e">
        <f>SUM(I14:AAD14)</f>
        <v>#REF!</v>
      </c>
      <c r="I14" s="108" t="e">
        <f>SUMIFS('Other Expense'!$C$8:$C$3017,'Other Expense'!$B$8:$B$3017,"&gt;="&amp;I7,'Other Expense'!$B$8:$B$3017,"&lt;="&amp;EOMONTH(I7,0),'Other Expense'!$D$8:$D$3017,$B$14)+SUMIFS('CEI565'!$D$6:$D$2994,'CEI565'!$E$6:$E$2994,"&gt;="&amp;I7,'CEI565'!$E$6:$E$2994,"&lt;="&amp;EOMONTH(I7,0),'CEI565'!$F$6:$F$2994,$B$14)+SUMIFS('1SM3VL'!$D$6:$D$2989,'1SM3VL'!$E$6:$E$2989,"&gt;="&amp;I7,'1SM3VL'!$E$6:$E$2989,"&lt;="&amp;EOMONTH(I7,0),'1SM3VL'!$F$6:$F$2989,$B$14)+SUMIFS('1QF4SM'!$D$6:$D$2989,'1QF4SM'!$E$6:$E$2989,"&gt;="&amp;I7,'1QF4SM'!$E$6:$E$2989,"&lt;="&amp;EOMONTH(I7,0),'1QF4SM'!$F$6:$F$2989,$B$14)+SUMIFS('1UV5KI'!$D$6:$D$2988,'1UV5KI'!$E$6:$E$2988,"&gt;="&amp;I7,'1UV5KI'!$E$6:$E$2988,"&lt;="&amp;EOMONTH(I7,0),'1UV5KI'!$F$6:$F$2988,$B$14)+SUMIFS(#REF!,#REF!,"&gt;="&amp;I7,#REF!,"&lt;="&amp;EOMONTH(I7,0),#REF!,$B$14)+SUMIFS('1UL9RY'!$D$6:$D$2989,'1UL9RY'!$E$6:$E$2989,"&gt;="&amp;I7,'1UL9RY'!$E$6:$E$2989,"&lt;="&amp;EOMONTH(I7,0),'1UL9RY'!$F$6:$F$2989,$B$14)+SUMIFS('1OZ7GT'!$D$6:$D$2989,'1OZ7GT'!$E$6:$E$2989,"&gt;="&amp;I7,'1OZ7GT'!$E$6:$E$2989,"&lt;="&amp;EOMONTH(I7,0),'1OZ7GT'!$F$6:$F$2989,$B$14)+SUMIFS('1CN8DD'!$D$6:$D$2989,'1CN8DD'!$E$6:$E$2989,"&gt;="&amp;I7,'1CN8DD'!$E$6:$E$2989,"&lt;="&amp;EOMONTH(I7,0),'1CN8DD'!$F$6:$F$2989,$B$14)+SUMIFS('1UT9BR'!$D$6:$D$2989,'1UT9BR'!$E$6:$E$2989,"&gt;="&amp;I7,'1UT9BR'!$E$6:$E$2989,"&lt;="&amp;EOMONTH(I7,0),'1UT9BR'!$F$6:$F$2989,$B$14)+SUMIFS('1MK4UR'!$D$6:$D$2989,'1MK4UR'!$E$6:$E$2989,"&gt;="&amp;I7,'1MK4UR'!$E$6:$E$2989,"&lt;="&amp;EOMONTH(I7,0),'1MK4UR'!$F$6:$F$2989,$B$14)+SUMIFS(#REF!,#REF!,"&gt;="&amp;I7,#REF!,"&lt;="&amp;EOMONTH(I7,0),#REF!,$B$14)+SUMIFS('1JI2UE'!$D$6:$D$2989,'1JI2UE'!$E$6:$E$2989,"&gt;="&amp;I7,'1JI2UE'!$E$6:$E$2989,"&lt;="&amp;EOMONTH(I7,0),'1JI2UE'!$F$6:$F$2989,$B$14)+SUMIFS(#REF!,#REF!,"&gt;="&amp;I7,#REF!,"&lt;="&amp;EOMONTH(I7,0),#REF!,$B$14)+SUMIFS('1SI9BW'!$D$6:$D$2989,'1SI9BW'!$E$6:$E$2989,"&gt;="&amp;I7,'1SI9BW'!$E$6:$E$2989,"&lt;="&amp;EOMONTH(I7,0),'1SI9BW'!$F$6:$F$2989,$B$14)+SUMIFS(Suzuki!$D$6:$D$2989,Suzuki!$E$6:$E$2989,"&gt;="&amp;I7,Suzuki!$E$6:$E$2989,"&lt;="&amp;EOMONTH(I7,0),Suzuki!$F$6:$F$2989,$B$14)+SUMIFS('1SK3DD'!$D$6:$D$2989,'1SK3DD'!$E$6:$E$2989,"&gt;="&amp;I7,'1SK3DD'!$E$6:$E$2989,"&lt;="&amp;EOMONTH(I7,0),'1SK3DD'!$F$6:$F$2989,$B$14)+SUMIFS('1SX5TQ'!$D$6:$D$2989,'1SX5TQ'!$E$6:$E$2989,"&gt;="&amp;I7,'1SX5TQ'!$E$6:$E$2989,"&lt;="&amp;EOMONTH(I7,0),'1SX5TQ'!$F$6:$F$2989,$B$14)+SUMIFS('BMM465'!$D$6:$D$2989,'BMM465'!$E$6:$E$2989,"&gt;="&amp;I7,'BMM465'!$E$6:$E$2989,"&lt;="&amp;EOMONTH(I7,0),'BMM465'!$F$6:$F$2989,$B$14)+SUMIFS('1CF1ZO'!$D$6:$D$2989,'1CF1ZO'!$E$6:$E$2989,"&gt;="&amp;I7,'1CF1ZO'!$E$6:$E$2989,"&lt;="&amp;EOMONTH(I7,0),'1CF1ZO'!$F$6:$F$2989,$B$14)+SUMIFS('1UK1BK'!$D$6:$D$2989,'1UK1BK'!$E$6:$E$2989,"&gt;="&amp;I7,'1UK1BK'!$E$6:$E$2989,"&lt;="&amp;EOMONTH(I7,0),'1UK1BK'!$F$6:$F$2989,$B$14)</f>
        <v>#REF!</v>
      </c>
      <c r="J14" s="108" t="e">
        <f>SUMIFS('Other Expense'!$C$8:$C$3017,'Other Expense'!$B$8:$B$3017,"&gt;="&amp;J7,'Other Expense'!$B$8:$B$3017,"&lt;="&amp;EOMONTH(J7,0),'Other Expense'!$D$8:$D$3017,$B$14)+SUMIFS('CEI565'!$D$6:$D$2994,'CEI565'!$E$6:$E$2994,"&gt;="&amp;J7,'CEI565'!$E$6:$E$2994,"&lt;="&amp;EOMONTH(J7,0),'CEI565'!$F$6:$F$2994,$B$14)+SUMIFS('1SM3VL'!$D$6:$D$2989,'1SM3VL'!$E$6:$E$2989,"&gt;="&amp;J7,'1SM3VL'!$E$6:$E$2989,"&lt;="&amp;EOMONTH(J7,0),'1SM3VL'!$F$6:$F$2989,$B$14)+SUMIFS('1QF4SM'!$D$6:$D$2989,'1QF4SM'!$E$6:$E$2989,"&gt;="&amp;J7,'1QF4SM'!$E$6:$E$2989,"&lt;="&amp;EOMONTH(J7,0),'1QF4SM'!$F$6:$F$2989,$B$14)+SUMIFS('1UV5KI'!$D$6:$D$2988,'1UV5KI'!$E$6:$E$2988,"&gt;="&amp;J7,'1UV5KI'!$E$6:$E$2988,"&lt;="&amp;EOMONTH(J7,0),'1UV5KI'!$F$6:$F$2988,$B$14)+SUMIFS(#REF!,#REF!,"&gt;="&amp;J7,#REF!,"&lt;="&amp;EOMONTH(J7,0),#REF!,$B$14)+SUMIFS('1UL9RY'!$D$6:$D$2989,'1UL9RY'!$E$6:$E$2989,"&gt;="&amp;J7,'1UL9RY'!$E$6:$E$2989,"&lt;="&amp;EOMONTH(J7,0),'1UL9RY'!$F$6:$F$2989,$B$14)+SUMIFS('1OZ7GT'!$D$6:$D$2989,'1OZ7GT'!$E$6:$E$2989,"&gt;="&amp;J7,'1OZ7GT'!$E$6:$E$2989,"&lt;="&amp;EOMONTH(J7,0),'1OZ7GT'!$F$6:$F$2989,$B$14)+SUMIFS('1CN8DD'!$D$6:$D$2989,'1CN8DD'!$E$6:$E$2989,"&gt;="&amp;J7,'1CN8DD'!$E$6:$E$2989,"&lt;="&amp;EOMONTH(J7,0),'1CN8DD'!$F$6:$F$2989,$B$14)+SUMIFS('1UT9BR'!$D$6:$D$2989,'1UT9BR'!$E$6:$E$2989,"&gt;="&amp;J7,'1UT9BR'!$E$6:$E$2989,"&lt;="&amp;EOMONTH(J7,0),'1UT9BR'!$F$6:$F$2989,$B$14)+SUMIFS('1MK4UR'!$D$6:$D$2989,'1MK4UR'!$E$6:$E$2989,"&gt;="&amp;J7,'1MK4UR'!$E$6:$E$2989,"&lt;="&amp;EOMONTH(J7,0),'1MK4UR'!$F$6:$F$2989,$B$14)+SUMIFS(#REF!,#REF!,"&gt;="&amp;J7,#REF!,"&lt;="&amp;EOMONTH(J7,0),#REF!,$B$14)+SUMIFS('1JI2UE'!$D$6:$D$2989,'1JI2UE'!$E$6:$E$2989,"&gt;="&amp;J7,'1JI2UE'!$E$6:$E$2989,"&lt;="&amp;EOMONTH(J7,0),'1JI2UE'!$F$6:$F$2989,$B$14)+SUMIFS(#REF!,#REF!,"&gt;="&amp;J7,#REF!,"&lt;="&amp;EOMONTH(J7,0),#REF!,$B$14)+SUMIFS('1SI9BW'!$D$6:$D$2989,'1SI9BW'!$E$6:$E$2989,"&gt;="&amp;J7,'1SI9BW'!$E$6:$E$2989,"&lt;="&amp;EOMONTH(J7,0),'1SI9BW'!$F$6:$F$2989,$B$14)+SUMIFS(Suzuki!$D$6:$D$2989,Suzuki!$E$6:$E$2989,"&gt;="&amp;J7,Suzuki!$E$6:$E$2989,"&lt;="&amp;EOMONTH(J7,0),Suzuki!$F$6:$F$2989,$B$14)+SUMIFS('1SK3DD'!$D$6:$D$2989,'1SK3DD'!$E$6:$E$2989,"&gt;="&amp;J7,'1SK3DD'!$E$6:$E$2989,"&lt;="&amp;EOMONTH(J7,0),'1SK3DD'!$F$6:$F$2989,$B$14)+SUMIFS('1SX5TQ'!$D$6:$D$2989,'1SX5TQ'!$E$6:$E$2989,"&gt;="&amp;J7,'1SX5TQ'!$E$6:$E$2989,"&lt;="&amp;EOMONTH(J7,0),'1SX5TQ'!$F$6:$F$2989,$B$14)+SUMIFS('BMM465'!$D$6:$D$2989,'BMM465'!$E$6:$E$2989,"&gt;="&amp;J7,'BMM465'!$E$6:$E$2989,"&lt;="&amp;EOMONTH(J7,0),'BMM465'!$F$6:$F$2989,$B$14)+SUMIFS('1CF1ZO'!$D$6:$D$2989,'1CF1ZO'!$E$6:$E$2989,"&gt;="&amp;J7,'1CF1ZO'!$E$6:$E$2989,"&lt;="&amp;EOMONTH(J7,0),'1CF1ZO'!$F$6:$F$2989,$B$14)+SUMIFS('1UK1BK'!$D$6:$D$2989,'1UK1BK'!$E$6:$E$2989,"&gt;="&amp;J7,'1UK1BK'!$E$6:$E$2989,"&lt;="&amp;EOMONTH(J7,0),'1UK1BK'!$F$6:$F$2989,$B$14)</f>
        <v>#REF!</v>
      </c>
      <c r="K14" s="108" t="e">
        <f>SUMIFS('Other Expense'!$C$8:$C$3017,'Other Expense'!$B$8:$B$3017,"&gt;="&amp;K7,'Other Expense'!$B$8:$B$3017,"&lt;="&amp;EOMONTH(K7,0),'Other Expense'!$D$8:$D$3017,$B$14)+SUMIFS('CEI565'!$D$6:$D$2994,'CEI565'!$E$6:$E$2994,"&gt;="&amp;K7,'CEI565'!$E$6:$E$2994,"&lt;="&amp;EOMONTH(K7,0),'CEI565'!$F$6:$F$2994,$B$14)+SUMIFS('1SM3VL'!$D$6:$D$2989,'1SM3VL'!$E$6:$E$2989,"&gt;="&amp;K7,'1SM3VL'!$E$6:$E$2989,"&lt;="&amp;EOMONTH(K7,0),'1SM3VL'!$F$6:$F$2989,$B$14)+SUMIFS('1QF4SM'!$D$6:$D$2989,'1QF4SM'!$E$6:$E$2989,"&gt;="&amp;K7,'1QF4SM'!$E$6:$E$2989,"&lt;="&amp;EOMONTH(K7,0),'1QF4SM'!$F$6:$F$2989,$B$14)+SUMIFS('1UV5KI'!$D$6:$D$2988,'1UV5KI'!$E$6:$E$2988,"&gt;="&amp;K7,'1UV5KI'!$E$6:$E$2988,"&lt;="&amp;EOMONTH(K7,0),'1UV5KI'!$F$6:$F$2988,$B$14)+SUMIFS(#REF!,#REF!,"&gt;="&amp;K7,#REF!,"&lt;="&amp;EOMONTH(K7,0),#REF!,$B$14)+SUMIFS('1UL9RY'!$D$6:$D$2989,'1UL9RY'!$E$6:$E$2989,"&gt;="&amp;K7,'1UL9RY'!$E$6:$E$2989,"&lt;="&amp;EOMONTH(K7,0),'1UL9RY'!$F$6:$F$2989,$B$14)+SUMIFS('1OZ7GT'!$D$6:$D$2989,'1OZ7GT'!$E$6:$E$2989,"&gt;="&amp;K7,'1OZ7GT'!$E$6:$E$2989,"&lt;="&amp;EOMONTH(K7,0),'1OZ7GT'!$F$6:$F$2989,$B$14)+SUMIFS('1CN8DD'!$D$6:$D$2989,'1CN8DD'!$E$6:$E$2989,"&gt;="&amp;K7,'1CN8DD'!$E$6:$E$2989,"&lt;="&amp;EOMONTH(K7,0),'1CN8DD'!$F$6:$F$2989,$B$14)+SUMIFS('1UT9BR'!$D$6:$D$2989,'1UT9BR'!$E$6:$E$2989,"&gt;="&amp;K7,'1UT9BR'!$E$6:$E$2989,"&lt;="&amp;EOMONTH(K7,0),'1UT9BR'!$F$6:$F$2989,$B$14)+SUMIFS('1MK4UR'!$D$6:$D$2989,'1MK4UR'!$E$6:$E$2989,"&gt;="&amp;K7,'1MK4UR'!$E$6:$E$2989,"&lt;="&amp;EOMONTH(K7,0),'1MK4UR'!$F$6:$F$2989,$B$14)+SUMIFS(#REF!,#REF!,"&gt;="&amp;K7,#REF!,"&lt;="&amp;EOMONTH(K7,0),#REF!,$B$14)+SUMIFS('1JI2UE'!$D$6:$D$2989,'1JI2UE'!$E$6:$E$2989,"&gt;="&amp;K7,'1JI2UE'!$E$6:$E$2989,"&lt;="&amp;EOMONTH(K7,0),'1JI2UE'!$F$6:$F$2989,$B$14)+SUMIFS(#REF!,#REF!,"&gt;="&amp;K7,#REF!,"&lt;="&amp;EOMONTH(K7,0),#REF!,$B$14)+SUMIFS('1SI9BW'!$D$6:$D$2989,'1SI9BW'!$E$6:$E$2989,"&gt;="&amp;K7,'1SI9BW'!$E$6:$E$2989,"&lt;="&amp;EOMONTH(K7,0),'1SI9BW'!$F$6:$F$2989,$B$14)+SUMIFS(Suzuki!$D$6:$D$2989,Suzuki!$E$6:$E$2989,"&gt;="&amp;K7,Suzuki!$E$6:$E$2989,"&lt;="&amp;EOMONTH(K7,0),Suzuki!$F$6:$F$2989,$B$14)+SUMIFS('1SK3DD'!$D$6:$D$2989,'1SK3DD'!$E$6:$E$2989,"&gt;="&amp;K7,'1SK3DD'!$E$6:$E$2989,"&lt;="&amp;EOMONTH(K7,0),'1SK3DD'!$F$6:$F$2989,$B$14)+SUMIFS('1SX5TQ'!$D$6:$D$2989,'1SX5TQ'!$E$6:$E$2989,"&gt;="&amp;K7,'1SX5TQ'!$E$6:$E$2989,"&lt;="&amp;EOMONTH(K7,0),'1SX5TQ'!$F$6:$F$2989,$B$14)+SUMIFS('BMM465'!$D$6:$D$2989,'BMM465'!$E$6:$E$2989,"&gt;="&amp;K7,'BMM465'!$E$6:$E$2989,"&lt;="&amp;EOMONTH(K7,0),'BMM465'!$F$6:$F$2989,$B$14)+SUMIFS('1CF1ZO'!$D$6:$D$2989,'1CF1ZO'!$E$6:$E$2989,"&gt;="&amp;K7,'1CF1ZO'!$E$6:$E$2989,"&lt;="&amp;EOMONTH(K7,0),'1CF1ZO'!$F$6:$F$2989,$B$14)+SUMIFS('1UK1BK'!$D$6:$D$2989,'1UK1BK'!$E$6:$E$2989,"&gt;="&amp;K7,'1UK1BK'!$E$6:$E$2989,"&lt;="&amp;EOMONTH(K7,0),'1UK1BK'!$F$6:$F$2989,$B$14)</f>
        <v>#REF!</v>
      </c>
      <c r="L14" s="108" t="e">
        <f>SUMIFS('Other Expense'!$C$8:$C$3017,'Other Expense'!$B$8:$B$3017,"&gt;="&amp;L7,'Other Expense'!$B$8:$B$3017,"&lt;="&amp;EOMONTH(L7,0),'Other Expense'!$D$8:$D$3017,$B$14)+SUMIFS('CEI565'!$D$6:$D$2994,'CEI565'!$E$6:$E$2994,"&gt;="&amp;L7,'CEI565'!$E$6:$E$2994,"&lt;="&amp;EOMONTH(L7,0),'CEI565'!$F$6:$F$2994,$B$14)+SUMIFS('1SM3VL'!$D$6:$D$2989,'1SM3VL'!$E$6:$E$2989,"&gt;="&amp;L7,'1SM3VL'!$E$6:$E$2989,"&lt;="&amp;EOMONTH(L7,0),'1SM3VL'!$F$6:$F$2989,$B$14)+SUMIFS('1QF4SM'!$D$6:$D$2989,'1QF4SM'!$E$6:$E$2989,"&gt;="&amp;L7,'1QF4SM'!$E$6:$E$2989,"&lt;="&amp;EOMONTH(L7,0),'1QF4SM'!$F$6:$F$2989,$B$14)+SUMIFS('1UV5KI'!$D$6:$D$2988,'1UV5KI'!$E$6:$E$2988,"&gt;="&amp;L7,'1UV5KI'!$E$6:$E$2988,"&lt;="&amp;EOMONTH(L7,0),'1UV5KI'!$F$6:$F$2988,$B$14)+SUMIFS(#REF!,#REF!,"&gt;="&amp;L7,#REF!,"&lt;="&amp;EOMONTH(L7,0),#REF!,$B$14)+SUMIFS('1UL9RY'!$D$6:$D$2989,'1UL9RY'!$E$6:$E$2989,"&gt;="&amp;L7,'1UL9RY'!$E$6:$E$2989,"&lt;="&amp;EOMONTH(L7,0),'1UL9RY'!$F$6:$F$2989,$B$14)+SUMIFS('1OZ7GT'!$D$6:$D$2989,'1OZ7GT'!$E$6:$E$2989,"&gt;="&amp;L7,'1OZ7GT'!$E$6:$E$2989,"&lt;="&amp;EOMONTH(L7,0),'1OZ7GT'!$F$6:$F$2989,$B$14)+SUMIFS('1CN8DD'!$D$6:$D$2989,'1CN8DD'!$E$6:$E$2989,"&gt;="&amp;L7,'1CN8DD'!$E$6:$E$2989,"&lt;="&amp;EOMONTH(L7,0),'1CN8DD'!$F$6:$F$2989,$B$14)+SUMIFS('1UT9BR'!$D$6:$D$2989,'1UT9BR'!$E$6:$E$2989,"&gt;="&amp;L7,'1UT9BR'!$E$6:$E$2989,"&lt;="&amp;EOMONTH(L7,0),'1UT9BR'!$F$6:$F$2989,$B$14)+SUMIFS('1MK4UR'!$D$6:$D$2989,'1MK4UR'!$E$6:$E$2989,"&gt;="&amp;L7,'1MK4UR'!$E$6:$E$2989,"&lt;="&amp;EOMONTH(L7,0),'1MK4UR'!$F$6:$F$2989,$B$14)+SUMIFS(#REF!,#REF!,"&gt;="&amp;L7,#REF!,"&lt;="&amp;EOMONTH(L7,0),#REF!,$B$14)+SUMIFS('1JI2UE'!$D$6:$D$2989,'1JI2UE'!$E$6:$E$2989,"&gt;="&amp;L7,'1JI2UE'!$E$6:$E$2989,"&lt;="&amp;EOMONTH(L7,0),'1JI2UE'!$F$6:$F$2989,$B$14)+SUMIFS(#REF!,#REF!,"&gt;="&amp;L7,#REF!,"&lt;="&amp;EOMONTH(L7,0),#REF!,$B$14)+SUMIFS('1SI9BW'!$D$6:$D$2989,'1SI9BW'!$E$6:$E$2989,"&gt;="&amp;L7,'1SI9BW'!$E$6:$E$2989,"&lt;="&amp;EOMONTH(L7,0),'1SI9BW'!$F$6:$F$2989,$B$14)+SUMIFS(Suzuki!$D$6:$D$2989,Suzuki!$E$6:$E$2989,"&gt;="&amp;L7,Suzuki!$E$6:$E$2989,"&lt;="&amp;EOMONTH(L7,0),Suzuki!$F$6:$F$2989,$B$14)+SUMIFS('1SK3DD'!$D$6:$D$2989,'1SK3DD'!$E$6:$E$2989,"&gt;="&amp;L7,'1SK3DD'!$E$6:$E$2989,"&lt;="&amp;EOMONTH(L7,0),'1SK3DD'!$F$6:$F$2989,$B$14)+SUMIFS('1SX5TQ'!$D$6:$D$2989,'1SX5TQ'!$E$6:$E$2989,"&gt;="&amp;L7,'1SX5TQ'!$E$6:$E$2989,"&lt;="&amp;EOMONTH(L7,0),'1SX5TQ'!$F$6:$F$2989,$B$14)+SUMIFS('BMM465'!$D$6:$D$2989,'BMM465'!$E$6:$E$2989,"&gt;="&amp;L7,'BMM465'!$E$6:$E$2989,"&lt;="&amp;EOMONTH(L7,0),'BMM465'!$F$6:$F$2989,$B$14)+SUMIFS('1CF1ZO'!$D$6:$D$2989,'1CF1ZO'!$E$6:$E$2989,"&gt;="&amp;L7,'1CF1ZO'!$E$6:$E$2989,"&lt;="&amp;EOMONTH(L7,0),'1CF1ZO'!$F$6:$F$2989,$B$14)+SUMIFS('1UK1BK'!$D$6:$D$2989,'1UK1BK'!$E$6:$E$2989,"&gt;="&amp;L7,'1UK1BK'!$E$6:$E$2989,"&lt;="&amp;EOMONTH(L7,0),'1UK1BK'!$F$6:$F$2989,$B$14)</f>
        <v>#REF!</v>
      </c>
      <c r="M14" s="108" t="e">
        <f>SUMIFS('Other Expense'!$C$8:$C$3017,'Other Expense'!$B$8:$B$3017,"&gt;="&amp;M7,'Other Expense'!$B$8:$B$3017,"&lt;="&amp;EOMONTH(M7,0),'Other Expense'!$D$8:$D$3017,$B$14)+SUMIFS('CEI565'!$D$6:$D$2994,'CEI565'!$E$6:$E$2994,"&gt;="&amp;M7,'CEI565'!$E$6:$E$2994,"&lt;="&amp;EOMONTH(M7,0),'CEI565'!$F$6:$F$2994,$B$14)+SUMIFS('1SM3VL'!$D$6:$D$2989,'1SM3VL'!$E$6:$E$2989,"&gt;="&amp;M7,'1SM3VL'!$E$6:$E$2989,"&lt;="&amp;EOMONTH(M7,0),'1SM3VL'!$F$6:$F$2989,$B$14)+SUMIFS('1QF4SM'!$D$6:$D$2989,'1QF4SM'!$E$6:$E$2989,"&gt;="&amp;M7,'1QF4SM'!$E$6:$E$2989,"&lt;="&amp;EOMONTH(M7,0),'1QF4SM'!$F$6:$F$2989,$B$14)+SUMIFS('1UV5KI'!$D$6:$D$2988,'1UV5KI'!$E$6:$E$2988,"&gt;="&amp;M7,'1UV5KI'!$E$6:$E$2988,"&lt;="&amp;EOMONTH(M7,0),'1UV5KI'!$F$6:$F$2988,$B$14)+SUMIFS(#REF!,#REF!,"&gt;="&amp;M7,#REF!,"&lt;="&amp;EOMONTH(M7,0),#REF!,$B$14)+SUMIFS('1UL9RY'!$D$6:$D$2989,'1UL9RY'!$E$6:$E$2989,"&gt;="&amp;M7,'1UL9RY'!$E$6:$E$2989,"&lt;="&amp;EOMONTH(M7,0),'1UL9RY'!$F$6:$F$2989,$B$14)+SUMIFS('1OZ7GT'!$D$6:$D$2989,'1OZ7GT'!$E$6:$E$2989,"&gt;="&amp;M7,'1OZ7GT'!$E$6:$E$2989,"&lt;="&amp;EOMONTH(M7,0),'1OZ7GT'!$F$6:$F$2989,$B$14)+SUMIFS('1CN8DD'!$D$6:$D$2989,'1CN8DD'!$E$6:$E$2989,"&gt;="&amp;M7,'1CN8DD'!$E$6:$E$2989,"&lt;="&amp;EOMONTH(M7,0),'1CN8DD'!$F$6:$F$2989,$B$14)+SUMIFS('1UT9BR'!$D$6:$D$2989,'1UT9BR'!$E$6:$E$2989,"&gt;="&amp;M7,'1UT9BR'!$E$6:$E$2989,"&lt;="&amp;EOMONTH(M7,0),'1UT9BR'!$F$6:$F$2989,$B$14)+SUMIFS('1MK4UR'!$D$6:$D$2989,'1MK4UR'!$E$6:$E$2989,"&gt;="&amp;M7,'1MK4UR'!$E$6:$E$2989,"&lt;="&amp;EOMONTH(M7,0),'1MK4UR'!$F$6:$F$2989,$B$14)+SUMIFS(#REF!,#REF!,"&gt;="&amp;M7,#REF!,"&lt;="&amp;EOMONTH(M7,0),#REF!,$B$14)+SUMIFS('1JI2UE'!$D$6:$D$2989,'1JI2UE'!$E$6:$E$2989,"&gt;="&amp;M7,'1JI2UE'!$E$6:$E$2989,"&lt;="&amp;EOMONTH(M7,0),'1JI2UE'!$F$6:$F$2989,$B$14)+SUMIFS(#REF!,#REF!,"&gt;="&amp;M7,#REF!,"&lt;="&amp;EOMONTH(M7,0),#REF!,$B$14)+SUMIFS('1SI9BW'!$D$6:$D$2989,'1SI9BW'!$E$6:$E$2989,"&gt;="&amp;M7,'1SI9BW'!$E$6:$E$2989,"&lt;="&amp;EOMONTH(M7,0),'1SI9BW'!$F$6:$F$2989,$B$14)+SUMIFS(Suzuki!$D$6:$D$2989,Suzuki!$E$6:$E$2989,"&gt;="&amp;M7,Suzuki!$E$6:$E$2989,"&lt;="&amp;EOMONTH(M7,0),Suzuki!$F$6:$F$2989,$B$14)+SUMIFS('1SK3DD'!$D$6:$D$2989,'1SK3DD'!$E$6:$E$2989,"&gt;="&amp;M7,'1SK3DD'!$E$6:$E$2989,"&lt;="&amp;EOMONTH(M7,0),'1SK3DD'!$F$6:$F$2989,$B$14)+SUMIFS('1SX5TQ'!$D$6:$D$2989,'1SX5TQ'!$E$6:$E$2989,"&gt;="&amp;M7,'1SX5TQ'!$E$6:$E$2989,"&lt;="&amp;EOMONTH(M7,0),'1SX5TQ'!$F$6:$F$2989,$B$14)+SUMIFS('BMM465'!$D$6:$D$2989,'BMM465'!$E$6:$E$2989,"&gt;="&amp;M7,'BMM465'!$E$6:$E$2989,"&lt;="&amp;EOMONTH(M7,0),'BMM465'!$F$6:$F$2989,$B$14)+SUMIFS('1CF1ZO'!$D$6:$D$2989,'1CF1ZO'!$E$6:$E$2989,"&gt;="&amp;M7,'1CF1ZO'!$E$6:$E$2989,"&lt;="&amp;EOMONTH(M7,0),'1CF1ZO'!$F$6:$F$2989,$B$14)+SUMIFS('1UK1BK'!$D$6:$D$2989,'1UK1BK'!$E$6:$E$2989,"&gt;="&amp;M7,'1UK1BK'!$E$6:$E$2989,"&lt;="&amp;EOMONTH(M7,0),'1UK1BK'!$F$6:$F$2989,$B$14)</f>
        <v>#REF!</v>
      </c>
      <c r="N14" s="108" t="e">
        <f>SUMIFS('Other Expense'!$C$8:$C$3017,'Other Expense'!$B$8:$B$3017,"&gt;="&amp;N7,'Other Expense'!$B$8:$B$3017,"&lt;="&amp;EOMONTH(N7,0),'Other Expense'!$D$8:$D$3017,$B$14)+SUMIFS('CEI565'!$D$6:$D$2994,'CEI565'!$E$6:$E$2994,"&gt;="&amp;N7,'CEI565'!$E$6:$E$2994,"&lt;="&amp;EOMONTH(N7,0),'CEI565'!$F$6:$F$2994,$B$14)+SUMIFS('1SM3VL'!$D$6:$D$2989,'1SM3VL'!$E$6:$E$2989,"&gt;="&amp;N7,'1SM3VL'!$E$6:$E$2989,"&lt;="&amp;EOMONTH(N7,0),'1SM3VL'!$F$6:$F$2989,$B$14)+SUMIFS('1QF4SM'!$D$6:$D$2989,'1QF4SM'!$E$6:$E$2989,"&gt;="&amp;N7,'1QF4SM'!$E$6:$E$2989,"&lt;="&amp;EOMONTH(N7,0),'1QF4SM'!$F$6:$F$2989,$B$14)+SUMIFS('1UV5KI'!$D$6:$D$2988,'1UV5KI'!$E$6:$E$2988,"&gt;="&amp;N7,'1UV5KI'!$E$6:$E$2988,"&lt;="&amp;EOMONTH(N7,0),'1UV5KI'!$F$6:$F$2988,$B$14)+SUMIFS(#REF!,#REF!,"&gt;="&amp;N7,#REF!,"&lt;="&amp;EOMONTH(N7,0),#REF!,$B$14)+SUMIFS('1UL9RY'!$D$6:$D$2989,'1UL9RY'!$E$6:$E$2989,"&gt;="&amp;N7,'1UL9RY'!$E$6:$E$2989,"&lt;="&amp;EOMONTH(N7,0),'1UL9RY'!$F$6:$F$2989,$B$14)+SUMIFS('1OZ7GT'!$D$6:$D$2989,'1OZ7GT'!$E$6:$E$2989,"&gt;="&amp;N7,'1OZ7GT'!$E$6:$E$2989,"&lt;="&amp;EOMONTH(N7,0),'1OZ7GT'!$F$6:$F$2989,$B$14)+SUMIFS('1CN8DD'!$D$6:$D$2989,'1CN8DD'!$E$6:$E$2989,"&gt;="&amp;N7,'1CN8DD'!$E$6:$E$2989,"&lt;="&amp;EOMONTH(N7,0),'1CN8DD'!$F$6:$F$2989,$B$14)+SUMIFS('1UT9BR'!$D$6:$D$2989,'1UT9BR'!$E$6:$E$2989,"&gt;="&amp;N7,'1UT9BR'!$E$6:$E$2989,"&lt;="&amp;EOMONTH(N7,0),'1UT9BR'!$F$6:$F$2989,$B$14)+SUMIFS('1MK4UR'!$D$6:$D$2989,'1MK4UR'!$E$6:$E$2989,"&gt;="&amp;N7,'1MK4UR'!$E$6:$E$2989,"&lt;="&amp;EOMONTH(N7,0),'1MK4UR'!$F$6:$F$2989,$B$14)+SUMIFS(#REF!,#REF!,"&gt;="&amp;N7,#REF!,"&lt;="&amp;EOMONTH(N7,0),#REF!,$B$14)+SUMIFS('1JI2UE'!$D$6:$D$2989,'1JI2UE'!$E$6:$E$2989,"&gt;="&amp;N7,'1JI2UE'!$E$6:$E$2989,"&lt;="&amp;EOMONTH(N7,0),'1JI2UE'!$F$6:$F$2989,$B$14)+SUMIFS(#REF!,#REF!,"&gt;="&amp;N7,#REF!,"&lt;="&amp;EOMONTH(N7,0),#REF!,$B$14)+SUMIFS('1SI9BW'!$D$6:$D$2989,'1SI9BW'!$E$6:$E$2989,"&gt;="&amp;N7,'1SI9BW'!$E$6:$E$2989,"&lt;="&amp;EOMONTH(N7,0),'1SI9BW'!$F$6:$F$2989,$B$14)+SUMIFS(Suzuki!$D$6:$D$2989,Suzuki!$E$6:$E$2989,"&gt;="&amp;N7,Suzuki!$E$6:$E$2989,"&lt;="&amp;EOMONTH(N7,0),Suzuki!$F$6:$F$2989,$B$14)+SUMIFS('1SK3DD'!$D$6:$D$2989,'1SK3DD'!$E$6:$E$2989,"&gt;="&amp;N7,'1SK3DD'!$E$6:$E$2989,"&lt;="&amp;EOMONTH(N7,0),'1SK3DD'!$F$6:$F$2989,$B$14)+SUMIFS('1SX5TQ'!$D$6:$D$2989,'1SX5TQ'!$E$6:$E$2989,"&gt;="&amp;N7,'1SX5TQ'!$E$6:$E$2989,"&lt;="&amp;EOMONTH(N7,0),'1SX5TQ'!$F$6:$F$2989,$B$14)+SUMIFS('BMM465'!$D$6:$D$2989,'BMM465'!$E$6:$E$2989,"&gt;="&amp;N7,'BMM465'!$E$6:$E$2989,"&lt;="&amp;EOMONTH(N7,0),'BMM465'!$F$6:$F$2989,$B$14)+SUMIFS('1CF1ZO'!$D$6:$D$2989,'1CF1ZO'!$E$6:$E$2989,"&gt;="&amp;N7,'1CF1ZO'!$E$6:$E$2989,"&lt;="&amp;EOMONTH(N7,0),'1CF1ZO'!$F$6:$F$2989,$B$14)+SUMIFS('1UK1BK'!$D$6:$D$2989,'1UK1BK'!$E$6:$E$2989,"&gt;="&amp;N7,'1UK1BK'!$E$6:$E$2989,"&lt;="&amp;EOMONTH(N7,0),'1UK1BK'!$F$6:$F$2989,$B$14)</f>
        <v>#REF!</v>
      </c>
      <c r="O14" s="108" t="e">
        <f>SUMIFS('Other Expense'!$C$8:$C$3017,'Other Expense'!$B$8:$B$3017,"&gt;="&amp;O7,'Other Expense'!$B$8:$B$3017,"&lt;="&amp;EOMONTH(O7,0),'Other Expense'!$D$8:$D$3017,$B$14)+SUMIFS('CEI565'!$D$6:$D$2994,'CEI565'!$E$6:$E$2994,"&gt;="&amp;O7,'CEI565'!$E$6:$E$2994,"&lt;="&amp;EOMONTH(O7,0),'CEI565'!$F$6:$F$2994,$B$14)+SUMIFS('1SM3VL'!$D$6:$D$2989,'1SM3VL'!$E$6:$E$2989,"&gt;="&amp;O7,'1SM3VL'!$E$6:$E$2989,"&lt;="&amp;EOMONTH(O7,0),'1SM3VL'!$F$6:$F$2989,$B$14)+SUMIFS('1QF4SM'!$D$6:$D$2989,'1QF4SM'!$E$6:$E$2989,"&gt;="&amp;O7,'1QF4SM'!$E$6:$E$2989,"&lt;="&amp;EOMONTH(O7,0),'1QF4SM'!$F$6:$F$2989,$B$14)+SUMIFS('1UV5KI'!$D$6:$D$2988,'1UV5KI'!$E$6:$E$2988,"&gt;="&amp;O7,'1UV5KI'!$E$6:$E$2988,"&lt;="&amp;EOMONTH(O7,0),'1UV5KI'!$F$6:$F$2988,$B$14)+SUMIFS(#REF!,#REF!,"&gt;="&amp;O7,#REF!,"&lt;="&amp;EOMONTH(O7,0),#REF!,$B$14)+SUMIFS('1UL9RY'!$D$6:$D$2989,'1UL9RY'!$E$6:$E$2989,"&gt;="&amp;O7,'1UL9RY'!$E$6:$E$2989,"&lt;="&amp;EOMONTH(O7,0),'1UL9RY'!$F$6:$F$2989,$B$14)+SUMIFS('1OZ7GT'!$D$6:$D$2989,'1OZ7GT'!$E$6:$E$2989,"&gt;="&amp;O7,'1OZ7GT'!$E$6:$E$2989,"&lt;="&amp;EOMONTH(O7,0),'1OZ7GT'!$F$6:$F$2989,$B$14)+SUMIFS('1CN8DD'!$D$6:$D$2989,'1CN8DD'!$E$6:$E$2989,"&gt;="&amp;O7,'1CN8DD'!$E$6:$E$2989,"&lt;="&amp;EOMONTH(O7,0),'1CN8DD'!$F$6:$F$2989,$B$14)+SUMIFS('1UT9BR'!$D$6:$D$2989,'1UT9BR'!$E$6:$E$2989,"&gt;="&amp;O7,'1UT9BR'!$E$6:$E$2989,"&lt;="&amp;EOMONTH(O7,0),'1UT9BR'!$F$6:$F$2989,$B$14)+SUMIFS('1MK4UR'!$D$6:$D$2989,'1MK4UR'!$E$6:$E$2989,"&gt;="&amp;O7,'1MK4UR'!$E$6:$E$2989,"&lt;="&amp;EOMONTH(O7,0),'1MK4UR'!$F$6:$F$2989,$B$14)+SUMIFS(#REF!,#REF!,"&gt;="&amp;O7,#REF!,"&lt;="&amp;EOMONTH(O7,0),#REF!,$B$14)+SUMIFS('1JI2UE'!$D$6:$D$2989,'1JI2UE'!$E$6:$E$2989,"&gt;="&amp;O7,'1JI2UE'!$E$6:$E$2989,"&lt;="&amp;EOMONTH(O7,0),'1JI2UE'!$F$6:$F$2989,$B$14)+SUMIFS(#REF!,#REF!,"&gt;="&amp;O7,#REF!,"&lt;="&amp;EOMONTH(O7,0),#REF!,$B$14)+SUMIFS('1SI9BW'!$D$6:$D$2989,'1SI9BW'!$E$6:$E$2989,"&gt;="&amp;O7,'1SI9BW'!$E$6:$E$2989,"&lt;="&amp;EOMONTH(O7,0),'1SI9BW'!$F$6:$F$2989,$B$14)+SUMIFS(Suzuki!$D$6:$D$2989,Suzuki!$E$6:$E$2989,"&gt;="&amp;O7,Suzuki!$E$6:$E$2989,"&lt;="&amp;EOMONTH(O7,0),Suzuki!$F$6:$F$2989,$B$14)+SUMIFS('1SK3DD'!$D$6:$D$2989,'1SK3DD'!$E$6:$E$2989,"&gt;="&amp;O7,'1SK3DD'!$E$6:$E$2989,"&lt;="&amp;EOMONTH(O7,0),'1SK3DD'!$F$6:$F$2989,$B$14)+SUMIFS('1SX5TQ'!$D$6:$D$2989,'1SX5TQ'!$E$6:$E$2989,"&gt;="&amp;O7,'1SX5TQ'!$E$6:$E$2989,"&lt;="&amp;EOMONTH(O7,0),'1SX5TQ'!$F$6:$F$2989,$B$14)+SUMIFS('BMM465'!$D$6:$D$2989,'BMM465'!$E$6:$E$2989,"&gt;="&amp;O7,'BMM465'!$E$6:$E$2989,"&lt;="&amp;EOMONTH(O7,0),'BMM465'!$F$6:$F$2989,$B$14)+SUMIFS('1CF1ZO'!$D$6:$D$2989,'1CF1ZO'!$E$6:$E$2989,"&gt;="&amp;O7,'1CF1ZO'!$E$6:$E$2989,"&lt;="&amp;EOMONTH(O7,0),'1CF1ZO'!$F$6:$F$2989,$B$14)+SUMIFS('1UK1BK'!$D$6:$D$2989,'1UK1BK'!$E$6:$E$2989,"&gt;="&amp;O7,'1UK1BK'!$E$6:$E$2989,"&lt;="&amp;EOMONTH(O7,0),'1UK1BK'!$F$6:$F$2989,$B$14)</f>
        <v>#REF!</v>
      </c>
      <c r="P14" s="108" t="e">
        <f>SUMIFS('Other Expense'!$C$8:$C$3017,'Other Expense'!$B$8:$B$3017,"&gt;="&amp;P7,'Other Expense'!$B$8:$B$3017,"&lt;="&amp;EOMONTH(P7,0),'Other Expense'!$D$8:$D$3017,$B$14)+SUMIFS('CEI565'!$D$6:$D$2994,'CEI565'!$E$6:$E$2994,"&gt;="&amp;P7,'CEI565'!$E$6:$E$2994,"&lt;="&amp;EOMONTH(P7,0),'CEI565'!$F$6:$F$2994,$B$14)+SUMIFS('1SM3VL'!$D$6:$D$2989,'1SM3VL'!$E$6:$E$2989,"&gt;="&amp;P7,'1SM3VL'!$E$6:$E$2989,"&lt;="&amp;EOMONTH(P7,0),'1SM3VL'!$F$6:$F$2989,$B$14)+SUMIFS('1QF4SM'!$D$6:$D$2989,'1QF4SM'!$E$6:$E$2989,"&gt;="&amp;P7,'1QF4SM'!$E$6:$E$2989,"&lt;="&amp;EOMONTH(P7,0),'1QF4SM'!$F$6:$F$2989,$B$14)+SUMIFS('1UV5KI'!$D$6:$D$2988,'1UV5KI'!$E$6:$E$2988,"&gt;="&amp;P7,'1UV5KI'!$E$6:$E$2988,"&lt;="&amp;EOMONTH(P7,0),'1UV5KI'!$F$6:$F$2988,$B$14)+SUMIFS(#REF!,#REF!,"&gt;="&amp;P7,#REF!,"&lt;="&amp;EOMONTH(P7,0),#REF!,$B$14)+SUMIFS('1UL9RY'!$D$6:$D$2989,'1UL9RY'!$E$6:$E$2989,"&gt;="&amp;P7,'1UL9RY'!$E$6:$E$2989,"&lt;="&amp;EOMONTH(P7,0),'1UL9RY'!$F$6:$F$2989,$B$14)+SUMIFS('1OZ7GT'!$D$6:$D$2989,'1OZ7GT'!$E$6:$E$2989,"&gt;="&amp;P7,'1OZ7GT'!$E$6:$E$2989,"&lt;="&amp;EOMONTH(P7,0),'1OZ7GT'!$F$6:$F$2989,$B$14)+SUMIFS('1CN8DD'!$D$6:$D$2989,'1CN8DD'!$E$6:$E$2989,"&gt;="&amp;P7,'1CN8DD'!$E$6:$E$2989,"&lt;="&amp;EOMONTH(P7,0),'1CN8DD'!$F$6:$F$2989,$B$14)+SUMIFS('1UT9BR'!$D$6:$D$2989,'1UT9BR'!$E$6:$E$2989,"&gt;="&amp;P7,'1UT9BR'!$E$6:$E$2989,"&lt;="&amp;EOMONTH(P7,0),'1UT9BR'!$F$6:$F$2989,$B$14)+SUMIFS('1MK4UR'!$D$6:$D$2989,'1MK4UR'!$E$6:$E$2989,"&gt;="&amp;P7,'1MK4UR'!$E$6:$E$2989,"&lt;="&amp;EOMONTH(P7,0),'1MK4UR'!$F$6:$F$2989,$B$14)+SUMIFS(#REF!,#REF!,"&gt;="&amp;P7,#REF!,"&lt;="&amp;EOMONTH(P7,0),#REF!,$B$14)+SUMIFS('1JI2UE'!$D$6:$D$2989,'1JI2UE'!$E$6:$E$2989,"&gt;="&amp;P7,'1JI2UE'!$E$6:$E$2989,"&lt;="&amp;EOMONTH(P7,0),'1JI2UE'!$F$6:$F$2989,$B$14)+SUMIFS(#REF!,#REF!,"&gt;="&amp;P7,#REF!,"&lt;="&amp;EOMONTH(P7,0),#REF!,$B$14)+SUMIFS('1SI9BW'!$D$6:$D$2989,'1SI9BW'!$E$6:$E$2989,"&gt;="&amp;P7,'1SI9BW'!$E$6:$E$2989,"&lt;="&amp;EOMONTH(P7,0),'1SI9BW'!$F$6:$F$2989,$B$14)+SUMIFS(Suzuki!$D$6:$D$2989,Suzuki!$E$6:$E$2989,"&gt;="&amp;P7,Suzuki!$E$6:$E$2989,"&lt;="&amp;EOMONTH(P7,0),Suzuki!$F$6:$F$2989,$B$14)+SUMIFS('1SK3DD'!$D$6:$D$2989,'1SK3DD'!$E$6:$E$2989,"&gt;="&amp;P7,'1SK3DD'!$E$6:$E$2989,"&lt;="&amp;EOMONTH(P7,0),'1SK3DD'!$F$6:$F$2989,$B$14)+SUMIFS('1SX5TQ'!$D$6:$D$2989,'1SX5TQ'!$E$6:$E$2989,"&gt;="&amp;P7,'1SX5TQ'!$E$6:$E$2989,"&lt;="&amp;EOMONTH(P7,0),'1SX5TQ'!$F$6:$F$2989,$B$14)+SUMIFS('BMM465'!$D$6:$D$2989,'BMM465'!$E$6:$E$2989,"&gt;="&amp;P7,'BMM465'!$E$6:$E$2989,"&lt;="&amp;EOMONTH(P7,0),'BMM465'!$F$6:$F$2989,$B$14)+SUMIFS('1CF1ZO'!$D$6:$D$2989,'1CF1ZO'!$E$6:$E$2989,"&gt;="&amp;P7,'1CF1ZO'!$E$6:$E$2989,"&lt;="&amp;EOMONTH(P7,0),'1CF1ZO'!$F$6:$F$2989,$B$14)+SUMIFS('1UK1BK'!$D$6:$D$2989,'1UK1BK'!$E$6:$E$2989,"&gt;="&amp;P7,'1UK1BK'!$E$6:$E$2989,"&lt;="&amp;EOMONTH(P7,0),'1UK1BK'!$F$6:$F$2989,$B$14)</f>
        <v>#REF!</v>
      </c>
      <c r="Q14" s="108" t="e">
        <f>SUMIFS('Other Expense'!$C$8:$C$3017,'Other Expense'!$B$8:$B$3017,"&gt;="&amp;Q7,'Other Expense'!$B$8:$B$3017,"&lt;="&amp;EOMONTH(Q7,0),'Other Expense'!$D$8:$D$3017,$B$14)+SUMIFS('CEI565'!$D$6:$D$2994,'CEI565'!$E$6:$E$2994,"&gt;="&amp;Q7,'CEI565'!$E$6:$E$2994,"&lt;="&amp;EOMONTH(Q7,0),'CEI565'!$F$6:$F$2994,$B$14)+SUMIFS('1SM3VL'!$D$6:$D$2989,'1SM3VL'!$E$6:$E$2989,"&gt;="&amp;Q7,'1SM3VL'!$E$6:$E$2989,"&lt;="&amp;EOMONTH(Q7,0),'1SM3VL'!$F$6:$F$2989,$B$14)+SUMIFS('1QF4SM'!$D$6:$D$2989,'1QF4SM'!$E$6:$E$2989,"&gt;="&amp;Q7,'1QF4SM'!$E$6:$E$2989,"&lt;="&amp;EOMONTH(Q7,0),'1QF4SM'!$F$6:$F$2989,$B$14)+SUMIFS('1UV5KI'!$D$6:$D$2988,'1UV5KI'!$E$6:$E$2988,"&gt;="&amp;Q7,'1UV5KI'!$E$6:$E$2988,"&lt;="&amp;EOMONTH(Q7,0),'1UV5KI'!$F$6:$F$2988,$B$14)+SUMIFS(#REF!,#REF!,"&gt;="&amp;Q7,#REF!,"&lt;="&amp;EOMONTH(Q7,0),#REF!,$B$14)+SUMIFS('1UL9RY'!$D$6:$D$2989,'1UL9RY'!$E$6:$E$2989,"&gt;="&amp;Q7,'1UL9RY'!$E$6:$E$2989,"&lt;="&amp;EOMONTH(Q7,0),'1UL9RY'!$F$6:$F$2989,$B$14)+SUMIFS('1OZ7GT'!$D$6:$D$2989,'1OZ7GT'!$E$6:$E$2989,"&gt;="&amp;Q7,'1OZ7GT'!$E$6:$E$2989,"&lt;="&amp;EOMONTH(Q7,0),'1OZ7GT'!$F$6:$F$2989,$B$14)+SUMIFS('1CN8DD'!$D$6:$D$2989,'1CN8DD'!$E$6:$E$2989,"&gt;="&amp;Q7,'1CN8DD'!$E$6:$E$2989,"&lt;="&amp;EOMONTH(Q7,0),'1CN8DD'!$F$6:$F$2989,$B$14)+SUMIFS('1UT9BR'!$D$6:$D$2989,'1UT9BR'!$E$6:$E$2989,"&gt;="&amp;Q7,'1UT9BR'!$E$6:$E$2989,"&lt;="&amp;EOMONTH(Q7,0),'1UT9BR'!$F$6:$F$2989,$B$14)+SUMIFS('1MK4UR'!$D$6:$D$2989,'1MK4UR'!$E$6:$E$2989,"&gt;="&amp;Q7,'1MK4UR'!$E$6:$E$2989,"&lt;="&amp;EOMONTH(Q7,0),'1MK4UR'!$F$6:$F$2989,$B$14)+SUMIFS(#REF!,#REF!,"&gt;="&amp;Q7,#REF!,"&lt;="&amp;EOMONTH(Q7,0),#REF!,$B$14)+SUMIFS('1JI2UE'!$D$6:$D$2989,'1JI2UE'!$E$6:$E$2989,"&gt;="&amp;Q7,'1JI2UE'!$E$6:$E$2989,"&lt;="&amp;EOMONTH(Q7,0),'1JI2UE'!$F$6:$F$2989,$B$14)+SUMIFS(#REF!,#REF!,"&gt;="&amp;Q7,#REF!,"&lt;="&amp;EOMONTH(Q7,0),#REF!,$B$14)+SUMIFS('1SI9BW'!$D$6:$D$2989,'1SI9BW'!$E$6:$E$2989,"&gt;="&amp;Q7,'1SI9BW'!$E$6:$E$2989,"&lt;="&amp;EOMONTH(Q7,0),'1SI9BW'!$F$6:$F$2989,$B$14)+SUMIFS(Suzuki!$D$6:$D$2989,Suzuki!$E$6:$E$2989,"&gt;="&amp;Q7,Suzuki!$E$6:$E$2989,"&lt;="&amp;EOMONTH(Q7,0),Suzuki!$F$6:$F$2989,$B$14)+SUMIFS('1SK3DD'!$D$6:$D$2989,'1SK3DD'!$E$6:$E$2989,"&gt;="&amp;Q7,'1SK3DD'!$E$6:$E$2989,"&lt;="&amp;EOMONTH(Q7,0),'1SK3DD'!$F$6:$F$2989,$B$14)+SUMIFS('1SX5TQ'!$D$6:$D$2989,'1SX5TQ'!$E$6:$E$2989,"&gt;="&amp;Q7,'1SX5TQ'!$E$6:$E$2989,"&lt;="&amp;EOMONTH(Q7,0),'1SX5TQ'!$F$6:$F$2989,$B$14)+SUMIFS('BMM465'!$D$6:$D$2989,'BMM465'!$E$6:$E$2989,"&gt;="&amp;Q7,'BMM465'!$E$6:$E$2989,"&lt;="&amp;EOMONTH(Q7,0),'BMM465'!$F$6:$F$2989,$B$14)+SUMIFS('1CF1ZO'!$D$6:$D$2989,'1CF1ZO'!$E$6:$E$2989,"&gt;="&amp;Q7,'1CF1ZO'!$E$6:$E$2989,"&lt;="&amp;EOMONTH(Q7,0),'1CF1ZO'!$F$6:$F$2989,$B$14)+SUMIFS('1UK1BK'!$D$6:$D$2989,'1UK1BK'!$E$6:$E$2989,"&gt;="&amp;Q7,'1UK1BK'!$E$6:$E$2989,"&lt;="&amp;EOMONTH(Q7,0),'1UK1BK'!$F$6:$F$2989,$B$14)</f>
        <v>#REF!</v>
      </c>
      <c r="R14" s="108" t="e">
        <f>SUMIFS('Other Expense'!$C$8:$C$3017,'Other Expense'!$B$8:$B$3017,"&gt;="&amp;R7,'Other Expense'!$B$8:$B$3017,"&lt;="&amp;EOMONTH(R7,0),'Other Expense'!$D$8:$D$3017,$B$14)+SUMIFS('CEI565'!$D$6:$D$2994,'CEI565'!$E$6:$E$2994,"&gt;="&amp;R7,'CEI565'!$E$6:$E$2994,"&lt;="&amp;EOMONTH(R7,0),'CEI565'!$F$6:$F$2994,$B$14)+SUMIFS('1SM3VL'!$D$6:$D$2989,'1SM3VL'!$E$6:$E$2989,"&gt;="&amp;R7,'1SM3VL'!$E$6:$E$2989,"&lt;="&amp;EOMONTH(R7,0),'1SM3VL'!$F$6:$F$2989,$B$14)+SUMIFS('1QF4SM'!$D$6:$D$2989,'1QF4SM'!$E$6:$E$2989,"&gt;="&amp;R7,'1QF4SM'!$E$6:$E$2989,"&lt;="&amp;EOMONTH(R7,0),'1QF4SM'!$F$6:$F$2989,$B$14)+SUMIFS('1UV5KI'!$D$6:$D$2988,'1UV5KI'!$E$6:$E$2988,"&gt;="&amp;R7,'1UV5KI'!$E$6:$E$2988,"&lt;="&amp;EOMONTH(R7,0),'1UV5KI'!$F$6:$F$2988,$B$14)+SUMIFS(#REF!,#REF!,"&gt;="&amp;R7,#REF!,"&lt;="&amp;EOMONTH(R7,0),#REF!,$B$14)+SUMIFS('1UL9RY'!$D$6:$D$2989,'1UL9RY'!$E$6:$E$2989,"&gt;="&amp;R7,'1UL9RY'!$E$6:$E$2989,"&lt;="&amp;EOMONTH(R7,0),'1UL9RY'!$F$6:$F$2989,$B$14)+SUMIFS('1OZ7GT'!$D$6:$D$2989,'1OZ7GT'!$E$6:$E$2989,"&gt;="&amp;R7,'1OZ7GT'!$E$6:$E$2989,"&lt;="&amp;EOMONTH(R7,0),'1OZ7GT'!$F$6:$F$2989,$B$14)+SUMIFS('1CN8DD'!$D$6:$D$2989,'1CN8DD'!$E$6:$E$2989,"&gt;="&amp;R7,'1CN8DD'!$E$6:$E$2989,"&lt;="&amp;EOMONTH(R7,0),'1CN8DD'!$F$6:$F$2989,$B$14)+SUMIFS('1UT9BR'!$D$6:$D$2989,'1UT9BR'!$E$6:$E$2989,"&gt;="&amp;R7,'1UT9BR'!$E$6:$E$2989,"&lt;="&amp;EOMONTH(R7,0),'1UT9BR'!$F$6:$F$2989,$B$14)+SUMIFS('1MK4UR'!$D$6:$D$2989,'1MK4UR'!$E$6:$E$2989,"&gt;="&amp;R7,'1MK4UR'!$E$6:$E$2989,"&lt;="&amp;EOMONTH(R7,0),'1MK4UR'!$F$6:$F$2989,$B$14)+SUMIFS(#REF!,#REF!,"&gt;="&amp;R7,#REF!,"&lt;="&amp;EOMONTH(R7,0),#REF!,$B$14)+SUMIFS('1JI2UE'!$D$6:$D$2989,'1JI2UE'!$E$6:$E$2989,"&gt;="&amp;R7,'1JI2UE'!$E$6:$E$2989,"&lt;="&amp;EOMONTH(R7,0),'1JI2UE'!$F$6:$F$2989,$B$14)+SUMIFS(#REF!,#REF!,"&gt;="&amp;R7,#REF!,"&lt;="&amp;EOMONTH(R7,0),#REF!,$B$14)+SUMIFS('1SI9BW'!$D$6:$D$2989,'1SI9BW'!$E$6:$E$2989,"&gt;="&amp;R7,'1SI9BW'!$E$6:$E$2989,"&lt;="&amp;EOMONTH(R7,0),'1SI9BW'!$F$6:$F$2989,$B$14)+SUMIFS(Suzuki!$D$6:$D$2989,Suzuki!$E$6:$E$2989,"&gt;="&amp;R7,Suzuki!$E$6:$E$2989,"&lt;="&amp;EOMONTH(R7,0),Suzuki!$F$6:$F$2989,$B$14)+SUMIFS('1SK3DD'!$D$6:$D$2989,'1SK3DD'!$E$6:$E$2989,"&gt;="&amp;R7,'1SK3DD'!$E$6:$E$2989,"&lt;="&amp;EOMONTH(R7,0),'1SK3DD'!$F$6:$F$2989,$B$14)+SUMIFS('1SX5TQ'!$D$6:$D$2989,'1SX5TQ'!$E$6:$E$2989,"&gt;="&amp;R7,'1SX5TQ'!$E$6:$E$2989,"&lt;="&amp;EOMONTH(R7,0),'1SX5TQ'!$F$6:$F$2989,$B$14)+SUMIFS('BMM465'!$D$6:$D$2989,'BMM465'!$E$6:$E$2989,"&gt;="&amp;R7,'BMM465'!$E$6:$E$2989,"&lt;="&amp;EOMONTH(R7,0),'BMM465'!$F$6:$F$2989,$B$14)+SUMIFS('1CF1ZO'!$D$6:$D$2989,'1CF1ZO'!$E$6:$E$2989,"&gt;="&amp;R7,'1CF1ZO'!$E$6:$E$2989,"&lt;="&amp;EOMONTH(R7,0),'1CF1ZO'!$F$6:$F$2989,$B$14)+SUMIFS('1UK1BK'!$D$6:$D$2989,'1UK1BK'!$E$6:$E$2989,"&gt;="&amp;R7,'1UK1BK'!$E$6:$E$2989,"&lt;="&amp;EOMONTH(R7,0),'1UK1BK'!$F$6:$F$2989,$B$14)</f>
        <v>#REF!</v>
      </c>
      <c r="S14" s="108" t="e">
        <f>SUMIFS('Other Expense'!$C$8:$C$3017,'Other Expense'!$B$8:$B$3017,"&gt;="&amp;S7,'Other Expense'!$B$8:$B$3017,"&lt;="&amp;EOMONTH(S7,0),'Other Expense'!$D$8:$D$3017,$B$14)+SUMIFS('CEI565'!$D$6:$D$2994,'CEI565'!$E$6:$E$2994,"&gt;="&amp;S7,'CEI565'!$E$6:$E$2994,"&lt;="&amp;EOMONTH(S7,0),'CEI565'!$F$6:$F$2994,$B$14)+SUMIFS('1SM3VL'!$D$6:$D$2989,'1SM3VL'!$E$6:$E$2989,"&gt;="&amp;S7,'1SM3VL'!$E$6:$E$2989,"&lt;="&amp;EOMONTH(S7,0),'1SM3VL'!$F$6:$F$2989,$B$14)+SUMIFS('1QF4SM'!$D$6:$D$2989,'1QF4SM'!$E$6:$E$2989,"&gt;="&amp;S7,'1QF4SM'!$E$6:$E$2989,"&lt;="&amp;EOMONTH(S7,0),'1QF4SM'!$F$6:$F$2989,$B$14)+SUMIFS('1UV5KI'!$D$6:$D$2988,'1UV5KI'!$E$6:$E$2988,"&gt;="&amp;S7,'1UV5KI'!$E$6:$E$2988,"&lt;="&amp;EOMONTH(S7,0),'1UV5KI'!$F$6:$F$2988,$B$14)+SUMIFS(#REF!,#REF!,"&gt;="&amp;S7,#REF!,"&lt;="&amp;EOMONTH(S7,0),#REF!,$B$14)+SUMIFS('1UL9RY'!$D$6:$D$2989,'1UL9RY'!$E$6:$E$2989,"&gt;="&amp;S7,'1UL9RY'!$E$6:$E$2989,"&lt;="&amp;EOMONTH(S7,0),'1UL9RY'!$F$6:$F$2989,$B$14)+SUMIFS('1OZ7GT'!$D$6:$D$2989,'1OZ7GT'!$E$6:$E$2989,"&gt;="&amp;S7,'1OZ7GT'!$E$6:$E$2989,"&lt;="&amp;EOMONTH(S7,0),'1OZ7GT'!$F$6:$F$2989,$B$14)+SUMIFS('1CN8DD'!$D$6:$D$2989,'1CN8DD'!$E$6:$E$2989,"&gt;="&amp;S7,'1CN8DD'!$E$6:$E$2989,"&lt;="&amp;EOMONTH(S7,0),'1CN8DD'!$F$6:$F$2989,$B$14)+SUMIFS('1UT9BR'!$D$6:$D$2989,'1UT9BR'!$E$6:$E$2989,"&gt;="&amp;S7,'1UT9BR'!$E$6:$E$2989,"&lt;="&amp;EOMONTH(S7,0),'1UT9BR'!$F$6:$F$2989,$B$14)+SUMIFS('1MK4UR'!$D$6:$D$2989,'1MK4UR'!$E$6:$E$2989,"&gt;="&amp;S7,'1MK4UR'!$E$6:$E$2989,"&lt;="&amp;EOMONTH(S7,0),'1MK4UR'!$F$6:$F$2989,$B$14)+SUMIFS(#REF!,#REF!,"&gt;="&amp;S7,#REF!,"&lt;="&amp;EOMONTH(S7,0),#REF!,$B$14)+SUMIFS('1JI2UE'!$D$6:$D$2989,'1JI2UE'!$E$6:$E$2989,"&gt;="&amp;S7,'1JI2UE'!$E$6:$E$2989,"&lt;="&amp;EOMONTH(S7,0),'1JI2UE'!$F$6:$F$2989,$B$14)+SUMIFS(#REF!,#REF!,"&gt;="&amp;S7,#REF!,"&lt;="&amp;EOMONTH(S7,0),#REF!,$B$14)+SUMIFS('1SI9BW'!$D$6:$D$2989,'1SI9BW'!$E$6:$E$2989,"&gt;="&amp;S7,'1SI9BW'!$E$6:$E$2989,"&lt;="&amp;EOMONTH(S7,0),'1SI9BW'!$F$6:$F$2989,$B$14)+SUMIFS(Suzuki!$D$6:$D$2989,Suzuki!$E$6:$E$2989,"&gt;="&amp;S7,Suzuki!$E$6:$E$2989,"&lt;="&amp;EOMONTH(S7,0),Suzuki!$F$6:$F$2989,$B$14)+SUMIFS('1SK3DD'!$D$6:$D$2989,'1SK3DD'!$E$6:$E$2989,"&gt;="&amp;S7,'1SK3DD'!$E$6:$E$2989,"&lt;="&amp;EOMONTH(S7,0),'1SK3DD'!$F$6:$F$2989,$B$14)+SUMIFS('1SX5TQ'!$D$6:$D$2989,'1SX5TQ'!$E$6:$E$2989,"&gt;="&amp;S7,'1SX5TQ'!$E$6:$E$2989,"&lt;="&amp;EOMONTH(S7,0),'1SX5TQ'!$F$6:$F$2989,$B$14)+SUMIFS('BMM465'!$D$6:$D$2989,'BMM465'!$E$6:$E$2989,"&gt;="&amp;S7,'BMM465'!$E$6:$E$2989,"&lt;="&amp;EOMONTH(S7,0),'BMM465'!$F$6:$F$2989,$B$14)+SUMIFS('1CF1ZO'!$D$6:$D$2989,'1CF1ZO'!$E$6:$E$2989,"&gt;="&amp;S7,'1CF1ZO'!$E$6:$E$2989,"&lt;="&amp;EOMONTH(S7,0),'1CF1ZO'!$F$6:$F$2989,$B$14)+SUMIFS('1UK1BK'!$D$6:$D$2989,'1UK1BK'!$E$6:$E$2989,"&gt;="&amp;S7,'1UK1BK'!$E$6:$E$2989,"&lt;="&amp;EOMONTH(S7,0),'1UK1BK'!$F$6:$F$2989,$B$14)</f>
        <v>#REF!</v>
      </c>
      <c r="T14" s="108" t="e">
        <f>SUMIFS('Other Expense'!$C$8:$C$3017,'Other Expense'!$B$8:$B$3017,"&gt;="&amp;T7,'Other Expense'!$B$8:$B$3017,"&lt;="&amp;EOMONTH(T7,0),'Other Expense'!$D$8:$D$3017,$B$14)+SUMIFS('CEI565'!$D$6:$D$2994,'CEI565'!$E$6:$E$2994,"&gt;="&amp;T7,'CEI565'!$E$6:$E$2994,"&lt;="&amp;EOMONTH(T7,0),'CEI565'!$F$6:$F$2994,$B$14)+SUMIFS('1SM3VL'!$D$6:$D$2989,'1SM3VL'!$E$6:$E$2989,"&gt;="&amp;T7,'1SM3VL'!$E$6:$E$2989,"&lt;="&amp;EOMONTH(T7,0),'1SM3VL'!$F$6:$F$2989,$B$14)+SUMIFS('1QF4SM'!$D$6:$D$2989,'1QF4SM'!$E$6:$E$2989,"&gt;="&amp;T7,'1QF4SM'!$E$6:$E$2989,"&lt;="&amp;EOMONTH(T7,0),'1QF4SM'!$F$6:$F$2989,$B$14)+SUMIFS('1UV5KI'!$D$6:$D$2988,'1UV5KI'!$E$6:$E$2988,"&gt;="&amp;T7,'1UV5KI'!$E$6:$E$2988,"&lt;="&amp;EOMONTH(T7,0),'1UV5KI'!$F$6:$F$2988,$B$14)+SUMIFS(#REF!,#REF!,"&gt;="&amp;T7,#REF!,"&lt;="&amp;EOMONTH(T7,0),#REF!,$B$14)+SUMIFS('1UL9RY'!$D$6:$D$2989,'1UL9RY'!$E$6:$E$2989,"&gt;="&amp;T7,'1UL9RY'!$E$6:$E$2989,"&lt;="&amp;EOMONTH(T7,0),'1UL9RY'!$F$6:$F$2989,$B$14)+SUMIFS('1OZ7GT'!$D$6:$D$2989,'1OZ7GT'!$E$6:$E$2989,"&gt;="&amp;T7,'1OZ7GT'!$E$6:$E$2989,"&lt;="&amp;EOMONTH(T7,0),'1OZ7GT'!$F$6:$F$2989,$B$14)+SUMIFS('1CN8DD'!$D$6:$D$2989,'1CN8DD'!$E$6:$E$2989,"&gt;="&amp;T7,'1CN8DD'!$E$6:$E$2989,"&lt;="&amp;EOMONTH(T7,0),'1CN8DD'!$F$6:$F$2989,$B$14)+SUMIFS('1UT9BR'!$D$6:$D$2989,'1UT9BR'!$E$6:$E$2989,"&gt;="&amp;T7,'1UT9BR'!$E$6:$E$2989,"&lt;="&amp;EOMONTH(T7,0),'1UT9BR'!$F$6:$F$2989,$B$14)+SUMIFS('1MK4UR'!$D$6:$D$2989,'1MK4UR'!$E$6:$E$2989,"&gt;="&amp;T7,'1MK4UR'!$E$6:$E$2989,"&lt;="&amp;EOMONTH(T7,0),'1MK4UR'!$F$6:$F$2989,$B$14)+SUMIFS(#REF!,#REF!,"&gt;="&amp;T7,#REF!,"&lt;="&amp;EOMONTH(T7,0),#REF!,$B$14)+SUMIFS('1JI2UE'!$D$6:$D$2989,'1JI2UE'!$E$6:$E$2989,"&gt;="&amp;T7,'1JI2UE'!$E$6:$E$2989,"&lt;="&amp;EOMONTH(T7,0),'1JI2UE'!$F$6:$F$2989,$B$14)+SUMIFS(#REF!,#REF!,"&gt;="&amp;T7,#REF!,"&lt;="&amp;EOMONTH(T7,0),#REF!,$B$14)+SUMIFS('1SI9BW'!$D$6:$D$2989,'1SI9BW'!$E$6:$E$2989,"&gt;="&amp;T7,'1SI9BW'!$E$6:$E$2989,"&lt;="&amp;EOMONTH(T7,0),'1SI9BW'!$F$6:$F$2989,$B$14)+SUMIFS(Suzuki!$D$6:$D$2989,Suzuki!$E$6:$E$2989,"&gt;="&amp;T7,Suzuki!$E$6:$E$2989,"&lt;="&amp;EOMONTH(T7,0),Suzuki!$F$6:$F$2989,$B$14)+SUMIFS('1SK3DD'!$D$6:$D$2989,'1SK3DD'!$E$6:$E$2989,"&gt;="&amp;T7,'1SK3DD'!$E$6:$E$2989,"&lt;="&amp;EOMONTH(T7,0),'1SK3DD'!$F$6:$F$2989,$B$14)+SUMIFS('1SX5TQ'!$D$6:$D$2989,'1SX5TQ'!$E$6:$E$2989,"&gt;="&amp;T7,'1SX5TQ'!$E$6:$E$2989,"&lt;="&amp;EOMONTH(T7,0),'1SX5TQ'!$F$6:$F$2989,$B$14)+SUMIFS('BMM465'!$D$6:$D$2989,'BMM465'!$E$6:$E$2989,"&gt;="&amp;T7,'BMM465'!$E$6:$E$2989,"&lt;="&amp;EOMONTH(T7,0),'BMM465'!$F$6:$F$2989,$B$14)+SUMIFS('1CF1ZO'!$D$6:$D$2989,'1CF1ZO'!$E$6:$E$2989,"&gt;="&amp;T7,'1CF1ZO'!$E$6:$E$2989,"&lt;="&amp;EOMONTH(T7,0),'1CF1ZO'!$F$6:$F$2989,$B$14)+SUMIFS('1UK1BK'!$D$6:$D$2989,'1UK1BK'!$E$6:$E$2989,"&gt;="&amp;T7,'1UK1BK'!$E$6:$E$2989,"&lt;="&amp;EOMONTH(T7,0),'1UK1BK'!$F$6:$F$2989,$B$14)</f>
        <v>#REF!</v>
      </c>
      <c r="U14" s="108" t="e">
        <f>SUMIFS('Other Expense'!$C$8:$C$3017,'Other Expense'!$B$8:$B$3017,"&gt;="&amp;U7,'Other Expense'!$B$8:$B$3017,"&lt;="&amp;EOMONTH(U7,0),'Other Expense'!$D$8:$D$3017,$B$14)+SUMIFS('CEI565'!$D$6:$D$2994,'CEI565'!$E$6:$E$2994,"&gt;="&amp;U7,'CEI565'!$E$6:$E$2994,"&lt;="&amp;EOMONTH(U7,0),'CEI565'!$F$6:$F$2994,$B$14)+SUMIFS('1SM3VL'!$D$6:$D$2989,'1SM3VL'!$E$6:$E$2989,"&gt;="&amp;U7,'1SM3VL'!$E$6:$E$2989,"&lt;="&amp;EOMONTH(U7,0),'1SM3VL'!$F$6:$F$2989,$B$14)+SUMIFS('1QF4SM'!$D$6:$D$2989,'1QF4SM'!$E$6:$E$2989,"&gt;="&amp;U7,'1QF4SM'!$E$6:$E$2989,"&lt;="&amp;EOMONTH(U7,0),'1QF4SM'!$F$6:$F$2989,$B$14)+SUMIFS('1UV5KI'!$D$6:$D$2988,'1UV5KI'!$E$6:$E$2988,"&gt;="&amp;U7,'1UV5KI'!$E$6:$E$2988,"&lt;="&amp;EOMONTH(U7,0),'1UV5KI'!$F$6:$F$2988,$B$14)+SUMIFS(#REF!,#REF!,"&gt;="&amp;U7,#REF!,"&lt;="&amp;EOMONTH(U7,0),#REF!,$B$14)+SUMIFS('1UL9RY'!$D$6:$D$2989,'1UL9RY'!$E$6:$E$2989,"&gt;="&amp;U7,'1UL9RY'!$E$6:$E$2989,"&lt;="&amp;EOMONTH(U7,0),'1UL9RY'!$F$6:$F$2989,$B$14)+SUMIFS('1OZ7GT'!$D$6:$D$2989,'1OZ7GT'!$E$6:$E$2989,"&gt;="&amp;U7,'1OZ7GT'!$E$6:$E$2989,"&lt;="&amp;EOMONTH(U7,0),'1OZ7GT'!$F$6:$F$2989,$B$14)+SUMIFS('1CN8DD'!$D$6:$D$2989,'1CN8DD'!$E$6:$E$2989,"&gt;="&amp;U7,'1CN8DD'!$E$6:$E$2989,"&lt;="&amp;EOMONTH(U7,0),'1CN8DD'!$F$6:$F$2989,$B$14)+SUMIFS('1UT9BR'!$D$6:$D$2989,'1UT9BR'!$E$6:$E$2989,"&gt;="&amp;U7,'1UT9BR'!$E$6:$E$2989,"&lt;="&amp;EOMONTH(U7,0),'1UT9BR'!$F$6:$F$2989,$B$14)+SUMIFS('1MK4UR'!$D$6:$D$2989,'1MK4UR'!$E$6:$E$2989,"&gt;="&amp;U7,'1MK4UR'!$E$6:$E$2989,"&lt;="&amp;EOMONTH(U7,0),'1MK4UR'!$F$6:$F$2989,$B$14)+SUMIFS(#REF!,#REF!,"&gt;="&amp;U7,#REF!,"&lt;="&amp;EOMONTH(U7,0),#REF!,$B$14)+SUMIFS('1JI2UE'!$D$6:$D$2989,'1JI2UE'!$E$6:$E$2989,"&gt;="&amp;U7,'1JI2UE'!$E$6:$E$2989,"&lt;="&amp;EOMONTH(U7,0),'1JI2UE'!$F$6:$F$2989,$B$14)+SUMIFS(#REF!,#REF!,"&gt;="&amp;U7,#REF!,"&lt;="&amp;EOMONTH(U7,0),#REF!,$B$14)+SUMIFS('1SI9BW'!$D$6:$D$2989,'1SI9BW'!$E$6:$E$2989,"&gt;="&amp;U7,'1SI9BW'!$E$6:$E$2989,"&lt;="&amp;EOMONTH(U7,0),'1SI9BW'!$F$6:$F$2989,$B$14)+SUMIFS(Suzuki!$D$6:$D$2989,Suzuki!$E$6:$E$2989,"&gt;="&amp;U7,Suzuki!$E$6:$E$2989,"&lt;="&amp;EOMONTH(U7,0),Suzuki!$F$6:$F$2989,$B$14)+SUMIFS('1SK3DD'!$D$6:$D$2989,'1SK3DD'!$E$6:$E$2989,"&gt;="&amp;U7,'1SK3DD'!$E$6:$E$2989,"&lt;="&amp;EOMONTH(U7,0),'1SK3DD'!$F$6:$F$2989,$B$14)+SUMIFS('1SX5TQ'!$D$6:$D$2989,'1SX5TQ'!$E$6:$E$2989,"&gt;="&amp;U7,'1SX5TQ'!$E$6:$E$2989,"&lt;="&amp;EOMONTH(U7,0),'1SX5TQ'!$F$6:$F$2989,$B$14)+SUMIFS('BMM465'!$D$6:$D$2989,'BMM465'!$E$6:$E$2989,"&gt;="&amp;U7,'BMM465'!$E$6:$E$2989,"&lt;="&amp;EOMONTH(U7,0),'BMM465'!$F$6:$F$2989,$B$14)+SUMIFS('1CF1ZO'!$D$6:$D$2989,'1CF1ZO'!$E$6:$E$2989,"&gt;="&amp;U7,'1CF1ZO'!$E$6:$E$2989,"&lt;="&amp;EOMONTH(U7,0),'1CF1ZO'!$F$6:$F$2989,$B$14)+SUMIFS('1UK1BK'!$D$6:$D$2989,'1UK1BK'!$E$6:$E$2989,"&gt;="&amp;U7,'1UK1BK'!$E$6:$E$2989,"&lt;="&amp;EOMONTH(U7,0),'1UK1BK'!$F$6:$F$2989,$B$14)</f>
        <v>#REF!</v>
      </c>
      <c r="V14" s="108" t="e">
        <f>SUMIFS('Other Expense'!$C$8:$C$3017,'Other Expense'!$B$8:$B$3017,"&gt;="&amp;V7,'Other Expense'!$B$8:$B$3017,"&lt;="&amp;EOMONTH(V7,0),'Other Expense'!$D$8:$D$3017,$B$14)+SUMIFS('CEI565'!$D$6:$D$2994,'CEI565'!$E$6:$E$2994,"&gt;="&amp;V7,'CEI565'!$E$6:$E$2994,"&lt;="&amp;EOMONTH(V7,0),'CEI565'!$F$6:$F$2994,$B$14)+SUMIFS('1SM3VL'!$D$6:$D$2989,'1SM3VL'!$E$6:$E$2989,"&gt;="&amp;V7,'1SM3VL'!$E$6:$E$2989,"&lt;="&amp;EOMONTH(V7,0),'1SM3VL'!$F$6:$F$2989,$B$14)+SUMIFS('1QF4SM'!$D$6:$D$2989,'1QF4SM'!$E$6:$E$2989,"&gt;="&amp;V7,'1QF4SM'!$E$6:$E$2989,"&lt;="&amp;EOMONTH(V7,0),'1QF4SM'!$F$6:$F$2989,$B$14)+SUMIFS('1UV5KI'!$D$6:$D$2988,'1UV5KI'!$E$6:$E$2988,"&gt;="&amp;V7,'1UV5KI'!$E$6:$E$2988,"&lt;="&amp;EOMONTH(V7,0),'1UV5KI'!$F$6:$F$2988,$B$14)+SUMIFS(#REF!,#REF!,"&gt;="&amp;V7,#REF!,"&lt;="&amp;EOMONTH(V7,0),#REF!,$B$14)+SUMIFS('1UL9RY'!$D$6:$D$2989,'1UL9RY'!$E$6:$E$2989,"&gt;="&amp;V7,'1UL9RY'!$E$6:$E$2989,"&lt;="&amp;EOMONTH(V7,0),'1UL9RY'!$F$6:$F$2989,$B$14)+SUMIFS('1OZ7GT'!$D$6:$D$2989,'1OZ7GT'!$E$6:$E$2989,"&gt;="&amp;V7,'1OZ7GT'!$E$6:$E$2989,"&lt;="&amp;EOMONTH(V7,0),'1OZ7GT'!$F$6:$F$2989,$B$14)+SUMIFS('1CN8DD'!$D$6:$D$2989,'1CN8DD'!$E$6:$E$2989,"&gt;="&amp;V7,'1CN8DD'!$E$6:$E$2989,"&lt;="&amp;EOMONTH(V7,0),'1CN8DD'!$F$6:$F$2989,$B$14)+SUMIFS('1UT9BR'!$D$6:$D$2989,'1UT9BR'!$E$6:$E$2989,"&gt;="&amp;V7,'1UT9BR'!$E$6:$E$2989,"&lt;="&amp;EOMONTH(V7,0),'1UT9BR'!$F$6:$F$2989,$B$14)+SUMIFS('1MK4UR'!$D$6:$D$2989,'1MK4UR'!$E$6:$E$2989,"&gt;="&amp;V7,'1MK4UR'!$E$6:$E$2989,"&lt;="&amp;EOMONTH(V7,0),'1MK4UR'!$F$6:$F$2989,$B$14)+SUMIFS(#REF!,#REF!,"&gt;="&amp;V7,#REF!,"&lt;="&amp;EOMONTH(V7,0),#REF!,$B$14)+SUMIFS('1JI2UE'!$D$6:$D$2989,'1JI2UE'!$E$6:$E$2989,"&gt;="&amp;V7,'1JI2UE'!$E$6:$E$2989,"&lt;="&amp;EOMONTH(V7,0),'1JI2UE'!$F$6:$F$2989,$B$14)+SUMIFS(#REF!,#REF!,"&gt;="&amp;V7,#REF!,"&lt;="&amp;EOMONTH(V7,0),#REF!,$B$14)+SUMIFS('1SI9BW'!$D$6:$D$2989,'1SI9BW'!$E$6:$E$2989,"&gt;="&amp;V7,'1SI9BW'!$E$6:$E$2989,"&lt;="&amp;EOMONTH(V7,0),'1SI9BW'!$F$6:$F$2989,$B$14)+SUMIFS(Suzuki!$D$6:$D$2989,Suzuki!$E$6:$E$2989,"&gt;="&amp;V7,Suzuki!$E$6:$E$2989,"&lt;="&amp;EOMONTH(V7,0),Suzuki!$F$6:$F$2989,$B$14)+SUMIFS('1SK3DD'!$D$6:$D$2989,'1SK3DD'!$E$6:$E$2989,"&gt;="&amp;V7,'1SK3DD'!$E$6:$E$2989,"&lt;="&amp;EOMONTH(V7,0),'1SK3DD'!$F$6:$F$2989,$B$14)+SUMIFS('1SX5TQ'!$D$6:$D$2989,'1SX5TQ'!$E$6:$E$2989,"&gt;="&amp;V7,'1SX5TQ'!$E$6:$E$2989,"&lt;="&amp;EOMONTH(V7,0),'1SX5TQ'!$F$6:$F$2989,$B$14)+SUMIFS('BMM465'!$D$6:$D$2989,'BMM465'!$E$6:$E$2989,"&gt;="&amp;V7,'BMM465'!$E$6:$E$2989,"&lt;="&amp;EOMONTH(V7,0),'BMM465'!$F$6:$F$2989,$B$14)+SUMIFS('1CF1ZO'!$D$6:$D$2989,'1CF1ZO'!$E$6:$E$2989,"&gt;="&amp;V7,'1CF1ZO'!$E$6:$E$2989,"&lt;="&amp;EOMONTH(V7,0),'1CF1ZO'!$F$6:$F$2989,$B$14)+SUMIFS('1UK1BK'!$D$6:$D$2989,'1UK1BK'!$E$6:$E$2989,"&gt;="&amp;V7,'1UK1BK'!$E$6:$E$2989,"&lt;="&amp;EOMONTH(V7,0),'1UK1BK'!$F$6:$F$2989,$B$14)</f>
        <v>#REF!</v>
      </c>
      <c r="W14" s="108" t="e">
        <f>SUMIFS('Other Expense'!$C$8:$C$3017,'Other Expense'!$B$8:$B$3017,"&gt;="&amp;W7,'Other Expense'!$B$8:$B$3017,"&lt;="&amp;EOMONTH(W7,0),'Other Expense'!$D$8:$D$3017,$B$14)+SUMIFS('CEI565'!$D$6:$D$2994,'CEI565'!$E$6:$E$2994,"&gt;="&amp;W7,'CEI565'!$E$6:$E$2994,"&lt;="&amp;EOMONTH(W7,0),'CEI565'!$F$6:$F$2994,$B$14)+SUMIFS('1SM3VL'!$D$6:$D$2989,'1SM3VL'!$E$6:$E$2989,"&gt;="&amp;W7,'1SM3VL'!$E$6:$E$2989,"&lt;="&amp;EOMONTH(W7,0),'1SM3VL'!$F$6:$F$2989,$B$14)+SUMIFS('1QF4SM'!$D$6:$D$2989,'1QF4SM'!$E$6:$E$2989,"&gt;="&amp;W7,'1QF4SM'!$E$6:$E$2989,"&lt;="&amp;EOMONTH(W7,0),'1QF4SM'!$F$6:$F$2989,$B$14)+SUMIFS('1UV5KI'!$D$6:$D$2988,'1UV5KI'!$E$6:$E$2988,"&gt;="&amp;W7,'1UV5KI'!$E$6:$E$2988,"&lt;="&amp;EOMONTH(W7,0),'1UV5KI'!$F$6:$F$2988,$B$14)+SUMIFS(#REF!,#REF!,"&gt;="&amp;W7,#REF!,"&lt;="&amp;EOMONTH(W7,0),#REF!,$B$14)+SUMIFS('1UL9RY'!$D$6:$D$2989,'1UL9RY'!$E$6:$E$2989,"&gt;="&amp;W7,'1UL9RY'!$E$6:$E$2989,"&lt;="&amp;EOMONTH(W7,0),'1UL9RY'!$F$6:$F$2989,$B$14)+SUMIFS('1OZ7GT'!$D$6:$D$2989,'1OZ7GT'!$E$6:$E$2989,"&gt;="&amp;W7,'1OZ7GT'!$E$6:$E$2989,"&lt;="&amp;EOMONTH(W7,0),'1OZ7GT'!$F$6:$F$2989,$B$14)+SUMIFS('1CN8DD'!$D$6:$D$2989,'1CN8DD'!$E$6:$E$2989,"&gt;="&amp;W7,'1CN8DD'!$E$6:$E$2989,"&lt;="&amp;EOMONTH(W7,0),'1CN8DD'!$F$6:$F$2989,$B$14)+SUMIFS('1UT9BR'!$D$6:$D$2989,'1UT9BR'!$E$6:$E$2989,"&gt;="&amp;W7,'1UT9BR'!$E$6:$E$2989,"&lt;="&amp;EOMONTH(W7,0),'1UT9BR'!$F$6:$F$2989,$B$14)+SUMIFS('1MK4UR'!$D$6:$D$2989,'1MK4UR'!$E$6:$E$2989,"&gt;="&amp;W7,'1MK4UR'!$E$6:$E$2989,"&lt;="&amp;EOMONTH(W7,0),'1MK4UR'!$F$6:$F$2989,$B$14)+SUMIFS(#REF!,#REF!,"&gt;="&amp;W7,#REF!,"&lt;="&amp;EOMONTH(W7,0),#REF!,$B$14)+SUMIFS('1JI2UE'!$D$6:$D$2989,'1JI2UE'!$E$6:$E$2989,"&gt;="&amp;W7,'1JI2UE'!$E$6:$E$2989,"&lt;="&amp;EOMONTH(W7,0),'1JI2UE'!$F$6:$F$2989,$B$14)+SUMIFS(#REF!,#REF!,"&gt;="&amp;W7,#REF!,"&lt;="&amp;EOMONTH(W7,0),#REF!,$B$14)+SUMIFS('1SI9BW'!$D$6:$D$2989,'1SI9BW'!$E$6:$E$2989,"&gt;="&amp;W7,'1SI9BW'!$E$6:$E$2989,"&lt;="&amp;EOMONTH(W7,0),'1SI9BW'!$F$6:$F$2989,$B$14)+SUMIFS(Suzuki!$D$6:$D$2989,Suzuki!$E$6:$E$2989,"&gt;="&amp;W7,Suzuki!$E$6:$E$2989,"&lt;="&amp;EOMONTH(W7,0),Suzuki!$F$6:$F$2989,$B$14)+SUMIFS('1SK3DD'!$D$6:$D$2989,'1SK3DD'!$E$6:$E$2989,"&gt;="&amp;W7,'1SK3DD'!$E$6:$E$2989,"&lt;="&amp;EOMONTH(W7,0),'1SK3DD'!$F$6:$F$2989,$B$14)+SUMIFS('1SX5TQ'!$D$6:$D$2989,'1SX5TQ'!$E$6:$E$2989,"&gt;="&amp;W7,'1SX5TQ'!$E$6:$E$2989,"&lt;="&amp;EOMONTH(W7,0),'1SX5TQ'!$F$6:$F$2989,$B$14)+SUMIFS('BMM465'!$D$6:$D$2989,'BMM465'!$E$6:$E$2989,"&gt;="&amp;W7,'BMM465'!$E$6:$E$2989,"&lt;="&amp;EOMONTH(W7,0),'BMM465'!$F$6:$F$2989,$B$14)+SUMIFS('1CF1ZO'!$D$6:$D$2989,'1CF1ZO'!$E$6:$E$2989,"&gt;="&amp;W7,'1CF1ZO'!$E$6:$E$2989,"&lt;="&amp;EOMONTH(W7,0),'1CF1ZO'!$F$6:$F$2989,$B$14)+SUMIFS('1UK1BK'!$D$6:$D$2989,'1UK1BK'!$E$6:$E$2989,"&gt;="&amp;W7,'1UK1BK'!$E$6:$E$2989,"&lt;="&amp;EOMONTH(W7,0),'1UK1BK'!$F$6:$F$2989,$B$14)</f>
        <v>#REF!</v>
      </c>
      <c r="X14" s="108" t="e">
        <f>SUMIFS('Other Expense'!$C$8:$C$3017,'Other Expense'!$B$8:$B$3017,"&gt;="&amp;X7,'Other Expense'!$B$8:$B$3017,"&lt;="&amp;EOMONTH(X7,0),'Other Expense'!$D$8:$D$3017,$B$14)+SUMIFS('CEI565'!$D$6:$D$2994,'CEI565'!$E$6:$E$2994,"&gt;="&amp;X7,'CEI565'!$E$6:$E$2994,"&lt;="&amp;EOMONTH(X7,0),'CEI565'!$F$6:$F$2994,$B$14)+SUMIFS('1SM3VL'!$D$6:$D$2989,'1SM3VL'!$E$6:$E$2989,"&gt;="&amp;X7,'1SM3VL'!$E$6:$E$2989,"&lt;="&amp;EOMONTH(X7,0),'1SM3VL'!$F$6:$F$2989,$B$14)+SUMIFS('1QF4SM'!$D$6:$D$2989,'1QF4SM'!$E$6:$E$2989,"&gt;="&amp;X7,'1QF4SM'!$E$6:$E$2989,"&lt;="&amp;EOMONTH(X7,0),'1QF4SM'!$F$6:$F$2989,$B$14)+SUMIFS('1UV5KI'!$D$6:$D$2988,'1UV5KI'!$E$6:$E$2988,"&gt;="&amp;X7,'1UV5KI'!$E$6:$E$2988,"&lt;="&amp;EOMONTH(X7,0),'1UV5KI'!$F$6:$F$2988,$B$14)+SUMIFS(#REF!,#REF!,"&gt;="&amp;X7,#REF!,"&lt;="&amp;EOMONTH(X7,0),#REF!,$B$14)+SUMIFS('1UL9RY'!$D$6:$D$2989,'1UL9RY'!$E$6:$E$2989,"&gt;="&amp;X7,'1UL9RY'!$E$6:$E$2989,"&lt;="&amp;EOMONTH(X7,0),'1UL9RY'!$F$6:$F$2989,$B$14)+SUMIFS('1OZ7GT'!$D$6:$D$2989,'1OZ7GT'!$E$6:$E$2989,"&gt;="&amp;X7,'1OZ7GT'!$E$6:$E$2989,"&lt;="&amp;EOMONTH(X7,0),'1OZ7GT'!$F$6:$F$2989,$B$14)+SUMIFS('1CN8DD'!$D$6:$D$2989,'1CN8DD'!$E$6:$E$2989,"&gt;="&amp;X7,'1CN8DD'!$E$6:$E$2989,"&lt;="&amp;EOMONTH(X7,0),'1CN8DD'!$F$6:$F$2989,$B$14)+SUMIFS('1UT9BR'!$D$6:$D$2989,'1UT9BR'!$E$6:$E$2989,"&gt;="&amp;X7,'1UT9BR'!$E$6:$E$2989,"&lt;="&amp;EOMONTH(X7,0),'1UT9BR'!$F$6:$F$2989,$B$14)+SUMIFS('1MK4UR'!$D$6:$D$2989,'1MK4UR'!$E$6:$E$2989,"&gt;="&amp;X7,'1MK4UR'!$E$6:$E$2989,"&lt;="&amp;EOMONTH(X7,0),'1MK4UR'!$F$6:$F$2989,$B$14)+SUMIFS(#REF!,#REF!,"&gt;="&amp;X7,#REF!,"&lt;="&amp;EOMONTH(X7,0),#REF!,$B$14)+SUMIFS('1JI2UE'!$D$6:$D$2989,'1JI2UE'!$E$6:$E$2989,"&gt;="&amp;X7,'1JI2UE'!$E$6:$E$2989,"&lt;="&amp;EOMONTH(X7,0),'1JI2UE'!$F$6:$F$2989,$B$14)+SUMIFS(#REF!,#REF!,"&gt;="&amp;X7,#REF!,"&lt;="&amp;EOMONTH(X7,0),#REF!,$B$14)+SUMIFS('1SI9BW'!$D$6:$D$2989,'1SI9BW'!$E$6:$E$2989,"&gt;="&amp;X7,'1SI9BW'!$E$6:$E$2989,"&lt;="&amp;EOMONTH(X7,0),'1SI9BW'!$F$6:$F$2989,$B$14)+SUMIFS(Suzuki!$D$6:$D$2989,Suzuki!$E$6:$E$2989,"&gt;="&amp;X7,Suzuki!$E$6:$E$2989,"&lt;="&amp;EOMONTH(X7,0),Suzuki!$F$6:$F$2989,$B$14)+SUMIFS('1SK3DD'!$D$6:$D$2989,'1SK3DD'!$E$6:$E$2989,"&gt;="&amp;X7,'1SK3DD'!$E$6:$E$2989,"&lt;="&amp;EOMONTH(X7,0),'1SK3DD'!$F$6:$F$2989,$B$14)+SUMIFS('1SX5TQ'!$D$6:$D$2989,'1SX5TQ'!$E$6:$E$2989,"&gt;="&amp;X7,'1SX5TQ'!$E$6:$E$2989,"&lt;="&amp;EOMONTH(X7,0),'1SX5TQ'!$F$6:$F$2989,$B$14)+SUMIFS('BMM465'!$D$6:$D$2989,'BMM465'!$E$6:$E$2989,"&gt;="&amp;X7,'BMM465'!$E$6:$E$2989,"&lt;="&amp;EOMONTH(X7,0),'BMM465'!$F$6:$F$2989,$B$14)+SUMIFS('1CF1ZO'!$D$6:$D$2989,'1CF1ZO'!$E$6:$E$2989,"&gt;="&amp;X7,'1CF1ZO'!$E$6:$E$2989,"&lt;="&amp;EOMONTH(X7,0),'1CF1ZO'!$F$6:$F$2989,$B$14)+SUMIFS('1UK1BK'!$D$6:$D$2989,'1UK1BK'!$E$6:$E$2989,"&gt;="&amp;X7,'1UK1BK'!$E$6:$E$2989,"&lt;="&amp;EOMONTH(X7,0),'1UK1BK'!$F$6:$F$2989,$B$14)</f>
        <v>#REF!</v>
      </c>
      <c r="Y14" s="108" t="e">
        <f>SUMIFS('Other Expense'!$C$8:$C$3017,'Other Expense'!$B$8:$B$3017,"&gt;="&amp;Y7,'Other Expense'!$B$8:$B$3017,"&lt;="&amp;EOMONTH(Y7,0),'Other Expense'!$D$8:$D$3017,$B$14)+SUMIFS('CEI565'!$D$6:$D$2994,'CEI565'!$E$6:$E$2994,"&gt;="&amp;Y7,'CEI565'!$E$6:$E$2994,"&lt;="&amp;EOMONTH(Y7,0),'CEI565'!$F$6:$F$2994,$B$14)+SUMIFS('1SM3VL'!$D$6:$D$2989,'1SM3VL'!$E$6:$E$2989,"&gt;="&amp;Y7,'1SM3VL'!$E$6:$E$2989,"&lt;="&amp;EOMONTH(Y7,0),'1SM3VL'!$F$6:$F$2989,$B$14)+SUMIFS('1QF4SM'!$D$6:$D$2989,'1QF4SM'!$E$6:$E$2989,"&gt;="&amp;Y7,'1QF4SM'!$E$6:$E$2989,"&lt;="&amp;EOMONTH(Y7,0),'1QF4SM'!$F$6:$F$2989,$B$14)+SUMIFS('1UV5KI'!$D$6:$D$2988,'1UV5KI'!$E$6:$E$2988,"&gt;="&amp;Y7,'1UV5KI'!$E$6:$E$2988,"&lt;="&amp;EOMONTH(Y7,0),'1UV5KI'!$F$6:$F$2988,$B$14)+SUMIFS(#REF!,#REF!,"&gt;="&amp;Y7,#REF!,"&lt;="&amp;EOMONTH(Y7,0),#REF!,$B$14)+SUMIFS('1UL9RY'!$D$6:$D$2989,'1UL9RY'!$E$6:$E$2989,"&gt;="&amp;Y7,'1UL9RY'!$E$6:$E$2989,"&lt;="&amp;EOMONTH(Y7,0),'1UL9RY'!$F$6:$F$2989,$B$14)+SUMIFS('1OZ7GT'!$D$6:$D$2989,'1OZ7GT'!$E$6:$E$2989,"&gt;="&amp;Y7,'1OZ7GT'!$E$6:$E$2989,"&lt;="&amp;EOMONTH(Y7,0),'1OZ7GT'!$F$6:$F$2989,$B$14)+SUMIFS('1CN8DD'!$D$6:$D$2989,'1CN8DD'!$E$6:$E$2989,"&gt;="&amp;Y7,'1CN8DD'!$E$6:$E$2989,"&lt;="&amp;EOMONTH(Y7,0),'1CN8DD'!$F$6:$F$2989,$B$14)+SUMIFS('1UT9BR'!$D$6:$D$2989,'1UT9BR'!$E$6:$E$2989,"&gt;="&amp;Y7,'1UT9BR'!$E$6:$E$2989,"&lt;="&amp;EOMONTH(Y7,0),'1UT9BR'!$F$6:$F$2989,$B$14)+SUMIFS('1MK4UR'!$D$6:$D$2989,'1MK4UR'!$E$6:$E$2989,"&gt;="&amp;Y7,'1MK4UR'!$E$6:$E$2989,"&lt;="&amp;EOMONTH(Y7,0),'1MK4UR'!$F$6:$F$2989,$B$14)+SUMIFS(#REF!,#REF!,"&gt;="&amp;Y7,#REF!,"&lt;="&amp;EOMONTH(Y7,0),#REF!,$B$14)+SUMIFS('1JI2UE'!$D$6:$D$2989,'1JI2UE'!$E$6:$E$2989,"&gt;="&amp;Y7,'1JI2UE'!$E$6:$E$2989,"&lt;="&amp;EOMONTH(Y7,0),'1JI2UE'!$F$6:$F$2989,$B$14)+SUMIFS(#REF!,#REF!,"&gt;="&amp;Y7,#REF!,"&lt;="&amp;EOMONTH(Y7,0),#REF!,$B$14)+SUMIFS('1SI9BW'!$D$6:$D$2989,'1SI9BW'!$E$6:$E$2989,"&gt;="&amp;Y7,'1SI9BW'!$E$6:$E$2989,"&lt;="&amp;EOMONTH(Y7,0),'1SI9BW'!$F$6:$F$2989,$B$14)+SUMIFS(Suzuki!$D$6:$D$2989,Suzuki!$E$6:$E$2989,"&gt;="&amp;Y7,Suzuki!$E$6:$E$2989,"&lt;="&amp;EOMONTH(Y7,0),Suzuki!$F$6:$F$2989,$B$14)+SUMIFS('1SK3DD'!$D$6:$D$2989,'1SK3DD'!$E$6:$E$2989,"&gt;="&amp;Y7,'1SK3DD'!$E$6:$E$2989,"&lt;="&amp;EOMONTH(Y7,0),'1SK3DD'!$F$6:$F$2989,$B$14)+SUMIFS('1SX5TQ'!$D$6:$D$2989,'1SX5TQ'!$E$6:$E$2989,"&gt;="&amp;Y7,'1SX5TQ'!$E$6:$E$2989,"&lt;="&amp;EOMONTH(Y7,0),'1SX5TQ'!$F$6:$F$2989,$B$14)+SUMIFS('BMM465'!$D$6:$D$2989,'BMM465'!$E$6:$E$2989,"&gt;="&amp;Y7,'BMM465'!$E$6:$E$2989,"&lt;="&amp;EOMONTH(Y7,0),'BMM465'!$F$6:$F$2989,$B$14)+SUMIFS('1CF1ZO'!$D$6:$D$2989,'1CF1ZO'!$E$6:$E$2989,"&gt;="&amp;Y7,'1CF1ZO'!$E$6:$E$2989,"&lt;="&amp;EOMONTH(Y7,0),'1CF1ZO'!$F$6:$F$2989,$B$14)+SUMIFS('1UK1BK'!$D$6:$D$2989,'1UK1BK'!$E$6:$E$2989,"&gt;="&amp;Y7,'1UK1BK'!$E$6:$E$2989,"&lt;="&amp;EOMONTH(Y7,0),'1UK1BK'!$F$6:$F$2989,$B$14)</f>
        <v>#REF!</v>
      </c>
      <c r="Z14" s="108" t="e">
        <f>SUMIFS('Other Expense'!$C$8:$C$3017,'Other Expense'!$B$8:$B$3017,"&gt;="&amp;Z7,'Other Expense'!$B$8:$B$3017,"&lt;="&amp;EOMONTH(Z7,0),'Other Expense'!$D$8:$D$3017,$B$14)+SUMIFS('CEI565'!$D$6:$D$2994,'CEI565'!$E$6:$E$2994,"&gt;="&amp;Z7,'CEI565'!$E$6:$E$2994,"&lt;="&amp;EOMONTH(Z7,0),'CEI565'!$F$6:$F$2994,$B$14)+SUMIFS('1SM3VL'!$D$6:$D$2989,'1SM3VL'!$E$6:$E$2989,"&gt;="&amp;Z7,'1SM3VL'!$E$6:$E$2989,"&lt;="&amp;EOMONTH(Z7,0),'1SM3VL'!$F$6:$F$2989,$B$14)+SUMIFS('1QF4SM'!$D$6:$D$2989,'1QF4SM'!$E$6:$E$2989,"&gt;="&amp;Z7,'1QF4SM'!$E$6:$E$2989,"&lt;="&amp;EOMONTH(Z7,0),'1QF4SM'!$F$6:$F$2989,$B$14)+SUMIFS('1UV5KI'!$D$6:$D$2988,'1UV5KI'!$E$6:$E$2988,"&gt;="&amp;Z7,'1UV5KI'!$E$6:$E$2988,"&lt;="&amp;EOMONTH(Z7,0),'1UV5KI'!$F$6:$F$2988,$B$14)+SUMIFS(#REF!,#REF!,"&gt;="&amp;Z7,#REF!,"&lt;="&amp;EOMONTH(Z7,0),#REF!,$B$14)+SUMIFS('1UL9RY'!$D$6:$D$2989,'1UL9RY'!$E$6:$E$2989,"&gt;="&amp;Z7,'1UL9RY'!$E$6:$E$2989,"&lt;="&amp;EOMONTH(Z7,0),'1UL9RY'!$F$6:$F$2989,$B$14)+SUMIFS('1OZ7GT'!$D$6:$D$2989,'1OZ7GT'!$E$6:$E$2989,"&gt;="&amp;Z7,'1OZ7GT'!$E$6:$E$2989,"&lt;="&amp;EOMONTH(Z7,0),'1OZ7GT'!$F$6:$F$2989,$B$14)+SUMIFS('1CN8DD'!$D$6:$D$2989,'1CN8DD'!$E$6:$E$2989,"&gt;="&amp;Z7,'1CN8DD'!$E$6:$E$2989,"&lt;="&amp;EOMONTH(Z7,0),'1CN8DD'!$F$6:$F$2989,$B$14)+SUMIFS('1UT9BR'!$D$6:$D$2989,'1UT9BR'!$E$6:$E$2989,"&gt;="&amp;Z7,'1UT9BR'!$E$6:$E$2989,"&lt;="&amp;EOMONTH(Z7,0),'1UT9BR'!$F$6:$F$2989,$B$14)+SUMIFS('1MK4UR'!$D$6:$D$2989,'1MK4UR'!$E$6:$E$2989,"&gt;="&amp;Z7,'1MK4UR'!$E$6:$E$2989,"&lt;="&amp;EOMONTH(Z7,0),'1MK4UR'!$F$6:$F$2989,$B$14)+SUMIFS(#REF!,#REF!,"&gt;="&amp;Z7,#REF!,"&lt;="&amp;EOMONTH(Z7,0),#REF!,$B$14)+SUMIFS('1JI2UE'!$D$6:$D$2989,'1JI2UE'!$E$6:$E$2989,"&gt;="&amp;Z7,'1JI2UE'!$E$6:$E$2989,"&lt;="&amp;EOMONTH(Z7,0),'1JI2UE'!$F$6:$F$2989,$B$14)+SUMIFS(#REF!,#REF!,"&gt;="&amp;Z7,#REF!,"&lt;="&amp;EOMONTH(Z7,0),#REF!,$B$14)+SUMIFS('1SI9BW'!$D$6:$D$2989,'1SI9BW'!$E$6:$E$2989,"&gt;="&amp;Z7,'1SI9BW'!$E$6:$E$2989,"&lt;="&amp;EOMONTH(Z7,0),'1SI9BW'!$F$6:$F$2989,$B$14)+SUMIFS(Suzuki!$D$6:$D$2989,Suzuki!$E$6:$E$2989,"&gt;="&amp;Z7,Suzuki!$E$6:$E$2989,"&lt;="&amp;EOMONTH(Z7,0),Suzuki!$F$6:$F$2989,$B$14)+SUMIFS('1SK3DD'!$D$6:$D$2989,'1SK3DD'!$E$6:$E$2989,"&gt;="&amp;Z7,'1SK3DD'!$E$6:$E$2989,"&lt;="&amp;EOMONTH(Z7,0),'1SK3DD'!$F$6:$F$2989,$B$14)+SUMIFS('1SX5TQ'!$D$6:$D$2989,'1SX5TQ'!$E$6:$E$2989,"&gt;="&amp;Z7,'1SX5TQ'!$E$6:$E$2989,"&lt;="&amp;EOMONTH(Z7,0),'1SX5TQ'!$F$6:$F$2989,$B$14)+SUMIFS('BMM465'!$D$6:$D$2989,'BMM465'!$E$6:$E$2989,"&gt;="&amp;Z7,'BMM465'!$E$6:$E$2989,"&lt;="&amp;EOMONTH(Z7,0),'BMM465'!$F$6:$F$2989,$B$14)+SUMIFS('1CF1ZO'!$D$6:$D$2989,'1CF1ZO'!$E$6:$E$2989,"&gt;="&amp;Z7,'1CF1ZO'!$E$6:$E$2989,"&lt;="&amp;EOMONTH(Z7,0),'1CF1ZO'!$F$6:$F$2989,$B$14)+SUMIFS('1UK1BK'!$D$6:$D$2989,'1UK1BK'!$E$6:$E$2989,"&gt;="&amp;Z7,'1UK1BK'!$E$6:$E$2989,"&lt;="&amp;EOMONTH(Z7,0),'1UK1BK'!$F$6:$F$2989,$B$14)</f>
        <v>#REF!</v>
      </c>
      <c r="AA14" s="108" t="e">
        <f>SUMIFS('Other Expense'!$C$8:$C$3017,'Other Expense'!$B$8:$B$3017,"&gt;="&amp;AA7,'Other Expense'!$B$8:$B$3017,"&lt;="&amp;EOMONTH(AA7,0),'Other Expense'!$D$8:$D$3017,$B$14)+SUMIFS('CEI565'!$D$6:$D$2994,'CEI565'!$E$6:$E$2994,"&gt;="&amp;AA7,'CEI565'!$E$6:$E$2994,"&lt;="&amp;EOMONTH(AA7,0),'CEI565'!$F$6:$F$2994,$B$14)+SUMIFS('1SM3VL'!$D$6:$D$2989,'1SM3VL'!$E$6:$E$2989,"&gt;="&amp;AA7,'1SM3VL'!$E$6:$E$2989,"&lt;="&amp;EOMONTH(AA7,0),'1SM3VL'!$F$6:$F$2989,$B$14)+SUMIFS('1QF4SM'!$D$6:$D$2989,'1QF4SM'!$E$6:$E$2989,"&gt;="&amp;AA7,'1QF4SM'!$E$6:$E$2989,"&lt;="&amp;EOMONTH(AA7,0),'1QF4SM'!$F$6:$F$2989,$B$14)+SUMIFS('1UV5KI'!$D$6:$D$2988,'1UV5KI'!$E$6:$E$2988,"&gt;="&amp;AA7,'1UV5KI'!$E$6:$E$2988,"&lt;="&amp;EOMONTH(AA7,0),'1UV5KI'!$F$6:$F$2988,$B$14)+SUMIFS(#REF!,#REF!,"&gt;="&amp;AA7,#REF!,"&lt;="&amp;EOMONTH(AA7,0),#REF!,$B$14)+SUMIFS('1UL9RY'!$D$6:$D$2989,'1UL9RY'!$E$6:$E$2989,"&gt;="&amp;AA7,'1UL9RY'!$E$6:$E$2989,"&lt;="&amp;EOMONTH(AA7,0),'1UL9RY'!$F$6:$F$2989,$B$14)+SUMIFS('1OZ7GT'!$D$6:$D$2989,'1OZ7GT'!$E$6:$E$2989,"&gt;="&amp;AA7,'1OZ7GT'!$E$6:$E$2989,"&lt;="&amp;EOMONTH(AA7,0),'1OZ7GT'!$F$6:$F$2989,$B$14)+SUMIFS('1CN8DD'!$D$6:$D$2989,'1CN8DD'!$E$6:$E$2989,"&gt;="&amp;AA7,'1CN8DD'!$E$6:$E$2989,"&lt;="&amp;EOMONTH(AA7,0),'1CN8DD'!$F$6:$F$2989,$B$14)+SUMIFS('1UT9BR'!$D$6:$D$2989,'1UT9BR'!$E$6:$E$2989,"&gt;="&amp;AA7,'1UT9BR'!$E$6:$E$2989,"&lt;="&amp;EOMONTH(AA7,0),'1UT9BR'!$F$6:$F$2989,$B$14)+SUMIFS('1MK4UR'!$D$6:$D$2989,'1MK4UR'!$E$6:$E$2989,"&gt;="&amp;AA7,'1MK4UR'!$E$6:$E$2989,"&lt;="&amp;EOMONTH(AA7,0),'1MK4UR'!$F$6:$F$2989,$B$14)+SUMIFS(#REF!,#REF!,"&gt;="&amp;AA7,#REF!,"&lt;="&amp;EOMONTH(AA7,0),#REF!,$B$14)+SUMIFS('1JI2UE'!$D$6:$D$2989,'1JI2UE'!$E$6:$E$2989,"&gt;="&amp;AA7,'1JI2UE'!$E$6:$E$2989,"&lt;="&amp;EOMONTH(AA7,0),'1JI2UE'!$F$6:$F$2989,$B$14)+SUMIFS(#REF!,#REF!,"&gt;="&amp;AA7,#REF!,"&lt;="&amp;EOMONTH(AA7,0),#REF!,$B$14)+SUMIFS('1SI9BW'!$D$6:$D$2989,'1SI9BW'!$E$6:$E$2989,"&gt;="&amp;AA7,'1SI9BW'!$E$6:$E$2989,"&lt;="&amp;EOMONTH(AA7,0),'1SI9BW'!$F$6:$F$2989,$B$14)+SUMIFS(Suzuki!$D$6:$D$2989,Suzuki!$E$6:$E$2989,"&gt;="&amp;AA7,Suzuki!$E$6:$E$2989,"&lt;="&amp;EOMONTH(AA7,0),Suzuki!$F$6:$F$2989,$B$14)+SUMIFS('1SK3DD'!$D$6:$D$2989,'1SK3DD'!$E$6:$E$2989,"&gt;="&amp;AA7,'1SK3DD'!$E$6:$E$2989,"&lt;="&amp;EOMONTH(AA7,0),'1SK3DD'!$F$6:$F$2989,$B$14)+SUMIFS('1SX5TQ'!$D$6:$D$2989,'1SX5TQ'!$E$6:$E$2989,"&gt;="&amp;AA7,'1SX5TQ'!$E$6:$E$2989,"&lt;="&amp;EOMONTH(AA7,0),'1SX5TQ'!$F$6:$F$2989,$B$14)+SUMIFS('BMM465'!$D$6:$D$2989,'BMM465'!$E$6:$E$2989,"&gt;="&amp;AA7,'BMM465'!$E$6:$E$2989,"&lt;="&amp;EOMONTH(AA7,0),'BMM465'!$F$6:$F$2989,$B$14)+SUMIFS('1CF1ZO'!$D$6:$D$2989,'1CF1ZO'!$E$6:$E$2989,"&gt;="&amp;AA7,'1CF1ZO'!$E$6:$E$2989,"&lt;="&amp;EOMONTH(AA7,0),'1CF1ZO'!$F$6:$F$2989,$B$14)+SUMIFS('1UK1BK'!$D$6:$D$2989,'1UK1BK'!$E$6:$E$2989,"&gt;="&amp;AA7,'1UK1BK'!$E$6:$E$2989,"&lt;="&amp;EOMONTH(AA7,0),'1UK1BK'!$F$6:$F$2989,$B$14)</f>
        <v>#REF!</v>
      </c>
      <c r="AB14" s="108" t="e">
        <f>SUMIFS('Other Expense'!$C$8:$C$3017,'Other Expense'!$B$8:$B$3017,"&gt;="&amp;AB7,'Other Expense'!$B$8:$B$3017,"&lt;="&amp;EOMONTH(AB7,0),'Other Expense'!$D$8:$D$3017,$B$14)+SUMIFS('CEI565'!$D$6:$D$2994,'CEI565'!$E$6:$E$2994,"&gt;="&amp;AB7,'CEI565'!$E$6:$E$2994,"&lt;="&amp;EOMONTH(AB7,0),'CEI565'!$F$6:$F$2994,$B$14)+SUMIFS('1SM3VL'!$D$6:$D$2989,'1SM3VL'!$E$6:$E$2989,"&gt;="&amp;AB7,'1SM3VL'!$E$6:$E$2989,"&lt;="&amp;EOMONTH(AB7,0),'1SM3VL'!$F$6:$F$2989,$B$14)+SUMIFS('1QF4SM'!$D$6:$D$2989,'1QF4SM'!$E$6:$E$2989,"&gt;="&amp;AB7,'1QF4SM'!$E$6:$E$2989,"&lt;="&amp;EOMONTH(AB7,0),'1QF4SM'!$F$6:$F$2989,$B$14)+SUMIFS('1UV5KI'!$D$6:$D$2988,'1UV5KI'!$E$6:$E$2988,"&gt;="&amp;AB7,'1UV5KI'!$E$6:$E$2988,"&lt;="&amp;EOMONTH(AB7,0),'1UV5KI'!$F$6:$F$2988,$B$14)+SUMIFS(#REF!,#REF!,"&gt;="&amp;AB7,#REF!,"&lt;="&amp;EOMONTH(AB7,0),#REF!,$B$14)+SUMIFS('1UL9RY'!$D$6:$D$2989,'1UL9RY'!$E$6:$E$2989,"&gt;="&amp;AB7,'1UL9RY'!$E$6:$E$2989,"&lt;="&amp;EOMONTH(AB7,0),'1UL9RY'!$F$6:$F$2989,$B$14)+SUMIFS('1OZ7GT'!$D$6:$D$2989,'1OZ7GT'!$E$6:$E$2989,"&gt;="&amp;AB7,'1OZ7GT'!$E$6:$E$2989,"&lt;="&amp;EOMONTH(AB7,0),'1OZ7GT'!$F$6:$F$2989,$B$14)+SUMIFS('1CN8DD'!$D$6:$D$2989,'1CN8DD'!$E$6:$E$2989,"&gt;="&amp;AB7,'1CN8DD'!$E$6:$E$2989,"&lt;="&amp;EOMONTH(AB7,0),'1CN8DD'!$F$6:$F$2989,$B$14)+SUMIFS('1UT9BR'!$D$6:$D$2989,'1UT9BR'!$E$6:$E$2989,"&gt;="&amp;AB7,'1UT9BR'!$E$6:$E$2989,"&lt;="&amp;EOMONTH(AB7,0),'1UT9BR'!$F$6:$F$2989,$B$14)+SUMIFS('1MK4UR'!$D$6:$D$2989,'1MK4UR'!$E$6:$E$2989,"&gt;="&amp;AB7,'1MK4UR'!$E$6:$E$2989,"&lt;="&amp;EOMONTH(AB7,0),'1MK4UR'!$F$6:$F$2989,$B$14)+SUMIFS(#REF!,#REF!,"&gt;="&amp;AB7,#REF!,"&lt;="&amp;EOMONTH(AB7,0),#REF!,$B$14)+SUMIFS('1JI2UE'!$D$6:$D$2989,'1JI2UE'!$E$6:$E$2989,"&gt;="&amp;AB7,'1JI2UE'!$E$6:$E$2989,"&lt;="&amp;EOMONTH(AB7,0),'1JI2UE'!$F$6:$F$2989,$B$14)+SUMIFS(#REF!,#REF!,"&gt;="&amp;AB7,#REF!,"&lt;="&amp;EOMONTH(AB7,0),#REF!,$B$14)+SUMIFS('1SI9BW'!$D$6:$D$2989,'1SI9BW'!$E$6:$E$2989,"&gt;="&amp;AB7,'1SI9BW'!$E$6:$E$2989,"&lt;="&amp;EOMONTH(AB7,0),'1SI9BW'!$F$6:$F$2989,$B$14)+SUMIFS(Suzuki!$D$6:$D$2989,Suzuki!$E$6:$E$2989,"&gt;="&amp;AB7,Suzuki!$E$6:$E$2989,"&lt;="&amp;EOMONTH(AB7,0),Suzuki!$F$6:$F$2989,$B$14)+SUMIFS('1SK3DD'!$D$6:$D$2989,'1SK3DD'!$E$6:$E$2989,"&gt;="&amp;AB7,'1SK3DD'!$E$6:$E$2989,"&lt;="&amp;EOMONTH(AB7,0),'1SK3DD'!$F$6:$F$2989,$B$14)+SUMIFS('1SX5TQ'!$D$6:$D$2989,'1SX5TQ'!$E$6:$E$2989,"&gt;="&amp;AB7,'1SX5TQ'!$E$6:$E$2989,"&lt;="&amp;EOMONTH(AB7,0),'1SX5TQ'!$F$6:$F$2989,$B$14)+SUMIFS('BMM465'!$D$6:$D$2989,'BMM465'!$E$6:$E$2989,"&gt;="&amp;AB7,'BMM465'!$E$6:$E$2989,"&lt;="&amp;EOMONTH(AB7,0),'BMM465'!$F$6:$F$2989,$B$14)+SUMIFS('1CF1ZO'!$D$6:$D$2989,'1CF1ZO'!$E$6:$E$2989,"&gt;="&amp;AB7,'1CF1ZO'!$E$6:$E$2989,"&lt;="&amp;EOMONTH(AB7,0),'1CF1ZO'!$F$6:$F$2989,$B$14)+SUMIFS('1UK1BK'!$D$6:$D$2989,'1UK1BK'!$E$6:$E$2989,"&gt;="&amp;AB7,'1UK1BK'!$E$6:$E$2989,"&lt;="&amp;EOMONTH(AB7,0),'1UK1BK'!$F$6:$F$2989,$B$14)</f>
        <v>#REF!</v>
      </c>
      <c r="AC14" s="108" t="e">
        <f>SUMIFS('Other Expense'!$C$8:$C$3017,'Other Expense'!$B$8:$B$3017,"&gt;="&amp;AC7,'Other Expense'!$B$8:$B$3017,"&lt;="&amp;EOMONTH(AC7,0),'Other Expense'!$D$8:$D$3017,$B$14)+SUMIFS('CEI565'!$D$6:$D$2994,'CEI565'!$E$6:$E$2994,"&gt;="&amp;AC7,'CEI565'!$E$6:$E$2994,"&lt;="&amp;EOMONTH(AC7,0),'CEI565'!$F$6:$F$2994,$B$14)+SUMIFS('1SM3VL'!$D$6:$D$2989,'1SM3VL'!$E$6:$E$2989,"&gt;="&amp;AC7,'1SM3VL'!$E$6:$E$2989,"&lt;="&amp;EOMONTH(AC7,0),'1SM3VL'!$F$6:$F$2989,$B$14)+SUMIFS('1QF4SM'!$D$6:$D$2989,'1QF4SM'!$E$6:$E$2989,"&gt;="&amp;AC7,'1QF4SM'!$E$6:$E$2989,"&lt;="&amp;EOMONTH(AC7,0),'1QF4SM'!$F$6:$F$2989,$B$14)+SUMIFS('1UV5KI'!$D$6:$D$2988,'1UV5KI'!$E$6:$E$2988,"&gt;="&amp;AC7,'1UV5KI'!$E$6:$E$2988,"&lt;="&amp;EOMONTH(AC7,0),'1UV5KI'!$F$6:$F$2988,$B$14)+SUMIFS(#REF!,#REF!,"&gt;="&amp;AC7,#REF!,"&lt;="&amp;EOMONTH(AC7,0),#REF!,$B$14)+SUMIFS('1UL9RY'!$D$6:$D$2989,'1UL9RY'!$E$6:$E$2989,"&gt;="&amp;AC7,'1UL9RY'!$E$6:$E$2989,"&lt;="&amp;EOMONTH(AC7,0),'1UL9RY'!$F$6:$F$2989,$B$14)+SUMIFS('1OZ7GT'!$D$6:$D$2989,'1OZ7GT'!$E$6:$E$2989,"&gt;="&amp;AC7,'1OZ7GT'!$E$6:$E$2989,"&lt;="&amp;EOMONTH(AC7,0),'1OZ7GT'!$F$6:$F$2989,$B$14)+SUMIFS('1CN8DD'!$D$6:$D$2989,'1CN8DD'!$E$6:$E$2989,"&gt;="&amp;AC7,'1CN8DD'!$E$6:$E$2989,"&lt;="&amp;EOMONTH(AC7,0),'1CN8DD'!$F$6:$F$2989,$B$14)+SUMIFS('1UT9BR'!$D$6:$D$2989,'1UT9BR'!$E$6:$E$2989,"&gt;="&amp;AC7,'1UT9BR'!$E$6:$E$2989,"&lt;="&amp;EOMONTH(AC7,0),'1UT9BR'!$F$6:$F$2989,$B$14)+SUMIFS('1MK4UR'!$D$6:$D$2989,'1MK4UR'!$E$6:$E$2989,"&gt;="&amp;AC7,'1MK4UR'!$E$6:$E$2989,"&lt;="&amp;EOMONTH(AC7,0),'1MK4UR'!$F$6:$F$2989,$B$14)+SUMIFS(#REF!,#REF!,"&gt;="&amp;AC7,#REF!,"&lt;="&amp;EOMONTH(AC7,0),#REF!,$B$14)+SUMIFS('1JI2UE'!$D$6:$D$2989,'1JI2UE'!$E$6:$E$2989,"&gt;="&amp;AC7,'1JI2UE'!$E$6:$E$2989,"&lt;="&amp;EOMONTH(AC7,0),'1JI2UE'!$F$6:$F$2989,$B$14)+SUMIFS(#REF!,#REF!,"&gt;="&amp;AC7,#REF!,"&lt;="&amp;EOMONTH(AC7,0),#REF!,$B$14)+SUMIFS('1SI9BW'!$D$6:$D$2989,'1SI9BW'!$E$6:$E$2989,"&gt;="&amp;AC7,'1SI9BW'!$E$6:$E$2989,"&lt;="&amp;EOMONTH(AC7,0),'1SI9BW'!$F$6:$F$2989,$B$14)+SUMIFS(Suzuki!$D$6:$D$2989,Suzuki!$E$6:$E$2989,"&gt;="&amp;AC7,Suzuki!$E$6:$E$2989,"&lt;="&amp;EOMONTH(AC7,0),Suzuki!$F$6:$F$2989,$B$14)+SUMIFS('1SK3DD'!$D$6:$D$2989,'1SK3DD'!$E$6:$E$2989,"&gt;="&amp;AC7,'1SK3DD'!$E$6:$E$2989,"&lt;="&amp;EOMONTH(AC7,0),'1SK3DD'!$F$6:$F$2989,$B$14)+SUMIFS('1SX5TQ'!$D$6:$D$2989,'1SX5TQ'!$E$6:$E$2989,"&gt;="&amp;AC7,'1SX5TQ'!$E$6:$E$2989,"&lt;="&amp;EOMONTH(AC7,0),'1SX5TQ'!$F$6:$F$2989,$B$14)+SUMIFS('BMM465'!$D$6:$D$2989,'BMM465'!$E$6:$E$2989,"&gt;="&amp;AC7,'BMM465'!$E$6:$E$2989,"&lt;="&amp;EOMONTH(AC7,0),'BMM465'!$F$6:$F$2989,$B$14)+SUMIFS('1CF1ZO'!$D$6:$D$2989,'1CF1ZO'!$E$6:$E$2989,"&gt;="&amp;AC7,'1CF1ZO'!$E$6:$E$2989,"&lt;="&amp;EOMONTH(AC7,0),'1CF1ZO'!$F$6:$F$2989,$B$14)+SUMIFS('1UK1BK'!$D$6:$D$2989,'1UK1BK'!$E$6:$E$2989,"&gt;="&amp;AC7,'1UK1BK'!$E$6:$E$2989,"&lt;="&amp;EOMONTH(AC7,0),'1UK1BK'!$F$6:$F$2989,$B$14)</f>
        <v>#REF!</v>
      </c>
      <c r="AD14" s="108" t="e">
        <f>SUMIFS('Other Expense'!$C$8:$C$3017,'Other Expense'!$B$8:$B$3017,"&gt;="&amp;AD7,'Other Expense'!$B$8:$B$3017,"&lt;="&amp;EOMONTH(AD7,0),'Other Expense'!$D$8:$D$3017,$B$14)+SUMIFS('CEI565'!$D$6:$D$2994,'CEI565'!$E$6:$E$2994,"&gt;="&amp;AD7,'CEI565'!$E$6:$E$2994,"&lt;="&amp;EOMONTH(AD7,0),'CEI565'!$F$6:$F$2994,$B$14)+SUMIFS('1SM3VL'!$D$6:$D$2989,'1SM3VL'!$E$6:$E$2989,"&gt;="&amp;AD7,'1SM3VL'!$E$6:$E$2989,"&lt;="&amp;EOMONTH(AD7,0),'1SM3VL'!$F$6:$F$2989,$B$14)+SUMIFS('1QF4SM'!$D$6:$D$2989,'1QF4SM'!$E$6:$E$2989,"&gt;="&amp;AD7,'1QF4SM'!$E$6:$E$2989,"&lt;="&amp;EOMONTH(AD7,0),'1QF4SM'!$F$6:$F$2989,$B$14)+SUMIFS('1UV5KI'!$D$6:$D$2988,'1UV5KI'!$E$6:$E$2988,"&gt;="&amp;AD7,'1UV5KI'!$E$6:$E$2988,"&lt;="&amp;EOMONTH(AD7,0),'1UV5KI'!$F$6:$F$2988,$B$14)+SUMIFS(#REF!,#REF!,"&gt;="&amp;AD7,#REF!,"&lt;="&amp;EOMONTH(AD7,0),#REF!,$B$14)+SUMIFS('1UL9RY'!$D$6:$D$2989,'1UL9RY'!$E$6:$E$2989,"&gt;="&amp;AD7,'1UL9RY'!$E$6:$E$2989,"&lt;="&amp;EOMONTH(AD7,0),'1UL9RY'!$F$6:$F$2989,$B$14)+SUMIFS('1OZ7GT'!$D$6:$D$2989,'1OZ7GT'!$E$6:$E$2989,"&gt;="&amp;AD7,'1OZ7GT'!$E$6:$E$2989,"&lt;="&amp;EOMONTH(AD7,0),'1OZ7GT'!$F$6:$F$2989,$B$14)+SUMIFS('1CN8DD'!$D$6:$D$2989,'1CN8DD'!$E$6:$E$2989,"&gt;="&amp;AD7,'1CN8DD'!$E$6:$E$2989,"&lt;="&amp;EOMONTH(AD7,0),'1CN8DD'!$F$6:$F$2989,$B$14)+SUMIFS('1UT9BR'!$D$6:$D$2989,'1UT9BR'!$E$6:$E$2989,"&gt;="&amp;AD7,'1UT9BR'!$E$6:$E$2989,"&lt;="&amp;EOMONTH(AD7,0),'1UT9BR'!$F$6:$F$2989,$B$14)+SUMIFS('1MK4UR'!$D$6:$D$2989,'1MK4UR'!$E$6:$E$2989,"&gt;="&amp;AD7,'1MK4UR'!$E$6:$E$2989,"&lt;="&amp;EOMONTH(AD7,0),'1MK4UR'!$F$6:$F$2989,$B$14)+SUMIFS(#REF!,#REF!,"&gt;="&amp;AD7,#REF!,"&lt;="&amp;EOMONTH(AD7,0),#REF!,$B$14)+SUMIFS('1JI2UE'!$D$6:$D$2989,'1JI2UE'!$E$6:$E$2989,"&gt;="&amp;AD7,'1JI2UE'!$E$6:$E$2989,"&lt;="&amp;EOMONTH(AD7,0),'1JI2UE'!$F$6:$F$2989,$B$14)+SUMIFS(#REF!,#REF!,"&gt;="&amp;AD7,#REF!,"&lt;="&amp;EOMONTH(AD7,0),#REF!,$B$14)+SUMIFS('1SI9BW'!$D$6:$D$2989,'1SI9BW'!$E$6:$E$2989,"&gt;="&amp;AD7,'1SI9BW'!$E$6:$E$2989,"&lt;="&amp;EOMONTH(AD7,0),'1SI9BW'!$F$6:$F$2989,$B$14)+SUMIFS(Suzuki!$D$6:$D$2989,Suzuki!$E$6:$E$2989,"&gt;="&amp;AD7,Suzuki!$E$6:$E$2989,"&lt;="&amp;EOMONTH(AD7,0),Suzuki!$F$6:$F$2989,$B$14)+SUMIFS('1SK3DD'!$D$6:$D$2989,'1SK3DD'!$E$6:$E$2989,"&gt;="&amp;AD7,'1SK3DD'!$E$6:$E$2989,"&lt;="&amp;EOMONTH(AD7,0),'1SK3DD'!$F$6:$F$2989,$B$14)+SUMIFS('1SX5TQ'!$D$6:$D$2989,'1SX5TQ'!$E$6:$E$2989,"&gt;="&amp;AD7,'1SX5TQ'!$E$6:$E$2989,"&lt;="&amp;EOMONTH(AD7,0),'1SX5TQ'!$F$6:$F$2989,$B$14)+SUMIFS('BMM465'!$D$6:$D$2989,'BMM465'!$E$6:$E$2989,"&gt;="&amp;AD7,'BMM465'!$E$6:$E$2989,"&lt;="&amp;EOMONTH(AD7,0),'BMM465'!$F$6:$F$2989,$B$14)+SUMIFS('1CF1ZO'!$D$6:$D$2989,'1CF1ZO'!$E$6:$E$2989,"&gt;="&amp;AD7,'1CF1ZO'!$E$6:$E$2989,"&lt;="&amp;EOMONTH(AD7,0),'1CF1ZO'!$F$6:$F$2989,$B$14)+SUMIFS('1UK1BK'!$D$6:$D$2989,'1UK1BK'!$E$6:$E$2989,"&gt;="&amp;AD7,'1UK1BK'!$E$6:$E$2989,"&lt;="&amp;EOMONTH(AD7,0),'1UK1BK'!$F$6:$F$2989,$B$14)</f>
        <v>#REF!</v>
      </c>
      <c r="AE14" s="108" t="e">
        <f>SUMIFS('Other Expense'!$C$8:$C$3017,'Other Expense'!$B$8:$B$3017,"&gt;="&amp;AE7,'Other Expense'!$B$8:$B$3017,"&lt;="&amp;EOMONTH(AE7,0),'Other Expense'!$D$8:$D$3017,$B$14)+SUMIFS('CEI565'!$D$6:$D$2994,'CEI565'!$E$6:$E$2994,"&gt;="&amp;AE7,'CEI565'!$E$6:$E$2994,"&lt;="&amp;EOMONTH(AE7,0),'CEI565'!$F$6:$F$2994,$B$14)+SUMIFS('1SM3VL'!$D$6:$D$2989,'1SM3VL'!$E$6:$E$2989,"&gt;="&amp;AE7,'1SM3VL'!$E$6:$E$2989,"&lt;="&amp;EOMONTH(AE7,0),'1SM3VL'!$F$6:$F$2989,$B$14)+SUMIFS('1QF4SM'!$D$6:$D$2989,'1QF4SM'!$E$6:$E$2989,"&gt;="&amp;AE7,'1QF4SM'!$E$6:$E$2989,"&lt;="&amp;EOMONTH(AE7,0),'1QF4SM'!$F$6:$F$2989,$B$14)+SUMIFS('1UV5KI'!$D$6:$D$2988,'1UV5KI'!$E$6:$E$2988,"&gt;="&amp;AE7,'1UV5KI'!$E$6:$E$2988,"&lt;="&amp;EOMONTH(AE7,0),'1UV5KI'!$F$6:$F$2988,$B$14)+SUMIFS(#REF!,#REF!,"&gt;="&amp;AE7,#REF!,"&lt;="&amp;EOMONTH(AE7,0),#REF!,$B$14)+SUMIFS('1UL9RY'!$D$6:$D$2989,'1UL9RY'!$E$6:$E$2989,"&gt;="&amp;AE7,'1UL9RY'!$E$6:$E$2989,"&lt;="&amp;EOMONTH(AE7,0),'1UL9RY'!$F$6:$F$2989,$B$14)+SUMIFS('1OZ7GT'!$D$6:$D$2989,'1OZ7GT'!$E$6:$E$2989,"&gt;="&amp;AE7,'1OZ7GT'!$E$6:$E$2989,"&lt;="&amp;EOMONTH(AE7,0),'1OZ7GT'!$F$6:$F$2989,$B$14)+SUMIFS('1CN8DD'!$D$6:$D$2989,'1CN8DD'!$E$6:$E$2989,"&gt;="&amp;AE7,'1CN8DD'!$E$6:$E$2989,"&lt;="&amp;EOMONTH(AE7,0),'1CN8DD'!$F$6:$F$2989,$B$14)+SUMIFS('1UT9BR'!$D$6:$D$2989,'1UT9BR'!$E$6:$E$2989,"&gt;="&amp;AE7,'1UT9BR'!$E$6:$E$2989,"&lt;="&amp;EOMONTH(AE7,0),'1UT9BR'!$F$6:$F$2989,$B$14)+SUMIFS('1MK4UR'!$D$6:$D$2989,'1MK4UR'!$E$6:$E$2989,"&gt;="&amp;AE7,'1MK4UR'!$E$6:$E$2989,"&lt;="&amp;EOMONTH(AE7,0),'1MK4UR'!$F$6:$F$2989,$B$14)+SUMIFS(#REF!,#REF!,"&gt;="&amp;AE7,#REF!,"&lt;="&amp;EOMONTH(AE7,0),#REF!,$B$14)+SUMIFS('1JI2UE'!$D$6:$D$2989,'1JI2UE'!$E$6:$E$2989,"&gt;="&amp;AE7,'1JI2UE'!$E$6:$E$2989,"&lt;="&amp;EOMONTH(AE7,0),'1JI2UE'!$F$6:$F$2989,$B$14)+SUMIFS(#REF!,#REF!,"&gt;="&amp;AE7,#REF!,"&lt;="&amp;EOMONTH(AE7,0),#REF!,$B$14)+SUMIFS('1SI9BW'!$D$6:$D$2989,'1SI9BW'!$E$6:$E$2989,"&gt;="&amp;AE7,'1SI9BW'!$E$6:$E$2989,"&lt;="&amp;EOMONTH(AE7,0),'1SI9BW'!$F$6:$F$2989,$B$14)+SUMIFS(Suzuki!$D$6:$D$2989,Suzuki!$E$6:$E$2989,"&gt;="&amp;AE7,Suzuki!$E$6:$E$2989,"&lt;="&amp;EOMONTH(AE7,0),Suzuki!$F$6:$F$2989,$B$14)+SUMIFS('1SK3DD'!$D$6:$D$2989,'1SK3DD'!$E$6:$E$2989,"&gt;="&amp;AE7,'1SK3DD'!$E$6:$E$2989,"&lt;="&amp;EOMONTH(AE7,0),'1SK3DD'!$F$6:$F$2989,$B$14)+SUMIFS('1SX5TQ'!$D$6:$D$2989,'1SX5TQ'!$E$6:$E$2989,"&gt;="&amp;AE7,'1SX5TQ'!$E$6:$E$2989,"&lt;="&amp;EOMONTH(AE7,0),'1SX5TQ'!$F$6:$F$2989,$B$14)+SUMIFS('BMM465'!$D$6:$D$2989,'BMM465'!$E$6:$E$2989,"&gt;="&amp;AE7,'BMM465'!$E$6:$E$2989,"&lt;="&amp;EOMONTH(AE7,0),'BMM465'!$F$6:$F$2989,$B$14)+SUMIFS('1CF1ZO'!$D$6:$D$2989,'1CF1ZO'!$E$6:$E$2989,"&gt;="&amp;AE7,'1CF1ZO'!$E$6:$E$2989,"&lt;="&amp;EOMONTH(AE7,0),'1CF1ZO'!$F$6:$F$2989,$B$14)+SUMIFS('1UK1BK'!$D$6:$D$2989,'1UK1BK'!$E$6:$E$2989,"&gt;="&amp;AE7,'1UK1BK'!$E$6:$E$2989,"&lt;="&amp;EOMONTH(AE7,0),'1UK1BK'!$F$6:$F$2989,$B$14)</f>
        <v>#REF!</v>
      </c>
      <c r="AF14" s="108" t="e">
        <f>SUMIFS('Other Expense'!$C$8:$C$3017,'Other Expense'!$B$8:$B$3017,"&gt;="&amp;AF7,'Other Expense'!$B$8:$B$3017,"&lt;="&amp;EOMONTH(AF7,0),'Other Expense'!$D$8:$D$3017,$B$14)+SUMIFS('CEI565'!$D$6:$D$2994,'CEI565'!$E$6:$E$2994,"&gt;="&amp;AF7,'CEI565'!$E$6:$E$2994,"&lt;="&amp;EOMONTH(AF7,0),'CEI565'!$F$6:$F$2994,$B$14)+SUMIFS('1SM3VL'!$D$6:$D$2989,'1SM3VL'!$E$6:$E$2989,"&gt;="&amp;AF7,'1SM3VL'!$E$6:$E$2989,"&lt;="&amp;EOMONTH(AF7,0),'1SM3VL'!$F$6:$F$2989,$B$14)+SUMIFS('1QF4SM'!$D$6:$D$2989,'1QF4SM'!$E$6:$E$2989,"&gt;="&amp;AF7,'1QF4SM'!$E$6:$E$2989,"&lt;="&amp;EOMONTH(AF7,0),'1QF4SM'!$F$6:$F$2989,$B$14)+SUMIFS('1UV5KI'!$D$6:$D$2988,'1UV5KI'!$E$6:$E$2988,"&gt;="&amp;AF7,'1UV5KI'!$E$6:$E$2988,"&lt;="&amp;EOMONTH(AF7,0),'1UV5KI'!$F$6:$F$2988,$B$14)+SUMIFS(#REF!,#REF!,"&gt;="&amp;AF7,#REF!,"&lt;="&amp;EOMONTH(AF7,0),#REF!,$B$14)+SUMIFS('1UL9RY'!$D$6:$D$2989,'1UL9RY'!$E$6:$E$2989,"&gt;="&amp;AF7,'1UL9RY'!$E$6:$E$2989,"&lt;="&amp;EOMONTH(AF7,0),'1UL9RY'!$F$6:$F$2989,$B$14)+SUMIFS('1OZ7GT'!$D$6:$D$2989,'1OZ7GT'!$E$6:$E$2989,"&gt;="&amp;AF7,'1OZ7GT'!$E$6:$E$2989,"&lt;="&amp;EOMONTH(AF7,0),'1OZ7GT'!$F$6:$F$2989,$B$14)+SUMIFS('1CN8DD'!$D$6:$D$2989,'1CN8DD'!$E$6:$E$2989,"&gt;="&amp;AF7,'1CN8DD'!$E$6:$E$2989,"&lt;="&amp;EOMONTH(AF7,0),'1CN8DD'!$F$6:$F$2989,$B$14)+SUMIFS('1UT9BR'!$D$6:$D$2989,'1UT9BR'!$E$6:$E$2989,"&gt;="&amp;AF7,'1UT9BR'!$E$6:$E$2989,"&lt;="&amp;EOMONTH(AF7,0),'1UT9BR'!$F$6:$F$2989,$B$14)+SUMIFS('1MK4UR'!$D$6:$D$2989,'1MK4UR'!$E$6:$E$2989,"&gt;="&amp;AF7,'1MK4UR'!$E$6:$E$2989,"&lt;="&amp;EOMONTH(AF7,0),'1MK4UR'!$F$6:$F$2989,$B$14)+SUMIFS(#REF!,#REF!,"&gt;="&amp;AF7,#REF!,"&lt;="&amp;EOMONTH(AF7,0),#REF!,$B$14)+SUMIFS('1JI2UE'!$D$6:$D$2989,'1JI2UE'!$E$6:$E$2989,"&gt;="&amp;AF7,'1JI2UE'!$E$6:$E$2989,"&lt;="&amp;EOMONTH(AF7,0),'1JI2UE'!$F$6:$F$2989,$B$14)+SUMIFS(#REF!,#REF!,"&gt;="&amp;AF7,#REF!,"&lt;="&amp;EOMONTH(AF7,0),#REF!,$B$14)+SUMIFS('1SI9BW'!$D$6:$D$2989,'1SI9BW'!$E$6:$E$2989,"&gt;="&amp;AF7,'1SI9BW'!$E$6:$E$2989,"&lt;="&amp;EOMONTH(AF7,0),'1SI9BW'!$F$6:$F$2989,$B$14)+SUMIFS(Suzuki!$D$6:$D$2989,Suzuki!$E$6:$E$2989,"&gt;="&amp;AF7,Suzuki!$E$6:$E$2989,"&lt;="&amp;EOMONTH(AF7,0),Suzuki!$F$6:$F$2989,$B$14)+SUMIFS('1SK3DD'!$D$6:$D$2989,'1SK3DD'!$E$6:$E$2989,"&gt;="&amp;AF7,'1SK3DD'!$E$6:$E$2989,"&lt;="&amp;EOMONTH(AF7,0),'1SK3DD'!$F$6:$F$2989,$B$14)+SUMIFS('1SX5TQ'!$D$6:$D$2989,'1SX5TQ'!$E$6:$E$2989,"&gt;="&amp;AF7,'1SX5TQ'!$E$6:$E$2989,"&lt;="&amp;EOMONTH(AF7,0),'1SX5TQ'!$F$6:$F$2989,$B$14)+SUMIFS('BMM465'!$D$6:$D$2989,'BMM465'!$E$6:$E$2989,"&gt;="&amp;AF7,'BMM465'!$E$6:$E$2989,"&lt;="&amp;EOMONTH(AF7,0),'BMM465'!$F$6:$F$2989,$B$14)+SUMIFS('1CF1ZO'!$D$6:$D$2989,'1CF1ZO'!$E$6:$E$2989,"&gt;="&amp;AF7,'1CF1ZO'!$E$6:$E$2989,"&lt;="&amp;EOMONTH(AF7,0),'1CF1ZO'!$F$6:$F$2989,$B$14)+SUMIFS('1UK1BK'!$D$6:$D$2989,'1UK1BK'!$E$6:$E$2989,"&gt;="&amp;AF7,'1UK1BK'!$E$6:$E$2989,"&lt;="&amp;EOMONTH(AF7,0),'1UK1BK'!$F$6:$F$2989,$B$14)</f>
        <v>#REF!</v>
      </c>
      <c r="AG14" s="108" t="e">
        <f>SUMIFS('Other Expense'!$C$8:$C$3017,'Other Expense'!$B$8:$B$3017,"&gt;="&amp;AG7,'Other Expense'!$B$8:$B$3017,"&lt;="&amp;EOMONTH(AG7,0),'Other Expense'!$D$8:$D$3017,$B$14)+SUMIFS('CEI565'!$D$6:$D$2994,'CEI565'!$E$6:$E$2994,"&gt;="&amp;AG7,'CEI565'!$E$6:$E$2994,"&lt;="&amp;EOMONTH(AG7,0),'CEI565'!$F$6:$F$2994,$B$14)+SUMIFS('1SM3VL'!$D$6:$D$2989,'1SM3VL'!$E$6:$E$2989,"&gt;="&amp;AG7,'1SM3VL'!$E$6:$E$2989,"&lt;="&amp;EOMONTH(AG7,0),'1SM3VL'!$F$6:$F$2989,$B$14)+SUMIFS('1QF4SM'!$D$6:$D$2989,'1QF4SM'!$E$6:$E$2989,"&gt;="&amp;AG7,'1QF4SM'!$E$6:$E$2989,"&lt;="&amp;EOMONTH(AG7,0),'1QF4SM'!$F$6:$F$2989,$B$14)+SUMIFS('1UV5KI'!$D$6:$D$2988,'1UV5KI'!$E$6:$E$2988,"&gt;="&amp;AG7,'1UV5KI'!$E$6:$E$2988,"&lt;="&amp;EOMONTH(AG7,0),'1UV5KI'!$F$6:$F$2988,$B$14)+SUMIFS(#REF!,#REF!,"&gt;="&amp;AG7,#REF!,"&lt;="&amp;EOMONTH(AG7,0),#REF!,$B$14)+SUMIFS('1UL9RY'!$D$6:$D$2989,'1UL9RY'!$E$6:$E$2989,"&gt;="&amp;AG7,'1UL9RY'!$E$6:$E$2989,"&lt;="&amp;EOMONTH(AG7,0),'1UL9RY'!$F$6:$F$2989,$B$14)+SUMIFS('1OZ7GT'!$D$6:$D$2989,'1OZ7GT'!$E$6:$E$2989,"&gt;="&amp;AG7,'1OZ7GT'!$E$6:$E$2989,"&lt;="&amp;EOMONTH(AG7,0),'1OZ7GT'!$F$6:$F$2989,$B$14)+SUMIFS('1CN8DD'!$D$6:$D$2989,'1CN8DD'!$E$6:$E$2989,"&gt;="&amp;AG7,'1CN8DD'!$E$6:$E$2989,"&lt;="&amp;EOMONTH(AG7,0),'1CN8DD'!$F$6:$F$2989,$B$14)+SUMIFS('1UT9BR'!$D$6:$D$2989,'1UT9BR'!$E$6:$E$2989,"&gt;="&amp;AG7,'1UT9BR'!$E$6:$E$2989,"&lt;="&amp;EOMONTH(AG7,0),'1UT9BR'!$F$6:$F$2989,$B$14)+SUMIFS('1MK4UR'!$D$6:$D$2989,'1MK4UR'!$E$6:$E$2989,"&gt;="&amp;AG7,'1MK4UR'!$E$6:$E$2989,"&lt;="&amp;EOMONTH(AG7,0),'1MK4UR'!$F$6:$F$2989,$B$14)+SUMIFS(#REF!,#REF!,"&gt;="&amp;AG7,#REF!,"&lt;="&amp;EOMONTH(AG7,0),#REF!,$B$14)+SUMIFS('1JI2UE'!$D$6:$D$2989,'1JI2UE'!$E$6:$E$2989,"&gt;="&amp;AG7,'1JI2UE'!$E$6:$E$2989,"&lt;="&amp;EOMONTH(AG7,0),'1JI2UE'!$F$6:$F$2989,$B$14)+SUMIFS(#REF!,#REF!,"&gt;="&amp;AG7,#REF!,"&lt;="&amp;EOMONTH(AG7,0),#REF!,$B$14)+SUMIFS('1SI9BW'!$D$6:$D$2989,'1SI9BW'!$E$6:$E$2989,"&gt;="&amp;AG7,'1SI9BW'!$E$6:$E$2989,"&lt;="&amp;EOMONTH(AG7,0),'1SI9BW'!$F$6:$F$2989,$B$14)+SUMIFS(Suzuki!$D$6:$D$2989,Suzuki!$E$6:$E$2989,"&gt;="&amp;AG7,Suzuki!$E$6:$E$2989,"&lt;="&amp;EOMONTH(AG7,0),Suzuki!$F$6:$F$2989,$B$14)+SUMIFS('1SK3DD'!$D$6:$D$2989,'1SK3DD'!$E$6:$E$2989,"&gt;="&amp;AG7,'1SK3DD'!$E$6:$E$2989,"&lt;="&amp;EOMONTH(AG7,0),'1SK3DD'!$F$6:$F$2989,$B$14)+SUMIFS('1SX5TQ'!$D$6:$D$2989,'1SX5TQ'!$E$6:$E$2989,"&gt;="&amp;AG7,'1SX5TQ'!$E$6:$E$2989,"&lt;="&amp;EOMONTH(AG7,0),'1SX5TQ'!$F$6:$F$2989,$B$14)+SUMIFS('BMM465'!$D$6:$D$2989,'BMM465'!$E$6:$E$2989,"&gt;="&amp;AG7,'BMM465'!$E$6:$E$2989,"&lt;="&amp;EOMONTH(AG7,0),'BMM465'!$F$6:$F$2989,$B$14)+SUMIFS('1CF1ZO'!$D$6:$D$2989,'1CF1ZO'!$E$6:$E$2989,"&gt;="&amp;AG7,'1CF1ZO'!$E$6:$E$2989,"&lt;="&amp;EOMONTH(AG7,0),'1CF1ZO'!$F$6:$F$2989,$B$14)+SUMIFS('1UK1BK'!$D$6:$D$2989,'1UK1BK'!$E$6:$E$2989,"&gt;="&amp;AG7,'1UK1BK'!$E$6:$E$2989,"&lt;="&amp;EOMONTH(AG7,0),'1UK1BK'!$F$6:$F$2989,$B$14)</f>
        <v>#REF!</v>
      </c>
      <c r="AH14" s="108" t="e">
        <f>SUMIFS('Other Expense'!$C$8:$C$3017,'Other Expense'!$B$8:$B$3017,"&gt;="&amp;AH7,'Other Expense'!$B$8:$B$3017,"&lt;="&amp;EOMONTH(AH7,0),'Other Expense'!$D$8:$D$3017,$B$14)+SUMIFS('CEI565'!$D$6:$D$2994,'CEI565'!$E$6:$E$2994,"&gt;="&amp;AH7,'CEI565'!$E$6:$E$2994,"&lt;="&amp;EOMONTH(AH7,0),'CEI565'!$F$6:$F$2994,$B$14)+SUMIFS('1SM3VL'!$D$6:$D$2989,'1SM3VL'!$E$6:$E$2989,"&gt;="&amp;AH7,'1SM3VL'!$E$6:$E$2989,"&lt;="&amp;EOMONTH(AH7,0),'1SM3VL'!$F$6:$F$2989,$B$14)+SUMIFS('1QF4SM'!$D$6:$D$2989,'1QF4SM'!$E$6:$E$2989,"&gt;="&amp;AH7,'1QF4SM'!$E$6:$E$2989,"&lt;="&amp;EOMONTH(AH7,0),'1QF4SM'!$F$6:$F$2989,$B$14)+SUMIFS('1UV5KI'!$D$6:$D$2988,'1UV5KI'!$E$6:$E$2988,"&gt;="&amp;AH7,'1UV5KI'!$E$6:$E$2988,"&lt;="&amp;EOMONTH(AH7,0),'1UV5KI'!$F$6:$F$2988,$B$14)+SUMIFS(#REF!,#REF!,"&gt;="&amp;AH7,#REF!,"&lt;="&amp;EOMONTH(AH7,0),#REF!,$B$14)+SUMIFS('1UL9RY'!$D$6:$D$2989,'1UL9RY'!$E$6:$E$2989,"&gt;="&amp;AH7,'1UL9RY'!$E$6:$E$2989,"&lt;="&amp;EOMONTH(AH7,0),'1UL9RY'!$F$6:$F$2989,$B$14)+SUMIFS('1OZ7GT'!$D$6:$D$2989,'1OZ7GT'!$E$6:$E$2989,"&gt;="&amp;AH7,'1OZ7GT'!$E$6:$E$2989,"&lt;="&amp;EOMONTH(AH7,0),'1OZ7GT'!$F$6:$F$2989,$B$14)+SUMIFS('1CN8DD'!$D$6:$D$2989,'1CN8DD'!$E$6:$E$2989,"&gt;="&amp;AH7,'1CN8DD'!$E$6:$E$2989,"&lt;="&amp;EOMONTH(AH7,0),'1CN8DD'!$F$6:$F$2989,$B$14)+SUMIFS('1UT9BR'!$D$6:$D$2989,'1UT9BR'!$E$6:$E$2989,"&gt;="&amp;AH7,'1UT9BR'!$E$6:$E$2989,"&lt;="&amp;EOMONTH(AH7,0),'1UT9BR'!$F$6:$F$2989,$B$14)+SUMIFS('1MK4UR'!$D$6:$D$2989,'1MK4UR'!$E$6:$E$2989,"&gt;="&amp;AH7,'1MK4UR'!$E$6:$E$2989,"&lt;="&amp;EOMONTH(AH7,0),'1MK4UR'!$F$6:$F$2989,$B$14)+SUMIFS(#REF!,#REF!,"&gt;="&amp;AH7,#REF!,"&lt;="&amp;EOMONTH(AH7,0),#REF!,$B$14)+SUMIFS('1JI2UE'!$D$6:$D$2989,'1JI2UE'!$E$6:$E$2989,"&gt;="&amp;AH7,'1JI2UE'!$E$6:$E$2989,"&lt;="&amp;EOMONTH(AH7,0),'1JI2UE'!$F$6:$F$2989,$B$14)+SUMIFS(#REF!,#REF!,"&gt;="&amp;AH7,#REF!,"&lt;="&amp;EOMONTH(AH7,0),#REF!,$B$14)+SUMIFS('1SI9BW'!$D$6:$D$2989,'1SI9BW'!$E$6:$E$2989,"&gt;="&amp;AH7,'1SI9BW'!$E$6:$E$2989,"&lt;="&amp;EOMONTH(AH7,0),'1SI9BW'!$F$6:$F$2989,$B$14)+SUMIFS(Suzuki!$D$6:$D$2989,Suzuki!$E$6:$E$2989,"&gt;="&amp;AH7,Suzuki!$E$6:$E$2989,"&lt;="&amp;EOMONTH(AH7,0),Suzuki!$F$6:$F$2989,$B$14)+SUMIFS('1SK3DD'!$D$6:$D$2989,'1SK3DD'!$E$6:$E$2989,"&gt;="&amp;AH7,'1SK3DD'!$E$6:$E$2989,"&lt;="&amp;EOMONTH(AH7,0),'1SK3DD'!$F$6:$F$2989,$B$14)+SUMIFS('1SX5TQ'!$D$6:$D$2989,'1SX5TQ'!$E$6:$E$2989,"&gt;="&amp;AH7,'1SX5TQ'!$E$6:$E$2989,"&lt;="&amp;EOMONTH(AH7,0),'1SX5TQ'!$F$6:$F$2989,$B$14)+SUMIFS('BMM465'!$D$6:$D$2989,'BMM465'!$E$6:$E$2989,"&gt;="&amp;AH7,'BMM465'!$E$6:$E$2989,"&lt;="&amp;EOMONTH(AH7,0),'BMM465'!$F$6:$F$2989,$B$14)+SUMIFS('1CF1ZO'!$D$6:$D$2989,'1CF1ZO'!$E$6:$E$2989,"&gt;="&amp;AH7,'1CF1ZO'!$E$6:$E$2989,"&lt;="&amp;EOMONTH(AH7,0),'1CF1ZO'!$F$6:$F$2989,$B$14)+SUMIFS('1UK1BK'!$D$6:$D$2989,'1UK1BK'!$E$6:$E$2989,"&gt;="&amp;AH7,'1UK1BK'!$E$6:$E$2989,"&lt;="&amp;EOMONTH(AH7,0),'1UK1BK'!$F$6:$F$2989,$B$14)</f>
        <v>#REF!</v>
      </c>
      <c r="AI14" s="108" t="e">
        <f>SUMIFS('Other Expense'!$C$8:$C$3017,'Other Expense'!$B$8:$B$3017,"&gt;="&amp;AI7,'Other Expense'!$B$8:$B$3017,"&lt;="&amp;EOMONTH(AI7,0),'Other Expense'!$D$8:$D$3017,$B$14)+SUMIFS('CEI565'!$D$6:$D$2994,'CEI565'!$E$6:$E$2994,"&gt;="&amp;AI7,'CEI565'!$E$6:$E$2994,"&lt;="&amp;EOMONTH(AI7,0),'CEI565'!$F$6:$F$2994,$B$14)+SUMIFS('1SM3VL'!$D$6:$D$2989,'1SM3VL'!$E$6:$E$2989,"&gt;="&amp;AI7,'1SM3VL'!$E$6:$E$2989,"&lt;="&amp;EOMONTH(AI7,0),'1SM3VL'!$F$6:$F$2989,$B$14)+SUMIFS('1QF4SM'!$D$6:$D$2989,'1QF4SM'!$E$6:$E$2989,"&gt;="&amp;AI7,'1QF4SM'!$E$6:$E$2989,"&lt;="&amp;EOMONTH(AI7,0),'1QF4SM'!$F$6:$F$2989,$B$14)+SUMIFS('1UV5KI'!$D$6:$D$2988,'1UV5KI'!$E$6:$E$2988,"&gt;="&amp;AI7,'1UV5KI'!$E$6:$E$2988,"&lt;="&amp;EOMONTH(AI7,0),'1UV5KI'!$F$6:$F$2988,$B$14)+SUMIFS(#REF!,#REF!,"&gt;="&amp;AI7,#REF!,"&lt;="&amp;EOMONTH(AI7,0),#REF!,$B$14)+SUMIFS('1UL9RY'!$D$6:$D$2989,'1UL9RY'!$E$6:$E$2989,"&gt;="&amp;AI7,'1UL9RY'!$E$6:$E$2989,"&lt;="&amp;EOMONTH(AI7,0),'1UL9RY'!$F$6:$F$2989,$B$14)+SUMIFS('1OZ7GT'!$D$6:$D$2989,'1OZ7GT'!$E$6:$E$2989,"&gt;="&amp;AI7,'1OZ7GT'!$E$6:$E$2989,"&lt;="&amp;EOMONTH(AI7,0),'1OZ7GT'!$F$6:$F$2989,$B$14)+SUMIFS('1CN8DD'!$D$6:$D$2989,'1CN8DD'!$E$6:$E$2989,"&gt;="&amp;AI7,'1CN8DD'!$E$6:$E$2989,"&lt;="&amp;EOMONTH(AI7,0),'1CN8DD'!$F$6:$F$2989,$B$14)+SUMIFS('1UT9BR'!$D$6:$D$2989,'1UT9BR'!$E$6:$E$2989,"&gt;="&amp;AI7,'1UT9BR'!$E$6:$E$2989,"&lt;="&amp;EOMONTH(AI7,0),'1UT9BR'!$F$6:$F$2989,$B$14)+SUMIFS('1MK4UR'!$D$6:$D$2989,'1MK4UR'!$E$6:$E$2989,"&gt;="&amp;AI7,'1MK4UR'!$E$6:$E$2989,"&lt;="&amp;EOMONTH(AI7,0),'1MK4UR'!$F$6:$F$2989,$B$14)+SUMIFS(#REF!,#REF!,"&gt;="&amp;AI7,#REF!,"&lt;="&amp;EOMONTH(AI7,0),#REF!,$B$14)+SUMIFS('1JI2UE'!$D$6:$D$2989,'1JI2UE'!$E$6:$E$2989,"&gt;="&amp;AI7,'1JI2UE'!$E$6:$E$2989,"&lt;="&amp;EOMONTH(AI7,0),'1JI2UE'!$F$6:$F$2989,$B$14)+SUMIFS(#REF!,#REF!,"&gt;="&amp;AI7,#REF!,"&lt;="&amp;EOMONTH(AI7,0),#REF!,$B$14)+SUMIFS('1SI9BW'!$D$6:$D$2989,'1SI9BW'!$E$6:$E$2989,"&gt;="&amp;AI7,'1SI9BW'!$E$6:$E$2989,"&lt;="&amp;EOMONTH(AI7,0),'1SI9BW'!$F$6:$F$2989,$B$14)+SUMIFS(Suzuki!$D$6:$D$2989,Suzuki!$E$6:$E$2989,"&gt;="&amp;AI7,Suzuki!$E$6:$E$2989,"&lt;="&amp;EOMONTH(AI7,0),Suzuki!$F$6:$F$2989,$B$14)+SUMIFS('1SK3DD'!$D$6:$D$2989,'1SK3DD'!$E$6:$E$2989,"&gt;="&amp;AI7,'1SK3DD'!$E$6:$E$2989,"&lt;="&amp;EOMONTH(AI7,0),'1SK3DD'!$F$6:$F$2989,$B$14)+SUMIFS('1SX5TQ'!$D$6:$D$2989,'1SX5TQ'!$E$6:$E$2989,"&gt;="&amp;AI7,'1SX5TQ'!$E$6:$E$2989,"&lt;="&amp;EOMONTH(AI7,0),'1SX5TQ'!$F$6:$F$2989,$B$14)+SUMIFS('BMM465'!$D$6:$D$2989,'BMM465'!$E$6:$E$2989,"&gt;="&amp;AI7,'BMM465'!$E$6:$E$2989,"&lt;="&amp;EOMONTH(AI7,0),'BMM465'!$F$6:$F$2989,$B$14)+SUMIFS('1CF1ZO'!$D$6:$D$2989,'1CF1ZO'!$E$6:$E$2989,"&gt;="&amp;AI7,'1CF1ZO'!$E$6:$E$2989,"&lt;="&amp;EOMONTH(AI7,0),'1CF1ZO'!$F$6:$F$2989,$B$14)+SUMIFS('1UK1BK'!$D$6:$D$2989,'1UK1BK'!$E$6:$E$2989,"&gt;="&amp;AI7,'1UK1BK'!$E$6:$E$2989,"&lt;="&amp;EOMONTH(AI7,0),'1UK1BK'!$F$6:$F$2989,$B$14)</f>
        <v>#REF!</v>
      </c>
      <c r="AJ14" s="108" t="e">
        <f>SUMIFS('Other Expense'!$C$8:$C$3017,'Other Expense'!$B$8:$B$3017,"&gt;="&amp;AJ7,'Other Expense'!$B$8:$B$3017,"&lt;="&amp;EOMONTH(AJ7,0),'Other Expense'!$D$8:$D$3017,$B$14)+SUMIFS('CEI565'!$D$6:$D$2994,'CEI565'!$E$6:$E$2994,"&gt;="&amp;AJ7,'CEI565'!$E$6:$E$2994,"&lt;="&amp;EOMONTH(AJ7,0),'CEI565'!$F$6:$F$2994,$B$14)+SUMIFS('1SM3VL'!$D$6:$D$2989,'1SM3VL'!$E$6:$E$2989,"&gt;="&amp;AJ7,'1SM3VL'!$E$6:$E$2989,"&lt;="&amp;EOMONTH(AJ7,0),'1SM3VL'!$F$6:$F$2989,$B$14)+SUMIFS('1QF4SM'!$D$6:$D$2989,'1QF4SM'!$E$6:$E$2989,"&gt;="&amp;AJ7,'1QF4SM'!$E$6:$E$2989,"&lt;="&amp;EOMONTH(AJ7,0),'1QF4SM'!$F$6:$F$2989,$B$14)+SUMIFS('1UV5KI'!$D$6:$D$2988,'1UV5KI'!$E$6:$E$2988,"&gt;="&amp;AJ7,'1UV5KI'!$E$6:$E$2988,"&lt;="&amp;EOMONTH(AJ7,0),'1UV5KI'!$F$6:$F$2988,$B$14)+SUMIFS(#REF!,#REF!,"&gt;="&amp;AJ7,#REF!,"&lt;="&amp;EOMONTH(AJ7,0),#REF!,$B$14)+SUMIFS('1UL9RY'!$D$6:$D$2989,'1UL9RY'!$E$6:$E$2989,"&gt;="&amp;AJ7,'1UL9RY'!$E$6:$E$2989,"&lt;="&amp;EOMONTH(AJ7,0),'1UL9RY'!$F$6:$F$2989,$B$14)+SUMIFS('1OZ7GT'!$D$6:$D$2989,'1OZ7GT'!$E$6:$E$2989,"&gt;="&amp;AJ7,'1OZ7GT'!$E$6:$E$2989,"&lt;="&amp;EOMONTH(AJ7,0),'1OZ7GT'!$F$6:$F$2989,$B$14)+SUMIFS('1CN8DD'!$D$6:$D$2989,'1CN8DD'!$E$6:$E$2989,"&gt;="&amp;AJ7,'1CN8DD'!$E$6:$E$2989,"&lt;="&amp;EOMONTH(AJ7,0),'1CN8DD'!$F$6:$F$2989,$B$14)+SUMIFS('1UT9BR'!$D$6:$D$2989,'1UT9BR'!$E$6:$E$2989,"&gt;="&amp;AJ7,'1UT9BR'!$E$6:$E$2989,"&lt;="&amp;EOMONTH(AJ7,0),'1UT9BR'!$F$6:$F$2989,$B$14)+SUMIFS('1MK4UR'!$D$6:$D$2989,'1MK4UR'!$E$6:$E$2989,"&gt;="&amp;AJ7,'1MK4UR'!$E$6:$E$2989,"&lt;="&amp;EOMONTH(AJ7,0),'1MK4UR'!$F$6:$F$2989,$B$14)+SUMIFS(#REF!,#REF!,"&gt;="&amp;AJ7,#REF!,"&lt;="&amp;EOMONTH(AJ7,0),#REF!,$B$14)+SUMIFS('1JI2UE'!$D$6:$D$2989,'1JI2UE'!$E$6:$E$2989,"&gt;="&amp;AJ7,'1JI2UE'!$E$6:$E$2989,"&lt;="&amp;EOMONTH(AJ7,0),'1JI2UE'!$F$6:$F$2989,$B$14)+SUMIFS(#REF!,#REF!,"&gt;="&amp;AJ7,#REF!,"&lt;="&amp;EOMONTH(AJ7,0),#REF!,$B$14)+SUMIFS('1SI9BW'!$D$6:$D$2989,'1SI9BW'!$E$6:$E$2989,"&gt;="&amp;AJ7,'1SI9BW'!$E$6:$E$2989,"&lt;="&amp;EOMONTH(AJ7,0),'1SI9BW'!$F$6:$F$2989,$B$14)+SUMIFS(Suzuki!$D$6:$D$2989,Suzuki!$E$6:$E$2989,"&gt;="&amp;AJ7,Suzuki!$E$6:$E$2989,"&lt;="&amp;EOMONTH(AJ7,0),Suzuki!$F$6:$F$2989,$B$14)+SUMIFS('1SK3DD'!$D$6:$D$2989,'1SK3DD'!$E$6:$E$2989,"&gt;="&amp;AJ7,'1SK3DD'!$E$6:$E$2989,"&lt;="&amp;EOMONTH(AJ7,0),'1SK3DD'!$F$6:$F$2989,$B$14)+SUMIFS('1SX5TQ'!$D$6:$D$2989,'1SX5TQ'!$E$6:$E$2989,"&gt;="&amp;AJ7,'1SX5TQ'!$E$6:$E$2989,"&lt;="&amp;EOMONTH(AJ7,0),'1SX5TQ'!$F$6:$F$2989,$B$14)+SUMIFS('BMM465'!$D$6:$D$2989,'BMM465'!$E$6:$E$2989,"&gt;="&amp;AJ7,'BMM465'!$E$6:$E$2989,"&lt;="&amp;EOMONTH(AJ7,0),'BMM465'!$F$6:$F$2989,$B$14)+SUMIFS('1CF1ZO'!$D$6:$D$2989,'1CF1ZO'!$E$6:$E$2989,"&gt;="&amp;AJ7,'1CF1ZO'!$E$6:$E$2989,"&lt;="&amp;EOMONTH(AJ7,0),'1CF1ZO'!$F$6:$F$2989,$B$14)+SUMIFS('1UK1BK'!$D$6:$D$2989,'1UK1BK'!$E$6:$E$2989,"&gt;="&amp;AJ7,'1UK1BK'!$E$6:$E$2989,"&lt;="&amp;EOMONTH(AJ7,0),'1UK1BK'!$F$6:$F$2989,$B$14)</f>
        <v>#REF!</v>
      </c>
      <c r="AK14" s="108" t="e">
        <f>SUMIFS('Other Expense'!$C$8:$C$3017,'Other Expense'!$B$8:$B$3017,"&gt;="&amp;AK7,'Other Expense'!$B$8:$B$3017,"&lt;="&amp;EOMONTH(AK7,0),'Other Expense'!$D$8:$D$3017,$B$14)+SUMIFS('CEI565'!$D$6:$D$2994,'CEI565'!$E$6:$E$2994,"&gt;="&amp;AK7,'CEI565'!$E$6:$E$2994,"&lt;="&amp;EOMONTH(AK7,0),'CEI565'!$F$6:$F$2994,$B$14)+SUMIFS('1SM3VL'!$D$6:$D$2989,'1SM3VL'!$E$6:$E$2989,"&gt;="&amp;AK7,'1SM3VL'!$E$6:$E$2989,"&lt;="&amp;EOMONTH(AK7,0),'1SM3VL'!$F$6:$F$2989,$B$14)+SUMIFS('1QF4SM'!$D$6:$D$2989,'1QF4SM'!$E$6:$E$2989,"&gt;="&amp;AK7,'1QF4SM'!$E$6:$E$2989,"&lt;="&amp;EOMONTH(AK7,0),'1QF4SM'!$F$6:$F$2989,$B$14)+SUMIFS('1UV5KI'!$D$6:$D$2988,'1UV5KI'!$E$6:$E$2988,"&gt;="&amp;AK7,'1UV5KI'!$E$6:$E$2988,"&lt;="&amp;EOMONTH(AK7,0),'1UV5KI'!$F$6:$F$2988,$B$14)+SUMIFS(#REF!,#REF!,"&gt;="&amp;AK7,#REF!,"&lt;="&amp;EOMONTH(AK7,0),#REF!,$B$14)+SUMIFS('1UL9RY'!$D$6:$D$2989,'1UL9RY'!$E$6:$E$2989,"&gt;="&amp;AK7,'1UL9RY'!$E$6:$E$2989,"&lt;="&amp;EOMONTH(AK7,0),'1UL9RY'!$F$6:$F$2989,$B$14)+SUMIFS('1OZ7GT'!$D$6:$D$2989,'1OZ7GT'!$E$6:$E$2989,"&gt;="&amp;AK7,'1OZ7GT'!$E$6:$E$2989,"&lt;="&amp;EOMONTH(AK7,0),'1OZ7GT'!$F$6:$F$2989,$B$14)+SUMIFS('1CN8DD'!$D$6:$D$2989,'1CN8DD'!$E$6:$E$2989,"&gt;="&amp;AK7,'1CN8DD'!$E$6:$E$2989,"&lt;="&amp;EOMONTH(AK7,0),'1CN8DD'!$F$6:$F$2989,$B$14)+SUMIFS('1UT9BR'!$D$6:$D$2989,'1UT9BR'!$E$6:$E$2989,"&gt;="&amp;AK7,'1UT9BR'!$E$6:$E$2989,"&lt;="&amp;EOMONTH(AK7,0),'1UT9BR'!$F$6:$F$2989,$B$14)+SUMIFS('1MK4UR'!$D$6:$D$2989,'1MK4UR'!$E$6:$E$2989,"&gt;="&amp;AK7,'1MK4UR'!$E$6:$E$2989,"&lt;="&amp;EOMONTH(AK7,0),'1MK4UR'!$F$6:$F$2989,$B$14)+SUMIFS(#REF!,#REF!,"&gt;="&amp;AK7,#REF!,"&lt;="&amp;EOMONTH(AK7,0),#REF!,$B$14)+SUMIFS('1JI2UE'!$D$6:$D$2989,'1JI2UE'!$E$6:$E$2989,"&gt;="&amp;AK7,'1JI2UE'!$E$6:$E$2989,"&lt;="&amp;EOMONTH(AK7,0),'1JI2UE'!$F$6:$F$2989,$B$14)+SUMIFS(#REF!,#REF!,"&gt;="&amp;AK7,#REF!,"&lt;="&amp;EOMONTH(AK7,0),#REF!,$B$14)+SUMIFS('1SI9BW'!$D$6:$D$2989,'1SI9BW'!$E$6:$E$2989,"&gt;="&amp;AK7,'1SI9BW'!$E$6:$E$2989,"&lt;="&amp;EOMONTH(AK7,0),'1SI9BW'!$F$6:$F$2989,$B$14)+SUMIFS(Suzuki!$D$6:$D$2989,Suzuki!$E$6:$E$2989,"&gt;="&amp;AK7,Suzuki!$E$6:$E$2989,"&lt;="&amp;EOMONTH(AK7,0),Suzuki!$F$6:$F$2989,$B$14)+SUMIFS('1SK3DD'!$D$6:$D$2989,'1SK3DD'!$E$6:$E$2989,"&gt;="&amp;AK7,'1SK3DD'!$E$6:$E$2989,"&lt;="&amp;EOMONTH(AK7,0),'1SK3DD'!$F$6:$F$2989,$B$14)+SUMIFS('1SX5TQ'!$D$6:$D$2989,'1SX5TQ'!$E$6:$E$2989,"&gt;="&amp;AK7,'1SX5TQ'!$E$6:$E$2989,"&lt;="&amp;EOMONTH(AK7,0),'1SX5TQ'!$F$6:$F$2989,$B$14)+SUMIFS('BMM465'!$D$6:$D$2989,'BMM465'!$E$6:$E$2989,"&gt;="&amp;AK7,'BMM465'!$E$6:$E$2989,"&lt;="&amp;EOMONTH(AK7,0),'BMM465'!$F$6:$F$2989,$B$14)+SUMIFS('1CF1ZO'!$D$6:$D$2989,'1CF1ZO'!$E$6:$E$2989,"&gt;="&amp;AK7,'1CF1ZO'!$E$6:$E$2989,"&lt;="&amp;EOMONTH(AK7,0),'1CF1ZO'!$F$6:$F$2989,$B$14)+SUMIFS('1UK1BK'!$D$6:$D$2989,'1UK1BK'!$E$6:$E$2989,"&gt;="&amp;AK7,'1UK1BK'!$E$6:$E$2989,"&lt;="&amp;EOMONTH(AK7,0),'1UK1BK'!$F$6:$F$2989,$B$14)</f>
        <v>#REF!</v>
      </c>
      <c r="AL14" s="108" t="e">
        <f>SUMIFS('Other Expense'!$C$8:$C$3017,'Other Expense'!$B$8:$B$3017,"&gt;="&amp;AL7,'Other Expense'!$B$8:$B$3017,"&lt;="&amp;EOMONTH(AL7,0),'Other Expense'!$D$8:$D$3017,$B$14)+SUMIFS('CEI565'!$D$6:$D$2994,'CEI565'!$E$6:$E$2994,"&gt;="&amp;AL7,'CEI565'!$E$6:$E$2994,"&lt;="&amp;EOMONTH(AL7,0),'CEI565'!$F$6:$F$2994,$B$14)+SUMIFS('1SM3VL'!$D$6:$D$2989,'1SM3VL'!$E$6:$E$2989,"&gt;="&amp;AL7,'1SM3VL'!$E$6:$E$2989,"&lt;="&amp;EOMONTH(AL7,0),'1SM3VL'!$F$6:$F$2989,$B$14)+SUMIFS('1QF4SM'!$D$6:$D$2989,'1QF4SM'!$E$6:$E$2989,"&gt;="&amp;AL7,'1QF4SM'!$E$6:$E$2989,"&lt;="&amp;EOMONTH(AL7,0),'1QF4SM'!$F$6:$F$2989,$B$14)+SUMIFS('1UV5KI'!$D$6:$D$2988,'1UV5KI'!$E$6:$E$2988,"&gt;="&amp;AL7,'1UV5KI'!$E$6:$E$2988,"&lt;="&amp;EOMONTH(AL7,0),'1UV5KI'!$F$6:$F$2988,$B$14)+SUMIFS(#REF!,#REF!,"&gt;="&amp;AL7,#REF!,"&lt;="&amp;EOMONTH(AL7,0),#REF!,$B$14)+SUMIFS('1UL9RY'!$D$6:$D$2989,'1UL9RY'!$E$6:$E$2989,"&gt;="&amp;AL7,'1UL9RY'!$E$6:$E$2989,"&lt;="&amp;EOMONTH(AL7,0),'1UL9RY'!$F$6:$F$2989,$B$14)+SUMIFS('1OZ7GT'!$D$6:$D$2989,'1OZ7GT'!$E$6:$E$2989,"&gt;="&amp;AL7,'1OZ7GT'!$E$6:$E$2989,"&lt;="&amp;EOMONTH(AL7,0),'1OZ7GT'!$F$6:$F$2989,$B$14)+SUMIFS('1CN8DD'!$D$6:$D$2989,'1CN8DD'!$E$6:$E$2989,"&gt;="&amp;AL7,'1CN8DD'!$E$6:$E$2989,"&lt;="&amp;EOMONTH(AL7,0),'1CN8DD'!$F$6:$F$2989,$B$14)+SUMIFS('1UT9BR'!$D$6:$D$2989,'1UT9BR'!$E$6:$E$2989,"&gt;="&amp;AL7,'1UT9BR'!$E$6:$E$2989,"&lt;="&amp;EOMONTH(AL7,0),'1UT9BR'!$F$6:$F$2989,$B$14)+SUMIFS('1MK4UR'!$D$6:$D$2989,'1MK4UR'!$E$6:$E$2989,"&gt;="&amp;AL7,'1MK4UR'!$E$6:$E$2989,"&lt;="&amp;EOMONTH(AL7,0),'1MK4UR'!$F$6:$F$2989,$B$14)+SUMIFS(#REF!,#REF!,"&gt;="&amp;AL7,#REF!,"&lt;="&amp;EOMONTH(AL7,0),#REF!,$B$14)+SUMIFS('1JI2UE'!$D$6:$D$2989,'1JI2UE'!$E$6:$E$2989,"&gt;="&amp;AL7,'1JI2UE'!$E$6:$E$2989,"&lt;="&amp;EOMONTH(AL7,0),'1JI2UE'!$F$6:$F$2989,$B$14)+SUMIFS(#REF!,#REF!,"&gt;="&amp;AL7,#REF!,"&lt;="&amp;EOMONTH(AL7,0),#REF!,$B$14)+SUMIFS('1SI9BW'!$D$6:$D$2989,'1SI9BW'!$E$6:$E$2989,"&gt;="&amp;AL7,'1SI9BW'!$E$6:$E$2989,"&lt;="&amp;EOMONTH(AL7,0),'1SI9BW'!$F$6:$F$2989,$B$14)+SUMIFS(Suzuki!$D$6:$D$2989,Suzuki!$E$6:$E$2989,"&gt;="&amp;AL7,Suzuki!$E$6:$E$2989,"&lt;="&amp;EOMONTH(AL7,0),Suzuki!$F$6:$F$2989,$B$14)+SUMIFS('1SK3DD'!$D$6:$D$2989,'1SK3DD'!$E$6:$E$2989,"&gt;="&amp;AL7,'1SK3DD'!$E$6:$E$2989,"&lt;="&amp;EOMONTH(AL7,0),'1SK3DD'!$F$6:$F$2989,$B$14)+SUMIFS('1SX5TQ'!$D$6:$D$2989,'1SX5TQ'!$E$6:$E$2989,"&gt;="&amp;AL7,'1SX5TQ'!$E$6:$E$2989,"&lt;="&amp;EOMONTH(AL7,0),'1SX5TQ'!$F$6:$F$2989,$B$14)+SUMIFS('BMM465'!$D$6:$D$2989,'BMM465'!$E$6:$E$2989,"&gt;="&amp;AL7,'BMM465'!$E$6:$E$2989,"&lt;="&amp;EOMONTH(AL7,0),'BMM465'!$F$6:$F$2989,$B$14)+SUMIFS('1CF1ZO'!$D$6:$D$2989,'1CF1ZO'!$E$6:$E$2989,"&gt;="&amp;AL7,'1CF1ZO'!$E$6:$E$2989,"&lt;="&amp;EOMONTH(AL7,0),'1CF1ZO'!$F$6:$F$2989,$B$14)+SUMIFS('1UK1BK'!$D$6:$D$2989,'1UK1BK'!$E$6:$E$2989,"&gt;="&amp;AL7,'1UK1BK'!$E$6:$E$2989,"&lt;="&amp;EOMONTH(AL7,0),'1UK1BK'!$F$6:$F$2989,$B$14)</f>
        <v>#REF!</v>
      </c>
      <c r="AM14" s="108" t="e">
        <f>SUMIFS('Other Expense'!$C$8:$C$3017,'Other Expense'!$B$8:$B$3017,"&gt;="&amp;AM7,'Other Expense'!$B$8:$B$3017,"&lt;="&amp;EOMONTH(AM7,0),'Other Expense'!$D$8:$D$3017,$B$14)+SUMIFS('CEI565'!$D$6:$D$2994,'CEI565'!$E$6:$E$2994,"&gt;="&amp;AM7,'CEI565'!$E$6:$E$2994,"&lt;="&amp;EOMONTH(AM7,0),'CEI565'!$F$6:$F$2994,$B$14)+SUMIFS('1SM3VL'!$D$6:$D$2989,'1SM3VL'!$E$6:$E$2989,"&gt;="&amp;AM7,'1SM3VL'!$E$6:$E$2989,"&lt;="&amp;EOMONTH(AM7,0),'1SM3VL'!$F$6:$F$2989,$B$14)+SUMIFS('1QF4SM'!$D$6:$D$2989,'1QF4SM'!$E$6:$E$2989,"&gt;="&amp;AM7,'1QF4SM'!$E$6:$E$2989,"&lt;="&amp;EOMONTH(AM7,0),'1QF4SM'!$F$6:$F$2989,$B$14)+SUMIFS('1UV5KI'!$D$6:$D$2988,'1UV5KI'!$E$6:$E$2988,"&gt;="&amp;AM7,'1UV5KI'!$E$6:$E$2988,"&lt;="&amp;EOMONTH(AM7,0),'1UV5KI'!$F$6:$F$2988,$B$14)+SUMIFS(#REF!,#REF!,"&gt;="&amp;AM7,#REF!,"&lt;="&amp;EOMONTH(AM7,0),#REF!,$B$14)+SUMIFS('1UL9RY'!$D$6:$D$2989,'1UL9RY'!$E$6:$E$2989,"&gt;="&amp;AM7,'1UL9RY'!$E$6:$E$2989,"&lt;="&amp;EOMONTH(AM7,0),'1UL9RY'!$F$6:$F$2989,$B$14)+SUMIFS('1OZ7GT'!$D$6:$D$2989,'1OZ7GT'!$E$6:$E$2989,"&gt;="&amp;AM7,'1OZ7GT'!$E$6:$E$2989,"&lt;="&amp;EOMONTH(AM7,0),'1OZ7GT'!$F$6:$F$2989,$B$14)+SUMIFS('1CN8DD'!$D$6:$D$2989,'1CN8DD'!$E$6:$E$2989,"&gt;="&amp;AM7,'1CN8DD'!$E$6:$E$2989,"&lt;="&amp;EOMONTH(AM7,0),'1CN8DD'!$F$6:$F$2989,$B$14)+SUMIFS('1UT9BR'!$D$6:$D$2989,'1UT9BR'!$E$6:$E$2989,"&gt;="&amp;AM7,'1UT9BR'!$E$6:$E$2989,"&lt;="&amp;EOMONTH(AM7,0),'1UT9BR'!$F$6:$F$2989,$B$14)+SUMIFS('1MK4UR'!$D$6:$D$2989,'1MK4UR'!$E$6:$E$2989,"&gt;="&amp;AM7,'1MK4UR'!$E$6:$E$2989,"&lt;="&amp;EOMONTH(AM7,0),'1MK4UR'!$F$6:$F$2989,$B$14)+SUMIFS(#REF!,#REF!,"&gt;="&amp;AM7,#REF!,"&lt;="&amp;EOMONTH(AM7,0),#REF!,$B$14)+SUMIFS('1JI2UE'!$D$6:$D$2989,'1JI2UE'!$E$6:$E$2989,"&gt;="&amp;AM7,'1JI2UE'!$E$6:$E$2989,"&lt;="&amp;EOMONTH(AM7,0),'1JI2UE'!$F$6:$F$2989,$B$14)+SUMIFS(#REF!,#REF!,"&gt;="&amp;AM7,#REF!,"&lt;="&amp;EOMONTH(AM7,0),#REF!,$B$14)+SUMIFS('1SI9BW'!$D$6:$D$2989,'1SI9BW'!$E$6:$E$2989,"&gt;="&amp;AM7,'1SI9BW'!$E$6:$E$2989,"&lt;="&amp;EOMONTH(AM7,0),'1SI9BW'!$F$6:$F$2989,$B$14)+SUMIFS(Suzuki!$D$6:$D$2989,Suzuki!$E$6:$E$2989,"&gt;="&amp;AM7,Suzuki!$E$6:$E$2989,"&lt;="&amp;EOMONTH(AM7,0),Suzuki!$F$6:$F$2989,$B$14)+SUMIFS('1SK3DD'!$D$6:$D$2989,'1SK3DD'!$E$6:$E$2989,"&gt;="&amp;AM7,'1SK3DD'!$E$6:$E$2989,"&lt;="&amp;EOMONTH(AM7,0),'1SK3DD'!$F$6:$F$2989,$B$14)+SUMIFS('1SX5TQ'!$D$6:$D$2989,'1SX5TQ'!$E$6:$E$2989,"&gt;="&amp;AM7,'1SX5TQ'!$E$6:$E$2989,"&lt;="&amp;EOMONTH(AM7,0),'1SX5TQ'!$F$6:$F$2989,$B$14)+SUMIFS('BMM465'!$D$6:$D$2989,'BMM465'!$E$6:$E$2989,"&gt;="&amp;AM7,'BMM465'!$E$6:$E$2989,"&lt;="&amp;EOMONTH(AM7,0),'BMM465'!$F$6:$F$2989,$B$14)+SUMIFS('1CF1ZO'!$D$6:$D$2989,'1CF1ZO'!$E$6:$E$2989,"&gt;="&amp;AM7,'1CF1ZO'!$E$6:$E$2989,"&lt;="&amp;EOMONTH(AM7,0),'1CF1ZO'!$F$6:$F$2989,$B$14)+SUMIFS('1UK1BK'!$D$6:$D$2989,'1UK1BK'!$E$6:$E$2989,"&gt;="&amp;AM7,'1UK1BK'!$E$6:$E$2989,"&lt;="&amp;EOMONTH(AM7,0),'1UK1BK'!$F$6:$F$2989,$B$14)</f>
        <v>#REF!</v>
      </c>
      <c r="AN14" s="108" t="e">
        <f>SUMIFS('Other Expense'!$C$8:$C$3017,'Other Expense'!$B$8:$B$3017,"&gt;="&amp;AN7,'Other Expense'!$B$8:$B$3017,"&lt;="&amp;EOMONTH(AN7,0),'Other Expense'!$D$8:$D$3017,$B$14)+SUMIFS('CEI565'!$D$6:$D$2994,'CEI565'!$E$6:$E$2994,"&gt;="&amp;AN7,'CEI565'!$E$6:$E$2994,"&lt;="&amp;EOMONTH(AN7,0),'CEI565'!$F$6:$F$2994,$B$14)+SUMIFS('1SM3VL'!$D$6:$D$2989,'1SM3VL'!$E$6:$E$2989,"&gt;="&amp;AN7,'1SM3VL'!$E$6:$E$2989,"&lt;="&amp;EOMONTH(AN7,0),'1SM3VL'!$F$6:$F$2989,$B$14)+SUMIFS('1QF4SM'!$D$6:$D$2989,'1QF4SM'!$E$6:$E$2989,"&gt;="&amp;AN7,'1QF4SM'!$E$6:$E$2989,"&lt;="&amp;EOMONTH(AN7,0),'1QF4SM'!$F$6:$F$2989,$B$14)+SUMIFS('1UV5KI'!$D$6:$D$2988,'1UV5KI'!$E$6:$E$2988,"&gt;="&amp;AN7,'1UV5KI'!$E$6:$E$2988,"&lt;="&amp;EOMONTH(AN7,0),'1UV5KI'!$F$6:$F$2988,$B$14)+SUMIFS(#REF!,#REF!,"&gt;="&amp;AN7,#REF!,"&lt;="&amp;EOMONTH(AN7,0),#REF!,$B$14)+SUMIFS('1UL9RY'!$D$6:$D$2989,'1UL9RY'!$E$6:$E$2989,"&gt;="&amp;AN7,'1UL9RY'!$E$6:$E$2989,"&lt;="&amp;EOMONTH(AN7,0),'1UL9RY'!$F$6:$F$2989,$B$14)+SUMIFS('1OZ7GT'!$D$6:$D$2989,'1OZ7GT'!$E$6:$E$2989,"&gt;="&amp;AN7,'1OZ7GT'!$E$6:$E$2989,"&lt;="&amp;EOMONTH(AN7,0),'1OZ7GT'!$F$6:$F$2989,$B$14)+SUMIFS('1CN8DD'!$D$6:$D$2989,'1CN8DD'!$E$6:$E$2989,"&gt;="&amp;AN7,'1CN8DD'!$E$6:$E$2989,"&lt;="&amp;EOMONTH(AN7,0),'1CN8DD'!$F$6:$F$2989,$B$14)+SUMIFS('1UT9BR'!$D$6:$D$2989,'1UT9BR'!$E$6:$E$2989,"&gt;="&amp;AN7,'1UT9BR'!$E$6:$E$2989,"&lt;="&amp;EOMONTH(AN7,0),'1UT9BR'!$F$6:$F$2989,$B$14)+SUMIFS('1MK4UR'!$D$6:$D$2989,'1MK4UR'!$E$6:$E$2989,"&gt;="&amp;AN7,'1MK4UR'!$E$6:$E$2989,"&lt;="&amp;EOMONTH(AN7,0),'1MK4UR'!$F$6:$F$2989,$B$14)+SUMIFS(#REF!,#REF!,"&gt;="&amp;AN7,#REF!,"&lt;="&amp;EOMONTH(AN7,0),#REF!,$B$14)+SUMIFS('1JI2UE'!$D$6:$D$2989,'1JI2UE'!$E$6:$E$2989,"&gt;="&amp;AN7,'1JI2UE'!$E$6:$E$2989,"&lt;="&amp;EOMONTH(AN7,0),'1JI2UE'!$F$6:$F$2989,$B$14)+SUMIFS(#REF!,#REF!,"&gt;="&amp;AN7,#REF!,"&lt;="&amp;EOMONTH(AN7,0),#REF!,$B$14)+SUMIFS('1SI9BW'!$D$6:$D$2989,'1SI9BW'!$E$6:$E$2989,"&gt;="&amp;AN7,'1SI9BW'!$E$6:$E$2989,"&lt;="&amp;EOMONTH(AN7,0),'1SI9BW'!$F$6:$F$2989,$B$14)+SUMIFS(Suzuki!$D$6:$D$2989,Suzuki!$E$6:$E$2989,"&gt;="&amp;AN7,Suzuki!$E$6:$E$2989,"&lt;="&amp;EOMONTH(AN7,0),Suzuki!$F$6:$F$2989,$B$14)+SUMIFS('1SK3DD'!$D$6:$D$2989,'1SK3DD'!$E$6:$E$2989,"&gt;="&amp;AN7,'1SK3DD'!$E$6:$E$2989,"&lt;="&amp;EOMONTH(AN7,0),'1SK3DD'!$F$6:$F$2989,$B$14)+SUMIFS('1SX5TQ'!$D$6:$D$2989,'1SX5TQ'!$E$6:$E$2989,"&gt;="&amp;AN7,'1SX5TQ'!$E$6:$E$2989,"&lt;="&amp;EOMONTH(AN7,0),'1SX5TQ'!$F$6:$F$2989,$B$14)+SUMIFS('BMM465'!$D$6:$D$2989,'BMM465'!$E$6:$E$2989,"&gt;="&amp;AN7,'BMM465'!$E$6:$E$2989,"&lt;="&amp;EOMONTH(AN7,0),'BMM465'!$F$6:$F$2989,$B$14)+SUMIFS('1CF1ZO'!$D$6:$D$2989,'1CF1ZO'!$E$6:$E$2989,"&gt;="&amp;AN7,'1CF1ZO'!$E$6:$E$2989,"&lt;="&amp;EOMONTH(AN7,0),'1CF1ZO'!$F$6:$F$2989,$B$14)+SUMIFS('1UK1BK'!$D$6:$D$2989,'1UK1BK'!$E$6:$E$2989,"&gt;="&amp;AN7,'1UK1BK'!$E$6:$E$2989,"&lt;="&amp;EOMONTH(AN7,0),'1UK1BK'!$F$6:$F$2989,$B$14)</f>
        <v>#REF!</v>
      </c>
      <c r="AO14" s="108" t="e">
        <f>SUMIFS('Other Expense'!$C$8:$C$3017,'Other Expense'!$B$8:$B$3017,"&gt;="&amp;AO7,'Other Expense'!$B$8:$B$3017,"&lt;="&amp;EOMONTH(AO7,0),'Other Expense'!$D$8:$D$3017,$B$14)+SUMIFS('CEI565'!$D$6:$D$2994,'CEI565'!$E$6:$E$2994,"&gt;="&amp;AO7,'CEI565'!$E$6:$E$2994,"&lt;="&amp;EOMONTH(AO7,0),'CEI565'!$F$6:$F$2994,$B$14)+SUMIFS('1SM3VL'!$D$6:$D$2989,'1SM3VL'!$E$6:$E$2989,"&gt;="&amp;AO7,'1SM3VL'!$E$6:$E$2989,"&lt;="&amp;EOMONTH(AO7,0),'1SM3VL'!$F$6:$F$2989,$B$14)+SUMIFS('1QF4SM'!$D$6:$D$2989,'1QF4SM'!$E$6:$E$2989,"&gt;="&amp;AO7,'1QF4SM'!$E$6:$E$2989,"&lt;="&amp;EOMONTH(AO7,0),'1QF4SM'!$F$6:$F$2989,$B$14)+SUMIFS('1UV5KI'!$D$6:$D$2988,'1UV5KI'!$E$6:$E$2988,"&gt;="&amp;AO7,'1UV5KI'!$E$6:$E$2988,"&lt;="&amp;EOMONTH(AO7,0),'1UV5KI'!$F$6:$F$2988,$B$14)+SUMIFS(#REF!,#REF!,"&gt;="&amp;AO7,#REF!,"&lt;="&amp;EOMONTH(AO7,0),#REF!,$B$14)+SUMIFS('1UL9RY'!$D$6:$D$2989,'1UL9RY'!$E$6:$E$2989,"&gt;="&amp;AO7,'1UL9RY'!$E$6:$E$2989,"&lt;="&amp;EOMONTH(AO7,0),'1UL9RY'!$F$6:$F$2989,$B$14)+SUMIFS('1OZ7GT'!$D$6:$D$2989,'1OZ7GT'!$E$6:$E$2989,"&gt;="&amp;AO7,'1OZ7GT'!$E$6:$E$2989,"&lt;="&amp;EOMONTH(AO7,0),'1OZ7GT'!$F$6:$F$2989,$B$14)+SUMIFS('1CN8DD'!$D$6:$D$2989,'1CN8DD'!$E$6:$E$2989,"&gt;="&amp;AO7,'1CN8DD'!$E$6:$E$2989,"&lt;="&amp;EOMONTH(AO7,0),'1CN8DD'!$F$6:$F$2989,$B$14)+SUMIFS('1UT9BR'!$D$6:$D$2989,'1UT9BR'!$E$6:$E$2989,"&gt;="&amp;AO7,'1UT9BR'!$E$6:$E$2989,"&lt;="&amp;EOMONTH(AO7,0),'1UT9BR'!$F$6:$F$2989,$B$14)+SUMIFS('1MK4UR'!$D$6:$D$2989,'1MK4UR'!$E$6:$E$2989,"&gt;="&amp;AO7,'1MK4UR'!$E$6:$E$2989,"&lt;="&amp;EOMONTH(AO7,0),'1MK4UR'!$F$6:$F$2989,$B$14)+SUMIFS(#REF!,#REF!,"&gt;="&amp;AO7,#REF!,"&lt;="&amp;EOMONTH(AO7,0),#REF!,$B$14)+SUMIFS('1JI2UE'!$D$6:$D$2989,'1JI2UE'!$E$6:$E$2989,"&gt;="&amp;AO7,'1JI2UE'!$E$6:$E$2989,"&lt;="&amp;EOMONTH(AO7,0),'1JI2UE'!$F$6:$F$2989,$B$14)+SUMIFS(#REF!,#REF!,"&gt;="&amp;AO7,#REF!,"&lt;="&amp;EOMONTH(AO7,0),#REF!,$B$14)+SUMIFS('1SI9BW'!$D$6:$D$2989,'1SI9BW'!$E$6:$E$2989,"&gt;="&amp;AO7,'1SI9BW'!$E$6:$E$2989,"&lt;="&amp;EOMONTH(AO7,0),'1SI9BW'!$F$6:$F$2989,$B$14)+SUMIFS(Suzuki!$D$6:$D$2989,Suzuki!$E$6:$E$2989,"&gt;="&amp;AO7,Suzuki!$E$6:$E$2989,"&lt;="&amp;EOMONTH(AO7,0),Suzuki!$F$6:$F$2989,$B$14)+SUMIFS('1SK3DD'!$D$6:$D$2989,'1SK3DD'!$E$6:$E$2989,"&gt;="&amp;AO7,'1SK3DD'!$E$6:$E$2989,"&lt;="&amp;EOMONTH(AO7,0),'1SK3DD'!$F$6:$F$2989,$B$14)+SUMIFS('1SX5TQ'!$D$6:$D$2989,'1SX5TQ'!$E$6:$E$2989,"&gt;="&amp;AO7,'1SX5TQ'!$E$6:$E$2989,"&lt;="&amp;EOMONTH(AO7,0),'1SX5TQ'!$F$6:$F$2989,$B$14)+SUMIFS('BMM465'!$D$6:$D$2989,'BMM465'!$E$6:$E$2989,"&gt;="&amp;AO7,'BMM465'!$E$6:$E$2989,"&lt;="&amp;EOMONTH(AO7,0),'BMM465'!$F$6:$F$2989,$B$14)+SUMIFS('1CF1ZO'!$D$6:$D$2989,'1CF1ZO'!$E$6:$E$2989,"&gt;="&amp;AO7,'1CF1ZO'!$E$6:$E$2989,"&lt;="&amp;EOMONTH(AO7,0),'1CF1ZO'!$F$6:$F$2989,$B$14)+SUMIFS('1UK1BK'!$D$6:$D$2989,'1UK1BK'!$E$6:$E$2989,"&gt;="&amp;AO7,'1UK1BK'!$E$6:$E$2989,"&lt;="&amp;EOMONTH(AO7,0),'1UK1BK'!$F$6:$F$2989,$B$14)</f>
        <v>#REF!</v>
      </c>
      <c r="AP14" s="108" t="e">
        <f>SUMIFS('Other Expense'!$C$8:$C$3017,'Other Expense'!$B$8:$B$3017,"&gt;="&amp;AP7,'Other Expense'!$B$8:$B$3017,"&lt;="&amp;EOMONTH(AP7,0),'Other Expense'!$D$8:$D$3017,$B$14)+SUMIFS('CEI565'!$D$6:$D$2994,'CEI565'!$E$6:$E$2994,"&gt;="&amp;AP7,'CEI565'!$E$6:$E$2994,"&lt;="&amp;EOMONTH(AP7,0),'CEI565'!$F$6:$F$2994,$B$14)+SUMIFS('1SM3VL'!$D$6:$D$2989,'1SM3VL'!$E$6:$E$2989,"&gt;="&amp;AP7,'1SM3VL'!$E$6:$E$2989,"&lt;="&amp;EOMONTH(AP7,0),'1SM3VL'!$F$6:$F$2989,$B$14)+SUMIFS('1QF4SM'!$D$6:$D$2989,'1QF4SM'!$E$6:$E$2989,"&gt;="&amp;AP7,'1QF4SM'!$E$6:$E$2989,"&lt;="&amp;EOMONTH(AP7,0),'1QF4SM'!$F$6:$F$2989,$B$14)+SUMIFS('1UV5KI'!$D$6:$D$2988,'1UV5KI'!$E$6:$E$2988,"&gt;="&amp;AP7,'1UV5KI'!$E$6:$E$2988,"&lt;="&amp;EOMONTH(AP7,0),'1UV5KI'!$F$6:$F$2988,$B$14)+SUMIFS(#REF!,#REF!,"&gt;="&amp;AP7,#REF!,"&lt;="&amp;EOMONTH(AP7,0),#REF!,$B$14)+SUMIFS('1UL9RY'!$D$6:$D$2989,'1UL9RY'!$E$6:$E$2989,"&gt;="&amp;AP7,'1UL9RY'!$E$6:$E$2989,"&lt;="&amp;EOMONTH(AP7,0),'1UL9RY'!$F$6:$F$2989,$B$14)+SUMIFS('1OZ7GT'!$D$6:$D$2989,'1OZ7GT'!$E$6:$E$2989,"&gt;="&amp;AP7,'1OZ7GT'!$E$6:$E$2989,"&lt;="&amp;EOMONTH(AP7,0),'1OZ7GT'!$F$6:$F$2989,$B$14)+SUMIFS('1CN8DD'!$D$6:$D$2989,'1CN8DD'!$E$6:$E$2989,"&gt;="&amp;AP7,'1CN8DD'!$E$6:$E$2989,"&lt;="&amp;EOMONTH(AP7,0),'1CN8DD'!$F$6:$F$2989,$B$14)+SUMIFS('1UT9BR'!$D$6:$D$2989,'1UT9BR'!$E$6:$E$2989,"&gt;="&amp;AP7,'1UT9BR'!$E$6:$E$2989,"&lt;="&amp;EOMONTH(AP7,0),'1UT9BR'!$F$6:$F$2989,$B$14)+SUMIFS('1MK4UR'!$D$6:$D$2989,'1MK4UR'!$E$6:$E$2989,"&gt;="&amp;AP7,'1MK4UR'!$E$6:$E$2989,"&lt;="&amp;EOMONTH(AP7,0),'1MK4UR'!$F$6:$F$2989,$B$14)+SUMIFS(#REF!,#REF!,"&gt;="&amp;AP7,#REF!,"&lt;="&amp;EOMONTH(AP7,0),#REF!,$B$14)+SUMIFS('1JI2UE'!$D$6:$D$2989,'1JI2UE'!$E$6:$E$2989,"&gt;="&amp;AP7,'1JI2UE'!$E$6:$E$2989,"&lt;="&amp;EOMONTH(AP7,0),'1JI2UE'!$F$6:$F$2989,$B$14)+SUMIFS(#REF!,#REF!,"&gt;="&amp;AP7,#REF!,"&lt;="&amp;EOMONTH(AP7,0),#REF!,$B$14)+SUMIFS('1SI9BW'!$D$6:$D$2989,'1SI9BW'!$E$6:$E$2989,"&gt;="&amp;AP7,'1SI9BW'!$E$6:$E$2989,"&lt;="&amp;EOMONTH(AP7,0),'1SI9BW'!$F$6:$F$2989,$B$14)+SUMIFS(Suzuki!$D$6:$D$2989,Suzuki!$E$6:$E$2989,"&gt;="&amp;AP7,Suzuki!$E$6:$E$2989,"&lt;="&amp;EOMONTH(AP7,0),Suzuki!$F$6:$F$2989,$B$14)+SUMIFS('1SK3DD'!$D$6:$D$2989,'1SK3DD'!$E$6:$E$2989,"&gt;="&amp;AP7,'1SK3DD'!$E$6:$E$2989,"&lt;="&amp;EOMONTH(AP7,0),'1SK3DD'!$F$6:$F$2989,$B$14)+SUMIFS('1SX5TQ'!$D$6:$D$2989,'1SX5TQ'!$E$6:$E$2989,"&gt;="&amp;AP7,'1SX5TQ'!$E$6:$E$2989,"&lt;="&amp;EOMONTH(AP7,0),'1SX5TQ'!$F$6:$F$2989,$B$14)+SUMIFS('BMM465'!$D$6:$D$2989,'BMM465'!$E$6:$E$2989,"&gt;="&amp;AP7,'BMM465'!$E$6:$E$2989,"&lt;="&amp;EOMONTH(AP7,0),'BMM465'!$F$6:$F$2989,$B$14)+SUMIFS('1CF1ZO'!$D$6:$D$2989,'1CF1ZO'!$E$6:$E$2989,"&gt;="&amp;AP7,'1CF1ZO'!$E$6:$E$2989,"&lt;="&amp;EOMONTH(AP7,0),'1CF1ZO'!$F$6:$F$2989,$B$14)+SUMIFS('1UK1BK'!$D$6:$D$2989,'1UK1BK'!$E$6:$E$2989,"&gt;="&amp;AP7,'1UK1BK'!$E$6:$E$2989,"&lt;="&amp;EOMONTH(AP7,0),'1UK1BK'!$F$6:$F$2989,$B$14)</f>
        <v>#REF!</v>
      </c>
      <c r="AQ14" s="108" t="e">
        <f>SUMIFS('Other Expense'!$C$8:$C$3017,'Other Expense'!$B$8:$B$3017,"&gt;="&amp;AQ7,'Other Expense'!$B$8:$B$3017,"&lt;="&amp;EOMONTH(AQ7,0),'Other Expense'!$D$8:$D$3017,$B$14)+SUMIFS('CEI565'!$D$6:$D$2994,'CEI565'!$E$6:$E$2994,"&gt;="&amp;AQ7,'CEI565'!$E$6:$E$2994,"&lt;="&amp;EOMONTH(AQ7,0),'CEI565'!$F$6:$F$2994,$B$14)+SUMIFS('1SM3VL'!$D$6:$D$2989,'1SM3VL'!$E$6:$E$2989,"&gt;="&amp;AQ7,'1SM3VL'!$E$6:$E$2989,"&lt;="&amp;EOMONTH(AQ7,0),'1SM3VL'!$F$6:$F$2989,$B$14)+SUMIFS('1QF4SM'!$D$6:$D$2989,'1QF4SM'!$E$6:$E$2989,"&gt;="&amp;AQ7,'1QF4SM'!$E$6:$E$2989,"&lt;="&amp;EOMONTH(AQ7,0),'1QF4SM'!$F$6:$F$2989,$B$14)+SUMIFS('1UV5KI'!$D$6:$D$2988,'1UV5KI'!$E$6:$E$2988,"&gt;="&amp;AQ7,'1UV5KI'!$E$6:$E$2988,"&lt;="&amp;EOMONTH(AQ7,0),'1UV5KI'!$F$6:$F$2988,$B$14)+SUMIFS(#REF!,#REF!,"&gt;="&amp;AQ7,#REF!,"&lt;="&amp;EOMONTH(AQ7,0),#REF!,$B$14)+SUMIFS('1UL9RY'!$D$6:$D$2989,'1UL9RY'!$E$6:$E$2989,"&gt;="&amp;AQ7,'1UL9RY'!$E$6:$E$2989,"&lt;="&amp;EOMONTH(AQ7,0),'1UL9RY'!$F$6:$F$2989,$B$14)+SUMIFS('1OZ7GT'!$D$6:$D$2989,'1OZ7GT'!$E$6:$E$2989,"&gt;="&amp;AQ7,'1OZ7GT'!$E$6:$E$2989,"&lt;="&amp;EOMONTH(AQ7,0),'1OZ7GT'!$F$6:$F$2989,$B$14)+SUMIFS('1CN8DD'!$D$6:$D$2989,'1CN8DD'!$E$6:$E$2989,"&gt;="&amp;AQ7,'1CN8DD'!$E$6:$E$2989,"&lt;="&amp;EOMONTH(AQ7,0),'1CN8DD'!$F$6:$F$2989,$B$14)+SUMIFS('1UT9BR'!$D$6:$D$2989,'1UT9BR'!$E$6:$E$2989,"&gt;="&amp;AQ7,'1UT9BR'!$E$6:$E$2989,"&lt;="&amp;EOMONTH(AQ7,0),'1UT9BR'!$F$6:$F$2989,$B$14)+SUMIFS('1MK4UR'!$D$6:$D$2989,'1MK4UR'!$E$6:$E$2989,"&gt;="&amp;AQ7,'1MK4UR'!$E$6:$E$2989,"&lt;="&amp;EOMONTH(AQ7,0),'1MK4UR'!$F$6:$F$2989,$B$14)+SUMIFS(#REF!,#REF!,"&gt;="&amp;AQ7,#REF!,"&lt;="&amp;EOMONTH(AQ7,0),#REF!,$B$14)+SUMIFS('1JI2UE'!$D$6:$D$2989,'1JI2UE'!$E$6:$E$2989,"&gt;="&amp;AQ7,'1JI2UE'!$E$6:$E$2989,"&lt;="&amp;EOMONTH(AQ7,0),'1JI2UE'!$F$6:$F$2989,$B$14)+SUMIFS(#REF!,#REF!,"&gt;="&amp;AQ7,#REF!,"&lt;="&amp;EOMONTH(AQ7,0),#REF!,$B$14)+SUMIFS('1SI9BW'!$D$6:$D$2989,'1SI9BW'!$E$6:$E$2989,"&gt;="&amp;AQ7,'1SI9BW'!$E$6:$E$2989,"&lt;="&amp;EOMONTH(AQ7,0),'1SI9BW'!$F$6:$F$2989,$B$14)+SUMIFS(Suzuki!$D$6:$D$2989,Suzuki!$E$6:$E$2989,"&gt;="&amp;AQ7,Suzuki!$E$6:$E$2989,"&lt;="&amp;EOMONTH(AQ7,0),Suzuki!$F$6:$F$2989,$B$14)+SUMIFS('1SK3DD'!$D$6:$D$2989,'1SK3DD'!$E$6:$E$2989,"&gt;="&amp;AQ7,'1SK3DD'!$E$6:$E$2989,"&lt;="&amp;EOMONTH(AQ7,0),'1SK3DD'!$F$6:$F$2989,$B$14)+SUMIFS('1SX5TQ'!$D$6:$D$2989,'1SX5TQ'!$E$6:$E$2989,"&gt;="&amp;AQ7,'1SX5TQ'!$E$6:$E$2989,"&lt;="&amp;EOMONTH(AQ7,0),'1SX5TQ'!$F$6:$F$2989,$B$14)+SUMIFS('BMM465'!$D$6:$D$2989,'BMM465'!$E$6:$E$2989,"&gt;="&amp;AQ7,'BMM465'!$E$6:$E$2989,"&lt;="&amp;EOMONTH(AQ7,0),'BMM465'!$F$6:$F$2989,$B$14)+SUMIFS('1CF1ZO'!$D$6:$D$2989,'1CF1ZO'!$E$6:$E$2989,"&gt;="&amp;AQ7,'1CF1ZO'!$E$6:$E$2989,"&lt;="&amp;EOMONTH(AQ7,0),'1CF1ZO'!$F$6:$F$2989,$B$14)+SUMIFS('1UK1BK'!$D$6:$D$2989,'1UK1BK'!$E$6:$E$2989,"&gt;="&amp;AQ7,'1UK1BK'!$E$6:$E$2989,"&lt;="&amp;EOMONTH(AQ7,0),'1UK1BK'!$F$6:$F$2989,$B$14)</f>
        <v>#REF!</v>
      </c>
      <c r="AR14" s="108" t="e">
        <f>SUMIFS('Other Expense'!$C$8:$C$3017,'Other Expense'!$B$8:$B$3017,"&gt;="&amp;AR7,'Other Expense'!$B$8:$B$3017,"&lt;="&amp;EOMONTH(AR7,0),'Other Expense'!$D$8:$D$3017,$B$14)+SUMIFS('CEI565'!$D$6:$D$2994,'CEI565'!$E$6:$E$2994,"&gt;="&amp;AR7,'CEI565'!$E$6:$E$2994,"&lt;="&amp;EOMONTH(AR7,0),'CEI565'!$F$6:$F$2994,$B$14)+SUMIFS('1SM3VL'!$D$6:$D$2989,'1SM3VL'!$E$6:$E$2989,"&gt;="&amp;AR7,'1SM3VL'!$E$6:$E$2989,"&lt;="&amp;EOMONTH(AR7,0),'1SM3VL'!$F$6:$F$2989,$B$14)+SUMIFS('1QF4SM'!$D$6:$D$2989,'1QF4SM'!$E$6:$E$2989,"&gt;="&amp;AR7,'1QF4SM'!$E$6:$E$2989,"&lt;="&amp;EOMONTH(AR7,0),'1QF4SM'!$F$6:$F$2989,$B$14)+SUMIFS('1UV5KI'!$D$6:$D$2988,'1UV5KI'!$E$6:$E$2988,"&gt;="&amp;AR7,'1UV5KI'!$E$6:$E$2988,"&lt;="&amp;EOMONTH(AR7,0),'1UV5KI'!$F$6:$F$2988,$B$14)+SUMIFS(#REF!,#REF!,"&gt;="&amp;AR7,#REF!,"&lt;="&amp;EOMONTH(AR7,0),#REF!,$B$14)+SUMIFS('1UL9RY'!$D$6:$D$2989,'1UL9RY'!$E$6:$E$2989,"&gt;="&amp;AR7,'1UL9RY'!$E$6:$E$2989,"&lt;="&amp;EOMONTH(AR7,0),'1UL9RY'!$F$6:$F$2989,$B$14)+SUMIFS('1OZ7GT'!$D$6:$D$2989,'1OZ7GT'!$E$6:$E$2989,"&gt;="&amp;AR7,'1OZ7GT'!$E$6:$E$2989,"&lt;="&amp;EOMONTH(AR7,0),'1OZ7GT'!$F$6:$F$2989,$B$14)+SUMIFS('1CN8DD'!$D$6:$D$2989,'1CN8DD'!$E$6:$E$2989,"&gt;="&amp;AR7,'1CN8DD'!$E$6:$E$2989,"&lt;="&amp;EOMONTH(AR7,0),'1CN8DD'!$F$6:$F$2989,$B$14)+SUMIFS('1UT9BR'!$D$6:$D$2989,'1UT9BR'!$E$6:$E$2989,"&gt;="&amp;AR7,'1UT9BR'!$E$6:$E$2989,"&lt;="&amp;EOMONTH(AR7,0),'1UT9BR'!$F$6:$F$2989,$B$14)+SUMIFS('1MK4UR'!$D$6:$D$2989,'1MK4UR'!$E$6:$E$2989,"&gt;="&amp;AR7,'1MK4UR'!$E$6:$E$2989,"&lt;="&amp;EOMONTH(AR7,0),'1MK4UR'!$F$6:$F$2989,$B$14)+SUMIFS(#REF!,#REF!,"&gt;="&amp;AR7,#REF!,"&lt;="&amp;EOMONTH(AR7,0),#REF!,$B$14)+SUMIFS('1JI2UE'!$D$6:$D$2989,'1JI2UE'!$E$6:$E$2989,"&gt;="&amp;AR7,'1JI2UE'!$E$6:$E$2989,"&lt;="&amp;EOMONTH(AR7,0),'1JI2UE'!$F$6:$F$2989,$B$14)+SUMIFS(#REF!,#REF!,"&gt;="&amp;AR7,#REF!,"&lt;="&amp;EOMONTH(AR7,0),#REF!,$B$14)+SUMIFS('1SI9BW'!$D$6:$D$2989,'1SI9BW'!$E$6:$E$2989,"&gt;="&amp;AR7,'1SI9BW'!$E$6:$E$2989,"&lt;="&amp;EOMONTH(AR7,0),'1SI9BW'!$F$6:$F$2989,$B$14)+SUMIFS(Suzuki!$D$6:$D$2989,Suzuki!$E$6:$E$2989,"&gt;="&amp;AR7,Suzuki!$E$6:$E$2989,"&lt;="&amp;EOMONTH(AR7,0),Suzuki!$F$6:$F$2989,$B$14)+SUMIFS('1SK3DD'!$D$6:$D$2989,'1SK3DD'!$E$6:$E$2989,"&gt;="&amp;AR7,'1SK3DD'!$E$6:$E$2989,"&lt;="&amp;EOMONTH(AR7,0),'1SK3DD'!$F$6:$F$2989,$B$14)+SUMIFS('1SX5TQ'!$D$6:$D$2989,'1SX5TQ'!$E$6:$E$2989,"&gt;="&amp;AR7,'1SX5TQ'!$E$6:$E$2989,"&lt;="&amp;EOMONTH(AR7,0),'1SX5TQ'!$F$6:$F$2989,$B$14)+SUMIFS('BMM465'!$D$6:$D$2989,'BMM465'!$E$6:$E$2989,"&gt;="&amp;AR7,'BMM465'!$E$6:$E$2989,"&lt;="&amp;EOMONTH(AR7,0),'BMM465'!$F$6:$F$2989,$B$14)+SUMIFS('1CF1ZO'!$D$6:$D$2989,'1CF1ZO'!$E$6:$E$2989,"&gt;="&amp;AR7,'1CF1ZO'!$E$6:$E$2989,"&lt;="&amp;EOMONTH(AR7,0),'1CF1ZO'!$F$6:$F$2989,$B$14)+SUMIFS('1UK1BK'!$D$6:$D$2989,'1UK1BK'!$E$6:$E$2989,"&gt;="&amp;AR7,'1UK1BK'!$E$6:$E$2989,"&lt;="&amp;EOMONTH(AR7,0),'1UK1BK'!$F$6:$F$2989,$B$14)</f>
        <v>#REF!</v>
      </c>
      <c r="AS14" s="108" t="e">
        <f>SUMIFS('Other Expense'!$C$8:$C$3017,'Other Expense'!$B$8:$B$3017,"&gt;="&amp;AS7,'Other Expense'!$B$8:$B$3017,"&lt;="&amp;EOMONTH(AS7,0),'Other Expense'!$D$8:$D$3017,$B$14)+SUMIFS('CEI565'!$D$6:$D$2994,'CEI565'!$E$6:$E$2994,"&gt;="&amp;AS7,'CEI565'!$E$6:$E$2994,"&lt;="&amp;EOMONTH(AS7,0),'CEI565'!$F$6:$F$2994,$B$14)+SUMIFS('1SM3VL'!$D$6:$D$2989,'1SM3VL'!$E$6:$E$2989,"&gt;="&amp;AS7,'1SM3VL'!$E$6:$E$2989,"&lt;="&amp;EOMONTH(AS7,0),'1SM3VL'!$F$6:$F$2989,$B$14)+SUMIFS('1QF4SM'!$D$6:$D$2989,'1QF4SM'!$E$6:$E$2989,"&gt;="&amp;AS7,'1QF4SM'!$E$6:$E$2989,"&lt;="&amp;EOMONTH(AS7,0),'1QF4SM'!$F$6:$F$2989,$B$14)+SUMIFS('1UV5KI'!$D$6:$D$2988,'1UV5KI'!$E$6:$E$2988,"&gt;="&amp;AS7,'1UV5KI'!$E$6:$E$2988,"&lt;="&amp;EOMONTH(AS7,0),'1UV5KI'!$F$6:$F$2988,$B$14)+SUMIFS(#REF!,#REF!,"&gt;="&amp;AS7,#REF!,"&lt;="&amp;EOMONTH(AS7,0),#REF!,$B$14)+SUMIFS('1UL9RY'!$D$6:$D$2989,'1UL9RY'!$E$6:$E$2989,"&gt;="&amp;AS7,'1UL9RY'!$E$6:$E$2989,"&lt;="&amp;EOMONTH(AS7,0),'1UL9RY'!$F$6:$F$2989,$B$14)+SUMIFS('1OZ7GT'!$D$6:$D$2989,'1OZ7GT'!$E$6:$E$2989,"&gt;="&amp;AS7,'1OZ7GT'!$E$6:$E$2989,"&lt;="&amp;EOMONTH(AS7,0),'1OZ7GT'!$F$6:$F$2989,$B$14)+SUMIFS('1CN8DD'!$D$6:$D$2989,'1CN8DD'!$E$6:$E$2989,"&gt;="&amp;AS7,'1CN8DD'!$E$6:$E$2989,"&lt;="&amp;EOMONTH(AS7,0),'1CN8DD'!$F$6:$F$2989,$B$14)+SUMIFS('1UT9BR'!$D$6:$D$2989,'1UT9BR'!$E$6:$E$2989,"&gt;="&amp;AS7,'1UT9BR'!$E$6:$E$2989,"&lt;="&amp;EOMONTH(AS7,0),'1UT9BR'!$F$6:$F$2989,$B$14)+SUMIFS('1MK4UR'!$D$6:$D$2989,'1MK4UR'!$E$6:$E$2989,"&gt;="&amp;AS7,'1MK4UR'!$E$6:$E$2989,"&lt;="&amp;EOMONTH(AS7,0),'1MK4UR'!$F$6:$F$2989,$B$14)+SUMIFS(#REF!,#REF!,"&gt;="&amp;AS7,#REF!,"&lt;="&amp;EOMONTH(AS7,0),#REF!,$B$14)+SUMIFS('1JI2UE'!$D$6:$D$2989,'1JI2UE'!$E$6:$E$2989,"&gt;="&amp;AS7,'1JI2UE'!$E$6:$E$2989,"&lt;="&amp;EOMONTH(AS7,0),'1JI2UE'!$F$6:$F$2989,$B$14)+SUMIFS(#REF!,#REF!,"&gt;="&amp;AS7,#REF!,"&lt;="&amp;EOMONTH(AS7,0),#REF!,$B$14)+SUMIFS('1SI9BW'!$D$6:$D$2989,'1SI9BW'!$E$6:$E$2989,"&gt;="&amp;AS7,'1SI9BW'!$E$6:$E$2989,"&lt;="&amp;EOMONTH(AS7,0),'1SI9BW'!$F$6:$F$2989,$B$14)+SUMIFS(Suzuki!$D$6:$D$2989,Suzuki!$E$6:$E$2989,"&gt;="&amp;AS7,Suzuki!$E$6:$E$2989,"&lt;="&amp;EOMONTH(AS7,0),Suzuki!$F$6:$F$2989,$B$14)+SUMIFS('1SK3DD'!$D$6:$D$2989,'1SK3DD'!$E$6:$E$2989,"&gt;="&amp;AS7,'1SK3DD'!$E$6:$E$2989,"&lt;="&amp;EOMONTH(AS7,0),'1SK3DD'!$F$6:$F$2989,$B$14)+SUMIFS('1SX5TQ'!$D$6:$D$2989,'1SX5TQ'!$E$6:$E$2989,"&gt;="&amp;AS7,'1SX5TQ'!$E$6:$E$2989,"&lt;="&amp;EOMONTH(AS7,0),'1SX5TQ'!$F$6:$F$2989,$B$14)+SUMIFS('BMM465'!$D$6:$D$2989,'BMM465'!$E$6:$E$2989,"&gt;="&amp;AS7,'BMM465'!$E$6:$E$2989,"&lt;="&amp;EOMONTH(AS7,0),'BMM465'!$F$6:$F$2989,$B$14)+SUMIFS('1CF1ZO'!$D$6:$D$2989,'1CF1ZO'!$E$6:$E$2989,"&gt;="&amp;AS7,'1CF1ZO'!$E$6:$E$2989,"&lt;="&amp;EOMONTH(AS7,0),'1CF1ZO'!$F$6:$F$2989,$B$14)+SUMIFS('1UK1BK'!$D$6:$D$2989,'1UK1BK'!$E$6:$E$2989,"&gt;="&amp;AS7,'1UK1BK'!$E$6:$E$2989,"&lt;="&amp;EOMONTH(AS7,0),'1UK1BK'!$F$6:$F$2989,$B$14)</f>
        <v>#REF!</v>
      </c>
      <c r="AT14" s="108" t="e">
        <f>SUMIFS('Other Expense'!$C$8:$C$3017,'Other Expense'!$B$8:$B$3017,"&gt;="&amp;AT7,'Other Expense'!$B$8:$B$3017,"&lt;="&amp;EOMONTH(AT7,0),'Other Expense'!$D$8:$D$3017,$B$14)+SUMIFS('CEI565'!$D$6:$D$2994,'CEI565'!$E$6:$E$2994,"&gt;="&amp;AT7,'CEI565'!$E$6:$E$2994,"&lt;="&amp;EOMONTH(AT7,0),'CEI565'!$F$6:$F$2994,$B$14)+SUMIFS('1SM3VL'!$D$6:$D$2989,'1SM3VL'!$E$6:$E$2989,"&gt;="&amp;AT7,'1SM3VL'!$E$6:$E$2989,"&lt;="&amp;EOMONTH(AT7,0),'1SM3VL'!$F$6:$F$2989,$B$14)+SUMIFS('1QF4SM'!$D$6:$D$2989,'1QF4SM'!$E$6:$E$2989,"&gt;="&amp;AT7,'1QF4SM'!$E$6:$E$2989,"&lt;="&amp;EOMONTH(AT7,0),'1QF4SM'!$F$6:$F$2989,$B$14)+SUMIFS('1UV5KI'!$D$6:$D$2988,'1UV5KI'!$E$6:$E$2988,"&gt;="&amp;AT7,'1UV5KI'!$E$6:$E$2988,"&lt;="&amp;EOMONTH(AT7,0),'1UV5KI'!$F$6:$F$2988,$B$14)+SUMIFS(#REF!,#REF!,"&gt;="&amp;AT7,#REF!,"&lt;="&amp;EOMONTH(AT7,0),#REF!,$B$14)+SUMIFS('1UL9RY'!$D$6:$D$2989,'1UL9RY'!$E$6:$E$2989,"&gt;="&amp;AT7,'1UL9RY'!$E$6:$E$2989,"&lt;="&amp;EOMONTH(AT7,0),'1UL9RY'!$F$6:$F$2989,$B$14)+SUMIFS('1OZ7GT'!$D$6:$D$2989,'1OZ7GT'!$E$6:$E$2989,"&gt;="&amp;AT7,'1OZ7GT'!$E$6:$E$2989,"&lt;="&amp;EOMONTH(AT7,0),'1OZ7GT'!$F$6:$F$2989,$B$14)+SUMIFS('1CN8DD'!$D$6:$D$2989,'1CN8DD'!$E$6:$E$2989,"&gt;="&amp;AT7,'1CN8DD'!$E$6:$E$2989,"&lt;="&amp;EOMONTH(AT7,0),'1CN8DD'!$F$6:$F$2989,$B$14)+SUMIFS('1UT9BR'!$D$6:$D$2989,'1UT9BR'!$E$6:$E$2989,"&gt;="&amp;AT7,'1UT9BR'!$E$6:$E$2989,"&lt;="&amp;EOMONTH(AT7,0),'1UT9BR'!$F$6:$F$2989,$B$14)+SUMIFS('1MK4UR'!$D$6:$D$2989,'1MK4UR'!$E$6:$E$2989,"&gt;="&amp;AT7,'1MK4UR'!$E$6:$E$2989,"&lt;="&amp;EOMONTH(AT7,0),'1MK4UR'!$F$6:$F$2989,$B$14)+SUMIFS(#REF!,#REF!,"&gt;="&amp;AT7,#REF!,"&lt;="&amp;EOMONTH(AT7,0),#REF!,$B$14)+SUMIFS('1JI2UE'!$D$6:$D$2989,'1JI2UE'!$E$6:$E$2989,"&gt;="&amp;AT7,'1JI2UE'!$E$6:$E$2989,"&lt;="&amp;EOMONTH(AT7,0),'1JI2UE'!$F$6:$F$2989,$B$14)+SUMIFS(#REF!,#REF!,"&gt;="&amp;AT7,#REF!,"&lt;="&amp;EOMONTH(AT7,0),#REF!,$B$14)+SUMIFS('1SI9BW'!$D$6:$D$2989,'1SI9BW'!$E$6:$E$2989,"&gt;="&amp;AT7,'1SI9BW'!$E$6:$E$2989,"&lt;="&amp;EOMONTH(AT7,0),'1SI9BW'!$F$6:$F$2989,$B$14)+SUMIFS(Suzuki!$D$6:$D$2989,Suzuki!$E$6:$E$2989,"&gt;="&amp;AT7,Suzuki!$E$6:$E$2989,"&lt;="&amp;EOMONTH(AT7,0),Suzuki!$F$6:$F$2989,$B$14)+SUMIFS('1SK3DD'!$D$6:$D$2989,'1SK3DD'!$E$6:$E$2989,"&gt;="&amp;AT7,'1SK3DD'!$E$6:$E$2989,"&lt;="&amp;EOMONTH(AT7,0),'1SK3DD'!$F$6:$F$2989,$B$14)+SUMIFS('1SX5TQ'!$D$6:$D$2989,'1SX5TQ'!$E$6:$E$2989,"&gt;="&amp;AT7,'1SX5TQ'!$E$6:$E$2989,"&lt;="&amp;EOMONTH(AT7,0),'1SX5TQ'!$F$6:$F$2989,$B$14)+SUMIFS('BMM465'!$D$6:$D$2989,'BMM465'!$E$6:$E$2989,"&gt;="&amp;AT7,'BMM465'!$E$6:$E$2989,"&lt;="&amp;EOMONTH(AT7,0),'BMM465'!$F$6:$F$2989,$B$14)+SUMIFS('1CF1ZO'!$D$6:$D$2989,'1CF1ZO'!$E$6:$E$2989,"&gt;="&amp;AT7,'1CF1ZO'!$E$6:$E$2989,"&lt;="&amp;EOMONTH(AT7,0),'1CF1ZO'!$F$6:$F$2989,$B$14)+SUMIFS('1UK1BK'!$D$6:$D$2989,'1UK1BK'!$E$6:$E$2989,"&gt;="&amp;AT7,'1UK1BK'!$E$6:$E$2989,"&lt;="&amp;EOMONTH(AT7,0),'1UK1BK'!$F$6:$F$2989,$B$14)</f>
        <v>#REF!</v>
      </c>
      <c r="AU14" s="108" t="e">
        <f>SUMIFS('Other Expense'!$C$8:$C$3017,'Other Expense'!$B$8:$B$3017,"&gt;="&amp;AU7,'Other Expense'!$B$8:$B$3017,"&lt;="&amp;EOMONTH(AU7,0),'Other Expense'!$D$8:$D$3017,$B$14)+SUMIFS('CEI565'!$D$6:$D$2994,'CEI565'!$E$6:$E$2994,"&gt;="&amp;AU7,'CEI565'!$E$6:$E$2994,"&lt;="&amp;EOMONTH(AU7,0),'CEI565'!$F$6:$F$2994,$B$14)+SUMIFS('1SM3VL'!$D$6:$D$2989,'1SM3VL'!$E$6:$E$2989,"&gt;="&amp;AU7,'1SM3VL'!$E$6:$E$2989,"&lt;="&amp;EOMONTH(AU7,0),'1SM3VL'!$F$6:$F$2989,$B$14)+SUMIFS('1QF4SM'!$D$6:$D$2989,'1QF4SM'!$E$6:$E$2989,"&gt;="&amp;AU7,'1QF4SM'!$E$6:$E$2989,"&lt;="&amp;EOMONTH(AU7,0),'1QF4SM'!$F$6:$F$2989,$B$14)+SUMIFS('1UV5KI'!$D$6:$D$2988,'1UV5KI'!$E$6:$E$2988,"&gt;="&amp;AU7,'1UV5KI'!$E$6:$E$2988,"&lt;="&amp;EOMONTH(AU7,0),'1UV5KI'!$F$6:$F$2988,$B$14)+SUMIFS(#REF!,#REF!,"&gt;="&amp;AU7,#REF!,"&lt;="&amp;EOMONTH(AU7,0),#REF!,$B$14)+SUMIFS('1UL9RY'!$D$6:$D$2989,'1UL9RY'!$E$6:$E$2989,"&gt;="&amp;AU7,'1UL9RY'!$E$6:$E$2989,"&lt;="&amp;EOMONTH(AU7,0),'1UL9RY'!$F$6:$F$2989,$B$14)+SUMIFS('1OZ7GT'!$D$6:$D$2989,'1OZ7GT'!$E$6:$E$2989,"&gt;="&amp;AU7,'1OZ7GT'!$E$6:$E$2989,"&lt;="&amp;EOMONTH(AU7,0),'1OZ7GT'!$F$6:$F$2989,$B$14)+SUMIFS('1CN8DD'!$D$6:$D$2989,'1CN8DD'!$E$6:$E$2989,"&gt;="&amp;AU7,'1CN8DD'!$E$6:$E$2989,"&lt;="&amp;EOMONTH(AU7,0),'1CN8DD'!$F$6:$F$2989,$B$14)+SUMIFS('1UT9BR'!$D$6:$D$2989,'1UT9BR'!$E$6:$E$2989,"&gt;="&amp;AU7,'1UT9BR'!$E$6:$E$2989,"&lt;="&amp;EOMONTH(AU7,0),'1UT9BR'!$F$6:$F$2989,$B$14)+SUMIFS('1MK4UR'!$D$6:$D$2989,'1MK4UR'!$E$6:$E$2989,"&gt;="&amp;AU7,'1MK4UR'!$E$6:$E$2989,"&lt;="&amp;EOMONTH(AU7,0),'1MK4UR'!$F$6:$F$2989,$B$14)+SUMIFS(#REF!,#REF!,"&gt;="&amp;AU7,#REF!,"&lt;="&amp;EOMONTH(AU7,0),#REF!,$B$14)+SUMIFS('1JI2UE'!$D$6:$D$2989,'1JI2UE'!$E$6:$E$2989,"&gt;="&amp;AU7,'1JI2UE'!$E$6:$E$2989,"&lt;="&amp;EOMONTH(AU7,0),'1JI2UE'!$F$6:$F$2989,$B$14)+SUMIFS(#REF!,#REF!,"&gt;="&amp;AU7,#REF!,"&lt;="&amp;EOMONTH(AU7,0),#REF!,$B$14)+SUMIFS('1SI9BW'!$D$6:$D$2989,'1SI9BW'!$E$6:$E$2989,"&gt;="&amp;AU7,'1SI9BW'!$E$6:$E$2989,"&lt;="&amp;EOMONTH(AU7,0),'1SI9BW'!$F$6:$F$2989,$B$14)+SUMIFS(Suzuki!$D$6:$D$2989,Suzuki!$E$6:$E$2989,"&gt;="&amp;AU7,Suzuki!$E$6:$E$2989,"&lt;="&amp;EOMONTH(AU7,0),Suzuki!$F$6:$F$2989,$B$14)+SUMIFS('1SK3DD'!$D$6:$D$2989,'1SK3DD'!$E$6:$E$2989,"&gt;="&amp;AU7,'1SK3DD'!$E$6:$E$2989,"&lt;="&amp;EOMONTH(AU7,0),'1SK3DD'!$F$6:$F$2989,$B$14)+SUMIFS('1SX5TQ'!$D$6:$D$2989,'1SX5TQ'!$E$6:$E$2989,"&gt;="&amp;AU7,'1SX5TQ'!$E$6:$E$2989,"&lt;="&amp;EOMONTH(AU7,0),'1SX5TQ'!$F$6:$F$2989,$B$14)+SUMIFS('BMM465'!$D$6:$D$2989,'BMM465'!$E$6:$E$2989,"&gt;="&amp;AU7,'BMM465'!$E$6:$E$2989,"&lt;="&amp;EOMONTH(AU7,0),'BMM465'!$F$6:$F$2989,$B$14)+SUMIFS('1CF1ZO'!$D$6:$D$2989,'1CF1ZO'!$E$6:$E$2989,"&gt;="&amp;AU7,'1CF1ZO'!$E$6:$E$2989,"&lt;="&amp;EOMONTH(AU7,0),'1CF1ZO'!$F$6:$F$2989,$B$14)+SUMIFS('1UK1BK'!$D$6:$D$2989,'1UK1BK'!$E$6:$E$2989,"&gt;="&amp;AU7,'1UK1BK'!$E$6:$E$2989,"&lt;="&amp;EOMONTH(AU7,0),'1UK1BK'!$F$6:$F$2989,$B$14)</f>
        <v>#REF!</v>
      </c>
      <c r="AV14" s="108" t="e">
        <f>SUMIFS('Other Expense'!$C$8:$C$3017,'Other Expense'!$B$8:$B$3017,"&gt;="&amp;AV7,'Other Expense'!$B$8:$B$3017,"&lt;="&amp;EOMONTH(AV7,0),'Other Expense'!$D$8:$D$3017,$B$14)+SUMIFS('CEI565'!$D$6:$D$2994,'CEI565'!$E$6:$E$2994,"&gt;="&amp;AV7,'CEI565'!$E$6:$E$2994,"&lt;="&amp;EOMONTH(AV7,0),'CEI565'!$F$6:$F$2994,$B$14)+SUMIFS('1SM3VL'!$D$6:$D$2989,'1SM3VL'!$E$6:$E$2989,"&gt;="&amp;AV7,'1SM3VL'!$E$6:$E$2989,"&lt;="&amp;EOMONTH(AV7,0),'1SM3VL'!$F$6:$F$2989,$B$14)+SUMIFS('1QF4SM'!$D$6:$D$2989,'1QF4SM'!$E$6:$E$2989,"&gt;="&amp;AV7,'1QF4SM'!$E$6:$E$2989,"&lt;="&amp;EOMONTH(AV7,0),'1QF4SM'!$F$6:$F$2989,$B$14)+SUMIFS('1UV5KI'!$D$6:$D$2988,'1UV5KI'!$E$6:$E$2988,"&gt;="&amp;AV7,'1UV5KI'!$E$6:$E$2988,"&lt;="&amp;EOMONTH(AV7,0),'1UV5KI'!$F$6:$F$2988,$B$14)+SUMIFS(#REF!,#REF!,"&gt;="&amp;AV7,#REF!,"&lt;="&amp;EOMONTH(AV7,0),#REF!,$B$14)+SUMIFS('1UL9RY'!$D$6:$D$2989,'1UL9RY'!$E$6:$E$2989,"&gt;="&amp;AV7,'1UL9RY'!$E$6:$E$2989,"&lt;="&amp;EOMONTH(AV7,0),'1UL9RY'!$F$6:$F$2989,$B$14)+SUMIFS('1OZ7GT'!$D$6:$D$2989,'1OZ7GT'!$E$6:$E$2989,"&gt;="&amp;AV7,'1OZ7GT'!$E$6:$E$2989,"&lt;="&amp;EOMONTH(AV7,0),'1OZ7GT'!$F$6:$F$2989,$B$14)+SUMIFS('1CN8DD'!$D$6:$D$2989,'1CN8DD'!$E$6:$E$2989,"&gt;="&amp;AV7,'1CN8DD'!$E$6:$E$2989,"&lt;="&amp;EOMONTH(AV7,0),'1CN8DD'!$F$6:$F$2989,$B$14)+SUMIFS('1UT9BR'!$D$6:$D$2989,'1UT9BR'!$E$6:$E$2989,"&gt;="&amp;AV7,'1UT9BR'!$E$6:$E$2989,"&lt;="&amp;EOMONTH(AV7,0),'1UT9BR'!$F$6:$F$2989,$B$14)+SUMIFS('1MK4UR'!$D$6:$D$2989,'1MK4UR'!$E$6:$E$2989,"&gt;="&amp;AV7,'1MK4UR'!$E$6:$E$2989,"&lt;="&amp;EOMONTH(AV7,0),'1MK4UR'!$F$6:$F$2989,$B$14)+SUMIFS(#REF!,#REF!,"&gt;="&amp;AV7,#REF!,"&lt;="&amp;EOMONTH(AV7,0),#REF!,$B$14)+SUMIFS('1JI2UE'!$D$6:$D$2989,'1JI2UE'!$E$6:$E$2989,"&gt;="&amp;AV7,'1JI2UE'!$E$6:$E$2989,"&lt;="&amp;EOMONTH(AV7,0),'1JI2UE'!$F$6:$F$2989,$B$14)+SUMIFS(#REF!,#REF!,"&gt;="&amp;AV7,#REF!,"&lt;="&amp;EOMONTH(AV7,0),#REF!,$B$14)+SUMIFS('1SI9BW'!$D$6:$D$2989,'1SI9BW'!$E$6:$E$2989,"&gt;="&amp;AV7,'1SI9BW'!$E$6:$E$2989,"&lt;="&amp;EOMONTH(AV7,0),'1SI9BW'!$F$6:$F$2989,$B$14)+SUMIFS(Suzuki!$D$6:$D$2989,Suzuki!$E$6:$E$2989,"&gt;="&amp;AV7,Suzuki!$E$6:$E$2989,"&lt;="&amp;EOMONTH(AV7,0),Suzuki!$F$6:$F$2989,$B$14)+SUMIFS('1SK3DD'!$D$6:$D$2989,'1SK3DD'!$E$6:$E$2989,"&gt;="&amp;AV7,'1SK3DD'!$E$6:$E$2989,"&lt;="&amp;EOMONTH(AV7,0),'1SK3DD'!$F$6:$F$2989,$B$14)+SUMIFS('1SX5TQ'!$D$6:$D$2989,'1SX5TQ'!$E$6:$E$2989,"&gt;="&amp;AV7,'1SX5TQ'!$E$6:$E$2989,"&lt;="&amp;EOMONTH(AV7,0),'1SX5TQ'!$F$6:$F$2989,$B$14)+SUMIFS('BMM465'!$D$6:$D$2989,'BMM465'!$E$6:$E$2989,"&gt;="&amp;AV7,'BMM465'!$E$6:$E$2989,"&lt;="&amp;EOMONTH(AV7,0),'BMM465'!$F$6:$F$2989,$B$14)+SUMIFS('1CF1ZO'!$D$6:$D$2989,'1CF1ZO'!$E$6:$E$2989,"&gt;="&amp;AV7,'1CF1ZO'!$E$6:$E$2989,"&lt;="&amp;EOMONTH(AV7,0),'1CF1ZO'!$F$6:$F$2989,$B$14)+SUMIFS('1UK1BK'!$D$6:$D$2989,'1UK1BK'!$E$6:$E$2989,"&gt;="&amp;AV7,'1UK1BK'!$E$6:$E$2989,"&lt;="&amp;EOMONTH(AV7,0),'1UK1BK'!$F$6:$F$2989,$B$14)</f>
        <v>#REF!</v>
      </c>
      <c r="AW14" s="108" t="e">
        <f>SUMIFS('Other Expense'!$C$8:$C$3017,'Other Expense'!$B$8:$B$3017,"&gt;="&amp;AW7,'Other Expense'!$B$8:$B$3017,"&lt;="&amp;EOMONTH(AW7,0),'Other Expense'!$D$8:$D$3017,$B$14)+SUMIFS('CEI565'!$D$6:$D$2994,'CEI565'!$E$6:$E$2994,"&gt;="&amp;AW7,'CEI565'!$E$6:$E$2994,"&lt;="&amp;EOMONTH(AW7,0),'CEI565'!$F$6:$F$2994,$B$14)+SUMIFS('1SM3VL'!$D$6:$D$2989,'1SM3VL'!$E$6:$E$2989,"&gt;="&amp;AW7,'1SM3VL'!$E$6:$E$2989,"&lt;="&amp;EOMONTH(AW7,0),'1SM3VL'!$F$6:$F$2989,$B$14)+SUMIFS('1QF4SM'!$D$6:$D$2989,'1QF4SM'!$E$6:$E$2989,"&gt;="&amp;AW7,'1QF4SM'!$E$6:$E$2989,"&lt;="&amp;EOMONTH(AW7,0),'1QF4SM'!$F$6:$F$2989,$B$14)+SUMIFS('1UV5KI'!$D$6:$D$2988,'1UV5KI'!$E$6:$E$2988,"&gt;="&amp;AW7,'1UV5KI'!$E$6:$E$2988,"&lt;="&amp;EOMONTH(AW7,0),'1UV5KI'!$F$6:$F$2988,$B$14)+SUMIFS(#REF!,#REF!,"&gt;="&amp;AW7,#REF!,"&lt;="&amp;EOMONTH(AW7,0),#REF!,$B$14)+SUMIFS('1UL9RY'!$D$6:$D$2989,'1UL9RY'!$E$6:$E$2989,"&gt;="&amp;AW7,'1UL9RY'!$E$6:$E$2989,"&lt;="&amp;EOMONTH(AW7,0),'1UL9RY'!$F$6:$F$2989,$B$14)+SUMIFS('1OZ7GT'!$D$6:$D$2989,'1OZ7GT'!$E$6:$E$2989,"&gt;="&amp;AW7,'1OZ7GT'!$E$6:$E$2989,"&lt;="&amp;EOMONTH(AW7,0),'1OZ7GT'!$F$6:$F$2989,$B$14)+SUMIFS('1CN8DD'!$D$6:$D$2989,'1CN8DD'!$E$6:$E$2989,"&gt;="&amp;AW7,'1CN8DD'!$E$6:$E$2989,"&lt;="&amp;EOMONTH(AW7,0),'1CN8DD'!$F$6:$F$2989,$B$14)+SUMIFS('1UT9BR'!$D$6:$D$2989,'1UT9BR'!$E$6:$E$2989,"&gt;="&amp;AW7,'1UT9BR'!$E$6:$E$2989,"&lt;="&amp;EOMONTH(AW7,0),'1UT9BR'!$F$6:$F$2989,$B$14)+SUMIFS('1MK4UR'!$D$6:$D$2989,'1MK4UR'!$E$6:$E$2989,"&gt;="&amp;AW7,'1MK4UR'!$E$6:$E$2989,"&lt;="&amp;EOMONTH(AW7,0),'1MK4UR'!$F$6:$F$2989,$B$14)+SUMIFS(#REF!,#REF!,"&gt;="&amp;AW7,#REF!,"&lt;="&amp;EOMONTH(AW7,0),#REF!,$B$14)+SUMIFS('1JI2UE'!$D$6:$D$2989,'1JI2UE'!$E$6:$E$2989,"&gt;="&amp;AW7,'1JI2UE'!$E$6:$E$2989,"&lt;="&amp;EOMONTH(AW7,0),'1JI2UE'!$F$6:$F$2989,$B$14)+SUMIFS(#REF!,#REF!,"&gt;="&amp;AW7,#REF!,"&lt;="&amp;EOMONTH(AW7,0),#REF!,$B$14)+SUMIFS('1SI9BW'!$D$6:$D$2989,'1SI9BW'!$E$6:$E$2989,"&gt;="&amp;AW7,'1SI9BW'!$E$6:$E$2989,"&lt;="&amp;EOMONTH(AW7,0),'1SI9BW'!$F$6:$F$2989,$B$14)+SUMIFS(Suzuki!$D$6:$D$2989,Suzuki!$E$6:$E$2989,"&gt;="&amp;AW7,Suzuki!$E$6:$E$2989,"&lt;="&amp;EOMONTH(AW7,0),Suzuki!$F$6:$F$2989,$B$14)+SUMIFS('1SK3DD'!$D$6:$D$2989,'1SK3DD'!$E$6:$E$2989,"&gt;="&amp;AW7,'1SK3DD'!$E$6:$E$2989,"&lt;="&amp;EOMONTH(AW7,0),'1SK3DD'!$F$6:$F$2989,$B$14)+SUMIFS('1SX5TQ'!$D$6:$D$2989,'1SX5TQ'!$E$6:$E$2989,"&gt;="&amp;AW7,'1SX5TQ'!$E$6:$E$2989,"&lt;="&amp;EOMONTH(AW7,0),'1SX5TQ'!$F$6:$F$2989,$B$14)+SUMIFS('BMM465'!$D$6:$D$2989,'BMM465'!$E$6:$E$2989,"&gt;="&amp;AW7,'BMM465'!$E$6:$E$2989,"&lt;="&amp;EOMONTH(AW7,0),'BMM465'!$F$6:$F$2989,$B$14)+SUMIFS('1CF1ZO'!$D$6:$D$2989,'1CF1ZO'!$E$6:$E$2989,"&gt;="&amp;AW7,'1CF1ZO'!$E$6:$E$2989,"&lt;="&amp;EOMONTH(AW7,0),'1CF1ZO'!$F$6:$F$2989,$B$14)+SUMIFS('1UK1BK'!$D$6:$D$2989,'1UK1BK'!$E$6:$E$2989,"&gt;="&amp;AW7,'1UK1BK'!$E$6:$E$2989,"&lt;="&amp;EOMONTH(AW7,0),'1UK1BK'!$F$6:$F$2989,$B$14)</f>
        <v>#REF!</v>
      </c>
      <c r="AX14" s="108" t="e">
        <f>SUMIFS('Other Expense'!$C$8:$C$3017,'Other Expense'!$B$8:$B$3017,"&gt;="&amp;AX7,'Other Expense'!$B$8:$B$3017,"&lt;="&amp;EOMONTH(AX7,0),'Other Expense'!$D$8:$D$3017,$B$14)+SUMIFS('CEI565'!$D$6:$D$2994,'CEI565'!$E$6:$E$2994,"&gt;="&amp;AX7,'CEI565'!$E$6:$E$2994,"&lt;="&amp;EOMONTH(AX7,0),'CEI565'!$F$6:$F$2994,$B$14)+SUMIFS('1SM3VL'!$D$6:$D$2989,'1SM3VL'!$E$6:$E$2989,"&gt;="&amp;AX7,'1SM3VL'!$E$6:$E$2989,"&lt;="&amp;EOMONTH(AX7,0),'1SM3VL'!$F$6:$F$2989,$B$14)+SUMIFS('1QF4SM'!$D$6:$D$2989,'1QF4SM'!$E$6:$E$2989,"&gt;="&amp;AX7,'1QF4SM'!$E$6:$E$2989,"&lt;="&amp;EOMONTH(AX7,0),'1QF4SM'!$F$6:$F$2989,$B$14)+SUMIFS('1UV5KI'!$D$6:$D$2988,'1UV5KI'!$E$6:$E$2988,"&gt;="&amp;AX7,'1UV5KI'!$E$6:$E$2988,"&lt;="&amp;EOMONTH(AX7,0),'1UV5KI'!$F$6:$F$2988,$B$14)+SUMIFS(#REF!,#REF!,"&gt;="&amp;AX7,#REF!,"&lt;="&amp;EOMONTH(AX7,0),#REF!,$B$14)+SUMIFS('1UL9RY'!$D$6:$D$2989,'1UL9RY'!$E$6:$E$2989,"&gt;="&amp;AX7,'1UL9RY'!$E$6:$E$2989,"&lt;="&amp;EOMONTH(AX7,0),'1UL9RY'!$F$6:$F$2989,$B$14)+SUMIFS('1OZ7GT'!$D$6:$D$2989,'1OZ7GT'!$E$6:$E$2989,"&gt;="&amp;AX7,'1OZ7GT'!$E$6:$E$2989,"&lt;="&amp;EOMONTH(AX7,0),'1OZ7GT'!$F$6:$F$2989,$B$14)+SUMIFS('1CN8DD'!$D$6:$D$2989,'1CN8DD'!$E$6:$E$2989,"&gt;="&amp;AX7,'1CN8DD'!$E$6:$E$2989,"&lt;="&amp;EOMONTH(AX7,0),'1CN8DD'!$F$6:$F$2989,$B$14)+SUMIFS('1UT9BR'!$D$6:$D$2989,'1UT9BR'!$E$6:$E$2989,"&gt;="&amp;AX7,'1UT9BR'!$E$6:$E$2989,"&lt;="&amp;EOMONTH(AX7,0),'1UT9BR'!$F$6:$F$2989,$B$14)+SUMIFS('1MK4UR'!$D$6:$D$2989,'1MK4UR'!$E$6:$E$2989,"&gt;="&amp;AX7,'1MK4UR'!$E$6:$E$2989,"&lt;="&amp;EOMONTH(AX7,0),'1MK4UR'!$F$6:$F$2989,$B$14)+SUMIFS(#REF!,#REF!,"&gt;="&amp;AX7,#REF!,"&lt;="&amp;EOMONTH(AX7,0),#REF!,$B$14)+SUMIFS('1JI2UE'!$D$6:$D$2989,'1JI2UE'!$E$6:$E$2989,"&gt;="&amp;AX7,'1JI2UE'!$E$6:$E$2989,"&lt;="&amp;EOMONTH(AX7,0),'1JI2UE'!$F$6:$F$2989,$B$14)+SUMIFS(#REF!,#REF!,"&gt;="&amp;AX7,#REF!,"&lt;="&amp;EOMONTH(AX7,0),#REF!,$B$14)+SUMIFS('1SI9BW'!$D$6:$D$2989,'1SI9BW'!$E$6:$E$2989,"&gt;="&amp;AX7,'1SI9BW'!$E$6:$E$2989,"&lt;="&amp;EOMONTH(AX7,0),'1SI9BW'!$F$6:$F$2989,$B$14)+SUMIFS(Suzuki!$D$6:$D$2989,Suzuki!$E$6:$E$2989,"&gt;="&amp;AX7,Suzuki!$E$6:$E$2989,"&lt;="&amp;EOMONTH(AX7,0),Suzuki!$F$6:$F$2989,$B$14)+SUMIFS('1SK3DD'!$D$6:$D$2989,'1SK3DD'!$E$6:$E$2989,"&gt;="&amp;AX7,'1SK3DD'!$E$6:$E$2989,"&lt;="&amp;EOMONTH(AX7,0),'1SK3DD'!$F$6:$F$2989,$B$14)+SUMIFS('1SX5TQ'!$D$6:$D$2989,'1SX5TQ'!$E$6:$E$2989,"&gt;="&amp;AX7,'1SX5TQ'!$E$6:$E$2989,"&lt;="&amp;EOMONTH(AX7,0),'1SX5TQ'!$F$6:$F$2989,$B$14)+SUMIFS('BMM465'!$D$6:$D$2989,'BMM465'!$E$6:$E$2989,"&gt;="&amp;AX7,'BMM465'!$E$6:$E$2989,"&lt;="&amp;EOMONTH(AX7,0),'BMM465'!$F$6:$F$2989,$B$14)+SUMIFS('1CF1ZO'!$D$6:$D$2989,'1CF1ZO'!$E$6:$E$2989,"&gt;="&amp;AX7,'1CF1ZO'!$E$6:$E$2989,"&lt;="&amp;EOMONTH(AX7,0),'1CF1ZO'!$F$6:$F$2989,$B$14)+SUMIFS('1UK1BK'!$D$6:$D$2989,'1UK1BK'!$E$6:$E$2989,"&gt;="&amp;AX7,'1UK1BK'!$E$6:$E$2989,"&lt;="&amp;EOMONTH(AX7,0),'1UK1BK'!$F$6:$F$2989,$B$14)</f>
        <v>#REF!</v>
      </c>
      <c r="AY14" s="108" t="e">
        <f>SUMIFS('Other Expense'!$C$8:$C$3017,'Other Expense'!$B$8:$B$3017,"&gt;="&amp;AY7,'Other Expense'!$B$8:$B$3017,"&lt;="&amp;EOMONTH(AY7,0),'Other Expense'!$D$8:$D$3017,$B$14)+SUMIFS('CEI565'!$D$6:$D$2994,'CEI565'!$E$6:$E$2994,"&gt;="&amp;AY7,'CEI565'!$E$6:$E$2994,"&lt;="&amp;EOMONTH(AY7,0),'CEI565'!$F$6:$F$2994,$B$14)+SUMIFS('1SM3VL'!$D$6:$D$2989,'1SM3VL'!$E$6:$E$2989,"&gt;="&amp;AY7,'1SM3VL'!$E$6:$E$2989,"&lt;="&amp;EOMONTH(AY7,0),'1SM3VL'!$F$6:$F$2989,$B$14)+SUMIFS('1QF4SM'!$D$6:$D$2989,'1QF4SM'!$E$6:$E$2989,"&gt;="&amp;AY7,'1QF4SM'!$E$6:$E$2989,"&lt;="&amp;EOMONTH(AY7,0),'1QF4SM'!$F$6:$F$2989,$B$14)+SUMIFS('1UV5KI'!$D$6:$D$2988,'1UV5KI'!$E$6:$E$2988,"&gt;="&amp;AY7,'1UV5KI'!$E$6:$E$2988,"&lt;="&amp;EOMONTH(AY7,0),'1UV5KI'!$F$6:$F$2988,$B$14)+SUMIFS(#REF!,#REF!,"&gt;="&amp;AY7,#REF!,"&lt;="&amp;EOMONTH(AY7,0),#REF!,$B$14)+SUMIFS('1UL9RY'!$D$6:$D$2989,'1UL9RY'!$E$6:$E$2989,"&gt;="&amp;AY7,'1UL9RY'!$E$6:$E$2989,"&lt;="&amp;EOMONTH(AY7,0),'1UL9RY'!$F$6:$F$2989,$B$14)+SUMIFS('1OZ7GT'!$D$6:$D$2989,'1OZ7GT'!$E$6:$E$2989,"&gt;="&amp;AY7,'1OZ7GT'!$E$6:$E$2989,"&lt;="&amp;EOMONTH(AY7,0),'1OZ7GT'!$F$6:$F$2989,$B$14)+SUMIFS('1CN8DD'!$D$6:$D$2989,'1CN8DD'!$E$6:$E$2989,"&gt;="&amp;AY7,'1CN8DD'!$E$6:$E$2989,"&lt;="&amp;EOMONTH(AY7,0),'1CN8DD'!$F$6:$F$2989,$B$14)+SUMIFS('1UT9BR'!$D$6:$D$2989,'1UT9BR'!$E$6:$E$2989,"&gt;="&amp;AY7,'1UT9BR'!$E$6:$E$2989,"&lt;="&amp;EOMONTH(AY7,0),'1UT9BR'!$F$6:$F$2989,$B$14)+SUMIFS('1MK4UR'!$D$6:$D$2989,'1MK4UR'!$E$6:$E$2989,"&gt;="&amp;AY7,'1MK4UR'!$E$6:$E$2989,"&lt;="&amp;EOMONTH(AY7,0),'1MK4UR'!$F$6:$F$2989,$B$14)+SUMIFS(#REF!,#REF!,"&gt;="&amp;AY7,#REF!,"&lt;="&amp;EOMONTH(AY7,0),#REF!,$B$14)+SUMIFS('1JI2UE'!$D$6:$D$2989,'1JI2UE'!$E$6:$E$2989,"&gt;="&amp;AY7,'1JI2UE'!$E$6:$E$2989,"&lt;="&amp;EOMONTH(AY7,0),'1JI2UE'!$F$6:$F$2989,$B$14)+SUMIFS(#REF!,#REF!,"&gt;="&amp;AY7,#REF!,"&lt;="&amp;EOMONTH(AY7,0),#REF!,$B$14)+SUMIFS('1SI9BW'!$D$6:$D$2989,'1SI9BW'!$E$6:$E$2989,"&gt;="&amp;AY7,'1SI9BW'!$E$6:$E$2989,"&lt;="&amp;EOMONTH(AY7,0),'1SI9BW'!$F$6:$F$2989,$B$14)+SUMIFS(Suzuki!$D$6:$D$2989,Suzuki!$E$6:$E$2989,"&gt;="&amp;AY7,Suzuki!$E$6:$E$2989,"&lt;="&amp;EOMONTH(AY7,0),Suzuki!$F$6:$F$2989,$B$14)+SUMIFS('1SK3DD'!$D$6:$D$2989,'1SK3DD'!$E$6:$E$2989,"&gt;="&amp;AY7,'1SK3DD'!$E$6:$E$2989,"&lt;="&amp;EOMONTH(AY7,0),'1SK3DD'!$F$6:$F$2989,$B$14)+SUMIFS('1SX5TQ'!$D$6:$D$2989,'1SX5TQ'!$E$6:$E$2989,"&gt;="&amp;AY7,'1SX5TQ'!$E$6:$E$2989,"&lt;="&amp;EOMONTH(AY7,0),'1SX5TQ'!$F$6:$F$2989,$B$14)+SUMIFS('BMM465'!$D$6:$D$2989,'BMM465'!$E$6:$E$2989,"&gt;="&amp;AY7,'BMM465'!$E$6:$E$2989,"&lt;="&amp;EOMONTH(AY7,0),'BMM465'!$F$6:$F$2989,$B$14)+SUMIFS('1CF1ZO'!$D$6:$D$2989,'1CF1ZO'!$E$6:$E$2989,"&gt;="&amp;AY7,'1CF1ZO'!$E$6:$E$2989,"&lt;="&amp;EOMONTH(AY7,0),'1CF1ZO'!$F$6:$F$2989,$B$14)+SUMIFS('1UK1BK'!$D$6:$D$2989,'1UK1BK'!$E$6:$E$2989,"&gt;="&amp;AY7,'1UK1BK'!$E$6:$E$2989,"&lt;="&amp;EOMONTH(AY7,0),'1UK1BK'!$F$6:$F$2989,$B$14)</f>
        <v>#REF!</v>
      </c>
      <c r="AZ14" s="108" t="e">
        <f>SUMIFS('Other Expense'!$C$8:$C$3017,'Other Expense'!$B$8:$B$3017,"&gt;="&amp;AZ7,'Other Expense'!$B$8:$B$3017,"&lt;="&amp;EOMONTH(AZ7,0),'Other Expense'!$D$8:$D$3017,$B$14)+SUMIFS('CEI565'!$D$6:$D$2994,'CEI565'!$E$6:$E$2994,"&gt;="&amp;AZ7,'CEI565'!$E$6:$E$2994,"&lt;="&amp;EOMONTH(AZ7,0),'CEI565'!$F$6:$F$2994,$B$14)+SUMIFS('1SM3VL'!$D$6:$D$2989,'1SM3VL'!$E$6:$E$2989,"&gt;="&amp;AZ7,'1SM3VL'!$E$6:$E$2989,"&lt;="&amp;EOMONTH(AZ7,0),'1SM3VL'!$F$6:$F$2989,$B$14)+SUMIFS('1QF4SM'!$D$6:$D$2989,'1QF4SM'!$E$6:$E$2989,"&gt;="&amp;AZ7,'1QF4SM'!$E$6:$E$2989,"&lt;="&amp;EOMONTH(AZ7,0),'1QF4SM'!$F$6:$F$2989,$B$14)+SUMIFS('1UV5KI'!$D$6:$D$2988,'1UV5KI'!$E$6:$E$2988,"&gt;="&amp;AZ7,'1UV5KI'!$E$6:$E$2988,"&lt;="&amp;EOMONTH(AZ7,0),'1UV5KI'!$F$6:$F$2988,$B$14)+SUMIFS(#REF!,#REF!,"&gt;="&amp;AZ7,#REF!,"&lt;="&amp;EOMONTH(AZ7,0),#REF!,$B$14)+SUMIFS('1UL9RY'!$D$6:$D$2989,'1UL9RY'!$E$6:$E$2989,"&gt;="&amp;AZ7,'1UL9RY'!$E$6:$E$2989,"&lt;="&amp;EOMONTH(AZ7,0),'1UL9RY'!$F$6:$F$2989,$B$14)+SUMIFS('1OZ7GT'!$D$6:$D$2989,'1OZ7GT'!$E$6:$E$2989,"&gt;="&amp;AZ7,'1OZ7GT'!$E$6:$E$2989,"&lt;="&amp;EOMONTH(AZ7,0),'1OZ7GT'!$F$6:$F$2989,$B$14)+SUMIFS('1CN8DD'!$D$6:$D$2989,'1CN8DD'!$E$6:$E$2989,"&gt;="&amp;AZ7,'1CN8DD'!$E$6:$E$2989,"&lt;="&amp;EOMONTH(AZ7,0),'1CN8DD'!$F$6:$F$2989,$B$14)+SUMIFS('1UT9BR'!$D$6:$D$2989,'1UT9BR'!$E$6:$E$2989,"&gt;="&amp;AZ7,'1UT9BR'!$E$6:$E$2989,"&lt;="&amp;EOMONTH(AZ7,0),'1UT9BR'!$F$6:$F$2989,$B$14)+SUMIFS('1MK4UR'!$D$6:$D$2989,'1MK4UR'!$E$6:$E$2989,"&gt;="&amp;AZ7,'1MK4UR'!$E$6:$E$2989,"&lt;="&amp;EOMONTH(AZ7,0),'1MK4UR'!$F$6:$F$2989,$B$14)+SUMIFS(#REF!,#REF!,"&gt;="&amp;AZ7,#REF!,"&lt;="&amp;EOMONTH(AZ7,0),#REF!,$B$14)+SUMIFS('1JI2UE'!$D$6:$D$2989,'1JI2UE'!$E$6:$E$2989,"&gt;="&amp;AZ7,'1JI2UE'!$E$6:$E$2989,"&lt;="&amp;EOMONTH(AZ7,0),'1JI2UE'!$F$6:$F$2989,$B$14)+SUMIFS(#REF!,#REF!,"&gt;="&amp;AZ7,#REF!,"&lt;="&amp;EOMONTH(AZ7,0),#REF!,$B$14)+SUMIFS('1SI9BW'!$D$6:$D$2989,'1SI9BW'!$E$6:$E$2989,"&gt;="&amp;AZ7,'1SI9BW'!$E$6:$E$2989,"&lt;="&amp;EOMONTH(AZ7,0),'1SI9BW'!$F$6:$F$2989,$B$14)+SUMIFS(Suzuki!$D$6:$D$2989,Suzuki!$E$6:$E$2989,"&gt;="&amp;AZ7,Suzuki!$E$6:$E$2989,"&lt;="&amp;EOMONTH(AZ7,0),Suzuki!$F$6:$F$2989,$B$14)+SUMIFS('1SK3DD'!$D$6:$D$2989,'1SK3DD'!$E$6:$E$2989,"&gt;="&amp;AZ7,'1SK3DD'!$E$6:$E$2989,"&lt;="&amp;EOMONTH(AZ7,0),'1SK3DD'!$F$6:$F$2989,$B$14)+SUMIFS('1SX5TQ'!$D$6:$D$2989,'1SX5TQ'!$E$6:$E$2989,"&gt;="&amp;AZ7,'1SX5TQ'!$E$6:$E$2989,"&lt;="&amp;EOMONTH(AZ7,0),'1SX5TQ'!$F$6:$F$2989,$B$14)+SUMIFS('BMM465'!$D$6:$D$2989,'BMM465'!$E$6:$E$2989,"&gt;="&amp;AZ7,'BMM465'!$E$6:$E$2989,"&lt;="&amp;EOMONTH(AZ7,0),'BMM465'!$F$6:$F$2989,$B$14)+SUMIFS('1CF1ZO'!$D$6:$D$2989,'1CF1ZO'!$E$6:$E$2989,"&gt;="&amp;AZ7,'1CF1ZO'!$E$6:$E$2989,"&lt;="&amp;EOMONTH(AZ7,0),'1CF1ZO'!$F$6:$F$2989,$B$14)+SUMIFS('1UK1BK'!$D$6:$D$2989,'1UK1BK'!$E$6:$E$2989,"&gt;="&amp;AZ7,'1UK1BK'!$E$6:$E$2989,"&lt;="&amp;EOMONTH(AZ7,0),'1UK1BK'!$F$6:$F$2989,$B$14)</f>
        <v>#REF!</v>
      </c>
      <c r="BA14" s="108" t="e">
        <f>SUMIFS('Other Expense'!$C$8:$C$3017,'Other Expense'!$B$8:$B$3017,"&gt;="&amp;BA7,'Other Expense'!$B$8:$B$3017,"&lt;="&amp;EOMONTH(BA7,0),'Other Expense'!$D$8:$D$3017,$B$14)+SUMIFS('CEI565'!$D$6:$D$2994,'CEI565'!$E$6:$E$2994,"&gt;="&amp;BA7,'CEI565'!$E$6:$E$2994,"&lt;="&amp;EOMONTH(BA7,0),'CEI565'!$F$6:$F$2994,$B$14)+SUMIFS('1SM3VL'!$D$6:$D$2989,'1SM3VL'!$E$6:$E$2989,"&gt;="&amp;BA7,'1SM3VL'!$E$6:$E$2989,"&lt;="&amp;EOMONTH(BA7,0),'1SM3VL'!$F$6:$F$2989,$B$14)+SUMIFS('1QF4SM'!$D$6:$D$2989,'1QF4SM'!$E$6:$E$2989,"&gt;="&amp;BA7,'1QF4SM'!$E$6:$E$2989,"&lt;="&amp;EOMONTH(BA7,0),'1QF4SM'!$F$6:$F$2989,$B$14)+SUMIFS('1UV5KI'!$D$6:$D$2988,'1UV5KI'!$E$6:$E$2988,"&gt;="&amp;BA7,'1UV5KI'!$E$6:$E$2988,"&lt;="&amp;EOMONTH(BA7,0),'1UV5KI'!$F$6:$F$2988,$B$14)+SUMIFS(#REF!,#REF!,"&gt;="&amp;BA7,#REF!,"&lt;="&amp;EOMONTH(BA7,0),#REF!,$B$14)+SUMIFS('1UL9RY'!$D$6:$D$2989,'1UL9RY'!$E$6:$E$2989,"&gt;="&amp;BA7,'1UL9RY'!$E$6:$E$2989,"&lt;="&amp;EOMONTH(BA7,0),'1UL9RY'!$F$6:$F$2989,$B$14)+SUMIFS('1OZ7GT'!$D$6:$D$2989,'1OZ7GT'!$E$6:$E$2989,"&gt;="&amp;BA7,'1OZ7GT'!$E$6:$E$2989,"&lt;="&amp;EOMONTH(BA7,0),'1OZ7GT'!$F$6:$F$2989,$B$14)+SUMIFS('1CN8DD'!$D$6:$D$2989,'1CN8DD'!$E$6:$E$2989,"&gt;="&amp;BA7,'1CN8DD'!$E$6:$E$2989,"&lt;="&amp;EOMONTH(BA7,0),'1CN8DD'!$F$6:$F$2989,$B$14)+SUMIFS('1UT9BR'!$D$6:$D$2989,'1UT9BR'!$E$6:$E$2989,"&gt;="&amp;BA7,'1UT9BR'!$E$6:$E$2989,"&lt;="&amp;EOMONTH(BA7,0),'1UT9BR'!$F$6:$F$2989,$B$14)+SUMIFS('1MK4UR'!$D$6:$D$2989,'1MK4UR'!$E$6:$E$2989,"&gt;="&amp;BA7,'1MK4UR'!$E$6:$E$2989,"&lt;="&amp;EOMONTH(BA7,0),'1MK4UR'!$F$6:$F$2989,$B$14)+SUMIFS(#REF!,#REF!,"&gt;="&amp;BA7,#REF!,"&lt;="&amp;EOMONTH(BA7,0),#REF!,$B$14)+SUMIFS('1JI2UE'!$D$6:$D$2989,'1JI2UE'!$E$6:$E$2989,"&gt;="&amp;BA7,'1JI2UE'!$E$6:$E$2989,"&lt;="&amp;EOMONTH(BA7,0),'1JI2UE'!$F$6:$F$2989,$B$14)+SUMIFS(#REF!,#REF!,"&gt;="&amp;BA7,#REF!,"&lt;="&amp;EOMONTH(BA7,0),#REF!,$B$14)+SUMIFS('1SI9BW'!$D$6:$D$2989,'1SI9BW'!$E$6:$E$2989,"&gt;="&amp;BA7,'1SI9BW'!$E$6:$E$2989,"&lt;="&amp;EOMONTH(BA7,0),'1SI9BW'!$F$6:$F$2989,$B$14)+SUMIFS(Suzuki!$D$6:$D$2989,Suzuki!$E$6:$E$2989,"&gt;="&amp;BA7,Suzuki!$E$6:$E$2989,"&lt;="&amp;EOMONTH(BA7,0),Suzuki!$F$6:$F$2989,$B$14)+SUMIFS('1SK3DD'!$D$6:$D$2989,'1SK3DD'!$E$6:$E$2989,"&gt;="&amp;BA7,'1SK3DD'!$E$6:$E$2989,"&lt;="&amp;EOMONTH(BA7,0),'1SK3DD'!$F$6:$F$2989,$B$14)+SUMIFS('1SX5TQ'!$D$6:$D$2989,'1SX5TQ'!$E$6:$E$2989,"&gt;="&amp;BA7,'1SX5TQ'!$E$6:$E$2989,"&lt;="&amp;EOMONTH(BA7,0),'1SX5TQ'!$F$6:$F$2989,$B$14)+SUMIFS('BMM465'!$D$6:$D$2989,'BMM465'!$E$6:$E$2989,"&gt;="&amp;BA7,'BMM465'!$E$6:$E$2989,"&lt;="&amp;EOMONTH(BA7,0),'BMM465'!$F$6:$F$2989,$B$14)+SUMIFS('1CF1ZO'!$D$6:$D$2989,'1CF1ZO'!$E$6:$E$2989,"&gt;="&amp;BA7,'1CF1ZO'!$E$6:$E$2989,"&lt;="&amp;EOMONTH(BA7,0),'1CF1ZO'!$F$6:$F$2989,$B$14)+SUMIFS('1UK1BK'!$D$6:$D$2989,'1UK1BK'!$E$6:$E$2989,"&gt;="&amp;BA7,'1UK1BK'!$E$6:$E$2989,"&lt;="&amp;EOMONTH(BA7,0),'1UK1BK'!$F$6:$F$2989,$B$14)</f>
        <v>#REF!</v>
      </c>
    </row>
    <row r="15" spans="1:53" x14ac:dyDescent="0.25">
      <c r="B15" s="5" t="s">
        <v>182</v>
      </c>
      <c r="C15" s="69" t="str">
        <f>IFERROR(D15/$H$8,"")</f>
        <v/>
      </c>
      <c r="D15" s="109">
        <f t="shared" si="2"/>
        <v>0</v>
      </c>
      <c r="E15" s="69" t="str">
        <f>IFERROR(F15/$H$8,"")</f>
        <v/>
      </c>
      <c r="F15" s="109">
        <f t="shared" si="3"/>
        <v>0</v>
      </c>
      <c r="G15" s="69" t="str">
        <f>IFERROR(H15/$H$8,"")</f>
        <v/>
      </c>
      <c r="H15" s="109">
        <f t="shared" si="4"/>
        <v>0</v>
      </c>
      <c r="I15" s="108">
        <f>SUMIFS('Other Expense'!$C$8:$C$3017,'Other Expense'!$B$8:$B$3017,"&gt;="&amp;I7,'Other Expense'!$B$8:$B$3017,"&lt;="&amp;EOMONTH(I7,0),'Other Expense'!$D$8:$D$3017,$B$15)</f>
        <v>0</v>
      </c>
      <c r="J15" s="108">
        <f>SUMIFS('Other Expense'!$C$8:$C$3017,'Other Expense'!$B$8:$B$3017,"&gt;="&amp;J7,'Other Expense'!$B$8:$B$3017,"&lt;="&amp;EOMONTH(J7,0),'Other Expense'!$D$8:$D$3017,$B$15)</f>
        <v>0</v>
      </c>
      <c r="K15" s="108">
        <f>SUMIFS('Other Expense'!$C$8:$C$3017,'Other Expense'!$B$8:$B$3017,"&gt;="&amp;K7,'Other Expense'!$B$8:$B$3017,"&lt;="&amp;EOMONTH(K7,0),'Other Expense'!$D$8:$D$3017,$B$15)</f>
        <v>0</v>
      </c>
      <c r="L15" s="108">
        <f>SUMIFS('Other Expense'!$C$8:$C$3017,'Other Expense'!$B$8:$B$3017,"&gt;="&amp;L7,'Other Expense'!$B$8:$B$3017,"&lt;="&amp;EOMONTH(L7,0),'Other Expense'!$D$8:$D$3017,$B$15)</f>
        <v>0</v>
      </c>
      <c r="M15" s="108">
        <f>SUMIFS('Other Expense'!$C$8:$C$3017,'Other Expense'!$B$8:$B$3017,"&gt;="&amp;M7,'Other Expense'!$B$8:$B$3017,"&lt;="&amp;EOMONTH(M7,0),'Other Expense'!$D$8:$D$3017,$B$15)</f>
        <v>0</v>
      </c>
      <c r="N15" s="108">
        <f>SUMIFS('Other Expense'!$C$8:$C$3017,'Other Expense'!$B$8:$B$3017,"&gt;="&amp;N7,'Other Expense'!$B$8:$B$3017,"&lt;="&amp;EOMONTH(N7,0),'Other Expense'!$D$8:$D$3017,$B$15)</f>
        <v>0</v>
      </c>
      <c r="O15" s="108">
        <f>SUMIFS('Other Expense'!$C$8:$C$3017,'Other Expense'!$B$8:$B$3017,"&gt;="&amp;O7,'Other Expense'!$B$8:$B$3017,"&lt;="&amp;EOMONTH(O7,0),'Other Expense'!$D$8:$D$3017,$B$15)</f>
        <v>0</v>
      </c>
      <c r="P15" s="108">
        <f>SUMIFS('Other Expense'!$C$8:$C$3017,'Other Expense'!$B$8:$B$3017,"&gt;="&amp;P7,'Other Expense'!$B$8:$B$3017,"&lt;="&amp;EOMONTH(P7,0),'Other Expense'!$D$8:$D$3017,$B$15)</f>
        <v>0</v>
      </c>
      <c r="Q15" s="108">
        <f>SUMIFS('Other Expense'!$C$8:$C$3017,'Other Expense'!$B$8:$B$3017,"&gt;="&amp;Q7,'Other Expense'!$B$8:$B$3017,"&lt;="&amp;EOMONTH(Q7,0),'Other Expense'!$D$8:$D$3017,$B$15)</f>
        <v>0</v>
      </c>
      <c r="R15" s="108">
        <f>SUMIFS('Other Expense'!$C$8:$C$3017,'Other Expense'!$B$8:$B$3017,"&gt;="&amp;R7,'Other Expense'!$B$8:$B$3017,"&lt;="&amp;EOMONTH(R7,0),'Other Expense'!$D$8:$D$3017,$B$15)</f>
        <v>0</v>
      </c>
      <c r="S15" s="108">
        <f>SUMIFS('Other Expense'!$C$8:$C$3017,'Other Expense'!$B$8:$B$3017,"&gt;="&amp;S7,'Other Expense'!$B$8:$B$3017,"&lt;="&amp;EOMONTH(S7,0),'Other Expense'!$D$8:$D$3017,$B$15)</f>
        <v>0</v>
      </c>
      <c r="T15" s="108">
        <f>SUMIFS('Other Expense'!$C$8:$C$3017,'Other Expense'!$B$8:$B$3017,"&gt;="&amp;T7,'Other Expense'!$B$8:$B$3017,"&lt;="&amp;EOMONTH(T7,0),'Other Expense'!$D$8:$D$3017,$B$15)</f>
        <v>0</v>
      </c>
      <c r="U15" s="108">
        <f>SUMIFS('Other Expense'!$C$8:$C$3017,'Other Expense'!$B$8:$B$3017,"&gt;="&amp;U7,'Other Expense'!$B$8:$B$3017,"&lt;="&amp;EOMONTH(U7,0),'Other Expense'!$D$8:$D$3017,$B$15)</f>
        <v>0</v>
      </c>
      <c r="V15" s="108">
        <f>SUMIFS('Other Expense'!$C$8:$C$3017,'Other Expense'!$B$8:$B$3017,"&gt;="&amp;V7,'Other Expense'!$B$8:$B$3017,"&lt;="&amp;EOMONTH(V7,0),'Other Expense'!$D$8:$D$3017,$B$15)</f>
        <v>0</v>
      </c>
      <c r="W15" s="108">
        <f>SUMIFS('Other Expense'!$C$8:$C$3017,'Other Expense'!$B$8:$B$3017,"&gt;="&amp;W7,'Other Expense'!$B$8:$B$3017,"&lt;="&amp;EOMONTH(W7,0),'Other Expense'!$D$8:$D$3017,$B$15)</f>
        <v>0</v>
      </c>
      <c r="X15" s="108">
        <f>SUMIFS('Other Expense'!$C$8:$C$3017,'Other Expense'!$B$8:$B$3017,"&gt;="&amp;X7,'Other Expense'!$B$8:$B$3017,"&lt;="&amp;EOMONTH(X7,0),'Other Expense'!$D$8:$D$3017,$B$15)</f>
        <v>0</v>
      </c>
      <c r="Y15" s="108">
        <f>SUMIFS('Other Expense'!$C$8:$C$3017,'Other Expense'!$B$8:$B$3017,"&gt;="&amp;Y7,'Other Expense'!$B$8:$B$3017,"&lt;="&amp;EOMONTH(Y7,0),'Other Expense'!$D$8:$D$3017,$B$15)</f>
        <v>0</v>
      </c>
      <c r="Z15" s="108">
        <f>SUMIFS('Other Expense'!$C$8:$C$3017,'Other Expense'!$B$8:$B$3017,"&gt;="&amp;Z7,'Other Expense'!$B$8:$B$3017,"&lt;="&amp;EOMONTH(Z7,0),'Other Expense'!$D$8:$D$3017,$B$15)</f>
        <v>0</v>
      </c>
      <c r="AA15" s="108">
        <f>SUMIFS('Other Expense'!$C$8:$C$3017,'Other Expense'!$B$8:$B$3017,"&gt;="&amp;AA7,'Other Expense'!$B$8:$B$3017,"&lt;="&amp;EOMONTH(AA7,0),'Other Expense'!$D$8:$D$3017,$B$15)</f>
        <v>0</v>
      </c>
      <c r="AB15" s="108">
        <f>SUMIFS('Other Expense'!$C$8:$C$3017,'Other Expense'!$B$8:$B$3017,"&gt;="&amp;AB7,'Other Expense'!$B$8:$B$3017,"&lt;="&amp;EOMONTH(AB7,0),'Other Expense'!$D$8:$D$3017,$B$15)</f>
        <v>0</v>
      </c>
      <c r="AC15" s="108">
        <f>SUMIFS('Other Expense'!$C$8:$C$3017,'Other Expense'!$B$8:$B$3017,"&gt;="&amp;AC7,'Other Expense'!$B$8:$B$3017,"&lt;="&amp;EOMONTH(AC7,0),'Other Expense'!$D$8:$D$3017,$B$15)</f>
        <v>0</v>
      </c>
      <c r="AD15" s="108">
        <f>SUMIFS('Other Expense'!$C$8:$C$3017,'Other Expense'!$B$8:$B$3017,"&gt;="&amp;AD7,'Other Expense'!$B$8:$B$3017,"&lt;="&amp;EOMONTH(AD7,0),'Other Expense'!$D$8:$D$3017,$B$15)</f>
        <v>0</v>
      </c>
      <c r="AE15" s="108">
        <f>SUMIFS('Other Expense'!$C$8:$C$3017,'Other Expense'!$B$8:$B$3017,"&gt;="&amp;AE7,'Other Expense'!$B$8:$B$3017,"&lt;="&amp;EOMONTH(AE7,0),'Other Expense'!$D$8:$D$3017,$B$15)</f>
        <v>0</v>
      </c>
      <c r="AF15" s="108">
        <f>SUMIFS('Other Expense'!$C$8:$C$3017,'Other Expense'!$B$8:$B$3017,"&gt;="&amp;AF7,'Other Expense'!$B$8:$B$3017,"&lt;="&amp;EOMONTH(AF7,0),'Other Expense'!$D$8:$D$3017,$B$15)</f>
        <v>0</v>
      </c>
      <c r="AG15" s="108">
        <f>SUMIFS('Other Expense'!$C$8:$C$3017,'Other Expense'!$B$8:$B$3017,"&gt;="&amp;AG7,'Other Expense'!$B$8:$B$3017,"&lt;="&amp;EOMONTH(AG7,0),'Other Expense'!$D$8:$D$3017,$B$15)</f>
        <v>0</v>
      </c>
      <c r="AH15" s="108">
        <f>SUMIFS('Other Expense'!$C$8:$C$3017,'Other Expense'!$B$8:$B$3017,"&gt;="&amp;AH7,'Other Expense'!$B$8:$B$3017,"&lt;="&amp;EOMONTH(AH7,0),'Other Expense'!$D$8:$D$3017,$B$15)</f>
        <v>0</v>
      </c>
      <c r="AI15" s="108">
        <f>SUMIFS('Other Expense'!$C$8:$C$3017,'Other Expense'!$B$8:$B$3017,"&gt;="&amp;AI7,'Other Expense'!$B$8:$B$3017,"&lt;="&amp;EOMONTH(AI7,0),'Other Expense'!$D$8:$D$3017,$B$15)</f>
        <v>0</v>
      </c>
      <c r="AJ15" s="108">
        <f>SUMIFS('Other Expense'!$C$8:$C$3017,'Other Expense'!$B$8:$B$3017,"&gt;="&amp;AJ7,'Other Expense'!$B$8:$B$3017,"&lt;="&amp;EOMONTH(AJ7,0),'Other Expense'!$D$8:$D$3017,$B$15)</f>
        <v>0</v>
      </c>
      <c r="AK15" s="108">
        <f>SUMIFS('Other Expense'!$C$8:$C$3017,'Other Expense'!$B$8:$B$3017,"&gt;="&amp;AK7,'Other Expense'!$B$8:$B$3017,"&lt;="&amp;EOMONTH(AK7,0),'Other Expense'!$D$8:$D$3017,$B$15)</f>
        <v>0</v>
      </c>
      <c r="AL15" s="108">
        <f>SUMIFS('Other Expense'!$C$8:$C$3017,'Other Expense'!$B$8:$B$3017,"&gt;="&amp;AL7,'Other Expense'!$B$8:$B$3017,"&lt;="&amp;EOMONTH(AL7,0),'Other Expense'!$D$8:$D$3017,$B$15)</f>
        <v>0</v>
      </c>
      <c r="AM15" s="108">
        <f>SUMIFS('Other Expense'!$C$8:$C$3017,'Other Expense'!$B$8:$B$3017,"&gt;="&amp;AM7,'Other Expense'!$B$8:$B$3017,"&lt;="&amp;EOMONTH(AM7,0),'Other Expense'!$D$8:$D$3017,$B$15)</f>
        <v>0</v>
      </c>
      <c r="AN15" s="108">
        <f>SUMIFS('Other Expense'!$C$8:$C$3017,'Other Expense'!$B$8:$B$3017,"&gt;="&amp;AN7,'Other Expense'!$B$8:$B$3017,"&lt;="&amp;EOMONTH(AN7,0),'Other Expense'!$D$8:$D$3017,$B$15)</f>
        <v>0</v>
      </c>
      <c r="AO15" s="108">
        <f>SUMIFS('Other Expense'!$C$8:$C$3017,'Other Expense'!$B$8:$B$3017,"&gt;="&amp;AO7,'Other Expense'!$B$8:$B$3017,"&lt;="&amp;EOMONTH(AO7,0),'Other Expense'!$D$8:$D$3017,$B$15)</f>
        <v>0</v>
      </c>
      <c r="AP15" s="108">
        <f>SUMIFS('Other Expense'!$C$8:$C$3017,'Other Expense'!$B$8:$B$3017,"&gt;="&amp;AP7,'Other Expense'!$B$8:$B$3017,"&lt;="&amp;EOMONTH(AP7,0),'Other Expense'!$D$8:$D$3017,$B$15)</f>
        <v>0</v>
      </c>
      <c r="AQ15" s="108">
        <f>SUMIFS('Other Expense'!$C$8:$C$3017,'Other Expense'!$B$8:$B$3017,"&gt;="&amp;AQ7,'Other Expense'!$B$8:$B$3017,"&lt;="&amp;EOMONTH(AQ7,0),'Other Expense'!$D$8:$D$3017,$B$15)</f>
        <v>0</v>
      </c>
      <c r="AR15" s="108">
        <f>SUMIFS('Other Expense'!$C$8:$C$3017,'Other Expense'!$B$8:$B$3017,"&gt;="&amp;AR7,'Other Expense'!$B$8:$B$3017,"&lt;="&amp;EOMONTH(AR7,0),'Other Expense'!$D$8:$D$3017,$B$15)</f>
        <v>0</v>
      </c>
      <c r="AS15" s="108">
        <f>SUMIFS('Other Expense'!$C$8:$C$3017,'Other Expense'!$B$8:$B$3017,"&gt;="&amp;AS7,'Other Expense'!$B$8:$B$3017,"&lt;="&amp;EOMONTH(AS7,0),'Other Expense'!$D$8:$D$3017,$B$15)</f>
        <v>0</v>
      </c>
      <c r="AT15" s="108">
        <f>SUMIFS('Other Expense'!$C$8:$C$3017,'Other Expense'!$B$8:$B$3017,"&gt;="&amp;AT7,'Other Expense'!$B$8:$B$3017,"&lt;="&amp;EOMONTH(AT7,0),'Other Expense'!$D$8:$D$3017,$B$15)</f>
        <v>0</v>
      </c>
      <c r="AU15" s="108">
        <f>SUMIFS('Other Expense'!$C$8:$C$3017,'Other Expense'!$B$8:$B$3017,"&gt;="&amp;AU7,'Other Expense'!$B$8:$B$3017,"&lt;="&amp;EOMONTH(AU7,0),'Other Expense'!$D$8:$D$3017,$B$15)</f>
        <v>0</v>
      </c>
      <c r="AV15" s="108">
        <f>SUMIFS('Other Expense'!$C$8:$C$3017,'Other Expense'!$B$8:$B$3017,"&gt;="&amp;AV7,'Other Expense'!$B$8:$B$3017,"&lt;="&amp;EOMONTH(AV7,0),'Other Expense'!$D$8:$D$3017,$B$15)</f>
        <v>0</v>
      </c>
      <c r="AW15" s="108">
        <f>SUMIFS('Other Expense'!$C$8:$C$3017,'Other Expense'!$B$8:$B$3017,"&gt;="&amp;AW7,'Other Expense'!$B$8:$B$3017,"&lt;="&amp;EOMONTH(AW7,0),'Other Expense'!$D$8:$D$3017,$B$15)</f>
        <v>0</v>
      </c>
      <c r="AX15" s="108">
        <f>SUMIFS('Other Expense'!$C$8:$C$3017,'Other Expense'!$B$8:$B$3017,"&gt;="&amp;AX7,'Other Expense'!$B$8:$B$3017,"&lt;="&amp;EOMONTH(AX7,0),'Other Expense'!$D$8:$D$3017,$B$15)</f>
        <v>0</v>
      </c>
      <c r="AY15" s="108">
        <f>SUMIFS('Other Expense'!$C$8:$C$3017,'Other Expense'!$B$8:$B$3017,"&gt;="&amp;AY7,'Other Expense'!$B$8:$B$3017,"&lt;="&amp;EOMONTH(AY7,0),'Other Expense'!$D$8:$D$3017,$B$15)</f>
        <v>0</v>
      </c>
      <c r="AZ15" s="108">
        <f>SUMIFS('Other Expense'!$C$8:$C$3017,'Other Expense'!$B$8:$B$3017,"&gt;="&amp;AZ7,'Other Expense'!$B$8:$B$3017,"&lt;="&amp;EOMONTH(AZ7,0),'Other Expense'!$D$8:$D$3017,$B$15)</f>
        <v>0</v>
      </c>
      <c r="BA15" s="108">
        <f>SUMIFS('Other Expense'!$C$8:$C$3017,'Other Expense'!$B$8:$B$3017,"&gt;="&amp;BA7,'Other Expense'!$B$8:$B$3017,"&lt;="&amp;EOMONTH(BA7,0),'Other Expense'!$D$8:$D$3017,$B$15)</f>
        <v>0</v>
      </c>
    </row>
    <row r="16" spans="1:53" x14ac:dyDescent="0.25">
      <c r="C16" s="10"/>
      <c r="D16" s="109">
        <f t="shared" si="2"/>
        <v>0</v>
      </c>
      <c r="E16" s="10"/>
      <c r="F16" s="109">
        <f t="shared" si="3"/>
        <v>0</v>
      </c>
      <c r="G16" s="10"/>
      <c r="H16" s="109">
        <f t="shared" si="4"/>
        <v>0</v>
      </c>
    </row>
    <row r="17" spans="1:53" ht="15.75" x14ac:dyDescent="0.25">
      <c r="B17" s="59" t="s">
        <v>52</v>
      </c>
      <c r="C17" s="69"/>
      <c r="D17" s="109" t="e">
        <f t="shared" si="2"/>
        <v>#REF!</v>
      </c>
      <c r="E17" s="69"/>
      <c r="F17" s="109" t="e">
        <f t="shared" si="3"/>
        <v>#REF!</v>
      </c>
      <c r="G17" s="69"/>
      <c r="H17" s="109" t="e">
        <f t="shared" si="4"/>
        <v>#REF!</v>
      </c>
      <c r="I17" s="109" t="e">
        <f t="shared" ref="I17:T17" si="11">SUM(I18:I38)</f>
        <v>#REF!</v>
      </c>
      <c r="J17" s="109" t="e">
        <f t="shared" si="11"/>
        <v>#REF!</v>
      </c>
      <c r="K17" s="109" t="e">
        <f t="shared" si="11"/>
        <v>#REF!</v>
      </c>
      <c r="L17" s="109" t="e">
        <f t="shared" si="11"/>
        <v>#REF!</v>
      </c>
      <c r="M17" s="109" t="e">
        <f t="shared" si="11"/>
        <v>#REF!</v>
      </c>
      <c r="N17" s="109" t="e">
        <f t="shared" si="11"/>
        <v>#REF!</v>
      </c>
      <c r="O17" s="109" t="e">
        <f t="shared" si="11"/>
        <v>#REF!</v>
      </c>
      <c r="P17" s="109" t="e">
        <f t="shared" si="11"/>
        <v>#REF!</v>
      </c>
      <c r="Q17" s="109" t="e">
        <f t="shared" si="11"/>
        <v>#REF!</v>
      </c>
      <c r="R17" s="109" t="e">
        <f t="shared" si="11"/>
        <v>#REF!</v>
      </c>
      <c r="S17" s="109" t="e">
        <f t="shared" si="11"/>
        <v>#REF!</v>
      </c>
      <c r="T17" s="109" t="e">
        <f t="shared" si="11"/>
        <v>#REF!</v>
      </c>
      <c r="U17" s="109" t="e">
        <f t="shared" ref="U17:BA17" si="12">SUM(U18:U38)</f>
        <v>#REF!</v>
      </c>
      <c r="V17" s="109" t="e">
        <f t="shared" si="12"/>
        <v>#REF!</v>
      </c>
      <c r="W17" s="109" t="e">
        <f t="shared" si="12"/>
        <v>#REF!</v>
      </c>
      <c r="X17" s="109" t="e">
        <f t="shared" si="12"/>
        <v>#REF!</v>
      </c>
      <c r="Y17" s="109" t="e">
        <f t="shared" si="12"/>
        <v>#REF!</v>
      </c>
      <c r="Z17" s="109" t="e">
        <f t="shared" si="12"/>
        <v>#REF!</v>
      </c>
      <c r="AA17" s="109" t="e">
        <f t="shared" si="12"/>
        <v>#REF!</v>
      </c>
      <c r="AB17" s="109" t="e">
        <f t="shared" si="12"/>
        <v>#REF!</v>
      </c>
      <c r="AC17" s="109" t="e">
        <f t="shared" si="12"/>
        <v>#REF!</v>
      </c>
      <c r="AD17" s="109" t="e">
        <f t="shared" si="12"/>
        <v>#REF!</v>
      </c>
      <c r="AE17" s="109" t="e">
        <f t="shared" si="12"/>
        <v>#REF!</v>
      </c>
      <c r="AF17" s="109" t="e">
        <f t="shared" si="12"/>
        <v>#REF!</v>
      </c>
      <c r="AG17" s="109" t="e">
        <f t="shared" si="12"/>
        <v>#REF!</v>
      </c>
      <c r="AH17" s="109" t="e">
        <f t="shared" si="12"/>
        <v>#REF!</v>
      </c>
      <c r="AI17" s="109" t="e">
        <f t="shared" si="12"/>
        <v>#REF!</v>
      </c>
      <c r="AJ17" s="109" t="e">
        <f t="shared" si="12"/>
        <v>#REF!</v>
      </c>
      <c r="AK17" s="109" t="e">
        <f t="shared" si="12"/>
        <v>#REF!</v>
      </c>
      <c r="AL17" s="109" t="e">
        <f t="shared" si="12"/>
        <v>#REF!</v>
      </c>
      <c r="AM17" s="109" t="e">
        <f t="shared" si="12"/>
        <v>#REF!</v>
      </c>
      <c r="AN17" s="109" t="e">
        <f t="shared" si="12"/>
        <v>#REF!</v>
      </c>
      <c r="AO17" s="109" t="e">
        <f t="shared" si="12"/>
        <v>#REF!</v>
      </c>
      <c r="AP17" s="109" t="e">
        <f t="shared" si="12"/>
        <v>#REF!</v>
      </c>
      <c r="AQ17" s="109" t="e">
        <f t="shared" si="12"/>
        <v>#REF!</v>
      </c>
      <c r="AR17" s="109" t="e">
        <f t="shared" si="12"/>
        <v>#REF!</v>
      </c>
      <c r="AS17" s="109" t="e">
        <f t="shared" si="12"/>
        <v>#REF!</v>
      </c>
      <c r="AT17" s="109" t="e">
        <f t="shared" si="12"/>
        <v>#REF!</v>
      </c>
      <c r="AU17" s="109" t="e">
        <f t="shared" si="12"/>
        <v>#REF!</v>
      </c>
      <c r="AV17" s="109" t="e">
        <f t="shared" si="12"/>
        <v>#REF!</v>
      </c>
      <c r="AW17" s="109" t="e">
        <f t="shared" si="12"/>
        <v>#REF!</v>
      </c>
      <c r="AX17" s="109" t="e">
        <f t="shared" si="12"/>
        <v>#REF!</v>
      </c>
      <c r="AY17" s="109" t="e">
        <f t="shared" si="12"/>
        <v>#REF!</v>
      </c>
      <c r="AZ17" s="109" t="e">
        <f t="shared" si="12"/>
        <v>#REF!</v>
      </c>
      <c r="BA17" s="109" t="e">
        <f t="shared" si="12"/>
        <v>#REF!</v>
      </c>
    </row>
    <row r="18" spans="1:53" x14ac:dyDescent="0.25">
      <c r="A18" t="s">
        <v>131</v>
      </c>
      <c r="B18" s="5" t="s">
        <v>97</v>
      </c>
      <c r="C18" s="69" t="str">
        <f t="shared" ref="C18:C38" si="13">IFERROR(D18/$H$17,"")</f>
        <v/>
      </c>
      <c r="D18" s="109">
        <f t="shared" si="2"/>
        <v>150</v>
      </c>
      <c r="E18" s="69" t="str">
        <f t="shared" ref="E18:E38" si="14">IFERROR(F18/$H$17,"")</f>
        <v/>
      </c>
      <c r="F18" s="109">
        <f t="shared" si="3"/>
        <v>1058</v>
      </c>
      <c r="G18" s="69" t="str">
        <f t="shared" ref="G18:G28" si="15">IFERROR(H18/$H$17,"")</f>
        <v/>
      </c>
      <c r="H18" s="109">
        <f t="shared" si="4"/>
        <v>4730.99</v>
      </c>
      <c r="I18" s="110">
        <f>SUMIFS('Other Expense'!$G$8:$G$2966,'Other Expense'!$F$8:$F$2966,"&gt;="&amp;I7,'Other Expense'!$F$8:$F$2966,"&lt;="&amp;EOMONTH(I7,0),'Other Expense'!$H$8:$H$2966,$B$18)</f>
        <v>0</v>
      </c>
      <c r="J18" s="110">
        <f>SUMIFS('Other Expense'!$G$8:$G$2966,'Other Expense'!$F$8:$F$2966,"&gt;="&amp;J7,'Other Expense'!$F$8:$F$2966,"&lt;="&amp;EOMONTH(J7,0),'Other Expense'!$H$8:$H$2966,$B$18)</f>
        <v>0</v>
      </c>
      <c r="K18" s="110">
        <f>SUMIFS('Other Expense'!$G$8:$G$2966,'Other Expense'!$F$8:$F$2966,"&gt;="&amp;K7,'Other Expense'!$F$8:$F$2966,"&lt;="&amp;EOMONTH(K7,0),'Other Expense'!$H$8:$H$2966,$B$18)</f>
        <v>0</v>
      </c>
      <c r="L18" s="110">
        <f>SUMIFS('Other Expense'!$G$8:$G$2966,'Other Expense'!$F$8:$F$2966,"&gt;="&amp;L7,'Other Expense'!$F$8:$F$2966,"&lt;="&amp;EOMONTH(L7,0),'Other Expense'!$H$8:$H$2966,$B$18)</f>
        <v>0</v>
      </c>
      <c r="M18" s="110">
        <f>SUMIFS('Other Expense'!$G$8:$G$2966,'Other Expense'!$F$8:$F$2966,"&gt;="&amp;M7,'Other Expense'!$F$8:$F$2966,"&lt;="&amp;EOMONTH(M7,0),'Other Expense'!$H$8:$H$2966,$B$18)</f>
        <v>0</v>
      </c>
      <c r="N18" s="110">
        <f>SUMIFS('Other Expense'!$G$8:$G$2966,'Other Expense'!$F$8:$F$2966,"&gt;="&amp;N7,'Other Expense'!$F$8:$F$2966,"&lt;="&amp;EOMONTH(N7,0),'Other Expense'!$H$8:$H$2966,$B$18)</f>
        <v>0</v>
      </c>
      <c r="O18" s="110">
        <f>SUMIFS('Other Expense'!$G$8:$G$2966,'Other Expense'!$F$8:$F$2966,"&gt;="&amp;O7,'Other Expense'!$F$8:$F$2966,"&lt;="&amp;EOMONTH(O7,0),'Other Expense'!$H$8:$H$2966,$B$18)</f>
        <v>0</v>
      </c>
      <c r="P18" s="110">
        <f>SUMIFS('Other Expense'!$G$8:$G$2966,'Other Expense'!$F$8:$F$2966,"&gt;="&amp;P7,'Other Expense'!$F$8:$F$2966,"&lt;="&amp;EOMONTH(P7,0),'Other Expense'!$H$8:$H$2966,$B$18)</f>
        <v>0</v>
      </c>
      <c r="Q18" s="110">
        <f>SUMIFS('Other Expense'!$G$8:$G$2966,'Other Expense'!$F$8:$F$2966,"&gt;="&amp;Q7,'Other Expense'!$F$8:$F$2966,"&lt;="&amp;EOMONTH(Q7,0),'Other Expense'!$H$8:$H$2966,$B$18)</f>
        <v>150</v>
      </c>
      <c r="R18" s="110">
        <f>SUMIFS('Other Expense'!$G$8:$G$2966,'Other Expense'!$F$8:$F$2966,"&gt;="&amp;R7,'Other Expense'!$F$8:$F$2966,"&lt;="&amp;EOMONTH(R7,0),'Other Expense'!$H$8:$H$2966,$B$18)</f>
        <v>0</v>
      </c>
      <c r="S18" s="110">
        <f>SUMIFS('Other Expense'!$G$8:$G$2966,'Other Expense'!$F$8:$F$2966,"&gt;="&amp;S7,'Other Expense'!$F$8:$F$2966,"&lt;="&amp;EOMONTH(S7,0),'Other Expense'!$H$8:$H$2966,$B$18)</f>
        <v>25</v>
      </c>
      <c r="T18" s="110">
        <f>SUMIFS('Other Expense'!$G$8:$G$2966,'Other Expense'!$F$8:$F$2966,"&gt;="&amp;T7,'Other Expense'!$F$8:$F$2966,"&lt;="&amp;EOMONTH(T7,0),'Other Expense'!$H$8:$H$2966,$B$18)</f>
        <v>25</v>
      </c>
      <c r="U18" s="110">
        <f>SUMIFS('Other Expense'!$G$8:$G$2966,'Other Expense'!$F$8:$F$2966,"&gt;="&amp;U7,'Other Expense'!$F$8:$F$2966,"&lt;="&amp;EOMONTH(U7,0),'Other Expense'!$H$8:$H$2966,$B$18)</f>
        <v>25</v>
      </c>
      <c r="V18" s="110">
        <f>SUMIFS('Other Expense'!$G$8:$G$2966,'Other Expense'!$F$8:$F$2966,"&gt;="&amp;V7,'Other Expense'!$F$8:$F$2966,"&lt;="&amp;EOMONTH(V7,0),'Other Expense'!$H$8:$H$2966,$B$18)</f>
        <v>25</v>
      </c>
      <c r="W18" s="110">
        <f>SUMIFS('Other Expense'!$G$8:$G$2966,'Other Expense'!$F$8:$F$2966,"&gt;="&amp;W7,'Other Expense'!$F$8:$F$2966,"&lt;="&amp;EOMONTH(W7,0),'Other Expense'!$H$8:$H$2966,$B$18)</f>
        <v>50</v>
      </c>
      <c r="X18" s="110">
        <f>SUMIFS('Other Expense'!$G$8:$G$2966,'Other Expense'!$F$8:$F$2966,"&gt;="&amp;X7,'Other Expense'!$F$8:$F$2966,"&lt;="&amp;EOMONTH(X7,0),'Other Expense'!$H$8:$H$2966,$B$18)</f>
        <v>50</v>
      </c>
      <c r="Y18" s="110">
        <f>SUMIFS('Other Expense'!$G$8:$G$2966,'Other Expense'!$F$8:$F$2966,"&gt;="&amp;Y7,'Other Expense'!$F$8:$F$2966,"&lt;="&amp;EOMONTH(Y7,0),'Other Expense'!$H$8:$H$2966,$B$18)</f>
        <v>50</v>
      </c>
      <c r="Z18" s="110">
        <f>SUMIFS('Other Expense'!$G$8:$G$2966,'Other Expense'!$F$8:$F$2966,"&gt;="&amp;Z7,'Other Expense'!$F$8:$F$2966,"&lt;="&amp;EOMONTH(Z7,0),'Other Expense'!$H$8:$H$2966,$B$18)</f>
        <v>50</v>
      </c>
      <c r="AA18" s="110">
        <f>SUMIFS('Other Expense'!$G$8:$G$2966,'Other Expense'!$F$8:$F$2966,"&gt;="&amp;AA7,'Other Expense'!$F$8:$F$2966,"&lt;="&amp;EOMONTH(AA7,0),'Other Expense'!$H$8:$H$2966,$B$18)</f>
        <v>52</v>
      </c>
      <c r="AB18" s="110">
        <f>SUMIFS('Other Expense'!$G$8:$G$2966,'Other Expense'!$F$8:$F$2966,"&gt;="&amp;AB7,'Other Expense'!$F$8:$F$2966,"&lt;="&amp;EOMONTH(AB7,0),'Other Expense'!$H$8:$H$2966,$B$18)</f>
        <v>52</v>
      </c>
      <c r="AC18" s="110">
        <f>SUMIFS('Other Expense'!$G$8:$G$2966,'Other Expense'!$F$8:$F$2966,"&gt;="&amp;AC7,'Other Expense'!$F$8:$F$2966,"&lt;="&amp;EOMONTH(AC7,0),'Other Expense'!$H$8:$H$2966,$B$18)</f>
        <v>602</v>
      </c>
      <c r="AD18" s="110">
        <f>SUMIFS('Other Expense'!$G$8:$G$2966,'Other Expense'!$F$8:$F$2966,"&gt;="&amp;AD7,'Other Expense'!$F$8:$F$2966,"&lt;="&amp;EOMONTH(AD7,0),'Other Expense'!$H$8:$H$2966,$B$18)</f>
        <v>52</v>
      </c>
      <c r="AE18" s="110">
        <f>SUMIFS('Other Expense'!$G$8:$G$2966,'Other Expense'!$F$8:$F$2966,"&gt;="&amp;AE7,'Other Expense'!$F$8:$F$2966,"&lt;="&amp;EOMONTH(AE7,0),'Other Expense'!$H$8:$H$2966,$B$18)</f>
        <v>712</v>
      </c>
      <c r="AF18" s="110">
        <f>SUMIFS('Other Expense'!$G$8:$G$2966,'Other Expense'!$F$8:$F$2966,"&gt;="&amp;AF7,'Other Expense'!$F$8:$F$2966,"&lt;="&amp;EOMONTH(AF7,0),'Other Expense'!$H$8:$H$2966,$B$18)</f>
        <v>52</v>
      </c>
      <c r="AG18" s="110">
        <f>SUMIFS('Other Expense'!$G$8:$G$2966,'Other Expense'!$F$8:$F$2966,"&gt;="&amp;AG7,'Other Expense'!$F$8:$F$2966,"&lt;="&amp;EOMONTH(AG7,0),'Other Expense'!$H$8:$H$2966,$B$18)</f>
        <v>52</v>
      </c>
      <c r="AH18" s="110">
        <f>SUMIFS('Other Expense'!$G$8:$G$2966,'Other Expense'!$F$8:$F$2966,"&gt;="&amp;AH7,'Other Expense'!$F$8:$F$2966,"&lt;="&amp;EOMONTH(AH7,0),'Other Expense'!$H$8:$H$2966,$B$18)</f>
        <v>54</v>
      </c>
      <c r="AI18" s="110">
        <f>SUMIFS('Other Expense'!$G$8:$G$2966,'Other Expense'!$F$8:$F$2966,"&gt;="&amp;AI7,'Other Expense'!$F$8:$F$2966,"&lt;="&amp;EOMONTH(AI7,0),'Other Expense'!$H$8:$H$2966,$B$18)</f>
        <v>54</v>
      </c>
      <c r="AJ18" s="110">
        <f>SUMIFS('Other Expense'!$G$8:$G$2966,'Other Expense'!$F$8:$F$2966,"&gt;="&amp;AJ7,'Other Expense'!$F$8:$F$2966,"&lt;="&amp;EOMONTH(AJ7,0),'Other Expense'!$H$8:$H$2966,$B$18)</f>
        <v>54.99</v>
      </c>
      <c r="AK18" s="110">
        <f>SUMIFS('Other Expense'!$G$8:$G$2966,'Other Expense'!$F$8:$F$2966,"&gt;="&amp;AK7,'Other Expense'!$F$8:$F$2966,"&lt;="&amp;EOMONTH(AK7,0),'Other Expense'!$H$8:$H$2966,$B$18)</f>
        <v>54</v>
      </c>
      <c r="AL18" s="110">
        <f>SUMIFS('Other Expense'!$G$8:$G$2966,'Other Expense'!$F$8:$F$2966,"&gt;="&amp;AL7,'Other Expense'!$F$8:$F$2966,"&lt;="&amp;EOMONTH(AL7,0),'Other Expense'!$H$8:$H$2966,$B$18)</f>
        <v>954</v>
      </c>
      <c r="AM18" s="110">
        <f>SUMIFS('Other Expense'!$G$8:$G$2966,'Other Expense'!$F$8:$F$2966,"&gt;="&amp;AM7,'Other Expense'!$F$8:$F$2966,"&lt;="&amp;EOMONTH(AM7,0),'Other Expense'!$H$8:$H$2966,$B$18)</f>
        <v>1004</v>
      </c>
      <c r="AN18" s="110">
        <f>SUMIFS('Other Expense'!$G$8:$G$2966,'Other Expense'!$F$8:$F$2966,"&gt;="&amp;AN7,'Other Expense'!$F$8:$F$2966,"&lt;="&amp;EOMONTH(AN7,0),'Other Expense'!$H$8:$H$2966,$B$18)</f>
        <v>142</v>
      </c>
      <c r="AO18" s="110">
        <f>SUMIFS('Other Expense'!$G$8:$G$2966,'Other Expense'!$F$8:$F$2966,"&gt;="&amp;AO7,'Other Expense'!$F$8:$F$2966,"&lt;="&amp;EOMONTH(AO7,0),'Other Expense'!$H$8:$H$2966,$B$18)</f>
        <v>54</v>
      </c>
      <c r="AP18" s="110">
        <f>SUMIFS('Other Expense'!$G$8:$G$2966,'Other Expense'!$F$8:$F$2966,"&gt;="&amp;AP7,'Other Expense'!$F$8:$F$2966,"&lt;="&amp;EOMONTH(AP7,0),'Other Expense'!$H$8:$H$2966,$B$18)</f>
        <v>36</v>
      </c>
      <c r="AQ18" s="110">
        <f>SUMIFS('Other Expense'!$G$8:$G$2966,'Other Expense'!$F$8:$F$2966,"&gt;="&amp;AQ7,'Other Expense'!$F$8:$F$2966,"&lt;="&amp;EOMONTH(AQ7,0),'Other Expense'!$H$8:$H$2966,$B$18)</f>
        <v>0</v>
      </c>
      <c r="AR18" s="110">
        <f>SUMIFS('Other Expense'!$G$8:$G$2966,'Other Expense'!$F$8:$F$2966,"&gt;="&amp;AR7,'Other Expense'!$F$8:$F$2966,"&lt;="&amp;EOMONTH(AR7,0),'Other Expense'!$H$8:$H$2966,$B$18)</f>
        <v>0</v>
      </c>
      <c r="AS18" s="110">
        <f>SUMIFS('Other Expense'!$G$8:$G$2966,'Other Expense'!$F$8:$F$2966,"&gt;="&amp;AS7,'Other Expense'!$F$8:$F$2966,"&lt;="&amp;EOMONTH(AS7,0),'Other Expense'!$H$8:$H$2966,$B$18)</f>
        <v>0</v>
      </c>
      <c r="AT18" s="110">
        <f>SUMIFS('Other Expense'!$G$8:$G$2966,'Other Expense'!$F$8:$F$2966,"&gt;="&amp;AT7,'Other Expense'!$F$8:$F$2966,"&lt;="&amp;EOMONTH(AT7,0),'Other Expense'!$H$8:$H$2966,$B$18)</f>
        <v>0</v>
      </c>
      <c r="AU18" s="110">
        <f>SUMIFS('Other Expense'!$G$8:$G$2966,'Other Expense'!$F$8:$F$2966,"&gt;="&amp;AU7,'Other Expense'!$F$8:$F$2966,"&lt;="&amp;EOMONTH(AU7,0),'Other Expense'!$H$8:$H$2966,$B$18)</f>
        <v>0</v>
      </c>
      <c r="AV18" s="110">
        <f>SUMIFS('Other Expense'!$G$8:$G$2966,'Other Expense'!$F$8:$F$2966,"&gt;="&amp;AV7,'Other Expense'!$F$8:$F$2966,"&lt;="&amp;EOMONTH(AV7,0),'Other Expense'!$H$8:$H$2966,$B$18)</f>
        <v>0</v>
      </c>
      <c r="AW18" s="110">
        <f>SUMIFS('Other Expense'!$G$8:$G$2966,'Other Expense'!$F$8:$F$2966,"&gt;="&amp;AW7,'Other Expense'!$F$8:$F$2966,"&lt;="&amp;EOMONTH(AW7,0),'Other Expense'!$H$8:$H$2966,$B$18)</f>
        <v>0</v>
      </c>
      <c r="AX18" s="110">
        <f>SUMIFS('Other Expense'!$G$8:$G$2966,'Other Expense'!$F$8:$F$2966,"&gt;="&amp;AX7,'Other Expense'!$F$8:$F$2966,"&lt;="&amp;EOMONTH(AX7,0),'Other Expense'!$H$8:$H$2966,$B$18)</f>
        <v>300</v>
      </c>
      <c r="AY18" s="110">
        <f>SUMIFS('Other Expense'!$G$8:$G$2966,'Other Expense'!$F$8:$F$2966,"&gt;="&amp;AY7,'Other Expense'!$F$8:$F$2966,"&lt;="&amp;EOMONTH(AY7,0),'Other Expense'!$H$8:$H$2966,$B$18)</f>
        <v>0</v>
      </c>
      <c r="AZ18" s="110">
        <f>SUMIFS('Other Expense'!$G$8:$G$2966,'Other Expense'!$F$8:$F$2966,"&gt;="&amp;AZ7,'Other Expense'!$F$8:$F$2966,"&lt;="&amp;EOMONTH(AZ7,0),'Other Expense'!$H$8:$H$2966,$B$18)</f>
        <v>0</v>
      </c>
      <c r="BA18" s="110">
        <f>SUMIFS('Other Expense'!$G$8:$G$2966,'Other Expense'!$F$8:$F$2966,"&gt;="&amp;BA7,'Other Expense'!$F$8:$F$2966,"&lt;="&amp;EOMONTH(BA7,0),'Other Expense'!$H$8:$H$2966,$B$18)</f>
        <v>0</v>
      </c>
    </row>
    <row r="19" spans="1:53" x14ac:dyDescent="0.25">
      <c r="A19" t="s">
        <v>130</v>
      </c>
      <c r="B19" s="5" t="s">
        <v>22</v>
      </c>
      <c r="C19" s="69" t="str">
        <f t="shared" si="13"/>
        <v/>
      </c>
      <c r="D19" s="109" t="e">
        <f t="shared" si="2"/>
        <v>#REF!</v>
      </c>
      <c r="E19" s="69" t="str">
        <f t="shared" si="14"/>
        <v/>
      </c>
      <c r="F19" s="109" t="e">
        <f t="shared" si="3"/>
        <v>#REF!</v>
      </c>
      <c r="G19" s="69" t="str">
        <f t="shared" si="15"/>
        <v/>
      </c>
      <c r="H19" s="109" t="e">
        <f t="shared" si="4"/>
        <v>#REF!</v>
      </c>
      <c r="I19" s="110" t="e">
        <f>SUMIFS('Other Expense'!$G$8:$G$2966,'Other Expense'!$F$8:$F$2966,"&gt;="&amp;I7,'Other Expense'!$F$8:$F$2966,"&lt;="&amp;EOMONTH(I7,0),'Other Expense'!$H$8:$H$2966,$B$19)+SUMIFS('CEI565'!$K$6:$K$2990,'CEI565'!$J$6:$J$2990,"&gt;="&amp;I7,'CEI565'!$J$6:$J$2990,"&lt;="&amp;EOMONTH(I7,0),'CEI565'!$L$6:$L$2990,$B$19)+SUMIFS('1SM3VL'!$K$6:$K$2990,'1SM3VL'!$J$6:$J$2990,"&gt;="&amp;I7,'1SM3VL'!$J$6:$J$2990,"&lt;="&amp;EOMONTH(I7,0),'1SM3VL'!$L$6:$L$2990,$B$19)+SUMIFS('1QF4SM'!$K$6:$K$2989,'1QF4SM'!$J$6:$J$2989,"&gt;="&amp;I7,'1QF4SM'!$J$6:$J$2989,"&lt;="&amp;EOMONTH(I7,0),'1QF4SM'!$L$6:$L$2989,$B$19)+SUMIFS('1UV5KI'!$K$6:$K$2989,'1UV5KI'!$J$6:$J$2989,"&gt;="&amp;I7,'1UV5KI'!$J$6:$J$2989,"&lt;="&amp;EOMONTH(I7,0),'1UV5KI'!$L$6:$L$2989,$B$19)+SUMIFS(#REF!,#REF!,"&gt;="&amp;I7,#REF!,"&lt;="&amp;EOMONTH(I7,0),#REF!,$B$19)+SUMIFS('1UL9RY'!$K$6:$K$2990,'1UL9RY'!$J$6:$J$2990,"&gt;="&amp;I7,'1UL9RY'!$J$6:$J$2990,"&lt;="&amp;EOMONTH(I7,0),'1UL9RY'!$L$6:$L$2990,$B$19)+SUMIFS('1OZ7GT'!$K$6:$K$2989,'1OZ7GT'!$J$6:$J$2989,"&gt;="&amp;I7,'1OZ7GT'!$J$6:$J$2989,"&lt;="&amp;EOMONTH(I7,0),'1OZ7GT'!$L$6:$L$2989,$B$19)+SUMIFS('1CN8DD'!$K$6:$K$2989,'1CN8DD'!$J$6:$J$2989,"&gt;="&amp;I7,'1CN8DD'!$J$6:$J$2989,"&lt;="&amp;EOMONTH(I7,0),'1CN8DD'!$L$6:$L$2989,$B$19)+SUMIFS('1UT9BR'!$K$6:$K$2990,'1UT9BR'!$J$6:$J$2990,"&gt;="&amp;I7,'1UT9BR'!$J$6:$J$2990,"&lt;="&amp;EOMONTH(I7,0),'1UT9BR'!$L$6:$L$2990,$B$19)+SUMIFS('1MK4UR'!$K$6:$K$2990,'1MK4UR'!$J$6:$J$2990,"&gt;="&amp;I7,'1MK4UR'!$J$6:$J$2990,"&lt;="&amp;EOMONTH(I7,0),'1MK4UR'!$L$6:$L$2990,$B$19)+SUMIFS(#REF!,#REF!,"&gt;="&amp;I7,#REF!,"&lt;="&amp;EOMONTH(I7,0),#REF!,$B$19)+SUMIFS('1JI2UE'!$K$6:$K$2989,'1JI2UE'!$J$6:$J$2989,"&gt;="&amp;I7,'1JI2UE'!$J$6:$J$2989,"&lt;="&amp;EOMONTH(I7,0),'1JI2UE'!$L$6:$L$2989,$B$19)+SUMIFS(#REF!,#REF!,"&gt;="&amp;I7,#REF!,"&lt;="&amp;EOMONTH(I7,0),#REF!,$B$19)+SUMIFS('1SI9BW'!$K$6:$K$2989,'1SI9BW'!$J$6:$J$2989,"&gt;="&amp;I7,'1SI9BW'!$J$6:$J$2989,"&lt;="&amp;EOMONTH(I7,0),'1SI9BW'!$L$6:$L$2989,$B$19)+SUMIFS(Suzuki!$K$6:$K$2989,Suzuki!$J$6:$J$2989,"&gt;="&amp;I7,Suzuki!$J$6:$J$2989,"&lt;="&amp;EOMONTH(I7,0),Suzuki!$L$6:$L$2989,$B$19)+SUMIFS('1SK3DD'!$K$6:$K$2989,'1SK3DD'!$J$6:$J$2989,"&gt;="&amp;I7,'1SK3DD'!$J$6:$J$2989,"&lt;="&amp;EOMONTH(I7,0),'1SK3DD'!$L$6:$L$2989,$B$19)+SUMIFS('1SX5TQ'!$K$6:$K$2989,'1SX5TQ'!$J$6:$J$2989,"&gt;="&amp;I7,'1SX5TQ'!$J$6:$J$2989,"&lt;="&amp;EOMONTH(I7,0),'1SX5TQ'!$L$6:$L$2989,$B$19)+SUMIFS('BMM465'!$K$6:$K$2989,'BMM465'!$J$6:$J$2989,"&gt;="&amp;I7,'BMM465'!$J$6:$J$2989,"&lt;="&amp;EOMONTH(I7,0),'BMM465'!$L$6:$L$2989,$B$19)+SUMIFS('1CF1ZO'!$K$6:$K$2989,'1CF1ZO'!$J$6:$J$2989,"&gt;="&amp;I7,'1CF1ZO'!$J$6:$J$2989,"&lt;="&amp;EOMONTH(I7,0),'1CF1ZO'!$L$6:$L$2989,$B$19)+SUMIFS('1UK1BK'!$K$6:$K$2989,'1UK1BK'!$J$6:$J$2989,"&gt;="&amp;I7,'1UK1BK'!$J$6:$J$2989,"&lt;="&amp;EOMONTH(I7,0),'1UK1BK'!$L$6:$L$2989,$B$19)</f>
        <v>#REF!</v>
      </c>
      <c r="J19" s="110" t="e">
        <f>SUMIFS('Other Expense'!$G$8:$G$2966,'Other Expense'!$F$8:$F$2966,"&gt;="&amp;J7,'Other Expense'!$F$8:$F$2966,"&lt;="&amp;EOMONTH(J7,0),'Other Expense'!$H$8:$H$2966,$B$19)+SUMIFS('CEI565'!$K$6:$K$2990,'CEI565'!$J$6:$J$2990,"&gt;="&amp;J7,'CEI565'!$J$6:$J$2990,"&lt;="&amp;EOMONTH(J7,0),'CEI565'!$L$6:$L$2990,$B$19)+SUMIFS('1SM3VL'!$K$6:$K$2990,'1SM3VL'!$J$6:$J$2990,"&gt;="&amp;J7,'1SM3VL'!$J$6:$J$2990,"&lt;="&amp;EOMONTH(J7,0),'1SM3VL'!$L$6:$L$2990,$B$19)+SUMIFS('1QF4SM'!$K$6:$K$2989,'1QF4SM'!$J$6:$J$2989,"&gt;="&amp;J7,'1QF4SM'!$J$6:$J$2989,"&lt;="&amp;EOMONTH(J7,0),'1QF4SM'!$L$6:$L$2989,$B$19)+SUMIFS('1UV5KI'!$K$6:$K$2989,'1UV5KI'!$J$6:$J$2989,"&gt;="&amp;J7,'1UV5KI'!$J$6:$J$2989,"&lt;="&amp;EOMONTH(J7,0),'1UV5KI'!$L$6:$L$2989,$B$19)+SUMIFS(#REF!,#REF!,"&gt;="&amp;J7,#REF!,"&lt;="&amp;EOMONTH(J7,0),#REF!,$B$19)+SUMIFS('1UL9RY'!$K$6:$K$2990,'1UL9RY'!$J$6:$J$2990,"&gt;="&amp;J7,'1UL9RY'!$J$6:$J$2990,"&lt;="&amp;EOMONTH(J7,0),'1UL9RY'!$L$6:$L$2990,$B$19)+SUMIFS('1OZ7GT'!$K$6:$K$2989,'1OZ7GT'!$J$6:$J$2989,"&gt;="&amp;J7,'1OZ7GT'!$J$6:$J$2989,"&lt;="&amp;EOMONTH(J7,0),'1OZ7GT'!$L$6:$L$2989,$B$19)+SUMIFS('1CN8DD'!$K$6:$K$2989,'1CN8DD'!$J$6:$J$2989,"&gt;="&amp;J7,'1CN8DD'!$J$6:$J$2989,"&lt;="&amp;EOMONTH(J7,0),'1CN8DD'!$L$6:$L$2989,$B$19)+SUMIFS('1UT9BR'!$K$6:$K$2990,'1UT9BR'!$J$6:$J$2990,"&gt;="&amp;J7,'1UT9BR'!$J$6:$J$2990,"&lt;="&amp;EOMONTH(J7,0),'1UT9BR'!$L$6:$L$2990,$B$19)+SUMIFS('1MK4UR'!$K$6:$K$2990,'1MK4UR'!$J$6:$J$2990,"&gt;="&amp;J7,'1MK4UR'!$J$6:$J$2990,"&lt;="&amp;EOMONTH(J7,0),'1MK4UR'!$L$6:$L$2990,$B$19)+SUMIFS(#REF!,#REF!,"&gt;="&amp;J7,#REF!,"&lt;="&amp;EOMONTH(J7,0),#REF!,$B$19)+SUMIFS('1JI2UE'!$K$6:$K$2989,'1JI2UE'!$J$6:$J$2989,"&gt;="&amp;J7,'1JI2UE'!$J$6:$J$2989,"&lt;="&amp;EOMONTH(J7,0),'1JI2UE'!$L$6:$L$2989,$B$19)+SUMIFS(#REF!,#REF!,"&gt;="&amp;J7,#REF!,"&lt;="&amp;EOMONTH(J7,0),#REF!,$B$19)+SUMIFS('1SI9BW'!$K$6:$K$2989,'1SI9BW'!$J$6:$J$2989,"&gt;="&amp;J7,'1SI9BW'!$J$6:$J$2989,"&lt;="&amp;EOMONTH(J7,0),'1SI9BW'!$L$6:$L$2989,$B$19)+SUMIFS(Suzuki!$K$6:$K$2989,Suzuki!$J$6:$J$2989,"&gt;="&amp;J7,Suzuki!$J$6:$J$2989,"&lt;="&amp;EOMONTH(J7,0),Suzuki!$L$6:$L$2989,$B$19)+SUMIFS('1SK3DD'!$K$6:$K$2989,'1SK3DD'!$J$6:$J$2989,"&gt;="&amp;J7,'1SK3DD'!$J$6:$J$2989,"&lt;="&amp;EOMONTH(J7,0),'1SK3DD'!$L$6:$L$2989,$B$19)+SUMIFS('1SX5TQ'!$K$6:$K$2989,'1SX5TQ'!$J$6:$J$2989,"&gt;="&amp;J7,'1SX5TQ'!$J$6:$J$2989,"&lt;="&amp;EOMONTH(J7,0),'1SX5TQ'!$L$6:$L$2989,$B$19)+SUMIFS('BMM465'!$K$6:$K$2989,'BMM465'!$J$6:$J$2989,"&gt;="&amp;J7,'BMM465'!$J$6:$J$2989,"&lt;="&amp;EOMONTH(J7,0),'BMM465'!$L$6:$L$2989,$B$19)+SUMIFS('1CF1ZO'!$K$6:$K$2989,'1CF1ZO'!$J$6:$J$2989,"&gt;="&amp;J7,'1CF1ZO'!$J$6:$J$2989,"&lt;="&amp;EOMONTH(J7,0),'1CF1ZO'!$L$6:$L$2989,$B$19)+SUMIFS('1UK1BK'!$K$6:$K$2989,'1UK1BK'!$J$6:$J$2989,"&gt;="&amp;J7,'1UK1BK'!$J$6:$J$2989,"&lt;="&amp;EOMONTH(J7,0),'1UK1BK'!$L$6:$L$2989,$B$19)</f>
        <v>#REF!</v>
      </c>
      <c r="K19" s="110" t="e">
        <f>SUMIFS('Other Expense'!$G$8:$G$2966,'Other Expense'!$F$8:$F$2966,"&gt;="&amp;K7,'Other Expense'!$F$8:$F$2966,"&lt;="&amp;EOMONTH(K7,0),'Other Expense'!$H$8:$H$2966,$B$19)+SUMIFS('CEI565'!$K$6:$K$2990,'CEI565'!$J$6:$J$2990,"&gt;="&amp;K7,'CEI565'!$J$6:$J$2990,"&lt;="&amp;EOMONTH(K7,0),'CEI565'!$L$6:$L$2990,$B$19)+SUMIFS('1SM3VL'!$K$6:$K$2990,'1SM3VL'!$J$6:$J$2990,"&gt;="&amp;K7,'1SM3VL'!$J$6:$J$2990,"&lt;="&amp;EOMONTH(K7,0),'1SM3VL'!$L$6:$L$2990,$B$19)+SUMIFS('1QF4SM'!$K$6:$K$2989,'1QF4SM'!$J$6:$J$2989,"&gt;="&amp;K7,'1QF4SM'!$J$6:$J$2989,"&lt;="&amp;EOMONTH(K7,0),'1QF4SM'!$L$6:$L$2989,$B$19)+SUMIFS('1UV5KI'!$K$6:$K$2989,'1UV5KI'!$J$6:$J$2989,"&gt;="&amp;K7,'1UV5KI'!$J$6:$J$2989,"&lt;="&amp;EOMONTH(K7,0),'1UV5KI'!$L$6:$L$2989,$B$19)+SUMIFS(#REF!,#REF!,"&gt;="&amp;K7,#REF!,"&lt;="&amp;EOMONTH(K7,0),#REF!,$B$19)+SUMIFS('1UL9RY'!$K$6:$K$2990,'1UL9RY'!$J$6:$J$2990,"&gt;="&amp;K7,'1UL9RY'!$J$6:$J$2990,"&lt;="&amp;EOMONTH(K7,0),'1UL9RY'!$L$6:$L$2990,$B$19)+SUMIFS('1OZ7GT'!$K$6:$K$2989,'1OZ7GT'!$J$6:$J$2989,"&gt;="&amp;K7,'1OZ7GT'!$J$6:$J$2989,"&lt;="&amp;EOMONTH(K7,0),'1OZ7GT'!$L$6:$L$2989,$B$19)+SUMIFS('1CN8DD'!$K$6:$K$2989,'1CN8DD'!$J$6:$J$2989,"&gt;="&amp;K7,'1CN8DD'!$J$6:$J$2989,"&lt;="&amp;EOMONTH(K7,0),'1CN8DD'!$L$6:$L$2989,$B$19)+SUMIFS('1UT9BR'!$K$6:$K$2990,'1UT9BR'!$J$6:$J$2990,"&gt;="&amp;K7,'1UT9BR'!$J$6:$J$2990,"&lt;="&amp;EOMONTH(K7,0),'1UT9BR'!$L$6:$L$2990,$B$19)+SUMIFS('1MK4UR'!$K$6:$K$2990,'1MK4UR'!$J$6:$J$2990,"&gt;="&amp;K7,'1MK4UR'!$J$6:$J$2990,"&lt;="&amp;EOMONTH(K7,0),'1MK4UR'!$L$6:$L$2990,$B$19)+SUMIFS(#REF!,#REF!,"&gt;="&amp;K7,#REF!,"&lt;="&amp;EOMONTH(K7,0),#REF!,$B$19)+SUMIFS('1JI2UE'!$K$6:$K$2989,'1JI2UE'!$J$6:$J$2989,"&gt;="&amp;K7,'1JI2UE'!$J$6:$J$2989,"&lt;="&amp;EOMONTH(K7,0),'1JI2UE'!$L$6:$L$2989,$B$19)+SUMIFS(#REF!,#REF!,"&gt;="&amp;K7,#REF!,"&lt;="&amp;EOMONTH(K7,0),#REF!,$B$19)+SUMIFS('1SI9BW'!$K$6:$K$2989,'1SI9BW'!$J$6:$J$2989,"&gt;="&amp;K7,'1SI9BW'!$J$6:$J$2989,"&lt;="&amp;EOMONTH(K7,0),'1SI9BW'!$L$6:$L$2989,$B$19)+SUMIFS(Suzuki!$K$6:$K$2989,Suzuki!$J$6:$J$2989,"&gt;="&amp;K7,Suzuki!$J$6:$J$2989,"&lt;="&amp;EOMONTH(K7,0),Suzuki!$L$6:$L$2989,$B$19)+SUMIFS('1SK3DD'!$K$6:$K$2989,'1SK3DD'!$J$6:$J$2989,"&gt;="&amp;K7,'1SK3DD'!$J$6:$J$2989,"&lt;="&amp;EOMONTH(K7,0),'1SK3DD'!$L$6:$L$2989,$B$19)+SUMIFS('1SX5TQ'!$K$6:$K$2989,'1SX5TQ'!$J$6:$J$2989,"&gt;="&amp;K7,'1SX5TQ'!$J$6:$J$2989,"&lt;="&amp;EOMONTH(K7,0),'1SX5TQ'!$L$6:$L$2989,$B$19)+SUMIFS('BMM465'!$K$6:$K$2989,'BMM465'!$J$6:$J$2989,"&gt;="&amp;K7,'BMM465'!$J$6:$J$2989,"&lt;="&amp;EOMONTH(K7,0),'BMM465'!$L$6:$L$2989,$B$19)+SUMIFS('1CF1ZO'!$K$6:$K$2989,'1CF1ZO'!$J$6:$J$2989,"&gt;="&amp;K7,'1CF1ZO'!$J$6:$J$2989,"&lt;="&amp;EOMONTH(K7,0),'1CF1ZO'!$L$6:$L$2989,$B$19)+SUMIFS('1UK1BK'!$K$6:$K$2989,'1UK1BK'!$J$6:$J$2989,"&gt;="&amp;K7,'1UK1BK'!$J$6:$J$2989,"&lt;="&amp;EOMONTH(K7,0),'1UK1BK'!$L$6:$L$2989,$B$19)</f>
        <v>#REF!</v>
      </c>
      <c r="L19" s="110" t="e">
        <f>SUMIFS('Other Expense'!$G$8:$G$2966,'Other Expense'!$F$8:$F$2966,"&gt;="&amp;L7,'Other Expense'!$F$8:$F$2966,"&lt;="&amp;EOMONTH(L7,0),'Other Expense'!$H$8:$H$2966,$B$19)+SUMIFS('CEI565'!$K$6:$K$2990,'CEI565'!$J$6:$J$2990,"&gt;="&amp;L7,'CEI565'!$J$6:$J$2990,"&lt;="&amp;EOMONTH(L7,0),'CEI565'!$L$6:$L$2990,$B$19)+SUMIFS('1SM3VL'!$K$6:$K$2990,'1SM3VL'!$J$6:$J$2990,"&gt;="&amp;L7,'1SM3VL'!$J$6:$J$2990,"&lt;="&amp;EOMONTH(L7,0),'1SM3VL'!$L$6:$L$2990,$B$19)+SUMIFS('1QF4SM'!$K$6:$K$2989,'1QF4SM'!$J$6:$J$2989,"&gt;="&amp;L7,'1QF4SM'!$J$6:$J$2989,"&lt;="&amp;EOMONTH(L7,0),'1QF4SM'!$L$6:$L$2989,$B$19)+SUMIFS('1UV5KI'!$K$6:$K$2989,'1UV5KI'!$J$6:$J$2989,"&gt;="&amp;L7,'1UV5KI'!$J$6:$J$2989,"&lt;="&amp;EOMONTH(L7,0),'1UV5KI'!$L$6:$L$2989,$B$19)+SUMIFS(#REF!,#REF!,"&gt;="&amp;L7,#REF!,"&lt;="&amp;EOMONTH(L7,0),#REF!,$B$19)+SUMIFS('1UL9RY'!$K$6:$K$2990,'1UL9RY'!$J$6:$J$2990,"&gt;="&amp;L7,'1UL9RY'!$J$6:$J$2990,"&lt;="&amp;EOMONTH(L7,0),'1UL9RY'!$L$6:$L$2990,$B$19)+SUMIFS('1OZ7GT'!$K$6:$K$2989,'1OZ7GT'!$J$6:$J$2989,"&gt;="&amp;L7,'1OZ7GT'!$J$6:$J$2989,"&lt;="&amp;EOMONTH(L7,0),'1OZ7GT'!$L$6:$L$2989,$B$19)+SUMIFS('1CN8DD'!$K$6:$K$2989,'1CN8DD'!$J$6:$J$2989,"&gt;="&amp;L7,'1CN8DD'!$J$6:$J$2989,"&lt;="&amp;EOMONTH(L7,0),'1CN8DD'!$L$6:$L$2989,$B$19)+SUMIFS('1UT9BR'!$K$6:$K$2990,'1UT9BR'!$J$6:$J$2990,"&gt;="&amp;L7,'1UT9BR'!$J$6:$J$2990,"&lt;="&amp;EOMONTH(L7,0),'1UT9BR'!$L$6:$L$2990,$B$19)+SUMIFS('1MK4UR'!$K$6:$K$2990,'1MK4UR'!$J$6:$J$2990,"&gt;="&amp;L7,'1MK4UR'!$J$6:$J$2990,"&lt;="&amp;EOMONTH(L7,0),'1MK4UR'!$L$6:$L$2990,$B$19)+SUMIFS(#REF!,#REF!,"&gt;="&amp;L7,#REF!,"&lt;="&amp;EOMONTH(L7,0),#REF!,$B$19)+SUMIFS('1JI2UE'!$K$6:$K$2989,'1JI2UE'!$J$6:$J$2989,"&gt;="&amp;L7,'1JI2UE'!$J$6:$J$2989,"&lt;="&amp;EOMONTH(L7,0),'1JI2UE'!$L$6:$L$2989,$B$19)+SUMIFS(#REF!,#REF!,"&gt;="&amp;L7,#REF!,"&lt;="&amp;EOMONTH(L7,0),#REF!,$B$19)+SUMIFS('1SI9BW'!$K$6:$K$2989,'1SI9BW'!$J$6:$J$2989,"&gt;="&amp;L7,'1SI9BW'!$J$6:$J$2989,"&lt;="&amp;EOMONTH(L7,0),'1SI9BW'!$L$6:$L$2989,$B$19)+SUMIFS(Suzuki!$K$6:$K$2989,Suzuki!$J$6:$J$2989,"&gt;="&amp;L7,Suzuki!$J$6:$J$2989,"&lt;="&amp;EOMONTH(L7,0),Suzuki!$L$6:$L$2989,$B$19)+SUMIFS('1SK3DD'!$K$6:$K$2989,'1SK3DD'!$J$6:$J$2989,"&gt;="&amp;L7,'1SK3DD'!$J$6:$J$2989,"&lt;="&amp;EOMONTH(L7,0),'1SK3DD'!$L$6:$L$2989,$B$19)+SUMIFS('1SX5TQ'!$K$6:$K$2989,'1SX5TQ'!$J$6:$J$2989,"&gt;="&amp;L7,'1SX5TQ'!$J$6:$J$2989,"&lt;="&amp;EOMONTH(L7,0),'1SX5TQ'!$L$6:$L$2989,$B$19)+SUMIFS('BMM465'!$K$6:$K$2989,'BMM465'!$J$6:$J$2989,"&gt;="&amp;L7,'BMM465'!$J$6:$J$2989,"&lt;="&amp;EOMONTH(L7,0),'BMM465'!$L$6:$L$2989,$B$19)+SUMIFS('1CF1ZO'!$K$6:$K$2989,'1CF1ZO'!$J$6:$J$2989,"&gt;="&amp;L7,'1CF1ZO'!$J$6:$J$2989,"&lt;="&amp;EOMONTH(L7,0),'1CF1ZO'!$L$6:$L$2989,$B$19)+SUMIFS('1UK1BK'!$K$6:$K$2989,'1UK1BK'!$J$6:$J$2989,"&gt;="&amp;L7,'1UK1BK'!$J$6:$J$2989,"&lt;="&amp;EOMONTH(L7,0),'1UK1BK'!$L$6:$L$2989,$B$19)</f>
        <v>#REF!</v>
      </c>
      <c r="M19" s="110" t="e">
        <f>SUMIFS('Other Expense'!$G$8:$G$2966,'Other Expense'!$F$8:$F$2966,"&gt;="&amp;M7,'Other Expense'!$F$8:$F$2966,"&lt;="&amp;EOMONTH(M7,0),'Other Expense'!$H$8:$H$2966,$B$19)+SUMIFS('CEI565'!$K$6:$K$2990,'CEI565'!$J$6:$J$2990,"&gt;="&amp;M7,'CEI565'!$J$6:$J$2990,"&lt;="&amp;EOMONTH(M7,0),'CEI565'!$L$6:$L$2990,$B$19)+SUMIFS('1SM3VL'!$K$6:$K$2990,'1SM3VL'!$J$6:$J$2990,"&gt;="&amp;M7,'1SM3VL'!$J$6:$J$2990,"&lt;="&amp;EOMONTH(M7,0),'1SM3VL'!$L$6:$L$2990,$B$19)+SUMIFS('1QF4SM'!$K$6:$K$2989,'1QF4SM'!$J$6:$J$2989,"&gt;="&amp;M7,'1QF4SM'!$J$6:$J$2989,"&lt;="&amp;EOMONTH(M7,0),'1QF4SM'!$L$6:$L$2989,$B$19)+SUMIFS('1UV5KI'!$K$6:$K$2989,'1UV5KI'!$J$6:$J$2989,"&gt;="&amp;M7,'1UV5KI'!$J$6:$J$2989,"&lt;="&amp;EOMONTH(M7,0),'1UV5KI'!$L$6:$L$2989,$B$19)+SUMIFS(#REF!,#REF!,"&gt;="&amp;M7,#REF!,"&lt;="&amp;EOMONTH(M7,0),#REF!,$B$19)+SUMIFS('1UL9RY'!$K$6:$K$2990,'1UL9RY'!$J$6:$J$2990,"&gt;="&amp;M7,'1UL9RY'!$J$6:$J$2990,"&lt;="&amp;EOMONTH(M7,0),'1UL9RY'!$L$6:$L$2990,$B$19)+SUMIFS('1OZ7GT'!$K$6:$K$2989,'1OZ7GT'!$J$6:$J$2989,"&gt;="&amp;M7,'1OZ7GT'!$J$6:$J$2989,"&lt;="&amp;EOMONTH(M7,0),'1OZ7GT'!$L$6:$L$2989,$B$19)+SUMIFS('1CN8DD'!$K$6:$K$2989,'1CN8DD'!$J$6:$J$2989,"&gt;="&amp;M7,'1CN8DD'!$J$6:$J$2989,"&lt;="&amp;EOMONTH(M7,0),'1CN8DD'!$L$6:$L$2989,$B$19)+SUMIFS('1UT9BR'!$K$6:$K$2990,'1UT9BR'!$J$6:$J$2990,"&gt;="&amp;M7,'1UT9BR'!$J$6:$J$2990,"&lt;="&amp;EOMONTH(M7,0),'1UT9BR'!$L$6:$L$2990,$B$19)+SUMIFS('1MK4UR'!$K$6:$K$2990,'1MK4UR'!$J$6:$J$2990,"&gt;="&amp;M7,'1MK4UR'!$J$6:$J$2990,"&lt;="&amp;EOMONTH(M7,0),'1MK4UR'!$L$6:$L$2990,$B$19)+SUMIFS(#REF!,#REF!,"&gt;="&amp;M7,#REF!,"&lt;="&amp;EOMONTH(M7,0),#REF!,$B$19)+SUMIFS('1JI2UE'!$K$6:$K$2989,'1JI2UE'!$J$6:$J$2989,"&gt;="&amp;M7,'1JI2UE'!$J$6:$J$2989,"&lt;="&amp;EOMONTH(M7,0),'1JI2UE'!$L$6:$L$2989,$B$19)+SUMIFS(#REF!,#REF!,"&gt;="&amp;M7,#REF!,"&lt;="&amp;EOMONTH(M7,0),#REF!,$B$19)+SUMIFS('1SI9BW'!$K$6:$K$2989,'1SI9BW'!$J$6:$J$2989,"&gt;="&amp;M7,'1SI9BW'!$J$6:$J$2989,"&lt;="&amp;EOMONTH(M7,0),'1SI9BW'!$L$6:$L$2989,$B$19)+SUMIFS(Suzuki!$K$6:$K$2989,Suzuki!$J$6:$J$2989,"&gt;="&amp;M7,Suzuki!$J$6:$J$2989,"&lt;="&amp;EOMONTH(M7,0),Suzuki!$L$6:$L$2989,$B$19)+SUMIFS('1SK3DD'!$K$6:$K$2989,'1SK3DD'!$J$6:$J$2989,"&gt;="&amp;M7,'1SK3DD'!$J$6:$J$2989,"&lt;="&amp;EOMONTH(M7,0),'1SK3DD'!$L$6:$L$2989,$B$19)+SUMIFS('1SX5TQ'!$K$6:$K$2989,'1SX5TQ'!$J$6:$J$2989,"&gt;="&amp;M7,'1SX5TQ'!$J$6:$J$2989,"&lt;="&amp;EOMONTH(M7,0),'1SX5TQ'!$L$6:$L$2989,$B$19)+SUMIFS('BMM465'!$K$6:$K$2989,'BMM465'!$J$6:$J$2989,"&gt;="&amp;M7,'BMM465'!$J$6:$J$2989,"&lt;="&amp;EOMONTH(M7,0),'BMM465'!$L$6:$L$2989,$B$19)+SUMIFS('1CF1ZO'!$K$6:$K$2989,'1CF1ZO'!$J$6:$J$2989,"&gt;="&amp;M7,'1CF1ZO'!$J$6:$J$2989,"&lt;="&amp;EOMONTH(M7,0),'1CF1ZO'!$L$6:$L$2989,$B$19)+SUMIFS('1UK1BK'!$K$6:$K$2989,'1UK1BK'!$J$6:$J$2989,"&gt;="&amp;M7,'1UK1BK'!$J$6:$J$2989,"&lt;="&amp;EOMONTH(M7,0),'1UK1BK'!$L$6:$L$2989,$B$19)</f>
        <v>#REF!</v>
      </c>
      <c r="N19" s="110" t="e">
        <f>SUMIFS('Other Expense'!$G$8:$G$2966,'Other Expense'!$F$8:$F$2966,"&gt;="&amp;N7,'Other Expense'!$F$8:$F$2966,"&lt;="&amp;EOMONTH(N7,0),'Other Expense'!$H$8:$H$2966,$B$19)+SUMIFS('CEI565'!$K$6:$K$2990,'CEI565'!$J$6:$J$2990,"&gt;="&amp;N7,'CEI565'!$J$6:$J$2990,"&lt;="&amp;EOMONTH(N7,0),'CEI565'!$L$6:$L$2990,$B$19)+SUMIFS('1SM3VL'!$K$6:$K$2990,'1SM3VL'!$J$6:$J$2990,"&gt;="&amp;N7,'1SM3VL'!$J$6:$J$2990,"&lt;="&amp;EOMONTH(N7,0),'1SM3VL'!$L$6:$L$2990,$B$19)+SUMIFS('1QF4SM'!$K$6:$K$2989,'1QF4SM'!$J$6:$J$2989,"&gt;="&amp;N7,'1QF4SM'!$J$6:$J$2989,"&lt;="&amp;EOMONTH(N7,0),'1QF4SM'!$L$6:$L$2989,$B$19)+SUMIFS('1UV5KI'!$K$6:$K$2989,'1UV5KI'!$J$6:$J$2989,"&gt;="&amp;N7,'1UV5KI'!$J$6:$J$2989,"&lt;="&amp;EOMONTH(N7,0),'1UV5KI'!$L$6:$L$2989,$B$19)+SUMIFS(#REF!,#REF!,"&gt;="&amp;N7,#REF!,"&lt;="&amp;EOMONTH(N7,0),#REF!,$B$19)+SUMIFS('1UL9RY'!$K$6:$K$2990,'1UL9RY'!$J$6:$J$2990,"&gt;="&amp;N7,'1UL9RY'!$J$6:$J$2990,"&lt;="&amp;EOMONTH(N7,0),'1UL9RY'!$L$6:$L$2990,$B$19)+SUMIFS('1OZ7GT'!$K$6:$K$2989,'1OZ7GT'!$J$6:$J$2989,"&gt;="&amp;N7,'1OZ7GT'!$J$6:$J$2989,"&lt;="&amp;EOMONTH(N7,0),'1OZ7GT'!$L$6:$L$2989,$B$19)+SUMIFS('1CN8DD'!$K$6:$K$2989,'1CN8DD'!$J$6:$J$2989,"&gt;="&amp;N7,'1CN8DD'!$J$6:$J$2989,"&lt;="&amp;EOMONTH(N7,0),'1CN8DD'!$L$6:$L$2989,$B$19)+SUMIFS('1UT9BR'!$K$6:$K$2990,'1UT9BR'!$J$6:$J$2990,"&gt;="&amp;N7,'1UT9BR'!$J$6:$J$2990,"&lt;="&amp;EOMONTH(N7,0),'1UT9BR'!$L$6:$L$2990,$B$19)+SUMIFS('1MK4UR'!$K$6:$K$2990,'1MK4UR'!$J$6:$J$2990,"&gt;="&amp;N7,'1MK4UR'!$J$6:$J$2990,"&lt;="&amp;EOMONTH(N7,0),'1MK4UR'!$L$6:$L$2990,$B$19)+SUMIFS(#REF!,#REF!,"&gt;="&amp;N7,#REF!,"&lt;="&amp;EOMONTH(N7,0),#REF!,$B$19)+SUMIFS('1JI2UE'!$K$6:$K$2989,'1JI2UE'!$J$6:$J$2989,"&gt;="&amp;N7,'1JI2UE'!$J$6:$J$2989,"&lt;="&amp;EOMONTH(N7,0),'1JI2UE'!$L$6:$L$2989,$B$19)+SUMIFS(#REF!,#REF!,"&gt;="&amp;N7,#REF!,"&lt;="&amp;EOMONTH(N7,0),#REF!,$B$19)+SUMIFS('1SI9BW'!$K$6:$K$2989,'1SI9BW'!$J$6:$J$2989,"&gt;="&amp;N7,'1SI9BW'!$J$6:$J$2989,"&lt;="&amp;EOMONTH(N7,0),'1SI9BW'!$L$6:$L$2989,$B$19)+SUMIFS(Suzuki!$K$6:$K$2989,Suzuki!$J$6:$J$2989,"&gt;="&amp;N7,Suzuki!$J$6:$J$2989,"&lt;="&amp;EOMONTH(N7,0),Suzuki!$L$6:$L$2989,$B$19)+SUMIFS('1SK3DD'!$K$6:$K$2989,'1SK3DD'!$J$6:$J$2989,"&gt;="&amp;N7,'1SK3DD'!$J$6:$J$2989,"&lt;="&amp;EOMONTH(N7,0),'1SK3DD'!$L$6:$L$2989,$B$19)+SUMIFS('1SX5TQ'!$K$6:$K$2989,'1SX5TQ'!$J$6:$J$2989,"&gt;="&amp;N7,'1SX5TQ'!$J$6:$J$2989,"&lt;="&amp;EOMONTH(N7,0),'1SX5TQ'!$L$6:$L$2989,$B$19)+SUMIFS('BMM465'!$K$6:$K$2989,'BMM465'!$J$6:$J$2989,"&gt;="&amp;N7,'BMM465'!$J$6:$J$2989,"&lt;="&amp;EOMONTH(N7,0),'BMM465'!$L$6:$L$2989,$B$19)+SUMIFS('1CF1ZO'!$K$6:$K$2989,'1CF1ZO'!$J$6:$J$2989,"&gt;="&amp;N7,'1CF1ZO'!$J$6:$J$2989,"&lt;="&amp;EOMONTH(N7,0),'1CF1ZO'!$L$6:$L$2989,$B$19)+SUMIFS('1UK1BK'!$K$6:$K$2989,'1UK1BK'!$J$6:$J$2989,"&gt;="&amp;N7,'1UK1BK'!$J$6:$J$2989,"&lt;="&amp;EOMONTH(N7,0),'1UK1BK'!$L$6:$L$2989,$B$19)</f>
        <v>#REF!</v>
      </c>
      <c r="O19" s="110" t="e">
        <f>SUMIFS('Other Expense'!$G$8:$G$2966,'Other Expense'!$F$8:$F$2966,"&gt;="&amp;O7,'Other Expense'!$F$8:$F$2966,"&lt;="&amp;EOMONTH(O7,0),'Other Expense'!$H$8:$H$2966,$B$19)+SUMIFS('CEI565'!$K$6:$K$2990,'CEI565'!$J$6:$J$2990,"&gt;="&amp;O7,'CEI565'!$J$6:$J$2990,"&lt;="&amp;EOMONTH(O7,0),'CEI565'!$L$6:$L$2990,$B$19)+SUMIFS('1SM3VL'!$K$6:$K$2990,'1SM3VL'!$J$6:$J$2990,"&gt;="&amp;O7,'1SM3VL'!$J$6:$J$2990,"&lt;="&amp;EOMONTH(O7,0),'1SM3VL'!$L$6:$L$2990,$B$19)+SUMIFS('1QF4SM'!$K$6:$K$2989,'1QF4SM'!$J$6:$J$2989,"&gt;="&amp;O7,'1QF4SM'!$J$6:$J$2989,"&lt;="&amp;EOMONTH(O7,0),'1QF4SM'!$L$6:$L$2989,$B$19)+SUMIFS('1UV5KI'!$K$6:$K$2989,'1UV5KI'!$J$6:$J$2989,"&gt;="&amp;O7,'1UV5KI'!$J$6:$J$2989,"&lt;="&amp;EOMONTH(O7,0),'1UV5KI'!$L$6:$L$2989,$B$19)+SUMIFS(#REF!,#REF!,"&gt;="&amp;O7,#REF!,"&lt;="&amp;EOMONTH(O7,0),#REF!,$B$19)+SUMIFS('1UL9RY'!$K$6:$K$2990,'1UL9RY'!$J$6:$J$2990,"&gt;="&amp;O7,'1UL9RY'!$J$6:$J$2990,"&lt;="&amp;EOMONTH(O7,0),'1UL9RY'!$L$6:$L$2990,$B$19)+SUMIFS('1OZ7GT'!$K$6:$K$2989,'1OZ7GT'!$J$6:$J$2989,"&gt;="&amp;O7,'1OZ7GT'!$J$6:$J$2989,"&lt;="&amp;EOMONTH(O7,0),'1OZ7GT'!$L$6:$L$2989,$B$19)+SUMIFS('1CN8DD'!$K$6:$K$2989,'1CN8DD'!$J$6:$J$2989,"&gt;="&amp;O7,'1CN8DD'!$J$6:$J$2989,"&lt;="&amp;EOMONTH(O7,0),'1CN8DD'!$L$6:$L$2989,$B$19)+SUMIFS('1UT9BR'!$K$6:$K$2990,'1UT9BR'!$J$6:$J$2990,"&gt;="&amp;O7,'1UT9BR'!$J$6:$J$2990,"&lt;="&amp;EOMONTH(O7,0),'1UT9BR'!$L$6:$L$2990,$B$19)+SUMIFS('1MK4UR'!$K$6:$K$2990,'1MK4UR'!$J$6:$J$2990,"&gt;="&amp;O7,'1MK4UR'!$J$6:$J$2990,"&lt;="&amp;EOMONTH(O7,0),'1MK4UR'!$L$6:$L$2990,$B$19)+SUMIFS(#REF!,#REF!,"&gt;="&amp;O7,#REF!,"&lt;="&amp;EOMONTH(O7,0),#REF!,$B$19)+SUMIFS('1JI2UE'!$K$6:$K$2989,'1JI2UE'!$J$6:$J$2989,"&gt;="&amp;O7,'1JI2UE'!$J$6:$J$2989,"&lt;="&amp;EOMONTH(O7,0),'1JI2UE'!$L$6:$L$2989,$B$19)+SUMIFS(#REF!,#REF!,"&gt;="&amp;O7,#REF!,"&lt;="&amp;EOMONTH(O7,0),#REF!,$B$19)+SUMIFS('1SI9BW'!$K$6:$K$2989,'1SI9BW'!$J$6:$J$2989,"&gt;="&amp;O7,'1SI9BW'!$J$6:$J$2989,"&lt;="&amp;EOMONTH(O7,0),'1SI9BW'!$L$6:$L$2989,$B$19)+SUMIFS(Suzuki!$K$6:$K$2989,Suzuki!$J$6:$J$2989,"&gt;="&amp;O7,Suzuki!$J$6:$J$2989,"&lt;="&amp;EOMONTH(O7,0),Suzuki!$L$6:$L$2989,$B$19)+SUMIFS('1SK3DD'!$K$6:$K$2989,'1SK3DD'!$J$6:$J$2989,"&gt;="&amp;O7,'1SK3DD'!$J$6:$J$2989,"&lt;="&amp;EOMONTH(O7,0),'1SK3DD'!$L$6:$L$2989,$B$19)+SUMIFS('1SX5TQ'!$K$6:$K$2989,'1SX5TQ'!$J$6:$J$2989,"&gt;="&amp;O7,'1SX5TQ'!$J$6:$J$2989,"&lt;="&amp;EOMONTH(O7,0),'1SX5TQ'!$L$6:$L$2989,$B$19)+SUMIFS('BMM465'!$K$6:$K$2989,'BMM465'!$J$6:$J$2989,"&gt;="&amp;O7,'BMM465'!$J$6:$J$2989,"&lt;="&amp;EOMONTH(O7,0),'BMM465'!$L$6:$L$2989,$B$19)+SUMIFS('1CF1ZO'!$K$6:$K$2989,'1CF1ZO'!$J$6:$J$2989,"&gt;="&amp;O7,'1CF1ZO'!$J$6:$J$2989,"&lt;="&amp;EOMONTH(O7,0),'1CF1ZO'!$L$6:$L$2989,$B$19)+SUMIFS('1UK1BK'!$K$6:$K$2989,'1UK1BK'!$J$6:$J$2989,"&gt;="&amp;O7,'1UK1BK'!$J$6:$J$2989,"&lt;="&amp;EOMONTH(O7,0),'1UK1BK'!$L$6:$L$2989,$B$19)</f>
        <v>#REF!</v>
      </c>
      <c r="P19" s="110" t="e">
        <f>SUMIFS('Other Expense'!$G$8:$G$2966,'Other Expense'!$F$8:$F$2966,"&gt;="&amp;P7,'Other Expense'!$F$8:$F$2966,"&lt;="&amp;EOMONTH(P7,0),'Other Expense'!$H$8:$H$2966,$B$19)+SUMIFS('CEI565'!$K$6:$K$2990,'CEI565'!$J$6:$J$2990,"&gt;="&amp;P7,'CEI565'!$J$6:$J$2990,"&lt;="&amp;EOMONTH(P7,0),'CEI565'!$L$6:$L$2990,$B$19)+SUMIFS('1SM3VL'!$K$6:$K$2990,'1SM3VL'!$J$6:$J$2990,"&gt;="&amp;P7,'1SM3VL'!$J$6:$J$2990,"&lt;="&amp;EOMONTH(P7,0),'1SM3VL'!$L$6:$L$2990,$B$19)+SUMIFS('1QF4SM'!$K$6:$K$2989,'1QF4SM'!$J$6:$J$2989,"&gt;="&amp;P7,'1QF4SM'!$J$6:$J$2989,"&lt;="&amp;EOMONTH(P7,0),'1QF4SM'!$L$6:$L$2989,$B$19)+SUMIFS('1UV5KI'!$K$6:$K$2989,'1UV5KI'!$J$6:$J$2989,"&gt;="&amp;P7,'1UV5KI'!$J$6:$J$2989,"&lt;="&amp;EOMONTH(P7,0),'1UV5KI'!$L$6:$L$2989,$B$19)+SUMIFS(#REF!,#REF!,"&gt;="&amp;P7,#REF!,"&lt;="&amp;EOMONTH(P7,0),#REF!,$B$19)+SUMIFS('1UL9RY'!$K$6:$K$2990,'1UL9RY'!$J$6:$J$2990,"&gt;="&amp;P7,'1UL9RY'!$J$6:$J$2990,"&lt;="&amp;EOMONTH(P7,0),'1UL9RY'!$L$6:$L$2990,$B$19)+SUMIFS('1OZ7GT'!$K$6:$K$2989,'1OZ7GT'!$J$6:$J$2989,"&gt;="&amp;P7,'1OZ7GT'!$J$6:$J$2989,"&lt;="&amp;EOMONTH(P7,0),'1OZ7GT'!$L$6:$L$2989,$B$19)+SUMIFS('1CN8DD'!$K$6:$K$2989,'1CN8DD'!$J$6:$J$2989,"&gt;="&amp;P7,'1CN8DD'!$J$6:$J$2989,"&lt;="&amp;EOMONTH(P7,0),'1CN8DD'!$L$6:$L$2989,$B$19)+SUMIFS('1UT9BR'!$K$6:$K$2990,'1UT9BR'!$J$6:$J$2990,"&gt;="&amp;P7,'1UT9BR'!$J$6:$J$2990,"&lt;="&amp;EOMONTH(P7,0),'1UT9BR'!$L$6:$L$2990,$B$19)+SUMIFS('1MK4UR'!$K$6:$K$2990,'1MK4UR'!$J$6:$J$2990,"&gt;="&amp;P7,'1MK4UR'!$J$6:$J$2990,"&lt;="&amp;EOMONTH(P7,0),'1MK4UR'!$L$6:$L$2990,$B$19)+SUMIFS(#REF!,#REF!,"&gt;="&amp;P7,#REF!,"&lt;="&amp;EOMONTH(P7,0),#REF!,$B$19)+SUMIFS('1JI2UE'!$K$6:$K$2989,'1JI2UE'!$J$6:$J$2989,"&gt;="&amp;P7,'1JI2UE'!$J$6:$J$2989,"&lt;="&amp;EOMONTH(P7,0),'1JI2UE'!$L$6:$L$2989,$B$19)+SUMIFS(#REF!,#REF!,"&gt;="&amp;P7,#REF!,"&lt;="&amp;EOMONTH(P7,0),#REF!,$B$19)+SUMIFS('1SI9BW'!$K$6:$K$2989,'1SI9BW'!$J$6:$J$2989,"&gt;="&amp;P7,'1SI9BW'!$J$6:$J$2989,"&lt;="&amp;EOMONTH(P7,0),'1SI9BW'!$L$6:$L$2989,$B$19)+SUMIFS(Suzuki!$K$6:$K$2989,Suzuki!$J$6:$J$2989,"&gt;="&amp;P7,Suzuki!$J$6:$J$2989,"&lt;="&amp;EOMONTH(P7,0),Suzuki!$L$6:$L$2989,$B$19)+SUMIFS('1SK3DD'!$K$6:$K$2989,'1SK3DD'!$J$6:$J$2989,"&gt;="&amp;P7,'1SK3DD'!$J$6:$J$2989,"&lt;="&amp;EOMONTH(P7,0),'1SK3DD'!$L$6:$L$2989,$B$19)+SUMIFS('1SX5TQ'!$K$6:$K$2989,'1SX5TQ'!$J$6:$J$2989,"&gt;="&amp;P7,'1SX5TQ'!$J$6:$J$2989,"&lt;="&amp;EOMONTH(P7,0),'1SX5TQ'!$L$6:$L$2989,$B$19)+SUMIFS('BMM465'!$K$6:$K$2989,'BMM465'!$J$6:$J$2989,"&gt;="&amp;P7,'BMM465'!$J$6:$J$2989,"&lt;="&amp;EOMONTH(P7,0),'BMM465'!$L$6:$L$2989,$B$19)+SUMIFS('1CF1ZO'!$K$6:$K$2989,'1CF1ZO'!$J$6:$J$2989,"&gt;="&amp;P7,'1CF1ZO'!$J$6:$J$2989,"&lt;="&amp;EOMONTH(P7,0),'1CF1ZO'!$L$6:$L$2989,$B$19)+SUMIFS('1UK1BK'!$K$6:$K$2989,'1UK1BK'!$J$6:$J$2989,"&gt;="&amp;P7,'1UK1BK'!$J$6:$J$2989,"&lt;="&amp;EOMONTH(P7,0),'1UK1BK'!$L$6:$L$2989,$B$19)</f>
        <v>#REF!</v>
      </c>
      <c r="Q19" s="110" t="e">
        <f>SUMIFS('Other Expense'!$G$8:$G$2966,'Other Expense'!$F$8:$F$2966,"&gt;="&amp;Q7,'Other Expense'!$F$8:$F$2966,"&lt;="&amp;EOMONTH(Q7,0),'Other Expense'!$H$8:$H$2966,$B$19)+SUMIFS('CEI565'!$K$6:$K$2990,'CEI565'!$J$6:$J$2990,"&gt;="&amp;Q7,'CEI565'!$J$6:$J$2990,"&lt;="&amp;EOMONTH(Q7,0),'CEI565'!$L$6:$L$2990,$B$19)+SUMIFS('1SM3VL'!$K$6:$K$2990,'1SM3VL'!$J$6:$J$2990,"&gt;="&amp;Q7,'1SM3VL'!$J$6:$J$2990,"&lt;="&amp;EOMONTH(Q7,0),'1SM3VL'!$L$6:$L$2990,$B$19)+SUMIFS('1QF4SM'!$K$6:$K$2989,'1QF4SM'!$J$6:$J$2989,"&gt;="&amp;Q7,'1QF4SM'!$J$6:$J$2989,"&lt;="&amp;EOMONTH(Q7,0),'1QF4SM'!$L$6:$L$2989,$B$19)+SUMIFS('1UV5KI'!$K$6:$K$2989,'1UV5KI'!$J$6:$J$2989,"&gt;="&amp;Q7,'1UV5KI'!$J$6:$J$2989,"&lt;="&amp;EOMONTH(Q7,0),'1UV5KI'!$L$6:$L$2989,$B$19)+SUMIFS(#REF!,#REF!,"&gt;="&amp;Q7,#REF!,"&lt;="&amp;EOMONTH(Q7,0),#REF!,$B$19)+SUMIFS('1UL9RY'!$K$6:$K$2990,'1UL9RY'!$J$6:$J$2990,"&gt;="&amp;Q7,'1UL9RY'!$J$6:$J$2990,"&lt;="&amp;EOMONTH(Q7,0),'1UL9RY'!$L$6:$L$2990,$B$19)+SUMIFS('1OZ7GT'!$K$6:$K$2989,'1OZ7GT'!$J$6:$J$2989,"&gt;="&amp;Q7,'1OZ7GT'!$J$6:$J$2989,"&lt;="&amp;EOMONTH(Q7,0),'1OZ7GT'!$L$6:$L$2989,$B$19)+SUMIFS('1CN8DD'!$K$6:$K$2989,'1CN8DD'!$J$6:$J$2989,"&gt;="&amp;Q7,'1CN8DD'!$J$6:$J$2989,"&lt;="&amp;EOMONTH(Q7,0),'1CN8DD'!$L$6:$L$2989,$B$19)+SUMIFS('1UT9BR'!$K$6:$K$2990,'1UT9BR'!$J$6:$J$2990,"&gt;="&amp;Q7,'1UT9BR'!$J$6:$J$2990,"&lt;="&amp;EOMONTH(Q7,0),'1UT9BR'!$L$6:$L$2990,$B$19)+SUMIFS('1MK4UR'!$K$6:$K$2990,'1MK4UR'!$J$6:$J$2990,"&gt;="&amp;Q7,'1MK4UR'!$J$6:$J$2990,"&lt;="&amp;EOMONTH(Q7,0),'1MK4UR'!$L$6:$L$2990,$B$19)+SUMIFS(#REF!,#REF!,"&gt;="&amp;Q7,#REF!,"&lt;="&amp;EOMONTH(Q7,0),#REF!,$B$19)+SUMIFS('1JI2UE'!$K$6:$K$2989,'1JI2UE'!$J$6:$J$2989,"&gt;="&amp;Q7,'1JI2UE'!$J$6:$J$2989,"&lt;="&amp;EOMONTH(Q7,0),'1JI2UE'!$L$6:$L$2989,$B$19)+SUMIFS(#REF!,#REF!,"&gt;="&amp;Q7,#REF!,"&lt;="&amp;EOMONTH(Q7,0),#REF!,$B$19)+SUMIFS('1SI9BW'!$K$6:$K$2989,'1SI9BW'!$J$6:$J$2989,"&gt;="&amp;Q7,'1SI9BW'!$J$6:$J$2989,"&lt;="&amp;EOMONTH(Q7,0),'1SI9BW'!$L$6:$L$2989,$B$19)+SUMIFS(Suzuki!$K$6:$K$2989,Suzuki!$J$6:$J$2989,"&gt;="&amp;Q7,Suzuki!$J$6:$J$2989,"&lt;="&amp;EOMONTH(Q7,0),Suzuki!$L$6:$L$2989,$B$19)+SUMIFS('1SK3DD'!$K$6:$K$2989,'1SK3DD'!$J$6:$J$2989,"&gt;="&amp;Q7,'1SK3DD'!$J$6:$J$2989,"&lt;="&amp;EOMONTH(Q7,0),'1SK3DD'!$L$6:$L$2989,$B$19)+SUMIFS('1SX5TQ'!$K$6:$K$2989,'1SX5TQ'!$J$6:$J$2989,"&gt;="&amp;Q7,'1SX5TQ'!$J$6:$J$2989,"&lt;="&amp;EOMONTH(Q7,0),'1SX5TQ'!$L$6:$L$2989,$B$19)+SUMIFS('BMM465'!$K$6:$K$2989,'BMM465'!$J$6:$J$2989,"&gt;="&amp;Q7,'BMM465'!$J$6:$J$2989,"&lt;="&amp;EOMONTH(Q7,0),'BMM465'!$L$6:$L$2989,$B$19)+SUMIFS('1CF1ZO'!$K$6:$K$2989,'1CF1ZO'!$J$6:$J$2989,"&gt;="&amp;Q7,'1CF1ZO'!$J$6:$J$2989,"&lt;="&amp;EOMONTH(Q7,0),'1CF1ZO'!$L$6:$L$2989,$B$19)+SUMIFS('1UK1BK'!$K$6:$K$2989,'1UK1BK'!$J$6:$J$2989,"&gt;="&amp;Q7,'1UK1BK'!$J$6:$J$2989,"&lt;="&amp;EOMONTH(Q7,0),'1UK1BK'!$L$6:$L$2989,$B$19)</f>
        <v>#REF!</v>
      </c>
      <c r="R19" s="110" t="e">
        <f>SUMIFS('Other Expense'!$G$8:$G$2966,'Other Expense'!$F$8:$F$2966,"&gt;="&amp;R7,'Other Expense'!$F$8:$F$2966,"&lt;="&amp;EOMONTH(R7,0),'Other Expense'!$H$8:$H$2966,$B$19)+SUMIFS('CEI565'!$K$6:$K$2990,'CEI565'!$J$6:$J$2990,"&gt;="&amp;R7,'CEI565'!$J$6:$J$2990,"&lt;="&amp;EOMONTH(R7,0),'CEI565'!$L$6:$L$2990,$B$19)+SUMIFS('1SM3VL'!$K$6:$K$2990,'1SM3VL'!$J$6:$J$2990,"&gt;="&amp;R7,'1SM3VL'!$J$6:$J$2990,"&lt;="&amp;EOMONTH(R7,0),'1SM3VL'!$L$6:$L$2990,$B$19)+SUMIFS('1QF4SM'!$K$6:$K$2989,'1QF4SM'!$J$6:$J$2989,"&gt;="&amp;R7,'1QF4SM'!$J$6:$J$2989,"&lt;="&amp;EOMONTH(R7,0),'1QF4SM'!$L$6:$L$2989,$B$19)+SUMIFS('1UV5KI'!$K$6:$K$2989,'1UV5KI'!$J$6:$J$2989,"&gt;="&amp;R7,'1UV5KI'!$J$6:$J$2989,"&lt;="&amp;EOMONTH(R7,0),'1UV5KI'!$L$6:$L$2989,$B$19)+SUMIFS(#REF!,#REF!,"&gt;="&amp;R7,#REF!,"&lt;="&amp;EOMONTH(R7,0),#REF!,$B$19)+SUMIFS('1UL9RY'!$K$6:$K$2990,'1UL9RY'!$J$6:$J$2990,"&gt;="&amp;R7,'1UL9RY'!$J$6:$J$2990,"&lt;="&amp;EOMONTH(R7,0),'1UL9RY'!$L$6:$L$2990,$B$19)+SUMIFS('1OZ7GT'!$K$6:$K$2989,'1OZ7GT'!$J$6:$J$2989,"&gt;="&amp;R7,'1OZ7GT'!$J$6:$J$2989,"&lt;="&amp;EOMONTH(R7,0),'1OZ7GT'!$L$6:$L$2989,$B$19)+SUMIFS('1CN8DD'!$K$6:$K$2989,'1CN8DD'!$J$6:$J$2989,"&gt;="&amp;R7,'1CN8DD'!$J$6:$J$2989,"&lt;="&amp;EOMONTH(R7,0),'1CN8DD'!$L$6:$L$2989,$B$19)+SUMIFS('1UT9BR'!$K$6:$K$2990,'1UT9BR'!$J$6:$J$2990,"&gt;="&amp;R7,'1UT9BR'!$J$6:$J$2990,"&lt;="&amp;EOMONTH(R7,0),'1UT9BR'!$L$6:$L$2990,$B$19)+SUMIFS('1MK4UR'!$K$6:$K$2990,'1MK4UR'!$J$6:$J$2990,"&gt;="&amp;R7,'1MK4UR'!$J$6:$J$2990,"&lt;="&amp;EOMONTH(R7,0),'1MK4UR'!$L$6:$L$2990,$B$19)+SUMIFS(#REF!,#REF!,"&gt;="&amp;R7,#REF!,"&lt;="&amp;EOMONTH(R7,0),#REF!,$B$19)+SUMIFS('1JI2UE'!$K$6:$K$2989,'1JI2UE'!$J$6:$J$2989,"&gt;="&amp;R7,'1JI2UE'!$J$6:$J$2989,"&lt;="&amp;EOMONTH(R7,0),'1JI2UE'!$L$6:$L$2989,$B$19)+SUMIFS(#REF!,#REF!,"&gt;="&amp;R7,#REF!,"&lt;="&amp;EOMONTH(R7,0),#REF!,$B$19)+SUMIFS('1SI9BW'!$K$6:$K$2989,'1SI9BW'!$J$6:$J$2989,"&gt;="&amp;R7,'1SI9BW'!$J$6:$J$2989,"&lt;="&amp;EOMONTH(R7,0),'1SI9BW'!$L$6:$L$2989,$B$19)+SUMIFS(Suzuki!$K$6:$K$2989,Suzuki!$J$6:$J$2989,"&gt;="&amp;R7,Suzuki!$J$6:$J$2989,"&lt;="&amp;EOMONTH(R7,0),Suzuki!$L$6:$L$2989,$B$19)+SUMIFS('1SK3DD'!$K$6:$K$2989,'1SK3DD'!$J$6:$J$2989,"&gt;="&amp;R7,'1SK3DD'!$J$6:$J$2989,"&lt;="&amp;EOMONTH(R7,0),'1SK3DD'!$L$6:$L$2989,$B$19)+SUMIFS('1SX5TQ'!$K$6:$K$2989,'1SX5TQ'!$J$6:$J$2989,"&gt;="&amp;R7,'1SX5TQ'!$J$6:$J$2989,"&lt;="&amp;EOMONTH(R7,0),'1SX5TQ'!$L$6:$L$2989,$B$19)+SUMIFS('BMM465'!$K$6:$K$2989,'BMM465'!$J$6:$J$2989,"&gt;="&amp;R7,'BMM465'!$J$6:$J$2989,"&lt;="&amp;EOMONTH(R7,0),'BMM465'!$L$6:$L$2989,$B$19)+SUMIFS('1CF1ZO'!$K$6:$K$2989,'1CF1ZO'!$J$6:$J$2989,"&gt;="&amp;R7,'1CF1ZO'!$J$6:$J$2989,"&lt;="&amp;EOMONTH(R7,0),'1CF1ZO'!$L$6:$L$2989,$B$19)+SUMIFS('1UK1BK'!$K$6:$K$2989,'1UK1BK'!$J$6:$J$2989,"&gt;="&amp;R7,'1UK1BK'!$J$6:$J$2989,"&lt;="&amp;EOMONTH(R7,0),'1UK1BK'!$L$6:$L$2989,$B$19)</f>
        <v>#REF!</v>
      </c>
      <c r="S19" s="110" t="e">
        <f>SUMIFS('Other Expense'!$G$8:$G$2966,'Other Expense'!$F$8:$F$2966,"&gt;="&amp;S7,'Other Expense'!$F$8:$F$2966,"&lt;="&amp;EOMONTH(S7,0),'Other Expense'!$H$8:$H$2966,$B$19)+SUMIFS('CEI565'!$K$6:$K$2990,'CEI565'!$J$6:$J$2990,"&gt;="&amp;S7,'CEI565'!$J$6:$J$2990,"&lt;="&amp;EOMONTH(S7,0),'CEI565'!$L$6:$L$2990,$B$19)+SUMIFS('1SM3VL'!$K$6:$K$2990,'1SM3VL'!$J$6:$J$2990,"&gt;="&amp;S7,'1SM3VL'!$J$6:$J$2990,"&lt;="&amp;EOMONTH(S7,0),'1SM3VL'!$L$6:$L$2990,$B$19)+SUMIFS('1QF4SM'!$K$6:$K$2989,'1QF4SM'!$J$6:$J$2989,"&gt;="&amp;S7,'1QF4SM'!$J$6:$J$2989,"&lt;="&amp;EOMONTH(S7,0),'1QF4SM'!$L$6:$L$2989,$B$19)+SUMIFS('1UV5KI'!$K$6:$K$2989,'1UV5KI'!$J$6:$J$2989,"&gt;="&amp;S7,'1UV5KI'!$J$6:$J$2989,"&lt;="&amp;EOMONTH(S7,0),'1UV5KI'!$L$6:$L$2989,$B$19)+SUMIFS(#REF!,#REF!,"&gt;="&amp;S7,#REF!,"&lt;="&amp;EOMONTH(S7,0),#REF!,$B$19)+SUMIFS('1UL9RY'!$K$6:$K$2990,'1UL9RY'!$J$6:$J$2990,"&gt;="&amp;S7,'1UL9RY'!$J$6:$J$2990,"&lt;="&amp;EOMONTH(S7,0),'1UL9RY'!$L$6:$L$2990,$B$19)+SUMIFS('1OZ7GT'!$K$6:$K$2989,'1OZ7GT'!$J$6:$J$2989,"&gt;="&amp;S7,'1OZ7GT'!$J$6:$J$2989,"&lt;="&amp;EOMONTH(S7,0),'1OZ7GT'!$L$6:$L$2989,$B$19)+SUMIFS('1CN8DD'!$K$6:$K$2989,'1CN8DD'!$J$6:$J$2989,"&gt;="&amp;S7,'1CN8DD'!$J$6:$J$2989,"&lt;="&amp;EOMONTH(S7,0),'1CN8DD'!$L$6:$L$2989,$B$19)+SUMIFS('1UT9BR'!$K$6:$K$2990,'1UT9BR'!$J$6:$J$2990,"&gt;="&amp;S7,'1UT9BR'!$J$6:$J$2990,"&lt;="&amp;EOMONTH(S7,0),'1UT9BR'!$L$6:$L$2990,$B$19)+SUMIFS('1MK4UR'!$K$6:$K$2990,'1MK4UR'!$J$6:$J$2990,"&gt;="&amp;S7,'1MK4UR'!$J$6:$J$2990,"&lt;="&amp;EOMONTH(S7,0),'1MK4UR'!$L$6:$L$2990,$B$19)+SUMIFS(#REF!,#REF!,"&gt;="&amp;S7,#REF!,"&lt;="&amp;EOMONTH(S7,0),#REF!,$B$19)+SUMIFS('1JI2UE'!$K$6:$K$2989,'1JI2UE'!$J$6:$J$2989,"&gt;="&amp;S7,'1JI2UE'!$J$6:$J$2989,"&lt;="&amp;EOMONTH(S7,0),'1JI2UE'!$L$6:$L$2989,$B$19)+SUMIFS(#REF!,#REF!,"&gt;="&amp;S7,#REF!,"&lt;="&amp;EOMONTH(S7,0),#REF!,$B$19)+SUMIFS('1SI9BW'!$K$6:$K$2989,'1SI9BW'!$J$6:$J$2989,"&gt;="&amp;S7,'1SI9BW'!$J$6:$J$2989,"&lt;="&amp;EOMONTH(S7,0),'1SI9BW'!$L$6:$L$2989,$B$19)+SUMIFS(Suzuki!$K$6:$K$2989,Suzuki!$J$6:$J$2989,"&gt;="&amp;S7,Suzuki!$J$6:$J$2989,"&lt;="&amp;EOMONTH(S7,0),Suzuki!$L$6:$L$2989,$B$19)+SUMIFS('1SK3DD'!$K$6:$K$2989,'1SK3DD'!$J$6:$J$2989,"&gt;="&amp;S7,'1SK3DD'!$J$6:$J$2989,"&lt;="&amp;EOMONTH(S7,0),'1SK3DD'!$L$6:$L$2989,$B$19)+SUMIFS('1SX5TQ'!$K$6:$K$2989,'1SX5TQ'!$J$6:$J$2989,"&gt;="&amp;S7,'1SX5TQ'!$J$6:$J$2989,"&lt;="&amp;EOMONTH(S7,0),'1SX5TQ'!$L$6:$L$2989,$B$19)+SUMIFS('BMM465'!$K$6:$K$2989,'BMM465'!$J$6:$J$2989,"&gt;="&amp;S7,'BMM465'!$J$6:$J$2989,"&lt;="&amp;EOMONTH(S7,0),'BMM465'!$L$6:$L$2989,$B$19)+SUMIFS('1CF1ZO'!$K$6:$K$2989,'1CF1ZO'!$J$6:$J$2989,"&gt;="&amp;S7,'1CF1ZO'!$J$6:$J$2989,"&lt;="&amp;EOMONTH(S7,0),'1CF1ZO'!$L$6:$L$2989,$B$19)+SUMIFS('1UK1BK'!$K$6:$K$2989,'1UK1BK'!$J$6:$J$2989,"&gt;="&amp;S7,'1UK1BK'!$J$6:$J$2989,"&lt;="&amp;EOMONTH(S7,0),'1UK1BK'!$L$6:$L$2989,$B$19)</f>
        <v>#REF!</v>
      </c>
      <c r="T19" s="110" t="e">
        <f>SUMIFS('Other Expense'!$G$8:$G$2966,'Other Expense'!$F$8:$F$2966,"&gt;="&amp;T7,'Other Expense'!$F$8:$F$2966,"&lt;="&amp;EOMONTH(T7,0),'Other Expense'!$H$8:$H$2966,$B$19)+SUMIFS('CEI565'!$K$6:$K$2990,'CEI565'!$J$6:$J$2990,"&gt;="&amp;T7,'CEI565'!$J$6:$J$2990,"&lt;="&amp;EOMONTH(T7,0),'CEI565'!$L$6:$L$2990,$B$19)+SUMIFS('1SM3VL'!$K$6:$K$2990,'1SM3VL'!$J$6:$J$2990,"&gt;="&amp;T7,'1SM3VL'!$J$6:$J$2990,"&lt;="&amp;EOMONTH(T7,0),'1SM3VL'!$L$6:$L$2990,$B$19)+SUMIFS('1QF4SM'!$K$6:$K$2989,'1QF4SM'!$J$6:$J$2989,"&gt;="&amp;T7,'1QF4SM'!$J$6:$J$2989,"&lt;="&amp;EOMONTH(T7,0),'1QF4SM'!$L$6:$L$2989,$B$19)+SUMIFS('1UV5KI'!$K$6:$K$2989,'1UV5KI'!$J$6:$J$2989,"&gt;="&amp;T7,'1UV5KI'!$J$6:$J$2989,"&lt;="&amp;EOMONTH(T7,0),'1UV5KI'!$L$6:$L$2989,$B$19)+SUMIFS(#REF!,#REF!,"&gt;="&amp;T7,#REF!,"&lt;="&amp;EOMONTH(T7,0),#REF!,$B$19)+SUMIFS('1UL9RY'!$K$6:$K$2990,'1UL9RY'!$J$6:$J$2990,"&gt;="&amp;T7,'1UL9RY'!$J$6:$J$2990,"&lt;="&amp;EOMONTH(T7,0),'1UL9RY'!$L$6:$L$2990,$B$19)+SUMIFS('1OZ7GT'!$K$6:$K$2989,'1OZ7GT'!$J$6:$J$2989,"&gt;="&amp;T7,'1OZ7GT'!$J$6:$J$2989,"&lt;="&amp;EOMONTH(T7,0),'1OZ7GT'!$L$6:$L$2989,$B$19)+SUMIFS('1CN8DD'!$K$6:$K$2989,'1CN8DD'!$J$6:$J$2989,"&gt;="&amp;T7,'1CN8DD'!$J$6:$J$2989,"&lt;="&amp;EOMONTH(T7,0),'1CN8DD'!$L$6:$L$2989,$B$19)+SUMIFS('1UT9BR'!$K$6:$K$2990,'1UT9BR'!$J$6:$J$2990,"&gt;="&amp;T7,'1UT9BR'!$J$6:$J$2990,"&lt;="&amp;EOMONTH(T7,0),'1UT9BR'!$L$6:$L$2990,$B$19)+SUMIFS('1MK4UR'!$K$6:$K$2990,'1MK4UR'!$J$6:$J$2990,"&gt;="&amp;T7,'1MK4UR'!$J$6:$J$2990,"&lt;="&amp;EOMONTH(T7,0),'1MK4UR'!$L$6:$L$2990,$B$19)+SUMIFS(#REF!,#REF!,"&gt;="&amp;T7,#REF!,"&lt;="&amp;EOMONTH(T7,0),#REF!,$B$19)+SUMIFS('1JI2UE'!$K$6:$K$2989,'1JI2UE'!$J$6:$J$2989,"&gt;="&amp;T7,'1JI2UE'!$J$6:$J$2989,"&lt;="&amp;EOMONTH(T7,0),'1JI2UE'!$L$6:$L$2989,$B$19)+SUMIFS(#REF!,#REF!,"&gt;="&amp;T7,#REF!,"&lt;="&amp;EOMONTH(T7,0),#REF!,$B$19)+SUMIFS('1SI9BW'!$K$6:$K$2989,'1SI9BW'!$J$6:$J$2989,"&gt;="&amp;T7,'1SI9BW'!$J$6:$J$2989,"&lt;="&amp;EOMONTH(T7,0),'1SI9BW'!$L$6:$L$2989,$B$19)+SUMIFS(Suzuki!$K$6:$K$2989,Suzuki!$J$6:$J$2989,"&gt;="&amp;T7,Suzuki!$J$6:$J$2989,"&lt;="&amp;EOMONTH(T7,0),Suzuki!$L$6:$L$2989,$B$19)+SUMIFS('1SK3DD'!$K$6:$K$2989,'1SK3DD'!$J$6:$J$2989,"&gt;="&amp;T7,'1SK3DD'!$J$6:$J$2989,"&lt;="&amp;EOMONTH(T7,0),'1SK3DD'!$L$6:$L$2989,$B$19)+SUMIFS('1SX5TQ'!$K$6:$K$2989,'1SX5TQ'!$J$6:$J$2989,"&gt;="&amp;T7,'1SX5TQ'!$J$6:$J$2989,"&lt;="&amp;EOMONTH(T7,0),'1SX5TQ'!$L$6:$L$2989,$B$19)+SUMIFS('BMM465'!$K$6:$K$2989,'BMM465'!$J$6:$J$2989,"&gt;="&amp;T7,'BMM465'!$J$6:$J$2989,"&lt;="&amp;EOMONTH(T7,0),'BMM465'!$L$6:$L$2989,$B$19)+SUMIFS('1CF1ZO'!$K$6:$K$2989,'1CF1ZO'!$J$6:$J$2989,"&gt;="&amp;T7,'1CF1ZO'!$J$6:$J$2989,"&lt;="&amp;EOMONTH(T7,0),'1CF1ZO'!$L$6:$L$2989,$B$19)+SUMIFS('1UK1BK'!$K$6:$K$2989,'1UK1BK'!$J$6:$J$2989,"&gt;="&amp;T7,'1UK1BK'!$J$6:$J$2989,"&lt;="&amp;EOMONTH(T7,0),'1UK1BK'!$L$6:$L$2989,$B$19)</f>
        <v>#REF!</v>
      </c>
      <c r="U19" s="110" t="e">
        <f>SUMIFS('Other Expense'!$G$8:$G$2966,'Other Expense'!$F$8:$F$2966,"&gt;="&amp;U7,'Other Expense'!$F$8:$F$2966,"&lt;="&amp;EOMONTH(U7,0),'Other Expense'!$H$8:$H$2966,$B$19)+SUMIFS('CEI565'!$K$6:$K$2990,'CEI565'!$J$6:$J$2990,"&gt;="&amp;U7,'CEI565'!$J$6:$J$2990,"&lt;="&amp;EOMONTH(U7,0),'CEI565'!$L$6:$L$2990,$B$19)+SUMIFS('1SM3VL'!$K$6:$K$2990,'1SM3VL'!$J$6:$J$2990,"&gt;="&amp;U7,'1SM3VL'!$J$6:$J$2990,"&lt;="&amp;EOMONTH(U7,0),'1SM3VL'!$L$6:$L$2990,$B$19)+SUMIFS('1QF4SM'!$K$6:$K$2989,'1QF4SM'!$J$6:$J$2989,"&gt;="&amp;U7,'1QF4SM'!$J$6:$J$2989,"&lt;="&amp;EOMONTH(U7,0),'1QF4SM'!$L$6:$L$2989,$B$19)+SUMIFS('1UV5KI'!$K$6:$K$2989,'1UV5KI'!$J$6:$J$2989,"&gt;="&amp;U7,'1UV5KI'!$J$6:$J$2989,"&lt;="&amp;EOMONTH(U7,0),'1UV5KI'!$L$6:$L$2989,$B$19)+SUMIFS(#REF!,#REF!,"&gt;="&amp;U7,#REF!,"&lt;="&amp;EOMONTH(U7,0),#REF!,$B$19)+SUMIFS('1UL9RY'!$K$6:$K$2990,'1UL9RY'!$J$6:$J$2990,"&gt;="&amp;U7,'1UL9RY'!$J$6:$J$2990,"&lt;="&amp;EOMONTH(U7,0),'1UL9RY'!$L$6:$L$2990,$B$19)+SUMIFS('1OZ7GT'!$K$6:$K$2989,'1OZ7GT'!$J$6:$J$2989,"&gt;="&amp;U7,'1OZ7GT'!$J$6:$J$2989,"&lt;="&amp;EOMONTH(U7,0),'1OZ7GT'!$L$6:$L$2989,$B$19)+SUMIFS('1CN8DD'!$K$6:$K$2989,'1CN8DD'!$J$6:$J$2989,"&gt;="&amp;U7,'1CN8DD'!$J$6:$J$2989,"&lt;="&amp;EOMONTH(U7,0),'1CN8DD'!$L$6:$L$2989,$B$19)+SUMIFS('1UT9BR'!$K$6:$K$2990,'1UT9BR'!$J$6:$J$2990,"&gt;="&amp;U7,'1UT9BR'!$J$6:$J$2990,"&lt;="&amp;EOMONTH(U7,0),'1UT9BR'!$L$6:$L$2990,$B$19)+SUMIFS('1MK4UR'!$K$6:$K$2990,'1MK4UR'!$J$6:$J$2990,"&gt;="&amp;U7,'1MK4UR'!$J$6:$J$2990,"&lt;="&amp;EOMONTH(U7,0),'1MK4UR'!$L$6:$L$2990,$B$19)+SUMIFS(#REF!,#REF!,"&gt;="&amp;U7,#REF!,"&lt;="&amp;EOMONTH(U7,0),#REF!,$B$19)+SUMIFS('1JI2UE'!$K$6:$K$2989,'1JI2UE'!$J$6:$J$2989,"&gt;="&amp;U7,'1JI2UE'!$J$6:$J$2989,"&lt;="&amp;EOMONTH(U7,0),'1JI2UE'!$L$6:$L$2989,$B$19)+SUMIFS(#REF!,#REF!,"&gt;="&amp;U7,#REF!,"&lt;="&amp;EOMONTH(U7,0),#REF!,$B$19)+SUMIFS('1SI9BW'!$K$6:$K$2989,'1SI9BW'!$J$6:$J$2989,"&gt;="&amp;U7,'1SI9BW'!$J$6:$J$2989,"&lt;="&amp;EOMONTH(U7,0),'1SI9BW'!$L$6:$L$2989,$B$19)+SUMIFS(Suzuki!$K$6:$K$2989,Suzuki!$J$6:$J$2989,"&gt;="&amp;U7,Suzuki!$J$6:$J$2989,"&lt;="&amp;EOMONTH(U7,0),Suzuki!$L$6:$L$2989,$B$19)+SUMIFS('1SK3DD'!$K$6:$K$2989,'1SK3DD'!$J$6:$J$2989,"&gt;="&amp;U7,'1SK3DD'!$J$6:$J$2989,"&lt;="&amp;EOMONTH(U7,0),'1SK3DD'!$L$6:$L$2989,$B$19)+SUMIFS('1SX5TQ'!$K$6:$K$2989,'1SX5TQ'!$J$6:$J$2989,"&gt;="&amp;U7,'1SX5TQ'!$J$6:$J$2989,"&lt;="&amp;EOMONTH(U7,0),'1SX5TQ'!$L$6:$L$2989,$B$19)+SUMIFS('BMM465'!$K$6:$K$2989,'BMM465'!$J$6:$J$2989,"&gt;="&amp;U7,'BMM465'!$J$6:$J$2989,"&lt;="&amp;EOMONTH(U7,0),'BMM465'!$L$6:$L$2989,$B$19)+SUMIFS('1CF1ZO'!$K$6:$K$2989,'1CF1ZO'!$J$6:$J$2989,"&gt;="&amp;U7,'1CF1ZO'!$J$6:$J$2989,"&lt;="&amp;EOMONTH(U7,0),'1CF1ZO'!$L$6:$L$2989,$B$19)+SUMIFS('1UK1BK'!$K$6:$K$2989,'1UK1BK'!$J$6:$J$2989,"&gt;="&amp;U7,'1UK1BK'!$J$6:$J$2989,"&lt;="&amp;EOMONTH(U7,0),'1UK1BK'!$L$6:$L$2989,$B$19)</f>
        <v>#REF!</v>
      </c>
      <c r="V19" s="110" t="e">
        <f>SUMIFS('Other Expense'!$G$8:$G$2966,'Other Expense'!$F$8:$F$2966,"&gt;="&amp;V7,'Other Expense'!$F$8:$F$2966,"&lt;="&amp;EOMONTH(V7,0),'Other Expense'!$H$8:$H$2966,$B$19)+SUMIFS('CEI565'!$K$6:$K$2990,'CEI565'!$J$6:$J$2990,"&gt;="&amp;V7,'CEI565'!$J$6:$J$2990,"&lt;="&amp;EOMONTH(V7,0),'CEI565'!$L$6:$L$2990,$B$19)+SUMIFS('1SM3VL'!$K$6:$K$2990,'1SM3VL'!$J$6:$J$2990,"&gt;="&amp;V7,'1SM3VL'!$J$6:$J$2990,"&lt;="&amp;EOMONTH(V7,0),'1SM3VL'!$L$6:$L$2990,$B$19)+SUMIFS('1QF4SM'!$K$6:$K$2989,'1QF4SM'!$J$6:$J$2989,"&gt;="&amp;V7,'1QF4SM'!$J$6:$J$2989,"&lt;="&amp;EOMONTH(V7,0),'1QF4SM'!$L$6:$L$2989,$B$19)+SUMIFS('1UV5KI'!$K$6:$K$2989,'1UV5KI'!$J$6:$J$2989,"&gt;="&amp;V7,'1UV5KI'!$J$6:$J$2989,"&lt;="&amp;EOMONTH(V7,0),'1UV5KI'!$L$6:$L$2989,$B$19)+SUMIFS(#REF!,#REF!,"&gt;="&amp;V7,#REF!,"&lt;="&amp;EOMONTH(V7,0),#REF!,$B$19)+SUMIFS('1UL9RY'!$K$6:$K$2990,'1UL9RY'!$J$6:$J$2990,"&gt;="&amp;V7,'1UL9RY'!$J$6:$J$2990,"&lt;="&amp;EOMONTH(V7,0),'1UL9RY'!$L$6:$L$2990,$B$19)+SUMIFS('1OZ7GT'!$K$6:$K$2989,'1OZ7GT'!$J$6:$J$2989,"&gt;="&amp;V7,'1OZ7GT'!$J$6:$J$2989,"&lt;="&amp;EOMONTH(V7,0),'1OZ7GT'!$L$6:$L$2989,$B$19)+SUMIFS('1CN8DD'!$K$6:$K$2989,'1CN8DD'!$J$6:$J$2989,"&gt;="&amp;V7,'1CN8DD'!$J$6:$J$2989,"&lt;="&amp;EOMONTH(V7,0),'1CN8DD'!$L$6:$L$2989,$B$19)+SUMIFS('1UT9BR'!$K$6:$K$2990,'1UT9BR'!$J$6:$J$2990,"&gt;="&amp;V7,'1UT9BR'!$J$6:$J$2990,"&lt;="&amp;EOMONTH(V7,0),'1UT9BR'!$L$6:$L$2990,$B$19)+SUMIFS('1MK4UR'!$K$6:$K$2990,'1MK4UR'!$J$6:$J$2990,"&gt;="&amp;V7,'1MK4UR'!$J$6:$J$2990,"&lt;="&amp;EOMONTH(V7,0),'1MK4UR'!$L$6:$L$2990,$B$19)+SUMIFS(#REF!,#REF!,"&gt;="&amp;V7,#REF!,"&lt;="&amp;EOMONTH(V7,0),#REF!,$B$19)+SUMIFS('1JI2UE'!$K$6:$K$2989,'1JI2UE'!$J$6:$J$2989,"&gt;="&amp;V7,'1JI2UE'!$J$6:$J$2989,"&lt;="&amp;EOMONTH(V7,0),'1JI2UE'!$L$6:$L$2989,$B$19)+SUMIFS(#REF!,#REF!,"&gt;="&amp;V7,#REF!,"&lt;="&amp;EOMONTH(V7,0),#REF!,$B$19)+SUMIFS('1SI9BW'!$K$6:$K$2989,'1SI9BW'!$J$6:$J$2989,"&gt;="&amp;V7,'1SI9BW'!$J$6:$J$2989,"&lt;="&amp;EOMONTH(V7,0),'1SI9BW'!$L$6:$L$2989,$B$19)+SUMIFS(Suzuki!$K$6:$K$2989,Suzuki!$J$6:$J$2989,"&gt;="&amp;V7,Suzuki!$J$6:$J$2989,"&lt;="&amp;EOMONTH(V7,0),Suzuki!$L$6:$L$2989,$B$19)+SUMIFS('1SK3DD'!$K$6:$K$2989,'1SK3DD'!$J$6:$J$2989,"&gt;="&amp;V7,'1SK3DD'!$J$6:$J$2989,"&lt;="&amp;EOMONTH(V7,0),'1SK3DD'!$L$6:$L$2989,$B$19)+SUMIFS('1SX5TQ'!$K$6:$K$2989,'1SX5TQ'!$J$6:$J$2989,"&gt;="&amp;V7,'1SX5TQ'!$J$6:$J$2989,"&lt;="&amp;EOMONTH(V7,0),'1SX5TQ'!$L$6:$L$2989,$B$19)+SUMIFS('BMM465'!$K$6:$K$2989,'BMM465'!$J$6:$J$2989,"&gt;="&amp;V7,'BMM465'!$J$6:$J$2989,"&lt;="&amp;EOMONTH(V7,0),'BMM465'!$L$6:$L$2989,$B$19)+SUMIFS('1CF1ZO'!$K$6:$K$2989,'1CF1ZO'!$J$6:$J$2989,"&gt;="&amp;V7,'1CF1ZO'!$J$6:$J$2989,"&lt;="&amp;EOMONTH(V7,0),'1CF1ZO'!$L$6:$L$2989,$B$19)+SUMIFS('1UK1BK'!$K$6:$K$2989,'1UK1BK'!$J$6:$J$2989,"&gt;="&amp;V7,'1UK1BK'!$J$6:$J$2989,"&lt;="&amp;EOMONTH(V7,0),'1UK1BK'!$L$6:$L$2989,$B$19)</f>
        <v>#REF!</v>
      </c>
      <c r="W19" s="110" t="e">
        <f>SUMIFS('Other Expense'!$G$8:$G$2966,'Other Expense'!$F$8:$F$2966,"&gt;="&amp;W7,'Other Expense'!$F$8:$F$2966,"&lt;="&amp;EOMONTH(W7,0),'Other Expense'!$H$8:$H$2966,$B$19)+SUMIFS('CEI565'!$K$6:$K$2990,'CEI565'!$J$6:$J$2990,"&gt;="&amp;W7,'CEI565'!$J$6:$J$2990,"&lt;="&amp;EOMONTH(W7,0),'CEI565'!$L$6:$L$2990,$B$19)+SUMIFS('1SM3VL'!$K$6:$K$2990,'1SM3VL'!$J$6:$J$2990,"&gt;="&amp;W7,'1SM3VL'!$J$6:$J$2990,"&lt;="&amp;EOMONTH(W7,0),'1SM3VL'!$L$6:$L$2990,$B$19)+SUMIFS('1QF4SM'!$K$6:$K$2989,'1QF4SM'!$J$6:$J$2989,"&gt;="&amp;W7,'1QF4SM'!$J$6:$J$2989,"&lt;="&amp;EOMONTH(W7,0),'1QF4SM'!$L$6:$L$2989,$B$19)+SUMIFS('1UV5KI'!$K$6:$K$2989,'1UV5KI'!$J$6:$J$2989,"&gt;="&amp;W7,'1UV5KI'!$J$6:$J$2989,"&lt;="&amp;EOMONTH(W7,0),'1UV5KI'!$L$6:$L$2989,$B$19)+SUMIFS(#REF!,#REF!,"&gt;="&amp;W7,#REF!,"&lt;="&amp;EOMONTH(W7,0),#REF!,$B$19)+SUMIFS('1UL9RY'!$K$6:$K$2990,'1UL9RY'!$J$6:$J$2990,"&gt;="&amp;W7,'1UL9RY'!$J$6:$J$2990,"&lt;="&amp;EOMONTH(W7,0),'1UL9RY'!$L$6:$L$2990,$B$19)+SUMIFS('1OZ7GT'!$K$6:$K$2989,'1OZ7GT'!$J$6:$J$2989,"&gt;="&amp;W7,'1OZ7GT'!$J$6:$J$2989,"&lt;="&amp;EOMONTH(W7,0),'1OZ7GT'!$L$6:$L$2989,$B$19)+SUMIFS('1CN8DD'!$K$6:$K$2989,'1CN8DD'!$J$6:$J$2989,"&gt;="&amp;W7,'1CN8DD'!$J$6:$J$2989,"&lt;="&amp;EOMONTH(W7,0),'1CN8DD'!$L$6:$L$2989,$B$19)+SUMIFS('1UT9BR'!$K$6:$K$2990,'1UT9BR'!$J$6:$J$2990,"&gt;="&amp;W7,'1UT9BR'!$J$6:$J$2990,"&lt;="&amp;EOMONTH(W7,0),'1UT9BR'!$L$6:$L$2990,$B$19)+SUMIFS('1MK4UR'!$K$6:$K$2990,'1MK4UR'!$J$6:$J$2990,"&gt;="&amp;W7,'1MK4UR'!$J$6:$J$2990,"&lt;="&amp;EOMONTH(W7,0),'1MK4UR'!$L$6:$L$2990,$B$19)+SUMIFS(#REF!,#REF!,"&gt;="&amp;W7,#REF!,"&lt;="&amp;EOMONTH(W7,0),#REF!,$B$19)+SUMIFS('1JI2UE'!$K$6:$K$2989,'1JI2UE'!$J$6:$J$2989,"&gt;="&amp;W7,'1JI2UE'!$J$6:$J$2989,"&lt;="&amp;EOMONTH(W7,0),'1JI2UE'!$L$6:$L$2989,$B$19)+SUMIFS(#REF!,#REF!,"&gt;="&amp;W7,#REF!,"&lt;="&amp;EOMONTH(W7,0),#REF!,$B$19)+SUMIFS('1SI9BW'!$K$6:$K$2989,'1SI9BW'!$J$6:$J$2989,"&gt;="&amp;W7,'1SI9BW'!$J$6:$J$2989,"&lt;="&amp;EOMONTH(W7,0),'1SI9BW'!$L$6:$L$2989,$B$19)+SUMIFS(Suzuki!$K$6:$K$2989,Suzuki!$J$6:$J$2989,"&gt;="&amp;W7,Suzuki!$J$6:$J$2989,"&lt;="&amp;EOMONTH(W7,0),Suzuki!$L$6:$L$2989,$B$19)+SUMIFS('1SK3DD'!$K$6:$K$2989,'1SK3DD'!$J$6:$J$2989,"&gt;="&amp;W7,'1SK3DD'!$J$6:$J$2989,"&lt;="&amp;EOMONTH(W7,0),'1SK3DD'!$L$6:$L$2989,$B$19)+SUMIFS('1SX5TQ'!$K$6:$K$2989,'1SX5TQ'!$J$6:$J$2989,"&gt;="&amp;W7,'1SX5TQ'!$J$6:$J$2989,"&lt;="&amp;EOMONTH(W7,0),'1SX5TQ'!$L$6:$L$2989,$B$19)+SUMIFS('BMM465'!$K$6:$K$2989,'BMM465'!$J$6:$J$2989,"&gt;="&amp;W7,'BMM465'!$J$6:$J$2989,"&lt;="&amp;EOMONTH(W7,0),'BMM465'!$L$6:$L$2989,$B$19)+SUMIFS('1CF1ZO'!$K$6:$K$2989,'1CF1ZO'!$J$6:$J$2989,"&gt;="&amp;W7,'1CF1ZO'!$J$6:$J$2989,"&lt;="&amp;EOMONTH(W7,0),'1CF1ZO'!$L$6:$L$2989,$B$19)+SUMIFS('1UK1BK'!$K$6:$K$2989,'1UK1BK'!$J$6:$J$2989,"&gt;="&amp;W7,'1UK1BK'!$J$6:$J$2989,"&lt;="&amp;EOMONTH(W7,0),'1UK1BK'!$L$6:$L$2989,$B$19)</f>
        <v>#REF!</v>
      </c>
      <c r="X19" s="110" t="e">
        <f>SUMIFS('Other Expense'!$G$8:$G$2966,'Other Expense'!$F$8:$F$2966,"&gt;="&amp;X7,'Other Expense'!$F$8:$F$2966,"&lt;="&amp;EOMONTH(X7,0),'Other Expense'!$H$8:$H$2966,$B$19)+SUMIFS('CEI565'!$K$6:$K$2990,'CEI565'!$J$6:$J$2990,"&gt;="&amp;X7,'CEI565'!$J$6:$J$2990,"&lt;="&amp;EOMONTH(X7,0),'CEI565'!$L$6:$L$2990,$B$19)+SUMIFS('1SM3VL'!$K$6:$K$2990,'1SM3VL'!$J$6:$J$2990,"&gt;="&amp;X7,'1SM3VL'!$J$6:$J$2990,"&lt;="&amp;EOMONTH(X7,0),'1SM3VL'!$L$6:$L$2990,$B$19)+SUMIFS('1QF4SM'!$K$6:$K$2989,'1QF4SM'!$J$6:$J$2989,"&gt;="&amp;X7,'1QF4SM'!$J$6:$J$2989,"&lt;="&amp;EOMONTH(X7,0),'1QF4SM'!$L$6:$L$2989,$B$19)+SUMIFS('1UV5KI'!$K$6:$K$2989,'1UV5KI'!$J$6:$J$2989,"&gt;="&amp;X7,'1UV5KI'!$J$6:$J$2989,"&lt;="&amp;EOMONTH(X7,0),'1UV5KI'!$L$6:$L$2989,$B$19)+SUMIFS(#REF!,#REF!,"&gt;="&amp;X7,#REF!,"&lt;="&amp;EOMONTH(X7,0),#REF!,$B$19)+SUMIFS('1UL9RY'!$K$6:$K$2990,'1UL9RY'!$J$6:$J$2990,"&gt;="&amp;X7,'1UL9RY'!$J$6:$J$2990,"&lt;="&amp;EOMONTH(X7,0),'1UL9RY'!$L$6:$L$2990,$B$19)+SUMIFS('1OZ7GT'!$K$6:$K$2989,'1OZ7GT'!$J$6:$J$2989,"&gt;="&amp;X7,'1OZ7GT'!$J$6:$J$2989,"&lt;="&amp;EOMONTH(X7,0),'1OZ7GT'!$L$6:$L$2989,$B$19)+SUMIFS('1CN8DD'!$K$6:$K$2989,'1CN8DD'!$J$6:$J$2989,"&gt;="&amp;X7,'1CN8DD'!$J$6:$J$2989,"&lt;="&amp;EOMONTH(X7,0),'1CN8DD'!$L$6:$L$2989,$B$19)+SUMIFS('1UT9BR'!$K$6:$K$2990,'1UT9BR'!$J$6:$J$2990,"&gt;="&amp;X7,'1UT9BR'!$J$6:$J$2990,"&lt;="&amp;EOMONTH(X7,0),'1UT9BR'!$L$6:$L$2990,$B$19)+SUMIFS('1MK4UR'!$K$6:$K$2990,'1MK4UR'!$J$6:$J$2990,"&gt;="&amp;X7,'1MK4UR'!$J$6:$J$2990,"&lt;="&amp;EOMONTH(X7,0),'1MK4UR'!$L$6:$L$2990,$B$19)+SUMIFS(#REF!,#REF!,"&gt;="&amp;X7,#REF!,"&lt;="&amp;EOMONTH(X7,0),#REF!,$B$19)+SUMIFS('1JI2UE'!$K$6:$K$2989,'1JI2UE'!$J$6:$J$2989,"&gt;="&amp;X7,'1JI2UE'!$J$6:$J$2989,"&lt;="&amp;EOMONTH(X7,0),'1JI2UE'!$L$6:$L$2989,$B$19)+SUMIFS(#REF!,#REF!,"&gt;="&amp;X7,#REF!,"&lt;="&amp;EOMONTH(X7,0),#REF!,$B$19)+SUMIFS('1SI9BW'!$K$6:$K$2989,'1SI9BW'!$J$6:$J$2989,"&gt;="&amp;X7,'1SI9BW'!$J$6:$J$2989,"&lt;="&amp;EOMONTH(X7,0),'1SI9BW'!$L$6:$L$2989,$B$19)+SUMIFS(Suzuki!$K$6:$K$2989,Suzuki!$J$6:$J$2989,"&gt;="&amp;X7,Suzuki!$J$6:$J$2989,"&lt;="&amp;EOMONTH(X7,0),Suzuki!$L$6:$L$2989,$B$19)+SUMIFS('1SK3DD'!$K$6:$K$2989,'1SK3DD'!$J$6:$J$2989,"&gt;="&amp;X7,'1SK3DD'!$J$6:$J$2989,"&lt;="&amp;EOMONTH(X7,0),'1SK3DD'!$L$6:$L$2989,$B$19)+SUMIFS('1SX5TQ'!$K$6:$K$2989,'1SX5TQ'!$J$6:$J$2989,"&gt;="&amp;X7,'1SX5TQ'!$J$6:$J$2989,"&lt;="&amp;EOMONTH(X7,0),'1SX5TQ'!$L$6:$L$2989,$B$19)+SUMIFS('BMM465'!$K$6:$K$2989,'BMM465'!$J$6:$J$2989,"&gt;="&amp;X7,'BMM465'!$J$6:$J$2989,"&lt;="&amp;EOMONTH(X7,0),'BMM465'!$L$6:$L$2989,$B$19)+SUMIFS('1CF1ZO'!$K$6:$K$2989,'1CF1ZO'!$J$6:$J$2989,"&gt;="&amp;X7,'1CF1ZO'!$J$6:$J$2989,"&lt;="&amp;EOMONTH(X7,0),'1CF1ZO'!$L$6:$L$2989,$B$19)+SUMIFS('1UK1BK'!$K$6:$K$2989,'1UK1BK'!$J$6:$J$2989,"&gt;="&amp;X7,'1UK1BK'!$J$6:$J$2989,"&lt;="&amp;EOMONTH(X7,0),'1UK1BK'!$L$6:$L$2989,$B$19)</f>
        <v>#REF!</v>
      </c>
      <c r="Y19" s="110" t="e">
        <f>SUMIFS('Other Expense'!$G$8:$G$2966,'Other Expense'!$F$8:$F$2966,"&gt;="&amp;Y7,'Other Expense'!$F$8:$F$2966,"&lt;="&amp;EOMONTH(Y7,0),'Other Expense'!$H$8:$H$2966,$B$19)+SUMIFS('CEI565'!$K$6:$K$2990,'CEI565'!$J$6:$J$2990,"&gt;="&amp;Y7,'CEI565'!$J$6:$J$2990,"&lt;="&amp;EOMONTH(Y7,0),'CEI565'!$L$6:$L$2990,$B$19)+SUMIFS('1SM3VL'!$K$6:$K$2990,'1SM3VL'!$J$6:$J$2990,"&gt;="&amp;Y7,'1SM3VL'!$J$6:$J$2990,"&lt;="&amp;EOMONTH(Y7,0),'1SM3VL'!$L$6:$L$2990,$B$19)+SUMIFS('1QF4SM'!$K$6:$K$2989,'1QF4SM'!$J$6:$J$2989,"&gt;="&amp;Y7,'1QF4SM'!$J$6:$J$2989,"&lt;="&amp;EOMONTH(Y7,0),'1QF4SM'!$L$6:$L$2989,$B$19)+SUMIFS('1UV5KI'!$K$6:$K$2989,'1UV5KI'!$J$6:$J$2989,"&gt;="&amp;Y7,'1UV5KI'!$J$6:$J$2989,"&lt;="&amp;EOMONTH(Y7,0),'1UV5KI'!$L$6:$L$2989,$B$19)+SUMIFS(#REF!,#REF!,"&gt;="&amp;Y7,#REF!,"&lt;="&amp;EOMONTH(Y7,0),#REF!,$B$19)+SUMIFS('1UL9RY'!$K$6:$K$2990,'1UL9RY'!$J$6:$J$2990,"&gt;="&amp;Y7,'1UL9RY'!$J$6:$J$2990,"&lt;="&amp;EOMONTH(Y7,0),'1UL9RY'!$L$6:$L$2990,$B$19)+SUMIFS('1OZ7GT'!$K$6:$K$2989,'1OZ7GT'!$J$6:$J$2989,"&gt;="&amp;Y7,'1OZ7GT'!$J$6:$J$2989,"&lt;="&amp;EOMONTH(Y7,0),'1OZ7GT'!$L$6:$L$2989,$B$19)+SUMIFS('1CN8DD'!$K$6:$K$2989,'1CN8DD'!$J$6:$J$2989,"&gt;="&amp;Y7,'1CN8DD'!$J$6:$J$2989,"&lt;="&amp;EOMONTH(Y7,0),'1CN8DD'!$L$6:$L$2989,$B$19)+SUMIFS('1UT9BR'!$K$6:$K$2990,'1UT9BR'!$J$6:$J$2990,"&gt;="&amp;Y7,'1UT9BR'!$J$6:$J$2990,"&lt;="&amp;EOMONTH(Y7,0),'1UT9BR'!$L$6:$L$2990,$B$19)+SUMIFS('1MK4UR'!$K$6:$K$2990,'1MK4UR'!$J$6:$J$2990,"&gt;="&amp;Y7,'1MK4UR'!$J$6:$J$2990,"&lt;="&amp;EOMONTH(Y7,0),'1MK4UR'!$L$6:$L$2990,$B$19)+SUMIFS(#REF!,#REF!,"&gt;="&amp;Y7,#REF!,"&lt;="&amp;EOMONTH(Y7,0),#REF!,$B$19)+SUMIFS('1JI2UE'!$K$6:$K$2989,'1JI2UE'!$J$6:$J$2989,"&gt;="&amp;Y7,'1JI2UE'!$J$6:$J$2989,"&lt;="&amp;EOMONTH(Y7,0),'1JI2UE'!$L$6:$L$2989,$B$19)+SUMIFS(#REF!,#REF!,"&gt;="&amp;Y7,#REF!,"&lt;="&amp;EOMONTH(Y7,0),#REF!,$B$19)+SUMIFS('1SI9BW'!$K$6:$K$2989,'1SI9BW'!$J$6:$J$2989,"&gt;="&amp;Y7,'1SI9BW'!$J$6:$J$2989,"&lt;="&amp;EOMONTH(Y7,0),'1SI9BW'!$L$6:$L$2989,$B$19)+SUMIFS(Suzuki!$K$6:$K$2989,Suzuki!$J$6:$J$2989,"&gt;="&amp;Y7,Suzuki!$J$6:$J$2989,"&lt;="&amp;EOMONTH(Y7,0),Suzuki!$L$6:$L$2989,$B$19)+SUMIFS('1SK3DD'!$K$6:$K$2989,'1SK3DD'!$J$6:$J$2989,"&gt;="&amp;Y7,'1SK3DD'!$J$6:$J$2989,"&lt;="&amp;EOMONTH(Y7,0),'1SK3DD'!$L$6:$L$2989,$B$19)+SUMIFS('1SX5TQ'!$K$6:$K$2989,'1SX5TQ'!$J$6:$J$2989,"&gt;="&amp;Y7,'1SX5TQ'!$J$6:$J$2989,"&lt;="&amp;EOMONTH(Y7,0),'1SX5TQ'!$L$6:$L$2989,$B$19)+SUMIFS('BMM465'!$K$6:$K$2989,'BMM465'!$J$6:$J$2989,"&gt;="&amp;Y7,'BMM465'!$J$6:$J$2989,"&lt;="&amp;EOMONTH(Y7,0),'BMM465'!$L$6:$L$2989,$B$19)+SUMIFS('1CF1ZO'!$K$6:$K$2989,'1CF1ZO'!$J$6:$J$2989,"&gt;="&amp;Y7,'1CF1ZO'!$J$6:$J$2989,"&lt;="&amp;EOMONTH(Y7,0),'1CF1ZO'!$L$6:$L$2989,$B$19)+SUMIFS('1UK1BK'!$K$6:$K$2989,'1UK1BK'!$J$6:$J$2989,"&gt;="&amp;Y7,'1UK1BK'!$J$6:$J$2989,"&lt;="&amp;EOMONTH(Y7,0),'1UK1BK'!$L$6:$L$2989,$B$19)</f>
        <v>#REF!</v>
      </c>
      <c r="Z19" s="110" t="e">
        <f>SUMIFS('Other Expense'!$G$8:$G$2966,'Other Expense'!$F$8:$F$2966,"&gt;="&amp;Z7,'Other Expense'!$F$8:$F$2966,"&lt;="&amp;EOMONTH(Z7,0),'Other Expense'!$H$8:$H$2966,$B$19)+SUMIFS('CEI565'!$K$6:$K$2990,'CEI565'!$J$6:$J$2990,"&gt;="&amp;Z7,'CEI565'!$J$6:$J$2990,"&lt;="&amp;EOMONTH(Z7,0),'CEI565'!$L$6:$L$2990,$B$19)+SUMIFS('1SM3VL'!$K$6:$K$2990,'1SM3VL'!$J$6:$J$2990,"&gt;="&amp;Z7,'1SM3VL'!$J$6:$J$2990,"&lt;="&amp;EOMONTH(Z7,0),'1SM3VL'!$L$6:$L$2990,$B$19)+SUMIFS('1QF4SM'!$K$6:$K$2989,'1QF4SM'!$J$6:$J$2989,"&gt;="&amp;Z7,'1QF4SM'!$J$6:$J$2989,"&lt;="&amp;EOMONTH(Z7,0),'1QF4SM'!$L$6:$L$2989,$B$19)+SUMIFS('1UV5KI'!$K$6:$K$2989,'1UV5KI'!$J$6:$J$2989,"&gt;="&amp;Z7,'1UV5KI'!$J$6:$J$2989,"&lt;="&amp;EOMONTH(Z7,0),'1UV5KI'!$L$6:$L$2989,$B$19)+SUMIFS(#REF!,#REF!,"&gt;="&amp;Z7,#REF!,"&lt;="&amp;EOMONTH(Z7,0),#REF!,$B$19)+SUMIFS('1UL9RY'!$K$6:$K$2990,'1UL9RY'!$J$6:$J$2990,"&gt;="&amp;Z7,'1UL9RY'!$J$6:$J$2990,"&lt;="&amp;EOMONTH(Z7,0),'1UL9RY'!$L$6:$L$2990,$B$19)+SUMIFS('1OZ7GT'!$K$6:$K$2989,'1OZ7GT'!$J$6:$J$2989,"&gt;="&amp;Z7,'1OZ7GT'!$J$6:$J$2989,"&lt;="&amp;EOMONTH(Z7,0),'1OZ7GT'!$L$6:$L$2989,$B$19)+SUMIFS('1CN8DD'!$K$6:$K$2989,'1CN8DD'!$J$6:$J$2989,"&gt;="&amp;Z7,'1CN8DD'!$J$6:$J$2989,"&lt;="&amp;EOMONTH(Z7,0),'1CN8DD'!$L$6:$L$2989,$B$19)+SUMIFS('1UT9BR'!$K$6:$K$2990,'1UT9BR'!$J$6:$J$2990,"&gt;="&amp;Z7,'1UT9BR'!$J$6:$J$2990,"&lt;="&amp;EOMONTH(Z7,0),'1UT9BR'!$L$6:$L$2990,$B$19)+SUMIFS('1MK4UR'!$K$6:$K$2990,'1MK4UR'!$J$6:$J$2990,"&gt;="&amp;Z7,'1MK4UR'!$J$6:$J$2990,"&lt;="&amp;EOMONTH(Z7,0),'1MK4UR'!$L$6:$L$2990,$B$19)+SUMIFS(#REF!,#REF!,"&gt;="&amp;Z7,#REF!,"&lt;="&amp;EOMONTH(Z7,0),#REF!,$B$19)+SUMIFS('1JI2UE'!$K$6:$K$2989,'1JI2UE'!$J$6:$J$2989,"&gt;="&amp;Z7,'1JI2UE'!$J$6:$J$2989,"&lt;="&amp;EOMONTH(Z7,0),'1JI2UE'!$L$6:$L$2989,$B$19)+SUMIFS(#REF!,#REF!,"&gt;="&amp;Z7,#REF!,"&lt;="&amp;EOMONTH(Z7,0),#REF!,$B$19)+SUMIFS('1SI9BW'!$K$6:$K$2989,'1SI9BW'!$J$6:$J$2989,"&gt;="&amp;Z7,'1SI9BW'!$J$6:$J$2989,"&lt;="&amp;EOMONTH(Z7,0),'1SI9BW'!$L$6:$L$2989,$B$19)+SUMIFS(Suzuki!$K$6:$K$2989,Suzuki!$J$6:$J$2989,"&gt;="&amp;Z7,Suzuki!$J$6:$J$2989,"&lt;="&amp;EOMONTH(Z7,0),Suzuki!$L$6:$L$2989,$B$19)+SUMIFS('1SK3DD'!$K$6:$K$2989,'1SK3DD'!$J$6:$J$2989,"&gt;="&amp;Z7,'1SK3DD'!$J$6:$J$2989,"&lt;="&amp;EOMONTH(Z7,0),'1SK3DD'!$L$6:$L$2989,$B$19)+SUMIFS('1SX5TQ'!$K$6:$K$2989,'1SX5TQ'!$J$6:$J$2989,"&gt;="&amp;Z7,'1SX5TQ'!$J$6:$J$2989,"&lt;="&amp;EOMONTH(Z7,0),'1SX5TQ'!$L$6:$L$2989,$B$19)+SUMIFS('BMM465'!$K$6:$K$2989,'BMM465'!$J$6:$J$2989,"&gt;="&amp;Z7,'BMM465'!$J$6:$J$2989,"&lt;="&amp;EOMONTH(Z7,0),'BMM465'!$L$6:$L$2989,$B$19)+SUMIFS('1CF1ZO'!$K$6:$K$2989,'1CF1ZO'!$J$6:$J$2989,"&gt;="&amp;Z7,'1CF1ZO'!$J$6:$J$2989,"&lt;="&amp;EOMONTH(Z7,0),'1CF1ZO'!$L$6:$L$2989,$B$19)+SUMIFS('1UK1BK'!$K$6:$K$2989,'1UK1BK'!$J$6:$J$2989,"&gt;="&amp;Z7,'1UK1BK'!$J$6:$J$2989,"&lt;="&amp;EOMONTH(Z7,0),'1UK1BK'!$L$6:$L$2989,$B$19)</f>
        <v>#REF!</v>
      </c>
      <c r="AA19" s="110" t="e">
        <f>SUMIFS('Other Expense'!$G$8:$G$2966,'Other Expense'!$F$8:$F$2966,"&gt;="&amp;AA7,'Other Expense'!$F$8:$F$2966,"&lt;="&amp;EOMONTH(AA7,0),'Other Expense'!$H$8:$H$2966,$B$19)+SUMIFS('CEI565'!$K$6:$K$2990,'CEI565'!$J$6:$J$2990,"&gt;="&amp;AA7,'CEI565'!$J$6:$J$2990,"&lt;="&amp;EOMONTH(AA7,0),'CEI565'!$L$6:$L$2990,$B$19)+SUMIFS('1SM3VL'!$K$6:$K$2990,'1SM3VL'!$J$6:$J$2990,"&gt;="&amp;AA7,'1SM3VL'!$J$6:$J$2990,"&lt;="&amp;EOMONTH(AA7,0),'1SM3VL'!$L$6:$L$2990,$B$19)+SUMIFS('1QF4SM'!$K$6:$K$2989,'1QF4SM'!$J$6:$J$2989,"&gt;="&amp;AA7,'1QF4SM'!$J$6:$J$2989,"&lt;="&amp;EOMONTH(AA7,0),'1QF4SM'!$L$6:$L$2989,$B$19)+SUMIFS('1UV5KI'!$K$6:$K$2989,'1UV5KI'!$J$6:$J$2989,"&gt;="&amp;AA7,'1UV5KI'!$J$6:$J$2989,"&lt;="&amp;EOMONTH(AA7,0),'1UV5KI'!$L$6:$L$2989,$B$19)+SUMIFS(#REF!,#REF!,"&gt;="&amp;AA7,#REF!,"&lt;="&amp;EOMONTH(AA7,0),#REF!,$B$19)+SUMIFS('1UL9RY'!$K$6:$K$2990,'1UL9RY'!$J$6:$J$2990,"&gt;="&amp;AA7,'1UL9RY'!$J$6:$J$2990,"&lt;="&amp;EOMONTH(AA7,0),'1UL9RY'!$L$6:$L$2990,$B$19)+SUMIFS('1OZ7GT'!$K$6:$K$2989,'1OZ7GT'!$J$6:$J$2989,"&gt;="&amp;AA7,'1OZ7GT'!$J$6:$J$2989,"&lt;="&amp;EOMONTH(AA7,0),'1OZ7GT'!$L$6:$L$2989,$B$19)+SUMIFS('1CN8DD'!$K$6:$K$2989,'1CN8DD'!$J$6:$J$2989,"&gt;="&amp;AA7,'1CN8DD'!$J$6:$J$2989,"&lt;="&amp;EOMONTH(AA7,0),'1CN8DD'!$L$6:$L$2989,$B$19)+SUMIFS('1UT9BR'!$K$6:$K$2990,'1UT9BR'!$J$6:$J$2990,"&gt;="&amp;AA7,'1UT9BR'!$J$6:$J$2990,"&lt;="&amp;EOMONTH(AA7,0),'1UT9BR'!$L$6:$L$2990,$B$19)+SUMIFS('1MK4UR'!$K$6:$K$2990,'1MK4UR'!$J$6:$J$2990,"&gt;="&amp;AA7,'1MK4UR'!$J$6:$J$2990,"&lt;="&amp;EOMONTH(AA7,0),'1MK4UR'!$L$6:$L$2990,$B$19)+SUMIFS(#REF!,#REF!,"&gt;="&amp;AA7,#REF!,"&lt;="&amp;EOMONTH(AA7,0),#REF!,$B$19)+SUMIFS('1JI2UE'!$K$6:$K$2989,'1JI2UE'!$J$6:$J$2989,"&gt;="&amp;AA7,'1JI2UE'!$J$6:$J$2989,"&lt;="&amp;EOMONTH(AA7,0),'1JI2UE'!$L$6:$L$2989,$B$19)+SUMIFS(#REF!,#REF!,"&gt;="&amp;AA7,#REF!,"&lt;="&amp;EOMONTH(AA7,0),#REF!,$B$19)+SUMIFS('1SI9BW'!$K$6:$K$2989,'1SI9BW'!$J$6:$J$2989,"&gt;="&amp;AA7,'1SI9BW'!$J$6:$J$2989,"&lt;="&amp;EOMONTH(AA7,0),'1SI9BW'!$L$6:$L$2989,$B$19)+SUMIFS(Suzuki!$K$6:$K$2989,Suzuki!$J$6:$J$2989,"&gt;="&amp;AA7,Suzuki!$J$6:$J$2989,"&lt;="&amp;EOMONTH(AA7,0),Suzuki!$L$6:$L$2989,$B$19)+SUMIFS('1SK3DD'!$K$6:$K$2989,'1SK3DD'!$J$6:$J$2989,"&gt;="&amp;AA7,'1SK3DD'!$J$6:$J$2989,"&lt;="&amp;EOMONTH(AA7,0),'1SK3DD'!$L$6:$L$2989,$B$19)+SUMIFS('1SX5TQ'!$K$6:$K$2989,'1SX5TQ'!$J$6:$J$2989,"&gt;="&amp;AA7,'1SX5TQ'!$J$6:$J$2989,"&lt;="&amp;EOMONTH(AA7,0),'1SX5TQ'!$L$6:$L$2989,$B$19)+SUMIFS('BMM465'!$K$6:$K$2989,'BMM465'!$J$6:$J$2989,"&gt;="&amp;AA7,'BMM465'!$J$6:$J$2989,"&lt;="&amp;EOMONTH(AA7,0),'BMM465'!$L$6:$L$2989,$B$19)+SUMIFS('1CF1ZO'!$K$6:$K$2989,'1CF1ZO'!$J$6:$J$2989,"&gt;="&amp;AA7,'1CF1ZO'!$J$6:$J$2989,"&lt;="&amp;EOMONTH(AA7,0),'1CF1ZO'!$L$6:$L$2989,$B$19)+SUMIFS('1UK1BK'!$K$6:$K$2989,'1UK1BK'!$J$6:$J$2989,"&gt;="&amp;AA7,'1UK1BK'!$J$6:$J$2989,"&lt;="&amp;EOMONTH(AA7,0),'1UK1BK'!$L$6:$L$2989,$B$19)</f>
        <v>#REF!</v>
      </c>
      <c r="AB19" s="110" t="e">
        <f>SUMIFS('Other Expense'!$G$8:$G$2966,'Other Expense'!$F$8:$F$2966,"&gt;="&amp;AB7,'Other Expense'!$F$8:$F$2966,"&lt;="&amp;EOMONTH(AB7,0),'Other Expense'!$H$8:$H$2966,$B$19)+SUMIFS('CEI565'!$K$6:$K$2990,'CEI565'!$J$6:$J$2990,"&gt;="&amp;AB7,'CEI565'!$J$6:$J$2990,"&lt;="&amp;EOMONTH(AB7,0),'CEI565'!$L$6:$L$2990,$B$19)+SUMIFS('1SM3VL'!$K$6:$K$2990,'1SM3VL'!$J$6:$J$2990,"&gt;="&amp;AB7,'1SM3VL'!$J$6:$J$2990,"&lt;="&amp;EOMONTH(AB7,0),'1SM3VL'!$L$6:$L$2990,$B$19)+SUMIFS('1QF4SM'!$K$6:$K$2989,'1QF4SM'!$J$6:$J$2989,"&gt;="&amp;AB7,'1QF4SM'!$J$6:$J$2989,"&lt;="&amp;EOMONTH(AB7,0),'1QF4SM'!$L$6:$L$2989,$B$19)+SUMIFS('1UV5KI'!$K$6:$K$2989,'1UV5KI'!$J$6:$J$2989,"&gt;="&amp;AB7,'1UV5KI'!$J$6:$J$2989,"&lt;="&amp;EOMONTH(AB7,0),'1UV5KI'!$L$6:$L$2989,$B$19)+SUMIFS(#REF!,#REF!,"&gt;="&amp;AB7,#REF!,"&lt;="&amp;EOMONTH(AB7,0),#REF!,$B$19)+SUMIFS('1UL9RY'!$K$6:$K$2990,'1UL9RY'!$J$6:$J$2990,"&gt;="&amp;AB7,'1UL9RY'!$J$6:$J$2990,"&lt;="&amp;EOMONTH(AB7,0),'1UL9RY'!$L$6:$L$2990,$B$19)+SUMIFS('1OZ7GT'!$K$6:$K$2989,'1OZ7GT'!$J$6:$J$2989,"&gt;="&amp;AB7,'1OZ7GT'!$J$6:$J$2989,"&lt;="&amp;EOMONTH(AB7,0),'1OZ7GT'!$L$6:$L$2989,$B$19)+SUMIFS('1CN8DD'!$K$6:$K$2989,'1CN8DD'!$J$6:$J$2989,"&gt;="&amp;AB7,'1CN8DD'!$J$6:$J$2989,"&lt;="&amp;EOMONTH(AB7,0),'1CN8DD'!$L$6:$L$2989,$B$19)+SUMIFS('1UT9BR'!$K$6:$K$2990,'1UT9BR'!$J$6:$J$2990,"&gt;="&amp;AB7,'1UT9BR'!$J$6:$J$2990,"&lt;="&amp;EOMONTH(AB7,0),'1UT9BR'!$L$6:$L$2990,$B$19)+SUMIFS('1MK4UR'!$K$6:$K$2990,'1MK4UR'!$J$6:$J$2990,"&gt;="&amp;AB7,'1MK4UR'!$J$6:$J$2990,"&lt;="&amp;EOMONTH(AB7,0),'1MK4UR'!$L$6:$L$2990,$B$19)+SUMIFS(#REF!,#REF!,"&gt;="&amp;AB7,#REF!,"&lt;="&amp;EOMONTH(AB7,0),#REF!,$B$19)+SUMIFS('1JI2UE'!$K$6:$K$2989,'1JI2UE'!$J$6:$J$2989,"&gt;="&amp;AB7,'1JI2UE'!$J$6:$J$2989,"&lt;="&amp;EOMONTH(AB7,0),'1JI2UE'!$L$6:$L$2989,$B$19)+SUMIFS(#REF!,#REF!,"&gt;="&amp;AB7,#REF!,"&lt;="&amp;EOMONTH(AB7,0),#REF!,$B$19)+SUMIFS('1SI9BW'!$K$6:$K$2989,'1SI9BW'!$J$6:$J$2989,"&gt;="&amp;AB7,'1SI9BW'!$J$6:$J$2989,"&lt;="&amp;EOMONTH(AB7,0),'1SI9BW'!$L$6:$L$2989,$B$19)+SUMIFS(Suzuki!$K$6:$K$2989,Suzuki!$J$6:$J$2989,"&gt;="&amp;AB7,Suzuki!$J$6:$J$2989,"&lt;="&amp;EOMONTH(AB7,0),Suzuki!$L$6:$L$2989,$B$19)+SUMIFS('1SK3DD'!$K$6:$K$2989,'1SK3DD'!$J$6:$J$2989,"&gt;="&amp;AB7,'1SK3DD'!$J$6:$J$2989,"&lt;="&amp;EOMONTH(AB7,0),'1SK3DD'!$L$6:$L$2989,$B$19)+SUMIFS('1SX5TQ'!$K$6:$K$2989,'1SX5TQ'!$J$6:$J$2989,"&gt;="&amp;AB7,'1SX5TQ'!$J$6:$J$2989,"&lt;="&amp;EOMONTH(AB7,0),'1SX5TQ'!$L$6:$L$2989,$B$19)+SUMIFS('BMM465'!$K$6:$K$2989,'BMM465'!$J$6:$J$2989,"&gt;="&amp;AB7,'BMM465'!$J$6:$J$2989,"&lt;="&amp;EOMONTH(AB7,0),'BMM465'!$L$6:$L$2989,$B$19)+SUMIFS('1CF1ZO'!$K$6:$K$2989,'1CF1ZO'!$J$6:$J$2989,"&gt;="&amp;AB7,'1CF1ZO'!$J$6:$J$2989,"&lt;="&amp;EOMONTH(AB7,0),'1CF1ZO'!$L$6:$L$2989,$B$19)+SUMIFS('1UK1BK'!$K$6:$K$2989,'1UK1BK'!$J$6:$J$2989,"&gt;="&amp;AB7,'1UK1BK'!$J$6:$J$2989,"&lt;="&amp;EOMONTH(AB7,0),'1UK1BK'!$L$6:$L$2989,$B$19)</f>
        <v>#REF!</v>
      </c>
      <c r="AC19" s="110" t="e">
        <f>SUMIFS('Other Expense'!$G$8:$G$2966,'Other Expense'!$F$8:$F$2966,"&gt;="&amp;AC7,'Other Expense'!$F$8:$F$2966,"&lt;="&amp;EOMONTH(AC7,0),'Other Expense'!$H$8:$H$2966,$B$19)+SUMIFS('CEI565'!$K$6:$K$2990,'CEI565'!$J$6:$J$2990,"&gt;="&amp;AC7,'CEI565'!$J$6:$J$2990,"&lt;="&amp;EOMONTH(AC7,0),'CEI565'!$L$6:$L$2990,$B$19)+SUMIFS('1SM3VL'!$K$6:$K$2990,'1SM3VL'!$J$6:$J$2990,"&gt;="&amp;AC7,'1SM3VL'!$J$6:$J$2990,"&lt;="&amp;EOMONTH(AC7,0),'1SM3VL'!$L$6:$L$2990,$B$19)+SUMIFS('1QF4SM'!$K$6:$K$2989,'1QF4SM'!$J$6:$J$2989,"&gt;="&amp;AC7,'1QF4SM'!$J$6:$J$2989,"&lt;="&amp;EOMONTH(AC7,0),'1QF4SM'!$L$6:$L$2989,$B$19)+SUMIFS('1UV5KI'!$K$6:$K$2989,'1UV5KI'!$J$6:$J$2989,"&gt;="&amp;AC7,'1UV5KI'!$J$6:$J$2989,"&lt;="&amp;EOMONTH(AC7,0),'1UV5KI'!$L$6:$L$2989,$B$19)+SUMIFS(#REF!,#REF!,"&gt;="&amp;AC7,#REF!,"&lt;="&amp;EOMONTH(AC7,0),#REF!,$B$19)+SUMIFS('1UL9RY'!$K$6:$K$2990,'1UL9RY'!$J$6:$J$2990,"&gt;="&amp;AC7,'1UL9RY'!$J$6:$J$2990,"&lt;="&amp;EOMONTH(AC7,0),'1UL9RY'!$L$6:$L$2990,$B$19)+SUMIFS('1OZ7GT'!$K$6:$K$2989,'1OZ7GT'!$J$6:$J$2989,"&gt;="&amp;AC7,'1OZ7GT'!$J$6:$J$2989,"&lt;="&amp;EOMONTH(AC7,0),'1OZ7GT'!$L$6:$L$2989,$B$19)+SUMIFS('1CN8DD'!$K$6:$K$2989,'1CN8DD'!$J$6:$J$2989,"&gt;="&amp;AC7,'1CN8DD'!$J$6:$J$2989,"&lt;="&amp;EOMONTH(AC7,0),'1CN8DD'!$L$6:$L$2989,$B$19)+SUMIFS('1UT9BR'!$K$6:$K$2990,'1UT9BR'!$J$6:$J$2990,"&gt;="&amp;AC7,'1UT9BR'!$J$6:$J$2990,"&lt;="&amp;EOMONTH(AC7,0),'1UT9BR'!$L$6:$L$2990,$B$19)+SUMIFS('1MK4UR'!$K$6:$K$2990,'1MK4UR'!$J$6:$J$2990,"&gt;="&amp;AC7,'1MK4UR'!$J$6:$J$2990,"&lt;="&amp;EOMONTH(AC7,0),'1MK4UR'!$L$6:$L$2990,$B$19)+SUMIFS(#REF!,#REF!,"&gt;="&amp;AC7,#REF!,"&lt;="&amp;EOMONTH(AC7,0),#REF!,$B$19)+SUMIFS('1JI2UE'!$K$6:$K$2989,'1JI2UE'!$J$6:$J$2989,"&gt;="&amp;AC7,'1JI2UE'!$J$6:$J$2989,"&lt;="&amp;EOMONTH(AC7,0),'1JI2UE'!$L$6:$L$2989,$B$19)+SUMIFS(#REF!,#REF!,"&gt;="&amp;AC7,#REF!,"&lt;="&amp;EOMONTH(AC7,0),#REF!,$B$19)+SUMIFS('1SI9BW'!$K$6:$K$2989,'1SI9BW'!$J$6:$J$2989,"&gt;="&amp;AC7,'1SI9BW'!$J$6:$J$2989,"&lt;="&amp;EOMONTH(AC7,0),'1SI9BW'!$L$6:$L$2989,$B$19)+SUMIFS(Suzuki!$K$6:$K$2989,Suzuki!$J$6:$J$2989,"&gt;="&amp;AC7,Suzuki!$J$6:$J$2989,"&lt;="&amp;EOMONTH(AC7,0),Suzuki!$L$6:$L$2989,$B$19)+SUMIFS('1SK3DD'!$K$6:$K$2989,'1SK3DD'!$J$6:$J$2989,"&gt;="&amp;AC7,'1SK3DD'!$J$6:$J$2989,"&lt;="&amp;EOMONTH(AC7,0),'1SK3DD'!$L$6:$L$2989,$B$19)+SUMIFS('1SX5TQ'!$K$6:$K$2989,'1SX5TQ'!$J$6:$J$2989,"&gt;="&amp;AC7,'1SX5TQ'!$J$6:$J$2989,"&lt;="&amp;EOMONTH(AC7,0),'1SX5TQ'!$L$6:$L$2989,$B$19)+SUMIFS('BMM465'!$K$6:$K$2989,'BMM465'!$J$6:$J$2989,"&gt;="&amp;AC7,'BMM465'!$J$6:$J$2989,"&lt;="&amp;EOMONTH(AC7,0),'BMM465'!$L$6:$L$2989,$B$19)+SUMIFS('1CF1ZO'!$K$6:$K$2989,'1CF1ZO'!$J$6:$J$2989,"&gt;="&amp;AC7,'1CF1ZO'!$J$6:$J$2989,"&lt;="&amp;EOMONTH(AC7,0),'1CF1ZO'!$L$6:$L$2989,$B$19)+SUMIFS('1UK1BK'!$K$6:$K$2989,'1UK1BK'!$J$6:$J$2989,"&gt;="&amp;AC7,'1UK1BK'!$J$6:$J$2989,"&lt;="&amp;EOMONTH(AC7,0),'1UK1BK'!$L$6:$L$2989,$B$19)</f>
        <v>#REF!</v>
      </c>
      <c r="AD19" s="110" t="e">
        <f>SUMIFS('Other Expense'!$G$8:$G$2966,'Other Expense'!$F$8:$F$2966,"&gt;="&amp;AD7,'Other Expense'!$F$8:$F$2966,"&lt;="&amp;EOMONTH(AD7,0),'Other Expense'!$H$8:$H$2966,$B$19)+SUMIFS('CEI565'!$K$6:$K$2990,'CEI565'!$J$6:$J$2990,"&gt;="&amp;AD7,'CEI565'!$J$6:$J$2990,"&lt;="&amp;EOMONTH(AD7,0),'CEI565'!$L$6:$L$2990,$B$19)+SUMIFS('1SM3VL'!$K$6:$K$2990,'1SM3VL'!$J$6:$J$2990,"&gt;="&amp;AD7,'1SM3VL'!$J$6:$J$2990,"&lt;="&amp;EOMONTH(AD7,0),'1SM3VL'!$L$6:$L$2990,$B$19)+SUMIFS('1QF4SM'!$K$6:$K$2989,'1QF4SM'!$J$6:$J$2989,"&gt;="&amp;AD7,'1QF4SM'!$J$6:$J$2989,"&lt;="&amp;EOMONTH(AD7,0),'1QF4SM'!$L$6:$L$2989,$B$19)+SUMIFS('1UV5KI'!$K$6:$K$2989,'1UV5KI'!$J$6:$J$2989,"&gt;="&amp;AD7,'1UV5KI'!$J$6:$J$2989,"&lt;="&amp;EOMONTH(AD7,0),'1UV5KI'!$L$6:$L$2989,$B$19)+SUMIFS(#REF!,#REF!,"&gt;="&amp;AD7,#REF!,"&lt;="&amp;EOMONTH(AD7,0),#REF!,$B$19)+SUMIFS('1UL9RY'!$K$6:$K$2990,'1UL9RY'!$J$6:$J$2990,"&gt;="&amp;AD7,'1UL9RY'!$J$6:$J$2990,"&lt;="&amp;EOMONTH(AD7,0),'1UL9RY'!$L$6:$L$2990,$B$19)+SUMIFS('1OZ7GT'!$K$6:$K$2989,'1OZ7GT'!$J$6:$J$2989,"&gt;="&amp;AD7,'1OZ7GT'!$J$6:$J$2989,"&lt;="&amp;EOMONTH(AD7,0),'1OZ7GT'!$L$6:$L$2989,$B$19)+SUMIFS('1CN8DD'!$K$6:$K$2989,'1CN8DD'!$J$6:$J$2989,"&gt;="&amp;AD7,'1CN8DD'!$J$6:$J$2989,"&lt;="&amp;EOMONTH(AD7,0),'1CN8DD'!$L$6:$L$2989,$B$19)+SUMIFS('1UT9BR'!$K$6:$K$2990,'1UT9BR'!$J$6:$J$2990,"&gt;="&amp;AD7,'1UT9BR'!$J$6:$J$2990,"&lt;="&amp;EOMONTH(AD7,0),'1UT9BR'!$L$6:$L$2990,$B$19)+SUMIFS('1MK4UR'!$K$6:$K$2990,'1MK4UR'!$J$6:$J$2990,"&gt;="&amp;AD7,'1MK4UR'!$J$6:$J$2990,"&lt;="&amp;EOMONTH(AD7,0),'1MK4UR'!$L$6:$L$2990,$B$19)+SUMIFS(#REF!,#REF!,"&gt;="&amp;AD7,#REF!,"&lt;="&amp;EOMONTH(AD7,0),#REF!,$B$19)+SUMIFS('1JI2UE'!$K$6:$K$2989,'1JI2UE'!$J$6:$J$2989,"&gt;="&amp;AD7,'1JI2UE'!$J$6:$J$2989,"&lt;="&amp;EOMONTH(AD7,0),'1JI2UE'!$L$6:$L$2989,$B$19)+SUMIFS(#REF!,#REF!,"&gt;="&amp;AD7,#REF!,"&lt;="&amp;EOMONTH(AD7,0),#REF!,$B$19)+SUMIFS('1SI9BW'!$K$6:$K$2989,'1SI9BW'!$J$6:$J$2989,"&gt;="&amp;AD7,'1SI9BW'!$J$6:$J$2989,"&lt;="&amp;EOMONTH(AD7,0),'1SI9BW'!$L$6:$L$2989,$B$19)+SUMIFS(Suzuki!$K$6:$K$2989,Suzuki!$J$6:$J$2989,"&gt;="&amp;AD7,Suzuki!$J$6:$J$2989,"&lt;="&amp;EOMONTH(AD7,0),Suzuki!$L$6:$L$2989,$B$19)+SUMIFS('1SK3DD'!$K$6:$K$2989,'1SK3DD'!$J$6:$J$2989,"&gt;="&amp;AD7,'1SK3DD'!$J$6:$J$2989,"&lt;="&amp;EOMONTH(AD7,0),'1SK3DD'!$L$6:$L$2989,$B$19)+SUMIFS('1SX5TQ'!$K$6:$K$2989,'1SX5TQ'!$J$6:$J$2989,"&gt;="&amp;AD7,'1SX5TQ'!$J$6:$J$2989,"&lt;="&amp;EOMONTH(AD7,0),'1SX5TQ'!$L$6:$L$2989,$B$19)+SUMIFS('BMM465'!$K$6:$K$2989,'BMM465'!$J$6:$J$2989,"&gt;="&amp;AD7,'BMM465'!$J$6:$J$2989,"&lt;="&amp;EOMONTH(AD7,0),'BMM465'!$L$6:$L$2989,$B$19)+SUMIFS('1CF1ZO'!$K$6:$K$2989,'1CF1ZO'!$J$6:$J$2989,"&gt;="&amp;AD7,'1CF1ZO'!$J$6:$J$2989,"&lt;="&amp;EOMONTH(AD7,0),'1CF1ZO'!$L$6:$L$2989,$B$19)+SUMIFS('1UK1BK'!$K$6:$K$2989,'1UK1BK'!$J$6:$J$2989,"&gt;="&amp;AD7,'1UK1BK'!$J$6:$J$2989,"&lt;="&amp;EOMONTH(AD7,0),'1UK1BK'!$L$6:$L$2989,$B$19)</f>
        <v>#REF!</v>
      </c>
      <c r="AE19" s="110" t="e">
        <f>SUMIFS('Other Expense'!$G$8:$G$2966,'Other Expense'!$F$8:$F$2966,"&gt;="&amp;AE7,'Other Expense'!$F$8:$F$2966,"&lt;="&amp;EOMONTH(AE7,0),'Other Expense'!$H$8:$H$2966,$B$19)+SUMIFS('CEI565'!$K$6:$K$2990,'CEI565'!$J$6:$J$2990,"&gt;="&amp;AE7,'CEI565'!$J$6:$J$2990,"&lt;="&amp;EOMONTH(AE7,0),'CEI565'!$L$6:$L$2990,$B$19)+SUMIFS('1SM3VL'!$K$6:$K$2990,'1SM3VL'!$J$6:$J$2990,"&gt;="&amp;AE7,'1SM3VL'!$J$6:$J$2990,"&lt;="&amp;EOMONTH(AE7,0),'1SM3VL'!$L$6:$L$2990,$B$19)+SUMIFS('1QF4SM'!$K$6:$K$2989,'1QF4SM'!$J$6:$J$2989,"&gt;="&amp;AE7,'1QF4SM'!$J$6:$J$2989,"&lt;="&amp;EOMONTH(AE7,0),'1QF4SM'!$L$6:$L$2989,$B$19)+SUMIFS('1UV5KI'!$K$6:$K$2989,'1UV5KI'!$J$6:$J$2989,"&gt;="&amp;AE7,'1UV5KI'!$J$6:$J$2989,"&lt;="&amp;EOMONTH(AE7,0),'1UV5KI'!$L$6:$L$2989,$B$19)+SUMIFS(#REF!,#REF!,"&gt;="&amp;AE7,#REF!,"&lt;="&amp;EOMONTH(AE7,0),#REF!,$B$19)+SUMIFS('1UL9RY'!$K$6:$K$2990,'1UL9RY'!$J$6:$J$2990,"&gt;="&amp;AE7,'1UL9RY'!$J$6:$J$2990,"&lt;="&amp;EOMONTH(AE7,0),'1UL9RY'!$L$6:$L$2990,$B$19)+SUMIFS('1OZ7GT'!$K$6:$K$2989,'1OZ7GT'!$J$6:$J$2989,"&gt;="&amp;AE7,'1OZ7GT'!$J$6:$J$2989,"&lt;="&amp;EOMONTH(AE7,0),'1OZ7GT'!$L$6:$L$2989,$B$19)+SUMIFS('1CN8DD'!$K$6:$K$2989,'1CN8DD'!$J$6:$J$2989,"&gt;="&amp;AE7,'1CN8DD'!$J$6:$J$2989,"&lt;="&amp;EOMONTH(AE7,0),'1CN8DD'!$L$6:$L$2989,$B$19)+SUMIFS('1UT9BR'!$K$6:$K$2990,'1UT9BR'!$J$6:$J$2990,"&gt;="&amp;AE7,'1UT9BR'!$J$6:$J$2990,"&lt;="&amp;EOMONTH(AE7,0),'1UT9BR'!$L$6:$L$2990,$B$19)+SUMIFS('1MK4UR'!$K$6:$K$2990,'1MK4UR'!$J$6:$J$2990,"&gt;="&amp;AE7,'1MK4UR'!$J$6:$J$2990,"&lt;="&amp;EOMONTH(AE7,0),'1MK4UR'!$L$6:$L$2990,$B$19)+SUMIFS(#REF!,#REF!,"&gt;="&amp;AE7,#REF!,"&lt;="&amp;EOMONTH(AE7,0),#REF!,$B$19)+SUMIFS('1JI2UE'!$K$6:$K$2989,'1JI2UE'!$J$6:$J$2989,"&gt;="&amp;AE7,'1JI2UE'!$J$6:$J$2989,"&lt;="&amp;EOMONTH(AE7,0),'1JI2UE'!$L$6:$L$2989,$B$19)+SUMIFS(#REF!,#REF!,"&gt;="&amp;AE7,#REF!,"&lt;="&amp;EOMONTH(AE7,0),#REF!,$B$19)+SUMIFS('1SI9BW'!$K$6:$K$2989,'1SI9BW'!$J$6:$J$2989,"&gt;="&amp;AE7,'1SI9BW'!$J$6:$J$2989,"&lt;="&amp;EOMONTH(AE7,0),'1SI9BW'!$L$6:$L$2989,$B$19)+SUMIFS(Suzuki!$K$6:$K$2989,Suzuki!$J$6:$J$2989,"&gt;="&amp;AE7,Suzuki!$J$6:$J$2989,"&lt;="&amp;EOMONTH(AE7,0),Suzuki!$L$6:$L$2989,$B$19)+SUMIFS('1SK3DD'!$K$6:$K$2989,'1SK3DD'!$J$6:$J$2989,"&gt;="&amp;AE7,'1SK3DD'!$J$6:$J$2989,"&lt;="&amp;EOMONTH(AE7,0),'1SK3DD'!$L$6:$L$2989,$B$19)+SUMIFS('1SX5TQ'!$K$6:$K$2989,'1SX5TQ'!$J$6:$J$2989,"&gt;="&amp;AE7,'1SX5TQ'!$J$6:$J$2989,"&lt;="&amp;EOMONTH(AE7,0),'1SX5TQ'!$L$6:$L$2989,$B$19)+SUMIFS('BMM465'!$K$6:$K$2989,'BMM465'!$J$6:$J$2989,"&gt;="&amp;AE7,'BMM465'!$J$6:$J$2989,"&lt;="&amp;EOMONTH(AE7,0),'BMM465'!$L$6:$L$2989,$B$19)+SUMIFS('1CF1ZO'!$K$6:$K$2989,'1CF1ZO'!$J$6:$J$2989,"&gt;="&amp;AE7,'1CF1ZO'!$J$6:$J$2989,"&lt;="&amp;EOMONTH(AE7,0),'1CF1ZO'!$L$6:$L$2989,$B$19)+SUMIFS('1UK1BK'!$K$6:$K$2989,'1UK1BK'!$J$6:$J$2989,"&gt;="&amp;AE7,'1UK1BK'!$J$6:$J$2989,"&lt;="&amp;EOMONTH(AE7,0),'1UK1BK'!$L$6:$L$2989,$B$19)</f>
        <v>#REF!</v>
      </c>
      <c r="AF19" s="110" t="e">
        <f>SUMIFS('Other Expense'!$G$8:$G$2966,'Other Expense'!$F$8:$F$2966,"&gt;="&amp;AF7,'Other Expense'!$F$8:$F$2966,"&lt;="&amp;EOMONTH(AF7,0),'Other Expense'!$H$8:$H$2966,$B$19)+SUMIFS('CEI565'!$K$6:$K$2990,'CEI565'!$J$6:$J$2990,"&gt;="&amp;AF7,'CEI565'!$J$6:$J$2990,"&lt;="&amp;EOMONTH(AF7,0),'CEI565'!$L$6:$L$2990,$B$19)+SUMIFS('1SM3VL'!$K$6:$K$2990,'1SM3VL'!$J$6:$J$2990,"&gt;="&amp;AF7,'1SM3VL'!$J$6:$J$2990,"&lt;="&amp;EOMONTH(AF7,0),'1SM3VL'!$L$6:$L$2990,$B$19)+SUMIFS('1QF4SM'!$K$6:$K$2989,'1QF4SM'!$J$6:$J$2989,"&gt;="&amp;AF7,'1QF4SM'!$J$6:$J$2989,"&lt;="&amp;EOMONTH(AF7,0),'1QF4SM'!$L$6:$L$2989,$B$19)+SUMIFS('1UV5KI'!$K$6:$K$2989,'1UV5KI'!$J$6:$J$2989,"&gt;="&amp;AF7,'1UV5KI'!$J$6:$J$2989,"&lt;="&amp;EOMONTH(AF7,0),'1UV5KI'!$L$6:$L$2989,$B$19)+SUMIFS(#REF!,#REF!,"&gt;="&amp;AF7,#REF!,"&lt;="&amp;EOMONTH(AF7,0),#REF!,$B$19)+SUMIFS('1UL9RY'!$K$6:$K$2990,'1UL9RY'!$J$6:$J$2990,"&gt;="&amp;AF7,'1UL9RY'!$J$6:$J$2990,"&lt;="&amp;EOMONTH(AF7,0),'1UL9RY'!$L$6:$L$2990,$B$19)+SUMIFS('1OZ7GT'!$K$6:$K$2989,'1OZ7GT'!$J$6:$J$2989,"&gt;="&amp;AF7,'1OZ7GT'!$J$6:$J$2989,"&lt;="&amp;EOMONTH(AF7,0),'1OZ7GT'!$L$6:$L$2989,$B$19)+SUMIFS('1CN8DD'!$K$6:$K$2989,'1CN8DD'!$J$6:$J$2989,"&gt;="&amp;AF7,'1CN8DD'!$J$6:$J$2989,"&lt;="&amp;EOMONTH(AF7,0),'1CN8DD'!$L$6:$L$2989,$B$19)+SUMIFS('1UT9BR'!$K$6:$K$2990,'1UT9BR'!$J$6:$J$2990,"&gt;="&amp;AF7,'1UT9BR'!$J$6:$J$2990,"&lt;="&amp;EOMONTH(AF7,0),'1UT9BR'!$L$6:$L$2990,$B$19)+SUMIFS('1MK4UR'!$K$6:$K$2990,'1MK4UR'!$J$6:$J$2990,"&gt;="&amp;AF7,'1MK4UR'!$J$6:$J$2990,"&lt;="&amp;EOMONTH(AF7,0),'1MK4UR'!$L$6:$L$2990,$B$19)+SUMIFS(#REF!,#REF!,"&gt;="&amp;AF7,#REF!,"&lt;="&amp;EOMONTH(AF7,0),#REF!,$B$19)+SUMIFS('1JI2UE'!$K$6:$K$2989,'1JI2UE'!$J$6:$J$2989,"&gt;="&amp;AF7,'1JI2UE'!$J$6:$J$2989,"&lt;="&amp;EOMONTH(AF7,0),'1JI2UE'!$L$6:$L$2989,$B$19)+SUMIFS(#REF!,#REF!,"&gt;="&amp;AF7,#REF!,"&lt;="&amp;EOMONTH(AF7,0),#REF!,$B$19)+SUMIFS('1SI9BW'!$K$6:$K$2989,'1SI9BW'!$J$6:$J$2989,"&gt;="&amp;AF7,'1SI9BW'!$J$6:$J$2989,"&lt;="&amp;EOMONTH(AF7,0),'1SI9BW'!$L$6:$L$2989,$B$19)+SUMIFS(Suzuki!$K$6:$K$2989,Suzuki!$J$6:$J$2989,"&gt;="&amp;AF7,Suzuki!$J$6:$J$2989,"&lt;="&amp;EOMONTH(AF7,0),Suzuki!$L$6:$L$2989,$B$19)+SUMIFS('1SK3DD'!$K$6:$K$2989,'1SK3DD'!$J$6:$J$2989,"&gt;="&amp;AF7,'1SK3DD'!$J$6:$J$2989,"&lt;="&amp;EOMONTH(AF7,0),'1SK3DD'!$L$6:$L$2989,$B$19)+SUMIFS('1SX5TQ'!$K$6:$K$2989,'1SX5TQ'!$J$6:$J$2989,"&gt;="&amp;AF7,'1SX5TQ'!$J$6:$J$2989,"&lt;="&amp;EOMONTH(AF7,0),'1SX5TQ'!$L$6:$L$2989,$B$19)+SUMIFS('BMM465'!$K$6:$K$2989,'BMM465'!$J$6:$J$2989,"&gt;="&amp;AF7,'BMM465'!$J$6:$J$2989,"&lt;="&amp;EOMONTH(AF7,0),'BMM465'!$L$6:$L$2989,$B$19)+SUMIFS('1CF1ZO'!$K$6:$K$2989,'1CF1ZO'!$J$6:$J$2989,"&gt;="&amp;AF7,'1CF1ZO'!$J$6:$J$2989,"&lt;="&amp;EOMONTH(AF7,0),'1CF1ZO'!$L$6:$L$2989,$B$19)+SUMIFS('1UK1BK'!$K$6:$K$2989,'1UK1BK'!$J$6:$J$2989,"&gt;="&amp;AF7,'1UK1BK'!$J$6:$J$2989,"&lt;="&amp;EOMONTH(AF7,0),'1UK1BK'!$L$6:$L$2989,$B$19)</f>
        <v>#REF!</v>
      </c>
      <c r="AG19" s="110" t="e">
        <f>SUMIFS('Other Expense'!$G$8:$G$2966,'Other Expense'!$F$8:$F$2966,"&gt;="&amp;AG7,'Other Expense'!$F$8:$F$2966,"&lt;="&amp;EOMONTH(AG7,0),'Other Expense'!$H$8:$H$2966,$B$19)+SUMIFS('CEI565'!$K$6:$K$2990,'CEI565'!$J$6:$J$2990,"&gt;="&amp;AG7,'CEI565'!$J$6:$J$2990,"&lt;="&amp;EOMONTH(AG7,0),'CEI565'!$L$6:$L$2990,$B$19)+SUMIFS('1SM3VL'!$K$6:$K$2990,'1SM3VL'!$J$6:$J$2990,"&gt;="&amp;AG7,'1SM3VL'!$J$6:$J$2990,"&lt;="&amp;EOMONTH(AG7,0),'1SM3VL'!$L$6:$L$2990,$B$19)+SUMIFS('1QF4SM'!$K$6:$K$2989,'1QF4SM'!$J$6:$J$2989,"&gt;="&amp;AG7,'1QF4SM'!$J$6:$J$2989,"&lt;="&amp;EOMONTH(AG7,0),'1QF4SM'!$L$6:$L$2989,$B$19)+SUMIFS('1UV5KI'!$K$6:$K$2989,'1UV5KI'!$J$6:$J$2989,"&gt;="&amp;AG7,'1UV5KI'!$J$6:$J$2989,"&lt;="&amp;EOMONTH(AG7,0),'1UV5KI'!$L$6:$L$2989,$B$19)+SUMIFS(#REF!,#REF!,"&gt;="&amp;AG7,#REF!,"&lt;="&amp;EOMONTH(AG7,0),#REF!,$B$19)+SUMIFS('1UL9RY'!$K$6:$K$2990,'1UL9RY'!$J$6:$J$2990,"&gt;="&amp;AG7,'1UL9RY'!$J$6:$J$2990,"&lt;="&amp;EOMONTH(AG7,0),'1UL9RY'!$L$6:$L$2990,$B$19)+SUMIFS('1OZ7GT'!$K$6:$K$2989,'1OZ7GT'!$J$6:$J$2989,"&gt;="&amp;AG7,'1OZ7GT'!$J$6:$J$2989,"&lt;="&amp;EOMONTH(AG7,0),'1OZ7GT'!$L$6:$L$2989,$B$19)+SUMIFS('1CN8DD'!$K$6:$K$2989,'1CN8DD'!$J$6:$J$2989,"&gt;="&amp;AG7,'1CN8DD'!$J$6:$J$2989,"&lt;="&amp;EOMONTH(AG7,0),'1CN8DD'!$L$6:$L$2989,$B$19)+SUMIFS('1UT9BR'!$K$6:$K$2990,'1UT9BR'!$J$6:$J$2990,"&gt;="&amp;AG7,'1UT9BR'!$J$6:$J$2990,"&lt;="&amp;EOMONTH(AG7,0),'1UT9BR'!$L$6:$L$2990,$B$19)+SUMIFS('1MK4UR'!$K$6:$K$2990,'1MK4UR'!$J$6:$J$2990,"&gt;="&amp;AG7,'1MK4UR'!$J$6:$J$2990,"&lt;="&amp;EOMONTH(AG7,0),'1MK4UR'!$L$6:$L$2990,$B$19)+SUMIFS(#REF!,#REF!,"&gt;="&amp;AG7,#REF!,"&lt;="&amp;EOMONTH(AG7,0),#REF!,$B$19)+SUMIFS('1JI2UE'!$K$6:$K$2989,'1JI2UE'!$J$6:$J$2989,"&gt;="&amp;AG7,'1JI2UE'!$J$6:$J$2989,"&lt;="&amp;EOMONTH(AG7,0),'1JI2UE'!$L$6:$L$2989,$B$19)+SUMIFS(#REF!,#REF!,"&gt;="&amp;AG7,#REF!,"&lt;="&amp;EOMONTH(AG7,0),#REF!,$B$19)+SUMIFS('1SI9BW'!$K$6:$K$2989,'1SI9BW'!$J$6:$J$2989,"&gt;="&amp;AG7,'1SI9BW'!$J$6:$J$2989,"&lt;="&amp;EOMONTH(AG7,0),'1SI9BW'!$L$6:$L$2989,$B$19)+SUMIFS(Suzuki!$K$6:$K$2989,Suzuki!$J$6:$J$2989,"&gt;="&amp;AG7,Suzuki!$J$6:$J$2989,"&lt;="&amp;EOMONTH(AG7,0),Suzuki!$L$6:$L$2989,$B$19)+SUMIFS('1SK3DD'!$K$6:$K$2989,'1SK3DD'!$J$6:$J$2989,"&gt;="&amp;AG7,'1SK3DD'!$J$6:$J$2989,"&lt;="&amp;EOMONTH(AG7,0),'1SK3DD'!$L$6:$L$2989,$B$19)+SUMIFS('1SX5TQ'!$K$6:$K$2989,'1SX5TQ'!$J$6:$J$2989,"&gt;="&amp;AG7,'1SX5TQ'!$J$6:$J$2989,"&lt;="&amp;EOMONTH(AG7,0),'1SX5TQ'!$L$6:$L$2989,$B$19)+SUMIFS('BMM465'!$K$6:$K$2989,'BMM465'!$J$6:$J$2989,"&gt;="&amp;AG7,'BMM465'!$J$6:$J$2989,"&lt;="&amp;EOMONTH(AG7,0),'BMM465'!$L$6:$L$2989,$B$19)+SUMIFS('1CF1ZO'!$K$6:$K$2989,'1CF1ZO'!$J$6:$J$2989,"&gt;="&amp;AG7,'1CF1ZO'!$J$6:$J$2989,"&lt;="&amp;EOMONTH(AG7,0),'1CF1ZO'!$L$6:$L$2989,$B$19)+SUMIFS('1UK1BK'!$K$6:$K$2989,'1UK1BK'!$J$6:$J$2989,"&gt;="&amp;AG7,'1UK1BK'!$J$6:$J$2989,"&lt;="&amp;EOMONTH(AG7,0),'1UK1BK'!$L$6:$L$2989,$B$19)</f>
        <v>#REF!</v>
      </c>
      <c r="AH19" s="110" t="e">
        <f>SUMIFS('Other Expense'!$G$8:$G$2966,'Other Expense'!$F$8:$F$2966,"&gt;="&amp;AH7,'Other Expense'!$F$8:$F$2966,"&lt;="&amp;EOMONTH(AH7,0),'Other Expense'!$H$8:$H$2966,$B$19)+SUMIFS('CEI565'!$K$6:$K$2990,'CEI565'!$J$6:$J$2990,"&gt;="&amp;AH7,'CEI565'!$J$6:$J$2990,"&lt;="&amp;EOMONTH(AH7,0),'CEI565'!$L$6:$L$2990,$B$19)+SUMIFS('1SM3VL'!$K$6:$K$2990,'1SM3VL'!$J$6:$J$2990,"&gt;="&amp;AH7,'1SM3VL'!$J$6:$J$2990,"&lt;="&amp;EOMONTH(AH7,0),'1SM3VL'!$L$6:$L$2990,$B$19)+SUMIFS('1QF4SM'!$K$6:$K$2989,'1QF4SM'!$J$6:$J$2989,"&gt;="&amp;AH7,'1QF4SM'!$J$6:$J$2989,"&lt;="&amp;EOMONTH(AH7,0),'1QF4SM'!$L$6:$L$2989,$B$19)+SUMIFS('1UV5KI'!$K$6:$K$2989,'1UV5KI'!$J$6:$J$2989,"&gt;="&amp;AH7,'1UV5KI'!$J$6:$J$2989,"&lt;="&amp;EOMONTH(AH7,0),'1UV5KI'!$L$6:$L$2989,$B$19)+SUMIFS(#REF!,#REF!,"&gt;="&amp;AH7,#REF!,"&lt;="&amp;EOMONTH(AH7,0),#REF!,$B$19)+SUMIFS('1UL9RY'!$K$6:$K$2990,'1UL9RY'!$J$6:$J$2990,"&gt;="&amp;AH7,'1UL9RY'!$J$6:$J$2990,"&lt;="&amp;EOMONTH(AH7,0),'1UL9RY'!$L$6:$L$2990,$B$19)+SUMIFS('1OZ7GT'!$K$6:$K$2989,'1OZ7GT'!$J$6:$J$2989,"&gt;="&amp;AH7,'1OZ7GT'!$J$6:$J$2989,"&lt;="&amp;EOMONTH(AH7,0),'1OZ7GT'!$L$6:$L$2989,$B$19)+SUMIFS('1CN8DD'!$K$6:$K$2989,'1CN8DD'!$J$6:$J$2989,"&gt;="&amp;AH7,'1CN8DD'!$J$6:$J$2989,"&lt;="&amp;EOMONTH(AH7,0),'1CN8DD'!$L$6:$L$2989,$B$19)+SUMIFS('1UT9BR'!$K$6:$K$2990,'1UT9BR'!$J$6:$J$2990,"&gt;="&amp;AH7,'1UT9BR'!$J$6:$J$2990,"&lt;="&amp;EOMONTH(AH7,0),'1UT9BR'!$L$6:$L$2990,$B$19)+SUMIFS('1MK4UR'!$K$6:$K$2990,'1MK4UR'!$J$6:$J$2990,"&gt;="&amp;AH7,'1MK4UR'!$J$6:$J$2990,"&lt;="&amp;EOMONTH(AH7,0),'1MK4UR'!$L$6:$L$2990,$B$19)+SUMIFS(#REF!,#REF!,"&gt;="&amp;AH7,#REF!,"&lt;="&amp;EOMONTH(AH7,0),#REF!,$B$19)+SUMIFS('1JI2UE'!$K$6:$K$2989,'1JI2UE'!$J$6:$J$2989,"&gt;="&amp;AH7,'1JI2UE'!$J$6:$J$2989,"&lt;="&amp;EOMONTH(AH7,0),'1JI2UE'!$L$6:$L$2989,$B$19)+SUMIFS(#REF!,#REF!,"&gt;="&amp;AH7,#REF!,"&lt;="&amp;EOMONTH(AH7,0),#REF!,$B$19)+SUMIFS('1SI9BW'!$K$6:$K$2989,'1SI9BW'!$J$6:$J$2989,"&gt;="&amp;AH7,'1SI9BW'!$J$6:$J$2989,"&lt;="&amp;EOMONTH(AH7,0),'1SI9BW'!$L$6:$L$2989,$B$19)+SUMIFS(Suzuki!$K$6:$K$2989,Suzuki!$J$6:$J$2989,"&gt;="&amp;AH7,Suzuki!$J$6:$J$2989,"&lt;="&amp;EOMONTH(AH7,0),Suzuki!$L$6:$L$2989,$B$19)+SUMIFS('1SK3DD'!$K$6:$K$2989,'1SK3DD'!$J$6:$J$2989,"&gt;="&amp;AH7,'1SK3DD'!$J$6:$J$2989,"&lt;="&amp;EOMONTH(AH7,0),'1SK3DD'!$L$6:$L$2989,$B$19)+SUMIFS('1SX5TQ'!$K$6:$K$2989,'1SX5TQ'!$J$6:$J$2989,"&gt;="&amp;AH7,'1SX5TQ'!$J$6:$J$2989,"&lt;="&amp;EOMONTH(AH7,0),'1SX5TQ'!$L$6:$L$2989,$B$19)+SUMIFS('BMM465'!$K$6:$K$2989,'BMM465'!$J$6:$J$2989,"&gt;="&amp;AH7,'BMM465'!$J$6:$J$2989,"&lt;="&amp;EOMONTH(AH7,0),'BMM465'!$L$6:$L$2989,$B$19)+SUMIFS('1CF1ZO'!$K$6:$K$2989,'1CF1ZO'!$J$6:$J$2989,"&gt;="&amp;AH7,'1CF1ZO'!$J$6:$J$2989,"&lt;="&amp;EOMONTH(AH7,0),'1CF1ZO'!$L$6:$L$2989,$B$19)+SUMIFS('1UK1BK'!$K$6:$K$2989,'1UK1BK'!$J$6:$J$2989,"&gt;="&amp;AH7,'1UK1BK'!$J$6:$J$2989,"&lt;="&amp;EOMONTH(AH7,0),'1UK1BK'!$L$6:$L$2989,$B$19)</f>
        <v>#REF!</v>
      </c>
      <c r="AI19" s="110" t="e">
        <f>SUMIFS('Other Expense'!$G$8:$G$2966,'Other Expense'!$F$8:$F$2966,"&gt;="&amp;AI7,'Other Expense'!$F$8:$F$2966,"&lt;="&amp;EOMONTH(AI7,0),'Other Expense'!$H$8:$H$2966,$B$19)+SUMIFS('CEI565'!$K$6:$K$2990,'CEI565'!$J$6:$J$2990,"&gt;="&amp;AI7,'CEI565'!$J$6:$J$2990,"&lt;="&amp;EOMONTH(AI7,0),'CEI565'!$L$6:$L$2990,$B$19)+SUMIFS('1SM3VL'!$K$6:$K$2990,'1SM3VL'!$J$6:$J$2990,"&gt;="&amp;AI7,'1SM3VL'!$J$6:$J$2990,"&lt;="&amp;EOMONTH(AI7,0),'1SM3VL'!$L$6:$L$2990,$B$19)+SUMIFS('1QF4SM'!$K$6:$K$2989,'1QF4SM'!$J$6:$J$2989,"&gt;="&amp;AI7,'1QF4SM'!$J$6:$J$2989,"&lt;="&amp;EOMONTH(AI7,0),'1QF4SM'!$L$6:$L$2989,$B$19)+SUMIFS('1UV5KI'!$K$6:$K$2989,'1UV5KI'!$J$6:$J$2989,"&gt;="&amp;AI7,'1UV5KI'!$J$6:$J$2989,"&lt;="&amp;EOMONTH(AI7,0),'1UV5KI'!$L$6:$L$2989,$B$19)+SUMIFS(#REF!,#REF!,"&gt;="&amp;AI7,#REF!,"&lt;="&amp;EOMONTH(AI7,0),#REF!,$B$19)+SUMIFS('1UL9RY'!$K$6:$K$2990,'1UL9RY'!$J$6:$J$2990,"&gt;="&amp;AI7,'1UL9RY'!$J$6:$J$2990,"&lt;="&amp;EOMONTH(AI7,0),'1UL9RY'!$L$6:$L$2990,$B$19)+SUMIFS('1OZ7GT'!$K$6:$K$2989,'1OZ7GT'!$J$6:$J$2989,"&gt;="&amp;AI7,'1OZ7GT'!$J$6:$J$2989,"&lt;="&amp;EOMONTH(AI7,0),'1OZ7GT'!$L$6:$L$2989,$B$19)+SUMIFS('1CN8DD'!$K$6:$K$2989,'1CN8DD'!$J$6:$J$2989,"&gt;="&amp;AI7,'1CN8DD'!$J$6:$J$2989,"&lt;="&amp;EOMONTH(AI7,0),'1CN8DD'!$L$6:$L$2989,$B$19)+SUMIFS('1UT9BR'!$K$6:$K$2990,'1UT9BR'!$J$6:$J$2990,"&gt;="&amp;AI7,'1UT9BR'!$J$6:$J$2990,"&lt;="&amp;EOMONTH(AI7,0),'1UT9BR'!$L$6:$L$2990,$B$19)+SUMIFS('1MK4UR'!$K$6:$K$2990,'1MK4UR'!$J$6:$J$2990,"&gt;="&amp;AI7,'1MK4UR'!$J$6:$J$2990,"&lt;="&amp;EOMONTH(AI7,0),'1MK4UR'!$L$6:$L$2990,$B$19)+SUMIFS(#REF!,#REF!,"&gt;="&amp;AI7,#REF!,"&lt;="&amp;EOMONTH(AI7,0),#REF!,$B$19)+SUMIFS('1JI2UE'!$K$6:$K$2989,'1JI2UE'!$J$6:$J$2989,"&gt;="&amp;AI7,'1JI2UE'!$J$6:$J$2989,"&lt;="&amp;EOMONTH(AI7,0),'1JI2UE'!$L$6:$L$2989,$B$19)+SUMIFS(#REF!,#REF!,"&gt;="&amp;AI7,#REF!,"&lt;="&amp;EOMONTH(AI7,0),#REF!,$B$19)+SUMIFS('1SI9BW'!$K$6:$K$2989,'1SI9BW'!$J$6:$J$2989,"&gt;="&amp;AI7,'1SI9BW'!$J$6:$J$2989,"&lt;="&amp;EOMONTH(AI7,0),'1SI9BW'!$L$6:$L$2989,$B$19)+SUMIFS(Suzuki!$K$6:$K$2989,Suzuki!$J$6:$J$2989,"&gt;="&amp;AI7,Suzuki!$J$6:$J$2989,"&lt;="&amp;EOMONTH(AI7,0),Suzuki!$L$6:$L$2989,$B$19)+SUMIFS('1SK3DD'!$K$6:$K$2989,'1SK3DD'!$J$6:$J$2989,"&gt;="&amp;AI7,'1SK3DD'!$J$6:$J$2989,"&lt;="&amp;EOMONTH(AI7,0),'1SK3DD'!$L$6:$L$2989,$B$19)+SUMIFS('1SX5TQ'!$K$6:$K$2989,'1SX5TQ'!$J$6:$J$2989,"&gt;="&amp;AI7,'1SX5TQ'!$J$6:$J$2989,"&lt;="&amp;EOMONTH(AI7,0),'1SX5TQ'!$L$6:$L$2989,$B$19)+SUMIFS('BMM465'!$K$6:$K$2989,'BMM465'!$J$6:$J$2989,"&gt;="&amp;AI7,'BMM465'!$J$6:$J$2989,"&lt;="&amp;EOMONTH(AI7,0),'BMM465'!$L$6:$L$2989,$B$19)+SUMIFS('1CF1ZO'!$K$6:$K$2989,'1CF1ZO'!$J$6:$J$2989,"&gt;="&amp;AI7,'1CF1ZO'!$J$6:$J$2989,"&lt;="&amp;EOMONTH(AI7,0),'1CF1ZO'!$L$6:$L$2989,$B$19)+SUMIFS('1UK1BK'!$K$6:$K$2989,'1UK1BK'!$J$6:$J$2989,"&gt;="&amp;AI7,'1UK1BK'!$J$6:$J$2989,"&lt;="&amp;EOMONTH(AI7,0),'1UK1BK'!$L$6:$L$2989,$B$19)</f>
        <v>#REF!</v>
      </c>
      <c r="AJ19" s="110" t="e">
        <f>SUMIFS('Other Expense'!$G$8:$G$2966,'Other Expense'!$F$8:$F$2966,"&gt;="&amp;AJ7,'Other Expense'!$F$8:$F$2966,"&lt;="&amp;EOMONTH(AJ7,0),'Other Expense'!$H$8:$H$2966,$B$19)+SUMIFS('CEI565'!$K$6:$K$2990,'CEI565'!$J$6:$J$2990,"&gt;="&amp;AJ7,'CEI565'!$J$6:$J$2990,"&lt;="&amp;EOMONTH(AJ7,0),'CEI565'!$L$6:$L$2990,$B$19)+SUMIFS('1SM3VL'!$K$6:$K$2990,'1SM3VL'!$J$6:$J$2990,"&gt;="&amp;AJ7,'1SM3VL'!$J$6:$J$2990,"&lt;="&amp;EOMONTH(AJ7,0),'1SM3VL'!$L$6:$L$2990,$B$19)+SUMIFS('1QF4SM'!$K$6:$K$2989,'1QF4SM'!$J$6:$J$2989,"&gt;="&amp;AJ7,'1QF4SM'!$J$6:$J$2989,"&lt;="&amp;EOMONTH(AJ7,0),'1QF4SM'!$L$6:$L$2989,$B$19)+SUMIFS('1UV5KI'!$K$6:$K$2989,'1UV5KI'!$J$6:$J$2989,"&gt;="&amp;AJ7,'1UV5KI'!$J$6:$J$2989,"&lt;="&amp;EOMONTH(AJ7,0),'1UV5KI'!$L$6:$L$2989,$B$19)+SUMIFS(#REF!,#REF!,"&gt;="&amp;AJ7,#REF!,"&lt;="&amp;EOMONTH(AJ7,0),#REF!,$B$19)+SUMIFS('1UL9RY'!$K$6:$K$2990,'1UL9RY'!$J$6:$J$2990,"&gt;="&amp;AJ7,'1UL9RY'!$J$6:$J$2990,"&lt;="&amp;EOMONTH(AJ7,0),'1UL9RY'!$L$6:$L$2990,$B$19)+SUMIFS('1OZ7GT'!$K$6:$K$2989,'1OZ7GT'!$J$6:$J$2989,"&gt;="&amp;AJ7,'1OZ7GT'!$J$6:$J$2989,"&lt;="&amp;EOMONTH(AJ7,0),'1OZ7GT'!$L$6:$L$2989,$B$19)+SUMIFS('1CN8DD'!$K$6:$K$2989,'1CN8DD'!$J$6:$J$2989,"&gt;="&amp;AJ7,'1CN8DD'!$J$6:$J$2989,"&lt;="&amp;EOMONTH(AJ7,0),'1CN8DD'!$L$6:$L$2989,$B$19)+SUMIFS('1UT9BR'!$K$6:$K$2990,'1UT9BR'!$J$6:$J$2990,"&gt;="&amp;AJ7,'1UT9BR'!$J$6:$J$2990,"&lt;="&amp;EOMONTH(AJ7,0),'1UT9BR'!$L$6:$L$2990,$B$19)+SUMIFS('1MK4UR'!$K$6:$K$2990,'1MK4UR'!$J$6:$J$2990,"&gt;="&amp;AJ7,'1MK4UR'!$J$6:$J$2990,"&lt;="&amp;EOMONTH(AJ7,0),'1MK4UR'!$L$6:$L$2990,$B$19)+SUMIFS(#REF!,#REF!,"&gt;="&amp;AJ7,#REF!,"&lt;="&amp;EOMONTH(AJ7,0),#REF!,$B$19)+SUMIFS('1JI2UE'!$K$6:$K$2989,'1JI2UE'!$J$6:$J$2989,"&gt;="&amp;AJ7,'1JI2UE'!$J$6:$J$2989,"&lt;="&amp;EOMONTH(AJ7,0),'1JI2UE'!$L$6:$L$2989,$B$19)+SUMIFS(#REF!,#REF!,"&gt;="&amp;AJ7,#REF!,"&lt;="&amp;EOMONTH(AJ7,0),#REF!,$B$19)+SUMIFS('1SI9BW'!$K$6:$K$2989,'1SI9BW'!$J$6:$J$2989,"&gt;="&amp;AJ7,'1SI9BW'!$J$6:$J$2989,"&lt;="&amp;EOMONTH(AJ7,0),'1SI9BW'!$L$6:$L$2989,$B$19)+SUMIFS(Suzuki!$K$6:$K$2989,Suzuki!$J$6:$J$2989,"&gt;="&amp;AJ7,Suzuki!$J$6:$J$2989,"&lt;="&amp;EOMONTH(AJ7,0),Suzuki!$L$6:$L$2989,$B$19)+SUMIFS('1SK3DD'!$K$6:$K$2989,'1SK3DD'!$J$6:$J$2989,"&gt;="&amp;AJ7,'1SK3DD'!$J$6:$J$2989,"&lt;="&amp;EOMONTH(AJ7,0),'1SK3DD'!$L$6:$L$2989,$B$19)+SUMIFS('1SX5TQ'!$K$6:$K$2989,'1SX5TQ'!$J$6:$J$2989,"&gt;="&amp;AJ7,'1SX5TQ'!$J$6:$J$2989,"&lt;="&amp;EOMONTH(AJ7,0),'1SX5TQ'!$L$6:$L$2989,$B$19)+SUMIFS('BMM465'!$K$6:$K$2989,'BMM465'!$J$6:$J$2989,"&gt;="&amp;AJ7,'BMM465'!$J$6:$J$2989,"&lt;="&amp;EOMONTH(AJ7,0),'BMM465'!$L$6:$L$2989,$B$19)+SUMIFS('1CF1ZO'!$K$6:$K$2989,'1CF1ZO'!$J$6:$J$2989,"&gt;="&amp;AJ7,'1CF1ZO'!$J$6:$J$2989,"&lt;="&amp;EOMONTH(AJ7,0),'1CF1ZO'!$L$6:$L$2989,$B$19)+SUMIFS('1UK1BK'!$K$6:$K$2989,'1UK1BK'!$J$6:$J$2989,"&gt;="&amp;AJ7,'1UK1BK'!$J$6:$J$2989,"&lt;="&amp;EOMONTH(AJ7,0),'1UK1BK'!$L$6:$L$2989,$B$19)</f>
        <v>#REF!</v>
      </c>
      <c r="AK19" s="110" t="e">
        <f>SUMIFS('Other Expense'!$G$8:$G$2966,'Other Expense'!$F$8:$F$2966,"&gt;="&amp;AK7,'Other Expense'!$F$8:$F$2966,"&lt;="&amp;EOMONTH(AK7,0),'Other Expense'!$H$8:$H$2966,$B$19)+SUMIFS('CEI565'!$K$6:$K$2990,'CEI565'!$J$6:$J$2990,"&gt;="&amp;AK7,'CEI565'!$J$6:$J$2990,"&lt;="&amp;EOMONTH(AK7,0),'CEI565'!$L$6:$L$2990,$B$19)+SUMIFS('1SM3VL'!$K$6:$K$2990,'1SM3VL'!$J$6:$J$2990,"&gt;="&amp;AK7,'1SM3VL'!$J$6:$J$2990,"&lt;="&amp;EOMONTH(AK7,0),'1SM3VL'!$L$6:$L$2990,$B$19)+SUMIFS('1QF4SM'!$K$6:$K$2989,'1QF4SM'!$J$6:$J$2989,"&gt;="&amp;AK7,'1QF4SM'!$J$6:$J$2989,"&lt;="&amp;EOMONTH(AK7,0),'1QF4SM'!$L$6:$L$2989,$B$19)+SUMIFS('1UV5KI'!$K$6:$K$2989,'1UV5KI'!$J$6:$J$2989,"&gt;="&amp;AK7,'1UV5KI'!$J$6:$J$2989,"&lt;="&amp;EOMONTH(AK7,0),'1UV5KI'!$L$6:$L$2989,$B$19)+SUMIFS(#REF!,#REF!,"&gt;="&amp;AK7,#REF!,"&lt;="&amp;EOMONTH(AK7,0),#REF!,$B$19)+SUMIFS('1UL9RY'!$K$6:$K$2990,'1UL9RY'!$J$6:$J$2990,"&gt;="&amp;AK7,'1UL9RY'!$J$6:$J$2990,"&lt;="&amp;EOMONTH(AK7,0),'1UL9RY'!$L$6:$L$2990,$B$19)+SUMIFS('1OZ7GT'!$K$6:$K$2989,'1OZ7GT'!$J$6:$J$2989,"&gt;="&amp;AK7,'1OZ7GT'!$J$6:$J$2989,"&lt;="&amp;EOMONTH(AK7,0),'1OZ7GT'!$L$6:$L$2989,$B$19)+SUMIFS('1CN8DD'!$K$6:$K$2989,'1CN8DD'!$J$6:$J$2989,"&gt;="&amp;AK7,'1CN8DD'!$J$6:$J$2989,"&lt;="&amp;EOMONTH(AK7,0),'1CN8DD'!$L$6:$L$2989,$B$19)+SUMIFS('1UT9BR'!$K$6:$K$2990,'1UT9BR'!$J$6:$J$2990,"&gt;="&amp;AK7,'1UT9BR'!$J$6:$J$2990,"&lt;="&amp;EOMONTH(AK7,0),'1UT9BR'!$L$6:$L$2990,$B$19)+SUMIFS('1MK4UR'!$K$6:$K$2990,'1MK4UR'!$J$6:$J$2990,"&gt;="&amp;AK7,'1MK4UR'!$J$6:$J$2990,"&lt;="&amp;EOMONTH(AK7,0),'1MK4UR'!$L$6:$L$2990,$B$19)+SUMIFS(#REF!,#REF!,"&gt;="&amp;AK7,#REF!,"&lt;="&amp;EOMONTH(AK7,0),#REF!,$B$19)+SUMIFS('1JI2UE'!$K$6:$K$2989,'1JI2UE'!$J$6:$J$2989,"&gt;="&amp;AK7,'1JI2UE'!$J$6:$J$2989,"&lt;="&amp;EOMONTH(AK7,0),'1JI2UE'!$L$6:$L$2989,$B$19)+SUMIFS(#REF!,#REF!,"&gt;="&amp;AK7,#REF!,"&lt;="&amp;EOMONTH(AK7,0),#REF!,$B$19)+SUMIFS('1SI9BW'!$K$6:$K$2989,'1SI9BW'!$J$6:$J$2989,"&gt;="&amp;AK7,'1SI9BW'!$J$6:$J$2989,"&lt;="&amp;EOMONTH(AK7,0),'1SI9BW'!$L$6:$L$2989,$B$19)+SUMIFS(Suzuki!$K$6:$K$2989,Suzuki!$J$6:$J$2989,"&gt;="&amp;AK7,Suzuki!$J$6:$J$2989,"&lt;="&amp;EOMONTH(AK7,0),Suzuki!$L$6:$L$2989,$B$19)+SUMIFS('1SK3DD'!$K$6:$K$2989,'1SK3DD'!$J$6:$J$2989,"&gt;="&amp;AK7,'1SK3DD'!$J$6:$J$2989,"&lt;="&amp;EOMONTH(AK7,0),'1SK3DD'!$L$6:$L$2989,$B$19)+SUMIFS('1SX5TQ'!$K$6:$K$2989,'1SX5TQ'!$J$6:$J$2989,"&gt;="&amp;AK7,'1SX5TQ'!$J$6:$J$2989,"&lt;="&amp;EOMONTH(AK7,0),'1SX5TQ'!$L$6:$L$2989,$B$19)+SUMIFS('BMM465'!$K$6:$K$2989,'BMM465'!$J$6:$J$2989,"&gt;="&amp;AK7,'BMM465'!$J$6:$J$2989,"&lt;="&amp;EOMONTH(AK7,0),'BMM465'!$L$6:$L$2989,$B$19)+SUMIFS('1CF1ZO'!$K$6:$K$2989,'1CF1ZO'!$J$6:$J$2989,"&gt;="&amp;AK7,'1CF1ZO'!$J$6:$J$2989,"&lt;="&amp;EOMONTH(AK7,0),'1CF1ZO'!$L$6:$L$2989,$B$19)+SUMIFS('1UK1BK'!$K$6:$K$2989,'1UK1BK'!$J$6:$J$2989,"&gt;="&amp;AK7,'1UK1BK'!$J$6:$J$2989,"&lt;="&amp;EOMONTH(AK7,0),'1UK1BK'!$L$6:$L$2989,$B$19)</f>
        <v>#REF!</v>
      </c>
      <c r="AL19" s="110" t="e">
        <f>SUMIFS('Other Expense'!$G$8:$G$2966,'Other Expense'!$F$8:$F$2966,"&gt;="&amp;AL7,'Other Expense'!$F$8:$F$2966,"&lt;="&amp;EOMONTH(AL7,0),'Other Expense'!$H$8:$H$2966,$B$19)+SUMIFS('CEI565'!$K$6:$K$2990,'CEI565'!$J$6:$J$2990,"&gt;="&amp;AL7,'CEI565'!$J$6:$J$2990,"&lt;="&amp;EOMONTH(AL7,0),'CEI565'!$L$6:$L$2990,$B$19)+SUMIFS('1SM3VL'!$K$6:$K$2990,'1SM3VL'!$J$6:$J$2990,"&gt;="&amp;AL7,'1SM3VL'!$J$6:$J$2990,"&lt;="&amp;EOMONTH(AL7,0),'1SM3VL'!$L$6:$L$2990,$B$19)+SUMIFS('1QF4SM'!$K$6:$K$2989,'1QF4SM'!$J$6:$J$2989,"&gt;="&amp;AL7,'1QF4SM'!$J$6:$J$2989,"&lt;="&amp;EOMONTH(AL7,0),'1QF4SM'!$L$6:$L$2989,$B$19)+SUMIFS('1UV5KI'!$K$6:$K$2989,'1UV5KI'!$J$6:$J$2989,"&gt;="&amp;AL7,'1UV5KI'!$J$6:$J$2989,"&lt;="&amp;EOMONTH(AL7,0),'1UV5KI'!$L$6:$L$2989,$B$19)+SUMIFS(#REF!,#REF!,"&gt;="&amp;AL7,#REF!,"&lt;="&amp;EOMONTH(AL7,0),#REF!,$B$19)+SUMIFS('1UL9RY'!$K$6:$K$2990,'1UL9RY'!$J$6:$J$2990,"&gt;="&amp;AL7,'1UL9RY'!$J$6:$J$2990,"&lt;="&amp;EOMONTH(AL7,0),'1UL9RY'!$L$6:$L$2990,$B$19)+SUMIFS('1OZ7GT'!$K$6:$K$2989,'1OZ7GT'!$J$6:$J$2989,"&gt;="&amp;AL7,'1OZ7GT'!$J$6:$J$2989,"&lt;="&amp;EOMONTH(AL7,0),'1OZ7GT'!$L$6:$L$2989,$B$19)+SUMIFS('1CN8DD'!$K$6:$K$2989,'1CN8DD'!$J$6:$J$2989,"&gt;="&amp;AL7,'1CN8DD'!$J$6:$J$2989,"&lt;="&amp;EOMONTH(AL7,0),'1CN8DD'!$L$6:$L$2989,$B$19)+SUMIFS('1UT9BR'!$K$6:$K$2990,'1UT9BR'!$J$6:$J$2990,"&gt;="&amp;AL7,'1UT9BR'!$J$6:$J$2990,"&lt;="&amp;EOMONTH(AL7,0),'1UT9BR'!$L$6:$L$2990,$B$19)+SUMIFS('1MK4UR'!$K$6:$K$2990,'1MK4UR'!$J$6:$J$2990,"&gt;="&amp;AL7,'1MK4UR'!$J$6:$J$2990,"&lt;="&amp;EOMONTH(AL7,0),'1MK4UR'!$L$6:$L$2990,$B$19)+SUMIFS(#REF!,#REF!,"&gt;="&amp;AL7,#REF!,"&lt;="&amp;EOMONTH(AL7,0),#REF!,$B$19)+SUMIFS('1JI2UE'!$K$6:$K$2989,'1JI2UE'!$J$6:$J$2989,"&gt;="&amp;AL7,'1JI2UE'!$J$6:$J$2989,"&lt;="&amp;EOMONTH(AL7,0),'1JI2UE'!$L$6:$L$2989,$B$19)+SUMIFS(#REF!,#REF!,"&gt;="&amp;AL7,#REF!,"&lt;="&amp;EOMONTH(AL7,0),#REF!,$B$19)+SUMIFS('1SI9BW'!$K$6:$K$2989,'1SI9BW'!$J$6:$J$2989,"&gt;="&amp;AL7,'1SI9BW'!$J$6:$J$2989,"&lt;="&amp;EOMONTH(AL7,0),'1SI9BW'!$L$6:$L$2989,$B$19)+SUMIFS(Suzuki!$K$6:$K$2989,Suzuki!$J$6:$J$2989,"&gt;="&amp;AL7,Suzuki!$J$6:$J$2989,"&lt;="&amp;EOMONTH(AL7,0),Suzuki!$L$6:$L$2989,$B$19)+SUMIFS('1SK3DD'!$K$6:$K$2989,'1SK3DD'!$J$6:$J$2989,"&gt;="&amp;AL7,'1SK3DD'!$J$6:$J$2989,"&lt;="&amp;EOMONTH(AL7,0),'1SK3DD'!$L$6:$L$2989,$B$19)+SUMIFS('1SX5TQ'!$K$6:$K$2989,'1SX5TQ'!$J$6:$J$2989,"&gt;="&amp;AL7,'1SX5TQ'!$J$6:$J$2989,"&lt;="&amp;EOMONTH(AL7,0),'1SX5TQ'!$L$6:$L$2989,$B$19)+SUMIFS('BMM465'!$K$6:$K$2989,'BMM465'!$J$6:$J$2989,"&gt;="&amp;AL7,'BMM465'!$J$6:$J$2989,"&lt;="&amp;EOMONTH(AL7,0),'BMM465'!$L$6:$L$2989,$B$19)+SUMIFS('1CF1ZO'!$K$6:$K$2989,'1CF1ZO'!$J$6:$J$2989,"&gt;="&amp;AL7,'1CF1ZO'!$J$6:$J$2989,"&lt;="&amp;EOMONTH(AL7,0),'1CF1ZO'!$L$6:$L$2989,$B$19)+SUMIFS('1UK1BK'!$K$6:$K$2989,'1UK1BK'!$J$6:$J$2989,"&gt;="&amp;AL7,'1UK1BK'!$J$6:$J$2989,"&lt;="&amp;EOMONTH(AL7,0),'1UK1BK'!$L$6:$L$2989,$B$19)</f>
        <v>#REF!</v>
      </c>
      <c r="AM19" s="110" t="e">
        <f>SUMIFS('Other Expense'!$G$8:$G$2966,'Other Expense'!$F$8:$F$2966,"&gt;="&amp;AM7,'Other Expense'!$F$8:$F$2966,"&lt;="&amp;EOMONTH(AM7,0),'Other Expense'!$H$8:$H$2966,$B$19)+SUMIFS('CEI565'!$K$6:$K$2990,'CEI565'!$J$6:$J$2990,"&gt;="&amp;AM7,'CEI565'!$J$6:$J$2990,"&lt;="&amp;EOMONTH(AM7,0),'CEI565'!$L$6:$L$2990,$B$19)+SUMIFS('1SM3VL'!$K$6:$K$2990,'1SM3VL'!$J$6:$J$2990,"&gt;="&amp;AM7,'1SM3VL'!$J$6:$J$2990,"&lt;="&amp;EOMONTH(AM7,0),'1SM3VL'!$L$6:$L$2990,$B$19)+SUMIFS('1QF4SM'!$K$6:$K$2989,'1QF4SM'!$J$6:$J$2989,"&gt;="&amp;AM7,'1QF4SM'!$J$6:$J$2989,"&lt;="&amp;EOMONTH(AM7,0),'1QF4SM'!$L$6:$L$2989,$B$19)+SUMIFS('1UV5KI'!$K$6:$K$2989,'1UV5KI'!$J$6:$J$2989,"&gt;="&amp;AM7,'1UV5KI'!$J$6:$J$2989,"&lt;="&amp;EOMONTH(AM7,0),'1UV5KI'!$L$6:$L$2989,$B$19)+SUMIFS(#REF!,#REF!,"&gt;="&amp;AM7,#REF!,"&lt;="&amp;EOMONTH(AM7,0),#REF!,$B$19)+SUMIFS('1UL9RY'!$K$6:$K$2990,'1UL9RY'!$J$6:$J$2990,"&gt;="&amp;AM7,'1UL9RY'!$J$6:$J$2990,"&lt;="&amp;EOMONTH(AM7,0),'1UL9RY'!$L$6:$L$2990,$B$19)+SUMIFS('1OZ7GT'!$K$6:$K$2989,'1OZ7GT'!$J$6:$J$2989,"&gt;="&amp;AM7,'1OZ7GT'!$J$6:$J$2989,"&lt;="&amp;EOMONTH(AM7,0),'1OZ7GT'!$L$6:$L$2989,$B$19)+SUMIFS('1CN8DD'!$K$6:$K$2989,'1CN8DD'!$J$6:$J$2989,"&gt;="&amp;AM7,'1CN8DD'!$J$6:$J$2989,"&lt;="&amp;EOMONTH(AM7,0),'1CN8DD'!$L$6:$L$2989,$B$19)+SUMIFS('1UT9BR'!$K$6:$K$2990,'1UT9BR'!$J$6:$J$2990,"&gt;="&amp;AM7,'1UT9BR'!$J$6:$J$2990,"&lt;="&amp;EOMONTH(AM7,0),'1UT9BR'!$L$6:$L$2990,$B$19)+SUMIFS('1MK4UR'!$K$6:$K$2990,'1MK4UR'!$J$6:$J$2990,"&gt;="&amp;AM7,'1MK4UR'!$J$6:$J$2990,"&lt;="&amp;EOMONTH(AM7,0),'1MK4UR'!$L$6:$L$2990,$B$19)+SUMIFS(#REF!,#REF!,"&gt;="&amp;AM7,#REF!,"&lt;="&amp;EOMONTH(AM7,0),#REF!,$B$19)+SUMIFS('1JI2UE'!$K$6:$K$2989,'1JI2UE'!$J$6:$J$2989,"&gt;="&amp;AM7,'1JI2UE'!$J$6:$J$2989,"&lt;="&amp;EOMONTH(AM7,0),'1JI2UE'!$L$6:$L$2989,$B$19)+SUMIFS(#REF!,#REF!,"&gt;="&amp;AM7,#REF!,"&lt;="&amp;EOMONTH(AM7,0),#REF!,$B$19)+SUMIFS('1SI9BW'!$K$6:$K$2989,'1SI9BW'!$J$6:$J$2989,"&gt;="&amp;AM7,'1SI9BW'!$J$6:$J$2989,"&lt;="&amp;EOMONTH(AM7,0),'1SI9BW'!$L$6:$L$2989,$B$19)+SUMIFS(Suzuki!$K$6:$K$2989,Suzuki!$J$6:$J$2989,"&gt;="&amp;AM7,Suzuki!$J$6:$J$2989,"&lt;="&amp;EOMONTH(AM7,0),Suzuki!$L$6:$L$2989,$B$19)+SUMIFS('1SK3DD'!$K$6:$K$2989,'1SK3DD'!$J$6:$J$2989,"&gt;="&amp;AM7,'1SK3DD'!$J$6:$J$2989,"&lt;="&amp;EOMONTH(AM7,0),'1SK3DD'!$L$6:$L$2989,$B$19)+SUMIFS('1SX5TQ'!$K$6:$K$2989,'1SX5TQ'!$J$6:$J$2989,"&gt;="&amp;AM7,'1SX5TQ'!$J$6:$J$2989,"&lt;="&amp;EOMONTH(AM7,0),'1SX5TQ'!$L$6:$L$2989,$B$19)+SUMIFS('BMM465'!$K$6:$K$2989,'BMM465'!$J$6:$J$2989,"&gt;="&amp;AM7,'BMM465'!$J$6:$J$2989,"&lt;="&amp;EOMONTH(AM7,0),'BMM465'!$L$6:$L$2989,$B$19)+SUMIFS('1CF1ZO'!$K$6:$K$2989,'1CF1ZO'!$J$6:$J$2989,"&gt;="&amp;AM7,'1CF1ZO'!$J$6:$J$2989,"&lt;="&amp;EOMONTH(AM7,0),'1CF1ZO'!$L$6:$L$2989,$B$19)+SUMIFS('1UK1BK'!$K$6:$K$2989,'1UK1BK'!$J$6:$J$2989,"&gt;="&amp;AM7,'1UK1BK'!$J$6:$J$2989,"&lt;="&amp;EOMONTH(AM7,0),'1UK1BK'!$L$6:$L$2989,$B$19)</f>
        <v>#REF!</v>
      </c>
      <c r="AN19" s="110" t="e">
        <f>SUMIFS('Other Expense'!$G$8:$G$2966,'Other Expense'!$F$8:$F$2966,"&gt;="&amp;AN7,'Other Expense'!$F$8:$F$2966,"&lt;="&amp;EOMONTH(AN7,0),'Other Expense'!$H$8:$H$2966,$B$19)+SUMIFS('CEI565'!$K$6:$K$2990,'CEI565'!$J$6:$J$2990,"&gt;="&amp;AN7,'CEI565'!$J$6:$J$2990,"&lt;="&amp;EOMONTH(AN7,0),'CEI565'!$L$6:$L$2990,$B$19)+SUMIFS('1SM3VL'!$K$6:$K$2990,'1SM3VL'!$J$6:$J$2990,"&gt;="&amp;AN7,'1SM3VL'!$J$6:$J$2990,"&lt;="&amp;EOMONTH(AN7,0),'1SM3VL'!$L$6:$L$2990,$B$19)+SUMIFS('1QF4SM'!$K$6:$K$2989,'1QF4SM'!$J$6:$J$2989,"&gt;="&amp;AN7,'1QF4SM'!$J$6:$J$2989,"&lt;="&amp;EOMONTH(AN7,0),'1QF4SM'!$L$6:$L$2989,$B$19)+SUMIFS('1UV5KI'!$K$6:$K$2989,'1UV5KI'!$J$6:$J$2989,"&gt;="&amp;AN7,'1UV5KI'!$J$6:$J$2989,"&lt;="&amp;EOMONTH(AN7,0),'1UV5KI'!$L$6:$L$2989,$B$19)+SUMIFS(#REF!,#REF!,"&gt;="&amp;AN7,#REF!,"&lt;="&amp;EOMONTH(AN7,0),#REF!,$B$19)+SUMIFS('1UL9RY'!$K$6:$K$2990,'1UL9RY'!$J$6:$J$2990,"&gt;="&amp;AN7,'1UL9RY'!$J$6:$J$2990,"&lt;="&amp;EOMONTH(AN7,0),'1UL9RY'!$L$6:$L$2990,$B$19)+SUMIFS('1OZ7GT'!$K$6:$K$2989,'1OZ7GT'!$J$6:$J$2989,"&gt;="&amp;AN7,'1OZ7GT'!$J$6:$J$2989,"&lt;="&amp;EOMONTH(AN7,0),'1OZ7GT'!$L$6:$L$2989,$B$19)+SUMIFS('1CN8DD'!$K$6:$K$2989,'1CN8DD'!$J$6:$J$2989,"&gt;="&amp;AN7,'1CN8DD'!$J$6:$J$2989,"&lt;="&amp;EOMONTH(AN7,0),'1CN8DD'!$L$6:$L$2989,$B$19)+SUMIFS('1UT9BR'!$K$6:$K$2990,'1UT9BR'!$J$6:$J$2990,"&gt;="&amp;AN7,'1UT9BR'!$J$6:$J$2990,"&lt;="&amp;EOMONTH(AN7,0),'1UT9BR'!$L$6:$L$2990,$B$19)+SUMIFS('1MK4UR'!$K$6:$K$2990,'1MK4UR'!$J$6:$J$2990,"&gt;="&amp;AN7,'1MK4UR'!$J$6:$J$2990,"&lt;="&amp;EOMONTH(AN7,0),'1MK4UR'!$L$6:$L$2990,$B$19)+SUMIFS(#REF!,#REF!,"&gt;="&amp;AN7,#REF!,"&lt;="&amp;EOMONTH(AN7,0),#REF!,$B$19)+SUMIFS('1JI2UE'!$K$6:$K$2989,'1JI2UE'!$J$6:$J$2989,"&gt;="&amp;AN7,'1JI2UE'!$J$6:$J$2989,"&lt;="&amp;EOMONTH(AN7,0),'1JI2UE'!$L$6:$L$2989,$B$19)+SUMIFS(#REF!,#REF!,"&gt;="&amp;AN7,#REF!,"&lt;="&amp;EOMONTH(AN7,0),#REF!,$B$19)+SUMIFS('1SI9BW'!$K$6:$K$2989,'1SI9BW'!$J$6:$J$2989,"&gt;="&amp;AN7,'1SI9BW'!$J$6:$J$2989,"&lt;="&amp;EOMONTH(AN7,0),'1SI9BW'!$L$6:$L$2989,$B$19)+SUMIFS(Suzuki!$K$6:$K$2989,Suzuki!$J$6:$J$2989,"&gt;="&amp;AN7,Suzuki!$J$6:$J$2989,"&lt;="&amp;EOMONTH(AN7,0),Suzuki!$L$6:$L$2989,$B$19)+SUMIFS('1SK3DD'!$K$6:$K$2989,'1SK3DD'!$J$6:$J$2989,"&gt;="&amp;AN7,'1SK3DD'!$J$6:$J$2989,"&lt;="&amp;EOMONTH(AN7,0),'1SK3DD'!$L$6:$L$2989,$B$19)+SUMIFS('1SX5TQ'!$K$6:$K$2989,'1SX5TQ'!$J$6:$J$2989,"&gt;="&amp;AN7,'1SX5TQ'!$J$6:$J$2989,"&lt;="&amp;EOMONTH(AN7,0),'1SX5TQ'!$L$6:$L$2989,$B$19)+SUMIFS('BMM465'!$K$6:$K$2989,'BMM465'!$J$6:$J$2989,"&gt;="&amp;AN7,'BMM465'!$J$6:$J$2989,"&lt;="&amp;EOMONTH(AN7,0),'BMM465'!$L$6:$L$2989,$B$19)+SUMIFS('1CF1ZO'!$K$6:$K$2989,'1CF1ZO'!$J$6:$J$2989,"&gt;="&amp;AN7,'1CF1ZO'!$J$6:$J$2989,"&lt;="&amp;EOMONTH(AN7,0),'1CF1ZO'!$L$6:$L$2989,$B$19)+SUMIFS('1UK1BK'!$K$6:$K$2989,'1UK1BK'!$J$6:$J$2989,"&gt;="&amp;AN7,'1UK1BK'!$J$6:$J$2989,"&lt;="&amp;EOMONTH(AN7,0),'1UK1BK'!$L$6:$L$2989,$B$19)</f>
        <v>#REF!</v>
      </c>
      <c r="AO19" s="110" t="e">
        <f>SUMIFS('Other Expense'!$G$8:$G$2966,'Other Expense'!$F$8:$F$2966,"&gt;="&amp;AO7,'Other Expense'!$F$8:$F$2966,"&lt;="&amp;EOMONTH(AO7,0),'Other Expense'!$H$8:$H$2966,$B$19)+SUMIFS('CEI565'!$K$6:$K$2990,'CEI565'!$J$6:$J$2990,"&gt;="&amp;AO7,'CEI565'!$J$6:$J$2990,"&lt;="&amp;EOMONTH(AO7,0),'CEI565'!$L$6:$L$2990,$B$19)+SUMIFS('1SM3VL'!$K$6:$K$2990,'1SM3VL'!$J$6:$J$2990,"&gt;="&amp;AO7,'1SM3VL'!$J$6:$J$2990,"&lt;="&amp;EOMONTH(AO7,0),'1SM3VL'!$L$6:$L$2990,$B$19)+SUMIFS('1QF4SM'!$K$6:$K$2989,'1QF4SM'!$J$6:$J$2989,"&gt;="&amp;AO7,'1QF4SM'!$J$6:$J$2989,"&lt;="&amp;EOMONTH(AO7,0),'1QF4SM'!$L$6:$L$2989,$B$19)+SUMIFS('1UV5KI'!$K$6:$K$2989,'1UV5KI'!$J$6:$J$2989,"&gt;="&amp;AO7,'1UV5KI'!$J$6:$J$2989,"&lt;="&amp;EOMONTH(AO7,0),'1UV5KI'!$L$6:$L$2989,$B$19)+SUMIFS(#REF!,#REF!,"&gt;="&amp;AO7,#REF!,"&lt;="&amp;EOMONTH(AO7,0),#REF!,$B$19)+SUMIFS('1UL9RY'!$K$6:$K$2990,'1UL9RY'!$J$6:$J$2990,"&gt;="&amp;AO7,'1UL9RY'!$J$6:$J$2990,"&lt;="&amp;EOMONTH(AO7,0),'1UL9RY'!$L$6:$L$2990,$B$19)+SUMIFS('1OZ7GT'!$K$6:$K$2989,'1OZ7GT'!$J$6:$J$2989,"&gt;="&amp;AO7,'1OZ7GT'!$J$6:$J$2989,"&lt;="&amp;EOMONTH(AO7,0),'1OZ7GT'!$L$6:$L$2989,$B$19)+SUMIFS('1CN8DD'!$K$6:$K$2989,'1CN8DD'!$J$6:$J$2989,"&gt;="&amp;AO7,'1CN8DD'!$J$6:$J$2989,"&lt;="&amp;EOMONTH(AO7,0),'1CN8DD'!$L$6:$L$2989,$B$19)+SUMIFS('1UT9BR'!$K$6:$K$2990,'1UT9BR'!$J$6:$J$2990,"&gt;="&amp;AO7,'1UT9BR'!$J$6:$J$2990,"&lt;="&amp;EOMONTH(AO7,0),'1UT9BR'!$L$6:$L$2990,$B$19)+SUMIFS('1MK4UR'!$K$6:$K$2990,'1MK4UR'!$J$6:$J$2990,"&gt;="&amp;AO7,'1MK4UR'!$J$6:$J$2990,"&lt;="&amp;EOMONTH(AO7,0),'1MK4UR'!$L$6:$L$2990,$B$19)+SUMIFS(#REF!,#REF!,"&gt;="&amp;AO7,#REF!,"&lt;="&amp;EOMONTH(AO7,0),#REF!,$B$19)+SUMIFS('1JI2UE'!$K$6:$K$2989,'1JI2UE'!$J$6:$J$2989,"&gt;="&amp;AO7,'1JI2UE'!$J$6:$J$2989,"&lt;="&amp;EOMONTH(AO7,0),'1JI2UE'!$L$6:$L$2989,$B$19)+SUMIFS(#REF!,#REF!,"&gt;="&amp;AO7,#REF!,"&lt;="&amp;EOMONTH(AO7,0),#REF!,$B$19)+SUMIFS('1SI9BW'!$K$6:$K$2989,'1SI9BW'!$J$6:$J$2989,"&gt;="&amp;AO7,'1SI9BW'!$J$6:$J$2989,"&lt;="&amp;EOMONTH(AO7,0),'1SI9BW'!$L$6:$L$2989,$B$19)+SUMIFS(Suzuki!$K$6:$K$2989,Suzuki!$J$6:$J$2989,"&gt;="&amp;AO7,Suzuki!$J$6:$J$2989,"&lt;="&amp;EOMONTH(AO7,0),Suzuki!$L$6:$L$2989,$B$19)+SUMIFS('1SK3DD'!$K$6:$K$2989,'1SK3DD'!$J$6:$J$2989,"&gt;="&amp;AO7,'1SK3DD'!$J$6:$J$2989,"&lt;="&amp;EOMONTH(AO7,0),'1SK3DD'!$L$6:$L$2989,$B$19)+SUMIFS('1SX5TQ'!$K$6:$K$2989,'1SX5TQ'!$J$6:$J$2989,"&gt;="&amp;AO7,'1SX5TQ'!$J$6:$J$2989,"&lt;="&amp;EOMONTH(AO7,0),'1SX5TQ'!$L$6:$L$2989,$B$19)+SUMIFS('BMM465'!$K$6:$K$2989,'BMM465'!$J$6:$J$2989,"&gt;="&amp;AO7,'BMM465'!$J$6:$J$2989,"&lt;="&amp;EOMONTH(AO7,0),'BMM465'!$L$6:$L$2989,$B$19)+SUMIFS('1CF1ZO'!$K$6:$K$2989,'1CF1ZO'!$J$6:$J$2989,"&gt;="&amp;AO7,'1CF1ZO'!$J$6:$J$2989,"&lt;="&amp;EOMONTH(AO7,0),'1CF1ZO'!$L$6:$L$2989,$B$19)+SUMIFS('1UK1BK'!$K$6:$K$2989,'1UK1BK'!$J$6:$J$2989,"&gt;="&amp;AO7,'1UK1BK'!$J$6:$J$2989,"&lt;="&amp;EOMONTH(AO7,0),'1UK1BK'!$L$6:$L$2989,$B$19)</f>
        <v>#REF!</v>
      </c>
      <c r="AP19" s="110" t="e">
        <f>SUMIFS('Other Expense'!$G$8:$G$2966,'Other Expense'!$F$8:$F$2966,"&gt;="&amp;AP7,'Other Expense'!$F$8:$F$2966,"&lt;="&amp;EOMONTH(AP7,0),'Other Expense'!$H$8:$H$2966,$B$19)+SUMIFS('CEI565'!$K$6:$K$2990,'CEI565'!$J$6:$J$2990,"&gt;="&amp;AP7,'CEI565'!$J$6:$J$2990,"&lt;="&amp;EOMONTH(AP7,0),'CEI565'!$L$6:$L$2990,$B$19)+SUMIFS('1SM3VL'!$K$6:$K$2990,'1SM3VL'!$J$6:$J$2990,"&gt;="&amp;AP7,'1SM3VL'!$J$6:$J$2990,"&lt;="&amp;EOMONTH(AP7,0),'1SM3VL'!$L$6:$L$2990,$B$19)+SUMIFS('1QF4SM'!$K$6:$K$2989,'1QF4SM'!$J$6:$J$2989,"&gt;="&amp;AP7,'1QF4SM'!$J$6:$J$2989,"&lt;="&amp;EOMONTH(AP7,0),'1QF4SM'!$L$6:$L$2989,$B$19)+SUMIFS('1UV5KI'!$K$6:$K$2989,'1UV5KI'!$J$6:$J$2989,"&gt;="&amp;AP7,'1UV5KI'!$J$6:$J$2989,"&lt;="&amp;EOMONTH(AP7,0),'1UV5KI'!$L$6:$L$2989,$B$19)+SUMIFS(#REF!,#REF!,"&gt;="&amp;AP7,#REF!,"&lt;="&amp;EOMONTH(AP7,0),#REF!,$B$19)+SUMIFS('1UL9RY'!$K$6:$K$2990,'1UL9RY'!$J$6:$J$2990,"&gt;="&amp;AP7,'1UL9RY'!$J$6:$J$2990,"&lt;="&amp;EOMONTH(AP7,0),'1UL9RY'!$L$6:$L$2990,$B$19)+SUMIFS('1OZ7GT'!$K$6:$K$2989,'1OZ7GT'!$J$6:$J$2989,"&gt;="&amp;AP7,'1OZ7GT'!$J$6:$J$2989,"&lt;="&amp;EOMONTH(AP7,0),'1OZ7GT'!$L$6:$L$2989,$B$19)+SUMIFS('1CN8DD'!$K$6:$K$2989,'1CN8DD'!$J$6:$J$2989,"&gt;="&amp;AP7,'1CN8DD'!$J$6:$J$2989,"&lt;="&amp;EOMONTH(AP7,0),'1CN8DD'!$L$6:$L$2989,$B$19)+SUMIFS('1UT9BR'!$K$6:$K$2990,'1UT9BR'!$J$6:$J$2990,"&gt;="&amp;AP7,'1UT9BR'!$J$6:$J$2990,"&lt;="&amp;EOMONTH(AP7,0),'1UT9BR'!$L$6:$L$2990,$B$19)+SUMIFS('1MK4UR'!$K$6:$K$2990,'1MK4UR'!$J$6:$J$2990,"&gt;="&amp;AP7,'1MK4UR'!$J$6:$J$2990,"&lt;="&amp;EOMONTH(AP7,0),'1MK4UR'!$L$6:$L$2990,$B$19)+SUMIFS(#REF!,#REF!,"&gt;="&amp;AP7,#REF!,"&lt;="&amp;EOMONTH(AP7,0),#REF!,$B$19)+SUMIFS('1JI2UE'!$K$6:$K$2989,'1JI2UE'!$J$6:$J$2989,"&gt;="&amp;AP7,'1JI2UE'!$J$6:$J$2989,"&lt;="&amp;EOMONTH(AP7,0),'1JI2UE'!$L$6:$L$2989,$B$19)+SUMIFS(#REF!,#REF!,"&gt;="&amp;AP7,#REF!,"&lt;="&amp;EOMONTH(AP7,0),#REF!,$B$19)+SUMIFS('1SI9BW'!$K$6:$K$2989,'1SI9BW'!$J$6:$J$2989,"&gt;="&amp;AP7,'1SI9BW'!$J$6:$J$2989,"&lt;="&amp;EOMONTH(AP7,0),'1SI9BW'!$L$6:$L$2989,$B$19)+SUMIFS(Suzuki!$K$6:$K$2989,Suzuki!$J$6:$J$2989,"&gt;="&amp;AP7,Suzuki!$J$6:$J$2989,"&lt;="&amp;EOMONTH(AP7,0),Suzuki!$L$6:$L$2989,$B$19)+SUMIFS('1SK3DD'!$K$6:$K$2989,'1SK3DD'!$J$6:$J$2989,"&gt;="&amp;AP7,'1SK3DD'!$J$6:$J$2989,"&lt;="&amp;EOMONTH(AP7,0),'1SK3DD'!$L$6:$L$2989,$B$19)+SUMIFS('1SX5TQ'!$K$6:$K$2989,'1SX5TQ'!$J$6:$J$2989,"&gt;="&amp;AP7,'1SX5TQ'!$J$6:$J$2989,"&lt;="&amp;EOMONTH(AP7,0),'1SX5TQ'!$L$6:$L$2989,$B$19)+SUMIFS('BMM465'!$K$6:$K$2989,'BMM465'!$J$6:$J$2989,"&gt;="&amp;AP7,'BMM465'!$J$6:$J$2989,"&lt;="&amp;EOMONTH(AP7,0),'BMM465'!$L$6:$L$2989,$B$19)+SUMIFS('1CF1ZO'!$K$6:$K$2989,'1CF1ZO'!$J$6:$J$2989,"&gt;="&amp;AP7,'1CF1ZO'!$J$6:$J$2989,"&lt;="&amp;EOMONTH(AP7,0),'1CF1ZO'!$L$6:$L$2989,$B$19)+SUMIFS('1UK1BK'!$K$6:$K$2989,'1UK1BK'!$J$6:$J$2989,"&gt;="&amp;AP7,'1UK1BK'!$J$6:$J$2989,"&lt;="&amp;EOMONTH(AP7,0),'1UK1BK'!$L$6:$L$2989,$B$19)</f>
        <v>#REF!</v>
      </c>
      <c r="AQ19" s="110" t="e">
        <f>SUMIFS('Other Expense'!$G$8:$G$2966,'Other Expense'!$F$8:$F$2966,"&gt;="&amp;AQ7,'Other Expense'!$F$8:$F$2966,"&lt;="&amp;EOMONTH(AQ7,0),'Other Expense'!$H$8:$H$2966,$B$19)+SUMIFS('CEI565'!$K$6:$K$2990,'CEI565'!$J$6:$J$2990,"&gt;="&amp;AQ7,'CEI565'!$J$6:$J$2990,"&lt;="&amp;EOMONTH(AQ7,0),'CEI565'!$L$6:$L$2990,$B$19)+SUMIFS('1SM3VL'!$K$6:$K$2990,'1SM3VL'!$J$6:$J$2990,"&gt;="&amp;AQ7,'1SM3VL'!$J$6:$J$2990,"&lt;="&amp;EOMONTH(AQ7,0),'1SM3VL'!$L$6:$L$2990,$B$19)+SUMIFS('1QF4SM'!$K$6:$K$2989,'1QF4SM'!$J$6:$J$2989,"&gt;="&amp;AQ7,'1QF4SM'!$J$6:$J$2989,"&lt;="&amp;EOMONTH(AQ7,0),'1QF4SM'!$L$6:$L$2989,$B$19)+SUMIFS('1UV5KI'!$K$6:$K$2989,'1UV5KI'!$J$6:$J$2989,"&gt;="&amp;AQ7,'1UV5KI'!$J$6:$J$2989,"&lt;="&amp;EOMONTH(AQ7,0),'1UV5KI'!$L$6:$L$2989,$B$19)+SUMIFS(#REF!,#REF!,"&gt;="&amp;AQ7,#REF!,"&lt;="&amp;EOMONTH(AQ7,0),#REF!,$B$19)+SUMIFS('1UL9RY'!$K$6:$K$2990,'1UL9RY'!$J$6:$J$2990,"&gt;="&amp;AQ7,'1UL9RY'!$J$6:$J$2990,"&lt;="&amp;EOMONTH(AQ7,0),'1UL9RY'!$L$6:$L$2990,$B$19)+SUMIFS('1OZ7GT'!$K$6:$K$2989,'1OZ7GT'!$J$6:$J$2989,"&gt;="&amp;AQ7,'1OZ7GT'!$J$6:$J$2989,"&lt;="&amp;EOMONTH(AQ7,0),'1OZ7GT'!$L$6:$L$2989,$B$19)+SUMIFS('1CN8DD'!$K$6:$K$2989,'1CN8DD'!$J$6:$J$2989,"&gt;="&amp;AQ7,'1CN8DD'!$J$6:$J$2989,"&lt;="&amp;EOMONTH(AQ7,0),'1CN8DD'!$L$6:$L$2989,$B$19)+SUMIFS('1UT9BR'!$K$6:$K$2990,'1UT9BR'!$J$6:$J$2990,"&gt;="&amp;AQ7,'1UT9BR'!$J$6:$J$2990,"&lt;="&amp;EOMONTH(AQ7,0),'1UT9BR'!$L$6:$L$2990,$B$19)+SUMIFS('1MK4UR'!$K$6:$K$2990,'1MK4UR'!$J$6:$J$2990,"&gt;="&amp;AQ7,'1MK4UR'!$J$6:$J$2990,"&lt;="&amp;EOMONTH(AQ7,0),'1MK4UR'!$L$6:$L$2990,$B$19)+SUMIFS(#REF!,#REF!,"&gt;="&amp;AQ7,#REF!,"&lt;="&amp;EOMONTH(AQ7,0),#REF!,$B$19)+SUMIFS('1JI2UE'!$K$6:$K$2989,'1JI2UE'!$J$6:$J$2989,"&gt;="&amp;AQ7,'1JI2UE'!$J$6:$J$2989,"&lt;="&amp;EOMONTH(AQ7,0),'1JI2UE'!$L$6:$L$2989,$B$19)+SUMIFS(#REF!,#REF!,"&gt;="&amp;AQ7,#REF!,"&lt;="&amp;EOMONTH(AQ7,0),#REF!,$B$19)+SUMIFS('1SI9BW'!$K$6:$K$2989,'1SI9BW'!$J$6:$J$2989,"&gt;="&amp;AQ7,'1SI9BW'!$J$6:$J$2989,"&lt;="&amp;EOMONTH(AQ7,0),'1SI9BW'!$L$6:$L$2989,$B$19)+SUMIFS(Suzuki!$K$6:$K$2989,Suzuki!$J$6:$J$2989,"&gt;="&amp;AQ7,Suzuki!$J$6:$J$2989,"&lt;="&amp;EOMONTH(AQ7,0),Suzuki!$L$6:$L$2989,$B$19)+SUMIFS('1SK3DD'!$K$6:$K$2989,'1SK3DD'!$J$6:$J$2989,"&gt;="&amp;AQ7,'1SK3DD'!$J$6:$J$2989,"&lt;="&amp;EOMONTH(AQ7,0),'1SK3DD'!$L$6:$L$2989,$B$19)+SUMIFS('1SX5TQ'!$K$6:$K$2989,'1SX5TQ'!$J$6:$J$2989,"&gt;="&amp;AQ7,'1SX5TQ'!$J$6:$J$2989,"&lt;="&amp;EOMONTH(AQ7,0),'1SX5TQ'!$L$6:$L$2989,$B$19)+SUMIFS('BMM465'!$K$6:$K$2989,'BMM465'!$J$6:$J$2989,"&gt;="&amp;AQ7,'BMM465'!$J$6:$J$2989,"&lt;="&amp;EOMONTH(AQ7,0),'BMM465'!$L$6:$L$2989,$B$19)+SUMIFS('1CF1ZO'!$K$6:$K$2989,'1CF1ZO'!$J$6:$J$2989,"&gt;="&amp;AQ7,'1CF1ZO'!$J$6:$J$2989,"&lt;="&amp;EOMONTH(AQ7,0),'1CF1ZO'!$L$6:$L$2989,$B$19)+SUMIFS('1UK1BK'!$K$6:$K$2989,'1UK1BK'!$J$6:$J$2989,"&gt;="&amp;AQ7,'1UK1BK'!$J$6:$J$2989,"&lt;="&amp;EOMONTH(AQ7,0),'1UK1BK'!$L$6:$L$2989,$B$19)</f>
        <v>#REF!</v>
      </c>
      <c r="AR19" s="110" t="e">
        <f>SUMIFS('Other Expense'!$G$8:$G$2966,'Other Expense'!$F$8:$F$2966,"&gt;="&amp;AR7,'Other Expense'!$F$8:$F$2966,"&lt;="&amp;EOMONTH(AR7,0),'Other Expense'!$H$8:$H$2966,$B$19)+SUMIFS('CEI565'!$K$6:$K$2990,'CEI565'!$J$6:$J$2990,"&gt;="&amp;AR7,'CEI565'!$J$6:$J$2990,"&lt;="&amp;EOMONTH(AR7,0),'CEI565'!$L$6:$L$2990,$B$19)+SUMIFS('1SM3VL'!$K$6:$K$2990,'1SM3VL'!$J$6:$J$2990,"&gt;="&amp;AR7,'1SM3VL'!$J$6:$J$2990,"&lt;="&amp;EOMONTH(AR7,0),'1SM3VL'!$L$6:$L$2990,$B$19)+SUMIFS('1QF4SM'!$K$6:$K$2989,'1QF4SM'!$J$6:$J$2989,"&gt;="&amp;AR7,'1QF4SM'!$J$6:$J$2989,"&lt;="&amp;EOMONTH(AR7,0),'1QF4SM'!$L$6:$L$2989,$B$19)+SUMIFS('1UV5KI'!$K$6:$K$2989,'1UV5KI'!$J$6:$J$2989,"&gt;="&amp;AR7,'1UV5KI'!$J$6:$J$2989,"&lt;="&amp;EOMONTH(AR7,0),'1UV5KI'!$L$6:$L$2989,$B$19)+SUMIFS(#REF!,#REF!,"&gt;="&amp;AR7,#REF!,"&lt;="&amp;EOMONTH(AR7,0),#REF!,$B$19)+SUMIFS('1UL9RY'!$K$6:$K$2990,'1UL9RY'!$J$6:$J$2990,"&gt;="&amp;AR7,'1UL9RY'!$J$6:$J$2990,"&lt;="&amp;EOMONTH(AR7,0),'1UL9RY'!$L$6:$L$2990,$B$19)+SUMIFS('1OZ7GT'!$K$6:$K$2989,'1OZ7GT'!$J$6:$J$2989,"&gt;="&amp;AR7,'1OZ7GT'!$J$6:$J$2989,"&lt;="&amp;EOMONTH(AR7,0),'1OZ7GT'!$L$6:$L$2989,$B$19)+SUMIFS('1CN8DD'!$K$6:$K$2989,'1CN8DD'!$J$6:$J$2989,"&gt;="&amp;AR7,'1CN8DD'!$J$6:$J$2989,"&lt;="&amp;EOMONTH(AR7,0),'1CN8DD'!$L$6:$L$2989,$B$19)+SUMIFS('1UT9BR'!$K$6:$K$2990,'1UT9BR'!$J$6:$J$2990,"&gt;="&amp;AR7,'1UT9BR'!$J$6:$J$2990,"&lt;="&amp;EOMONTH(AR7,0),'1UT9BR'!$L$6:$L$2990,$B$19)+SUMIFS('1MK4UR'!$K$6:$K$2990,'1MK4UR'!$J$6:$J$2990,"&gt;="&amp;AR7,'1MK4UR'!$J$6:$J$2990,"&lt;="&amp;EOMONTH(AR7,0),'1MK4UR'!$L$6:$L$2990,$B$19)+SUMIFS(#REF!,#REF!,"&gt;="&amp;AR7,#REF!,"&lt;="&amp;EOMONTH(AR7,0),#REF!,$B$19)+SUMIFS('1JI2UE'!$K$6:$K$2989,'1JI2UE'!$J$6:$J$2989,"&gt;="&amp;AR7,'1JI2UE'!$J$6:$J$2989,"&lt;="&amp;EOMONTH(AR7,0),'1JI2UE'!$L$6:$L$2989,$B$19)+SUMIFS(#REF!,#REF!,"&gt;="&amp;AR7,#REF!,"&lt;="&amp;EOMONTH(AR7,0),#REF!,$B$19)+SUMIFS('1SI9BW'!$K$6:$K$2989,'1SI9BW'!$J$6:$J$2989,"&gt;="&amp;AR7,'1SI9BW'!$J$6:$J$2989,"&lt;="&amp;EOMONTH(AR7,0),'1SI9BW'!$L$6:$L$2989,$B$19)+SUMIFS(Suzuki!$K$6:$K$2989,Suzuki!$J$6:$J$2989,"&gt;="&amp;AR7,Suzuki!$J$6:$J$2989,"&lt;="&amp;EOMONTH(AR7,0),Suzuki!$L$6:$L$2989,$B$19)+SUMIFS('1SK3DD'!$K$6:$K$2989,'1SK3DD'!$J$6:$J$2989,"&gt;="&amp;AR7,'1SK3DD'!$J$6:$J$2989,"&lt;="&amp;EOMONTH(AR7,0),'1SK3DD'!$L$6:$L$2989,$B$19)+SUMIFS('1SX5TQ'!$K$6:$K$2989,'1SX5TQ'!$J$6:$J$2989,"&gt;="&amp;AR7,'1SX5TQ'!$J$6:$J$2989,"&lt;="&amp;EOMONTH(AR7,0),'1SX5TQ'!$L$6:$L$2989,$B$19)+SUMIFS('BMM465'!$K$6:$K$2989,'BMM465'!$J$6:$J$2989,"&gt;="&amp;AR7,'BMM465'!$J$6:$J$2989,"&lt;="&amp;EOMONTH(AR7,0),'BMM465'!$L$6:$L$2989,$B$19)+SUMIFS('1CF1ZO'!$K$6:$K$2989,'1CF1ZO'!$J$6:$J$2989,"&gt;="&amp;AR7,'1CF1ZO'!$J$6:$J$2989,"&lt;="&amp;EOMONTH(AR7,0),'1CF1ZO'!$L$6:$L$2989,$B$19)+SUMIFS('1UK1BK'!$K$6:$K$2989,'1UK1BK'!$J$6:$J$2989,"&gt;="&amp;AR7,'1UK1BK'!$J$6:$J$2989,"&lt;="&amp;EOMONTH(AR7,0),'1UK1BK'!$L$6:$L$2989,$B$19)</f>
        <v>#REF!</v>
      </c>
      <c r="AS19" s="110" t="e">
        <f>SUMIFS('Other Expense'!$G$8:$G$2966,'Other Expense'!$F$8:$F$2966,"&gt;="&amp;AS7,'Other Expense'!$F$8:$F$2966,"&lt;="&amp;EOMONTH(AS7,0),'Other Expense'!$H$8:$H$2966,$B$19)+SUMIFS('CEI565'!$K$6:$K$2990,'CEI565'!$J$6:$J$2990,"&gt;="&amp;AS7,'CEI565'!$J$6:$J$2990,"&lt;="&amp;EOMONTH(AS7,0),'CEI565'!$L$6:$L$2990,$B$19)+SUMIFS('1SM3VL'!$K$6:$K$2990,'1SM3VL'!$J$6:$J$2990,"&gt;="&amp;AS7,'1SM3VL'!$J$6:$J$2990,"&lt;="&amp;EOMONTH(AS7,0),'1SM3VL'!$L$6:$L$2990,$B$19)+SUMIFS('1QF4SM'!$K$6:$K$2989,'1QF4SM'!$J$6:$J$2989,"&gt;="&amp;AS7,'1QF4SM'!$J$6:$J$2989,"&lt;="&amp;EOMONTH(AS7,0),'1QF4SM'!$L$6:$L$2989,$B$19)+SUMIFS('1UV5KI'!$K$6:$K$2989,'1UV5KI'!$J$6:$J$2989,"&gt;="&amp;AS7,'1UV5KI'!$J$6:$J$2989,"&lt;="&amp;EOMONTH(AS7,0),'1UV5KI'!$L$6:$L$2989,$B$19)+SUMIFS(#REF!,#REF!,"&gt;="&amp;AS7,#REF!,"&lt;="&amp;EOMONTH(AS7,0),#REF!,$B$19)+SUMIFS('1UL9RY'!$K$6:$K$2990,'1UL9RY'!$J$6:$J$2990,"&gt;="&amp;AS7,'1UL9RY'!$J$6:$J$2990,"&lt;="&amp;EOMONTH(AS7,0),'1UL9RY'!$L$6:$L$2990,$B$19)+SUMIFS('1OZ7GT'!$K$6:$K$2989,'1OZ7GT'!$J$6:$J$2989,"&gt;="&amp;AS7,'1OZ7GT'!$J$6:$J$2989,"&lt;="&amp;EOMONTH(AS7,0),'1OZ7GT'!$L$6:$L$2989,$B$19)+SUMIFS('1CN8DD'!$K$6:$K$2989,'1CN8DD'!$J$6:$J$2989,"&gt;="&amp;AS7,'1CN8DD'!$J$6:$J$2989,"&lt;="&amp;EOMONTH(AS7,0),'1CN8DD'!$L$6:$L$2989,$B$19)+SUMIFS('1UT9BR'!$K$6:$K$2990,'1UT9BR'!$J$6:$J$2990,"&gt;="&amp;AS7,'1UT9BR'!$J$6:$J$2990,"&lt;="&amp;EOMONTH(AS7,0),'1UT9BR'!$L$6:$L$2990,$B$19)+SUMIFS('1MK4UR'!$K$6:$K$2990,'1MK4UR'!$J$6:$J$2990,"&gt;="&amp;AS7,'1MK4UR'!$J$6:$J$2990,"&lt;="&amp;EOMONTH(AS7,0),'1MK4UR'!$L$6:$L$2990,$B$19)+SUMIFS(#REF!,#REF!,"&gt;="&amp;AS7,#REF!,"&lt;="&amp;EOMONTH(AS7,0),#REF!,$B$19)+SUMIFS('1JI2UE'!$K$6:$K$2989,'1JI2UE'!$J$6:$J$2989,"&gt;="&amp;AS7,'1JI2UE'!$J$6:$J$2989,"&lt;="&amp;EOMONTH(AS7,0),'1JI2UE'!$L$6:$L$2989,$B$19)+SUMIFS(#REF!,#REF!,"&gt;="&amp;AS7,#REF!,"&lt;="&amp;EOMONTH(AS7,0),#REF!,$B$19)+SUMIFS('1SI9BW'!$K$6:$K$2989,'1SI9BW'!$J$6:$J$2989,"&gt;="&amp;AS7,'1SI9BW'!$J$6:$J$2989,"&lt;="&amp;EOMONTH(AS7,0),'1SI9BW'!$L$6:$L$2989,$B$19)+SUMIFS(Suzuki!$K$6:$K$2989,Suzuki!$J$6:$J$2989,"&gt;="&amp;AS7,Suzuki!$J$6:$J$2989,"&lt;="&amp;EOMONTH(AS7,0),Suzuki!$L$6:$L$2989,$B$19)+SUMIFS('1SK3DD'!$K$6:$K$2989,'1SK3DD'!$J$6:$J$2989,"&gt;="&amp;AS7,'1SK3DD'!$J$6:$J$2989,"&lt;="&amp;EOMONTH(AS7,0),'1SK3DD'!$L$6:$L$2989,$B$19)+SUMIFS('1SX5TQ'!$K$6:$K$2989,'1SX5TQ'!$J$6:$J$2989,"&gt;="&amp;AS7,'1SX5TQ'!$J$6:$J$2989,"&lt;="&amp;EOMONTH(AS7,0),'1SX5TQ'!$L$6:$L$2989,$B$19)+SUMIFS('BMM465'!$K$6:$K$2989,'BMM465'!$J$6:$J$2989,"&gt;="&amp;AS7,'BMM465'!$J$6:$J$2989,"&lt;="&amp;EOMONTH(AS7,0),'BMM465'!$L$6:$L$2989,$B$19)+SUMIFS('1CF1ZO'!$K$6:$K$2989,'1CF1ZO'!$J$6:$J$2989,"&gt;="&amp;AS7,'1CF1ZO'!$J$6:$J$2989,"&lt;="&amp;EOMONTH(AS7,0),'1CF1ZO'!$L$6:$L$2989,$B$19)+SUMIFS('1UK1BK'!$K$6:$K$2989,'1UK1BK'!$J$6:$J$2989,"&gt;="&amp;AS7,'1UK1BK'!$J$6:$J$2989,"&lt;="&amp;EOMONTH(AS7,0),'1UK1BK'!$L$6:$L$2989,$B$19)</f>
        <v>#REF!</v>
      </c>
      <c r="AT19" s="110" t="e">
        <f>SUMIFS('Other Expense'!$G$8:$G$2966,'Other Expense'!$F$8:$F$2966,"&gt;="&amp;AT7,'Other Expense'!$F$8:$F$2966,"&lt;="&amp;EOMONTH(AT7,0),'Other Expense'!$H$8:$H$2966,$B$19)+SUMIFS('CEI565'!$K$6:$K$2990,'CEI565'!$J$6:$J$2990,"&gt;="&amp;AT7,'CEI565'!$J$6:$J$2990,"&lt;="&amp;EOMONTH(AT7,0),'CEI565'!$L$6:$L$2990,$B$19)+SUMIFS('1SM3VL'!$K$6:$K$2990,'1SM3VL'!$J$6:$J$2990,"&gt;="&amp;AT7,'1SM3VL'!$J$6:$J$2990,"&lt;="&amp;EOMONTH(AT7,0),'1SM3VL'!$L$6:$L$2990,$B$19)+SUMIFS('1QF4SM'!$K$6:$K$2989,'1QF4SM'!$J$6:$J$2989,"&gt;="&amp;AT7,'1QF4SM'!$J$6:$J$2989,"&lt;="&amp;EOMONTH(AT7,0),'1QF4SM'!$L$6:$L$2989,$B$19)+SUMIFS('1UV5KI'!$K$6:$K$2989,'1UV5KI'!$J$6:$J$2989,"&gt;="&amp;AT7,'1UV5KI'!$J$6:$J$2989,"&lt;="&amp;EOMONTH(AT7,0),'1UV5KI'!$L$6:$L$2989,$B$19)+SUMIFS(#REF!,#REF!,"&gt;="&amp;AT7,#REF!,"&lt;="&amp;EOMONTH(AT7,0),#REF!,$B$19)+SUMIFS('1UL9RY'!$K$6:$K$2990,'1UL9RY'!$J$6:$J$2990,"&gt;="&amp;AT7,'1UL9RY'!$J$6:$J$2990,"&lt;="&amp;EOMONTH(AT7,0),'1UL9RY'!$L$6:$L$2990,$B$19)+SUMIFS('1OZ7GT'!$K$6:$K$2989,'1OZ7GT'!$J$6:$J$2989,"&gt;="&amp;AT7,'1OZ7GT'!$J$6:$J$2989,"&lt;="&amp;EOMONTH(AT7,0),'1OZ7GT'!$L$6:$L$2989,$B$19)+SUMIFS('1CN8DD'!$K$6:$K$2989,'1CN8DD'!$J$6:$J$2989,"&gt;="&amp;AT7,'1CN8DD'!$J$6:$J$2989,"&lt;="&amp;EOMONTH(AT7,0),'1CN8DD'!$L$6:$L$2989,$B$19)+SUMIFS('1UT9BR'!$K$6:$K$2990,'1UT9BR'!$J$6:$J$2990,"&gt;="&amp;AT7,'1UT9BR'!$J$6:$J$2990,"&lt;="&amp;EOMONTH(AT7,0),'1UT9BR'!$L$6:$L$2990,$B$19)+SUMIFS('1MK4UR'!$K$6:$K$2990,'1MK4UR'!$J$6:$J$2990,"&gt;="&amp;AT7,'1MK4UR'!$J$6:$J$2990,"&lt;="&amp;EOMONTH(AT7,0),'1MK4UR'!$L$6:$L$2990,$B$19)+SUMIFS(#REF!,#REF!,"&gt;="&amp;AT7,#REF!,"&lt;="&amp;EOMONTH(AT7,0),#REF!,$B$19)+SUMIFS('1JI2UE'!$K$6:$K$2989,'1JI2UE'!$J$6:$J$2989,"&gt;="&amp;AT7,'1JI2UE'!$J$6:$J$2989,"&lt;="&amp;EOMONTH(AT7,0),'1JI2UE'!$L$6:$L$2989,$B$19)+SUMIFS(#REF!,#REF!,"&gt;="&amp;AT7,#REF!,"&lt;="&amp;EOMONTH(AT7,0),#REF!,$B$19)+SUMIFS('1SI9BW'!$K$6:$K$2989,'1SI9BW'!$J$6:$J$2989,"&gt;="&amp;AT7,'1SI9BW'!$J$6:$J$2989,"&lt;="&amp;EOMONTH(AT7,0),'1SI9BW'!$L$6:$L$2989,$B$19)+SUMIFS(Suzuki!$K$6:$K$2989,Suzuki!$J$6:$J$2989,"&gt;="&amp;AT7,Suzuki!$J$6:$J$2989,"&lt;="&amp;EOMONTH(AT7,0),Suzuki!$L$6:$L$2989,$B$19)+SUMIFS('1SK3DD'!$K$6:$K$2989,'1SK3DD'!$J$6:$J$2989,"&gt;="&amp;AT7,'1SK3DD'!$J$6:$J$2989,"&lt;="&amp;EOMONTH(AT7,0),'1SK3DD'!$L$6:$L$2989,$B$19)+SUMIFS('1SX5TQ'!$K$6:$K$2989,'1SX5TQ'!$J$6:$J$2989,"&gt;="&amp;AT7,'1SX5TQ'!$J$6:$J$2989,"&lt;="&amp;EOMONTH(AT7,0),'1SX5TQ'!$L$6:$L$2989,$B$19)+SUMIFS('BMM465'!$K$6:$K$2989,'BMM465'!$J$6:$J$2989,"&gt;="&amp;AT7,'BMM465'!$J$6:$J$2989,"&lt;="&amp;EOMONTH(AT7,0),'BMM465'!$L$6:$L$2989,$B$19)+SUMIFS('1CF1ZO'!$K$6:$K$2989,'1CF1ZO'!$J$6:$J$2989,"&gt;="&amp;AT7,'1CF1ZO'!$J$6:$J$2989,"&lt;="&amp;EOMONTH(AT7,0),'1CF1ZO'!$L$6:$L$2989,$B$19)+SUMIFS('1UK1BK'!$K$6:$K$2989,'1UK1BK'!$J$6:$J$2989,"&gt;="&amp;AT7,'1UK1BK'!$J$6:$J$2989,"&lt;="&amp;EOMONTH(AT7,0),'1UK1BK'!$L$6:$L$2989,$B$19)</f>
        <v>#REF!</v>
      </c>
      <c r="AU19" s="110" t="e">
        <f>SUMIFS('Other Expense'!$G$8:$G$2966,'Other Expense'!$F$8:$F$2966,"&gt;="&amp;AU7,'Other Expense'!$F$8:$F$2966,"&lt;="&amp;EOMONTH(AU7,0),'Other Expense'!$H$8:$H$2966,$B$19)+SUMIFS('CEI565'!$K$6:$K$2990,'CEI565'!$J$6:$J$2990,"&gt;="&amp;AU7,'CEI565'!$J$6:$J$2990,"&lt;="&amp;EOMONTH(AU7,0),'CEI565'!$L$6:$L$2990,$B$19)+SUMIFS('1SM3VL'!$K$6:$K$2990,'1SM3VL'!$J$6:$J$2990,"&gt;="&amp;AU7,'1SM3VL'!$J$6:$J$2990,"&lt;="&amp;EOMONTH(AU7,0),'1SM3VL'!$L$6:$L$2990,$B$19)+SUMIFS('1QF4SM'!$K$6:$K$2989,'1QF4SM'!$J$6:$J$2989,"&gt;="&amp;AU7,'1QF4SM'!$J$6:$J$2989,"&lt;="&amp;EOMONTH(AU7,0),'1QF4SM'!$L$6:$L$2989,$B$19)+SUMIFS('1UV5KI'!$K$6:$K$2989,'1UV5KI'!$J$6:$J$2989,"&gt;="&amp;AU7,'1UV5KI'!$J$6:$J$2989,"&lt;="&amp;EOMONTH(AU7,0),'1UV5KI'!$L$6:$L$2989,$B$19)+SUMIFS(#REF!,#REF!,"&gt;="&amp;AU7,#REF!,"&lt;="&amp;EOMONTH(AU7,0),#REF!,$B$19)+SUMIFS('1UL9RY'!$K$6:$K$2990,'1UL9RY'!$J$6:$J$2990,"&gt;="&amp;AU7,'1UL9RY'!$J$6:$J$2990,"&lt;="&amp;EOMONTH(AU7,0),'1UL9RY'!$L$6:$L$2990,$B$19)+SUMIFS('1OZ7GT'!$K$6:$K$2989,'1OZ7GT'!$J$6:$J$2989,"&gt;="&amp;AU7,'1OZ7GT'!$J$6:$J$2989,"&lt;="&amp;EOMONTH(AU7,0),'1OZ7GT'!$L$6:$L$2989,$B$19)+SUMIFS('1CN8DD'!$K$6:$K$2989,'1CN8DD'!$J$6:$J$2989,"&gt;="&amp;AU7,'1CN8DD'!$J$6:$J$2989,"&lt;="&amp;EOMONTH(AU7,0),'1CN8DD'!$L$6:$L$2989,$B$19)+SUMIFS('1UT9BR'!$K$6:$K$2990,'1UT9BR'!$J$6:$J$2990,"&gt;="&amp;AU7,'1UT9BR'!$J$6:$J$2990,"&lt;="&amp;EOMONTH(AU7,0),'1UT9BR'!$L$6:$L$2990,$B$19)+SUMIFS('1MK4UR'!$K$6:$K$2990,'1MK4UR'!$J$6:$J$2990,"&gt;="&amp;AU7,'1MK4UR'!$J$6:$J$2990,"&lt;="&amp;EOMONTH(AU7,0),'1MK4UR'!$L$6:$L$2990,$B$19)+SUMIFS(#REF!,#REF!,"&gt;="&amp;AU7,#REF!,"&lt;="&amp;EOMONTH(AU7,0),#REF!,$B$19)+SUMIFS('1JI2UE'!$K$6:$K$2989,'1JI2UE'!$J$6:$J$2989,"&gt;="&amp;AU7,'1JI2UE'!$J$6:$J$2989,"&lt;="&amp;EOMONTH(AU7,0),'1JI2UE'!$L$6:$L$2989,$B$19)+SUMIFS(#REF!,#REF!,"&gt;="&amp;AU7,#REF!,"&lt;="&amp;EOMONTH(AU7,0),#REF!,$B$19)+SUMIFS('1SI9BW'!$K$6:$K$2989,'1SI9BW'!$J$6:$J$2989,"&gt;="&amp;AU7,'1SI9BW'!$J$6:$J$2989,"&lt;="&amp;EOMONTH(AU7,0),'1SI9BW'!$L$6:$L$2989,$B$19)+SUMIFS(Suzuki!$K$6:$K$2989,Suzuki!$J$6:$J$2989,"&gt;="&amp;AU7,Suzuki!$J$6:$J$2989,"&lt;="&amp;EOMONTH(AU7,0),Suzuki!$L$6:$L$2989,$B$19)+SUMIFS('1SK3DD'!$K$6:$K$2989,'1SK3DD'!$J$6:$J$2989,"&gt;="&amp;AU7,'1SK3DD'!$J$6:$J$2989,"&lt;="&amp;EOMONTH(AU7,0),'1SK3DD'!$L$6:$L$2989,$B$19)+SUMIFS('1SX5TQ'!$K$6:$K$2989,'1SX5TQ'!$J$6:$J$2989,"&gt;="&amp;AU7,'1SX5TQ'!$J$6:$J$2989,"&lt;="&amp;EOMONTH(AU7,0),'1SX5TQ'!$L$6:$L$2989,$B$19)+SUMIFS('BMM465'!$K$6:$K$2989,'BMM465'!$J$6:$J$2989,"&gt;="&amp;AU7,'BMM465'!$J$6:$J$2989,"&lt;="&amp;EOMONTH(AU7,0),'BMM465'!$L$6:$L$2989,$B$19)+SUMIFS('1CF1ZO'!$K$6:$K$2989,'1CF1ZO'!$J$6:$J$2989,"&gt;="&amp;AU7,'1CF1ZO'!$J$6:$J$2989,"&lt;="&amp;EOMONTH(AU7,0),'1CF1ZO'!$L$6:$L$2989,$B$19)+SUMIFS('1UK1BK'!$K$6:$K$2989,'1UK1BK'!$J$6:$J$2989,"&gt;="&amp;AU7,'1UK1BK'!$J$6:$J$2989,"&lt;="&amp;EOMONTH(AU7,0),'1UK1BK'!$L$6:$L$2989,$B$19)</f>
        <v>#REF!</v>
      </c>
      <c r="AV19" s="110" t="e">
        <f>SUMIFS('Other Expense'!$G$8:$G$2966,'Other Expense'!$F$8:$F$2966,"&gt;="&amp;AV7,'Other Expense'!$F$8:$F$2966,"&lt;="&amp;EOMONTH(AV7,0),'Other Expense'!$H$8:$H$2966,$B$19)+SUMIFS('CEI565'!$K$6:$K$2990,'CEI565'!$J$6:$J$2990,"&gt;="&amp;AV7,'CEI565'!$J$6:$J$2990,"&lt;="&amp;EOMONTH(AV7,0),'CEI565'!$L$6:$L$2990,$B$19)+SUMIFS('1SM3VL'!$K$6:$K$2990,'1SM3VL'!$J$6:$J$2990,"&gt;="&amp;AV7,'1SM3VL'!$J$6:$J$2990,"&lt;="&amp;EOMONTH(AV7,0),'1SM3VL'!$L$6:$L$2990,$B$19)+SUMIFS('1QF4SM'!$K$6:$K$2989,'1QF4SM'!$J$6:$J$2989,"&gt;="&amp;AV7,'1QF4SM'!$J$6:$J$2989,"&lt;="&amp;EOMONTH(AV7,0),'1QF4SM'!$L$6:$L$2989,$B$19)+SUMIFS('1UV5KI'!$K$6:$K$2989,'1UV5KI'!$J$6:$J$2989,"&gt;="&amp;AV7,'1UV5KI'!$J$6:$J$2989,"&lt;="&amp;EOMONTH(AV7,0),'1UV5KI'!$L$6:$L$2989,$B$19)+SUMIFS(#REF!,#REF!,"&gt;="&amp;AV7,#REF!,"&lt;="&amp;EOMONTH(AV7,0),#REF!,$B$19)+SUMIFS('1UL9RY'!$K$6:$K$2990,'1UL9RY'!$J$6:$J$2990,"&gt;="&amp;AV7,'1UL9RY'!$J$6:$J$2990,"&lt;="&amp;EOMONTH(AV7,0),'1UL9RY'!$L$6:$L$2990,$B$19)+SUMIFS('1OZ7GT'!$K$6:$K$2989,'1OZ7GT'!$J$6:$J$2989,"&gt;="&amp;AV7,'1OZ7GT'!$J$6:$J$2989,"&lt;="&amp;EOMONTH(AV7,0),'1OZ7GT'!$L$6:$L$2989,$B$19)+SUMIFS('1CN8DD'!$K$6:$K$2989,'1CN8DD'!$J$6:$J$2989,"&gt;="&amp;AV7,'1CN8DD'!$J$6:$J$2989,"&lt;="&amp;EOMONTH(AV7,0),'1CN8DD'!$L$6:$L$2989,$B$19)+SUMIFS('1UT9BR'!$K$6:$K$2990,'1UT9BR'!$J$6:$J$2990,"&gt;="&amp;AV7,'1UT9BR'!$J$6:$J$2990,"&lt;="&amp;EOMONTH(AV7,0),'1UT9BR'!$L$6:$L$2990,$B$19)+SUMIFS('1MK4UR'!$K$6:$K$2990,'1MK4UR'!$J$6:$J$2990,"&gt;="&amp;AV7,'1MK4UR'!$J$6:$J$2990,"&lt;="&amp;EOMONTH(AV7,0),'1MK4UR'!$L$6:$L$2990,$B$19)+SUMIFS(#REF!,#REF!,"&gt;="&amp;AV7,#REF!,"&lt;="&amp;EOMONTH(AV7,0),#REF!,$B$19)+SUMIFS('1JI2UE'!$K$6:$K$2989,'1JI2UE'!$J$6:$J$2989,"&gt;="&amp;AV7,'1JI2UE'!$J$6:$J$2989,"&lt;="&amp;EOMONTH(AV7,0),'1JI2UE'!$L$6:$L$2989,$B$19)+SUMIFS(#REF!,#REF!,"&gt;="&amp;AV7,#REF!,"&lt;="&amp;EOMONTH(AV7,0),#REF!,$B$19)+SUMIFS('1SI9BW'!$K$6:$K$2989,'1SI9BW'!$J$6:$J$2989,"&gt;="&amp;AV7,'1SI9BW'!$J$6:$J$2989,"&lt;="&amp;EOMONTH(AV7,0),'1SI9BW'!$L$6:$L$2989,$B$19)+SUMIFS(Suzuki!$K$6:$K$2989,Suzuki!$J$6:$J$2989,"&gt;="&amp;AV7,Suzuki!$J$6:$J$2989,"&lt;="&amp;EOMONTH(AV7,0),Suzuki!$L$6:$L$2989,$B$19)+SUMIFS('1SK3DD'!$K$6:$K$2989,'1SK3DD'!$J$6:$J$2989,"&gt;="&amp;AV7,'1SK3DD'!$J$6:$J$2989,"&lt;="&amp;EOMONTH(AV7,0),'1SK3DD'!$L$6:$L$2989,$B$19)+SUMIFS('1SX5TQ'!$K$6:$K$2989,'1SX5TQ'!$J$6:$J$2989,"&gt;="&amp;AV7,'1SX5TQ'!$J$6:$J$2989,"&lt;="&amp;EOMONTH(AV7,0),'1SX5TQ'!$L$6:$L$2989,$B$19)+SUMIFS('BMM465'!$K$6:$K$2989,'BMM465'!$J$6:$J$2989,"&gt;="&amp;AV7,'BMM465'!$J$6:$J$2989,"&lt;="&amp;EOMONTH(AV7,0),'BMM465'!$L$6:$L$2989,$B$19)+SUMIFS('1CF1ZO'!$K$6:$K$2989,'1CF1ZO'!$J$6:$J$2989,"&gt;="&amp;AV7,'1CF1ZO'!$J$6:$J$2989,"&lt;="&amp;EOMONTH(AV7,0),'1CF1ZO'!$L$6:$L$2989,$B$19)+SUMIFS('1UK1BK'!$K$6:$K$2989,'1UK1BK'!$J$6:$J$2989,"&gt;="&amp;AV7,'1UK1BK'!$J$6:$J$2989,"&lt;="&amp;EOMONTH(AV7,0),'1UK1BK'!$L$6:$L$2989,$B$19)</f>
        <v>#REF!</v>
      </c>
      <c r="AW19" s="110" t="e">
        <f>SUMIFS('Other Expense'!$G$8:$G$2966,'Other Expense'!$F$8:$F$2966,"&gt;="&amp;AW7,'Other Expense'!$F$8:$F$2966,"&lt;="&amp;EOMONTH(AW7,0),'Other Expense'!$H$8:$H$2966,$B$19)+SUMIFS('CEI565'!$K$6:$K$2990,'CEI565'!$J$6:$J$2990,"&gt;="&amp;AW7,'CEI565'!$J$6:$J$2990,"&lt;="&amp;EOMONTH(AW7,0),'CEI565'!$L$6:$L$2990,$B$19)+SUMIFS('1SM3VL'!$K$6:$K$2990,'1SM3VL'!$J$6:$J$2990,"&gt;="&amp;AW7,'1SM3VL'!$J$6:$J$2990,"&lt;="&amp;EOMONTH(AW7,0),'1SM3VL'!$L$6:$L$2990,$B$19)+SUMIFS('1QF4SM'!$K$6:$K$2989,'1QF4SM'!$J$6:$J$2989,"&gt;="&amp;AW7,'1QF4SM'!$J$6:$J$2989,"&lt;="&amp;EOMONTH(AW7,0),'1QF4SM'!$L$6:$L$2989,$B$19)+SUMIFS('1UV5KI'!$K$6:$K$2989,'1UV5KI'!$J$6:$J$2989,"&gt;="&amp;AW7,'1UV5KI'!$J$6:$J$2989,"&lt;="&amp;EOMONTH(AW7,0),'1UV5KI'!$L$6:$L$2989,$B$19)+SUMIFS(#REF!,#REF!,"&gt;="&amp;AW7,#REF!,"&lt;="&amp;EOMONTH(AW7,0),#REF!,$B$19)+SUMIFS('1UL9RY'!$K$6:$K$2990,'1UL9RY'!$J$6:$J$2990,"&gt;="&amp;AW7,'1UL9RY'!$J$6:$J$2990,"&lt;="&amp;EOMONTH(AW7,0),'1UL9RY'!$L$6:$L$2990,$B$19)+SUMIFS('1OZ7GT'!$K$6:$K$2989,'1OZ7GT'!$J$6:$J$2989,"&gt;="&amp;AW7,'1OZ7GT'!$J$6:$J$2989,"&lt;="&amp;EOMONTH(AW7,0),'1OZ7GT'!$L$6:$L$2989,$B$19)+SUMIFS('1CN8DD'!$K$6:$K$2989,'1CN8DD'!$J$6:$J$2989,"&gt;="&amp;AW7,'1CN8DD'!$J$6:$J$2989,"&lt;="&amp;EOMONTH(AW7,0),'1CN8DD'!$L$6:$L$2989,$B$19)+SUMIFS('1UT9BR'!$K$6:$K$2990,'1UT9BR'!$J$6:$J$2990,"&gt;="&amp;AW7,'1UT9BR'!$J$6:$J$2990,"&lt;="&amp;EOMONTH(AW7,0),'1UT9BR'!$L$6:$L$2990,$B$19)+SUMIFS('1MK4UR'!$K$6:$K$2990,'1MK4UR'!$J$6:$J$2990,"&gt;="&amp;AW7,'1MK4UR'!$J$6:$J$2990,"&lt;="&amp;EOMONTH(AW7,0),'1MK4UR'!$L$6:$L$2990,$B$19)+SUMIFS(#REF!,#REF!,"&gt;="&amp;AW7,#REF!,"&lt;="&amp;EOMONTH(AW7,0),#REF!,$B$19)+SUMIFS('1JI2UE'!$K$6:$K$2989,'1JI2UE'!$J$6:$J$2989,"&gt;="&amp;AW7,'1JI2UE'!$J$6:$J$2989,"&lt;="&amp;EOMONTH(AW7,0),'1JI2UE'!$L$6:$L$2989,$B$19)+SUMIFS(#REF!,#REF!,"&gt;="&amp;AW7,#REF!,"&lt;="&amp;EOMONTH(AW7,0),#REF!,$B$19)+SUMIFS('1SI9BW'!$K$6:$K$2989,'1SI9BW'!$J$6:$J$2989,"&gt;="&amp;AW7,'1SI9BW'!$J$6:$J$2989,"&lt;="&amp;EOMONTH(AW7,0),'1SI9BW'!$L$6:$L$2989,$B$19)+SUMIFS(Suzuki!$K$6:$K$2989,Suzuki!$J$6:$J$2989,"&gt;="&amp;AW7,Suzuki!$J$6:$J$2989,"&lt;="&amp;EOMONTH(AW7,0),Suzuki!$L$6:$L$2989,$B$19)+SUMIFS('1SK3DD'!$K$6:$K$2989,'1SK3DD'!$J$6:$J$2989,"&gt;="&amp;AW7,'1SK3DD'!$J$6:$J$2989,"&lt;="&amp;EOMONTH(AW7,0),'1SK3DD'!$L$6:$L$2989,$B$19)+SUMIFS('1SX5TQ'!$K$6:$K$2989,'1SX5TQ'!$J$6:$J$2989,"&gt;="&amp;AW7,'1SX5TQ'!$J$6:$J$2989,"&lt;="&amp;EOMONTH(AW7,0),'1SX5TQ'!$L$6:$L$2989,$B$19)+SUMIFS('BMM465'!$K$6:$K$2989,'BMM465'!$J$6:$J$2989,"&gt;="&amp;AW7,'BMM465'!$J$6:$J$2989,"&lt;="&amp;EOMONTH(AW7,0),'BMM465'!$L$6:$L$2989,$B$19)+SUMIFS('1CF1ZO'!$K$6:$K$2989,'1CF1ZO'!$J$6:$J$2989,"&gt;="&amp;AW7,'1CF1ZO'!$J$6:$J$2989,"&lt;="&amp;EOMONTH(AW7,0),'1CF1ZO'!$L$6:$L$2989,$B$19)+SUMIFS('1UK1BK'!$K$6:$K$2989,'1UK1BK'!$J$6:$J$2989,"&gt;="&amp;AW7,'1UK1BK'!$J$6:$J$2989,"&lt;="&amp;EOMONTH(AW7,0),'1UK1BK'!$L$6:$L$2989,$B$19)</f>
        <v>#REF!</v>
      </c>
      <c r="AX19" s="110" t="e">
        <f>SUMIFS('Other Expense'!$G$8:$G$2966,'Other Expense'!$F$8:$F$2966,"&gt;="&amp;AX7,'Other Expense'!$F$8:$F$2966,"&lt;="&amp;EOMONTH(AX7,0),'Other Expense'!$H$8:$H$2966,$B$19)+SUMIFS('CEI565'!$K$6:$K$2990,'CEI565'!$J$6:$J$2990,"&gt;="&amp;AX7,'CEI565'!$J$6:$J$2990,"&lt;="&amp;EOMONTH(AX7,0),'CEI565'!$L$6:$L$2990,$B$19)+SUMIFS('1SM3VL'!$K$6:$K$2990,'1SM3VL'!$J$6:$J$2990,"&gt;="&amp;AX7,'1SM3VL'!$J$6:$J$2990,"&lt;="&amp;EOMONTH(AX7,0),'1SM3VL'!$L$6:$L$2990,$B$19)+SUMIFS('1QF4SM'!$K$6:$K$2989,'1QF4SM'!$J$6:$J$2989,"&gt;="&amp;AX7,'1QF4SM'!$J$6:$J$2989,"&lt;="&amp;EOMONTH(AX7,0),'1QF4SM'!$L$6:$L$2989,$B$19)+SUMIFS('1UV5KI'!$K$6:$K$2989,'1UV5KI'!$J$6:$J$2989,"&gt;="&amp;AX7,'1UV5KI'!$J$6:$J$2989,"&lt;="&amp;EOMONTH(AX7,0),'1UV5KI'!$L$6:$L$2989,$B$19)+SUMIFS(#REF!,#REF!,"&gt;="&amp;AX7,#REF!,"&lt;="&amp;EOMONTH(AX7,0),#REF!,$B$19)+SUMIFS('1UL9RY'!$K$6:$K$2990,'1UL9RY'!$J$6:$J$2990,"&gt;="&amp;AX7,'1UL9RY'!$J$6:$J$2990,"&lt;="&amp;EOMONTH(AX7,0),'1UL9RY'!$L$6:$L$2990,$B$19)+SUMIFS('1OZ7GT'!$K$6:$K$2989,'1OZ7GT'!$J$6:$J$2989,"&gt;="&amp;AX7,'1OZ7GT'!$J$6:$J$2989,"&lt;="&amp;EOMONTH(AX7,0),'1OZ7GT'!$L$6:$L$2989,$B$19)+SUMIFS('1CN8DD'!$K$6:$K$2989,'1CN8DD'!$J$6:$J$2989,"&gt;="&amp;AX7,'1CN8DD'!$J$6:$J$2989,"&lt;="&amp;EOMONTH(AX7,0),'1CN8DD'!$L$6:$L$2989,$B$19)+SUMIFS('1UT9BR'!$K$6:$K$2990,'1UT9BR'!$J$6:$J$2990,"&gt;="&amp;AX7,'1UT9BR'!$J$6:$J$2990,"&lt;="&amp;EOMONTH(AX7,0),'1UT9BR'!$L$6:$L$2990,$B$19)+SUMIFS('1MK4UR'!$K$6:$K$2990,'1MK4UR'!$J$6:$J$2990,"&gt;="&amp;AX7,'1MK4UR'!$J$6:$J$2990,"&lt;="&amp;EOMONTH(AX7,0),'1MK4UR'!$L$6:$L$2990,$B$19)+SUMIFS(#REF!,#REF!,"&gt;="&amp;AX7,#REF!,"&lt;="&amp;EOMONTH(AX7,0),#REF!,$B$19)+SUMIFS('1JI2UE'!$K$6:$K$2989,'1JI2UE'!$J$6:$J$2989,"&gt;="&amp;AX7,'1JI2UE'!$J$6:$J$2989,"&lt;="&amp;EOMONTH(AX7,0),'1JI2UE'!$L$6:$L$2989,$B$19)+SUMIFS(#REF!,#REF!,"&gt;="&amp;AX7,#REF!,"&lt;="&amp;EOMONTH(AX7,0),#REF!,$B$19)+SUMIFS('1SI9BW'!$K$6:$K$2989,'1SI9BW'!$J$6:$J$2989,"&gt;="&amp;AX7,'1SI9BW'!$J$6:$J$2989,"&lt;="&amp;EOMONTH(AX7,0),'1SI9BW'!$L$6:$L$2989,$B$19)+SUMIFS(Suzuki!$K$6:$K$2989,Suzuki!$J$6:$J$2989,"&gt;="&amp;AX7,Suzuki!$J$6:$J$2989,"&lt;="&amp;EOMONTH(AX7,0),Suzuki!$L$6:$L$2989,$B$19)+SUMIFS('1SK3DD'!$K$6:$K$2989,'1SK3DD'!$J$6:$J$2989,"&gt;="&amp;AX7,'1SK3DD'!$J$6:$J$2989,"&lt;="&amp;EOMONTH(AX7,0),'1SK3DD'!$L$6:$L$2989,$B$19)+SUMIFS('1SX5TQ'!$K$6:$K$2989,'1SX5TQ'!$J$6:$J$2989,"&gt;="&amp;AX7,'1SX5TQ'!$J$6:$J$2989,"&lt;="&amp;EOMONTH(AX7,0),'1SX5TQ'!$L$6:$L$2989,$B$19)+SUMIFS('BMM465'!$K$6:$K$2989,'BMM465'!$J$6:$J$2989,"&gt;="&amp;AX7,'BMM465'!$J$6:$J$2989,"&lt;="&amp;EOMONTH(AX7,0),'BMM465'!$L$6:$L$2989,$B$19)+SUMIFS('1CF1ZO'!$K$6:$K$2989,'1CF1ZO'!$J$6:$J$2989,"&gt;="&amp;AX7,'1CF1ZO'!$J$6:$J$2989,"&lt;="&amp;EOMONTH(AX7,0),'1CF1ZO'!$L$6:$L$2989,$B$19)+SUMIFS('1UK1BK'!$K$6:$K$2989,'1UK1BK'!$J$6:$J$2989,"&gt;="&amp;AX7,'1UK1BK'!$J$6:$J$2989,"&lt;="&amp;EOMONTH(AX7,0),'1UK1BK'!$L$6:$L$2989,$B$19)</f>
        <v>#REF!</v>
      </c>
      <c r="AY19" s="110" t="e">
        <f>SUMIFS('Other Expense'!$G$8:$G$2966,'Other Expense'!$F$8:$F$2966,"&gt;="&amp;AY7,'Other Expense'!$F$8:$F$2966,"&lt;="&amp;EOMONTH(AY7,0),'Other Expense'!$H$8:$H$2966,$B$19)+SUMIFS('CEI565'!$K$6:$K$2990,'CEI565'!$J$6:$J$2990,"&gt;="&amp;AY7,'CEI565'!$J$6:$J$2990,"&lt;="&amp;EOMONTH(AY7,0),'CEI565'!$L$6:$L$2990,$B$19)+SUMIFS('1SM3VL'!$K$6:$K$2990,'1SM3VL'!$J$6:$J$2990,"&gt;="&amp;AY7,'1SM3VL'!$J$6:$J$2990,"&lt;="&amp;EOMONTH(AY7,0),'1SM3VL'!$L$6:$L$2990,$B$19)+SUMIFS('1QF4SM'!$K$6:$K$2989,'1QF4SM'!$J$6:$J$2989,"&gt;="&amp;AY7,'1QF4SM'!$J$6:$J$2989,"&lt;="&amp;EOMONTH(AY7,0),'1QF4SM'!$L$6:$L$2989,$B$19)+SUMIFS('1UV5KI'!$K$6:$K$2989,'1UV5KI'!$J$6:$J$2989,"&gt;="&amp;AY7,'1UV5KI'!$J$6:$J$2989,"&lt;="&amp;EOMONTH(AY7,0),'1UV5KI'!$L$6:$L$2989,$B$19)+SUMIFS(#REF!,#REF!,"&gt;="&amp;AY7,#REF!,"&lt;="&amp;EOMONTH(AY7,0),#REF!,$B$19)+SUMIFS('1UL9RY'!$K$6:$K$2990,'1UL9RY'!$J$6:$J$2990,"&gt;="&amp;AY7,'1UL9RY'!$J$6:$J$2990,"&lt;="&amp;EOMONTH(AY7,0),'1UL9RY'!$L$6:$L$2990,$B$19)+SUMIFS('1OZ7GT'!$K$6:$K$2989,'1OZ7GT'!$J$6:$J$2989,"&gt;="&amp;AY7,'1OZ7GT'!$J$6:$J$2989,"&lt;="&amp;EOMONTH(AY7,0),'1OZ7GT'!$L$6:$L$2989,$B$19)+SUMIFS('1CN8DD'!$K$6:$K$2989,'1CN8DD'!$J$6:$J$2989,"&gt;="&amp;AY7,'1CN8DD'!$J$6:$J$2989,"&lt;="&amp;EOMONTH(AY7,0),'1CN8DD'!$L$6:$L$2989,$B$19)+SUMIFS('1UT9BR'!$K$6:$K$2990,'1UT9BR'!$J$6:$J$2990,"&gt;="&amp;AY7,'1UT9BR'!$J$6:$J$2990,"&lt;="&amp;EOMONTH(AY7,0),'1UT9BR'!$L$6:$L$2990,$B$19)+SUMIFS('1MK4UR'!$K$6:$K$2990,'1MK4UR'!$J$6:$J$2990,"&gt;="&amp;AY7,'1MK4UR'!$J$6:$J$2990,"&lt;="&amp;EOMONTH(AY7,0),'1MK4UR'!$L$6:$L$2990,$B$19)+SUMIFS(#REF!,#REF!,"&gt;="&amp;AY7,#REF!,"&lt;="&amp;EOMONTH(AY7,0),#REF!,$B$19)+SUMIFS('1JI2UE'!$K$6:$K$2989,'1JI2UE'!$J$6:$J$2989,"&gt;="&amp;AY7,'1JI2UE'!$J$6:$J$2989,"&lt;="&amp;EOMONTH(AY7,0),'1JI2UE'!$L$6:$L$2989,$B$19)+SUMIFS(#REF!,#REF!,"&gt;="&amp;AY7,#REF!,"&lt;="&amp;EOMONTH(AY7,0),#REF!,$B$19)+SUMIFS('1SI9BW'!$K$6:$K$2989,'1SI9BW'!$J$6:$J$2989,"&gt;="&amp;AY7,'1SI9BW'!$J$6:$J$2989,"&lt;="&amp;EOMONTH(AY7,0),'1SI9BW'!$L$6:$L$2989,$B$19)+SUMIFS(Suzuki!$K$6:$K$2989,Suzuki!$J$6:$J$2989,"&gt;="&amp;AY7,Suzuki!$J$6:$J$2989,"&lt;="&amp;EOMONTH(AY7,0),Suzuki!$L$6:$L$2989,$B$19)+SUMIFS('1SK3DD'!$K$6:$K$2989,'1SK3DD'!$J$6:$J$2989,"&gt;="&amp;AY7,'1SK3DD'!$J$6:$J$2989,"&lt;="&amp;EOMONTH(AY7,0),'1SK3DD'!$L$6:$L$2989,$B$19)+SUMIFS('1SX5TQ'!$K$6:$K$2989,'1SX5TQ'!$J$6:$J$2989,"&gt;="&amp;AY7,'1SX5TQ'!$J$6:$J$2989,"&lt;="&amp;EOMONTH(AY7,0),'1SX5TQ'!$L$6:$L$2989,$B$19)+SUMIFS('BMM465'!$K$6:$K$2989,'BMM465'!$J$6:$J$2989,"&gt;="&amp;AY7,'BMM465'!$J$6:$J$2989,"&lt;="&amp;EOMONTH(AY7,0),'BMM465'!$L$6:$L$2989,$B$19)+SUMIFS('1CF1ZO'!$K$6:$K$2989,'1CF1ZO'!$J$6:$J$2989,"&gt;="&amp;AY7,'1CF1ZO'!$J$6:$J$2989,"&lt;="&amp;EOMONTH(AY7,0),'1CF1ZO'!$L$6:$L$2989,$B$19)+SUMIFS('1UK1BK'!$K$6:$K$2989,'1UK1BK'!$J$6:$J$2989,"&gt;="&amp;AY7,'1UK1BK'!$J$6:$J$2989,"&lt;="&amp;EOMONTH(AY7,0),'1UK1BK'!$L$6:$L$2989,$B$19)</f>
        <v>#REF!</v>
      </c>
      <c r="AZ19" s="110" t="e">
        <f>SUMIFS('Other Expense'!$G$8:$G$2966,'Other Expense'!$F$8:$F$2966,"&gt;="&amp;AZ7,'Other Expense'!$F$8:$F$2966,"&lt;="&amp;EOMONTH(AZ7,0),'Other Expense'!$H$8:$H$2966,$B$19)+SUMIFS('CEI565'!$K$6:$K$2990,'CEI565'!$J$6:$J$2990,"&gt;="&amp;AZ7,'CEI565'!$J$6:$J$2990,"&lt;="&amp;EOMONTH(AZ7,0),'CEI565'!$L$6:$L$2990,$B$19)+SUMIFS('1SM3VL'!$K$6:$K$2990,'1SM3VL'!$J$6:$J$2990,"&gt;="&amp;AZ7,'1SM3VL'!$J$6:$J$2990,"&lt;="&amp;EOMONTH(AZ7,0),'1SM3VL'!$L$6:$L$2990,$B$19)+SUMIFS('1QF4SM'!$K$6:$K$2989,'1QF4SM'!$J$6:$J$2989,"&gt;="&amp;AZ7,'1QF4SM'!$J$6:$J$2989,"&lt;="&amp;EOMONTH(AZ7,0),'1QF4SM'!$L$6:$L$2989,$B$19)+SUMIFS('1UV5KI'!$K$6:$K$2989,'1UV5KI'!$J$6:$J$2989,"&gt;="&amp;AZ7,'1UV5KI'!$J$6:$J$2989,"&lt;="&amp;EOMONTH(AZ7,0),'1UV5KI'!$L$6:$L$2989,$B$19)+SUMIFS(#REF!,#REF!,"&gt;="&amp;AZ7,#REF!,"&lt;="&amp;EOMONTH(AZ7,0),#REF!,$B$19)+SUMIFS('1UL9RY'!$K$6:$K$2990,'1UL9RY'!$J$6:$J$2990,"&gt;="&amp;AZ7,'1UL9RY'!$J$6:$J$2990,"&lt;="&amp;EOMONTH(AZ7,0),'1UL9RY'!$L$6:$L$2990,$B$19)+SUMIFS('1OZ7GT'!$K$6:$K$2989,'1OZ7GT'!$J$6:$J$2989,"&gt;="&amp;AZ7,'1OZ7GT'!$J$6:$J$2989,"&lt;="&amp;EOMONTH(AZ7,0),'1OZ7GT'!$L$6:$L$2989,$B$19)+SUMIFS('1CN8DD'!$K$6:$K$2989,'1CN8DD'!$J$6:$J$2989,"&gt;="&amp;AZ7,'1CN8DD'!$J$6:$J$2989,"&lt;="&amp;EOMONTH(AZ7,0),'1CN8DD'!$L$6:$L$2989,$B$19)+SUMIFS('1UT9BR'!$K$6:$K$2990,'1UT9BR'!$J$6:$J$2990,"&gt;="&amp;AZ7,'1UT9BR'!$J$6:$J$2990,"&lt;="&amp;EOMONTH(AZ7,0),'1UT9BR'!$L$6:$L$2990,$B$19)+SUMIFS('1MK4UR'!$K$6:$K$2990,'1MK4UR'!$J$6:$J$2990,"&gt;="&amp;AZ7,'1MK4UR'!$J$6:$J$2990,"&lt;="&amp;EOMONTH(AZ7,0),'1MK4UR'!$L$6:$L$2990,$B$19)+SUMIFS(#REF!,#REF!,"&gt;="&amp;AZ7,#REF!,"&lt;="&amp;EOMONTH(AZ7,0),#REF!,$B$19)+SUMIFS('1JI2UE'!$K$6:$K$2989,'1JI2UE'!$J$6:$J$2989,"&gt;="&amp;AZ7,'1JI2UE'!$J$6:$J$2989,"&lt;="&amp;EOMONTH(AZ7,0),'1JI2UE'!$L$6:$L$2989,$B$19)+SUMIFS(#REF!,#REF!,"&gt;="&amp;AZ7,#REF!,"&lt;="&amp;EOMONTH(AZ7,0),#REF!,$B$19)+SUMIFS('1SI9BW'!$K$6:$K$2989,'1SI9BW'!$J$6:$J$2989,"&gt;="&amp;AZ7,'1SI9BW'!$J$6:$J$2989,"&lt;="&amp;EOMONTH(AZ7,0),'1SI9BW'!$L$6:$L$2989,$B$19)+SUMIFS(Suzuki!$K$6:$K$2989,Suzuki!$J$6:$J$2989,"&gt;="&amp;AZ7,Suzuki!$J$6:$J$2989,"&lt;="&amp;EOMONTH(AZ7,0),Suzuki!$L$6:$L$2989,$B$19)+SUMIFS('1SK3DD'!$K$6:$K$2989,'1SK3DD'!$J$6:$J$2989,"&gt;="&amp;AZ7,'1SK3DD'!$J$6:$J$2989,"&lt;="&amp;EOMONTH(AZ7,0),'1SK3DD'!$L$6:$L$2989,$B$19)+SUMIFS('1SX5TQ'!$K$6:$K$2989,'1SX5TQ'!$J$6:$J$2989,"&gt;="&amp;AZ7,'1SX5TQ'!$J$6:$J$2989,"&lt;="&amp;EOMONTH(AZ7,0),'1SX5TQ'!$L$6:$L$2989,$B$19)+SUMIFS('BMM465'!$K$6:$K$2989,'BMM465'!$J$6:$J$2989,"&gt;="&amp;AZ7,'BMM465'!$J$6:$J$2989,"&lt;="&amp;EOMONTH(AZ7,0),'BMM465'!$L$6:$L$2989,$B$19)+SUMIFS('1CF1ZO'!$K$6:$K$2989,'1CF1ZO'!$J$6:$J$2989,"&gt;="&amp;AZ7,'1CF1ZO'!$J$6:$J$2989,"&lt;="&amp;EOMONTH(AZ7,0),'1CF1ZO'!$L$6:$L$2989,$B$19)+SUMIFS('1UK1BK'!$K$6:$K$2989,'1UK1BK'!$J$6:$J$2989,"&gt;="&amp;AZ7,'1UK1BK'!$J$6:$J$2989,"&lt;="&amp;EOMONTH(AZ7,0),'1UK1BK'!$L$6:$L$2989,$B$19)</f>
        <v>#REF!</v>
      </c>
      <c r="BA19" s="110" t="e">
        <f>SUMIFS('Other Expense'!$G$8:$G$2966,'Other Expense'!$F$8:$F$2966,"&gt;="&amp;BA7,'Other Expense'!$F$8:$F$2966,"&lt;="&amp;EOMONTH(BA7,0),'Other Expense'!$H$8:$H$2966,$B$19)+SUMIFS('CEI565'!$K$6:$K$2990,'CEI565'!$J$6:$J$2990,"&gt;="&amp;BA7,'CEI565'!$J$6:$J$2990,"&lt;="&amp;EOMONTH(BA7,0),'CEI565'!$L$6:$L$2990,$B$19)+SUMIFS('1SM3VL'!$K$6:$K$2990,'1SM3VL'!$J$6:$J$2990,"&gt;="&amp;BA7,'1SM3VL'!$J$6:$J$2990,"&lt;="&amp;EOMONTH(BA7,0),'1SM3VL'!$L$6:$L$2990,$B$19)+SUMIFS('1QF4SM'!$K$6:$K$2989,'1QF4SM'!$J$6:$J$2989,"&gt;="&amp;BA7,'1QF4SM'!$J$6:$J$2989,"&lt;="&amp;EOMONTH(BA7,0),'1QF4SM'!$L$6:$L$2989,$B$19)+SUMIFS('1UV5KI'!$K$6:$K$2989,'1UV5KI'!$J$6:$J$2989,"&gt;="&amp;BA7,'1UV5KI'!$J$6:$J$2989,"&lt;="&amp;EOMONTH(BA7,0),'1UV5KI'!$L$6:$L$2989,$B$19)+SUMIFS(#REF!,#REF!,"&gt;="&amp;BA7,#REF!,"&lt;="&amp;EOMONTH(BA7,0),#REF!,$B$19)+SUMIFS('1UL9RY'!$K$6:$K$2990,'1UL9RY'!$J$6:$J$2990,"&gt;="&amp;BA7,'1UL9RY'!$J$6:$J$2990,"&lt;="&amp;EOMONTH(BA7,0),'1UL9RY'!$L$6:$L$2990,$B$19)+SUMIFS('1OZ7GT'!$K$6:$K$2989,'1OZ7GT'!$J$6:$J$2989,"&gt;="&amp;BA7,'1OZ7GT'!$J$6:$J$2989,"&lt;="&amp;EOMONTH(BA7,0),'1OZ7GT'!$L$6:$L$2989,$B$19)+SUMIFS('1CN8DD'!$K$6:$K$2989,'1CN8DD'!$J$6:$J$2989,"&gt;="&amp;BA7,'1CN8DD'!$J$6:$J$2989,"&lt;="&amp;EOMONTH(BA7,0),'1CN8DD'!$L$6:$L$2989,$B$19)+SUMIFS('1UT9BR'!$K$6:$K$2990,'1UT9BR'!$J$6:$J$2990,"&gt;="&amp;BA7,'1UT9BR'!$J$6:$J$2990,"&lt;="&amp;EOMONTH(BA7,0),'1UT9BR'!$L$6:$L$2990,$B$19)+SUMIFS('1MK4UR'!$K$6:$K$2990,'1MK4UR'!$J$6:$J$2990,"&gt;="&amp;BA7,'1MK4UR'!$J$6:$J$2990,"&lt;="&amp;EOMONTH(BA7,0),'1MK4UR'!$L$6:$L$2990,$B$19)+SUMIFS(#REF!,#REF!,"&gt;="&amp;BA7,#REF!,"&lt;="&amp;EOMONTH(BA7,0),#REF!,$B$19)+SUMIFS('1JI2UE'!$K$6:$K$2989,'1JI2UE'!$J$6:$J$2989,"&gt;="&amp;BA7,'1JI2UE'!$J$6:$J$2989,"&lt;="&amp;EOMONTH(BA7,0),'1JI2UE'!$L$6:$L$2989,$B$19)+SUMIFS(#REF!,#REF!,"&gt;="&amp;BA7,#REF!,"&lt;="&amp;EOMONTH(BA7,0),#REF!,$B$19)+SUMIFS('1SI9BW'!$K$6:$K$2989,'1SI9BW'!$J$6:$J$2989,"&gt;="&amp;BA7,'1SI9BW'!$J$6:$J$2989,"&lt;="&amp;EOMONTH(BA7,0),'1SI9BW'!$L$6:$L$2989,$B$19)+SUMIFS(Suzuki!$K$6:$K$2989,Suzuki!$J$6:$J$2989,"&gt;="&amp;BA7,Suzuki!$J$6:$J$2989,"&lt;="&amp;EOMONTH(BA7,0),Suzuki!$L$6:$L$2989,$B$19)+SUMIFS('1SK3DD'!$K$6:$K$2989,'1SK3DD'!$J$6:$J$2989,"&gt;="&amp;BA7,'1SK3DD'!$J$6:$J$2989,"&lt;="&amp;EOMONTH(BA7,0),'1SK3DD'!$L$6:$L$2989,$B$19)+SUMIFS('1SX5TQ'!$K$6:$K$2989,'1SX5TQ'!$J$6:$J$2989,"&gt;="&amp;BA7,'1SX5TQ'!$J$6:$J$2989,"&lt;="&amp;EOMONTH(BA7,0),'1SX5TQ'!$L$6:$L$2989,$B$19)+SUMIFS('BMM465'!$K$6:$K$2989,'BMM465'!$J$6:$J$2989,"&gt;="&amp;BA7,'BMM465'!$J$6:$J$2989,"&lt;="&amp;EOMONTH(BA7,0),'BMM465'!$L$6:$L$2989,$B$19)+SUMIFS('1CF1ZO'!$K$6:$K$2989,'1CF1ZO'!$J$6:$J$2989,"&gt;="&amp;BA7,'1CF1ZO'!$J$6:$J$2989,"&lt;="&amp;EOMONTH(BA7,0),'1CF1ZO'!$L$6:$L$2989,$B$19)+SUMIFS('1UK1BK'!$K$6:$K$2989,'1UK1BK'!$J$6:$J$2989,"&gt;="&amp;BA7,'1UK1BK'!$J$6:$J$2989,"&lt;="&amp;EOMONTH(BA7,0),'1UK1BK'!$L$6:$L$2989,$B$19)</f>
        <v>#REF!</v>
      </c>
    </row>
    <row r="20" spans="1:53" x14ac:dyDescent="0.25">
      <c r="B20" s="5" t="s">
        <v>53</v>
      </c>
      <c r="C20" s="69" t="str">
        <f t="shared" si="13"/>
        <v/>
      </c>
      <c r="D20" s="109" t="e">
        <f t="shared" si="2"/>
        <v>#REF!</v>
      </c>
      <c r="E20" s="69" t="str">
        <f t="shared" si="14"/>
        <v/>
      </c>
      <c r="F20" s="109" t="e">
        <f t="shared" si="3"/>
        <v>#REF!</v>
      </c>
      <c r="G20" s="69" t="str">
        <f t="shared" si="15"/>
        <v/>
      </c>
      <c r="H20" s="109" t="e">
        <f t="shared" si="4"/>
        <v>#REF!</v>
      </c>
      <c r="I20" s="110" t="e">
        <f>SUMIFS('CEI565'!$K$6:$K$2990,'CEI565'!$J$6:$J$2990,"&gt;="&amp;I7,'CEI565'!$J$6:$J$2990,"&lt;="&amp;EOMONTH(I7,0),'CEI565'!$L$6:$L$2990,$B$20)+SUMIFS('1SM3VL'!$K$6:$K$2990,'1SM3VL'!$J$6:$J$2990,"&gt;="&amp;I7,'1SM3VL'!$J$6:$J$2990,"&lt;="&amp;EOMONTH(I7,0),'1SM3VL'!$L$6:$L$2990,$B$20)+SUMIFS('1QF4SM'!$K$6:$K$2989,'1QF4SM'!$J$6:$J$2989,"&gt;="&amp;I7,'1QF4SM'!$J$6:$J$2989,"&lt;="&amp;EOMONTH(I7,0),'1QF4SM'!$L$6:$L$2989,$B$20)+SUMIFS('1UV5KI'!$K$6:$K$2989,'1UV5KI'!$J$6:$J$2989,"&gt;="&amp;I7,'1UV5KI'!$J$6:$J$2989,"&lt;="&amp;EOMONTH(I7,0),'1UV5KI'!$L$6:$L$2989,$B$20)+SUMIFS(#REF!,#REF!,"&gt;="&amp;I7,#REF!,"&lt;="&amp;EOMONTH(I7,0),#REF!,$B$20)+SUMIFS('1UL9RY'!$K$6:$K$2990,'1UL9RY'!$J$6:$J$2990,"&gt;="&amp;I7,'1UL9RY'!$J$6:$J$2990,"&lt;="&amp;EOMONTH(I7,0),'1UL9RY'!$L$6:$L$2990,$B$20)+SUMIFS('1OZ7GT'!$K$6:$K$2989,'1OZ7GT'!$J$6:$J$2989,"&gt;="&amp;I7,'1OZ7GT'!$J$6:$J$2989,"&lt;="&amp;EOMONTH(I7,0),'1OZ7GT'!$L$6:$L$2989,$B$20)+SUMIFS('1CN8DD'!$K$6:$K$2989,'1CN8DD'!$J$6:$J$2989,"&gt;="&amp;I7,'1CN8DD'!$J$6:$J$2989,"&lt;="&amp;EOMONTH(I7,0),'1CN8DD'!$L$6:$L$2989,$B$20)+SUMIFS('1UT9BR'!$K$6:$K$2990,'1UT9BR'!$J$6:$J$2990,"&gt;="&amp;I7,'1UT9BR'!$J$6:$J$2990,"&lt;="&amp;EOMONTH(I7,0),'1UT9BR'!$L$6:$L$2990,$B$20)+SUMIFS('1MK4UR'!$K$6:$K$2990,'1MK4UR'!$J$6:$J$2990,"&gt;="&amp;I7,'1MK4UR'!$J$6:$J$2990,"&lt;="&amp;EOMONTH(I7,0),'1MK4UR'!$L$6:$L$2990,$B$20)+SUMIFS(#REF!,#REF!,"&gt;="&amp;I7,#REF!,"&lt;="&amp;EOMONTH(I7,0),#REF!,$B$20)+SUMIFS('1JI2UE'!$K$6:$K$2989,'1JI2UE'!$J$6:$J$2989,"&gt;="&amp;I7,'1JI2UE'!$J$6:$J$2989,"&lt;="&amp;EOMONTH(I7,0),'1JI2UE'!$L$6:$L$2989,$B$20)+SUMIFS(#REF!,#REF!,"&gt;="&amp;I7,#REF!,"&lt;="&amp;EOMONTH(I7,0),#REF!,$B$20)+SUMIFS('1SI9BW'!$K$6:$K$2989,'1SI9BW'!$J$6:$J$2989,"&gt;="&amp;I7,'1SI9BW'!$J$6:$J$2989,"&lt;="&amp;EOMONTH(I7,0),'1SI9BW'!$L$6:$L$2989,$B$20)+SUMIFS(Suzuki!$K$6:$K$2989,Suzuki!$J$6:$J$2989,"&gt;="&amp;I7,Suzuki!$J$6:$J$2989,"&lt;="&amp;EOMONTH(I7,0),Suzuki!$L$6:$L$2989,$B$20)+SUMIFS('1SK3DD'!$K$6:$K$2989,'1SK3DD'!$J$6:$J$2989,"&gt;="&amp;I7,'1SK3DD'!$J$6:$J$2989,"&lt;="&amp;EOMONTH(I7,0),'1SK3DD'!$L$6:$L$2989,$B$20)+SUMIFS('1SX5TQ'!$K$6:$K$2989,'1SX5TQ'!$J$6:$J$2989,"&gt;="&amp;I7,'1SX5TQ'!$J$6:$J$2989,"&lt;="&amp;EOMONTH(I7,0),'1SX5TQ'!$L$6:$L$2989,$B$20)+SUMIFS('BMM465'!$K$6:$K$2989,'BMM465'!$J$6:$J$2989,"&gt;="&amp;I7,'BMM465'!$J$6:$J$2989,"&lt;="&amp;EOMONTH(I7,0),'BMM465'!$L$6:$L$2989,$B$20)+SUMIFS('1CF1ZO'!$K$6:$K$2989,'1CF1ZO'!$J$6:$J$2989,"&gt;="&amp;I7,'1CF1ZO'!$J$6:$J$2989,"&lt;="&amp;EOMONTH(I7,0),'1CF1ZO'!$L$6:$L$2989,$B$20)+SUMIFS('1UK1BK'!$K$6:$K$2989,'1UK1BK'!$J$6:$J$2989,"&gt;="&amp;I7,'1UK1BK'!$J$6:$J$2989,"&lt;="&amp;EOMONTH(I7,0),'1UK1BK'!$L$6:$L$2989,$B$20)</f>
        <v>#REF!</v>
      </c>
      <c r="J20" s="110" t="e">
        <f>SUMIFS('CEI565'!$K$6:$K$2990,'CEI565'!$J$6:$J$2990,"&gt;="&amp;J7,'CEI565'!$J$6:$J$2990,"&lt;="&amp;EOMONTH(J7,0),'CEI565'!$L$6:$L$2990,$B$20)+SUMIFS('1SM3VL'!$K$6:$K$2990,'1SM3VL'!$J$6:$J$2990,"&gt;="&amp;J7,'1SM3VL'!$J$6:$J$2990,"&lt;="&amp;EOMONTH(J7,0),'1SM3VL'!$L$6:$L$2990,$B$20)+SUMIFS('1QF4SM'!$K$6:$K$2989,'1QF4SM'!$J$6:$J$2989,"&gt;="&amp;J7,'1QF4SM'!$J$6:$J$2989,"&lt;="&amp;EOMONTH(J7,0),'1QF4SM'!$L$6:$L$2989,$B$20)+SUMIFS('1UV5KI'!$K$6:$K$2989,'1UV5KI'!$J$6:$J$2989,"&gt;="&amp;J7,'1UV5KI'!$J$6:$J$2989,"&lt;="&amp;EOMONTH(J7,0),'1UV5KI'!$L$6:$L$2989,$B$20)+SUMIFS(#REF!,#REF!,"&gt;="&amp;J7,#REF!,"&lt;="&amp;EOMONTH(J7,0),#REF!,$B$20)+SUMIFS('1UL9RY'!$K$6:$K$2990,'1UL9RY'!$J$6:$J$2990,"&gt;="&amp;J7,'1UL9RY'!$J$6:$J$2990,"&lt;="&amp;EOMONTH(J7,0),'1UL9RY'!$L$6:$L$2990,$B$20)+SUMIFS('1OZ7GT'!$K$6:$K$2989,'1OZ7GT'!$J$6:$J$2989,"&gt;="&amp;J7,'1OZ7GT'!$J$6:$J$2989,"&lt;="&amp;EOMONTH(J7,0),'1OZ7GT'!$L$6:$L$2989,$B$20)+SUMIFS('1CN8DD'!$K$6:$K$2989,'1CN8DD'!$J$6:$J$2989,"&gt;="&amp;J7,'1CN8DD'!$J$6:$J$2989,"&lt;="&amp;EOMONTH(J7,0),'1CN8DD'!$L$6:$L$2989,$B$20)+SUMIFS('1UT9BR'!$K$6:$K$2990,'1UT9BR'!$J$6:$J$2990,"&gt;="&amp;J7,'1UT9BR'!$J$6:$J$2990,"&lt;="&amp;EOMONTH(J7,0),'1UT9BR'!$L$6:$L$2990,$B$20)+SUMIFS('1MK4UR'!$K$6:$K$2990,'1MK4UR'!$J$6:$J$2990,"&gt;="&amp;J7,'1MK4UR'!$J$6:$J$2990,"&lt;="&amp;EOMONTH(J7,0),'1MK4UR'!$L$6:$L$2990,$B$20)+SUMIFS(#REF!,#REF!,"&gt;="&amp;J7,#REF!,"&lt;="&amp;EOMONTH(J7,0),#REF!,$B$20)+SUMIFS('1JI2UE'!$K$6:$K$2989,'1JI2UE'!$J$6:$J$2989,"&gt;="&amp;J7,'1JI2UE'!$J$6:$J$2989,"&lt;="&amp;EOMONTH(J7,0),'1JI2UE'!$L$6:$L$2989,$B$20)+SUMIFS(#REF!,#REF!,"&gt;="&amp;J7,#REF!,"&lt;="&amp;EOMONTH(J7,0),#REF!,$B$20)+SUMIFS('1SI9BW'!$K$6:$K$2989,'1SI9BW'!$J$6:$J$2989,"&gt;="&amp;J7,'1SI9BW'!$J$6:$J$2989,"&lt;="&amp;EOMONTH(J7,0),'1SI9BW'!$L$6:$L$2989,$B$20)+SUMIFS(Suzuki!$K$6:$K$2989,Suzuki!$J$6:$J$2989,"&gt;="&amp;J7,Suzuki!$J$6:$J$2989,"&lt;="&amp;EOMONTH(J7,0),Suzuki!$L$6:$L$2989,$B$20)+SUMIFS('1SK3DD'!$K$6:$K$2989,'1SK3DD'!$J$6:$J$2989,"&gt;="&amp;J7,'1SK3DD'!$J$6:$J$2989,"&lt;="&amp;EOMONTH(J7,0),'1SK3DD'!$L$6:$L$2989,$B$20)+SUMIFS('1SX5TQ'!$K$6:$K$2989,'1SX5TQ'!$J$6:$J$2989,"&gt;="&amp;J7,'1SX5TQ'!$J$6:$J$2989,"&lt;="&amp;EOMONTH(J7,0),'1SX5TQ'!$L$6:$L$2989,$B$20)+SUMIFS('BMM465'!$K$6:$K$2989,'BMM465'!$J$6:$J$2989,"&gt;="&amp;J7,'BMM465'!$J$6:$J$2989,"&lt;="&amp;EOMONTH(J7,0),'BMM465'!$L$6:$L$2989,$B$20)+SUMIFS('1CF1ZO'!$K$6:$K$2989,'1CF1ZO'!$J$6:$J$2989,"&gt;="&amp;J7,'1CF1ZO'!$J$6:$J$2989,"&lt;="&amp;EOMONTH(J7,0),'1CF1ZO'!$L$6:$L$2989,$B$20)+SUMIFS('1UK1BK'!$K$6:$K$2989,'1UK1BK'!$J$6:$J$2989,"&gt;="&amp;J7,'1UK1BK'!$J$6:$J$2989,"&lt;="&amp;EOMONTH(J7,0),'1UK1BK'!$L$6:$L$2989,$B$20)</f>
        <v>#REF!</v>
      </c>
      <c r="K20" s="110" t="e">
        <f>SUMIFS('CEI565'!$K$6:$K$2990,'CEI565'!$J$6:$J$2990,"&gt;="&amp;K7,'CEI565'!$J$6:$J$2990,"&lt;="&amp;EOMONTH(K7,0),'CEI565'!$L$6:$L$2990,$B$20)+SUMIFS('1SM3VL'!$K$6:$K$2990,'1SM3VL'!$J$6:$J$2990,"&gt;="&amp;K7,'1SM3VL'!$J$6:$J$2990,"&lt;="&amp;EOMONTH(K7,0),'1SM3VL'!$L$6:$L$2990,$B$20)+SUMIFS('1QF4SM'!$K$6:$K$2989,'1QF4SM'!$J$6:$J$2989,"&gt;="&amp;K7,'1QF4SM'!$J$6:$J$2989,"&lt;="&amp;EOMONTH(K7,0),'1QF4SM'!$L$6:$L$2989,$B$20)+SUMIFS('1UV5KI'!$K$6:$K$2989,'1UV5KI'!$J$6:$J$2989,"&gt;="&amp;K7,'1UV5KI'!$J$6:$J$2989,"&lt;="&amp;EOMONTH(K7,0),'1UV5KI'!$L$6:$L$2989,$B$20)+SUMIFS(#REF!,#REF!,"&gt;="&amp;K7,#REF!,"&lt;="&amp;EOMONTH(K7,0),#REF!,$B$20)+SUMIFS('1UL9RY'!$K$6:$K$2990,'1UL9RY'!$J$6:$J$2990,"&gt;="&amp;K7,'1UL9RY'!$J$6:$J$2990,"&lt;="&amp;EOMONTH(K7,0),'1UL9RY'!$L$6:$L$2990,$B$20)+SUMIFS('1OZ7GT'!$K$6:$K$2989,'1OZ7GT'!$J$6:$J$2989,"&gt;="&amp;K7,'1OZ7GT'!$J$6:$J$2989,"&lt;="&amp;EOMONTH(K7,0),'1OZ7GT'!$L$6:$L$2989,$B$20)+SUMIFS('1CN8DD'!$K$6:$K$2989,'1CN8DD'!$J$6:$J$2989,"&gt;="&amp;K7,'1CN8DD'!$J$6:$J$2989,"&lt;="&amp;EOMONTH(K7,0),'1CN8DD'!$L$6:$L$2989,$B$20)+SUMIFS('1UT9BR'!$K$6:$K$2990,'1UT9BR'!$J$6:$J$2990,"&gt;="&amp;K7,'1UT9BR'!$J$6:$J$2990,"&lt;="&amp;EOMONTH(K7,0),'1UT9BR'!$L$6:$L$2990,$B$20)+SUMIFS('1MK4UR'!$K$6:$K$2990,'1MK4UR'!$J$6:$J$2990,"&gt;="&amp;K7,'1MK4UR'!$J$6:$J$2990,"&lt;="&amp;EOMONTH(K7,0),'1MK4UR'!$L$6:$L$2990,$B$20)+SUMIFS(#REF!,#REF!,"&gt;="&amp;K7,#REF!,"&lt;="&amp;EOMONTH(K7,0),#REF!,$B$20)+SUMIFS('1JI2UE'!$K$6:$K$2989,'1JI2UE'!$J$6:$J$2989,"&gt;="&amp;K7,'1JI2UE'!$J$6:$J$2989,"&lt;="&amp;EOMONTH(K7,0),'1JI2UE'!$L$6:$L$2989,$B$20)+SUMIFS(#REF!,#REF!,"&gt;="&amp;K7,#REF!,"&lt;="&amp;EOMONTH(K7,0),#REF!,$B$20)+SUMIFS('1SI9BW'!$K$6:$K$2989,'1SI9BW'!$J$6:$J$2989,"&gt;="&amp;K7,'1SI9BW'!$J$6:$J$2989,"&lt;="&amp;EOMONTH(K7,0),'1SI9BW'!$L$6:$L$2989,$B$20)+SUMIFS(Suzuki!$K$6:$K$2989,Suzuki!$J$6:$J$2989,"&gt;="&amp;K7,Suzuki!$J$6:$J$2989,"&lt;="&amp;EOMONTH(K7,0),Suzuki!$L$6:$L$2989,$B$20)+SUMIFS('1SK3DD'!$K$6:$K$2989,'1SK3DD'!$J$6:$J$2989,"&gt;="&amp;K7,'1SK3DD'!$J$6:$J$2989,"&lt;="&amp;EOMONTH(K7,0),'1SK3DD'!$L$6:$L$2989,$B$20)+SUMIFS('1SX5TQ'!$K$6:$K$2989,'1SX5TQ'!$J$6:$J$2989,"&gt;="&amp;K7,'1SX5TQ'!$J$6:$J$2989,"&lt;="&amp;EOMONTH(K7,0),'1SX5TQ'!$L$6:$L$2989,$B$20)+SUMIFS('BMM465'!$K$6:$K$2989,'BMM465'!$J$6:$J$2989,"&gt;="&amp;K7,'BMM465'!$J$6:$J$2989,"&lt;="&amp;EOMONTH(K7,0),'BMM465'!$L$6:$L$2989,$B$20)+SUMIFS('1CF1ZO'!$K$6:$K$2989,'1CF1ZO'!$J$6:$J$2989,"&gt;="&amp;K7,'1CF1ZO'!$J$6:$J$2989,"&lt;="&amp;EOMONTH(K7,0),'1CF1ZO'!$L$6:$L$2989,$B$20)+SUMIFS('1UK1BK'!$K$6:$K$2989,'1UK1BK'!$J$6:$J$2989,"&gt;="&amp;K7,'1UK1BK'!$J$6:$J$2989,"&lt;="&amp;EOMONTH(K7,0),'1UK1BK'!$L$6:$L$2989,$B$20)</f>
        <v>#REF!</v>
      </c>
      <c r="L20" s="110" t="e">
        <f>SUMIFS('CEI565'!$K$6:$K$2990,'CEI565'!$J$6:$J$2990,"&gt;="&amp;L7,'CEI565'!$J$6:$J$2990,"&lt;="&amp;EOMONTH(L7,0),'CEI565'!$L$6:$L$2990,$B$20)+SUMIFS('1SM3VL'!$K$6:$K$2990,'1SM3VL'!$J$6:$J$2990,"&gt;="&amp;L7,'1SM3VL'!$J$6:$J$2990,"&lt;="&amp;EOMONTH(L7,0),'1SM3VL'!$L$6:$L$2990,$B$20)+SUMIFS('1QF4SM'!$K$6:$K$2989,'1QF4SM'!$J$6:$J$2989,"&gt;="&amp;L7,'1QF4SM'!$J$6:$J$2989,"&lt;="&amp;EOMONTH(L7,0),'1QF4SM'!$L$6:$L$2989,$B$20)+SUMIFS('1UV5KI'!$K$6:$K$2989,'1UV5KI'!$J$6:$J$2989,"&gt;="&amp;L7,'1UV5KI'!$J$6:$J$2989,"&lt;="&amp;EOMONTH(L7,0),'1UV5KI'!$L$6:$L$2989,$B$20)+SUMIFS(#REF!,#REF!,"&gt;="&amp;L7,#REF!,"&lt;="&amp;EOMONTH(L7,0),#REF!,$B$20)+SUMIFS('1UL9RY'!$K$6:$K$2990,'1UL9RY'!$J$6:$J$2990,"&gt;="&amp;L7,'1UL9RY'!$J$6:$J$2990,"&lt;="&amp;EOMONTH(L7,0),'1UL9RY'!$L$6:$L$2990,$B$20)+SUMIFS('1OZ7GT'!$K$6:$K$2989,'1OZ7GT'!$J$6:$J$2989,"&gt;="&amp;L7,'1OZ7GT'!$J$6:$J$2989,"&lt;="&amp;EOMONTH(L7,0),'1OZ7GT'!$L$6:$L$2989,$B$20)+SUMIFS('1CN8DD'!$K$6:$K$2989,'1CN8DD'!$J$6:$J$2989,"&gt;="&amp;L7,'1CN8DD'!$J$6:$J$2989,"&lt;="&amp;EOMONTH(L7,0),'1CN8DD'!$L$6:$L$2989,$B$20)+SUMIFS('1UT9BR'!$K$6:$K$2990,'1UT9BR'!$J$6:$J$2990,"&gt;="&amp;L7,'1UT9BR'!$J$6:$J$2990,"&lt;="&amp;EOMONTH(L7,0),'1UT9BR'!$L$6:$L$2990,$B$20)+SUMIFS('1MK4UR'!$K$6:$K$2990,'1MK4UR'!$J$6:$J$2990,"&gt;="&amp;L7,'1MK4UR'!$J$6:$J$2990,"&lt;="&amp;EOMONTH(L7,0),'1MK4UR'!$L$6:$L$2990,$B$20)+SUMIFS(#REF!,#REF!,"&gt;="&amp;L7,#REF!,"&lt;="&amp;EOMONTH(L7,0),#REF!,$B$20)+SUMIFS('1JI2UE'!$K$6:$K$2989,'1JI2UE'!$J$6:$J$2989,"&gt;="&amp;L7,'1JI2UE'!$J$6:$J$2989,"&lt;="&amp;EOMONTH(L7,0),'1JI2UE'!$L$6:$L$2989,$B$20)+SUMIFS(#REF!,#REF!,"&gt;="&amp;L7,#REF!,"&lt;="&amp;EOMONTH(L7,0),#REF!,$B$20)+SUMIFS('1SI9BW'!$K$6:$K$2989,'1SI9BW'!$J$6:$J$2989,"&gt;="&amp;L7,'1SI9BW'!$J$6:$J$2989,"&lt;="&amp;EOMONTH(L7,0),'1SI9BW'!$L$6:$L$2989,$B$20)+SUMIFS(Suzuki!$K$6:$K$2989,Suzuki!$J$6:$J$2989,"&gt;="&amp;L7,Suzuki!$J$6:$J$2989,"&lt;="&amp;EOMONTH(L7,0),Suzuki!$L$6:$L$2989,$B$20)+SUMIFS('1SK3DD'!$K$6:$K$2989,'1SK3DD'!$J$6:$J$2989,"&gt;="&amp;L7,'1SK3DD'!$J$6:$J$2989,"&lt;="&amp;EOMONTH(L7,0),'1SK3DD'!$L$6:$L$2989,$B$20)+SUMIFS('1SX5TQ'!$K$6:$K$2989,'1SX5TQ'!$J$6:$J$2989,"&gt;="&amp;L7,'1SX5TQ'!$J$6:$J$2989,"&lt;="&amp;EOMONTH(L7,0),'1SX5TQ'!$L$6:$L$2989,$B$20)+SUMIFS('BMM465'!$K$6:$K$2989,'BMM465'!$J$6:$J$2989,"&gt;="&amp;L7,'BMM465'!$J$6:$J$2989,"&lt;="&amp;EOMONTH(L7,0),'BMM465'!$L$6:$L$2989,$B$20)+SUMIFS('1CF1ZO'!$K$6:$K$2989,'1CF1ZO'!$J$6:$J$2989,"&gt;="&amp;L7,'1CF1ZO'!$J$6:$J$2989,"&lt;="&amp;EOMONTH(L7,0),'1CF1ZO'!$L$6:$L$2989,$B$20)+SUMIFS('1UK1BK'!$K$6:$K$2989,'1UK1BK'!$J$6:$J$2989,"&gt;="&amp;L7,'1UK1BK'!$J$6:$J$2989,"&lt;="&amp;EOMONTH(L7,0),'1UK1BK'!$L$6:$L$2989,$B$20)</f>
        <v>#REF!</v>
      </c>
      <c r="M20" s="110" t="e">
        <f>SUMIFS('CEI565'!$K$6:$K$2990,'CEI565'!$J$6:$J$2990,"&gt;="&amp;M7,'CEI565'!$J$6:$J$2990,"&lt;="&amp;EOMONTH(M7,0),'CEI565'!$L$6:$L$2990,$B$20)+SUMIFS('1SM3VL'!$K$6:$K$2990,'1SM3VL'!$J$6:$J$2990,"&gt;="&amp;M7,'1SM3VL'!$J$6:$J$2990,"&lt;="&amp;EOMONTH(M7,0),'1SM3VL'!$L$6:$L$2990,$B$20)+SUMIFS('1QF4SM'!$K$6:$K$2989,'1QF4SM'!$J$6:$J$2989,"&gt;="&amp;M7,'1QF4SM'!$J$6:$J$2989,"&lt;="&amp;EOMONTH(M7,0),'1QF4SM'!$L$6:$L$2989,$B$20)+SUMIFS('1UV5KI'!$K$6:$K$2989,'1UV5KI'!$J$6:$J$2989,"&gt;="&amp;M7,'1UV5KI'!$J$6:$J$2989,"&lt;="&amp;EOMONTH(M7,0),'1UV5KI'!$L$6:$L$2989,$B$20)+SUMIFS(#REF!,#REF!,"&gt;="&amp;M7,#REF!,"&lt;="&amp;EOMONTH(M7,0),#REF!,$B$20)+SUMIFS('1UL9RY'!$K$6:$K$2990,'1UL9RY'!$J$6:$J$2990,"&gt;="&amp;M7,'1UL9RY'!$J$6:$J$2990,"&lt;="&amp;EOMONTH(M7,0),'1UL9RY'!$L$6:$L$2990,$B$20)+SUMIFS('1OZ7GT'!$K$6:$K$2989,'1OZ7GT'!$J$6:$J$2989,"&gt;="&amp;M7,'1OZ7GT'!$J$6:$J$2989,"&lt;="&amp;EOMONTH(M7,0),'1OZ7GT'!$L$6:$L$2989,$B$20)+SUMIFS('1CN8DD'!$K$6:$K$2989,'1CN8DD'!$J$6:$J$2989,"&gt;="&amp;M7,'1CN8DD'!$J$6:$J$2989,"&lt;="&amp;EOMONTH(M7,0),'1CN8DD'!$L$6:$L$2989,$B$20)+SUMIFS('1UT9BR'!$K$6:$K$2990,'1UT9BR'!$J$6:$J$2990,"&gt;="&amp;M7,'1UT9BR'!$J$6:$J$2990,"&lt;="&amp;EOMONTH(M7,0),'1UT9BR'!$L$6:$L$2990,$B$20)+SUMIFS('1MK4UR'!$K$6:$K$2990,'1MK4UR'!$J$6:$J$2990,"&gt;="&amp;M7,'1MK4UR'!$J$6:$J$2990,"&lt;="&amp;EOMONTH(M7,0),'1MK4UR'!$L$6:$L$2990,$B$20)+SUMIFS(#REF!,#REF!,"&gt;="&amp;M7,#REF!,"&lt;="&amp;EOMONTH(M7,0),#REF!,$B$20)+SUMIFS('1JI2UE'!$K$6:$K$2989,'1JI2UE'!$J$6:$J$2989,"&gt;="&amp;M7,'1JI2UE'!$J$6:$J$2989,"&lt;="&amp;EOMONTH(M7,0),'1JI2UE'!$L$6:$L$2989,$B$20)+SUMIFS(#REF!,#REF!,"&gt;="&amp;M7,#REF!,"&lt;="&amp;EOMONTH(M7,0),#REF!,$B$20)+SUMIFS('1SI9BW'!$K$6:$K$2989,'1SI9BW'!$J$6:$J$2989,"&gt;="&amp;M7,'1SI9BW'!$J$6:$J$2989,"&lt;="&amp;EOMONTH(M7,0),'1SI9BW'!$L$6:$L$2989,$B$20)+SUMIFS(Suzuki!$K$6:$K$2989,Suzuki!$J$6:$J$2989,"&gt;="&amp;M7,Suzuki!$J$6:$J$2989,"&lt;="&amp;EOMONTH(M7,0),Suzuki!$L$6:$L$2989,$B$20)+SUMIFS('1SK3DD'!$K$6:$K$2989,'1SK3DD'!$J$6:$J$2989,"&gt;="&amp;M7,'1SK3DD'!$J$6:$J$2989,"&lt;="&amp;EOMONTH(M7,0),'1SK3DD'!$L$6:$L$2989,$B$20)+SUMIFS('1SX5TQ'!$K$6:$K$2989,'1SX5TQ'!$J$6:$J$2989,"&gt;="&amp;M7,'1SX5TQ'!$J$6:$J$2989,"&lt;="&amp;EOMONTH(M7,0),'1SX5TQ'!$L$6:$L$2989,$B$20)+SUMIFS('BMM465'!$K$6:$K$2989,'BMM465'!$J$6:$J$2989,"&gt;="&amp;M7,'BMM465'!$J$6:$J$2989,"&lt;="&amp;EOMONTH(M7,0),'BMM465'!$L$6:$L$2989,$B$20)+SUMIFS('1CF1ZO'!$K$6:$K$2989,'1CF1ZO'!$J$6:$J$2989,"&gt;="&amp;M7,'1CF1ZO'!$J$6:$J$2989,"&lt;="&amp;EOMONTH(M7,0),'1CF1ZO'!$L$6:$L$2989,$B$20)+SUMIFS('1UK1BK'!$K$6:$K$2989,'1UK1BK'!$J$6:$J$2989,"&gt;="&amp;M7,'1UK1BK'!$J$6:$J$2989,"&lt;="&amp;EOMONTH(M7,0),'1UK1BK'!$L$6:$L$2989,$B$20)</f>
        <v>#REF!</v>
      </c>
      <c r="N20" s="110" t="e">
        <f>SUMIFS('CEI565'!$K$6:$K$2990,'CEI565'!$J$6:$J$2990,"&gt;="&amp;N7,'CEI565'!$J$6:$J$2990,"&lt;="&amp;EOMONTH(N7,0),'CEI565'!$L$6:$L$2990,$B$20)+SUMIFS('1SM3VL'!$K$6:$K$2990,'1SM3VL'!$J$6:$J$2990,"&gt;="&amp;N7,'1SM3VL'!$J$6:$J$2990,"&lt;="&amp;EOMONTH(N7,0),'1SM3VL'!$L$6:$L$2990,$B$20)+SUMIFS('1QF4SM'!$K$6:$K$2989,'1QF4SM'!$J$6:$J$2989,"&gt;="&amp;N7,'1QF4SM'!$J$6:$J$2989,"&lt;="&amp;EOMONTH(N7,0),'1QF4SM'!$L$6:$L$2989,$B$20)+SUMIFS('1UV5KI'!$K$6:$K$2989,'1UV5KI'!$J$6:$J$2989,"&gt;="&amp;N7,'1UV5KI'!$J$6:$J$2989,"&lt;="&amp;EOMONTH(N7,0),'1UV5KI'!$L$6:$L$2989,$B$20)+SUMIFS(#REF!,#REF!,"&gt;="&amp;N7,#REF!,"&lt;="&amp;EOMONTH(N7,0),#REF!,$B$20)+SUMIFS('1UL9RY'!$K$6:$K$2990,'1UL9RY'!$J$6:$J$2990,"&gt;="&amp;N7,'1UL9RY'!$J$6:$J$2990,"&lt;="&amp;EOMONTH(N7,0),'1UL9RY'!$L$6:$L$2990,$B$20)+SUMIFS('1OZ7GT'!$K$6:$K$2989,'1OZ7GT'!$J$6:$J$2989,"&gt;="&amp;N7,'1OZ7GT'!$J$6:$J$2989,"&lt;="&amp;EOMONTH(N7,0),'1OZ7GT'!$L$6:$L$2989,$B$20)+SUMIFS('1CN8DD'!$K$6:$K$2989,'1CN8DD'!$J$6:$J$2989,"&gt;="&amp;N7,'1CN8DD'!$J$6:$J$2989,"&lt;="&amp;EOMONTH(N7,0),'1CN8DD'!$L$6:$L$2989,$B$20)+SUMIFS('1UT9BR'!$K$6:$K$2990,'1UT9BR'!$J$6:$J$2990,"&gt;="&amp;N7,'1UT9BR'!$J$6:$J$2990,"&lt;="&amp;EOMONTH(N7,0),'1UT9BR'!$L$6:$L$2990,$B$20)+SUMIFS('1MK4UR'!$K$6:$K$2990,'1MK4UR'!$J$6:$J$2990,"&gt;="&amp;N7,'1MK4UR'!$J$6:$J$2990,"&lt;="&amp;EOMONTH(N7,0),'1MK4UR'!$L$6:$L$2990,$B$20)+SUMIFS(#REF!,#REF!,"&gt;="&amp;N7,#REF!,"&lt;="&amp;EOMONTH(N7,0),#REF!,$B$20)+SUMIFS('1JI2UE'!$K$6:$K$2989,'1JI2UE'!$J$6:$J$2989,"&gt;="&amp;N7,'1JI2UE'!$J$6:$J$2989,"&lt;="&amp;EOMONTH(N7,0),'1JI2UE'!$L$6:$L$2989,$B$20)+SUMIFS(#REF!,#REF!,"&gt;="&amp;N7,#REF!,"&lt;="&amp;EOMONTH(N7,0),#REF!,$B$20)+SUMIFS('1SI9BW'!$K$6:$K$2989,'1SI9BW'!$J$6:$J$2989,"&gt;="&amp;N7,'1SI9BW'!$J$6:$J$2989,"&lt;="&amp;EOMONTH(N7,0),'1SI9BW'!$L$6:$L$2989,$B$20)+SUMIFS(Suzuki!$K$6:$K$2989,Suzuki!$J$6:$J$2989,"&gt;="&amp;N7,Suzuki!$J$6:$J$2989,"&lt;="&amp;EOMONTH(N7,0),Suzuki!$L$6:$L$2989,$B$20)+SUMIFS('1SK3DD'!$K$6:$K$2989,'1SK3DD'!$J$6:$J$2989,"&gt;="&amp;N7,'1SK3DD'!$J$6:$J$2989,"&lt;="&amp;EOMONTH(N7,0),'1SK3DD'!$L$6:$L$2989,$B$20)+SUMIFS('1SX5TQ'!$K$6:$K$2989,'1SX5TQ'!$J$6:$J$2989,"&gt;="&amp;N7,'1SX5TQ'!$J$6:$J$2989,"&lt;="&amp;EOMONTH(N7,0),'1SX5TQ'!$L$6:$L$2989,$B$20)+SUMIFS('BMM465'!$K$6:$K$2989,'BMM465'!$J$6:$J$2989,"&gt;="&amp;N7,'BMM465'!$J$6:$J$2989,"&lt;="&amp;EOMONTH(N7,0),'BMM465'!$L$6:$L$2989,$B$20)+SUMIFS('1CF1ZO'!$K$6:$K$2989,'1CF1ZO'!$J$6:$J$2989,"&gt;="&amp;N7,'1CF1ZO'!$J$6:$J$2989,"&lt;="&amp;EOMONTH(N7,0),'1CF1ZO'!$L$6:$L$2989,$B$20)+SUMIFS('1UK1BK'!$K$6:$K$2989,'1UK1BK'!$J$6:$J$2989,"&gt;="&amp;N7,'1UK1BK'!$J$6:$J$2989,"&lt;="&amp;EOMONTH(N7,0),'1UK1BK'!$L$6:$L$2989,$B$20)</f>
        <v>#REF!</v>
      </c>
      <c r="O20" s="110" t="e">
        <f>SUMIFS('CEI565'!$K$6:$K$2990,'CEI565'!$J$6:$J$2990,"&gt;="&amp;O7,'CEI565'!$J$6:$J$2990,"&lt;="&amp;EOMONTH(O7,0),'CEI565'!$L$6:$L$2990,$B$20)+SUMIFS('1SM3VL'!$K$6:$K$2990,'1SM3VL'!$J$6:$J$2990,"&gt;="&amp;O7,'1SM3VL'!$J$6:$J$2990,"&lt;="&amp;EOMONTH(O7,0),'1SM3VL'!$L$6:$L$2990,$B$20)+SUMIFS('1QF4SM'!$K$6:$K$2989,'1QF4SM'!$J$6:$J$2989,"&gt;="&amp;O7,'1QF4SM'!$J$6:$J$2989,"&lt;="&amp;EOMONTH(O7,0),'1QF4SM'!$L$6:$L$2989,$B$20)+SUMIFS('1UV5KI'!$K$6:$K$2989,'1UV5KI'!$J$6:$J$2989,"&gt;="&amp;O7,'1UV5KI'!$J$6:$J$2989,"&lt;="&amp;EOMONTH(O7,0),'1UV5KI'!$L$6:$L$2989,$B$20)+SUMIFS(#REF!,#REF!,"&gt;="&amp;O7,#REF!,"&lt;="&amp;EOMONTH(O7,0),#REF!,$B$20)+SUMIFS('1UL9RY'!$K$6:$K$2990,'1UL9RY'!$J$6:$J$2990,"&gt;="&amp;O7,'1UL9RY'!$J$6:$J$2990,"&lt;="&amp;EOMONTH(O7,0),'1UL9RY'!$L$6:$L$2990,$B$20)+SUMIFS('1OZ7GT'!$K$6:$K$2989,'1OZ7GT'!$J$6:$J$2989,"&gt;="&amp;O7,'1OZ7GT'!$J$6:$J$2989,"&lt;="&amp;EOMONTH(O7,0),'1OZ7GT'!$L$6:$L$2989,$B$20)+SUMIFS('1CN8DD'!$K$6:$K$2989,'1CN8DD'!$J$6:$J$2989,"&gt;="&amp;O7,'1CN8DD'!$J$6:$J$2989,"&lt;="&amp;EOMONTH(O7,0),'1CN8DD'!$L$6:$L$2989,$B$20)+SUMIFS('1UT9BR'!$K$6:$K$2990,'1UT9BR'!$J$6:$J$2990,"&gt;="&amp;O7,'1UT9BR'!$J$6:$J$2990,"&lt;="&amp;EOMONTH(O7,0),'1UT9BR'!$L$6:$L$2990,$B$20)+SUMIFS('1MK4UR'!$K$6:$K$2990,'1MK4UR'!$J$6:$J$2990,"&gt;="&amp;O7,'1MK4UR'!$J$6:$J$2990,"&lt;="&amp;EOMONTH(O7,0),'1MK4UR'!$L$6:$L$2990,$B$20)+SUMIFS(#REF!,#REF!,"&gt;="&amp;O7,#REF!,"&lt;="&amp;EOMONTH(O7,0),#REF!,$B$20)+SUMIFS('1JI2UE'!$K$6:$K$2989,'1JI2UE'!$J$6:$J$2989,"&gt;="&amp;O7,'1JI2UE'!$J$6:$J$2989,"&lt;="&amp;EOMONTH(O7,0),'1JI2UE'!$L$6:$L$2989,$B$20)+SUMIFS(#REF!,#REF!,"&gt;="&amp;O7,#REF!,"&lt;="&amp;EOMONTH(O7,0),#REF!,$B$20)+SUMIFS('1SI9BW'!$K$6:$K$2989,'1SI9BW'!$J$6:$J$2989,"&gt;="&amp;O7,'1SI9BW'!$J$6:$J$2989,"&lt;="&amp;EOMONTH(O7,0),'1SI9BW'!$L$6:$L$2989,$B$20)+SUMIFS(Suzuki!$K$6:$K$2989,Suzuki!$J$6:$J$2989,"&gt;="&amp;O7,Suzuki!$J$6:$J$2989,"&lt;="&amp;EOMONTH(O7,0),Suzuki!$L$6:$L$2989,$B$20)+SUMIFS('1SK3DD'!$K$6:$K$2989,'1SK3DD'!$J$6:$J$2989,"&gt;="&amp;O7,'1SK3DD'!$J$6:$J$2989,"&lt;="&amp;EOMONTH(O7,0),'1SK3DD'!$L$6:$L$2989,$B$20)+SUMIFS('1SX5TQ'!$K$6:$K$2989,'1SX5TQ'!$J$6:$J$2989,"&gt;="&amp;O7,'1SX5TQ'!$J$6:$J$2989,"&lt;="&amp;EOMONTH(O7,0),'1SX5TQ'!$L$6:$L$2989,$B$20)+SUMIFS('BMM465'!$K$6:$K$2989,'BMM465'!$J$6:$J$2989,"&gt;="&amp;O7,'BMM465'!$J$6:$J$2989,"&lt;="&amp;EOMONTH(O7,0),'BMM465'!$L$6:$L$2989,$B$20)+SUMIFS('1CF1ZO'!$K$6:$K$2989,'1CF1ZO'!$J$6:$J$2989,"&gt;="&amp;O7,'1CF1ZO'!$J$6:$J$2989,"&lt;="&amp;EOMONTH(O7,0),'1CF1ZO'!$L$6:$L$2989,$B$20)+SUMIFS('1UK1BK'!$K$6:$K$2989,'1UK1BK'!$J$6:$J$2989,"&gt;="&amp;O7,'1UK1BK'!$J$6:$J$2989,"&lt;="&amp;EOMONTH(O7,0),'1UK1BK'!$L$6:$L$2989,$B$20)</f>
        <v>#REF!</v>
      </c>
      <c r="P20" s="110" t="e">
        <f>SUMIFS('CEI565'!$K$6:$K$2990,'CEI565'!$J$6:$J$2990,"&gt;="&amp;P7,'CEI565'!$J$6:$J$2990,"&lt;="&amp;EOMONTH(P7,0),'CEI565'!$L$6:$L$2990,$B$20)+SUMIFS('1SM3VL'!$K$6:$K$2990,'1SM3VL'!$J$6:$J$2990,"&gt;="&amp;P7,'1SM3VL'!$J$6:$J$2990,"&lt;="&amp;EOMONTH(P7,0),'1SM3VL'!$L$6:$L$2990,$B$20)+SUMIFS('1QF4SM'!$K$6:$K$2989,'1QF4SM'!$J$6:$J$2989,"&gt;="&amp;P7,'1QF4SM'!$J$6:$J$2989,"&lt;="&amp;EOMONTH(P7,0),'1QF4SM'!$L$6:$L$2989,$B$20)+SUMIFS('1UV5KI'!$K$6:$K$2989,'1UV5KI'!$J$6:$J$2989,"&gt;="&amp;P7,'1UV5KI'!$J$6:$J$2989,"&lt;="&amp;EOMONTH(P7,0),'1UV5KI'!$L$6:$L$2989,$B$20)+SUMIFS(#REF!,#REF!,"&gt;="&amp;P7,#REF!,"&lt;="&amp;EOMONTH(P7,0),#REF!,$B$20)+SUMIFS('1UL9RY'!$K$6:$K$2990,'1UL9RY'!$J$6:$J$2990,"&gt;="&amp;P7,'1UL9RY'!$J$6:$J$2990,"&lt;="&amp;EOMONTH(P7,0),'1UL9RY'!$L$6:$L$2990,$B$20)+SUMIFS('1OZ7GT'!$K$6:$K$2989,'1OZ7GT'!$J$6:$J$2989,"&gt;="&amp;P7,'1OZ7GT'!$J$6:$J$2989,"&lt;="&amp;EOMONTH(P7,0),'1OZ7GT'!$L$6:$L$2989,$B$20)+SUMIFS('1CN8DD'!$K$6:$K$2989,'1CN8DD'!$J$6:$J$2989,"&gt;="&amp;P7,'1CN8DD'!$J$6:$J$2989,"&lt;="&amp;EOMONTH(P7,0),'1CN8DD'!$L$6:$L$2989,$B$20)+SUMIFS('1UT9BR'!$K$6:$K$2990,'1UT9BR'!$J$6:$J$2990,"&gt;="&amp;P7,'1UT9BR'!$J$6:$J$2990,"&lt;="&amp;EOMONTH(P7,0),'1UT9BR'!$L$6:$L$2990,$B$20)+SUMIFS('1MK4UR'!$K$6:$K$2990,'1MK4UR'!$J$6:$J$2990,"&gt;="&amp;P7,'1MK4UR'!$J$6:$J$2990,"&lt;="&amp;EOMONTH(P7,0),'1MK4UR'!$L$6:$L$2990,$B$20)+SUMIFS(#REF!,#REF!,"&gt;="&amp;P7,#REF!,"&lt;="&amp;EOMONTH(P7,0),#REF!,$B$20)+SUMIFS('1JI2UE'!$K$6:$K$2989,'1JI2UE'!$J$6:$J$2989,"&gt;="&amp;P7,'1JI2UE'!$J$6:$J$2989,"&lt;="&amp;EOMONTH(P7,0),'1JI2UE'!$L$6:$L$2989,$B$20)+SUMIFS(#REF!,#REF!,"&gt;="&amp;P7,#REF!,"&lt;="&amp;EOMONTH(P7,0),#REF!,$B$20)+SUMIFS('1SI9BW'!$K$6:$K$2989,'1SI9BW'!$J$6:$J$2989,"&gt;="&amp;P7,'1SI9BW'!$J$6:$J$2989,"&lt;="&amp;EOMONTH(P7,0),'1SI9BW'!$L$6:$L$2989,$B$20)+SUMIFS(Suzuki!$K$6:$K$2989,Suzuki!$J$6:$J$2989,"&gt;="&amp;P7,Suzuki!$J$6:$J$2989,"&lt;="&amp;EOMONTH(P7,0),Suzuki!$L$6:$L$2989,$B$20)+SUMIFS('1SK3DD'!$K$6:$K$2989,'1SK3DD'!$J$6:$J$2989,"&gt;="&amp;P7,'1SK3DD'!$J$6:$J$2989,"&lt;="&amp;EOMONTH(P7,0),'1SK3DD'!$L$6:$L$2989,$B$20)+SUMIFS('1SX5TQ'!$K$6:$K$2989,'1SX5TQ'!$J$6:$J$2989,"&gt;="&amp;P7,'1SX5TQ'!$J$6:$J$2989,"&lt;="&amp;EOMONTH(P7,0),'1SX5TQ'!$L$6:$L$2989,$B$20)+SUMIFS('BMM465'!$K$6:$K$2989,'BMM465'!$J$6:$J$2989,"&gt;="&amp;P7,'BMM465'!$J$6:$J$2989,"&lt;="&amp;EOMONTH(P7,0),'BMM465'!$L$6:$L$2989,$B$20)+SUMIFS('1CF1ZO'!$K$6:$K$2989,'1CF1ZO'!$J$6:$J$2989,"&gt;="&amp;P7,'1CF1ZO'!$J$6:$J$2989,"&lt;="&amp;EOMONTH(P7,0),'1CF1ZO'!$L$6:$L$2989,$B$20)+SUMIFS('1UK1BK'!$K$6:$K$2989,'1UK1BK'!$J$6:$J$2989,"&gt;="&amp;P7,'1UK1BK'!$J$6:$J$2989,"&lt;="&amp;EOMONTH(P7,0),'1UK1BK'!$L$6:$L$2989,$B$20)</f>
        <v>#REF!</v>
      </c>
      <c r="Q20" s="110" t="e">
        <f>SUMIFS('CEI565'!$K$6:$K$2990,'CEI565'!$J$6:$J$2990,"&gt;="&amp;Q7,'CEI565'!$J$6:$J$2990,"&lt;="&amp;EOMONTH(Q7,0),'CEI565'!$L$6:$L$2990,$B$20)+SUMIFS('1SM3VL'!$K$6:$K$2990,'1SM3VL'!$J$6:$J$2990,"&gt;="&amp;Q7,'1SM3VL'!$J$6:$J$2990,"&lt;="&amp;EOMONTH(Q7,0),'1SM3VL'!$L$6:$L$2990,$B$20)+SUMIFS('1QF4SM'!$K$6:$K$2989,'1QF4SM'!$J$6:$J$2989,"&gt;="&amp;Q7,'1QF4SM'!$J$6:$J$2989,"&lt;="&amp;EOMONTH(Q7,0),'1QF4SM'!$L$6:$L$2989,$B$20)+SUMIFS('1UV5KI'!$K$6:$K$2989,'1UV5KI'!$J$6:$J$2989,"&gt;="&amp;Q7,'1UV5KI'!$J$6:$J$2989,"&lt;="&amp;EOMONTH(Q7,0),'1UV5KI'!$L$6:$L$2989,$B$20)+SUMIFS(#REF!,#REF!,"&gt;="&amp;Q7,#REF!,"&lt;="&amp;EOMONTH(Q7,0),#REF!,$B$20)+SUMIFS('1UL9RY'!$K$6:$K$2990,'1UL9RY'!$J$6:$J$2990,"&gt;="&amp;Q7,'1UL9RY'!$J$6:$J$2990,"&lt;="&amp;EOMONTH(Q7,0),'1UL9RY'!$L$6:$L$2990,$B$20)+SUMIFS('1OZ7GT'!$K$6:$K$2989,'1OZ7GT'!$J$6:$J$2989,"&gt;="&amp;Q7,'1OZ7GT'!$J$6:$J$2989,"&lt;="&amp;EOMONTH(Q7,0),'1OZ7GT'!$L$6:$L$2989,$B$20)+SUMIFS('1CN8DD'!$K$6:$K$2989,'1CN8DD'!$J$6:$J$2989,"&gt;="&amp;Q7,'1CN8DD'!$J$6:$J$2989,"&lt;="&amp;EOMONTH(Q7,0),'1CN8DD'!$L$6:$L$2989,$B$20)+SUMIFS('1UT9BR'!$K$6:$K$2990,'1UT9BR'!$J$6:$J$2990,"&gt;="&amp;Q7,'1UT9BR'!$J$6:$J$2990,"&lt;="&amp;EOMONTH(Q7,0),'1UT9BR'!$L$6:$L$2990,$B$20)+SUMIFS('1MK4UR'!$K$6:$K$2990,'1MK4UR'!$J$6:$J$2990,"&gt;="&amp;Q7,'1MK4UR'!$J$6:$J$2990,"&lt;="&amp;EOMONTH(Q7,0),'1MK4UR'!$L$6:$L$2990,$B$20)+SUMIFS(#REF!,#REF!,"&gt;="&amp;Q7,#REF!,"&lt;="&amp;EOMONTH(Q7,0),#REF!,$B$20)+SUMIFS('1JI2UE'!$K$6:$K$2989,'1JI2UE'!$J$6:$J$2989,"&gt;="&amp;Q7,'1JI2UE'!$J$6:$J$2989,"&lt;="&amp;EOMONTH(Q7,0),'1JI2UE'!$L$6:$L$2989,$B$20)+SUMIFS(#REF!,#REF!,"&gt;="&amp;Q7,#REF!,"&lt;="&amp;EOMONTH(Q7,0),#REF!,$B$20)+SUMIFS('1SI9BW'!$K$6:$K$2989,'1SI9BW'!$J$6:$J$2989,"&gt;="&amp;Q7,'1SI9BW'!$J$6:$J$2989,"&lt;="&amp;EOMONTH(Q7,0),'1SI9BW'!$L$6:$L$2989,$B$20)+SUMIFS(Suzuki!$K$6:$K$2989,Suzuki!$J$6:$J$2989,"&gt;="&amp;Q7,Suzuki!$J$6:$J$2989,"&lt;="&amp;EOMONTH(Q7,0),Suzuki!$L$6:$L$2989,$B$20)+SUMIFS('1SK3DD'!$K$6:$K$2989,'1SK3DD'!$J$6:$J$2989,"&gt;="&amp;Q7,'1SK3DD'!$J$6:$J$2989,"&lt;="&amp;EOMONTH(Q7,0),'1SK3DD'!$L$6:$L$2989,$B$20)+SUMIFS('1SX5TQ'!$K$6:$K$2989,'1SX5TQ'!$J$6:$J$2989,"&gt;="&amp;Q7,'1SX5TQ'!$J$6:$J$2989,"&lt;="&amp;EOMONTH(Q7,0),'1SX5TQ'!$L$6:$L$2989,$B$20)+SUMIFS('BMM465'!$K$6:$K$2989,'BMM465'!$J$6:$J$2989,"&gt;="&amp;Q7,'BMM465'!$J$6:$J$2989,"&lt;="&amp;EOMONTH(Q7,0),'BMM465'!$L$6:$L$2989,$B$20)+SUMIFS('1CF1ZO'!$K$6:$K$2989,'1CF1ZO'!$J$6:$J$2989,"&gt;="&amp;Q7,'1CF1ZO'!$J$6:$J$2989,"&lt;="&amp;EOMONTH(Q7,0),'1CF1ZO'!$L$6:$L$2989,$B$20)+SUMIFS('1UK1BK'!$K$6:$K$2989,'1UK1BK'!$J$6:$J$2989,"&gt;="&amp;Q7,'1UK1BK'!$J$6:$J$2989,"&lt;="&amp;EOMONTH(Q7,0),'1UK1BK'!$L$6:$L$2989,$B$20)</f>
        <v>#REF!</v>
      </c>
      <c r="R20" s="110" t="e">
        <f>SUMIFS('CEI565'!$K$6:$K$2990,'CEI565'!$J$6:$J$2990,"&gt;="&amp;R7,'CEI565'!$J$6:$J$2990,"&lt;="&amp;EOMONTH(R7,0),'CEI565'!$L$6:$L$2990,$B$20)+SUMIFS('1SM3VL'!$K$6:$K$2990,'1SM3VL'!$J$6:$J$2990,"&gt;="&amp;R7,'1SM3VL'!$J$6:$J$2990,"&lt;="&amp;EOMONTH(R7,0),'1SM3VL'!$L$6:$L$2990,$B$20)+SUMIFS('1QF4SM'!$K$6:$K$2989,'1QF4SM'!$J$6:$J$2989,"&gt;="&amp;R7,'1QF4SM'!$J$6:$J$2989,"&lt;="&amp;EOMONTH(R7,0),'1QF4SM'!$L$6:$L$2989,$B$20)+SUMIFS('1UV5KI'!$K$6:$K$2989,'1UV5KI'!$J$6:$J$2989,"&gt;="&amp;R7,'1UV5KI'!$J$6:$J$2989,"&lt;="&amp;EOMONTH(R7,0),'1UV5KI'!$L$6:$L$2989,$B$20)+SUMIFS(#REF!,#REF!,"&gt;="&amp;R7,#REF!,"&lt;="&amp;EOMONTH(R7,0),#REF!,$B$20)+SUMIFS('1UL9RY'!$K$6:$K$2990,'1UL9RY'!$J$6:$J$2990,"&gt;="&amp;R7,'1UL9RY'!$J$6:$J$2990,"&lt;="&amp;EOMONTH(R7,0),'1UL9RY'!$L$6:$L$2990,$B$20)+SUMIFS('1OZ7GT'!$K$6:$K$2989,'1OZ7GT'!$J$6:$J$2989,"&gt;="&amp;R7,'1OZ7GT'!$J$6:$J$2989,"&lt;="&amp;EOMONTH(R7,0),'1OZ7GT'!$L$6:$L$2989,$B$20)+SUMIFS('1CN8DD'!$K$6:$K$2989,'1CN8DD'!$J$6:$J$2989,"&gt;="&amp;R7,'1CN8DD'!$J$6:$J$2989,"&lt;="&amp;EOMONTH(R7,0),'1CN8DD'!$L$6:$L$2989,$B$20)+SUMIFS('1UT9BR'!$K$6:$K$2990,'1UT9BR'!$J$6:$J$2990,"&gt;="&amp;R7,'1UT9BR'!$J$6:$J$2990,"&lt;="&amp;EOMONTH(R7,0),'1UT9BR'!$L$6:$L$2990,$B$20)+SUMIFS('1MK4UR'!$K$6:$K$2990,'1MK4UR'!$J$6:$J$2990,"&gt;="&amp;R7,'1MK4UR'!$J$6:$J$2990,"&lt;="&amp;EOMONTH(R7,0),'1MK4UR'!$L$6:$L$2990,$B$20)+SUMIFS(#REF!,#REF!,"&gt;="&amp;R7,#REF!,"&lt;="&amp;EOMONTH(R7,0),#REF!,$B$20)+SUMIFS('1JI2UE'!$K$6:$K$2989,'1JI2UE'!$J$6:$J$2989,"&gt;="&amp;R7,'1JI2UE'!$J$6:$J$2989,"&lt;="&amp;EOMONTH(R7,0),'1JI2UE'!$L$6:$L$2989,$B$20)+SUMIFS(#REF!,#REF!,"&gt;="&amp;R7,#REF!,"&lt;="&amp;EOMONTH(R7,0),#REF!,$B$20)+SUMIFS('1SI9BW'!$K$6:$K$2989,'1SI9BW'!$J$6:$J$2989,"&gt;="&amp;R7,'1SI9BW'!$J$6:$J$2989,"&lt;="&amp;EOMONTH(R7,0),'1SI9BW'!$L$6:$L$2989,$B$20)+SUMIFS(Suzuki!$K$6:$K$2989,Suzuki!$J$6:$J$2989,"&gt;="&amp;R7,Suzuki!$J$6:$J$2989,"&lt;="&amp;EOMONTH(R7,0),Suzuki!$L$6:$L$2989,$B$20)+SUMIFS('1SK3DD'!$K$6:$K$2989,'1SK3DD'!$J$6:$J$2989,"&gt;="&amp;R7,'1SK3DD'!$J$6:$J$2989,"&lt;="&amp;EOMONTH(R7,0),'1SK3DD'!$L$6:$L$2989,$B$20)+SUMIFS('1SX5TQ'!$K$6:$K$2989,'1SX5TQ'!$J$6:$J$2989,"&gt;="&amp;R7,'1SX5TQ'!$J$6:$J$2989,"&lt;="&amp;EOMONTH(R7,0),'1SX5TQ'!$L$6:$L$2989,$B$20)+SUMIFS('BMM465'!$K$6:$K$2989,'BMM465'!$J$6:$J$2989,"&gt;="&amp;R7,'BMM465'!$J$6:$J$2989,"&lt;="&amp;EOMONTH(R7,0),'BMM465'!$L$6:$L$2989,$B$20)+SUMIFS('1CF1ZO'!$K$6:$K$2989,'1CF1ZO'!$J$6:$J$2989,"&gt;="&amp;R7,'1CF1ZO'!$J$6:$J$2989,"&lt;="&amp;EOMONTH(R7,0),'1CF1ZO'!$L$6:$L$2989,$B$20)+SUMIFS('1UK1BK'!$K$6:$K$2989,'1UK1BK'!$J$6:$J$2989,"&gt;="&amp;R7,'1UK1BK'!$J$6:$J$2989,"&lt;="&amp;EOMONTH(R7,0),'1UK1BK'!$L$6:$L$2989,$B$20)</f>
        <v>#REF!</v>
      </c>
      <c r="S20" s="110" t="e">
        <f>SUMIFS('CEI565'!$K$6:$K$2990,'CEI565'!$J$6:$J$2990,"&gt;="&amp;S7,'CEI565'!$J$6:$J$2990,"&lt;="&amp;EOMONTH(S7,0),'CEI565'!$L$6:$L$2990,$B$20)+SUMIFS('1SM3VL'!$K$6:$K$2990,'1SM3VL'!$J$6:$J$2990,"&gt;="&amp;S7,'1SM3VL'!$J$6:$J$2990,"&lt;="&amp;EOMONTH(S7,0),'1SM3VL'!$L$6:$L$2990,$B$20)+SUMIFS('1QF4SM'!$K$6:$K$2989,'1QF4SM'!$J$6:$J$2989,"&gt;="&amp;S7,'1QF4SM'!$J$6:$J$2989,"&lt;="&amp;EOMONTH(S7,0),'1QF4SM'!$L$6:$L$2989,$B$20)+SUMIFS('1UV5KI'!$K$6:$K$2989,'1UV5KI'!$J$6:$J$2989,"&gt;="&amp;S7,'1UV5KI'!$J$6:$J$2989,"&lt;="&amp;EOMONTH(S7,0),'1UV5KI'!$L$6:$L$2989,$B$20)+SUMIFS(#REF!,#REF!,"&gt;="&amp;S7,#REF!,"&lt;="&amp;EOMONTH(S7,0),#REF!,$B$20)+SUMIFS('1UL9RY'!$K$6:$K$2990,'1UL9RY'!$J$6:$J$2990,"&gt;="&amp;S7,'1UL9RY'!$J$6:$J$2990,"&lt;="&amp;EOMONTH(S7,0),'1UL9RY'!$L$6:$L$2990,$B$20)+SUMIFS('1OZ7GT'!$K$6:$K$2989,'1OZ7GT'!$J$6:$J$2989,"&gt;="&amp;S7,'1OZ7GT'!$J$6:$J$2989,"&lt;="&amp;EOMONTH(S7,0),'1OZ7GT'!$L$6:$L$2989,$B$20)+SUMIFS('1CN8DD'!$K$6:$K$2989,'1CN8DD'!$J$6:$J$2989,"&gt;="&amp;S7,'1CN8DD'!$J$6:$J$2989,"&lt;="&amp;EOMONTH(S7,0),'1CN8DD'!$L$6:$L$2989,$B$20)+SUMIFS('1UT9BR'!$K$6:$K$2990,'1UT9BR'!$J$6:$J$2990,"&gt;="&amp;S7,'1UT9BR'!$J$6:$J$2990,"&lt;="&amp;EOMONTH(S7,0),'1UT9BR'!$L$6:$L$2990,$B$20)+SUMIFS('1MK4UR'!$K$6:$K$2990,'1MK4UR'!$J$6:$J$2990,"&gt;="&amp;S7,'1MK4UR'!$J$6:$J$2990,"&lt;="&amp;EOMONTH(S7,0),'1MK4UR'!$L$6:$L$2990,$B$20)+SUMIFS(#REF!,#REF!,"&gt;="&amp;S7,#REF!,"&lt;="&amp;EOMONTH(S7,0),#REF!,$B$20)+SUMIFS('1JI2UE'!$K$6:$K$2989,'1JI2UE'!$J$6:$J$2989,"&gt;="&amp;S7,'1JI2UE'!$J$6:$J$2989,"&lt;="&amp;EOMONTH(S7,0),'1JI2UE'!$L$6:$L$2989,$B$20)+SUMIFS(#REF!,#REF!,"&gt;="&amp;S7,#REF!,"&lt;="&amp;EOMONTH(S7,0),#REF!,$B$20)+SUMIFS('1SI9BW'!$K$6:$K$2989,'1SI9BW'!$J$6:$J$2989,"&gt;="&amp;S7,'1SI9BW'!$J$6:$J$2989,"&lt;="&amp;EOMONTH(S7,0),'1SI9BW'!$L$6:$L$2989,$B$20)+SUMIFS(Suzuki!$K$6:$K$2989,Suzuki!$J$6:$J$2989,"&gt;="&amp;S7,Suzuki!$J$6:$J$2989,"&lt;="&amp;EOMONTH(S7,0),Suzuki!$L$6:$L$2989,$B$20)+SUMIFS('1SK3DD'!$K$6:$K$2989,'1SK3DD'!$J$6:$J$2989,"&gt;="&amp;S7,'1SK3DD'!$J$6:$J$2989,"&lt;="&amp;EOMONTH(S7,0),'1SK3DD'!$L$6:$L$2989,$B$20)+SUMIFS('1SX5TQ'!$K$6:$K$2989,'1SX5TQ'!$J$6:$J$2989,"&gt;="&amp;S7,'1SX5TQ'!$J$6:$J$2989,"&lt;="&amp;EOMONTH(S7,0),'1SX5TQ'!$L$6:$L$2989,$B$20)+SUMIFS('BMM465'!$K$6:$K$2989,'BMM465'!$J$6:$J$2989,"&gt;="&amp;S7,'BMM465'!$J$6:$J$2989,"&lt;="&amp;EOMONTH(S7,0),'BMM465'!$L$6:$L$2989,$B$20)+SUMIFS('1CF1ZO'!$K$6:$K$2989,'1CF1ZO'!$J$6:$J$2989,"&gt;="&amp;S7,'1CF1ZO'!$J$6:$J$2989,"&lt;="&amp;EOMONTH(S7,0),'1CF1ZO'!$L$6:$L$2989,$B$20)+SUMIFS('1UK1BK'!$K$6:$K$2989,'1UK1BK'!$J$6:$J$2989,"&gt;="&amp;S7,'1UK1BK'!$J$6:$J$2989,"&lt;="&amp;EOMONTH(S7,0),'1UK1BK'!$L$6:$L$2989,$B$20)</f>
        <v>#REF!</v>
      </c>
      <c r="T20" s="110" t="e">
        <f>SUMIFS('CEI565'!$K$6:$K$2990,'CEI565'!$J$6:$J$2990,"&gt;="&amp;T7,'CEI565'!$J$6:$J$2990,"&lt;="&amp;EOMONTH(T7,0),'CEI565'!$L$6:$L$2990,$B$20)+SUMIFS('1SM3VL'!$K$6:$K$2990,'1SM3VL'!$J$6:$J$2990,"&gt;="&amp;T7,'1SM3VL'!$J$6:$J$2990,"&lt;="&amp;EOMONTH(T7,0),'1SM3VL'!$L$6:$L$2990,$B$20)+SUMIFS('1QF4SM'!$K$6:$K$2989,'1QF4SM'!$J$6:$J$2989,"&gt;="&amp;T7,'1QF4SM'!$J$6:$J$2989,"&lt;="&amp;EOMONTH(T7,0),'1QF4SM'!$L$6:$L$2989,$B$20)+SUMIFS('1UV5KI'!$K$6:$K$2989,'1UV5KI'!$J$6:$J$2989,"&gt;="&amp;T7,'1UV5KI'!$J$6:$J$2989,"&lt;="&amp;EOMONTH(T7,0),'1UV5KI'!$L$6:$L$2989,$B$20)+SUMIFS(#REF!,#REF!,"&gt;="&amp;T7,#REF!,"&lt;="&amp;EOMONTH(T7,0),#REF!,$B$20)+SUMIFS('1UL9RY'!$K$6:$K$2990,'1UL9RY'!$J$6:$J$2990,"&gt;="&amp;T7,'1UL9RY'!$J$6:$J$2990,"&lt;="&amp;EOMONTH(T7,0),'1UL9RY'!$L$6:$L$2990,$B$20)+SUMIFS('1OZ7GT'!$K$6:$K$2989,'1OZ7GT'!$J$6:$J$2989,"&gt;="&amp;T7,'1OZ7GT'!$J$6:$J$2989,"&lt;="&amp;EOMONTH(T7,0),'1OZ7GT'!$L$6:$L$2989,$B$20)+SUMIFS('1CN8DD'!$K$6:$K$2989,'1CN8DD'!$J$6:$J$2989,"&gt;="&amp;T7,'1CN8DD'!$J$6:$J$2989,"&lt;="&amp;EOMONTH(T7,0),'1CN8DD'!$L$6:$L$2989,$B$20)+SUMIFS('1UT9BR'!$K$6:$K$2990,'1UT9BR'!$J$6:$J$2990,"&gt;="&amp;T7,'1UT9BR'!$J$6:$J$2990,"&lt;="&amp;EOMONTH(T7,0),'1UT9BR'!$L$6:$L$2990,$B$20)+SUMIFS('1MK4UR'!$K$6:$K$2990,'1MK4UR'!$J$6:$J$2990,"&gt;="&amp;T7,'1MK4UR'!$J$6:$J$2990,"&lt;="&amp;EOMONTH(T7,0),'1MK4UR'!$L$6:$L$2990,$B$20)+SUMIFS(#REF!,#REF!,"&gt;="&amp;T7,#REF!,"&lt;="&amp;EOMONTH(T7,0),#REF!,$B$20)+SUMIFS('1JI2UE'!$K$6:$K$2989,'1JI2UE'!$J$6:$J$2989,"&gt;="&amp;T7,'1JI2UE'!$J$6:$J$2989,"&lt;="&amp;EOMONTH(T7,0),'1JI2UE'!$L$6:$L$2989,$B$20)+SUMIFS(#REF!,#REF!,"&gt;="&amp;T7,#REF!,"&lt;="&amp;EOMONTH(T7,0),#REF!,$B$20)+SUMIFS('1SI9BW'!$K$6:$K$2989,'1SI9BW'!$J$6:$J$2989,"&gt;="&amp;T7,'1SI9BW'!$J$6:$J$2989,"&lt;="&amp;EOMONTH(T7,0),'1SI9BW'!$L$6:$L$2989,$B$20)+SUMIFS(Suzuki!$K$6:$K$2989,Suzuki!$J$6:$J$2989,"&gt;="&amp;T7,Suzuki!$J$6:$J$2989,"&lt;="&amp;EOMONTH(T7,0),Suzuki!$L$6:$L$2989,$B$20)+SUMIFS('1SK3DD'!$K$6:$K$2989,'1SK3DD'!$J$6:$J$2989,"&gt;="&amp;T7,'1SK3DD'!$J$6:$J$2989,"&lt;="&amp;EOMONTH(T7,0),'1SK3DD'!$L$6:$L$2989,$B$20)+SUMIFS('1SX5TQ'!$K$6:$K$2989,'1SX5TQ'!$J$6:$J$2989,"&gt;="&amp;T7,'1SX5TQ'!$J$6:$J$2989,"&lt;="&amp;EOMONTH(T7,0),'1SX5TQ'!$L$6:$L$2989,$B$20)+SUMIFS('BMM465'!$K$6:$K$2989,'BMM465'!$J$6:$J$2989,"&gt;="&amp;T7,'BMM465'!$J$6:$J$2989,"&lt;="&amp;EOMONTH(T7,0),'BMM465'!$L$6:$L$2989,$B$20)+SUMIFS('1CF1ZO'!$K$6:$K$2989,'1CF1ZO'!$J$6:$J$2989,"&gt;="&amp;T7,'1CF1ZO'!$J$6:$J$2989,"&lt;="&amp;EOMONTH(T7,0),'1CF1ZO'!$L$6:$L$2989,$B$20)+SUMIFS('1UK1BK'!$K$6:$K$2989,'1UK1BK'!$J$6:$J$2989,"&gt;="&amp;T7,'1UK1BK'!$J$6:$J$2989,"&lt;="&amp;EOMONTH(T7,0),'1UK1BK'!$L$6:$L$2989,$B$20)</f>
        <v>#REF!</v>
      </c>
      <c r="U20" s="110" t="e">
        <f>SUMIFS('CEI565'!$K$6:$K$2990,'CEI565'!$J$6:$J$2990,"&gt;="&amp;U7,'CEI565'!$J$6:$J$2990,"&lt;="&amp;EOMONTH(U7,0),'CEI565'!$L$6:$L$2990,$B$20)+SUMIFS('1SM3VL'!$K$6:$K$2990,'1SM3VL'!$J$6:$J$2990,"&gt;="&amp;U7,'1SM3VL'!$J$6:$J$2990,"&lt;="&amp;EOMONTH(U7,0),'1SM3VL'!$L$6:$L$2990,$B$20)+SUMIFS('1QF4SM'!$K$6:$K$2989,'1QF4SM'!$J$6:$J$2989,"&gt;="&amp;U7,'1QF4SM'!$J$6:$J$2989,"&lt;="&amp;EOMONTH(U7,0),'1QF4SM'!$L$6:$L$2989,$B$20)+SUMIFS('1UV5KI'!$K$6:$K$2989,'1UV5KI'!$J$6:$J$2989,"&gt;="&amp;U7,'1UV5KI'!$J$6:$J$2989,"&lt;="&amp;EOMONTH(U7,0),'1UV5KI'!$L$6:$L$2989,$B$20)+SUMIFS(#REF!,#REF!,"&gt;="&amp;U7,#REF!,"&lt;="&amp;EOMONTH(U7,0),#REF!,$B$20)+SUMIFS('1UL9RY'!$K$6:$K$2990,'1UL9RY'!$J$6:$J$2990,"&gt;="&amp;U7,'1UL9RY'!$J$6:$J$2990,"&lt;="&amp;EOMONTH(U7,0),'1UL9RY'!$L$6:$L$2990,$B$20)+SUMIFS('1OZ7GT'!$K$6:$K$2989,'1OZ7GT'!$J$6:$J$2989,"&gt;="&amp;U7,'1OZ7GT'!$J$6:$J$2989,"&lt;="&amp;EOMONTH(U7,0),'1OZ7GT'!$L$6:$L$2989,$B$20)+SUMIFS('1CN8DD'!$K$6:$K$2989,'1CN8DD'!$J$6:$J$2989,"&gt;="&amp;U7,'1CN8DD'!$J$6:$J$2989,"&lt;="&amp;EOMONTH(U7,0),'1CN8DD'!$L$6:$L$2989,$B$20)+SUMIFS('1UT9BR'!$K$6:$K$2990,'1UT9BR'!$J$6:$J$2990,"&gt;="&amp;U7,'1UT9BR'!$J$6:$J$2990,"&lt;="&amp;EOMONTH(U7,0),'1UT9BR'!$L$6:$L$2990,$B$20)+SUMIFS('1MK4UR'!$K$6:$K$2990,'1MK4UR'!$J$6:$J$2990,"&gt;="&amp;U7,'1MK4UR'!$J$6:$J$2990,"&lt;="&amp;EOMONTH(U7,0),'1MK4UR'!$L$6:$L$2990,$B$20)+SUMIFS(#REF!,#REF!,"&gt;="&amp;U7,#REF!,"&lt;="&amp;EOMONTH(U7,0),#REF!,$B$20)+SUMIFS('1JI2UE'!$K$6:$K$2989,'1JI2UE'!$J$6:$J$2989,"&gt;="&amp;U7,'1JI2UE'!$J$6:$J$2989,"&lt;="&amp;EOMONTH(U7,0),'1JI2UE'!$L$6:$L$2989,$B$20)+SUMIFS(#REF!,#REF!,"&gt;="&amp;U7,#REF!,"&lt;="&amp;EOMONTH(U7,0),#REF!,$B$20)+SUMIFS('1SI9BW'!$K$6:$K$2989,'1SI9BW'!$J$6:$J$2989,"&gt;="&amp;U7,'1SI9BW'!$J$6:$J$2989,"&lt;="&amp;EOMONTH(U7,0),'1SI9BW'!$L$6:$L$2989,$B$20)+SUMIFS(Suzuki!$K$6:$K$2989,Suzuki!$J$6:$J$2989,"&gt;="&amp;U7,Suzuki!$J$6:$J$2989,"&lt;="&amp;EOMONTH(U7,0),Suzuki!$L$6:$L$2989,$B$20)+SUMIFS('1SK3DD'!$K$6:$K$2989,'1SK3DD'!$J$6:$J$2989,"&gt;="&amp;U7,'1SK3DD'!$J$6:$J$2989,"&lt;="&amp;EOMONTH(U7,0),'1SK3DD'!$L$6:$L$2989,$B$20)+SUMIFS('1SX5TQ'!$K$6:$K$2989,'1SX5TQ'!$J$6:$J$2989,"&gt;="&amp;U7,'1SX5TQ'!$J$6:$J$2989,"&lt;="&amp;EOMONTH(U7,0),'1SX5TQ'!$L$6:$L$2989,$B$20)+SUMIFS('BMM465'!$K$6:$K$2989,'BMM465'!$J$6:$J$2989,"&gt;="&amp;U7,'BMM465'!$J$6:$J$2989,"&lt;="&amp;EOMONTH(U7,0),'BMM465'!$L$6:$L$2989,$B$20)+SUMIFS('1CF1ZO'!$K$6:$K$2989,'1CF1ZO'!$J$6:$J$2989,"&gt;="&amp;U7,'1CF1ZO'!$J$6:$J$2989,"&lt;="&amp;EOMONTH(U7,0),'1CF1ZO'!$L$6:$L$2989,$B$20)+SUMIFS('1UK1BK'!$K$6:$K$2989,'1UK1BK'!$J$6:$J$2989,"&gt;="&amp;U7,'1UK1BK'!$J$6:$J$2989,"&lt;="&amp;EOMONTH(U7,0),'1UK1BK'!$L$6:$L$2989,$B$20)</f>
        <v>#REF!</v>
      </c>
      <c r="V20" s="110" t="e">
        <f>SUMIFS('CEI565'!$K$6:$K$2990,'CEI565'!$J$6:$J$2990,"&gt;="&amp;V7,'CEI565'!$J$6:$J$2990,"&lt;="&amp;EOMONTH(V7,0),'CEI565'!$L$6:$L$2990,$B$20)+SUMIFS('1SM3VL'!$K$6:$K$2990,'1SM3VL'!$J$6:$J$2990,"&gt;="&amp;V7,'1SM3VL'!$J$6:$J$2990,"&lt;="&amp;EOMONTH(V7,0),'1SM3VL'!$L$6:$L$2990,$B$20)+SUMIFS('1QF4SM'!$K$6:$K$2989,'1QF4SM'!$J$6:$J$2989,"&gt;="&amp;V7,'1QF4SM'!$J$6:$J$2989,"&lt;="&amp;EOMONTH(V7,0),'1QF4SM'!$L$6:$L$2989,$B$20)+SUMIFS('1UV5KI'!$K$6:$K$2989,'1UV5KI'!$J$6:$J$2989,"&gt;="&amp;V7,'1UV5KI'!$J$6:$J$2989,"&lt;="&amp;EOMONTH(V7,0),'1UV5KI'!$L$6:$L$2989,$B$20)+SUMIFS(#REF!,#REF!,"&gt;="&amp;V7,#REF!,"&lt;="&amp;EOMONTH(V7,0),#REF!,$B$20)+SUMIFS('1UL9RY'!$K$6:$K$2990,'1UL9RY'!$J$6:$J$2990,"&gt;="&amp;V7,'1UL9RY'!$J$6:$J$2990,"&lt;="&amp;EOMONTH(V7,0),'1UL9RY'!$L$6:$L$2990,$B$20)+SUMIFS('1OZ7GT'!$K$6:$K$2989,'1OZ7GT'!$J$6:$J$2989,"&gt;="&amp;V7,'1OZ7GT'!$J$6:$J$2989,"&lt;="&amp;EOMONTH(V7,0),'1OZ7GT'!$L$6:$L$2989,$B$20)+SUMIFS('1CN8DD'!$K$6:$K$2989,'1CN8DD'!$J$6:$J$2989,"&gt;="&amp;V7,'1CN8DD'!$J$6:$J$2989,"&lt;="&amp;EOMONTH(V7,0),'1CN8DD'!$L$6:$L$2989,$B$20)+SUMIFS('1UT9BR'!$K$6:$K$2990,'1UT9BR'!$J$6:$J$2990,"&gt;="&amp;V7,'1UT9BR'!$J$6:$J$2990,"&lt;="&amp;EOMONTH(V7,0),'1UT9BR'!$L$6:$L$2990,$B$20)+SUMIFS('1MK4UR'!$K$6:$K$2990,'1MK4UR'!$J$6:$J$2990,"&gt;="&amp;V7,'1MK4UR'!$J$6:$J$2990,"&lt;="&amp;EOMONTH(V7,0),'1MK4UR'!$L$6:$L$2990,$B$20)+SUMIFS(#REF!,#REF!,"&gt;="&amp;V7,#REF!,"&lt;="&amp;EOMONTH(V7,0),#REF!,$B$20)+SUMIFS('1JI2UE'!$K$6:$K$2989,'1JI2UE'!$J$6:$J$2989,"&gt;="&amp;V7,'1JI2UE'!$J$6:$J$2989,"&lt;="&amp;EOMONTH(V7,0),'1JI2UE'!$L$6:$L$2989,$B$20)+SUMIFS(#REF!,#REF!,"&gt;="&amp;V7,#REF!,"&lt;="&amp;EOMONTH(V7,0),#REF!,$B$20)+SUMIFS('1SI9BW'!$K$6:$K$2989,'1SI9BW'!$J$6:$J$2989,"&gt;="&amp;V7,'1SI9BW'!$J$6:$J$2989,"&lt;="&amp;EOMONTH(V7,0),'1SI9BW'!$L$6:$L$2989,$B$20)+SUMIFS(Suzuki!$K$6:$K$2989,Suzuki!$J$6:$J$2989,"&gt;="&amp;V7,Suzuki!$J$6:$J$2989,"&lt;="&amp;EOMONTH(V7,0),Suzuki!$L$6:$L$2989,$B$20)+SUMIFS('1SK3DD'!$K$6:$K$2989,'1SK3DD'!$J$6:$J$2989,"&gt;="&amp;V7,'1SK3DD'!$J$6:$J$2989,"&lt;="&amp;EOMONTH(V7,0),'1SK3DD'!$L$6:$L$2989,$B$20)+SUMIFS('1SX5TQ'!$K$6:$K$2989,'1SX5TQ'!$J$6:$J$2989,"&gt;="&amp;V7,'1SX5TQ'!$J$6:$J$2989,"&lt;="&amp;EOMONTH(V7,0),'1SX5TQ'!$L$6:$L$2989,$B$20)+SUMIFS('BMM465'!$K$6:$K$2989,'BMM465'!$J$6:$J$2989,"&gt;="&amp;V7,'BMM465'!$J$6:$J$2989,"&lt;="&amp;EOMONTH(V7,0),'BMM465'!$L$6:$L$2989,$B$20)+SUMIFS('1CF1ZO'!$K$6:$K$2989,'1CF1ZO'!$J$6:$J$2989,"&gt;="&amp;V7,'1CF1ZO'!$J$6:$J$2989,"&lt;="&amp;EOMONTH(V7,0),'1CF1ZO'!$L$6:$L$2989,$B$20)+SUMIFS('1UK1BK'!$K$6:$K$2989,'1UK1BK'!$J$6:$J$2989,"&gt;="&amp;V7,'1UK1BK'!$J$6:$J$2989,"&lt;="&amp;EOMONTH(V7,0),'1UK1BK'!$L$6:$L$2989,$B$20)</f>
        <v>#REF!</v>
      </c>
      <c r="W20" s="110" t="e">
        <f>SUMIFS('CEI565'!$K$6:$K$2990,'CEI565'!$J$6:$J$2990,"&gt;="&amp;W7,'CEI565'!$J$6:$J$2990,"&lt;="&amp;EOMONTH(W7,0),'CEI565'!$L$6:$L$2990,$B$20)+SUMIFS('1SM3VL'!$K$6:$K$2990,'1SM3VL'!$J$6:$J$2990,"&gt;="&amp;W7,'1SM3VL'!$J$6:$J$2990,"&lt;="&amp;EOMONTH(W7,0),'1SM3VL'!$L$6:$L$2990,$B$20)+SUMIFS('1QF4SM'!$K$6:$K$2989,'1QF4SM'!$J$6:$J$2989,"&gt;="&amp;W7,'1QF4SM'!$J$6:$J$2989,"&lt;="&amp;EOMONTH(W7,0),'1QF4SM'!$L$6:$L$2989,$B$20)+SUMIFS('1UV5KI'!$K$6:$K$2989,'1UV5KI'!$J$6:$J$2989,"&gt;="&amp;W7,'1UV5KI'!$J$6:$J$2989,"&lt;="&amp;EOMONTH(W7,0),'1UV5KI'!$L$6:$L$2989,$B$20)+SUMIFS(#REF!,#REF!,"&gt;="&amp;W7,#REF!,"&lt;="&amp;EOMONTH(W7,0),#REF!,$B$20)+SUMIFS('1UL9RY'!$K$6:$K$2990,'1UL9RY'!$J$6:$J$2990,"&gt;="&amp;W7,'1UL9RY'!$J$6:$J$2990,"&lt;="&amp;EOMONTH(W7,0),'1UL9RY'!$L$6:$L$2990,$B$20)+SUMIFS('1OZ7GT'!$K$6:$K$2989,'1OZ7GT'!$J$6:$J$2989,"&gt;="&amp;W7,'1OZ7GT'!$J$6:$J$2989,"&lt;="&amp;EOMONTH(W7,0),'1OZ7GT'!$L$6:$L$2989,$B$20)+SUMIFS('1CN8DD'!$K$6:$K$2989,'1CN8DD'!$J$6:$J$2989,"&gt;="&amp;W7,'1CN8DD'!$J$6:$J$2989,"&lt;="&amp;EOMONTH(W7,0),'1CN8DD'!$L$6:$L$2989,$B$20)+SUMIFS('1UT9BR'!$K$6:$K$2990,'1UT9BR'!$J$6:$J$2990,"&gt;="&amp;W7,'1UT9BR'!$J$6:$J$2990,"&lt;="&amp;EOMONTH(W7,0),'1UT9BR'!$L$6:$L$2990,$B$20)+SUMIFS('1MK4UR'!$K$6:$K$2990,'1MK4UR'!$J$6:$J$2990,"&gt;="&amp;W7,'1MK4UR'!$J$6:$J$2990,"&lt;="&amp;EOMONTH(W7,0),'1MK4UR'!$L$6:$L$2990,$B$20)+SUMIFS(#REF!,#REF!,"&gt;="&amp;W7,#REF!,"&lt;="&amp;EOMONTH(W7,0),#REF!,$B$20)+SUMIFS('1JI2UE'!$K$6:$K$2989,'1JI2UE'!$J$6:$J$2989,"&gt;="&amp;W7,'1JI2UE'!$J$6:$J$2989,"&lt;="&amp;EOMONTH(W7,0),'1JI2UE'!$L$6:$L$2989,$B$20)+SUMIFS(#REF!,#REF!,"&gt;="&amp;W7,#REF!,"&lt;="&amp;EOMONTH(W7,0),#REF!,$B$20)+SUMIFS('1SI9BW'!$K$6:$K$2989,'1SI9BW'!$J$6:$J$2989,"&gt;="&amp;W7,'1SI9BW'!$J$6:$J$2989,"&lt;="&amp;EOMONTH(W7,0),'1SI9BW'!$L$6:$L$2989,$B$20)+SUMIFS(Suzuki!$K$6:$K$2989,Suzuki!$J$6:$J$2989,"&gt;="&amp;W7,Suzuki!$J$6:$J$2989,"&lt;="&amp;EOMONTH(W7,0),Suzuki!$L$6:$L$2989,$B$20)+SUMIFS('1SK3DD'!$K$6:$K$2989,'1SK3DD'!$J$6:$J$2989,"&gt;="&amp;W7,'1SK3DD'!$J$6:$J$2989,"&lt;="&amp;EOMONTH(W7,0),'1SK3DD'!$L$6:$L$2989,$B$20)+SUMIFS('1SX5TQ'!$K$6:$K$2989,'1SX5TQ'!$J$6:$J$2989,"&gt;="&amp;W7,'1SX5TQ'!$J$6:$J$2989,"&lt;="&amp;EOMONTH(W7,0),'1SX5TQ'!$L$6:$L$2989,$B$20)+SUMIFS('BMM465'!$K$6:$K$2989,'BMM465'!$J$6:$J$2989,"&gt;="&amp;W7,'BMM465'!$J$6:$J$2989,"&lt;="&amp;EOMONTH(W7,0),'BMM465'!$L$6:$L$2989,$B$20)+SUMIFS('1CF1ZO'!$K$6:$K$2989,'1CF1ZO'!$J$6:$J$2989,"&gt;="&amp;W7,'1CF1ZO'!$J$6:$J$2989,"&lt;="&amp;EOMONTH(W7,0),'1CF1ZO'!$L$6:$L$2989,$B$20)+SUMIFS('1UK1BK'!$K$6:$K$2989,'1UK1BK'!$J$6:$J$2989,"&gt;="&amp;W7,'1UK1BK'!$J$6:$J$2989,"&lt;="&amp;EOMONTH(W7,0),'1UK1BK'!$L$6:$L$2989,$B$20)</f>
        <v>#REF!</v>
      </c>
      <c r="X20" s="110" t="e">
        <f>SUMIFS('CEI565'!$K$6:$K$2990,'CEI565'!$J$6:$J$2990,"&gt;="&amp;X7,'CEI565'!$J$6:$J$2990,"&lt;="&amp;EOMONTH(X7,0),'CEI565'!$L$6:$L$2990,$B$20)+SUMIFS('1SM3VL'!$K$6:$K$2990,'1SM3VL'!$J$6:$J$2990,"&gt;="&amp;X7,'1SM3VL'!$J$6:$J$2990,"&lt;="&amp;EOMONTH(X7,0),'1SM3VL'!$L$6:$L$2990,$B$20)+SUMIFS('1QF4SM'!$K$6:$K$2989,'1QF4SM'!$J$6:$J$2989,"&gt;="&amp;X7,'1QF4SM'!$J$6:$J$2989,"&lt;="&amp;EOMONTH(X7,0),'1QF4SM'!$L$6:$L$2989,$B$20)+SUMIFS('1UV5KI'!$K$6:$K$2989,'1UV5KI'!$J$6:$J$2989,"&gt;="&amp;X7,'1UV5KI'!$J$6:$J$2989,"&lt;="&amp;EOMONTH(X7,0),'1UV5KI'!$L$6:$L$2989,$B$20)+SUMIFS(#REF!,#REF!,"&gt;="&amp;X7,#REF!,"&lt;="&amp;EOMONTH(X7,0),#REF!,$B$20)+SUMIFS('1UL9RY'!$K$6:$K$2990,'1UL9RY'!$J$6:$J$2990,"&gt;="&amp;X7,'1UL9RY'!$J$6:$J$2990,"&lt;="&amp;EOMONTH(X7,0),'1UL9RY'!$L$6:$L$2990,$B$20)+SUMIFS('1OZ7GT'!$K$6:$K$2989,'1OZ7GT'!$J$6:$J$2989,"&gt;="&amp;X7,'1OZ7GT'!$J$6:$J$2989,"&lt;="&amp;EOMONTH(X7,0),'1OZ7GT'!$L$6:$L$2989,$B$20)+SUMIFS('1CN8DD'!$K$6:$K$2989,'1CN8DD'!$J$6:$J$2989,"&gt;="&amp;X7,'1CN8DD'!$J$6:$J$2989,"&lt;="&amp;EOMONTH(X7,0),'1CN8DD'!$L$6:$L$2989,$B$20)+SUMIFS('1UT9BR'!$K$6:$K$2990,'1UT9BR'!$J$6:$J$2990,"&gt;="&amp;X7,'1UT9BR'!$J$6:$J$2990,"&lt;="&amp;EOMONTH(X7,0),'1UT9BR'!$L$6:$L$2990,$B$20)+SUMIFS('1MK4UR'!$K$6:$K$2990,'1MK4UR'!$J$6:$J$2990,"&gt;="&amp;X7,'1MK4UR'!$J$6:$J$2990,"&lt;="&amp;EOMONTH(X7,0),'1MK4UR'!$L$6:$L$2990,$B$20)+SUMIFS(#REF!,#REF!,"&gt;="&amp;X7,#REF!,"&lt;="&amp;EOMONTH(X7,0),#REF!,$B$20)+SUMIFS('1JI2UE'!$K$6:$K$2989,'1JI2UE'!$J$6:$J$2989,"&gt;="&amp;X7,'1JI2UE'!$J$6:$J$2989,"&lt;="&amp;EOMONTH(X7,0),'1JI2UE'!$L$6:$L$2989,$B$20)+SUMIFS(#REF!,#REF!,"&gt;="&amp;X7,#REF!,"&lt;="&amp;EOMONTH(X7,0),#REF!,$B$20)+SUMIFS('1SI9BW'!$K$6:$K$2989,'1SI9BW'!$J$6:$J$2989,"&gt;="&amp;X7,'1SI9BW'!$J$6:$J$2989,"&lt;="&amp;EOMONTH(X7,0),'1SI9BW'!$L$6:$L$2989,$B$20)+SUMIFS(Suzuki!$K$6:$K$2989,Suzuki!$J$6:$J$2989,"&gt;="&amp;X7,Suzuki!$J$6:$J$2989,"&lt;="&amp;EOMONTH(X7,0),Suzuki!$L$6:$L$2989,$B$20)+SUMIFS('1SK3DD'!$K$6:$K$2989,'1SK3DD'!$J$6:$J$2989,"&gt;="&amp;X7,'1SK3DD'!$J$6:$J$2989,"&lt;="&amp;EOMONTH(X7,0),'1SK3DD'!$L$6:$L$2989,$B$20)+SUMIFS('1SX5TQ'!$K$6:$K$2989,'1SX5TQ'!$J$6:$J$2989,"&gt;="&amp;X7,'1SX5TQ'!$J$6:$J$2989,"&lt;="&amp;EOMONTH(X7,0),'1SX5TQ'!$L$6:$L$2989,$B$20)+SUMIFS('BMM465'!$K$6:$K$2989,'BMM465'!$J$6:$J$2989,"&gt;="&amp;X7,'BMM465'!$J$6:$J$2989,"&lt;="&amp;EOMONTH(X7,0),'BMM465'!$L$6:$L$2989,$B$20)+SUMIFS('1CF1ZO'!$K$6:$K$2989,'1CF1ZO'!$J$6:$J$2989,"&gt;="&amp;X7,'1CF1ZO'!$J$6:$J$2989,"&lt;="&amp;EOMONTH(X7,0),'1CF1ZO'!$L$6:$L$2989,$B$20)+SUMIFS('1UK1BK'!$K$6:$K$2989,'1UK1BK'!$J$6:$J$2989,"&gt;="&amp;X7,'1UK1BK'!$J$6:$J$2989,"&lt;="&amp;EOMONTH(X7,0),'1UK1BK'!$L$6:$L$2989,$B$20)</f>
        <v>#REF!</v>
      </c>
      <c r="Y20" s="110" t="e">
        <f>SUMIFS('CEI565'!$K$6:$K$2990,'CEI565'!$J$6:$J$2990,"&gt;="&amp;Y7,'CEI565'!$J$6:$J$2990,"&lt;="&amp;EOMONTH(Y7,0),'CEI565'!$L$6:$L$2990,$B$20)+SUMIFS('1SM3VL'!$K$6:$K$2990,'1SM3VL'!$J$6:$J$2990,"&gt;="&amp;Y7,'1SM3VL'!$J$6:$J$2990,"&lt;="&amp;EOMONTH(Y7,0),'1SM3VL'!$L$6:$L$2990,$B$20)+SUMIFS('1QF4SM'!$K$6:$K$2989,'1QF4SM'!$J$6:$J$2989,"&gt;="&amp;Y7,'1QF4SM'!$J$6:$J$2989,"&lt;="&amp;EOMONTH(Y7,0),'1QF4SM'!$L$6:$L$2989,$B$20)+SUMIFS('1UV5KI'!$K$6:$K$2989,'1UV5KI'!$J$6:$J$2989,"&gt;="&amp;Y7,'1UV5KI'!$J$6:$J$2989,"&lt;="&amp;EOMONTH(Y7,0),'1UV5KI'!$L$6:$L$2989,$B$20)+SUMIFS(#REF!,#REF!,"&gt;="&amp;Y7,#REF!,"&lt;="&amp;EOMONTH(Y7,0),#REF!,$B$20)+SUMIFS('1UL9RY'!$K$6:$K$2990,'1UL9RY'!$J$6:$J$2990,"&gt;="&amp;Y7,'1UL9RY'!$J$6:$J$2990,"&lt;="&amp;EOMONTH(Y7,0),'1UL9RY'!$L$6:$L$2990,$B$20)+SUMIFS('1OZ7GT'!$K$6:$K$2989,'1OZ7GT'!$J$6:$J$2989,"&gt;="&amp;Y7,'1OZ7GT'!$J$6:$J$2989,"&lt;="&amp;EOMONTH(Y7,0),'1OZ7GT'!$L$6:$L$2989,$B$20)+SUMIFS('1CN8DD'!$K$6:$K$2989,'1CN8DD'!$J$6:$J$2989,"&gt;="&amp;Y7,'1CN8DD'!$J$6:$J$2989,"&lt;="&amp;EOMONTH(Y7,0),'1CN8DD'!$L$6:$L$2989,$B$20)+SUMIFS('1UT9BR'!$K$6:$K$2990,'1UT9BR'!$J$6:$J$2990,"&gt;="&amp;Y7,'1UT9BR'!$J$6:$J$2990,"&lt;="&amp;EOMONTH(Y7,0),'1UT9BR'!$L$6:$L$2990,$B$20)+SUMIFS('1MK4UR'!$K$6:$K$2990,'1MK4UR'!$J$6:$J$2990,"&gt;="&amp;Y7,'1MK4UR'!$J$6:$J$2990,"&lt;="&amp;EOMONTH(Y7,0),'1MK4UR'!$L$6:$L$2990,$B$20)+SUMIFS(#REF!,#REF!,"&gt;="&amp;Y7,#REF!,"&lt;="&amp;EOMONTH(Y7,0),#REF!,$B$20)+SUMIFS('1JI2UE'!$K$6:$K$2989,'1JI2UE'!$J$6:$J$2989,"&gt;="&amp;Y7,'1JI2UE'!$J$6:$J$2989,"&lt;="&amp;EOMONTH(Y7,0),'1JI2UE'!$L$6:$L$2989,$B$20)+SUMIFS(#REF!,#REF!,"&gt;="&amp;Y7,#REF!,"&lt;="&amp;EOMONTH(Y7,0),#REF!,$B$20)+SUMIFS('1SI9BW'!$K$6:$K$2989,'1SI9BW'!$J$6:$J$2989,"&gt;="&amp;Y7,'1SI9BW'!$J$6:$J$2989,"&lt;="&amp;EOMONTH(Y7,0),'1SI9BW'!$L$6:$L$2989,$B$20)+SUMIFS(Suzuki!$K$6:$K$2989,Suzuki!$J$6:$J$2989,"&gt;="&amp;Y7,Suzuki!$J$6:$J$2989,"&lt;="&amp;EOMONTH(Y7,0),Suzuki!$L$6:$L$2989,$B$20)+SUMIFS('1SK3DD'!$K$6:$K$2989,'1SK3DD'!$J$6:$J$2989,"&gt;="&amp;Y7,'1SK3DD'!$J$6:$J$2989,"&lt;="&amp;EOMONTH(Y7,0),'1SK3DD'!$L$6:$L$2989,$B$20)+SUMIFS('1SX5TQ'!$K$6:$K$2989,'1SX5TQ'!$J$6:$J$2989,"&gt;="&amp;Y7,'1SX5TQ'!$J$6:$J$2989,"&lt;="&amp;EOMONTH(Y7,0),'1SX5TQ'!$L$6:$L$2989,$B$20)+SUMIFS('BMM465'!$K$6:$K$2989,'BMM465'!$J$6:$J$2989,"&gt;="&amp;Y7,'BMM465'!$J$6:$J$2989,"&lt;="&amp;EOMONTH(Y7,0),'BMM465'!$L$6:$L$2989,$B$20)+SUMIFS('1CF1ZO'!$K$6:$K$2989,'1CF1ZO'!$J$6:$J$2989,"&gt;="&amp;Y7,'1CF1ZO'!$J$6:$J$2989,"&lt;="&amp;EOMONTH(Y7,0),'1CF1ZO'!$L$6:$L$2989,$B$20)+SUMIFS('1UK1BK'!$K$6:$K$2989,'1UK1BK'!$J$6:$J$2989,"&gt;="&amp;Y7,'1UK1BK'!$J$6:$J$2989,"&lt;="&amp;EOMONTH(Y7,0),'1UK1BK'!$L$6:$L$2989,$B$20)</f>
        <v>#REF!</v>
      </c>
      <c r="Z20" s="110" t="e">
        <f>SUMIFS('CEI565'!$K$6:$K$2990,'CEI565'!$J$6:$J$2990,"&gt;="&amp;Z7,'CEI565'!$J$6:$J$2990,"&lt;="&amp;EOMONTH(Z7,0),'CEI565'!$L$6:$L$2990,$B$20)+SUMIFS('1SM3VL'!$K$6:$K$2990,'1SM3VL'!$J$6:$J$2990,"&gt;="&amp;Z7,'1SM3VL'!$J$6:$J$2990,"&lt;="&amp;EOMONTH(Z7,0),'1SM3VL'!$L$6:$L$2990,$B$20)+SUMIFS('1QF4SM'!$K$6:$K$2989,'1QF4SM'!$J$6:$J$2989,"&gt;="&amp;Z7,'1QF4SM'!$J$6:$J$2989,"&lt;="&amp;EOMONTH(Z7,0),'1QF4SM'!$L$6:$L$2989,$B$20)+SUMIFS('1UV5KI'!$K$6:$K$2989,'1UV5KI'!$J$6:$J$2989,"&gt;="&amp;Z7,'1UV5KI'!$J$6:$J$2989,"&lt;="&amp;EOMONTH(Z7,0),'1UV5KI'!$L$6:$L$2989,$B$20)+SUMIFS(#REF!,#REF!,"&gt;="&amp;Z7,#REF!,"&lt;="&amp;EOMONTH(Z7,0),#REF!,$B$20)+SUMIFS('1UL9RY'!$K$6:$K$2990,'1UL9RY'!$J$6:$J$2990,"&gt;="&amp;Z7,'1UL9RY'!$J$6:$J$2990,"&lt;="&amp;EOMONTH(Z7,0),'1UL9RY'!$L$6:$L$2990,$B$20)+SUMIFS('1OZ7GT'!$K$6:$K$2989,'1OZ7GT'!$J$6:$J$2989,"&gt;="&amp;Z7,'1OZ7GT'!$J$6:$J$2989,"&lt;="&amp;EOMONTH(Z7,0),'1OZ7GT'!$L$6:$L$2989,$B$20)+SUMIFS('1CN8DD'!$K$6:$K$2989,'1CN8DD'!$J$6:$J$2989,"&gt;="&amp;Z7,'1CN8DD'!$J$6:$J$2989,"&lt;="&amp;EOMONTH(Z7,0),'1CN8DD'!$L$6:$L$2989,$B$20)+SUMIFS('1UT9BR'!$K$6:$K$2990,'1UT9BR'!$J$6:$J$2990,"&gt;="&amp;Z7,'1UT9BR'!$J$6:$J$2990,"&lt;="&amp;EOMONTH(Z7,0),'1UT9BR'!$L$6:$L$2990,$B$20)+SUMIFS('1MK4UR'!$K$6:$K$2990,'1MK4UR'!$J$6:$J$2990,"&gt;="&amp;Z7,'1MK4UR'!$J$6:$J$2990,"&lt;="&amp;EOMONTH(Z7,0),'1MK4UR'!$L$6:$L$2990,$B$20)+SUMIFS(#REF!,#REF!,"&gt;="&amp;Z7,#REF!,"&lt;="&amp;EOMONTH(Z7,0),#REF!,$B$20)+SUMIFS('1JI2UE'!$K$6:$K$2989,'1JI2UE'!$J$6:$J$2989,"&gt;="&amp;Z7,'1JI2UE'!$J$6:$J$2989,"&lt;="&amp;EOMONTH(Z7,0),'1JI2UE'!$L$6:$L$2989,$B$20)+SUMIFS(#REF!,#REF!,"&gt;="&amp;Z7,#REF!,"&lt;="&amp;EOMONTH(Z7,0),#REF!,$B$20)+SUMIFS('1SI9BW'!$K$6:$K$2989,'1SI9BW'!$J$6:$J$2989,"&gt;="&amp;Z7,'1SI9BW'!$J$6:$J$2989,"&lt;="&amp;EOMONTH(Z7,0),'1SI9BW'!$L$6:$L$2989,$B$20)+SUMIFS(Suzuki!$K$6:$K$2989,Suzuki!$J$6:$J$2989,"&gt;="&amp;Z7,Suzuki!$J$6:$J$2989,"&lt;="&amp;EOMONTH(Z7,0),Suzuki!$L$6:$L$2989,$B$20)+SUMIFS('1SK3DD'!$K$6:$K$2989,'1SK3DD'!$J$6:$J$2989,"&gt;="&amp;Z7,'1SK3DD'!$J$6:$J$2989,"&lt;="&amp;EOMONTH(Z7,0),'1SK3DD'!$L$6:$L$2989,$B$20)+SUMIFS('1SX5TQ'!$K$6:$K$2989,'1SX5TQ'!$J$6:$J$2989,"&gt;="&amp;Z7,'1SX5TQ'!$J$6:$J$2989,"&lt;="&amp;EOMONTH(Z7,0),'1SX5TQ'!$L$6:$L$2989,$B$20)+SUMIFS('BMM465'!$K$6:$K$2989,'BMM465'!$J$6:$J$2989,"&gt;="&amp;Z7,'BMM465'!$J$6:$J$2989,"&lt;="&amp;EOMONTH(Z7,0),'BMM465'!$L$6:$L$2989,$B$20)+SUMIFS('1CF1ZO'!$K$6:$K$2989,'1CF1ZO'!$J$6:$J$2989,"&gt;="&amp;Z7,'1CF1ZO'!$J$6:$J$2989,"&lt;="&amp;EOMONTH(Z7,0),'1CF1ZO'!$L$6:$L$2989,$B$20)+SUMIFS('1UK1BK'!$K$6:$K$2989,'1UK1BK'!$J$6:$J$2989,"&gt;="&amp;Z7,'1UK1BK'!$J$6:$J$2989,"&lt;="&amp;EOMONTH(Z7,0),'1UK1BK'!$L$6:$L$2989,$B$20)</f>
        <v>#REF!</v>
      </c>
      <c r="AA20" s="110" t="e">
        <f>SUMIFS('CEI565'!$K$6:$K$2990,'CEI565'!$J$6:$J$2990,"&gt;="&amp;AA7,'CEI565'!$J$6:$J$2990,"&lt;="&amp;EOMONTH(AA7,0),'CEI565'!$L$6:$L$2990,$B$20)+SUMIFS('1SM3VL'!$K$6:$K$2990,'1SM3VL'!$J$6:$J$2990,"&gt;="&amp;AA7,'1SM3VL'!$J$6:$J$2990,"&lt;="&amp;EOMONTH(AA7,0),'1SM3VL'!$L$6:$L$2990,$B$20)+SUMIFS('1QF4SM'!$K$6:$K$2989,'1QF4SM'!$J$6:$J$2989,"&gt;="&amp;AA7,'1QF4SM'!$J$6:$J$2989,"&lt;="&amp;EOMONTH(AA7,0),'1QF4SM'!$L$6:$L$2989,$B$20)+SUMIFS('1UV5KI'!$K$6:$K$2989,'1UV5KI'!$J$6:$J$2989,"&gt;="&amp;AA7,'1UV5KI'!$J$6:$J$2989,"&lt;="&amp;EOMONTH(AA7,0),'1UV5KI'!$L$6:$L$2989,$B$20)+SUMIFS(#REF!,#REF!,"&gt;="&amp;AA7,#REF!,"&lt;="&amp;EOMONTH(AA7,0),#REF!,$B$20)+SUMIFS('1UL9RY'!$K$6:$K$2990,'1UL9RY'!$J$6:$J$2990,"&gt;="&amp;AA7,'1UL9RY'!$J$6:$J$2990,"&lt;="&amp;EOMONTH(AA7,0),'1UL9RY'!$L$6:$L$2990,$B$20)+SUMIFS('1OZ7GT'!$K$6:$K$2989,'1OZ7GT'!$J$6:$J$2989,"&gt;="&amp;AA7,'1OZ7GT'!$J$6:$J$2989,"&lt;="&amp;EOMONTH(AA7,0),'1OZ7GT'!$L$6:$L$2989,$B$20)+SUMIFS('1CN8DD'!$K$6:$K$2989,'1CN8DD'!$J$6:$J$2989,"&gt;="&amp;AA7,'1CN8DD'!$J$6:$J$2989,"&lt;="&amp;EOMONTH(AA7,0),'1CN8DD'!$L$6:$L$2989,$B$20)+SUMIFS('1UT9BR'!$K$6:$K$2990,'1UT9BR'!$J$6:$J$2990,"&gt;="&amp;AA7,'1UT9BR'!$J$6:$J$2990,"&lt;="&amp;EOMONTH(AA7,0),'1UT9BR'!$L$6:$L$2990,$B$20)+SUMIFS('1MK4UR'!$K$6:$K$2990,'1MK4UR'!$J$6:$J$2990,"&gt;="&amp;AA7,'1MK4UR'!$J$6:$J$2990,"&lt;="&amp;EOMONTH(AA7,0),'1MK4UR'!$L$6:$L$2990,$B$20)+SUMIFS(#REF!,#REF!,"&gt;="&amp;AA7,#REF!,"&lt;="&amp;EOMONTH(AA7,0),#REF!,$B$20)+SUMIFS('1JI2UE'!$K$6:$K$2989,'1JI2UE'!$J$6:$J$2989,"&gt;="&amp;AA7,'1JI2UE'!$J$6:$J$2989,"&lt;="&amp;EOMONTH(AA7,0),'1JI2UE'!$L$6:$L$2989,$B$20)+SUMIFS(#REF!,#REF!,"&gt;="&amp;AA7,#REF!,"&lt;="&amp;EOMONTH(AA7,0),#REF!,$B$20)+SUMIFS('1SI9BW'!$K$6:$K$2989,'1SI9BW'!$J$6:$J$2989,"&gt;="&amp;AA7,'1SI9BW'!$J$6:$J$2989,"&lt;="&amp;EOMONTH(AA7,0),'1SI9BW'!$L$6:$L$2989,$B$20)+SUMIFS(Suzuki!$K$6:$K$2989,Suzuki!$J$6:$J$2989,"&gt;="&amp;AA7,Suzuki!$J$6:$J$2989,"&lt;="&amp;EOMONTH(AA7,0),Suzuki!$L$6:$L$2989,$B$20)+SUMIFS('1SK3DD'!$K$6:$K$2989,'1SK3DD'!$J$6:$J$2989,"&gt;="&amp;AA7,'1SK3DD'!$J$6:$J$2989,"&lt;="&amp;EOMONTH(AA7,0),'1SK3DD'!$L$6:$L$2989,$B$20)+SUMIFS('1SX5TQ'!$K$6:$K$2989,'1SX5TQ'!$J$6:$J$2989,"&gt;="&amp;AA7,'1SX5TQ'!$J$6:$J$2989,"&lt;="&amp;EOMONTH(AA7,0),'1SX5TQ'!$L$6:$L$2989,$B$20)+SUMIFS('BMM465'!$K$6:$K$2989,'BMM465'!$J$6:$J$2989,"&gt;="&amp;AA7,'BMM465'!$J$6:$J$2989,"&lt;="&amp;EOMONTH(AA7,0),'BMM465'!$L$6:$L$2989,$B$20)+SUMIFS('1CF1ZO'!$K$6:$K$2989,'1CF1ZO'!$J$6:$J$2989,"&gt;="&amp;AA7,'1CF1ZO'!$J$6:$J$2989,"&lt;="&amp;EOMONTH(AA7,0),'1CF1ZO'!$L$6:$L$2989,$B$20)+SUMIFS('1UK1BK'!$K$6:$K$2989,'1UK1BK'!$J$6:$J$2989,"&gt;="&amp;AA7,'1UK1BK'!$J$6:$J$2989,"&lt;="&amp;EOMONTH(AA7,0),'1UK1BK'!$L$6:$L$2989,$B$20)</f>
        <v>#REF!</v>
      </c>
      <c r="AB20" s="110" t="e">
        <f>SUMIFS('CEI565'!$K$6:$K$2990,'CEI565'!$J$6:$J$2990,"&gt;="&amp;AB7,'CEI565'!$J$6:$J$2990,"&lt;="&amp;EOMONTH(AB7,0),'CEI565'!$L$6:$L$2990,$B$20)+SUMIFS('1SM3VL'!$K$6:$K$2990,'1SM3VL'!$J$6:$J$2990,"&gt;="&amp;AB7,'1SM3VL'!$J$6:$J$2990,"&lt;="&amp;EOMONTH(AB7,0),'1SM3VL'!$L$6:$L$2990,$B$20)+SUMIFS('1QF4SM'!$K$6:$K$2989,'1QF4SM'!$J$6:$J$2989,"&gt;="&amp;AB7,'1QF4SM'!$J$6:$J$2989,"&lt;="&amp;EOMONTH(AB7,0),'1QF4SM'!$L$6:$L$2989,$B$20)+SUMIFS('1UV5KI'!$K$6:$K$2989,'1UV5KI'!$J$6:$J$2989,"&gt;="&amp;AB7,'1UV5KI'!$J$6:$J$2989,"&lt;="&amp;EOMONTH(AB7,0),'1UV5KI'!$L$6:$L$2989,$B$20)+SUMIFS(#REF!,#REF!,"&gt;="&amp;AB7,#REF!,"&lt;="&amp;EOMONTH(AB7,0),#REF!,$B$20)+SUMIFS('1UL9RY'!$K$6:$K$2990,'1UL9RY'!$J$6:$J$2990,"&gt;="&amp;AB7,'1UL9RY'!$J$6:$J$2990,"&lt;="&amp;EOMONTH(AB7,0),'1UL9RY'!$L$6:$L$2990,$B$20)+SUMIFS('1OZ7GT'!$K$6:$K$2989,'1OZ7GT'!$J$6:$J$2989,"&gt;="&amp;AB7,'1OZ7GT'!$J$6:$J$2989,"&lt;="&amp;EOMONTH(AB7,0),'1OZ7GT'!$L$6:$L$2989,$B$20)+SUMIFS('1CN8DD'!$K$6:$K$2989,'1CN8DD'!$J$6:$J$2989,"&gt;="&amp;AB7,'1CN8DD'!$J$6:$J$2989,"&lt;="&amp;EOMONTH(AB7,0),'1CN8DD'!$L$6:$L$2989,$B$20)+SUMIFS('1UT9BR'!$K$6:$K$2990,'1UT9BR'!$J$6:$J$2990,"&gt;="&amp;AB7,'1UT9BR'!$J$6:$J$2990,"&lt;="&amp;EOMONTH(AB7,0),'1UT9BR'!$L$6:$L$2990,$B$20)+SUMIFS('1MK4UR'!$K$6:$K$2990,'1MK4UR'!$J$6:$J$2990,"&gt;="&amp;AB7,'1MK4UR'!$J$6:$J$2990,"&lt;="&amp;EOMONTH(AB7,0),'1MK4UR'!$L$6:$L$2990,$B$20)+SUMIFS(#REF!,#REF!,"&gt;="&amp;AB7,#REF!,"&lt;="&amp;EOMONTH(AB7,0),#REF!,$B$20)+SUMIFS('1JI2UE'!$K$6:$K$2989,'1JI2UE'!$J$6:$J$2989,"&gt;="&amp;AB7,'1JI2UE'!$J$6:$J$2989,"&lt;="&amp;EOMONTH(AB7,0),'1JI2UE'!$L$6:$L$2989,$B$20)+SUMIFS(#REF!,#REF!,"&gt;="&amp;AB7,#REF!,"&lt;="&amp;EOMONTH(AB7,0),#REF!,$B$20)+SUMIFS('1SI9BW'!$K$6:$K$2989,'1SI9BW'!$J$6:$J$2989,"&gt;="&amp;AB7,'1SI9BW'!$J$6:$J$2989,"&lt;="&amp;EOMONTH(AB7,0),'1SI9BW'!$L$6:$L$2989,$B$20)+SUMIFS(Suzuki!$K$6:$K$2989,Suzuki!$J$6:$J$2989,"&gt;="&amp;AB7,Suzuki!$J$6:$J$2989,"&lt;="&amp;EOMONTH(AB7,0),Suzuki!$L$6:$L$2989,$B$20)+SUMIFS('1SK3DD'!$K$6:$K$2989,'1SK3DD'!$J$6:$J$2989,"&gt;="&amp;AB7,'1SK3DD'!$J$6:$J$2989,"&lt;="&amp;EOMONTH(AB7,0),'1SK3DD'!$L$6:$L$2989,$B$20)+SUMIFS('1SX5TQ'!$K$6:$K$2989,'1SX5TQ'!$J$6:$J$2989,"&gt;="&amp;AB7,'1SX5TQ'!$J$6:$J$2989,"&lt;="&amp;EOMONTH(AB7,0),'1SX5TQ'!$L$6:$L$2989,$B$20)+SUMIFS('BMM465'!$K$6:$K$2989,'BMM465'!$J$6:$J$2989,"&gt;="&amp;AB7,'BMM465'!$J$6:$J$2989,"&lt;="&amp;EOMONTH(AB7,0),'BMM465'!$L$6:$L$2989,$B$20)+SUMIFS('1CF1ZO'!$K$6:$K$2989,'1CF1ZO'!$J$6:$J$2989,"&gt;="&amp;AB7,'1CF1ZO'!$J$6:$J$2989,"&lt;="&amp;EOMONTH(AB7,0),'1CF1ZO'!$L$6:$L$2989,$B$20)+SUMIFS('1UK1BK'!$K$6:$K$2989,'1UK1BK'!$J$6:$J$2989,"&gt;="&amp;AB7,'1UK1BK'!$J$6:$J$2989,"&lt;="&amp;EOMONTH(AB7,0),'1UK1BK'!$L$6:$L$2989,$B$20)</f>
        <v>#REF!</v>
      </c>
      <c r="AC20" s="110" t="e">
        <f>SUMIFS('CEI565'!$K$6:$K$2990,'CEI565'!$J$6:$J$2990,"&gt;="&amp;AC7,'CEI565'!$J$6:$J$2990,"&lt;="&amp;EOMONTH(AC7,0),'CEI565'!$L$6:$L$2990,$B$20)+SUMIFS('1SM3VL'!$K$6:$K$2990,'1SM3VL'!$J$6:$J$2990,"&gt;="&amp;AC7,'1SM3VL'!$J$6:$J$2990,"&lt;="&amp;EOMONTH(AC7,0),'1SM3VL'!$L$6:$L$2990,$B$20)+SUMIFS('1QF4SM'!$K$6:$K$2989,'1QF4SM'!$J$6:$J$2989,"&gt;="&amp;AC7,'1QF4SM'!$J$6:$J$2989,"&lt;="&amp;EOMONTH(AC7,0),'1QF4SM'!$L$6:$L$2989,$B$20)+SUMIFS('1UV5KI'!$K$6:$K$2989,'1UV5KI'!$J$6:$J$2989,"&gt;="&amp;AC7,'1UV5KI'!$J$6:$J$2989,"&lt;="&amp;EOMONTH(AC7,0),'1UV5KI'!$L$6:$L$2989,$B$20)+SUMIFS(#REF!,#REF!,"&gt;="&amp;AC7,#REF!,"&lt;="&amp;EOMONTH(AC7,0),#REF!,$B$20)+SUMIFS('1UL9RY'!$K$6:$K$2990,'1UL9RY'!$J$6:$J$2990,"&gt;="&amp;AC7,'1UL9RY'!$J$6:$J$2990,"&lt;="&amp;EOMONTH(AC7,0),'1UL9RY'!$L$6:$L$2990,$B$20)+SUMIFS('1OZ7GT'!$K$6:$K$2989,'1OZ7GT'!$J$6:$J$2989,"&gt;="&amp;AC7,'1OZ7GT'!$J$6:$J$2989,"&lt;="&amp;EOMONTH(AC7,0),'1OZ7GT'!$L$6:$L$2989,$B$20)+SUMIFS('1CN8DD'!$K$6:$K$2989,'1CN8DD'!$J$6:$J$2989,"&gt;="&amp;AC7,'1CN8DD'!$J$6:$J$2989,"&lt;="&amp;EOMONTH(AC7,0),'1CN8DD'!$L$6:$L$2989,$B$20)+SUMIFS('1UT9BR'!$K$6:$K$2990,'1UT9BR'!$J$6:$J$2990,"&gt;="&amp;AC7,'1UT9BR'!$J$6:$J$2990,"&lt;="&amp;EOMONTH(AC7,0),'1UT9BR'!$L$6:$L$2990,$B$20)+SUMIFS('1MK4UR'!$K$6:$K$2990,'1MK4UR'!$J$6:$J$2990,"&gt;="&amp;AC7,'1MK4UR'!$J$6:$J$2990,"&lt;="&amp;EOMONTH(AC7,0),'1MK4UR'!$L$6:$L$2990,$B$20)+SUMIFS(#REF!,#REF!,"&gt;="&amp;AC7,#REF!,"&lt;="&amp;EOMONTH(AC7,0),#REF!,$B$20)+SUMIFS('1JI2UE'!$K$6:$K$2989,'1JI2UE'!$J$6:$J$2989,"&gt;="&amp;AC7,'1JI2UE'!$J$6:$J$2989,"&lt;="&amp;EOMONTH(AC7,0),'1JI2UE'!$L$6:$L$2989,$B$20)+SUMIFS(#REF!,#REF!,"&gt;="&amp;AC7,#REF!,"&lt;="&amp;EOMONTH(AC7,0),#REF!,$B$20)+SUMIFS('1SI9BW'!$K$6:$K$2989,'1SI9BW'!$J$6:$J$2989,"&gt;="&amp;AC7,'1SI9BW'!$J$6:$J$2989,"&lt;="&amp;EOMONTH(AC7,0),'1SI9BW'!$L$6:$L$2989,$B$20)+SUMIFS(Suzuki!$K$6:$K$2989,Suzuki!$J$6:$J$2989,"&gt;="&amp;AC7,Suzuki!$J$6:$J$2989,"&lt;="&amp;EOMONTH(AC7,0),Suzuki!$L$6:$L$2989,$B$20)+SUMIFS('1SK3DD'!$K$6:$K$2989,'1SK3DD'!$J$6:$J$2989,"&gt;="&amp;AC7,'1SK3DD'!$J$6:$J$2989,"&lt;="&amp;EOMONTH(AC7,0),'1SK3DD'!$L$6:$L$2989,$B$20)+SUMIFS('1SX5TQ'!$K$6:$K$2989,'1SX5TQ'!$J$6:$J$2989,"&gt;="&amp;AC7,'1SX5TQ'!$J$6:$J$2989,"&lt;="&amp;EOMONTH(AC7,0),'1SX5TQ'!$L$6:$L$2989,$B$20)+SUMIFS('BMM465'!$K$6:$K$2989,'BMM465'!$J$6:$J$2989,"&gt;="&amp;AC7,'BMM465'!$J$6:$J$2989,"&lt;="&amp;EOMONTH(AC7,0),'BMM465'!$L$6:$L$2989,$B$20)+SUMIFS('1CF1ZO'!$K$6:$K$2989,'1CF1ZO'!$J$6:$J$2989,"&gt;="&amp;AC7,'1CF1ZO'!$J$6:$J$2989,"&lt;="&amp;EOMONTH(AC7,0),'1CF1ZO'!$L$6:$L$2989,$B$20)+SUMIFS('1UK1BK'!$K$6:$K$2989,'1UK1BK'!$J$6:$J$2989,"&gt;="&amp;AC7,'1UK1BK'!$J$6:$J$2989,"&lt;="&amp;EOMONTH(AC7,0),'1UK1BK'!$L$6:$L$2989,$B$20)</f>
        <v>#REF!</v>
      </c>
      <c r="AD20" s="110" t="e">
        <f>SUMIFS('CEI565'!$K$6:$K$2990,'CEI565'!$J$6:$J$2990,"&gt;="&amp;AD7,'CEI565'!$J$6:$J$2990,"&lt;="&amp;EOMONTH(AD7,0),'CEI565'!$L$6:$L$2990,$B$20)+SUMIFS('1SM3VL'!$K$6:$K$2990,'1SM3VL'!$J$6:$J$2990,"&gt;="&amp;AD7,'1SM3VL'!$J$6:$J$2990,"&lt;="&amp;EOMONTH(AD7,0),'1SM3VL'!$L$6:$L$2990,$B$20)+SUMIFS('1QF4SM'!$K$6:$K$2989,'1QF4SM'!$J$6:$J$2989,"&gt;="&amp;AD7,'1QF4SM'!$J$6:$J$2989,"&lt;="&amp;EOMONTH(AD7,0),'1QF4SM'!$L$6:$L$2989,$B$20)+SUMIFS('1UV5KI'!$K$6:$K$2989,'1UV5KI'!$J$6:$J$2989,"&gt;="&amp;AD7,'1UV5KI'!$J$6:$J$2989,"&lt;="&amp;EOMONTH(AD7,0),'1UV5KI'!$L$6:$L$2989,$B$20)+SUMIFS(#REF!,#REF!,"&gt;="&amp;AD7,#REF!,"&lt;="&amp;EOMONTH(AD7,0),#REF!,$B$20)+SUMIFS('1UL9RY'!$K$6:$K$2990,'1UL9RY'!$J$6:$J$2990,"&gt;="&amp;AD7,'1UL9RY'!$J$6:$J$2990,"&lt;="&amp;EOMONTH(AD7,0),'1UL9RY'!$L$6:$L$2990,$B$20)+SUMIFS('1OZ7GT'!$K$6:$K$2989,'1OZ7GT'!$J$6:$J$2989,"&gt;="&amp;AD7,'1OZ7GT'!$J$6:$J$2989,"&lt;="&amp;EOMONTH(AD7,0),'1OZ7GT'!$L$6:$L$2989,$B$20)+SUMIFS('1CN8DD'!$K$6:$K$2989,'1CN8DD'!$J$6:$J$2989,"&gt;="&amp;AD7,'1CN8DD'!$J$6:$J$2989,"&lt;="&amp;EOMONTH(AD7,0),'1CN8DD'!$L$6:$L$2989,$B$20)+SUMIFS('1UT9BR'!$K$6:$K$2990,'1UT9BR'!$J$6:$J$2990,"&gt;="&amp;AD7,'1UT9BR'!$J$6:$J$2990,"&lt;="&amp;EOMONTH(AD7,0),'1UT9BR'!$L$6:$L$2990,$B$20)+SUMIFS('1MK4UR'!$K$6:$K$2990,'1MK4UR'!$J$6:$J$2990,"&gt;="&amp;AD7,'1MK4UR'!$J$6:$J$2990,"&lt;="&amp;EOMONTH(AD7,0),'1MK4UR'!$L$6:$L$2990,$B$20)+SUMIFS(#REF!,#REF!,"&gt;="&amp;AD7,#REF!,"&lt;="&amp;EOMONTH(AD7,0),#REF!,$B$20)+SUMIFS('1JI2UE'!$K$6:$K$2989,'1JI2UE'!$J$6:$J$2989,"&gt;="&amp;AD7,'1JI2UE'!$J$6:$J$2989,"&lt;="&amp;EOMONTH(AD7,0),'1JI2UE'!$L$6:$L$2989,$B$20)+SUMIFS(#REF!,#REF!,"&gt;="&amp;AD7,#REF!,"&lt;="&amp;EOMONTH(AD7,0),#REF!,$B$20)+SUMIFS('1SI9BW'!$K$6:$K$2989,'1SI9BW'!$J$6:$J$2989,"&gt;="&amp;AD7,'1SI9BW'!$J$6:$J$2989,"&lt;="&amp;EOMONTH(AD7,0),'1SI9BW'!$L$6:$L$2989,$B$20)+SUMIFS(Suzuki!$K$6:$K$2989,Suzuki!$J$6:$J$2989,"&gt;="&amp;AD7,Suzuki!$J$6:$J$2989,"&lt;="&amp;EOMONTH(AD7,0),Suzuki!$L$6:$L$2989,$B$20)+SUMIFS('1SK3DD'!$K$6:$K$2989,'1SK3DD'!$J$6:$J$2989,"&gt;="&amp;AD7,'1SK3DD'!$J$6:$J$2989,"&lt;="&amp;EOMONTH(AD7,0),'1SK3DD'!$L$6:$L$2989,$B$20)+SUMIFS('1SX5TQ'!$K$6:$K$2989,'1SX5TQ'!$J$6:$J$2989,"&gt;="&amp;AD7,'1SX5TQ'!$J$6:$J$2989,"&lt;="&amp;EOMONTH(AD7,0),'1SX5TQ'!$L$6:$L$2989,$B$20)+SUMIFS('BMM465'!$K$6:$K$2989,'BMM465'!$J$6:$J$2989,"&gt;="&amp;AD7,'BMM465'!$J$6:$J$2989,"&lt;="&amp;EOMONTH(AD7,0),'BMM465'!$L$6:$L$2989,$B$20)+SUMIFS('1CF1ZO'!$K$6:$K$2989,'1CF1ZO'!$J$6:$J$2989,"&gt;="&amp;AD7,'1CF1ZO'!$J$6:$J$2989,"&lt;="&amp;EOMONTH(AD7,0),'1CF1ZO'!$L$6:$L$2989,$B$20)+SUMIFS('1UK1BK'!$K$6:$K$2989,'1UK1BK'!$J$6:$J$2989,"&gt;="&amp;AD7,'1UK1BK'!$J$6:$J$2989,"&lt;="&amp;EOMONTH(AD7,0),'1UK1BK'!$L$6:$L$2989,$B$20)</f>
        <v>#REF!</v>
      </c>
      <c r="AE20" s="110" t="e">
        <f>SUMIFS('CEI565'!$K$6:$K$2990,'CEI565'!$J$6:$J$2990,"&gt;="&amp;AE7,'CEI565'!$J$6:$J$2990,"&lt;="&amp;EOMONTH(AE7,0),'CEI565'!$L$6:$L$2990,$B$20)+SUMIFS('1SM3VL'!$K$6:$K$2990,'1SM3VL'!$J$6:$J$2990,"&gt;="&amp;AE7,'1SM3VL'!$J$6:$J$2990,"&lt;="&amp;EOMONTH(AE7,0),'1SM3VL'!$L$6:$L$2990,$B$20)+SUMIFS('1QF4SM'!$K$6:$K$2989,'1QF4SM'!$J$6:$J$2989,"&gt;="&amp;AE7,'1QF4SM'!$J$6:$J$2989,"&lt;="&amp;EOMONTH(AE7,0),'1QF4SM'!$L$6:$L$2989,$B$20)+SUMIFS('1UV5KI'!$K$6:$K$2989,'1UV5KI'!$J$6:$J$2989,"&gt;="&amp;AE7,'1UV5KI'!$J$6:$J$2989,"&lt;="&amp;EOMONTH(AE7,0),'1UV5KI'!$L$6:$L$2989,$B$20)+SUMIFS(#REF!,#REF!,"&gt;="&amp;AE7,#REF!,"&lt;="&amp;EOMONTH(AE7,0),#REF!,$B$20)+SUMIFS('1UL9RY'!$K$6:$K$2990,'1UL9RY'!$J$6:$J$2990,"&gt;="&amp;AE7,'1UL9RY'!$J$6:$J$2990,"&lt;="&amp;EOMONTH(AE7,0),'1UL9RY'!$L$6:$L$2990,$B$20)+SUMIFS('1OZ7GT'!$K$6:$K$2989,'1OZ7GT'!$J$6:$J$2989,"&gt;="&amp;AE7,'1OZ7GT'!$J$6:$J$2989,"&lt;="&amp;EOMONTH(AE7,0),'1OZ7GT'!$L$6:$L$2989,$B$20)+SUMIFS('1CN8DD'!$K$6:$K$2989,'1CN8DD'!$J$6:$J$2989,"&gt;="&amp;AE7,'1CN8DD'!$J$6:$J$2989,"&lt;="&amp;EOMONTH(AE7,0),'1CN8DD'!$L$6:$L$2989,$B$20)+SUMIFS('1UT9BR'!$K$6:$K$2990,'1UT9BR'!$J$6:$J$2990,"&gt;="&amp;AE7,'1UT9BR'!$J$6:$J$2990,"&lt;="&amp;EOMONTH(AE7,0),'1UT9BR'!$L$6:$L$2990,$B$20)+SUMIFS('1MK4UR'!$K$6:$K$2990,'1MK4UR'!$J$6:$J$2990,"&gt;="&amp;AE7,'1MK4UR'!$J$6:$J$2990,"&lt;="&amp;EOMONTH(AE7,0),'1MK4UR'!$L$6:$L$2990,$B$20)+SUMIFS(#REF!,#REF!,"&gt;="&amp;AE7,#REF!,"&lt;="&amp;EOMONTH(AE7,0),#REF!,$B$20)+SUMIFS('1JI2UE'!$K$6:$K$2989,'1JI2UE'!$J$6:$J$2989,"&gt;="&amp;AE7,'1JI2UE'!$J$6:$J$2989,"&lt;="&amp;EOMONTH(AE7,0),'1JI2UE'!$L$6:$L$2989,$B$20)+SUMIFS(#REF!,#REF!,"&gt;="&amp;AE7,#REF!,"&lt;="&amp;EOMONTH(AE7,0),#REF!,$B$20)+SUMIFS('1SI9BW'!$K$6:$K$2989,'1SI9BW'!$J$6:$J$2989,"&gt;="&amp;AE7,'1SI9BW'!$J$6:$J$2989,"&lt;="&amp;EOMONTH(AE7,0),'1SI9BW'!$L$6:$L$2989,$B$20)+SUMIFS(Suzuki!$K$6:$K$2989,Suzuki!$J$6:$J$2989,"&gt;="&amp;AE7,Suzuki!$J$6:$J$2989,"&lt;="&amp;EOMONTH(AE7,0),Suzuki!$L$6:$L$2989,$B$20)+SUMIFS('1SK3DD'!$K$6:$K$2989,'1SK3DD'!$J$6:$J$2989,"&gt;="&amp;AE7,'1SK3DD'!$J$6:$J$2989,"&lt;="&amp;EOMONTH(AE7,0),'1SK3DD'!$L$6:$L$2989,$B$20)+SUMIFS('1SX5TQ'!$K$6:$K$2989,'1SX5TQ'!$J$6:$J$2989,"&gt;="&amp;AE7,'1SX5TQ'!$J$6:$J$2989,"&lt;="&amp;EOMONTH(AE7,0),'1SX5TQ'!$L$6:$L$2989,$B$20)+SUMIFS('BMM465'!$K$6:$K$2989,'BMM465'!$J$6:$J$2989,"&gt;="&amp;AE7,'BMM465'!$J$6:$J$2989,"&lt;="&amp;EOMONTH(AE7,0),'BMM465'!$L$6:$L$2989,$B$20)+SUMIFS('1CF1ZO'!$K$6:$K$2989,'1CF1ZO'!$J$6:$J$2989,"&gt;="&amp;AE7,'1CF1ZO'!$J$6:$J$2989,"&lt;="&amp;EOMONTH(AE7,0),'1CF1ZO'!$L$6:$L$2989,$B$20)+SUMIFS('1UK1BK'!$K$6:$K$2989,'1UK1BK'!$J$6:$J$2989,"&gt;="&amp;AE7,'1UK1BK'!$J$6:$J$2989,"&lt;="&amp;EOMONTH(AE7,0),'1UK1BK'!$L$6:$L$2989,$B$20)</f>
        <v>#REF!</v>
      </c>
      <c r="AF20" s="110" t="e">
        <f>SUMIFS('CEI565'!$K$6:$K$2990,'CEI565'!$J$6:$J$2990,"&gt;="&amp;AF7,'CEI565'!$J$6:$J$2990,"&lt;="&amp;EOMONTH(AF7,0),'CEI565'!$L$6:$L$2990,$B$20)+SUMIFS('1SM3VL'!$K$6:$K$2990,'1SM3VL'!$J$6:$J$2990,"&gt;="&amp;AF7,'1SM3VL'!$J$6:$J$2990,"&lt;="&amp;EOMONTH(AF7,0),'1SM3VL'!$L$6:$L$2990,$B$20)+SUMIFS('1QF4SM'!$K$6:$K$2989,'1QF4SM'!$J$6:$J$2989,"&gt;="&amp;AF7,'1QF4SM'!$J$6:$J$2989,"&lt;="&amp;EOMONTH(AF7,0),'1QF4SM'!$L$6:$L$2989,$B$20)+SUMIFS('1UV5KI'!$K$6:$K$2989,'1UV5KI'!$J$6:$J$2989,"&gt;="&amp;AF7,'1UV5KI'!$J$6:$J$2989,"&lt;="&amp;EOMONTH(AF7,0),'1UV5KI'!$L$6:$L$2989,$B$20)+SUMIFS(#REF!,#REF!,"&gt;="&amp;AF7,#REF!,"&lt;="&amp;EOMONTH(AF7,0),#REF!,$B$20)+SUMIFS('1UL9RY'!$K$6:$K$2990,'1UL9RY'!$J$6:$J$2990,"&gt;="&amp;AF7,'1UL9RY'!$J$6:$J$2990,"&lt;="&amp;EOMONTH(AF7,0),'1UL9RY'!$L$6:$L$2990,$B$20)+SUMIFS('1OZ7GT'!$K$6:$K$2989,'1OZ7GT'!$J$6:$J$2989,"&gt;="&amp;AF7,'1OZ7GT'!$J$6:$J$2989,"&lt;="&amp;EOMONTH(AF7,0),'1OZ7GT'!$L$6:$L$2989,$B$20)+SUMIFS('1CN8DD'!$K$6:$K$2989,'1CN8DD'!$J$6:$J$2989,"&gt;="&amp;AF7,'1CN8DD'!$J$6:$J$2989,"&lt;="&amp;EOMONTH(AF7,0),'1CN8DD'!$L$6:$L$2989,$B$20)+SUMIFS('1UT9BR'!$K$6:$K$2990,'1UT9BR'!$J$6:$J$2990,"&gt;="&amp;AF7,'1UT9BR'!$J$6:$J$2990,"&lt;="&amp;EOMONTH(AF7,0),'1UT9BR'!$L$6:$L$2990,$B$20)+SUMIFS('1MK4UR'!$K$6:$K$2990,'1MK4UR'!$J$6:$J$2990,"&gt;="&amp;AF7,'1MK4UR'!$J$6:$J$2990,"&lt;="&amp;EOMONTH(AF7,0),'1MK4UR'!$L$6:$L$2990,$B$20)+SUMIFS(#REF!,#REF!,"&gt;="&amp;AF7,#REF!,"&lt;="&amp;EOMONTH(AF7,0),#REF!,$B$20)+SUMIFS('1JI2UE'!$K$6:$K$2989,'1JI2UE'!$J$6:$J$2989,"&gt;="&amp;AF7,'1JI2UE'!$J$6:$J$2989,"&lt;="&amp;EOMONTH(AF7,0),'1JI2UE'!$L$6:$L$2989,$B$20)+SUMIFS(#REF!,#REF!,"&gt;="&amp;AF7,#REF!,"&lt;="&amp;EOMONTH(AF7,0),#REF!,$B$20)+SUMIFS('1SI9BW'!$K$6:$K$2989,'1SI9BW'!$J$6:$J$2989,"&gt;="&amp;AF7,'1SI9BW'!$J$6:$J$2989,"&lt;="&amp;EOMONTH(AF7,0),'1SI9BW'!$L$6:$L$2989,$B$20)+SUMIFS(Suzuki!$K$6:$K$2989,Suzuki!$J$6:$J$2989,"&gt;="&amp;AF7,Suzuki!$J$6:$J$2989,"&lt;="&amp;EOMONTH(AF7,0),Suzuki!$L$6:$L$2989,$B$20)+SUMIFS('1SK3DD'!$K$6:$K$2989,'1SK3DD'!$J$6:$J$2989,"&gt;="&amp;AF7,'1SK3DD'!$J$6:$J$2989,"&lt;="&amp;EOMONTH(AF7,0),'1SK3DD'!$L$6:$L$2989,$B$20)+SUMIFS('1SX5TQ'!$K$6:$K$2989,'1SX5TQ'!$J$6:$J$2989,"&gt;="&amp;AF7,'1SX5TQ'!$J$6:$J$2989,"&lt;="&amp;EOMONTH(AF7,0),'1SX5TQ'!$L$6:$L$2989,$B$20)+SUMIFS('BMM465'!$K$6:$K$2989,'BMM465'!$J$6:$J$2989,"&gt;="&amp;AF7,'BMM465'!$J$6:$J$2989,"&lt;="&amp;EOMONTH(AF7,0),'BMM465'!$L$6:$L$2989,$B$20)+SUMIFS('1CF1ZO'!$K$6:$K$2989,'1CF1ZO'!$J$6:$J$2989,"&gt;="&amp;AF7,'1CF1ZO'!$J$6:$J$2989,"&lt;="&amp;EOMONTH(AF7,0),'1CF1ZO'!$L$6:$L$2989,$B$20)+SUMIFS('1UK1BK'!$K$6:$K$2989,'1UK1BK'!$J$6:$J$2989,"&gt;="&amp;AF7,'1UK1BK'!$J$6:$J$2989,"&lt;="&amp;EOMONTH(AF7,0),'1UK1BK'!$L$6:$L$2989,$B$20)</f>
        <v>#REF!</v>
      </c>
      <c r="AG20" s="110" t="e">
        <f>SUMIFS('CEI565'!$K$6:$K$2990,'CEI565'!$J$6:$J$2990,"&gt;="&amp;AG7,'CEI565'!$J$6:$J$2990,"&lt;="&amp;EOMONTH(AG7,0),'CEI565'!$L$6:$L$2990,$B$20)+SUMIFS('1SM3VL'!$K$6:$K$2990,'1SM3VL'!$J$6:$J$2990,"&gt;="&amp;AG7,'1SM3VL'!$J$6:$J$2990,"&lt;="&amp;EOMONTH(AG7,0),'1SM3VL'!$L$6:$L$2990,$B$20)+SUMIFS('1QF4SM'!$K$6:$K$2989,'1QF4SM'!$J$6:$J$2989,"&gt;="&amp;AG7,'1QF4SM'!$J$6:$J$2989,"&lt;="&amp;EOMONTH(AG7,0),'1QF4SM'!$L$6:$L$2989,$B$20)+SUMIFS('1UV5KI'!$K$6:$K$2989,'1UV5KI'!$J$6:$J$2989,"&gt;="&amp;AG7,'1UV5KI'!$J$6:$J$2989,"&lt;="&amp;EOMONTH(AG7,0),'1UV5KI'!$L$6:$L$2989,$B$20)+SUMIFS(#REF!,#REF!,"&gt;="&amp;AG7,#REF!,"&lt;="&amp;EOMONTH(AG7,0),#REF!,$B$20)+SUMIFS('1UL9RY'!$K$6:$K$2990,'1UL9RY'!$J$6:$J$2990,"&gt;="&amp;AG7,'1UL9RY'!$J$6:$J$2990,"&lt;="&amp;EOMONTH(AG7,0),'1UL9RY'!$L$6:$L$2990,$B$20)+SUMIFS('1OZ7GT'!$K$6:$K$2989,'1OZ7GT'!$J$6:$J$2989,"&gt;="&amp;AG7,'1OZ7GT'!$J$6:$J$2989,"&lt;="&amp;EOMONTH(AG7,0),'1OZ7GT'!$L$6:$L$2989,$B$20)+SUMIFS('1CN8DD'!$K$6:$K$2989,'1CN8DD'!$J$6:$J$2989,"&gt;="&amp;AG7,'1CN8DD'!$J$6:$J$2989,"&lt;="&amp;EOMONTH(AG7,0),'1CN8DD'!$L$6:$L$2989,$B$20)+SUMIFS('1UT9BR'!$K$6:$K$2990,'1UT9BR'!$J$6:$J$2990,"&gt;="&amp;AG7,'1UT9BR'!$J$6:$J$2990,"&lt;="&amp;EOMONTH(AG7,0),'1UT9BR'!$L$6:$L$2990,$B$20)+SUMIFS('1MK4UR'!$K$6:$K$2990,'1MK4UR'!$J$6:$J$2990,"&gt;="&amp;AG7,'1MK4UR'!$J$6:$J$2990,"&lt;="&amp;EOMONTH(AG7,0),'1MK4UR'!$L$6:$L$2990,$B$20)+SUMIFS(#REF!,#REF!,"&gt;="&amp;AG7,#REF!,"&lt;="&amp;EOMONTH(AG7,0),#REF!,$B$20)+SUMIFS('1JI2UE'!$K$6:$K$2989,'1JI2UE'!$J$6:$J$2989,"&gt;="&amp;AG7,'1JI2UE'!$J$6:$J$2989,"&lt;="&amp;EOMONTH(AG7,0),'1JI2UE'!$L$6:$L$2989,$B$20)+SUMIFS(#REF!,#REF!,"&gt;="&amp;AG7,#REF!,"&lt;="&amp;EOMONTH(AG7,0),#REF!,$B$20)+SUMIFS('1SI9BW'!$K$6:$K$2989,'1SI9BW'!$J$6:$J$2989,"&gt;="&amp;AG7,'1SI9BW'!$J$6:$J$2989,"&lt;="&amp;EOMONTH(AG7,0),'1SI9BW'!$L$6:$L$2989,$B$20)+SUMIFS(Suzuki!$K$6:$K$2989,Suzuki!$J$6:$J$2989,"&gt;="&amp;AG7,Suzuki!$J$6:$J$2989,"&lt;="&amp;EOMONTH(AG7,0),Suzuki!$L$6:$L$2989,$B$20)+SUMIFS('1SK3DD'!$K$6:$K$2989,'1SK3DD'!$J$6:$J$2989,"&gt;="&amp;AG7,'1SK3DD'!$J$6:$J$2989,"&lt;="&amp;EOMONTH(AG7,0),'1SK3DD'!$L$6:$L$2989,$B$20)+SUMIFS('1SX5TQ'!$K$6:$K$2989,'1SX5TQ'!$J$6:$J$2989,"&gt;="&amp;AG7,'1SX5TQ'!$J$6:$J$2989,"&lt;="&amp;EOMONTH(AG7,0),'1SX5TQ'!$L$6:$L$2989,$B$20)+SUMIFS('BMM465'!$K$6:$K$2989,'BMM465'!$J$6:$J$2989,"&gt;="&amp;AG7,'BMM465'!$J$6:$J$2989,"&lt;="&amp;EOMONTH(AG7,0),'BMM465'!$L$6:$L$2989,$B$20)+SUMIFS('1CF1ZO'!$K$6:$K$2989,'1CF1ZO'!$J$6:$J$2989,"&gt;="&amp;AG7,'1CF1ZO'!$J$6:$J$2989,"&lt;="&amp;EOMONTH(AG7,0),'1CF1ZO'!$L$6:$L$2989,$B$20)+SUMIFS('1UK1BK'!$K$6:$K$2989,'1UK1BK'!$J$6:$J$2989,"&gt;="&amp;AG7,'1UK1BK'!$J$6:$J$2989,"&lt;="&amp;EOMONTH(AG7,0),'1UK1BK'!$L$6:$L$2989,$B$20)</f>
        <v>#REF!</v>
      </c>
      <c r="AH20" s="110" t="e">
        <f>SUMIFS('CEI565'!$K$6:$K$2990,'CEI565'!$J$6:$J$2990,"&gt;="&amp;AH7,'CEI565'!$J$6:$J$2990,"&lt;="&amp;EOMONTH(AH7,0),'CEI565'!$L$6:$L$2990,$B$20)+SUMIFS('1SM3VL'!$K$6:$K$2990,'1SM3VL'!$J$6:$J$2990,"&gt;="&amp;AH7,'1SM3VL'!$J$6:$J$2990,"&lt;="&amp;EOMONTH(AH7,0),'1SM3VL'!$L$6:$L$2990,$B$20)+SUMIFS('1QF4SM'!$K$6:$K$2989,'1QF4SM'!$J$6:$J$2989,"&gt;="&amp;AH7,'1QF4SM'!$J$6:$J$2989,"&lt;="&amp;EOMONTH(AH7,0),'1QF4SM'!$L$6:$L$2989,$B$20)+SUMIFS('1UV5KI'!$K$6:$K$2989,'1UV5KI'!$J$6:$J$2989,"&gt;="&amp;AH7,'1UV5KI'!$J$6:$J$2989,"&lt;="&amp;EOMONTH(AH7,0),'1UV5KI'!$L$6:$L$2989,$B$20)+SUMIFS(#REF!,#REF!,"&gt;="&amp;AH7,#REF!,"&lt;="&amp;EOMONTH(AH7,0),#REF!,$B$20)+SUMIFS('1UL9RY'!$K$6:$K$2990,'1UL9RY'!$J$6:$J$2990,"&gt;="&amp;AH7,'1UL9RY'!$J$6:$J$2990,"&lt;="&amp;EOMONTH(AH7,0),'1UL9RY'!$L$6:$L$2990,$B$20)+SUMIFS('1OZ7GT'!$K$6:$K$2989,'1OZ7GT'!$J$6:$J$2989,"&gt;="&amp;AH7,'1OZ7GT'!$J$6:$J$2989,"&lt;="&amp;EOMONTH(AH7,0),'1OZ7GT'!$L$6:$L$2989,$B$20)+SUMIFS('1CN8DD'!$K$6:$K$2989,'1CN8DD'!$J$6:$J$2989,"&gt;="&amp;AH7,'1CN8DD'!$J$6:$J$2989,"&lt;="&amp;EOMONTH(AH7,0),'1CN8DD'!$L$6:$L$2989,$B$20)+SUMIFS('1UT9BR'!$K$6:$K$2990,'1UT9BR'!$J$6:$J$2990,"&gt;="&amp;AH7,'1UT9BR'!$J$6:$J$2990,"&lt;="&amp;EOMONTH(AH7,0),'1UT9BR'!$L$6:$L$2990,$B$20)+SUMIFS('1MK4UR'!$K$6:$K$2990,'1MK4UR'!$J$6:$J$2990,"&gt;="&amp;AH7,'1MK4UR'!$J$6:$J$2990,"&lt;="&amp;EOMONTH(AH7,0),'1MK4UR'!$L$6:$L$2990,$B$20)+SUMIFS(#REF!,#REF!,"&gt;="&amp;AH7,#REF!,"&lt;="&amp;EOMONTH(AH7,0),#REF!,$B$20)+SUMIFS('1JI2UE'!$K$6:$K$2989,'1JI2UE'!$J$6:$J$2989,"&gt;="&amp;AH7,'1JI2UE'!$J$6:$J$2989,"&lt;="&amp;EOMONTH(AH7,0),'1JI2UE'!$L$6:$L$2989,$B$20)+SUMIFS(#REF!,#REF!,"&gt;="&amp;AH7,#REF!,"&lt;="&amp;EOMONTH(AH7,0),#REF!,$B$20)+SUMIFS('1SI9BW'!$K$6:$K$2989,'1SI9BW'!$J$6:$J$2989,"&gt;="&amp;AH7,'1SI9BW'!$J$6:$J$2989,"&lt;="&amp;EOMONTH(AH7,0),'1SI9BW'!$L$6:$L$2989,$B$20)+SUMIFS(Suzuki!$K$6:$K$2989,Suzuki!$J$6:$J$2989,"&gt;="&amp;AH7,Suzuki!$J$6:$J$2989,"&lt;="&amp;EOMONTH(AH7,0),Suzuki!$L$6:$L$2989,$B$20)+SUMIFS('1SK3DD'!$K$6:$K$2989,'1SK3DD'!$J$6:$J$2989,"&gt;="&amp;AH7,'1SK3DD'!$J$6:$J$2989,"&lt;="&amp;EOMONTH(AH7,0),'1SK3DD'!$L$6:$L$2989,$B$20)+SUMIFS('1SX5TQ'!$K$6:$K$2989,'1SX5TQ'!$J$6:$J$2989,"&gt;="&amp;AH7,'1SX5TQ'!$J$6:$J$2989,"&lt;="&amp;EOMONTH(AH7,0),'1SX5TQ'!$L$6:$L$2989,$B$20)+SUMIFS('BMM465'!$K$6:$K$2989,'BMM465'!$J$6:$J$2989,"&gt;="&amp;AH7,'BMM465'!$J$6:$J$2989,"&lt;="&amp;EOMONTH(AH7,0),'BMM465'!$L$6:$L$2989,$B$20)+SUMIFS('1CF1ZO'!$K$6:$K$2989,'1CF1ZO'!$J$6:$J$2989,"&gt;="&amp;AH7,'1CF1ZO'!$J$6:$J$2989,"&lt;="&amp;EOMONTH(AH7,0),'1CF1ZO'!$L$6:$L$2989,$B$20)+SUMIFS('1UK1BK'!$K$6:$K$2989,'1UK1BK'!$J$6:$J$2989,"&gt;="&amp;AH7,'1UK1BK'!$J$6:$J$2989,"&lt;="&amp;EOMONTH(AH7,0),'1UK1BK'!$L$6:$L$2989,$B$20)</f>
        <v>#REF!</v>
      </c>
      <c r="AI20" s="110" t="e">
        <f>SUMIFS('CEI565'!$K$6:$K$2990,'CEI565'!$J$6:$J$2990,"&gt;="&amp;AI7,'CEI565'!$J$6:$J$2990,"&lt;="&amp;EOMONTH(AI7,0),'CEI565'!$L$6:$L$2990,$B$20)+SUMIFS('1SM3VL'!$K$6:$K$2990,'1SM3VL'!$J$6:$J$2990,"&gt;="&amp;AI7,'1SM3VL'!$J$6:$J$2990,"&lt;="&amp;EOMONTH(AI7,0),'1SM3VL'!$L$6:$L$2990,$B$20)+SUMIFS('1QF4SM'!$K$6:$K$2989,'1QF4SM'!$J$6:$J$2989,"&gt;="&amp;AI7,'1QF4SM'!$J$6:$J$2989,"&lt;="&amp;EOMONTH(AI7,0),'1QF4SM'!$L$6:$L$2989,$B$20)+SUMIFS('1UV5KI'!$K$6:$K$2989,'1UV5KI'!$J$6:$J$2989,"&gt;="&amp;AI7,'1UV5KI'!$J$6:$J$2989,"&lt;="&amp;EOMONTH(AI7,0),'1UV5KI'!$L$6:$L$2989,$B$20)+SUMIFS(#REF!,#REF!,"&gt;="&amp;AI7,#REF!,"&lt;="&amp;EOMONTH(AI7,0),#REF!,$B$20)+SUMIFS('1UL9RY'!$K$6:$K$2990,'1UL9RY'!$J$6:$J$2990,"&gt;="&amp;AI7,'1UL9RY'!$J$6:$J$2990,"&lt;="&amp;EOMONTH(AI7,0),'1UL9RY'!$L$6:$L$2990,$B$20)+SUMIFS('1OZ7GT'!$K$6:$K$2989,'1OZ7GT'!$J$6:$J$2989,"&gt;="&amp;AI7,'1OZ7GT'!$J$6:$J$2989,"&lt;="&amp;EOMONTH(AI7,0),'1OZ7GT'!$L$6:$L$2989,$B$20)+SUMIFS('1CN8DD'!$K$6:$K$2989,'1CN8DD'!$J$6:$J$2989,"&gt;="&amp;AI7,'1CN8DD'!$J$6:$J$2989,"&lt;="&amp;EOMONTH(AI7,0),'1CN8DD'!$L$6:$L$2989,$B$20)+SUMIFS('1UT9BR'!$K$6:$K$2990,'1UT9BR'!$J$6:$J$2990,"&gt;="&amp;AI7,'1UT9BR'!$J$6:$J$2990,"&lt;="&amp;EOMONTH(AI7,0),'1UT9BR'!$L$6:$L$2990,$B$20)+SUMIFS('1MK4UR'!$K$6:$K$2990,'1MK4UR'!$J$6:$J$2990,"&gt;="&amp;AI7,'1MK4UR'!$J$6:$J$2990,"&lt;="&amp;EOMONTH(AI7,0),'1MK4UR'!$L$6:$L$2990,$B$20)+SUMIFS(#REF!,#REF!,"&gt;="&amp;AI7,#REF!,"&lt;="&amp;EOMONTH(AI7,0),#REF!,$B$20)+SUMIFS('1JI2UE'!$K$6:$K$2989,'1JI2UE'!$J$6:$J$2989,"&gt;="&amp;AI7,'1JI2UE'!$J$6:$J$2989,"&lt;="&amp;EOMONTH(AI7,0),'1JI2UE'!$L$6:$L$2989,$B$20)+SUMIFS(#REF!,#REF!,"&gt;="&amp;AI7,#REF!,"&lt;="&amp;EOMONTH(AI7,0),#REF!,$B$20)+SUMIFS('1SI9BW'!$K$6:$K$2989,'1SI9BW'!$J$6:$J$2989,"&gt;="&amp;AI7,'1SI9BW'!$J$6:$J$2989,"&lt;="&amp;EOMONTH(AI7,0),'1SI9BW'!$L$6:$L$2989,$B$20)+SUMIFS(Suzuki!$K$6:$K$2989,Suzuki!$J$6:$J$2989,"&gt;="&amp;AI7,Suzuki!$J$6:$J$2989,"&lt;="&amp;EOMONTH(AI7,0),Suzuki!$L$6:$L$2989,$B$20)+SUMIFS('1SK3DD'!$K$6:$K$2989,'1SK3DD'!$J$6:$J$2989,"&gt;="&amp;AI7,'1SK3DD'!$J$6:$J$2989,"&lt;="&amp;EOMONTH(AI7,0),'1SK3DD'!$L$6:$L$2989,$B$20)+SUMIFS('1SX5TQ'!$K$6:$K$2989,'1SX5TQ'!$J$6:$J$2989,"&gt;="&amp;AI7,'1SX5TQ'!$J$6:$J$2989,"&lt;="&amp;EOMONTH(AI7,0),'1SX5TQ'!$L$6:$L$2989,$B$20)+SUMIFS('BMM465'!$K$6:$K$2989,'BMM465'!$J$6:$J$2989,"&gt;="&amp;AI7,'BMM465'!$J$6:$J$2989,"&lt;="&amp;EOMONTH(AI7,0),'BMM465'!$L$6:$L$2989,$B$20)+SUMIFS('1CF1ZO'!$K$6:$K$2989,'1CF1ZO'!$J$6:$J$2989,"&gt;="&amp;AI7,'1CF1ZO'!$J$6:$J$2989,"&lt;="&amp;EOMONTH(AI7,0),'1CF1ZO'!$L$6:$L$2989,$B$20)+SUMIFS('1UK1BK'!$K$6:$K$2989,'1UK1BK'!$J$6:$J$2989,"&gt;="&amp;AI7,'1UK1BK'!$J$6:$J$2989,"&lt;="&amp;EOMONTH(AI7,0),'1UK1BK'!$L$6:$L$2989,$B$20)</f>
        <v>#REF!</v>
      </c>
      <c r="AJ20" s="110" t="e">
        <f>SUMIFS('CEI565'!$K$6:$K$2990,'CEI565'!$J$6:$J$2990,"&gt;="&amp;AJ7,'CEI565'!$J$6:$J$2990,"&lt;="&amp;EOMONTH(AJ7,0),'CEI565'!$L$6:$L$2990,$B$20)+SUMIFS('1SM3VL'!$K$6:$K$2990,'1SM3VL'!$J$6:$J$2990,"&gt;="&amp;AJ7,'1SM3VL'!$J$6:$J$2990,"&lt;="&amp;EOMONTH(AJ7,0),'1SM3VL'!$L$6:$L$2990,$B$20)+SUMIFS('1QF4SM'!$K$6:$K$2989,'1QF4SM'!$J$6:$J$2989,"&gt;="&amp;AJ7,'1QF4SM'!$J$6:$J$2989,"&lt;="&amp;EOMONTH(AJ7,0),'1QF4SM'!$L$6:$L$2989,$B$20)+SUMIFS('1UV5KI'!$K$6:$K$2989,'1UV5KI'!$J$6:$J$2989,"&gt;="&amp;AJ7,'1UV5KI'!$J$6:$J$2989,"&lt;="&amp;EOMONTH(AJ7,0),'1UV5KI'!$L$6:$L$2989,$B$20)+SUMIFS(#REF!,#REF!,"&gt;="&amp;AJ7,#REF!,"&lt;="&amp;EOMONTH(AJ7,0),#REF!,$B$20)+SUMIFS('1UL9RY'!$K$6:$K$2990,'1UL9RY'!$J$6:$J$2990,"&gt;="&amp;AJ7,'1UL9RY'!$J$6:$J$2990,"&lt;="&amp;EOMONTH(AJ7,0),'1UL9RY'!$L$6:$L$2990,$B$20)+SUMIFS('1OZ7GT'!$K$6:$K$2989,'1OZ7GT'!$J$6:$J$2989,"&gt;="&amp;AJ7,'1OZ7GT'!$J$6:$J$2989,"&lt;="&amp;EOMONTH(AJ7,0),'1OZ7GT'!$L$6:$L$2989,$B$20)+SUMIFS('1CN8DD'!$K$6:$K$2989,'1CN8DD'!$J$6:$J$2989,"&gt;="&amp;AJ7,'1CN8DD'!$J$6:$J$2989,"&lt;="&amp;EOMONTH(AJ7,0),'1CN8DD'!$L$6:$L$2989,$B$20)+SUMIFS('1UT9BR'!$K$6:$K$2990,'1UT9BR'!$J$6:$J$2990,"&gt;="&amp;AJ7,'1UT9BR'!$J$6:$J$2990,"&lt;="&amp;EOMONTH(AJ7,0),'1UT9BR'!$L$6:$L$2990,$B$20)+SUMIFS('1MK4UR'!$K$6:$K$2990,'1MK4UR'!$J$6:$J$2990,"&gt;="&amp;AJ7,'1MK4UR'!$J$6:$J$2990,"&lt;="&amp;EOMONTH(AJ7,0),'1MK4UR'!$L$6:$L$2990,$B$20)+SUMIFS(#REF!,#REF!,"&gt;="&amp;AJ7,#REF!,"&lt;="&amp;EOMONTH(AJ7,0),#REF!,$B$20)+SUMIFS('1JI2UE'!$K$6:$K$2989,'1JI2UE'!$J$6:$J$2989,"&gt;="&amp;AJ7,'1JI2UE'!$J$6:$J$2989,"&lt;="&amp;EOMONTH(AJ7,0),'1JI2UE'!$L$6:$L$2989,$B$20)+SUMIFS(#REF!,#REF!,"&gt;="&amp;AJ7,#REF!,"&lt;="&amp;EOMONTH(AJ7,0),#REF!,$B$20)+SUMIFS('1SI9BW'!$K$6:$K$2989,'1SI9BW'!$J$6:$J$2989,"&gt;="&amp;AJ7,'1SI9BW'!$J$6:$J$2989,"&lt;="&amp;EOMONTH(AJ7,0),'1SI9BW'!$L$6:$L$2989,$B$20)+SUMIFS(Suzuki!$K$6:$K$2989,Suzuki!$J$6:$J$2989,"&gt;="&amp;AJ7,Suzuki!$J$6:$J$2989,"&lt;="&amp;EOMONTH(AJ7,0),Suzuki!$L$6:$L$2989,$B$20)+SUMIFS('1SK3DD'!$K$6:$K$2989,'1SK3DD'!$J$6:$J$2989,"&gt;="&amp;AJ7,'1SK3DD'!$J$6:$J$2989,"&lt;="&amp;EOMONTH(AJ7,0),'1SK3DD'!$L$6:$L$2989,$B$20)+SUMIFS('1SX5TQ'!$K$6:$K$2989,'1SX5TQ'!$J$6:$J$2989,"&gt;="&amp;AJ7,'1SX5TQ'!$J$6:$J$2989,"&lt;="&amp;EOMONTH(AJ7,0),'1SX5TQ'!$L$6:$L$2989,$B$20)+SUMIFS('BMM465'!$K$6:$K$2989,'BMM465'!$J$6:$J$2989,"&gt;="&amp;AJ7,'BMM465'!$J$6:$J$2989,"&lt;="&amp;EOMONTH(AJ7,0),'BMM465'!$L$6:$L$2989,$B$20)+SUMIFS('1CF1ZO'!$K$6:$K$2989,'1CF1ZO'!$J$6:$J$2989,"&gt;="&amp;AJ7,'1CF1ZO'!$J$6:$J$2989,"&lt;="&amp;EOMONTH(AJ7,0),'1CF1ZO'!$L$6:$L$2989,$B$20)+SUMIFS('1UK1BK'!$K$6:$K$2989,'1UK1BK'!$J$6:$J$2989,"&gt;="&amp;AJ7,'1UK1BK'!$J$6:$J$2989,"&lt;="&amp;EOMONTH(AJ7,0),'1UK1BK'!$L$6:$L$2989,$B$20)</f>
        <v>#REF!</v>
      </c>
      <c r="AK20" s="110" t="e">
        <f>SUMIFS('CEI565'!$K$6:$K$2990,'CEI565'!$J$6:$J$2990,"&gt;="&amp;AK7,'CEI565'!$J$6:$J$2990,"&lt;="&amp;EOMONTH(AK7,0),'CEI565'!$L$6:$L$2990,$B$20)+SUMIFS('1SM3VL'!$K$6:$K$2990,'1SM3VL'!$J$6:$J$2990,"&gt;="&amp;AK7,'1SM3VL'!$J$6:$J$2990,"&lt;="&amp;EOMONTH(AK7,0),'1SM3VL'!$L$6:$L$2990,$B$20)+SUMIFS('1QF4SM'!$K$6:$K$2989,'1QF4SM'!$J$6:$J$2989,"&gt;="&amp;AK7,'1QF4SM'!$J$6:$J$2989,"&lt;="&amp;EOMONTH(AK7,0),'1QF4SM'!$L$6:$L$2989,$B$20)+SUMIFS('1UV5KI'!$K$6:$K$2989,'1UV5KI'!$J$6:$J$2989,"&gt;="&amp;AK7,'1UV5KI'!$J$6:$J$2989,"&lt;="&amp;EOMONTH(AK7,0),'1UV5KI'!$L$6:$L$2989,$B$20)+SUMIFS(#REF!,#REF!,"&gt;="&amp;AK7,#REF!,"&lt;="&amp;EOMONTH(AK7,0),#REF!,$B$20)+SUMIFS('1UL9RY'!$K$6:$K$2990,'1UL9RY'!$J$6:$J$2990,"&gt;="&amp;AK7,'1UL9RY'!$J$6:$J$2990,"&lt;="&amp;EOMONTH(AK7,0),'1UL9RY'!$L$6:$L$2990,$B$20)+SUMIFS('1OZ7GT'!$K$6:$K$2989,'1OZ7GT'!$J$6:$J$2989,"&gt;="&amp;AK7,'1OZ7GT'!$J$6:$J$2989,"&lt;="&amp;EOMONTH(AK7,0),'1OZ7GT'!$L$6:$L$2989,$B$20)+SUMIFS('1CN8DD'!$K$6:$K$2989,'1CN8DD'!$J$6:$J$2989,"&gt;="&amp;AK7,'1CN8DD'!$J$6:$J$2989,"&lt;="&amp;EOMONTH(AK7,0),'1CN8DD'!$L$6:$L$2989,$B$20)+SUMIFS('1UT9BR'!$K$6:$K$2990,'1UT9BR'!$J$6:$J$2990,"&gt;="&amp;AK7,'1UT9BR'!$J$6:$J$2990,"&lt;="&amp;EOMONTH(AK7,0),'1UT9BR'!$L$6:$L$2990,$B$20)+SUMIFS('1MK4UR'!$K$6:$K$2990,'1MK4UR'!$J$6:$J$2990,"&gt;="&amp;AK7,'1MK4UR'!$J$6:$J$2990,"&lt;="&amp;EOMONTH(AK7,0),'1MK4UR'!$L$6:$L$2990,$B$20)+SUMIFS(#REF!,#REF!,"&gt;="&amp;AK7,#REF!,"&lt;="&amp;EOMONTH(AK7,0),#REF!,$B$20)+SUMIFS('1JI2UE'!$K$6:$K$2989,'1JI2UE'!$J$6:$J$2989,"&gt;="&amp;AK7,'1JI2UE'!$J$6:$J$2989,"&lt;="&amp;EOMONTH(AK7,0),'1JI2UE'!$L$6:$L$2989,$B$20)+SUMIFS(#REF!,#REF!,"&gt;="&amp;AK7,#REF!,"&lt;="&amp;EOMONTH(AK7,0),#REF!,$B$20)+SUMIFS('1SI9BW'!$K$6:$K$2989,'1SI9BW'!$J$6:$J$2989,"&gt;="&amp;AK7,'1SI9BW'!$J$6:$J$2989,"&lt;="&amp;EOMONTH(AK7,0),'1SI9BW'!$L$6:$L$2989,$B$20)+SUMIFS(Suzuki!$K$6:$K$2989,Suzuki!$J$6:$J$2989,"&gt;="&amp;AK7,Suzuki!$J$6:$J$2989,"&lt;="&amp;EOMONTH(AK7,0),Suzuki!$L$6:$L$2989,$B$20)+SUMIFS('1SK3DD'!$K$6:$K$2989,'1SK3DD'!$J$6:$J$2989,"&gt;="&amp;AK7,'1SK3DD'!$J$6:$J$2989,"&lt;="&amp;EOMONTH(AK7,0),'1SK3DD'!$L$6:$L$2989,$B$20)+SUMIFS('1SX5TQ'!$K$6:$K$2989,'1SX5TQ'!$J$6:$J$2989,"&gt;="&amp;AK7,'1SX5TQ'!$J$6:$J$2989,"&lt;="&amp;EOMONTH(AK7,0),'1SX5TQ'!$L$6:$L$2989,$B$20)+SUMIFS('BMM465'!$K$6:$K$2989,'BMM465'!$J$6:$J$2989,"&gt;="&amp;AK7,'BMM465'!$J$6:$J$2989,"&lt;="&amp;EOMONTH(AK7,0),'BMM465'!$L$6:$L$2989,$B$20)+SUMIFS('1CF1ZO'!$K$6:$K$2989,'1CF1ZO'!$J$6:$J$2989,"&gt;="&amp;AK7,'1CF1ZO'!$J$6:$J$2989,"&lt;="&amp;EOMONTH(AK7,0),'1CF1ZO'!$L$6:$L$2989,$B$20)+SUMIFS('1UK1BK'!$K$6:$K$2989,'1UK1BK'!$J$6:$J$2989,"&gt;="&amp;AK7,'1UK1BK'!$J$6:$J$2989,"&lt;="&amp;EOMONTH(AK7,0),'1UK1BK'!$L$6:$L$2989,$B$20)</f>
        <v>#REF!</v>
      </c>
      <c r="AL20" s="110" t="e">
        <f>SUMIFS('CEI565'!$K$6:$K$2990,'CEI565'!$J$6:$J$2990,"&gt;="&amp;AL7,'CEI565'!$J$6:$J$2990,"&lt;="&amp;EOMONTH(AL7,0),'CEI565'!$L$6:$L$2990,$B$20)+SUMIFS('1SM3VL'!$K$6:$K$2990,'1SM3VL'!$J$6:$J$2990,"&gt;="&amp;AL7,'1SM3VL'!$J$6:$J$2990,"&lt;="&amp;EOMONTH(AL7,0),'1SM3VL'!$L$6:$L$2990,$B$20)+SUMIFS('1QF4SM'!$K$6:$K$2989,'1QF4SM'!$J$6:$J$2989,"&gt;="&amp;AL7,'1QF4SM'!$J$6:$J$2989,"&lt;="&amp;EOMONTH(AL7,0),'1QF4SM'!$L$6:$L$2989,$B$20)+SUMIFS('1UV5KI'!$K$6:$K$2989,'1UV5KI'!$J$6:$J$2989,"&gt;="&amp;AL7,'1UV5KI'!$J$6:$J$2989,"&lt;="&amp;EOMONTH(AL7,0),'1UV5KI'!$L$6:$L$2989,$B$20)+SUMIFS(#REF!,#REF!,"&gt;="&amp;AL7,#REF!,"&lt;="&amp;EOMONTH(AL7,0),#REF!,$B$20)+SUMIFS('1UL9RY'!$K$6:$K$2990,'1UL9RY'!$J$6:$J$2990,"&gt;="&amp;AL7,'1UL9RY'!$J$6:$J$2990,"&lt;="&amp;EOMONTH(AL7,0),'1UL9RY'!$L$6:$L$2990,$B$20)+SUMIFS('1OZ7GT'!$K$6:$K$2989,'1OZ7GT'!$J$6:$J$2989,"&gt;="&amp;AL7,'1OZ7GT'!$J$6:$J$2989,"&lt;="&amp;EOMONTH(AL7,0),'1OZ7GT'!$L$6:$L$2989,$B$20)+SUMIFS('1CN8DD'!$K$6:$K$2989,'1CN8DD'!$J$6:$J$2989,"&gt;="&amp;AL7,'1CN8DD'!$J$6:$J$2989,"&lt;="&amp;EOMONTH(AL7,0),'1CN8DD'!$L$6:$L$2989,$B$20)+SUMIFS('1UT9BR'!$K$6:$K$2990,'1UT9BR'!$J$6:$J$2990,"&gt;="&amp;AL7,'1UT9BR'!$J$6:$J$2990,"&lt;="&amp;EOMONTH(AL7,0),'1UT9BR'!$L$6:$L$2990,$B$20)+SUMIFS('1MK4UR'!$K$6:$K$2990,'1MK4UR'!$J$6:$J$2990,"&gt;="&amp;AL7,'1MK4UR'!$J$6:$J$2990,"&lt;="&amp;EOMONTH(AL7,0),'1MK4UR'!$L$6:$L$2990,$B$20)+SUMIFS(#REF!,#REF!,"&gt;="&amp;AL7,#REF!,"&lt;="&amp;EOMONTH(AL7,0),#REF!,$B$20)+SUMIFS('1JI2UE'!$K$6:$K$2989,'1JI2UE'!$J$6:$J$2989,"&gt;="&amp;AL7,'1JI2UE'!$J$6:$J$2989,"&lt;="&amp;EOMONTH(AL7,0),'1JI2UE'!$L$6:$L$2989,$B$20)+SUMIFS(#REF!,#REF!,"&gt;="&amp;AL7,#REF!,"&lt;="&amp;EOMONTH(AL7,0),#REF!,$B$20)+SUMIFS('1SI9BW'!$K$6:$K$2989,'1SI9BW'!$J$6:$J$2989,"&gt;="&amp;AL7,'1SI9BW'!$J$6:$J$2989,"&lt;="&amp;EOMONTH(AL7,0),'1SI9BW'!$L$6:$L$2989,$B$20)+SUMIFS(Suzuki!$K$6:$K$2989,Suzuki!$J$6:$J$2989,"&gt;="&amp;AL7,Suzuki!$J$6:$J$2989,"&lt;="&amp;EOMONTH(AL7,0),Suzuki!$L$6:$L$2989,$B$20)+SUMIFS('1SK3DD'!$K$6:$K$2989,'1SK3DD'!$J$6:$J$2989,"&gt;="&amp;AL7,'1SK3DD'!$J$6:$J$2989,"&lt;="&amp;EOMONTH(AL7,0),'1SK3DD'!$L$6:$L$2989,$B$20)+SUMIFS('1SX5TQ'!$K$6:$K$2989,'1SX5TQ'!$J$6:$J$2989,"&gt;="&amp;AL7,'1SX5TQ'!$J$6:$J$2989,"&lt;="&amp;EOMONTH(AL7,0),'1SX5TQ'!$L$6:$L$2989,$B$20)+SUMIFS('BMM465'!$K$6:$K$2989,'BMM465'!$J$6:$J$2989,"&gt;="&amp;AL7,'BMM465'!$J$6:$J$2989,"&lt;="&amp;EOMONTH(AL7,0),'BMM465'!$L$6:$L$2989,$B$20)+SUMIFS('1CF1ZO'!$K$6:$K$2989,'1CF1ZO'!$J$6:$J$2989,"&gt;="&amp;AL7,'1CF1ZO'!$J$6:$J$2989,"&lt;="&amp;EOMONTH(AL7,0),'1CF1ZO'!$L$6:$L$2989,$B$20)+SUMIFS('1UK1BK'!$K$6:$K$2989,'1UK1BK'!$J$6:$J$2989,"&gt;="&amp;AL7,'1UK1BK'!$J$6:$J$2989,"&lt;="&amp;EOMONTH(AL7,0),'1UK1BK'!$L$6:$L$2989,$B$20)</f>
        <v>#REF!</v>
      </c>
      <c r="AM20" s="110" t="e">
        <f>SUMIFS('CEI565'!$K$6:$K$2990,'CEI565'!$J$6:$J$2990,"&gt;="&amp;AM7,'CEI565'!$J$6:$J$2990,"&lt;="&amp;EOMONTH(AM7,0),'CEI565'!$L$6:$L$2990,$B$20)+SUMIFS('1SM3VL'!$K$6:$K$2990,'1SM3VL'!$J$6:$J$2990,"&gt;="&amp;AM7,'1SM3VL'!$J$6:$J$2990,"&lt;="&amp;EOMONTH(AM7,0),'1SM3VL'!$L$6:$L$2990,$B$20)+SUMIFS('1QF4SM'!$K$6:$K$2989,'1QF4SM'!$J$6:$J$2989,"&gt;="&amp;AM7,'1QF4SM'!$J$6:$J$2989,"&lt;="&amp;EOMONTH(AM7,0),'1QF4SM'!$L$6:$L$2989,$B$20)+SUMIFS('1UV5KI'!$K$6:$K$2989,'1UV5KI'!$J$6:$J$2989,"&gt;="&amp;AM7,'1UV5KI'!$J$6:$J$2989,"&lt;="&amp;EOMONTH(AM7,0),'1UV5KI'!$L$6:$L$2989,$B$20)+SUMIFS(#REF!,#REF!,"&gt;="&amp;AM7,#REF!,"&lt;="&amp;EOMONTH(AM7,0),#REF!,$B$20)+SUMIFS('1UL9RY'!$K$6:$K$2990,'1UL9RY'!$J$6:$J$2990,"&gt;="&amp;AM7,'1UL9RY'!$J$6:$J$2990,"&lt;="&amp;EOMONTH(AM7,0),'1UL9RY'!$L$6:$L$2990,$B$20)+SUMIFS('1OZ7GT'!$K$6:$K$2989,'1OZ7GT'!$J$6:$J$2989,"&gt;="&amp;AM7,'1OZ7GT'!$J$6:$J$2989,"&lt;="&amp;EOMONTH(AM7,0),'1OZ7GT'!$L$6:$L$2989,$B$20)+SUMIFS('1CN8DD'!$K$6:$K$2989,'1CN8DD'!$J$6:$J$2989,"&gt;="&amp;AM7,'1CN8DD'!$J$6:$J$2989,"&lt;="&amp;EOMONTH(AM7,0),'1CN8DD'!$L$6:$L$2989,$B$20)+SUMIFS('1UT9BR'!$K$6:$K$2990,'1UT9BR'!$J$6:$J$2990,"&gt;="&amp;AM7,'1UT9BR'!$J$6:$J$2990,"&lt;="&amp;EOMONTH(AM7,0),'1UT9BR'!$L$6:$L$2990,$B$20)+SUMIFS('1MK4UR'!$K$6:$K$2990,'1MK4UR'!$J$6:$J$2990,"&gt;="&amp;AM7,'1MK4UR'!$J$6:$J$2990,"&lt;="&amp;EOMONTH(AM7,0),'1MK4UR'!$L$6:$L$2990,$B$20)+SUMIFS(#REF!,#REF!,"&gt;="&amp;AM7,#REF!,"&lt;="&amp;EOMONTH(AM7,0),#REF!,$B$20)+SUMIFS('1JI2UE'!$K$6:$K$2989,'1JI2UE'!$J$6:$J$2989,"&gt;="&amp;AM7,'1JI2UE'!$J$6:$J$2989,"&lt;="&amp;EOMONTH(AM7,0),'1JI2UE'!$L$6:$L$2989,$B$20)+SUMIFS(#REF!,#REF!,"&gt;="&amp;AM7,#REF!,"&lt;="&amp;EOMONTH(AM7,0),#REF!,$B$20)+SUMIFS('1SI9BW'!$K$6:$K$2989,'1SI9BW'!$J$6:$J$2989,"&gt;="&amp;AM7,'1SI9BW'!$J$6:$J$2989,"&lt;="&amp;EOMONTH(AM7,0),'1SI9BW'!$L$6:$L$2989,$B$20)+SUMIFS(Suzuki!$K$6:$K$2989,Suzuki!$J$6:$J$2989,"&gt;="&amp;AM7,Suzuki!$J$6:$J$2989,"&lt;="&amp;EOMONTH(AM7,0),Suzuki!$L$6:$L$2989,$B$20)+SUMIFS('1SK3DD'!$K$6:$K$2989,'1SK3DD'!$J$6:$J$2989,"&gt;="&amp;AM7,'1SK3DD'!$J$6:$J$2989,"&lt;="&amp;EOMONTH(AM7,0),'1SK3DD'!$L$6:$L$2989,$B$20)+SUMIFS('1SX5TQ'!$K$6:$K$2989,'1SX5TQ'!$J$6:$J$2989,"&gt;="&amp;AM7,'1SX5TQ'!$J$6:$J$2989,"&lt;="&amp;EOMONTH(AM7,0),'1SX5TQ'!$L$6:$L$2989,$B$20)+SUMIFS('BMM465'!$K$6:$K$2989,'BMM465'!$J$6:$J$2989,"&gt;="&amp;AM7,'BMM465'!$J$6:$J$2989,"&lt;="&amp;EOMONTH(AM7,0),'BMM465'!$L$6:$L$2989,$B$20)+SUMIFS('1CF1ZO'!$K$6:$K$2989,'1CF1ZO'!$J$6:$J$2989,"&gt;="&amp;AM7,'1CF1ZO'!$J$6:$J$2989,"&lt;="&amp;EOMONTH(AM7,0),'1CF1ZO'!$L$6:$L$2989,$B$20)+SUMIFS('1UK1BK'!$K$6:$K$2989,'1UK1BK'!$J$6:$J$2989,"&gt;="&amp;AM7,'1UK1BK'!$J$6:$J$2989,"&lt;="&amp;EOMONTH(AM7,0),'1UK1BK'!$L$6:$L$2989,$B$20)</f>
        <v>#REF!</v>
      </c>
      <c r="AN20" s="110" t="e">
        <f>SUMIFS('CEI565'!$K$6:$K$2990,'CEI565'!$J$6:$J$2990,"&gt;="&amp;AN7,'CEI565'!$J$6:$J$2990,"&lt;="&amp;EOMONTH(AN7,0),'CEI565'!$L$6:$L$2990,$B$20)+SUMIFS('1SM3VL'!$K$6:$K$2990,'1SM3VL'!$J$6:$J$2990,"&gt;="&amp;AN7,'1SM3VL'!$J$6:$J$2990,"&lt;="&amp;EOMONTH(AN7,0),'1SM3VL'!$L$6:$L$2990,$B$20)+SUMIFS('1QF4SM'!$K$6:$K$2989,'1QF4SM'!$J$6:$J$2989,"&gt;="&amp;AN7,'1QF4SM'!$J$6:$J$2989,"&lt;="&amp;EOMONTH(AN7,0),'1QF4SM'!$L$6:$L$2989,$B$20)+SUMIFS('1UV5KI'!$K$6:$K$2989,'1UV5KI'!$J$6:$J$2989,"&gt;="&amp;AN7,'1UV5KI'!$J$6:$J$2989,"&lt;="&amp;EOMONTH(AN7,0),'1UV5KI'!$L$6:$L$2989,$B$20)+SUMIFS(#REF!,#REF!,"&gt;="&amp;AN7,#REF!,"&lt;="&amp;EOMONTH(AN7,0),#REF!,$B$20)+SUMIFS('1UL9RY'!$K$6:$K$2990,'1UL9RY'!$J$6:$J$2990,"&gt;="&amp;AN7,'1UL9RY'!$J$6:$J$2990,"&lt;="&amp;EOMONTH(AN7,0),'1UL9RY'!$L$6:$L$2990,$B$20)+SUMIFS('1OZ7GT'!$K$6:$K$2989,'1OZ7GT'!$J$6:$J$2989,"&gt;="&amp;AN7,'1OZ7GT'!$J$6:$J$2989,"&lt;="&amp;EOMONTH(AN7,0),'1OZ7GT'!$L$6:$L$2989,$B$20)+SUMIFS('1CN8DD'!$K$6:$K$2989,'1CN8DD'!$J$6:$J$2989,"&gt;="&amp;AN7,'1CN8DD'!$J$6:$J$2989,"&lt;="&amp;EOMONTH(AN7,0),'1CN8DD'!$L$6:$L$2989,$B$20)+SUMIFS('1UT9BR'!$K$6:$K$2990,'1UT9BR'!$J$6:$J$2990,"&gt;="&amp;AN7,'1UT9BR'!$J$6:$J$2990,"&lt;="&amp;EOMONTH(AN7,0),'1UT9BR'!$L$6:$L$2990,$B$20)+SUMIFS('1MK4UR'!$K$6:$K$2990,'1MK4UR'!$J$6:$J$2990,"&gt;="&amp;AN7,'1MK4UR'!$J$6:$J$2990,"&lt;="&amp;EOMONTH(AN7,0),'1MK4UR'!$L$6:$L$2990,$B$20)+SUMIFS(#REF!,#REF!,"&gt;="&amp;AN7,#REF!,"&lt;="&amp;EOMONTH(AN7,0),#REF!,$B$20)+SUMIFS('1JI2UE'!$K$6:$K$2989,'1JI2UE'!$J$6:$J$2989,"&gt;="&amp;AN7,'1JI2UE'!$J$6:$J$2989,"&lt;="&amp;EOMONTH(AN7,0),'1JI2UE'!$L$6:$L$2989,$B$20)+SUMIFS(#REF!,#REF!,"&gt;="&amp;AN7,#REF!,"&lt;="&amp;EOMONTH(AN7,0),#REF!,$B$20)+SUMIFS('1SI9BW'!$K$6:$K$2989,'1SI9BW'!$J$6:$J$2989,"&gt;="&amp;AN7,'1SI9BW'!$J$6:$J$2989,"&lt;="&amp;EOMONTH(AN7,0),'1SI9BW'!$L$6:$L$2989,$B$20)+SUMIFS(Suzuki!$K$6:$K$2989,Suzuki!$J$6:$J$2989,"&gt;="&amp;AN7,Suzuki!$J$6:$J$2989,"&lt;="&amp;EOMONTH(AN7,0),Suzuki!$L$6:$L$2989,$B$20)+SUMIFS('1SK3DD'!$K$6:$K$2989,'1SK3DD'!$J$6:$J$2989,"&gt;="&amp;AN7,'1SK3DD'!$J$6:$J$2989,"&lt;="&amp;EOMONTH(AN7,0),'1SK3DD'!$L$6:$L$2989,$B$20)+SUMIFS('1SX5TQ'!$K$6:$K$2989,'1SX5TQ'!$J$6:$J$2989,"&gt;="&amp;AN7,'1SX5TQ'!$J$6:$J$2989,"&lt;="&amp;EOMONTH(AN7,0),'1SX5TQ'!$L$6:$L$2989,$B$20)+SUMIFS('BMM465'!$K$6:$K$2989,'BMM465'!$J$6:$J$2989,"&gt;="&amp;AN7,'BMM465'!$J$6:$J$2989,"&lt;="&amp;EOMONTH(AN7,0),'BMM465'!$L$6:$L$2989,$B$20)+SUMIFS('1CF1ZO'!$K$6:$K$2989,'1CF1ZO'!$J$6:$J$2989,"&gt;="&amp;AN7,'1CF1ZO'!$J$6:$J$2989,"&lt;="&amp;EOMONTH(AN7,0),'1CF1ZO'!$L$6:$L$2989,$B$20)+SUMIFS('1UK1BK'!$K$6:$K$2989,'1UK1BK'!$J$6:$J$2989,"&gt;="&amp;AN7,'1UK1BK'!$J$6:$J$2989,"&lt;="&amp;EOMONTH(AN7,0),'1UK1BK'!$L$6:$L$2989,$B$20)</f>
        <v>#REF!</v>
      </c>
      <c r="AO20" s="110" t="e">
        <f>SUMIFS('CEI565'!$K$6:$K$2990,'CEI565'!$J$6:$J$2990,"&gt;="&amp;AO7,'CEI565'!$J$6:$J$2990,"&lt;="&amp;EOMONTH(AO7,0),'CEI565'!$L$6:$L$2990,$B$20)+SUMIFS('1SM3VL'!$K$6:$K$2990,'1SM3VL'!$J$6:$J$2990,"&gt;="&amp;AO7,'1SM3VL'!$J$6:$J$2990,"&lt;="&amp;EOMONTH(AO7,0),'1SM3VL'!$L$6:$L$2990,$B$20)+SUMIFS('1QF4SM'!$K$6:$K$2989,'1QF4SM'!$J$6:$J$2989,"&gt;="&amp;AO7,'1QF4SM'!$J$6:$J$2989,"&lt;="&amp;EOMONTH(AO7,0),'1QF4SM'!$L$6:$L$2989,$B$20)+SUMIFS('1UV5KI'!$K$6:$K$2989,'1UV5KI'!$J$6:$J$2989,"&gt;="&amp;AO7,'1UV5KI'!$J$6:$J$2989,"&lt;="&amp;EOMONTH(AO7,0),'1UV5KI'!$L$6:$L$2989,$B$20)+SUMIFS(#REF!,#REF!,"&gt;="&amp;AO7,#REF!,"&lt;="&amp;EOMONTH(AO7,0),#REF!,$B$20)+SUMIFS('1UL9RY'!$K$6:$K$2990,'1UL9RY'!$J$6:$J$2990,"&gt;="&amp;AO7,'1UL9RY'!$J$6:$J$2990,"&lt;="&amp;EOMONTH(AO7,0),'1UL9RY'!$L$6:$L$2990,$B$20)+SUMIFS('1OZ7GT'!$K$6:$K$2989,'1OZ7GT'!$J$6:$J$2989,"&gt;="&amp;AO7,'1OZ7GT'!$J$6:$J$2989,"&lt;="&amp;EOMONTH(AO7,0),'1OZ7GT'!$L$6:$L$2989,$B$20)+SUMIFS('1CN8DD'!$K$6:$K$2989,'1CN8DD'!$J$6:$J$2989,"&gt;="&amp;AO7,'1CN8DD'!$J$6:$J$2989,"&lt;="&amp;EOMONTH(AO7,0),'1CN8DD'!$L$6:$L$2989,$B$20)+SUMIFS('1UT9BR'!$K$6:$K$2990,'1UT9BR'!$J$6:$J$2990,"&gt;="&amp;AO7,'1UT9BR'!$J$6:$J$2990,"&lt;="&amp;EOMONTH(AO7,0),'1UT9BR'!$L$6:$L$2990,$B$20)+SUMIFS('1MK4UR'!$K$6:$K$2990,'1MK4UR'!$J$6:$J$2990,"&gt;="&amp;AO7,'1MK4UR'!$J$6:$J$2990,"&lt;="&amp;EOMONTH(AO7,0),'1MK4UR'!$L$6:$L$2990,$B$20)+SUMIFS(#REF!,#REF!,"&gt;="&amp;AO7,#REF!,"&lt;="&amp;EOMONTH(AO7,0),#REF!,$B$20)+SUMIFS('1JI2UE'!$K$6:$K$2989,'1JI2UE'!$J$6:$J$2989,"&gt;="&amp;AO7,'1JI2UE'!$J$6:$J$2989,"&lt;="&amp;EOMONTH(AO7,0),'1JI2UE'!$L$6:$L$2989,$B$20)+SUMIFS(#REF!,#REF!,"&gt;="&amp;AO7,#REF!,"&lt;="&amp;EOMONTH(AO7,0),#REF!,$B$20)+SUMIFS('1SI9BW'!$K$6:$K$2989,'1SI9BW'!$J$6:$J$2989,"&gt;="&amp;AO7,'1SI9BW'!$J$6:$J$2989,"&lt;="&amp;EOMONTH(AO7,0),'1SI9BW'!$L$6:$L$2989,$B$20)+SUMIFS(Suzuki!$K$6:$K$2989,Suzuki!$J$6:$J$2989,"&gt;="&amp;AO7,Suzuki!$J$6:$J$2989,"&lt;="&amp;EOMONTH(AO7,0),Suzuki!$L$6:$L$2989,$B$20)+SUMIFS('1SK3DD'!$K$6:$K$2989,'1SK3DD'!$J$6:$J$2989,"&gt;="&amp;AO7,'1SK3DD'!$J$6:$J$2989,"&lt;="&amp;EOMONTH(AO7,0),'1SK3DD'!$L$6:$L$2989,$B$20)+SUMIFS('1SX5TQ'!$K$6:$K$2989,'1SX5TQ'!$J$6:$J$2989,"&gt;="&amp;AO7,'1SX5TQ'!$J$6:$J$2989,"&lt;="&amp;EOMONTH(AO7,0),'1SX5TQ'!$L$6:$L$2989,$B$20)+SUMIFS('BMM465'!$K$6:$K$2989,'BMM465'!$J$6:$J$2989,"&gt;="&amp;AO7,'BMM465'!$J$6:$J$2989,"&lt;="&amp;EOMONTH(AO7,0),'BMM465'!$L$6:$L$2989,$B$20)+SUMIFS('1CF1ZO'!$K$6:$K$2989,'1CF1ZO'!$J$6:$J$2989,"&gt;="&amp;AO7,'1CF1ZO'!$J$6:$J$2989,"&lt;="&amp;EOMONTH(AO7,0),'1CF1ZO'!$L$6:$L$2989,$B$20)+SUMIFS('1UK1BK'!$K$6:$K$2989,'1UK1BK'!$J$6:$J$2989,"&gt;="&amp;AO7,'1UK1BK'!$J$6:$J$2989,"&lt;="&amp;EOMONTH(AO7,0),'1UK1BK'!$L$6:$L$2989,$B$20)</f>
        <v>#REF!</v>
      </c>
      <c r="AP20" s="110" t="e">
        <f>SUMIFS('CEI565'!$K$6:$K$2990,'CEI565'!$J$6:$J$2990,"&gt;="&amp;AP7,'CEI565'!$J$6:$J$2990,"&lt;="&amp;EOMONTH(AP7,0),'CEI565'!$L$6:$L$2990,$B$20)+SUMIFS('1SM3VL'!$K$6:$K$2990,'1SM3VL'!$J$6:$J$2990,"&gt;="&amp;AP7,'1SM3VL'!$J$6:$J$2990,"&lt;="&amp;EOMONTH(AP7,0),'1SM3VL'!$L$6:$L$2990,$B$20)+SUMIFS('1QF4SM'!$K$6:$K$2989,'1QF4SM'!$J$6:$J$2989,"&gt;="&amp;AP7,'1QF4SM'!$J$6:$J$2989,"&lt;="&amp;EOMONTH(AP7,0),'1QF4SM'!$L$6:$L$2989,$B$20)+SUMIFS('1UV5KI'!$K$6:$K$2989,'1UV5KI'!$J$6:$J$2989,"&gt;="&amp;AP7,'1UV5KI'!$J$6:$J$2989,"&lt;="&amp;EOMONTH(AP7,0),'1UV5KI'!$L$6:$L$2989,$B$20)+SUMIFS(#REF!,#REF!,"&gt;="&amp;AP7,#REF!,"&lt;="&amp;EOMONTH(AP7,0),#REF!,$B$20)+SUMIFS('1UL9RY'!$K$6:$K$2990,'1UL9RY'!$J$6:$J$2990,"&gt;="&amp;AP7,'1UL9RY'!$J$6:$J$2990,"&lt;="&amp;EOMONTH(AP7,0),'1UL9RY'!$L$6:$L$2990,$B$20)+SUMIFS('1OZ7GT'!$K$6:$K$2989,'1OZ7GT'!$J$6:$J$2989,"&gt;="&amp;AP7,'1OZ7GT'!$J$6:$J$2989,"&lt;="&amp;EOMONTH(AP7,0),'1OZ7GT'!$L$6:$L$2989,$B$20)+SUMIFS('1CN8DD'!$K$6:$K$2989,'1CN8DD'!$J$6:$J$2989,"&gt;="&amp;AP7,'1CN8DD'!$J$6:$J$2989,"&lt;="&amp;EOMONTH(AP7,0),'1CN8DD'!$L$6:$L$2989,$B$20)+SUMIFS('1UT9BR'!$K$6:$K$2990,'1UT9BR'!$J$6:$J$2990,"&gt;="&amp;AP7,'1UT9BR'!$J$6:$J$2990,"&lt;="&amp;EOMONTH(AP7,0),'1UT9BR'!$L$6:$L$2990,$B$20)+SUMIFS('1MK4UR'!$K$6:$K$2990,'1MK4UR'!$J$6:$J$2990,"&gt;="&amp;AP7,'1MK4UR'!$J$6:$J$2990,"&lt;="&amp;EOMONTH(AP7,0),'1MK4UR'!$L$6:$L$2990,$B$20)+SUMIFS(#REF!,#REF!,"&gt;="&amp;AP7,#REF!,"&lt;="&amp;EOMONTH(AP7,0),#REF!,$B$20)+SUMIFS('1JI2UE'!$K$6:$K$2989,'1JI2UE'!$J$6:$J$2989,"&gt;="&amp;AP7,'1JI2UE'!$J$6:$J$2989,"&lt;="&amp;EOMONTH(AP7,0),'1JI2UE'!$L$6:$L$2989,$B$20)+SUMIFS(#REF!,#REF!,"&gt;="&amp;AP7,#REF!,"&lt;="&amp;EOMONTH(AP7,0),#REF!,$B$20)+SUMIFS('1SI9BW'!$K$6:$K$2989,'1SI9BW'!$J$6:$J$2989,"&gt;="&amp;AP7,'1SI9BW'!$J$6:$J$2989,"&lt;="&amp;EOMONTH(AP7,0),'1SI9BW'!$L$6:$L$2989,$B$20)+SUMIFS(Suzuki!$K$6:$K$2989,Suzuki!$J$6:$J$2989,"&gt;="&amp;AP7,Suzuki!$J$6:$J$2989,"&lt;="&amp;EOMONTH(AP7,0),Suzuki!$L$6:$L$2989,$B$20)+SUMIFS('1SK3DD'!$K$6:$K$2989,'1SK3DD'!$J$6:$J$2989,"&gt;="&amp;AP7,'1SK3DD'!$J$6:$J$2989,"&lt;="&amp;EOMONTH(AP7,0),'1SK3DD'!$L$6:$L$2989,$B$20)+SUMIFS('1SX5TQ'!$K$6:$K$2989,'1SX5TQ'!$J$6:$J$2989,"&gt;="&amp;AP7,'1SX5TQ'!$J$6:$J$2989,"&lt;="&amp;EOMONTH(AP7,0),'1SX5TQ'!$L$6:$L$2989,$B$20)+SUMIFS('BMM465'!$K$6:$K$2989,'BMM465'!$J$6:$J$2989,"&gt;="&amp;AP7,'BMM465'!$J$6:$J$2989,"&lt;="&amp;EOMONTH(AP7,0),'BMM465'!$L$6:$L$2989,$B$20)+SUMIFS('1CF1ZO'!$K$6:$K$2989,'1CF1ZO'!$J$6:$J$2989,"&gt;="&amp;AP7,'1CF1ZO'!$J$6:$J$2989,"&lt;="&amp;EOMONTH(AP7,0),'1CF1ZO'!$L$6:$L$2989,$B$20)+SUMIFS('1UK1BK'!$K$6:$K$2989,'1UK1BK'!$J$6:$J$2989,"&gt;="&amp;AP7,'1UK1BK'!$J$6:$J$2989,"&lt;="&amp;EOMONTH(AP7,0),'1UK1BK'!$L$6:$L$2989,$B$20)</f>
        <v>#REF!</v>
      </c>
      <c r="AQ20" s="110" t="e">
        <f>SUMIFS('CEI565'!$K$6:$K$2990,'CEI565'!$J$6:$J$2990,"&gt;="&amp;AQ7,'CEI565'!$J$6:$J$2990,"&lt;="&amp;EOMONTH(AQ7,0),'CEI565'!$L$6:$L$2990,$B$20)+SUMIFS('1SM3VL'!$K$6:$K$2990,'1SM3VL'!$J$6:$J$2990,"&gt;="&amp;AQ7,'1SM3VL'!$J$6:$J$2990,"&lt;="&amp;EOMONTH(AQ7,0),'1SM3VL'!$L$6:$L$2990,$B$20)+SUMIFS('1QF4SM'!$K$6:$K$2989,'1QF4SM'!$J$6:$J$2989,"&gt;="&amp;AQ7,'1QF4SM'!$J$6:$J$2989,"&lt;="&amp;EOMONTH(AQ7,0),'1QF4SM'!$L$6:$L$2989,$B$20)+SUMIFS('1UV5KI'!$K$6:$K$2989,'1UV5KI'!$J$6:$J$2989,"&gt;="&amp;AQ7,'1UV5KI'!$J$6:$J$2989,"&lt;="&amp;EOMONTH(AQ7,0),'1UV5KI'!$L$6:$L$2989,$B$20)+SUMIFS(#REF!,#REF!,"&gt;="&amp;AQ7,#REF!,"&lt;="&amp;EOMONTH(AQ7,0),#REF!,$B$20)+SUMIFS('1UL9RY'!$K$6:$K$2990,'1UL9RY'!$J$6:$J$2990,"&gt;="&amp;AQ7,'1UL9RY'!$J$6:$J$2990,"&lt;="&amp;EOMONTH(AQ7,0),'1UL9RY'!$L$6:$L$2990,$B$20)+SUMIFS('1OZ7GT'!$K$6:$K$2989,'1OZ7GT'!$J$6:$J$2989,"&gt;="&amp;AQ7,'1OZ7GT'!$J$6:$J$2989,"&lt;="&amp;EOMONTH(AQ7,0),'1OZ7GT'!$L$6:$L$2989,$B$20)+SUMIFS('1CN8DD'!$K$6:$K$2989,'1CN8DD'!$J$6:$J$2989,"&gt;="&amp;AQ7,'1CN8DD'!$J$6:$J$2989,"&lt;="&amp;EOMONTH(AQ7,0),'1CN8DD'!$L$6:$L$2989,$B$20)+SUMIFS('1UT9BR'!$K$6:$K$2990,'1UT9BR'!$J$6:$J$2990,"&gt;="&amp;AQ7,'1UT9BR'!$J$6:$J$2990,"&lt;="&amp;EOMONTH(AQ7,0),'1UT9BR'!$L$6:$L$2990,$B$20)+SUMIFS('1MK4UR'!$K$6:$K$2990,'1MK4UR'!$J$6:$J$2990,"&gt;="&amp;AQ7,'1MK4UR'!$J$6:$J$2990,"&lt;="&amp;EOMONTH(AQ7,0),'1MK4UR'!$L$6:$L$2990,$B$20)+SUMIFS(#REF!,#REF!,"&gt;="&amp;AQ7,#REF!,"&lt;="&amp;EOMONTH(AQ7,0),#REF!,$B$20)+SUMIFS('1JI2UE'!$K$6:$K$2989,'1JI2UE'!$J$6:$J$2989,"&gt;="&amp;AQ7,'1JI2UE'!$J$6:$J$2989,"&lt;="&amp;EOMONTH(AQ7,0),'1JI2UE'!$L$6:$L$2989,$B$20)+SUMIFS(#REF!,#REF!,"&gt;="&amp;AQ7,#REF!,"&lt;="&amp;EOMONTH(AQ7,0),#REF!,$B$20)+SUMIFS('1SI9BW'!$K$6:$K$2989,'1SI9BW'!$J$6:$J$2989,"&gt;="&amp;AQ7,'1SI9BW'!$J$6:$J$2989,"&lt;="&amp;EOMONTH(AQ7,0),'1SI9BW'!$L$6:$L$2989,$B$20)+SUMIFS(Suzuki!$K$6:$K$2989,Suzuki!$J$6:$J$2989,"&gt;="&amp;AQ7,Suzuki!$J$6:$J$2989,"&lt;="&amp;EOMONTH(AQ7,0),Suzuki!$L$6:$L$2989,$B$20)+SUMIFS('1SK3DD'!$K$6:$K$2989,'1SK3DD'!$J$6:$J$2989,"&gt;="&amp;AQ7,'1SK3DD'!$J$6:$J$2989,"&lt;="&amp;EOMONTH(AQ7,0),'1SK3DD'!$L$6:$L$2989,$B$20)+SUMIFS('1SX5TQ'!$K$6:$K$2989,'1SX5TQ'!$J$6:$J$2989,"&gt;="&amp;AQ7,'1SX5TQ'!$J$6:$J$2989,"&lt;="&amp;EOMONTH(AQ7,0),'1SX5TQ'!$L$6:$L$2989,$B$20)+SUMIFS('BMM465'!$K$6:$K$2989,'BMM465'!$J$6:$J$2989,"&gt;="&amp;AQ7,'BMM465'!$J$6:$J$2989,"&lt;="&amp;EOMONTH(AQ7,0),'BMM465'!$L$6:$L$2989,$B$20)+SUMIFS('1CF1ZO'!$K$6:$K$2989,'1CF1ZO'!$J$6:$J$2989,"&gt;="&amp;AQ7,'1CF1ZO'!$J$6:$J$2989,"&lt;="&amp;EOMONTH(AQ7,0),'1CF1ZO'!$L$6:$L$2989,$B$20)+SUMIFS('1UK1BK'!$K$6:$K$2989,'1UK1BK'!$J$6:$J$2989,"&gt;="&amp;AQ7,'1UK1BK'!$J$6:$J$2989,"&lt;="&amp;EOMONTH(AQ7,0),'1UK1BK'!$L$6:$L$2989,$B$20)</f>
        <v>#REF!</v>
      </c>
      <c r="AR20" s="110" t="e">
        <f>SUMIFS('CEI565'!$K$6:$K$2990,'CEI565'!$J$6:$J$2990,"&gt;="&amp;AR7,'CEI565'!$J$6:$J$2990,"&lt;="&amp;EOMONTH(AR7,0),'CEI565'!$L$6:$L$2990,$B$20)+SUMIFS('1SM3VL'!$K$6:$K$2990,'1SM3VL'!$J$6:$J$2990,"&gt;="&amp;AR7,'1SM3VL'!$J$6:$J$2990,"&lt;="&amp;EOMONTH(AR7,0),'1SM3VL'!$L$6:$L$2990,$B$20)+SUMIFS('1QF4SM'!$K$6:$K$2989,'1QF4SM'!$J$6:$J$2989,"&gt;="&amp;AR7,'1QF4SM'!$J$6:$J$2989,"&lt;="&amp;EOMONTH(AR7,0),'1QF4SM'!$L$6:$L$2989,$B$20)+SUMIFS('1UV5KI'!$K$6:$K$2989,'1UV5KI'!$J$6:$J$2989,"&gt;="&amp;AR7,'1UV5KI'!$J$6:$J$2989,"&lt;="&amp;EOMONTH(AR7,0),'1UV5KI'!$L$6:$L$2989,$B$20)+SUMIFS(#REF!,#REF!,"&gt;="&amp;AR7,#REF!,"&lt;="&amp;EOMONTH(AR7,0),#REF!,$B$20)+SUMIFS('1UL9RY'!$K$6:$K$2990,'1UL9RY'!$J$6:$J$2990,"&gt;="&amp;AR7,'1UL9RY'!$J$6:$J$2990,"&lt;="&amp;EOMONTH(AR7,0),'1UL9RY'!$L$6:$L$2990,$B$20)+SUMIFS('1OZ7GT'!$K$6:$K$2989,'1OZ7GT'!$J$6:$J$2989,"&gt;="&amp;AR7,'1OZ7GT'!$J$6:$J$2989,"&lt;="&amp;EOMONTH(AR7,0),'1OZ7GT'!$L$6:$L$2989,$B$20)+SUMIFS('1CN8DD'!$K$6:$K$2989,'1CN8DD'!$J$6:$J$2989,"&gt;="&amp;AR7,'1CN8DD'!$J$6:$J$2989,"&lt;="&amp;EOMONTH(AR7,0),'1CN8DD'!$L$6:$L$2989,$B$20)+SUMIFS('1UT9BR'!$K$6:$K$2990,'1UT9BR'!$J$6:$J$2990,"&gt;="&amp;AR7,'1UT9BR'!$J$6:$J$2990,"&lt;="&amp;EOMONTH(AR7,0),'1UT9BR'!$L$6:$L$2990,$B$20)+SUMIFS('1MK4UR'!$K$6:$K$2990,'1MK4UR'!$J$6:$J$2990,"&gt;="&amp;AR7,'1MK4UR'!$J$6:$J$2990,"&lt;="&amp;EOMONTH(AR7,0),'1MK4UR'!$L$6:$L$2990,$B$20)+SUMIFS(#REF!,#REF!,"&gt;="&amp;AR7,#REF!,"&lt;="&amp;EOMONTH(AR7,0),#REF!,$B$20)+SUMIFS('1JI2UE'!$K$6:$K$2989,'1JI2UE'!$J$6:$J$2989,"&gt;="&amp;AR7,'1JI2UE'!$J$6:$J$2989,"&lt;="&amp;EOMONTH(AR7,0),'1JI2UE'!$L$6:$L$2989,$B$20)+SUMIFS(#REF!,#REF!,"&gt;="&amp;AR7,#REF!,"&lt;="&amp;EOMONTH(AR7,0),#REF!,$B$20)+SUMIFS('1SI9BW'!$K$6:$K$2989,'1SI9BW'!$J$6:$J$2989,"&gt;="&amp;AR7,'1SI9BW'!$J$6:$J$2989,"&lt;="&amp;EOMONTH(AR7,0),'1SI9BW'!$L$6:$L$2989,$B$20)+SUMIFS(Suzuki!$K$6:$K$2989,Suzuki!$J$6:$J$2989,"&gt;="&amp;AR7,Suzuki!$J$6:$J$2989,"&lt;="&amp;EOMONTH(AR7,0),Suzuki!$L$6:$L$2989,$B$20)+SUMIFS('1SK3DD'!$K$6:$K$2989,'1SK3DD'!$J$6:$J$2989,"&gt;="&amp;AR7,'1SK3DD'!$J$6:$J$2989,"&lt;="&amp;EOMONTH(AR7,0),'1SK3DD'!$L$6:$L$2989,$B$20)+SUMIFS('1SX5TQ'!$K$6:$K$2989,'1SX5TQ'!$J$6:$J$2989,"&gt;="&amp;AR7,'1SX5TQ'!$J$6:$J$2989,"&lt;="&amp;EOMONTH(AR7,0),'1SX5TQ'!$L$6:$L$2989,$B$20)+SUMIFS('BMM465'!$K$6:$K$2989,'BMM465'!$J$6:$J$2989,"&gt;="&amp;AR7,'BMM465'!$J$6:$J$2989,"&lt;="&amp;EOMONTH(AR7,0),'BMM465'!$L$6:$L$2989,$B$20)+SUMIFS('1CF1ZO'!$K$6:$K$2989,'1CF1ZO'!$J$6:$J$2989,"&gt;="&amp;AR7,'1CF1ZO'!$J$6:$J$2989,"&lt;="&amp;EOMONTH(AR7,0),'1CF1ZO'!$L$6:$L$2989,$B$20)+SUMIFS('1UK1BK'!$K$6:$K$2989,'1UK1BK'!$J$6:$J$2989,"&gt;="&amp;AR7,'1UK1BK'!$J$6:$J$2989,"&lt;="&amp;EOMONTH(AR7,0),'1UK1BK'!$L$6:$L$2989,$B$20)</f>
        <v>#REF!</v>
      </c>
      <c r="AS20" s="110" t="e">
        <f>SUMIFS('CEI565'!$K$6:$K$2990,'CEI565'!$J$6:$J$2990,"&gt;="&amp;AS7,'CEI565'!$J$6:$J$2990,"&lt;="&amp;EOMONTH(AS7,0),'CEI565'!$L$6:$L$2990,$B$20)+SUMIFS('1SM3VL'!$K$6:$K$2990,'1SM3VL'!$J$6:$J$2990,"&gt;="&amp;AS7,'1SM3VL'!$J$6:$J$2990,"&lt;="&amp;EOMONTH(AS7,0),'1SM3VL'!$L$6:$L$2990,$B$20)+SUMIFS('1QF4SM'!$K$6:$K$2989,'1QF4SM'!$J$6:$J$2989,"&gt;="&amp;AS7,'1QF4SM'!$J$6:$J$2989,"&lt;="&amp;EOMONTH(AS7,0),'1QF4SM'!$L$6:$L$2989,$B$20)+SUMIFS('1UV5KI'!$K$6:$K$2989,'1UV5KI'!$J$6:$J$2989,"&gt;="&amp;AS7,'1UV5KI'!$J$6:$J$2989,"&lt;="&amp;EOMONTH(AS7,0),'1UV5KI'!$L$6:$L$2989,$B$20)+SUMIFS(#REF!,#REF!,"&gt;="&amp;AS7,#REF!,"&lt;="&amp;EOMONTH(AS7,0),#REF!,$B$20)+SUMIFS('1UL9RY'!$K$6:$K$2990,'1UL9RY'!$J$6:$J$2990,"&gt;="&amp;AS7,'1UL9RY'!$J$6:$J$2990,"&lt;="&amp;EOMONTH(AS7,0),'1UL9RY'!$L$6:$L$2990,$B$20)+SUMIFS('1OZ7GT'!$K$6:$K$2989,'1OZ7GT'!$J$6:$J$2989,"&gt;="&amp;AS7,'1OZ7GT'!$J$6:$J$2989,"&lt;="&amp;EOMONTH(AS7,0),'1OZ7GT'!$L$6:$L$2989,$B$20)+SUMIFS('1CN8DD'!$K$6:$K$2989,'1CN8DD'!$J$6:$J$2989,"&gt;="&amp;AS7,'1CN8DD'!$J$6:$J$2989,"&lt;="&amp;EOMONTH(AS7,0),'1CN8DD'!$L$6:$L$2989,$B$20)+SUMIFS('1UT9BR'!$K$6:$K$2990,'1UT9BR'!$J$6:$J$2990,"&gt;="&amp;AS7,'1UT9BR'!$J$6:$J$2990,"&lt;="&amp;EOMONTH(AS7,0),'1UT9BR'!$L$6:$L$2990,$B$20)+SUMIFS('1MK4UR'!$K$6:$K$2990,'1MK4UR'!$J$6:$J$2990,"&gt;="&amp;AS7,'1MK4UR'!$J$6:$J$2990,"&lt;="&amp;EOMONTH(AS7,0),'1MK4UR'!$L$6:$L$2990,$B$20)+SUMIFS(#REF!,#REF!,"&gt;="&amp;AS7,#REF!,"&lt;="&amp;EOMONTH(AS7,0),#REF!,$B$20)+SUMIFS('1JI2UE'!$K$6:$K$2989,'1JI2UE'!$J$6:$J$2989,"&gt;="&amp;AS7,'1JI2UE'!$J$6:$J$2989,"&lt;="&amp;EOMONTH(AS7,0),'1JI2UE'!$L$6:$L$2989,$B$20)+SUMIFS(#REF!,#REF!,"&gt;="&amp;AS7,#REF!,"&lt;="&amp;EOMONTH(AS7,0),#REF!,$B$20)+SUMIFS('1SI9BW'!$K$6:$K$2989,'1SI9BW'!$J$6:$J$2989,"&gt;="&amp;AS7,'1SI9BW'!$J$6:$J$2989,"&lt;="&amp;EOMONTH(AS7,0),'1SI9BW'!$L$6:$L$2989,$B$20)+SUMIFS(Suzuki!$K$6:$K$2989,Suzuki!$J$6:$J$2989,"&gt;="&amp;AS7,Suzuki!$J$6:$J$2989,"&lt;="&amp;EOMONTH(AS7,0),Suzuki!$L$6:$L$2989,$B$20)+SUMIFS('1SK3DD'!$K$6:$K$2989,'1SK3DD'!$J$6:$J$2989,"&gt;="&amp;AS7,'1SK3DD'!$J$6:$J$2989,"&lt;="&amp;EOMONTH(AS7,0),'1SK3DD'!$L$6:$L$2989,$B$20)+SUMIFS('1SX5TQ'!$K$6:$K$2989,'1SX5TQ'!$J$6:$J$2989,"&gt;="&amp;AS7,'1SX5TQ'!$J$6:$J$2989,"&lt;="&amp;EOMONTH(AS7,0),'1SX5TQ'!$L$6:$L$2989,$B$20)+SUMIFS('BMM465'!$K$6:$K$2989,'BMM465'!$J$6:$J$2989,"&gt;="&amp;AS7,'BMM465'!$J$6:$J$2989,"&lt;="&amp;EOMONTH(AS7,0),'BMM465'!$L$6:$L$2989,$B$20)+SUMIFS('1CF1ZO'!$K$6:$K$2989,'1CF1ZO'!$J$6:$J$2989,"&gt;="&amp;AS7,'1CF1ZO'!$J$6:$J$2989,"&lt;="&amp;EOMONTH(AS7,0),'1CF1ZO'!$L$6:$L$2989,$B$20)+SUMIFS('1UK1BK'!$K$6:$K$2989,'1UK1BK'!$J$6:$J$2989,"&gt;="&amp;AS7,'1UK1BK'!$J$6:$J$2989,"&lt;="&amp;EOMONTH(AS7,0),'1UK1BK'!$L$6:$L$2989,$B$20)</f>
        <v>#REF!</v>
      </c>
      <c r="AT20" s="110" t="e">
        <f>SUMIFS('CEI565'!$K$6:$K$2990,'CEI565'!$J$6:$J$2990,"&gt;="&amp;AT7,'CEI565'!$J$6:$J$2990,"&lt;="&amp;EOMONTH(AT7,0),'CEI565'!$L$6:$L$2990,$B$20)+SUMIFS('1SM3VL'!$K$6:$K$2990,'1SM3VL'!$J$6:$J$2990,"&gt;="&amp;AT7,'1SM3VL'!$J$6:$J$2990,"&lt;="&amp;EOMONTH(AT7,0),'1SM3VL'!$L$6:$L$2990,$B$20)+SUMIFS('1QF4SM'!$K$6:$K$2989,'1QF4SM'!$J$6:$J$2989,"&gt;="&amp;AT7,'1QF4SM'!$J$6:$J$2989,"&lt;="&amp;EOMONTH(AT7,0),'1QF4SM'!$L$6:$L$2989,$B$20)+SUMIFS('1UV5KI'!$K$6:$K$2989,'1UV5KI'!$J$6:$J$2989,"&gt;="&amp;AT7,'1UV5KI'!$J$6:$J$2989,"&lt;="&amp;EOMONTH(AT7,0),'1UV5KI'!$L$6:$L$2989,$B$20)+SUMIFS(#REF!,#REF!,"&gt;="&amp;AT7,#REF!,"&lt;="&amp;EOMONTH(AT7,0),#REF!,$B$20)+SUMIFS('1UL9RY'!$K$6:$K$2990,'1UL9RY'!$J$6:$J$2990,"&gt;="&amp;AT7,'1UL9RY'!$J$6:$J$2990,"&lt;="&amp;EOMONTH(AT7,0),'1UL9RY'!$L$6:$L$2990,$B$20)+SUMIFS('1OZ7GT'!$K$6:$K$2989,'1OZ7GT'!$J$6:$J$2989,"&gt;="&amp;AT7,'1OZ7GT'!$J$6:$J$2989,"&lt;="&amp;EOMONTH(AT7,0),'1OZ7GT'!$L$6:$L$2989,$B$20)+SUMIFS('1CN8DD'!$K$6:$K$2989,'1CN8DD'!$J$6:$J$2989,"&gt;="&amp;AT7,'1CN8DD'!$J$6:$J$2989,"&lt;="&amp;EOMONTH(AT7,0),'1CN8DD'!$L$6:$L$2989,$B$20)+SUMIFS('1UT9BR'!$K$6:$K$2990,'1UT9BR'!$J$6:$J$2990,"&gt;="&amp;AT7,'1UT9BR'!$J$6:$J$2990,"&lt;="&amp;EOMONTH(AT7,0),'1UT9BR'!$L$6:$L$2990,$B$20)+SUMIFS('1MK4UR'!$K$6:$K$2990,'1MK4UR'!$J$6:$J$2990,"&gt;="&amp;AT7,'1MK4UR'!$J$6:$J$2990,"&lt;="&amp;EOMONTH(AT7,0),'1MK4UR'!$L$6:$L$2990,$B$20)+SUMIFS(#REF!,#REF!,"&gt;="&amp;AT7,#REF!,"&lt;="&amp;EOMONTH(AT7,0),#REF!,$B$20)+SUMIFS('1JI2UE'!$K$6:$K$2989,'1JI2UE'!$J$6:$J$2989,"&gt;="&amp;AT7,'1JI2UE'!$J$6:$J$2989,"&lt;="&amp;EOMONTH(AT7,0),'1JI2UE'!$L$6:$L$2989,$B$20)+SUMIFS(#REF!,#REF!,"&gt;="&amp;AT7,#REF!,"&lt;="&amp;EOMONTH(AT7,0),#REF!,$B$20)+SUMIFS('1SI9BW'!$K$6:$K$2989,'1SI9BW'!$J$6:$J$2989,"&gt;="&amp;AT7,'1SI9BW'!$J$6:$J$2989,"&lt;="&amp;EOMONTH(AT7,0),'1SI9BW'!$L$6:$L$2989,$B$20)+SUMIFS(Suzuki!$K$6:$K$2989,Suzuki!$J$6:$J$2989,"&gt;="&amp;AT7,Suzuki!$J$6:$J$2989,"&lt;="&amp;EOMONTH(AT7,0),Suzuki!$L$6:$L$2989,$B$20)+SUMIFS('1SK3DD'!$K$6:$K$2989,'1SK3DD'!$J$6:$J$2989,"&gt;="&amp;AT7,'1SK3DD'!$J$6:$J$2989,"&lt;="&amp;EOMONTH(AT7,0),'1SK3DD'!$L$6:$L$2989,$B$20)+SUMIFS('1SX5TQ'!$K$6:$K$2989,'1SX5TQ'!$J$6:$J$2989,"&gt;="&amp;AT7,'1SX5TQ'!$J$6:$J$2989,"&lt;="&amp;EOMONTH(AT7,0),'1SX5TQ'!$L$6:$L$2989,$B$20)+SUMIFS('BMM465'!$K$6:$K$2989,'BMM465'!$J$6:$J$2989,"&gt;="&amp;AT7,'BMM465'!$J$6:$J$2989,"&lt;="&amp;EOMONTH(AT7,0),'BMM465'!$L$6:$L$2989,$B$20)+SUMIFS('1CF1ZO'!$K$6:$K$2989,'1CF1ZO'!$J$6:$J$2989,"&gt;="&amp;AT7,'1CF1ZO'!$J$6:$J$2989,"&lt;="&amp;EOMONTH(AT7,0),'1CF1ZO'!$L$6:$L$2989,$B$20)+SUMIFS('1UK1BK'!$K$6:$K$2989,'1UK1BK'!$J$6:$J$2989,"&gt;="&amp;AT7,'1UK1BK'!$J$6:$J$2989,"&lt;="&amp;EOMONTH(AT7,0),'1UK1BK'!$L$6:$L$2989,$B$20)</f>
        <v>#REF!</v>
      </c>
      <c r="AU20" s="110" t="e">
        <f>SUMIFS('CEI565'!$K$6:$K$2990,'CEI565'!$J$6:$J$2990,"&gt;="&amp;AU7,'CEI565'!$J$6:$J$2990,"&lt;="&amp;EOMONTH(AU7,0),'CEI565'!$L$6:$L$2990,$B$20)+SUMIFS('1SM3VL'!$K$6:$K$2990,'1SM3VL'!$J$6:$J$2990,"&gt;="&amp;AU7,'1SM3VL'!$J$6:$J$2990,"&lt;="&amp;EOMONTH(AU7,0),'1SM3VL'!$L$6:$L$2990,$B$20)+SUMIFS('1QF4SM'!$K$6:$K$2989,'1QF4SM'!$J$6:$J$2989,"&gt;="&amp;AU7,'1QF4SM'!$J$6:$J$2989,"&lt;="&amp;EOMONTH(AU7,0),'1QF4SM'!$L$6:$L$2989,$B$20)+SUMIFS('1UV5KI'!$K$6:$K$2989,'1UV5KI'!$J$6:$J$2989,"&gt;="&amp;AU7,'1UV5KI'!$J$6:$J$2989,"&lt;="&amp;EOMONTH(AU7,0),'1UV5KI'!$L$6:$L$2989,$B$20)+SUMIFS(#REF!,#REF!,"&gt;="&amp;AU7,#REF!,"&lt;="&amp;EOMONTH(AU7,0),#REF!,$B$20)+SUMIFS('1UL9RY'!$K$6:$K$2990,'1UL9RY'!$J$6:$J$2990,"&gt;="&amp;AU7,'1UL9RY'!$J$6:$J$2990,"&lt;="&amp;EOMONTH(AU7,0),'1UL9RY'!$L$6:$L$2990,$B$20)+SUMIFS('1OZ7GT'!$K$6:$K$2989,'1OZ7GT'!$J$6:$J$2989,"&gt;="&amp;AU7,'1OZ7GT'!$J$6:$J$2989,"&lt;="&amp;EOMONTH(AU7,0),'1OZ7GT'!$L$6:$L$2989,$B$20)+SUMIFS('1CN8DD'!$K$6:$K$2989,'1CN8DD'!$J$6:$J$2989,"&gt;="&amp;AU7,'1CN8DD'!$J$6:$J$2989,"&lt;="&amp;EOMONTH(AU7,0),'1CN8DD'!$L$6:$L$2989,$B$20)+SUMIFS('1UT9BR'!$K$6:$K$2990,'1UT9BR'!$J$6:$J$2990,"&gt;="&amp;AU7,'1UT9BR'!$J$6:$J$2990,"&lt;="&amp;EOMONTH(AU7,0),'1UT9BR'!$L$6:$L$2990,$B$20)+SUMIFS('1MK4UR'!$K$6:$K$2990,'1MK4UR'!$J$6:$J$2990,"&gt;="&amp;AU7,'1MK4UR'!$J$6:$J$2990,"&lt;="&amp;EOMONTH(AU7,0),'1MK4UR'!$L$6:$L$2990,$B$20)+SUMIFS(#REF!,#REF!,"&gt;="&amp;AU7,#REF!,"&lt;="&amp;EOMONTH(AU7,0),#REF!,$B$20)+SUMIFS('1JI2UE'!$K$6:$K$2989,'1JI2UE'!$J$6:$J$2989,"&gt;="&amp;AU7,'1JI2UE'!$J$6:$J$2989,"&lt;="&amp;EOMONTH(AU7,0),'1JI2UE'!$L$6:$L$2989,$B$20)+SUMIFS(#REF!,#REF!,"&gt;="&amp;AU7,#REF!,"&lt;="&amp;EOMONTH(AU7,0),#REF!,$B$20)+SUMIFS('1SI9BW'!$K$6:$K$2989,'1SI9BW'!$J$6:$J$2989,"&gt;="&amp;AU7,'1SI9BW'!$J$6:$J$2989,"&lt;="&amp;EOMONTH(AU7,0),'1SI9BW'!$L$6:$L$2989,$B$20)+SUMIFS(Suzuki!$K$6:$K$2989,Suzuki!$J$6:$J$2989,"&gt;="&amp;AU7,Suzuki!$J$6:$J$2989,"&lt;="&amp;EOMONTH(AU7,0),Suzuki!$L$6:$L$2989,$B$20)+SUMIFS('1SK3DD'!$K$6:$K$2989,'1SK3DD'!$J$6:$J$2989,"&gt;="&amp;AU7,'1SK3DD'!$J$6:$J$2989,"&lt;="&amp;EOMONTH(AU7,0),'1SK3DD'!$L$6:$L$2989,$B$20)+SUMIFS('1SX5TQ'!$K$6:$K$2989,'1SX5TQ'!$J$6:$J$2989,"&gt;="&amp;AU7,'1SX5TQ'!$J$6:$J$2989,"&lt;="&amp;EOMONTH(AU7,0),'1SX5TQ'!$L$6:$L$2989,$B$20)+SUMIFS('BMM465'!$K$6:$K$2989,'BMM465'!$J$6:$J$2989,"&gt;="&amp;AU7,'BMM465'!$J$6:$J$2989,"&lt;="&amp;EOMONTH(AU7,0),'BMM465'!$L$6:$L$2989,$B$20)+SUMIFS('1CF1ZO'!$K$6:$K$2989,'1CF1ZO'!$J$6:$J$2989,"&gt;="&amp;AU7,'1CF1ZO'!$J$6:$J$2989,"&lt;="&amp;EOMONTH(AU7,0),'1CF1ZO'!$L$6:$L$2989,$B$20)+SUMIFS('1UK1BK'!$K$6:$K$2989,'1UK1BK'!$J$6:$J$2989,"&gt;="&amp;AU7,'1UK1BK'!$J$6:$J$2989,"&lt;="&amp;EOMONTH(AU7,0),'1UK1BK'!$L$6:$L$2989,$B$20)</f>
        <v>#REF!</v>
      </c>
      <c r="AV20" s="110" t="e">
        <f>SUMIFS('CEI565'!$K$6:$K$2990,'CEI565'!$J$6:$J$2990,"&gt;="&amp;AV7,'CEI565'!$J$6:$J$2990,"&lt;="&amp;EOMONTH(AV7,0),'CEI565'!$L$6:$L$2990,$B$20)+SUMIFS('1SM3VL'!$K$6:$K$2990,'1SM3VL'!$J$6:$J$2990,"&gt;="&amp;AV7,'1SM3VL'!$J$6:$J$2990,"&lt;="&amp;EOMONTH(AV7,0),'1SM3VL'!$L$6:$L$2990,$B$20)+SUMIFS('1QF4SM'!$K$6:$K$2989,'1QF4SM'!$J$6:$J$2989,"&gt;="&amp;AV7,'1QF4SM'!$J$6:$J$2989,"&lt;="&amp;EOMONTH(AV7,0),'1QF4SM'!$L$6:$L$2989,$B$20)+SUMIFS('1UV5KI'!$K$6:$K$2989,'1UV5KI'!$J$6:$J$2989,"&gt;="&amp;AV7,'1UV5KI'!$J$6:$J$2989,"&lt;="&amp;EOMONTH(AV7,0),'1UV5KI'!$L$6:$L$2989,$B$20)+SUMIFS(#REF!,#REF!,"&gt;="&amp;AV7,#REF!,"&lt;="&amp;EOMONTH(AV7,0),#REF!,$B$20)+SUMIFS('1UL9RY'!$K$6:$K$2990,'1UL9RY'!$J$6:$J$2990,"&gt;="&amp;AV7,'1UL9RY'!$J$6:$J$2990,"&lt;="&amp;EOMONTH(AV7,0),'1UL9RY'!$L$6:$L$2990,$B$20)+SUMIFS('1OZ7GT'!$K$6:$K$2989,'1OZ7GT'!$J$6:$J$2989,"&gt;="&amp;AV7,'1OZ7GT'!$J$6:$J$2989,"&lt;="&amp;EOMONTH(AV7,0),'1OZ7GT'!$L$6:$L$2989,$B$20)+SUMIFS('1CN8DD'!$K$6:$K$2989,'1CN8DD'!$J$6:$J$2989,"&gt;="&amp;AV7,'1CN8DD'!$J$6:$J$2989,"&lt;="&amp;EOMONTH(AV7,0),'1CN8DD'!$L$6:$L$2989,$B$20)+SUMIFS('1UT9BR'!$K$6:$K$2990,'1UT9BR'!$J$6:$J$2990,"&gt;="&amp;AV7,'1UT9BR'!$J$6:$J$2990,"&lt;="&amp;EOMONTH(AV7,0),'1UT9BR'!$L$6:$L$2990,$B$20)+SUMIFS('1MK4UR'!$K$6:$K$2990,'1MK4UR'!$J$6:$J$2990,"&gt;="&amp;AV7,'1MK4UR'!$J$6:$J$2990,"&lt;="&amp;EOMONTH(AV7,0),'1MK4UR'!$L$6:$L$2990,$B$20)+SUMIFS(#REF!,#REF!,"&gt;="&amp;AV7,#REF!,"&lt;="&amp;EOMONTH(AV7,0),#REF!,$B$20)+SUMIFS('1JI2UE'!$K$6:$K$2989,'1JI2UE'!$J$6:$J$2989,"&gt;="&amp;AV7,'1JI2UE'!$J$6:$J$2989,"&lt;="&amp;EOMONTH(AV7,0),'1JI2UE'!$L$6:$L$2989,$B$20)+SUMIFS(#REF!,#REF!,"&gt;="&amp;AV7,#REF!,"&lt;="&amp;EOMONTH(AV7,0),#REF!,$B$20)+SUMIFS('1SI9BW'!$K$6:$K$2989,'1SI9BW'!$J$6:$J$2989,"&gt;="&amp;AV7,'1SI9BW'!$J$6:$J$2989,"&lt;="&amp;EOMONTH(AV7,0),'1SI9BW'!$L$6:$L$2989,$B$20)+SUMIFS(Suzuki!$K$6:$K$2989,Suzuki!$J$6:$J$2989,"&gt;="&amp;AV7,Suzuki!$J$6:$J$2989,"&lt;="&amp;EOMONTH(AV7,0),Suzuki!$L$6:$L$2989,$B$20)+SUMIFS('1SK3DD'!$K$6:$K$2989,'1SK3DD'!$J$6:$J$2989,"&gt;="&amp;AV7,'1SK3DD'!$J$6:$J$2989,"&lt;="&amp;EOMONTH(AV7,0),'1SK3DD'!$L$6:$L$2989,$B$20)+SUMIFS('1SX5TQ'!$K$6:$K$2989,'1SX5TQ'!$J$6:$J$2989,"&gt;="&amp;AV7,'1SX5TQ'!$J$6:$J$2989,"&lt;="&amp;EOMONTH(AV7,0),'1SX5TQ'!$L$6:$L$2989,$B$20)+SUMIFS('BMM465'!$K$6:$K$2989,'BMM465'!$J$6:$J$2989,"&gt;="&amp;AV7,'BMM465'!$J$6:$J$2989,"&lt;="&amp;EOMONTH(AV7,0),'BMM465'!$L$6:$L$2989,$B$20)+SUMIFS('1CF1ZO'!$K$6:$K$2989,'1CF1ZO'!$J$6:$J$2989,"&gt;="&amp;AV7,'1CF1ZO'!$J$6:$J$2989,"&lt;="&amp;EOMONTH(AV7,0),'1CF1ZO'!$L$6:$L$2989,$B$20)+SUMIFS('1UK1BK'!$K$6:$K$2989,'1UK1BK'!$J$6:$J$2989,"&gt;="&amp;AV7,'1UK1BK'!$J$6:$J$2989,"&lt;="&amp;EOMONTH(AV7,0),'1UK1BK'!$L$6:$L$2989,$B$20)</f>
        <v>#REF!</v>
      </c>
      <c r="AW20" s="110" t="e">
        <f>SUMIFS('CEI565'!$K$6:$K$2990,'CEI565'!$J$6:$J$2990,"&gt;="&amp;AW7,'CEI565'!$J$6:$J$2990,"&lt;="&amp;EOMONTH(AW7,0),'CEI565'!$L$6:$L$2990,$B$20)+SUMIFS('1SM3VL'!$K$6:$K$2990,'1SM3VL'!$J$6:$J$2990,"&gt;="&amp;AW7,'1SM3VL'!$J$6:$J$2990,"&lt;="&amp;EOMONTH(AW7,0),'1SM3VL'!$L$6:$L$2990,$B$20)+SUMIFS('1QF4SM'!$K$6:$K$2989,'1QF4SM'!$J$6:$J$2989,"&gt;="&amp;AW7,'1QF4SM'!$J$6:$J$2989,"&lt;="&amp;EOMONTH(AW7,0),'1QF4SM'!$L$6:$L$2989,$B$20)+SUMIFS('1UV5KI'!$K$6:$K$2989,'1UV5KI'!$J$6:$J$2989,"&gt;="&amp;AW7,'1UV5KI'!$J$6:$J$2989,"&lt;="&amp;EOMONTH(AW7,0),'1UV5KI'!$L$6:$L$2989,$B$20)+SUMIFS(#REF!,#REF!,"&gt;="&amp;AW7,#REF!,"&lt;="&amp;EOMONTH(AW7,0),#REF!,$B$20)+SUMIFS('1UL9RY'!$K$6:$K$2990,'1UL9RY'!$J$6:$J$2990,"&gt;="&amp;AW7,'1UL9RY'!$J$6:$J$2990,"&lt;="&amp;EOMONTH(AW7,0),'1UL9RY'!$L$6:$L$2990,$B$20)+SUMIFS('1OZ7GT'!$K$6:$K$2989,'1OZ7GT'!$J$6:$J$2989,"&gt;="&amp;AW7,'1OZ7GT'!$J$6:$J$2989,"&lt;="&amp;EOMONTH(AW7,0),'1OZ7GT'!$L$6:$L$2989,$B$20)+SUMIFS('1CN8DD'!$K$6:$K$2989,'1CN8DD'!$J$6:$J$2989,"&gt;="&amp;AW7,'1CN8DD'!$J$6:$J$2989,"&lt;="&amp;EOMONTH(AW7,0),'1CN8DD'!$L$6:$L$2989,$B$20)+SUMIFS('1UT9BR'!$K$6:$K$2990,'1UT9BR'!$J$6:$J$2990,"&gt;="&amp;AW7,'1UT9BR'!$J$6:$J$2990,"&lt;="&amp;EOMONTH(AW7,0),'1UT9BR'!$L$6:$L$2990,$B$20)+SUMIFS('1MK4UR'!$K$6:$K$2990,'1MK4UR'!$J$6:$J$2990,"&gt;="&amp;AW7,'1MK4UR'!$J$6:$J$2990,"&lt;="&amp;EOMONTH(AW7,0),'1MK4UR'!$L$6:$L$2990,$B$20)+SUMIFS(#REF!,#REF!,"&gt;="&amp;AW7,#REF!,"&lt;="&amp;EOMONTH(AW7,0),#REF!,$B$20)+SUMIFS('1JI2UE'!$K$6:$K$2989,'1JI2UE'!$J$6:$J$2989,"&gt;="&amp;AW7,'1JI2UE'!$J$6:$J$2989,"&lt;="&amp;EOMONTH(AW7,0),'1JI2UE'!$L$6:$L$2989,$B$20)+SUMIFS(#REF!,#REF!,"&gt;="&amp;AW7,#REF!,"&lt;="&amp;EOMONTH(AW7,0),#REF!,$B$20)+SUMIFS('1SI9BW'!$K$6:$K$2989,'1SI9BW'!$J$6:$J$2989,"&gt;="&amp;AW7,'1SI9BW'!$J$6:$J$2989,"&lt;="&amp;EOMONTH(AW7,0),'1SI9BW'!$L$6:$L$2989,$B$20)+SUMIFS(Suzuki!$K$6:$K$2989,Suzuki!$J$6:$J$2989,"&gt;="&amp;AW7,Suzuki!$J$6:$J$2989,"&lt;="&amp;EOMONTH(AW7,0),Suzuki!$L$6:$L$2989,$B$20)+SUMIFS('1SK3DD'!$K$6:$K$2989,'1SK3DD'!$J$6:$J$2989,"&gt;="&amp;AW7,'1SK3DD'!$J$6:$J$2989,"&lt;="&amp;EOMONTH(AW7,0),'1SK3DD'!$L$6:$L$2989,$B$20)+SUMIFS('1SX5TQ'!$K$6:$K$2989,'1SX5TQ'!$J$6:$J$2989,"&gt;="&amp;AW7,'1SX5TQ'!$J$6:$J$2989,"&lt;="&amp;EOMONTH(AW7,0),'1SX5TQ'!$L$6:$L$2989,$B$20)+SUMIFS('BMM465'!$K$6:$K$2989,'BMM465'!$J$6:$J$2989,"&gt;="&amp;AW7,'BMM465'!$J$6:$J$2989,"&lt;="&amp;EOMONTH(AW7,0),'BMM465'!$L$6:$L$2989,$B$20)+SUMIFS('1CF1ZO'!$K$6:$K$2989,'1CF1ZO'!$J$6:$J$2989,"&gt;="&amp;AW7,'1CF1ZO'!$J$6:$J$2989,"&lt;="&amp;EOMONTH(AW7,0),'1CF1ZO'!$L$6:$L$2989,$B$20)+SUMIFS('1UK1BK'!$K$6:$K$2989,'1UK1BK'!$J$6:$J$2989,"&gt;="&amp;AW7,'1UK1BK'!$J$6:$J$2989,"&lt;="&amp;EOMONTH(AW7,0),'1UK1BK'!$L$6:$L$2989,$B$20)</f>
        <v>#REF!</v>
      </c>
      <c r="AX20" s="110" t="e">
        <f>SUMIFS('CEI565'!$K$6:$K$2990,'CEI565'!$J$6:$J$2990,"&gt;="&amp;AX7,'CEI565'!$J$6:$J$2990,"&lt;="&amp;EOMONTH(AX7,0),'CEI565'!$L$6:$L$2990,$B$20)+SUMIFS('1SM3VL'!$K$6:$K$2990,'1SM3VL'!$J$6:$J$2990,"&gt;="&amp;AX7,'1SM3VL'!$J$6:$J$2990,"&lt;="&amp;EOMONTH(AX7,0),'1SM3VL'!$L$6:$L$2990,$B$20)+SUMIFS('1QF4SM'!$K$6:$K$2989,'1QF4SM'!$J$6:$J$2989,"&gt;="&amp;AX7,'1QF4SM'!$J$6:$J$2989,"&lt;="&amp;EOMONTH(AX7,0),'1QF4SM'!$L$6:$L$2989,$B$20)+SUMIFS('1UV5KI'!$K$6:$K$2989,'1UV5KI'!$J$6:$J$2989,"&gt;="&amp;AX7,'1UV5KI'!$J$6:$J$2989,"&lt;="&amp;EOMONTH(AX7,0),'1UV5KI'!$L$6:$L$2989,$B$20)+SUMIFS(#REF!,#REF!,"&gt;="&amp;AX7,#REF!,"&lt;="&amp;EOMONTH(AX7,0),#REF!,$B$20)+SUMIFS('1UL9RY'!$K$6:$K$2990,'1UL9RY'!$J$6:$J$2990,"&gt;="&amp;AX7,'1UL9RY'!$J$6:$J$2990,"&lt;="&amp;EOMONTH(AX7,0),'1UL9RY'!$L$6:$L$2990,$B$20)+SUMIFS('1OZ7GT'!$K$6:$K$2989,'1OZ7GT'!$J$6:$J$2989,"&gt;="&amp;AX7,'1OZ7GT'!$J$6:$J$2989,"&lt;="&amp;EOMONTH(AX7,0),'1OZ7GT'!$L$6:$L$2989,$B$20)+SUMIFS('1CN8DD'!$K$6:$K$2989,'1CN8DD'!$J$6:$J$2989,"&gt;="&amp;AX7,'1CN8DD'!$J$6:$J$2989,"&lt;="&amp;EOMONTH(AX7,0),'1CN8DD'!$L$6:$L$2989,$B$20)+SUMIFS('1UT9BR'!$K$6:$K$2990,'1UT9BR'!$J$6:$J$2990,"&gt;="&amp;AX7,'1UT9BR'!$J$6:$J$2990,"&lt;="&amp;EOMONTH(AX7,0),'1UT9BR'!$L$6:$L$2990,$B$20)+SUMIFS('1MK4UR'!$K$6:$K$2990,'1MK4UR'!$J$6:$J$2990,"&gt;="&amp;AX7,'1MK4UR'!$J$6:$J$2990,"&lt;="&amp;EOMONTH(AX7,0),'1MK4UR'!$L$6:$L$2990,$B$20)+SUMIFS(#REF!,#REF!,"&gt;="&amp;AX7,#REF!,"&lt;="&amp;EOMONTH(AX7,0),#REF!,$B$20)+SUMIFS('1JI2UE'!$K$6:$K$2989,'1JI2UE'!$J$6:$J$2989,"&gt;="&amp;AX7,'1JI2UE'!$J$6:$J$2989,"&lt;="&amp;EOMONTH(AX7,0),'1JI2UE'!$L$6:$L$2989,$B$20)+SUMIFS(#REF!,#REF!,"&gt;="&amp;AX7,#REF!,"&lt;="&amp;EOMONTH(AX7,0),#REF!,$B$20)+SUMIFS('1SI9BW'!$K$6:$K$2989,'1SI9BW'!$J$6:$J$2989,"&gt;="&amp;AX7,'1SI9BW'!$J$6:$J$2989,"&lt;="&amp;EOMONTH(AX7,0),'1SI9BW'!$L$6:$L$2989,$B$20)+SUMIFS(Suzuki!$K$6:$K$2989,Suzuki!$J$6:$J$2989,"&gt;="&amp;AX7,Suzuki!$J$6:$J$2989,"&lt;="&amp;EOMONTH(AX7,0),Suzuki!$L$6:$L$2989,$B$20)+SUMIFS('1SK3DD'!$K$6:$K$2989,'1SK3DD'!$J$6:$J$2989,"&gt;="&amp;AX7,'1SK3DD'!$J$6:$J$2989,"&lt;="&amp;EOMONTH(AX7,0),'1SK3DD'!$L$6:$L$2989,$B$20)+SUMIFS('1SX5TQ'!$K$6:$K$2989,'1SX5TQ'!$J$6:$J$2989,"&gt;="&amp;AX7,'1SX5TQ'!$J$6:$J$2989,"&lt;="&amp;EOMONTH(AX7,0),'1SX5TQ'!$L$6:$L$2989,$B$20)+SUMIFS('BMM465'!$K$6:$K$2989,'BMM465'!$J$6:$J$2989,"&gt;="&amp;AX7,'BMM465'!$J$6:$J$2989,"&lt;="&amp;EOMONTH(AX7,0),'BMM465'!$L$6:$L$2989,$B$20)+SUMIFS('1CF1ZO'!$K$6:$K$2989,'1CF1ZO'!$J$6:$J$2989,"&gt;="&amp;AX7,'1CF1ZO'!$J$6:$J$2989,"&lt;="&amp;EOMONTH(AX7,0),'1CF1ZO'!$L$6:$L$2989,$B$20)+SUMIFS('1UK1BK'!$K$6:$K$2989,'1UK1BK'!$J$6:$J$2989,"&gt;="&amp;AX7,'1UK1BK'!$J$6:$J$2989,"&lt;="&amp;EOMONTH(AX7,0),'1UK1BK'!$L$6:$L$2989,$B$20)</f>
        <v>#REF!</v>
      </c>
      <c r="AY20" s="110" t="e">
        <f>SUMIFS('CEI565'!$K$6:$K$2990,'CEI565'!$J$6:$J$2990,"&gt;="&amp;AY7,'CEI565'!$J$6:$J$2990,"&lt;="&amp;EOMONTH(AY7,0),'CEI565'!$L$6:$L$2990,$B$20)+SUMIFS('1SM3VL'!$K$6:$K$2990,'1SM3VL'!$J$6:$J$2990,"&gt;="&amp;AY7,'1SM3VL'!$J$6:$J$2990,"&lt;="&amp;EOMONTH(AY7,0),'1SM3VL'!$L$6:$L$2990,$B$20)+SUMIFS('1QF4SM'!$K$6:$K$2989,'1QF4SM'!$J$6:$J$2989,"&gt;="&amp;AY7,'1QF4SM'!$J$6:$J$2989,"&lt;="&amp;EOMONTH(AY7,0),'1QF4SM'!$L$6:$L$2989,$B$20)+SUMIFS('1UV5KI'!$K$6:$K$2989,'1UV5KI'!$J$6:$J$2989,"&gt;="&amp;AY7,'1UV5KI'!$J$6:$J$2989,"&lt;="&amp;EOMONTH(AY7,0),'1UV5KI'!$L$6:$L$2989,$B$20)+SUMIFS(#REF!,#REF!,"&gt;="&amp;AY7,#REF!,"&lt;="&amp;EOMONTH(AY7,0),#REF!,$B$20)+SUMIFS('1UL9RY'!$K$6:$K$2990,'1UL9RY'!$J$6:$J$2990,"&gt;="&amp;AY7,'1UL9RY'!$J$6:$J$2990,"&lt;="&amp;EOMONTH(AY7,0),'1UL9RY'!$L$6:$L$2990,$B$20)+SUMIFS('1OZ7GT'!$K$6:$K$2989,'1OZ7GT'!$J$6:$J$2989,"&gt;="&amp;AY7,'1OZ7GT'!$J$6:$J$2989,"&lt;="&amp;EOMONTH(AY7,0),'1OZ7GT'!$L$6:$L$2989,$B$20)+SUMIFS('1CN8DD'!$K$6:$K$2989,'1CN8DD'!$J$6:$J$2989,"&gt;="&amp;AY7,'1CN8DD'!$J$6:$J$2989,"&lt;="&amp;EOMONTH(AY7,0),'1CN8DD'!$L$6:$L$2989,$B$20)+SUMIFS('1UT9BR'!$K$6:$K$2990,'1UT9BR'!$J$6:$J$2990,"&gt;="&amp;AY7,'1UT9BR'!$J$6:$J$2990,"&lt;="&amp;EOMONTH(AY7,0),'1UT9BR'!$L$6:$L$2990,$B$20)+SUMIFS('1MK4UR'!$K$6:$K$2990,'1MK4UR'!$J$6:$J$2990,"&gt;="&amp;AY7,'1MK4UR'!$J$6:$J$2990,"&lt;="&amp;EOMONTH(AY7,0),'1MK4UR'!$L$6:$L$2990,$B$20)+SUMIFS(#REF!,#REF!,"&gt;="&amp;AY7,#REF!,"&lt;="&amp;EOMONTH(AY7,0),#REF!,$B$20)+SUMIFS('1JI2UE'!$K$6:$K$2989,'1JI2UE'!$J$6:$J$2989,"&gt;="&amp;AY7,'1JI2UE'!$J$6:$J$2989,"&lt;="&amp;EOMONTH(AY7,0),'1JI2UE'!$L$6:$L$2989,$B$20)+SUMIFS(#REF!,#REF!,"&gt;="&amp;AY7,#REF!,"&lt;="&amp;EOMONTH(AY7,0),#REF!,$B$20)+SUMIFS('1SI9BW'!$K$6:$K$2989,'1SI9BW'!$J$6:$J$2989,"&gt;="&amp;AY7,'1SI9BW'!$J$6:$J$2989,"&lt;="&amp;EOMONTH(AY7,0),'1SI9BW'!$L$6:$L$2989,$B$20)+SUMIFS(Suzuki!$K$6:$K$2989,Suzuki!$J$6:$J$2989,"&gt;="&amp;AY7,Suzuki!$J$6:$J$2989,"&lt;="&amp;EOMONTH(AY7,0),Suzuki!$L$6:$L$2989,$B$20)+SUMIFS('1SK3DD'!$K$6:$K$2989,'1SK3DD'!$J$6:$J$2989,"&gt;="&amp;AY7,'1SK3DD'!$J$6:$J$2989,"&lt;="&amp;EOMONTH(AY7,0),'1SK3DD'!$L$6:$L$2989,$B$20)+SUMIFS('1SX5TQ'!$K$6:$K$2989,'1SX5TQ'!$J$6:$J$2989,"&gt;="&amp;AY7,'1SX5TQ'!$J$6:$J$2989,"&lt;="&amp;EOMONTH(AY7,0),'1SX5TQ'!$L$6:$L$2989,$B$20)+SUMIFS('BMM465'!$K$6:$K$2989,'BMM465'!$J$6:$J$2989,"&gt;="&amp;AY7,'BMM465'!$J$6:$J$2989,"&lt;="&amp;EOMONTH(AY7,0),'BMM465'!$L$6:$L$2989,$B$20)+SUMIFS('1CF1ZO'!$K$6:$K$2989,'1CF1ZO'!$J$6:$J$2989,"&gt;="&amp;AY7,'1CF1ZO'!$J$6:$J$2989,"&lt;="&amp;EOMONTH(AY7,0),'1CF1ZO'!$L$6:$L$2989,$B$20)+SUMIFS('1UK1BK'!$K$6:$K$2989,'1UK1BK'!$J$6:$J$2989,"&gt;="&amp;AY7,'1UK1BK'!$J$6:$J$2989,"&lt;="&amp;EOMONTH(AY7,0),'1UK1BK'!$L$6:$L$2989,$B$20)</f>
        <v>#REF!</v>
      </c>
      <c r="AZ20" s="110" t="e">
        <f>SUMIFS('CEI565'!$K$6:$K$2990,'CEI565'!$J$6:$J$2990,"&gt;="&amp;AZ7,'CEI565'!$J$6:$J$2990,"&lt;="&amp;EOMONTH(AZ7,0),'CEI565'!$L$6:$L$2990,$B$20)+SUMIFS('1SM3VL'!$K$6:$K$2990,'1SM3VL'!$J$6:$J$2990,"&gt;="&amp;AZ7,'1SM3VL'!$J$6:$J$2990,"&lt;="&amp;EOMONTH(AZ7,0),'1SM3VL'!$L$6:$L$2990,$B$20)+SUMIFS('1QF4SM'!$K$6:$K$2989,'1QF4SM'!$J$6:$J$2989,"&gt;="&amp;AZ7,'1QF4SM'!$J$6:$J$2989,"&lt;="&amp;EOMONTH(AZ7,0),'1QF4SM'!$L$6:$L$2989,$B$20)+SUMIFS('1UV5KI'!$K$6:$K$2989,'1UV5KI'!$J$6:$J$2989,"&gt;="&amp;AZ7,'1UV5KI'!$J$6:$J$2989,"&lt;="&amp;EOMONTH(AZ7,0),'1UV5KI'!$L$6:$L$2989,$B$20)+SUMIFS(#REF!,#REF!,"&gt;="&amp;AZ7,#REF!,"&lt;="&amp;EOMONTH(AZ7,0),#REF!,$B$20)+SUMIFS('1UL9RY'!$K$6:$K$2990,'1UL9RY'!$J$6:$J$2990,"&gt;="&amp;AZ7,'1UL9RY'!$J$6:$J$2990,"&lt;="&amp;EOMONTH(AZ7,0),'1UL9RY'!$L$6:$L$2990,$B$20)+SUMIFS('1OZ7GT'!$K$6:$K$2989,'1OZ7GT'!$J$6:$J$2989,"&gt;="&amp;AZ7,'1OZ7GT'!$J$6:$J$2989,"&lt;="&amp;EOMONTH(AZ7,0),'1OZ7GT'!$L$6:$L$2989,$B$20)+SUMIFS('1CN8DD'!$K$6:$K$2989,'1CN8DD'!$J$6:$J$2989,"&gt;="&amp;AZ7,'1CN8DD'!$J$6:$J$2989,"&lt;="&amp;EOMONTH(AZ7,0),'1CN8DD'!$L$6:$L$2989,$B$20)+SUMIFS('1UT9BR'!$K$6:$K$2990,'1UT9BR'!$J$6:$J$2990,"&gt;="&amp;AZ7,'1UT9BR'!$J$6:$J$2990,"&lt;="&amp;EOMONTH(AZ7,0),'1UT9BR'!$L$6:$L$2990,$B$20)+SUMIFS('1MK4UR'!$K$6:$K$2990,'1MK4UR'!$J$6:$J$2990,"&gt;="&amp;AZ7,'1MK4UR'!$J$6:$J$2990,"&lt;="&amp;EOMONTH(AZ7,0),'1MK4UR'!$L$6:$L$2990,$B$20)+SUMIFS(#REF!,#REF!,"&gt;="&amp;AZ7,#REF!,"&lt;="&amp;EOMONTH(AZ7,0),#REF!,$B$20)+SUMIFS('1JI2UE'!$K$6:$K$2989,'1JI2UE'!$J$6:$J$2989,"&gt;="&amp;AZ7,'1JI2UE'!$J$6:$J$2989,"&lt;="&amp;EOMONTH(AZ7,0),'1JI2UE'!$L$6:$L$2989,$B$20)+SUMIFS(#REF!,#REF!,"&gt;="&amp;AZ7,#REF!,"&lt;="&amp;EOMONTH(AZ7,0),#REF!,$B$20)+SUMIFS('1SI9BW'!$K$6:$K$2989,'1SI9BW'!$J$6:$J$2989,"&gt;="&amp;AZ7,'1SI9BW'!$J$6:$J$2989,"&lt;="&amp;EOMONTH(AZ7,0),'1SI9BW'!$L$6:$L$2989,$B$20)+SUMIFS(Suzuki!$K$6:$K$2989,Suzuki!$J$6:$J$2989,"&gt;="&amp;AZ7,Suzuki!$J$6:$J$2989,"&lt;="&amp;EOMONTH(AZ7,0),Suzuki!$L$6:$L$2989,$B$20)+SUMIFS('1SK3DD'!$K$6:$K$2989,'1SK3DD'!$J$6:$J$2989,"&gt;="&amp;AZ7,'1SK3DD'!$J$6:$J$2989,"&lt;="&amp;EOMONTH(AZ7,0),'1SK3DD'!$L$6:$L$2989,$B$20)+SUMIFS('1SX5TQ'!$K$6:$K$2989,'1SX5TQ'!$J$6:$J$2989,"&gt;="&amp;AZ7,'1SX5TQ'!$J$6:$J$2989,"&lt;="&amp;EOMONTH(AZ7,0),'1SX5TQ'!$L$6:$L$2989,$B$20)+SUMIFS('BMM465'!$K$6:$K$2989,'BMM465'!$J$6:$J$2989,"&gt;="&amp;AZ7,'BMM465'!$J$6:$J$2989,"&lt;="&amp;EOMONTH(AZ7,0),'BMM465'!$L$6:$L$2989,$B$20)+SUMIFS('1CF1ZO'!$K$6:$K$2989,'1CF1ZO'!$J$6:$J$2989,"&gt;="&amp;AZ7,'1CF1ZO'!$J$6:$J$2989,"&lt;="&amp;EOMONTH(AZ7,0),'1CF1ZO'!$L$6:$L$2989,$B$20)+SUMIFS('1UK1BK'!$K$6:$K$2989,'1UK1BK'!$J$6:$J$2989,"&gt;="&amp;AZ7,'1UK1BK'!$J$6:$J$2989,"&lt;="&amp;EOMONTH(AZ7,0),'1UK1BK'!$L$6:$L$2989,$B$20)</f>
        <v>#REF!</v>
      </c>
      <c r="BA20" s="110" t="e">
        <f>SUMIFS('CEI565'!$K$6:$K$2990,'CEI565'!$J$6:$J$2990,"&gt;="&amp;BA7,'CEI565'!$J$6:$J$2990,"&lt;="&amp;EOMONTH(BA7,0),'CEI565'!$L$6:$L$2990,$B$20)+SUMIFS('1SM3VL'!$K$6:$K$2990,'1SM3VL'!$J$6:$J$2990,"&gt;="&amp;BA7,'1SM3VL'!$J$6:$J$2990,"&lt;="&amp;EOMONTH(BA7,0),'1SM3VL'!$L$6:$L$2990,$B$20)+SUMIFS('1QF4SM'!$K$6:$K$2989,'1QF4SM'!$J$6:$J$2989,"&gt;="&amp;BA7,'1QF4SM'!$J$6:$J$2989,"&lt;="&amp;EOMONTH(BA7,0),'1QF4SM'!$L$6:$L$2989,$B$20)+SUMIFS('1UV5KI'!$K$6:$K$2989,'1UV5KI'!$J$6:$J$2989,"&gt;="&amp;BA7,'1UV5KI'!$J$6:$J$2989,"&lt;="&amp;EOMONTH(BA7,0),'1UV5KI'!$L$6:$L$2989,$B$20)+SUMIFS(#REF!,#REF!,"&gt;="&amp;BA7,#REF!,"&lt;="&amp;EOMONTH(BA7,0),#REF!,$B$20)+SUMIFS('1UL9RY'!$K$6:$K$2990,'1UL9RY'!$J$6:$J$2990,"&gt;="&amp;BA7,'1UL9RY'!$J$6:$J$2990,"&lt;="&amp;EOMONTH(BA7,0),'1UL9RY'!$L$6:$L$2990,$B$20)+SUMIFS('1OZ7GT'!$K$6:$K$2989,'1OZ7GT'!$J$6:$J$2989,"&gt;="&amp;BA7,'1OZ7GT'!$J$6:$J$2989,"&lt;="&amp;EOMONTH(BA7,0),'1OZ7GT'!$L$6:$L$2989,$B$20)+SUMIFS('1CN8DD'!$K$6:$K$2989,'1CN8DD'!$J$6:$J$2989,"&gt;="&amp;BA7,'1CN8DD'!$J$6:$J$2989,"&lt;="&amp;EOMONTH(BA7,0),'1CN8DD'!$L$6:$L$2989,$B$20)+SUMIFS('1UT9BR'!$K$6:$K$2990,'1UT9BR'!$J$6:$J$2990,"&gt;="&amp;BA7,'1UT9BR'!$J$6:$J$2990,"&lt;="&amp;EOMONTH(BA7,0),'1UT9BR'!$L$6:$L$2990,$B$20)+SUMIFS('1MK4UR'!$K$6:$K$2990,'1MK4UR'!$J$6:$J$2990,"&gt;="&amp;BA7,'1MK4UR'!$J$6:$J$2990,"&lt;="&amp;EOMONTH(BA7,0),'1MK4UR'!$L$6:$L$2990,$B$20)+SUMIFS(#REF!,#REF!,"&gt;="&amp;BA7,#REF!,"&lt;="&amp;EOMONTH(BA7,0),#REF!,$B$20)+SUMIFS('1JI2UE'!$K$6:$K$2989,'1JI2UE'!$J$6:$J$2989,"&gt;="&amp;BA7,'1JI2UE'!$J$6:$J$2989,"&lt;="&amp;EOMONTH(BA7,0),'1JI2UE'!$L$6:$L$2989,$B$20)+SUMIFS(#REF!,#REF!,"&gt;="&amp;BA7,#REF!,"&lt;="&amp;EOMONTH(BA7,0),#REF!,$B$20)+SUMIFS('1SI9BW'!$K$6:$K$2989,'1SI9BW'!$J$6:$J$2989,"&gt;="&amp;BA7,'1SI9BW'!$J$6:$J$2989,"&lt;="&amp;EOMONTH(BA7,0),'1SI9BW'!$L$6:$L$2989,$B$20)+SUMIFS(Suzuki!$K$6:$K$2989,Suzuki!$J$6:$J$2989,"&gt;="&amp;BA7,Suzuki!$J$6:$J$2989,"&lt;="&amp;EOMONTH(BA7,0),Suzuki!$L$6:$L$2989,$B$20)+SUMIFS('1SK3DD'!$K$6:$K$2989,'1SK3DD'!$J$6:$J$2989,"&gt;="&amp;BA7,'1SK3DD'!$J$6:$J$2989,"&lt;="&amp;EOMONTH(BA7,0),'1SK3DD'!$L$6:$L$2989,$B$20)+SUMIFS('1SX5TQ'!$K$6:$K$2989,'1SX5TQ'!$J$6:$J$2989,"&gt;="&amp;BA7,'1SX5TQ'!$J$6:$J$2989,"&lt;="&amp;EOMONTH(BA7,0),'1SX5TQ'!$L$6:$L$2989,$B$20)+SUMIFS('BMM465'!$K$6:$K$2989,'BMM465'!$J$6:$J$2989,"&gt;="&amp;BA7,'BMM465'!$J$6:$J$2989,"&lt;="&amp;EOMONTH(BA7,0),'BMM465'!$L$6:$L$2989,$B$20)+SUMIFS('1CF1ZO'!$K$6:$K$2989,'1CF1ZO'!$J$6:$J$2989,"&gt;="&amp;BA7,'1CF1ZO'!$J$6:$J$2989,"&lt;="&amp;EOMONTH(BA7,0),'1CF1ZO'!$L$6:$L$2989,$B$20)+SUMIFS('1UK1BK'!$K$6:$K$2989,'1UK1BK'!$J$6:$J$2989,"&gt;="&amp;BA7,'1UK1BK'!$J$6:$J$2989,"&lt;="&amp;EOMONTH(BA7,0),'1UK1BK'!$L$6:$L$2989,$B$20)</f>
        <v>#REF!</v>
      </c>
    </row>
    <row r="21" spans="1:53" x14ac:dyDescent="0.25">
      <c r="B21" s="5" t="s">
        <v>214</v>
      </c>
      <c r="C21" s="69" t="str">
        <f t="shared" si="13"/>
        <v/>
      </c>
      <c r="D21" s="109">
        <f t="shared" si="2"/>
        <v>0</v>
      </c>
      <c r="E21" s="69" t="str">
        <f t="shared" si="14"/>
        <v/>
      </c>
      <c r="F21" s="109">
        <f t="shared" si="3"/>
        <v>0</v>
      </c>
      <c r="G21" s="69" t="str">
        <f t="shared" si="15"/>
        <v/>
      </c>
      <c r="H21" s="109">
        <f t="shared" si="4"/>
        <v>0</v>
      </c>
      <c r="I21" s="110">
        <v>0</v>
      </c>
      <c r="J21" s="110">
        <v>0</v>
      </c>
      <c r="K21" s="110">
        <v>0</v>
      </c>
      <c r="L21" s="110">
        <v>0</v>
      </c>
      <c r="M21" s="110">
        <v>0</v>
      </c>
      <c r="N21" s="189">
        <f>9849.6-6800-191.9-217.7-110-2530</f>
        <v>0</v>
      </c>
      <c r="O21" s="190">
        <f>7149.9-4700-191.9-160-650-450-198-800</f>
        <v>0</v>
      </c>
      <c r="P21" s="190">
        <v>0</v>
      </c>
      <c r="Q21" s="190">
        <v>0</v>
      </c>
      <c r="R21" s="189">
        <f>6600-6600</f>
        <v>0</v>
      </c>
      <c r="S21" s="110">
        <v>0</v>
      </c>
      <c r="T21" s="110">
        <v>0</v>
      </c>
      <c r="U21" s="110">
        <v>0</v>
      </c>
      <c r="V21" s="110">
        <v>0</v>
      </c>
      <c r="W21" s="110">
        <v>0</v>
      </c>
      <c r="X21" s="110">
        <v>0</v>
      </c>
      <c r="Y21" s="110">
        <v>0</v>
      </c>
      <c r="Z21" s="110">
        <f>Database!$R$22</f>
        <v>0</v>
      </c>
      <c r="AA21" s="110">
        <v>0</v>
      </c>
      <c r="AB21" s="110">
        <v>0</v>
      </c>
      <c r="AC21" s="110">
        <f>Database!$R$24</f>
        <v>0</v>
      </c>
      <c r="AD21" s="110">
        <v>0</v>
      </c>
      <c r="AE21" s="110">
        <v>0</v>
      </c>
      <c r="AF21" s="110">
        <v>0</v>
      </c>
      <c r="AG21" s="110">
        <v>0</v>
      </c>
      <c r="AH21" s="110">
        <v>0</v>
      </c>
      <c r="AI21" s="110">
        <v>0</v>
      </c>
      <c r="AJ21" s="110">
        <v>0</v>
      </c>
      <c r="AK21" s="110">
        <v>0</v>
      </c>
      <c r="AL21" s="110">
        <v>0</v>
      </c>
      <c r="AM21" s="110">
        <v>0</v>
      </c>
      <c r="AN21" s="110">
        <v>0</v>
      </c>
      <c r="AO21" s="110">
        <v>0</v>
      </c>
      <c r="AP21" s="110">
        <v>0</v>
      </c>
      <c r="AQ21" s="110">
        <v>0</v>
      </c>
      <c r="AR21" s="110">
        <v>0</v>
      </c>
      <c r="AS21" s="110">
        <v>0</v>
      </c>
      <c r="AT21" s="110">
        <v>0</v>
      </c>
      <c r="AU21" s="110">
        <v>0</v>
      </c>
      <c r="AV21" s="110">
        <v>0</v>
      </c>
      <c r="AW21" s="110">
        <v>0</v>
      </c>
      <c r="AX21" s="110">
        <v>0</v>
      </c>
      <c r="AY21" s="110">
        <v>0</v>
      </c>
      <c r="AZ21" s="110">
        <v>0</v>
      </c>
      <c r="BA21" s="110">
        <v>0</v>
      </c>
    </row>
    <row r="22" spans="1:53" x14ac:dyDescent="0.25">
      <c r="B22" s="5" t="s">
        <v>54</v>
      </c>
      <c r="C22" s="69" t="str">
        <f t="shared" si="13"/>
        <v/>
      </c>
      <c r="D22" s="109" t="e">
        <f t="shared" si="2"/>
        <v>#REF!</v>
      </c>
      <c r="E22" s="69" t="str">
        <f t="shared" si="14"/>
        <v/>
      </c>
      <c r="F22" s="109" t="e">
        <f t="shared" si="3"/>
        <v>#REF!</v>
      </c>
      <c r="G22" s="69" t="str">
        <f t="shared" si="15"/>
        <v/>
      </c>
      <c r="H22" s="109" t="e">
        <f t="shared" si="4"/>
        <v>#REF!</v>
      </c>
      <c r="I22" s="110" t="e">
        <f>SUMIFS('CEI565'!$K$6:$K$2990,'CEI565'!$J$6:$J$2990,"&gt;="&amp;I7,'CEI565'!$J$6:$J$2990,"&lt;="&amp;EOMONTH(I7,0),'CEI565'!$L$6:$L$2990,$B$22)+SUMIFS('1SM3VL'!$K$6:$K$2990,'1SM3VL'!$J$6:$J$2990,"&gt;="&amp;I7,'1SM3VL'!$J$6:$J$2990,"&lt;="&amp;EOMONTH(I7,0),'1SM3VL'!$L$6:$L$2990,$B$22)+SUMIFS('1QF4SM'!$K$6:$K$2989,'1QF4SM'!$J$6:$J$2989,"&gt;="&amp;I7,'1QF4SM'!$J$6:$J$2989,"&lt;="&amp;EOMONTH(I7,0),'1QF4SM'!$L$6:$L$2989,$B$22)+SUMIFS('1UV5KI'!$K$6:$K$2989,'1UV5KI'!$J$6:$J$2989,"&gt;="&amp;I7,'1UV5KI'!$J$6:$J$2989,"&lt;="&amp;EOMONTH(I7,0),'1UV5KI'!$L$6:$L$2989,$B$22)+SUMIFS(#REF!,#REF!,"&gt;="&amp;I7,#REF!,"&lt;="&amp;EOMONTH(I7,0),#REF!,$B$22)+SUMIFS('1UL9RY'!$K$6:$K$2990,'1UL9RY'!$J$6:$J$2990,"&gt;="&amp;I7,'1UL9RY'!$J$6:$J$2990,"&lt;="&amp;EOMONTH(I7,0),'1UL9RY'!$L$6:$L$2990,$B$22)+SUMIFS('1OZ7GT'!$K$6:$K$2989,'1OZ7GT'!$J$6:$J$2989,"&gt;="&amp;I7,'1OZ7GT'!$J$6:$J$2989,"&lt;="&amp;EOMONTH(I7,0),'1OZ7GT'!$L$6:$L$2989,$B$22)+SUMIFS('1CN8DD'!$K$6:$K$2989,'1CN8DD'!$J$6:$J$2989,"&gt;="&amp;I7,'1CN8DD'!$J$6:$J$2989,"&lt;="&amp;EOMONTH(I7,0),'1CN8DD'!$L$6:$L$2989,$B$22)+SUMIFS('1UT9BR'!$K$6:$K$2990,'1UT9BR'!$J$6:$J$2990,"&gt;="&amp;I7,'1UT9BR'!$J$6:$J$2990,"&lt;="&amp;EOMONTH(I7,0),'1UT9BR'!$L$6:$L$2990,$B$22)+SUMIFS('1MK4UR'!$K$6:$K$2990,'1MK4UR'!$J$6:$J$2990,"&gt;="&amp;I7,'1MK4UR'!$J$6:$J$2990,"&lt;="&amp;EOMONTH(I7,0),'1MK4UR'!$L$6:$L$2990,$B$22)+SUMIFS(#REF!,#REF!,"&gt;="&amp;I7,#REF!,"&lt;="&amp;EOMONTH(I7,0),#REF!,$B$22)+SUMIFS('1JI2UE'!$K$6:$K$2989,'1JI2UE'!$J$6:$J$2989,"&gt;="&amp;I7,'1JI2UE'!$J$6:$J$2989,"&lt;="&amp;EOMONTH(I7,0),'1JI2UE'!$L$6:$L$2989,$B$22)+SUMIFS(#REF!,#REF!,"&gt;="&amp;I7,#REF!,"&lt;="&amp;EOMONTH(I7,0),#REF!,$B$22)+SUMIFS('1SI9BW'!$K$6:$K$2989,'1SI9BW'!$J$6:$J$2989,"&gt;="&amp;I7,'1SI9BW'!$J$6:$J$2989,"&lt;="&amp;EOMONTH(I7,0),'1SI9BW'!$L$6:$L$2989,$B$22)+SUMIFS(Suzuki!$K$6:$K$2989,Suzuki!$J$6:$J$2989,"&gt;="&amp;I7,Suzuki!$J$6:$J$2989,"&lt;="&amp;EOMONTH(I7,0),Suzuki!$L$6:$L$2989,$B$22)+SUMIFS('1SK3DD'!$K$6:$K$2989,'1SK3DD'!$J$6:$J$2989,"&gt;="&amp;I7,'1SK3DD'!$J$6:$J$2989,"&lt;="&amp;EOMONTH(I7,0),'1SK3DD'!$L$6:$L$2989,$B$22)+SUMIFS('1SX5TQ'!$K$6:$K$2989,'1SX5TQ'!$J$6:$J$2989,"&gt;="&amp;I7,'1SX5TQ'!$J$6:$J$2989,"&lt;="&amp;EOMONTH(I7,0),'1SX5TQ'!$L$6:$L$2989,$B$22)+SUMIFS('BMM465'!$K$6:$K$2989,'BMM465'!$J$6:$J$2989,"&gt;="&amp;I7,'BMM465'!$J$6:$J$2989,"&lt;="&amp;EOMONTH(I7,0),'BMM465'!$L$6:$L$2989,$B$22)+SUMIFS('1CF1ZO'!$K$6:$K$2989,'1CF1ZO'!$J$6:$J$2989,"&gt;="&amp;I7,'1CF1ZO'!$J$6:$J$2989,"&lt;="&amp;EOMONTH(I7,0),'1CF1ZO'!$L$6:$L$2989,$B$22)+SUMIFS('1UK1BK'!$K$6:$K$2989,'1UK1BK'!$J$6:$J$2989,"&gt;="&amp;I7,'1UK1BK'!$J$6:$J$2989,"&lt;="&amp;EOMONTH(I7,0),'1UK1BK'!$L$6:$L$2989,$B$22)</f>
        <v>#REF!</v>
      </c>
      <c r="J22" s="110" t="e">
        <f>SUMIFS('CEI565'!$K$6:$K$2990,'CEI565'!$J$6:$J$2990,"&gt;="&amp;J7,'CEI565'!$J$6:$J$2990,"&lt;="&amp;EOMONTH(J7,0),'CEI565'!$L$6:$L$2990,$B$22)+SUMIFS('1SM3VL'!$K$6:$K$2990,'1SM3VL'!$J$6:$J$2990,"&gt;="&amp;J7,'1SM3VL'!$J$6:$J$2990,"&lt;="&amp;EOMONTH(J7,0),'1SM3VL'!$L$6:$L$2990,$B$22)+SUMIFS('1QF4SM'!$K$6:$K$2989,'1QF4SM'!$J$6:$J$2989,"&gt;="&amp;J7,'1QF4SM'!$J$6:$J$2989,"&lt;="&amp;EOMONTH(J7,0),'1QF4SM'!$L$6:$L$2989,$B$22)+SUMIFS('1UV5KI'!$K$6:$K$2989,'1UV5KI'!$J$6:$J$2989,"&gt;="&amp;J7,'1UV5KI'!$J$6:$J$2989,"&lt;="&amp;EOMONTH(J7,0),'1UV5KI'!$L$6:$L$2989,$B$22)+SUMIFS(#REF!,#REF!,"&gt;="&amp;J7,#REF!,"&lt;="&amp;EOMONTH(J7,0),#REF!,$B$22)+SUMIFS('1UL9RY'!$K$6:$K$2990,'1UL9RY'!$J$6:$J$2990,"&gt;="&amp;J7,'1UL9RY'!$J$6:$J$2990,"&lt;="&amp;EOMONTH(J7,0),'1UL9RY'!$L$6:$L$2990,$B$22)+SUMIFS('1OZ7GT'!$K$6:$K$2989,'1OZ7GT'!$J$6:$J$2989,"&gt;="&amp;J7,'1OZ7GT'!$J$6:$J$2989,"&lt;="&amp;EOMONTH(J7,0),'1OZ7GT'!$L$6:$L$2989,$B$22)+SUMIFS('1CN8DD'!$K$6:$K$2989,'1CN8DD'!$J$6:$J$2989,"&gt;="&amp;J7,'1CN8DD'!$J$6:$J$2989,"&lt;="&amp;EOMONTH(J7,0),'1CN8DD'!$L$6:$L$2989,$B$22)+SUMIFS('1UT9BR'!$K$6:$K$2990,'1UT9BR'!$J$6:$J$2990,"&gt;="&amp;J7,'1UT9BR'!$J$6:$J$2990,"&lt;="&amp;EOMONTH(J7,0),'1UT9BR'!$L$6:$L$2990,$B$22)+SUMIFS('1MK4UR'!$K$6:$K$2990,'1MK4UR'!$J$6:$J$2990,"&gt;="&amp;J7,'1MK4UR'!$J$6:$J$2990,"&lt;="&amp;EOMONTH(J7,0),'1MK4UR'!$L$6:$L$2990,$B$22)+SUMIFS(#REF!,#REF!,"&gt;="&amp;J7,#REF!,"&lt;="&amp;EOMONTH(J7,0),#REF!,$B$22)+SUMIFS('1JI2UE'!$K$6:$K$2989,'1JI2UE'!$J$6:$J$2989,"&gt;="&amp;J7,'1JI2UE'!$J$6:$J$2989,"&lt;="&amp;EOMONTH(J7,0),'1JI2UE'!$L$6:$L$2989,$B$22)+SUMIFS(#REF!,#REF!,"&gt;="&amp;J7,#REF!,"&lt;="&amp;EOMONTH(J7,0),#REF!,$B$22)+SUMIFS('1SI9BW'!$K$6:$K$2989,'1SI9BW'!$J$6:$J$2989,"&gt;="&amp;J7,'1SI9BW'!$J$6:$J$2989,"&lt;="&amp;EOMONTH(J7,0),'1SI9BW'!$L$6:$L$2989,$B$22)+SUMIFS(Suzuki!$K$6:$K$2989,Suzuki!$J$6:$J$2989,"&gt;="&amp;J7,Suzuki!$J$6:$J$2989,"&lt;="&amp;EOMONTH(J7,0),Suzuki!$L$6:$L$2989,$B$22)+SUMIFS('1SK3DD'!$K$6:$K$2989,'1SK3DD'!$J$6:$J$2989,"&gt;="&amp;J7,'1SK3DD'!$J$6:$J$2989,"&lt;="&amp;EOMONTH(J7,0),'1SK3DD'!$L$6:$L$2989,$B$22)+SUMIFS('1SX5TQ'!$K$6:$K$2989,'1SX5TQ'!$J$6:$J$2989,"&gt;="&amp;J7,'1SX5TQ'!$J$6:$J$2989,"&lt;="&amp;EOMONTH(J7,0),'1SX5TQ'!$L$6:$L$2989,$B$22)+SUMIFS('BMM465'!$K$6:$K$2989,'BMM465'!$J$6:$J$2989,"&gt;="&amp;J7,'BMM465'!$J$6:$J$2989,"&lt;="&amp;EOMONTH(J7,0),'BMM465'!$L$6:$L$2989,$B$22)+SUMIFS('1CF1ZO'!$K$6:$K$2989,'1CF1ZO'!$J$6:$J$2989,"&gt;="&amp;J7,'1CF1ZO'!$J$6:$J$2989,"&lt;="&amp;EOMONTH(J7,0),'1CF1ZO'!$L$6:$L$2989,$B$22)+SUMIFS('1UK1BK'!$K$6:$K$2989,'1UK1BK'!$J$6:$J$2989,"&gt;="&amp;J7,'1UK1BK'!$J$6:$J$2989,"&lt;="&amp;EOMONTH(J7,0),'1UK1BK'!$L$6:$L$2989,$B$22)</f>
        <v>#REF!</v>
      </c>
      <c r="K22" s="110" t="e">
        <f>SUMIFS('CEI565'!$K$6:$K$2990,'CEI565'!$J$6:$J$2990,"&gt;="&amp;K7,'CEI565'!$J$6:$J$2990,"&lt;="&amp;EOMONTH(K7,0),'CEI565'!$L$6:$L$2990,$B$22)+SUMIFS('1SM3VL'!$K$6:$K$2990,'1SM3VL'!$J$6:$J$2990,"&gt;="&amp;K7,'1SM3VL'!$J$6:$J$2990,"&lt;="&amp;EOMONTH(K7,0),'1SM3VL'!$L$6:$L$2990,$B$22)+SUMIFS('1QF4SM'!$K$6:$K$2989,'1QF4SM'!$J$6:$J$2989,"&gt;="&amp;K7,'1QF4SM'!$J$6:$J$2989,"&lt;="&amp;EOMONTH(K7,0),'1QF4SM'!$L$6:$L$2989,$B$22)+SUMIFS('1UV5KI'!$K$6:$K$2989,'1UV5KI'!$J$6:$J$2989,"&gt;="&amp;K7,'1UV5KI'!$J$6:$J$2989,"&lt;="&amp;EOMONTH(K7,0),'1UV5KI'!$L$6:$L$2989,$B$22)+SUMIFS(#REF!,#REF!,"&gt;="&amp;K7,#REF!,"&lt;="&amp;EOMONTH(K7,0),#REF!,$B$22)+SUMIFS('1UL9RY'!$K$6:$K$2990,'1UL9RY'!$J$6:$J$2990,"&gt;="&amp;K7,'1UL9RY'!$J$6:$J$2990,"&lt;="&amp;EOMONTH(K7,0),'1UL9RY'!$L$6:$L$2990,$B$22)+SUMIFS('1OZ7GT'!$K$6:$K$2989,'1OZ7GT'!$J$6:$J$2989,"&gt;="&amp;K7,'1OZ7GT'!$J$6:$J$2989,"&lt;="&amp;EOMONTH(K7,0),'1OZ7GT'!$L$6:$L$2989,$B$22)+SUMIFS('1CN8DD'!$K$6:$K$2989,'1CN8DD'!$J$6:$J$2989,"&gt;="&amp;K7,'1CN8DD'!$J$6:$J$2989,"&lt;="&amp;EOMONTH(K7,0),'1CN8DD'!$L$6:$L$2989,$B$22)+SUMIFS('1UT9BR'!$K$6:$K$2990,'1UT9BR'!$J$6:$J$2990,"&gt;="&amp;K7,'1UT9BR'!$J$6:$J$2990,"&lt;="&amp;EOMONTH(K7,0),'1UT9BR'!$L$6:$L$2990,$B$22)+SUMIFS('1MK4UR'!$K$6:$K$2990,'1MK4UR'!$J$6:$J$2990,"&gt;="&amp;K7,'1MK4UR'!$J$6:$J$2990,"&lt;="&amp;EOMONTH(K7,0),'1MK4UR'!$L$6:$L$2990,$B$22)+SUMIFS(#REF!,#REF!,"&gt;="&amp;K7,#REF!,"&lt;="&amp;EOMONTH(K7,0),#REF!,$B$22)+SUMIFS('1JI2UE'!$K$6:$K$2989,'1JI2UE'!$J$6:$J$2989,"&gt;="&amp;K7,'1JI2UE'!$J$6:$J$2989,"&lt;="&amp;EOMONTH(K7,0),'1JI2UE'!$L$6:$L$2989,$B$22)+SUMIFS(#REF!,#REF!,"&gt;="&amp;K7,#REF!,"&lt;="&amp;EOMONTH(K7,0),#REF!,$B$22)+SUMIFS('1SI9BW'!$K$6:$K$2989,'1SI9BW'!$J$6:$J$2989,"&gt;="&amp;K7,'1SI9BW'!$J$6:$J$2989,"&lt;="&amp;EOMONTH(K7,0),'1SI9BW'!$L$6:$L$2989,$B$22)+SUMIFS(Suzuki!$K$6:$K$2989,Suzuki!$J$6:$J$2989,"&gt;="&amp;K7,Suzuki!$J$6:$J$2989,"&lt;="&amp;EOMONTH(K7,0),Suzuki!$L$6:$L$2989,$B$22)+SUMIFS('1SK3DD'!$K$6:$K$2989,'1SK3DD'!$J$6:$J$2989,"&gt;="&amp;K7,'1SK3DD'!$J$6:$J$2989,"&lt;="&amp;EOMONTH(K7,0),'1SK3DD'!$L$6:$L$2989,$B$22)+SUMIFS('1SX5TQ'!$K$6:$K$2989,'1SX5TQ'!$J$6:$J$2989,"&gt;="&amp;K7,'1SX5TQ'!$J$6:$J$2989,"&lt;="&amp;EOMONTH(K7,0),'1SX5TQ'!$L$6:$L$2989,$B$22)+SUMIFS('BMM465'!$K$6:$K$2989,'BMM465'!$J$6:$J$2989,"&gt;="&amp;K7,'BMM465'!$J$6:$J$2989,"&lt;="&amp;EOMONTH(K7,0),'BMM465'!$L$6:$L$2989,$B$22)+SUMIFS('1CF1ZO'!$K$6:$K$2989,'1CF1ZO'!$J$6:$J$2989,"&gt;="&amp;K7,'1CF1ZO'!$J$6:$J$2989,"&lt;="&amp;EOMONTH(K7,0),'1CF1ZO'!$L$6:$L$2989,$B$22)+SUMIFS('1UK1BK'!$K$6:$K$2989,'1UK1BK'!$J$6:$J$2989,"&gt;="&amp;K7,'1UK1BK'!$J$6:$J$2989,"&lt;="&amp;EOMONTH(K7,0),'1UK1BK'!$L$6:$L$2989,$B$22)</f>
        <v>#REF!</v>
      </c>
      <c r="L22" s="110" t="e">
        <f>SUMIFS('CEI565'!$K$6:$K$2990,'CEI565'!$J$6:$J$2990,"&gt;="&amp;L7,'CEI565'!$J$6:$J$2990,"&lt;="&amp;EOMONTH(L7,0),'CEI565'!$L$6:$L$2990,$B$22)+SUMIFS('1SM3VL'!$K$6:$K$2990,'1SM3VL'!$J$6:$J$2990,"&gt;="&amp;L7,'1SM3VL'!$J$6:$J$2990,"&lt;="&amp;EOMONTH(L7,0),'1SM3VL'!$L$6:$L$2990,$B$22)+SUMIFS('1QF4SM'!$K$6:$K$2989,'1QF4SM'!$J$6:$J$2989,"&gt;="&amp;L7,'1QF4SM'!$J$6:$J$2989,"&lt;="&amp;EOMONTH(L7,0),'1QF4SM'!$L$6:$L$2989,$B$22)+SUMIFS('1UV5KI'!$K$6:$K$2989,'1UV5KI'!$J$6:$J$2989,"&gt;="&amp;L7,'1UV5KI'!$J$6:$J$2989,"&lt;="&amp;EOMONTH(L7,0),'1UV5KI'!$L$6:$L$2989,$B$22)+SUMIFS(#REF!,#REF!,"&gt;="&amp;L7,#REF!,"&lt;="&amp;EOMONTH(L7,0),#REF!,$B$22)+SUMIFS('1UL9RY'!$K$6:$K$2990,'1UL9RY'!$J$6:$J$2990,"&gt;="&amp;L7,'1UL9RY'!$J$6:$J$2990,"&lt;="&amp;EOMONTH(L7,0),'1UL9RY'!$L$6:$L$2990,$B$22)+SUMIFS('1OZ7GT'!$K$6:$K$2989,'1OZ7GT'!$J$6:$J$2989,"&gt;="&amp;L7,'1OZ7GT'!$J$6:$J$2989,"&lt;="&amp;EOMONTH(L7,0),'1OZ7GT'!$L$6:$L$2989,$B$22)+SUMIFS('1CN8DD'!$K$6:$K$2989,'1CN8DD'!$J$6:$J$2989,"&gt;="&amp;L7,'1CN8DD'!$J$6:$J$2989,"&lt;="&amp;EOMONTH(L7,0),'1CN8DD'!$L$6:$L$2989,$B$22)+SUMIFS('1UT9BR'!$K$6:$K$2990,'1UT9BR'!$J$6:$J$2990,"&gt;="&amp;L7,'1UT9BR'!$J$6:$J$2990,"&lt;="&amp;EOMONTH(L7,0),'1UT9BR'!$L$6:$L$2990,$B$22)+SUMIFS('1MK4UR'!$K$6:$K$2990,'1MK4UR'!$J$6:$J$2990,"&gt;="&amp;L7,'1MK4UR'!$J$6:$J$2990,"&lt;="&amp;EOMONTH(L7,0),'1MK4UR'!$L$6:$L$2990,$B$22)+SUMIFS(#REF!,#REF!,"&gt;="&amp;L7,#REF!,"&lt;="&amp;EOMONTH(L7,0),#REF!,$B$22)+SUMIFS('1JI2UE'!$K$6:$K$2989,'1JI2UE'!$J$6:$J$2989,"&gt;="&amp;L7,'1JI2UE'!$J$6:$J$2989,"&lt;="&amp;EOMONTH(L7,0),'1JI2UE'!$L$6:$L$2989,$B$22)+SUMIFS(#REF!,#REF!,"&gt;="&amp;L7,#REF!,"&lt;="&amp;EOMONTH(L7,0),#REF!,$B$22)+SUMIFS('1SI9BW'!$K$6:$K$2989,'1SI9BW'!$J$6:$J$2989,"&gt;="&amp;L7,'1SI9BW'!$J$6:$J$2989,"&lt;="&amp;EOMONTH(L7,0),'1SI9BW'!$L$6:$L$2989,$B$22)+SUMIFS(Suzuki!$K$6:$K$2989,Suzuki!$J$6:$J$2989,"&gt;="&amp;L7,Suzuki!$J$6:$J$2989,"&lt;="&amp;EOMONTH(L7,0),Suzuki!$L$6:$L$2989,$B$22)+SUMIFS('1SK3DD'!$K$6:$K$2989,'1SK3DD'!$J$6:$J$2989,"&gt;="&amp;L7,'1SK3DD'!$J$6:$J$2989,"&lt;="&amp;EOMONTH(L7,0),'1SK3DD'!$L$6:$L$2989,$B$22)+SUMIFS('1SX5TQ'!$K$6:$K$2989,'1SX5TQ'!$J$6:$J$2989,"&gt;="&amp;L7,'1SX5TQ'!$J$6:$J$2989,"&lt;="&amp;EOMONTH(L7,0),'1SX5TQ'!$L$6:$L$2989,$B$22)+SUMIFS('BMM465'!$K$6:$K$2989,'BMM465'!$J$6:$J$2989,"&gt;="&amp;L7,'BMM465'!$J$6:$J$2989,"&lt;="&amp;EOMONTH(L7,0),'BMM465'!$L$6:$L$2989,$B$22)+SUMIFS('1CF1ZO'!$K$6:$K$2989,'1CF1ZO'!$J$6:$J$2989,"&gt;="&amp;L7,'1CF1ZO'!$J$6:$J$2989,"&lt;="&amp;EOMONTH(L7,0),'1CF1ZO'!$L$6:$L$2989,$B$22)+SUMIFS('1UK1BK'!$K$6:$K$2989,'1UK1BK'!$J$6:$J$2989,"&gt;="&amp;L7,'1UK1BK'!$J$6:$J$2989,"&lt;="&amp;EOMONTH(L7,0),'1UK1BK'!$L$6:$L$2989,$B$22)</f>
        <v>#REF!</v>
      </c>
      <c r="M22" s="110" t="e">
        <f>SUMIFS('CEI565'!$K$6:$K$2990,'CEI565'!$J$6:$J$2990,"&gt;="&amp;M7,'CEI565'!$J$6:$J$2990,"&lt;="&amp;EOMONTH(M7,0),'CEI565'!$L$6:$L$2990,$B$22)+SUMIFS('1SM3VL'!$K$6:$K$2990,'1SM3VL'!$J$6:$J$2990,"&gt;="&amp;M7,'1SM3VL'!$J$6:$J$2990,"&lt;="&amp;EOMONTH(M7,0),'1SM3VL'!$L$6:$L$2990,$B$22)+SUMIFS('1QF4SM'!$K$6:$K$2989,'1QF4SM'!$J$6:$J$2989,"&gt;="&amp;M7,'1QF4SM'!$J$6:$J$2989,"&lt;="&amp;EOMONTH(M7,0),'1QF4SM'!$L$6:$L$2989,$B$22)+SUMIFS('1UV5KI'!$K$6:$K$2989,'1UV5KI'!$J$6:$J$2989,"&gt;="&amp;M7,'1UV5KI'!$J$6:$J$2989,"&lt;="&amp;EOMONTH(M7,0),'1UV5KI'!$L$6:$L$2989,$B$22)+SUMIFS(#REF!,#REF!,"&gt;="&amp;M7,#REF!,"&lt;="&amp;EOMONTH(M7,0),#REF!,$B$22)+SUMIFS('1UL9RY'!$K$6:$K$2990,'1UL9RY'!$J$6:$J$2990,"&gt;="&amp;M7,'1UL9RY'!$J$6:$J$2990,"&lt;="&amp;EOMONTH(M7,0),'1UL9RY'!$L$6:$L$2990,$B$22)+SUMIFS('1OZ7GT'!$K$6:$K$2989,'1OZ7GT'!$J$6:$J$2989,"&gt;="&amp;M7,'1OZ7GT'!$J$6:$J$2989,"&lt;="&amp;EOMONTH(M7,0),'1OZ7GT'!$L$6:$L$2989,$B$22)+SUMIFS('1CN8DD'!$K$6:$K$2989,'1CN8DD'!$J$6:$J$2989,"&gt;="&amp;M7,'1CN8DD'!$J$6:$J$2989,"&lt;="&amp;EOMONTH(M7,0),'1CN8DD'!$L$6:$L$2989,$B$22)+SUMIFS('1UT9BR'!$K$6:$K$2990,'1UT9BR'!$J$6:$J$2990,"&gt;="&amp;M7,'1UT9BR'!$J$6:$J$2990,"&lt;="&amp;EOMONTH(M7,0),'1UT9BR'!$L$6:$L$2990,$B$22)+SUMIFS('1MK4UR'!$K$6:$K$2990,'1MK4UR'!$J$6:$J$2990,"&gt;="&amp;M7,'1MK4UR'!$J$6:$J$2990,"&lt;="&amp;EOMONTH(M7,0),'1MK4UR'!$L$6:$L$2990,$B$22)+SUMIFS(#REF!,#REF!,"&gt;="&amp;M7,#REF!,"&lt;="&amp;EOMONTH(M7,0),#REF!,$B$22)+SUMIFS('1JI2UE'!$K$6:$K$2989,'1JI2UE'!$J$6:$J$2989,"&gt;="&amp;M7,'1JI2UE'!$J$6:$J$2989,"&lt;="&amp;EOMONTH(M7,0),'1JI2UE'!$L$6:$L$2989,$B$22)+SUMIFS(#REF!,#REF!,"&gt;="&amp;M7,#REF!,"&lt;="&amp;EOMONTH(M7,0),#REF!,$B$22)+SUMIFS('1SI9BW'!$K$6:$K$2989,'1SI9BW'!$J$6:$J$2989,"&gt;="&amp;M7,'1SI9BW'!$J$6:$J$2989,"&lt;="&amp;EOMONTH(M7,0),'1SI9BW'!$L$6:$L$2989,$B$22)+SUMIFS(Suzuki!$K$6:$K$2989,Suzuki!$J$6:$J$2989,"&gt;="&amp;M7,Suzuki!$J$6:$J$2989,"&lt;="&amp;EOMONTH(M7,0),Suzuki!$L$6:$L$2989,$B$22)+SUMIFS('1SK3DD'!$K$6:$K$2989,'1SK3DD'!$J$6:$J$2989,"&gt;="&amp;M7,'1SK3DD'!$J$6:$J$2989,"&lt;="&amp;EOMONTH(M7,0),'1SK3DD'!$L$6:$L$2989,$B$22)+SUMIFS('1SX5TQ'!$K$6:$K$2989,'1SX5TQ'!$J$6:$J$2989,"&gt;="&amp;M7,'1SX5TQ'!$J$6:$J$2989,"&lt;="&amp;EOMONTH(M7,0),'1SX5TQ'!$L$6:$L$2989,$B$22)+SUMIFS('BMM465'!$K$6:$K$2989,'BMM465'!$J$6:$J$2989,"&gt;="&amp;M7,'BMM465'!$J$6:$J$2989,"&lt;="&amp;EOMONTH(M7,0),'BMM465'!$L$6:$L$2989,$B$22)+SUMIFS('1CF1ZO'!$K$6:$K$2989,'1CF1ZO'!$J$6:$J$2989,"&gt;="&amp;M7,'1CF1ZO'!$J$6:$J$2989,"&lt;="&amp;EOMONTH(M7,0),'1CF1ZO'!$L$6:$L$2989,$B$22)+SUMIFS('1UK1BK'!$K$6:$K$2989,'1UK1BK'!$J$6:$J$2989,"&gt;="&amp;M7,'1UK1BK'!$J$6:$J$2989,"&lt;="&amp;EOMONTH(M7,0),'1UK1BK'!$L$6:$L$2989,$B$22)</f>
        <v>#REF!</v>
      </c>
      <c r="N22" s="110" t="e">
        <f>SUMIFS('CEI565'!$K$6:$K$2990,'CEI565'!$J$6:$J$2990,"&gt;="&amp;N7,'CEI565'!$J$6:$J$2990,"&lt;="&amp;EOMONTH(N7,0),'CEI565'!$L$6:$L$2990,$B$22)+SUMIFS('1SM3VL'!$K$6:$K$2990,'1SM3VL'!$J$6:$J$2990,"&gt;="&amp;N7,'1SM3VL'!$J$6:$J$2990,"&lt;="&amp;EOMONTH(N7,0),'1SM3VL'!$L$6:$L$2990,$B$22)+SUMIFS('1QF4SM'!$K$6:$K$2989,'1QF4SM'!$J$6:$J$2989,"&gt;="&amp;N7,'1QF4SM'!$J$6:$J$2989,"&lt;="&amp;EOMONTH(N7,0),'1QF4SM'!$L$6:$L$2989,$B$22)+SUMIFS('1UV5KI'!$K$6:$K$2989,'1UV5KI'!$J$6:$J$2989,"&gt;="&amp;N7,'1UV5KI'!$J$6:$J$2989,"&lt;="&amp;EOMONTH(N7,0),'1UV5KI'!$L$6:$L$2989,$B$22)+SUMIFS(#REF!,#REF!,"&gt;="&amp;N7,#REF!,"&lt;="&amp;EOMONTH(N7,0),#REF!,$B$22)+SUMIFS('1UL9RY'!$K$6:$K$2990,'1UL9RY'!$J$6:$J$2990,"&gt;="&amp;N7,'1UL9RY'!$J$6:$J$2990,"&lt;="&amp;EOMONTH(N7,0),'1UL9RY'!$L$6:$L$2990,$B$22)+SUMIFS('1OZ7GT'!$K$6:$K$2989,'1OZ7GT'!$J$6:$J$2989,"&gt;="&amp;N7,'1OZ7GT'!$J$6:$J$2989,"&lt;="&amp;EOMONTH(N7,0),'1OZ7GT'!$L$6:$L$2989,$B$22)+SUMIFS('1CN8DD'!$K$6:$K$2989,'1CN8DD'!$J$6:$J$2989,"&gt;="&amp;N7,'1CN8DD'!$J$6:$J$2989,"&lt;="&amp;EOMONTH(N7,0),'1CN8DD'!$L$6:$L$2989,$B$22)+SUMIFS('1UT9BR'!$K$6:$K$2990,'1UT9BR'!$J$6:$J$2990,"&gt;="&amp;N7,'1UT9BR'!$J$6:$J$2990,"&lt;="&amp;EOMONTH(N7,0),'1UT9BR'!$L$6:$L$2990,$B$22)+SUMIFS('1MK4UR'!$K$6:$K$2990,'1MK4UR'!$J$6:$J$2990,"&gt;="&amp;N7,'1MK4UR'!$J$6:$J$2990,"&lt;="&amp;EOMONTH(N7,0),'1MK4UR'!$L$6:$L$2990,$B$22)+SUMIFS(#REF!,#REF!,"&gt;="&amp;N7,#REF!,"&lt;="&amp;EOMONTH(N7,0),#REF!,$B$22)+SUMIFS('1JI2UE'!$K$6:$K$2989,'1JI2UE'!$J$6:$J$2989,"&gt;="&amp;N7,'1JI2UE'!$J$6:$J$2989,"&lt;="&amp;EOMONTH(N7,0),'1JI2UE'!$L$6:$L$2989,$B$22)+SUMIFS(#REF!,#REF!,"&gt;="&amp;N7,#REF!,"&lt;="&amp;EOMONTH(N7,0),#REF!,$B$22)+SUMIFS('1SI9BW'!$K$6:$K$2989,'1SI9BW'!$J$6:$J$2989,"&gt;="&amp;N7,'1SI9BW'!$J$6:$J$2989,"&lt;="&amp;EOMONTH(N7,0),'1SI9BW'!$L$6:$L$2989,$B$22)+SUMIFS(Suzuki!$K$6:$K$2989,Suzuki!$J$6:$J$2989,"&gt;="&amp;N7,Suzuki!$J$6:$J$2989,"&lt;="&amp;EOMONTH(N7,0),Suzuki!$L$6:$L$2989,$B$22)+SUMIFS('1SK3DD'!$K$6:$K$2989,'1SK3DD'!$J$6:$J$2989,"&gt;="&amp;N7,'1SK3DD'!$J$6:$J$2989,"&lt;="&amp;EOMONTH(N7,0),'1SK3DD'!$L$6:$L$2989,$B$22)+SUMIFS('1SX5TQ'!$K$6:$K$2989,'1SX5TQ'!$J$6:$J$2989,"&gt;="&amp;N7,'1SX5TQ'!$J$6:$J$2989,"&lt;="&amp;EOMONTH(N7,0),'1SX5TQ'!$L$6:$L$2989,$B$22)+SUMIFS('BMM465'!$K$6:$K$2989,'BMM465'!$J$6:$J$2989,"&gt;="&amp;N7,'BMM465'!$J$6:$J$2989,"&lt;="&amp;EOMONTH(N7,0),'BMM465'!$L$6:$L$2989,$B$22)+SUMIFS('1CF1ZO'!$K$6:$K$2989,'1CF1ZO'!$J$6:$J$2989,"&gt;="&amp;N7,'1CF1ZO'!$J$6:$J$2989,"&lt;="&amp;EOMONTH(N7,0),'1CF1ZO'!$L$6:$L$2989,$B$22)+SUMIFS('1UK1BK'!$K$6:$K$2989,'1UK1BK'!$J$6:$J$2989,"&gt;="&amp;N7,'1UK1BK'!$J$6:$J$2989,"&lt;="&amp;EOMONTH(N7,0),'1UK1BK'!$L$6:$L$2989,$B$22)</f>
        <v>#REF!</v>
      </c>
      <c r="O22" s="110" t="e">
        <f>SUMIFS('CEI565'!$K$6:$K$2990,'CEI565'!$J$6:$J$2990,"&gt;="&amp;O7,'CEI565'!$J$6:$J$2990,"&lt;="&amp;EOMONTH(O7,0),'CEI565'!$L$6:$L$2990,$B$22)+SUMIFS('1SM3VL'!$K$6:$K$2990,'1SM3VL'!$J$6:$J$2990,"&gt;="&amp;O7,'1SM3VL'!$J$6:$J$2990,"&lt;="&amp;EOMONTH(O7,0),'1SM3VL'!$L$6:$L$2990,$B$22)+SUMIFS('1QF4SM'!$K$6:$K$2989,'1QF4SM'!$J$6:$J$2989,"&gt;="&amp;O7,'1QF4SM'!$J$6:$J$2989,"&lt;="&amp;EOMONTH(O7,0),'1QF4SM'!$L$6:$L$2989,$B$22)+SUMIFS('1UV5KI'!$K$6:$K$2989,'1UV5KI'!$J$6:$J$2989,"&gt;="&amp;O7,'1UV5KI'!$J$6:$J$2989,"&lt;="&amp;EOMONTH(O7,0),'1UV5KI'!$L$6:$L$2989,$B$22)+SUMIFS(#REF!,#REF!,"&gt;="&amp;O7,#REF!,"&lt;="&amp;EOMONTH(O7,0),#REF!,$B$22)+SUMIFS('1UL9RY'!$K$6:$K$2990,'1UL9RY'!$J$6:$J$2990,"&gt;="&amp;O7,'1UL9RY'!$J$6:$J$2990,"&lt;="&amp;EOMONTH(O7,0),'1UL9RY'!$L$6:$L$2990,$B$22)+SUMIFS('1OZ7GT'!$K$6:$K$2989,'1OZ7GT'!$J$6:$J$2989,"&gt;="&amp;O7,'1OZ7GT'!$J$6:$J$2989,"&lt;="&amp;EOMONTH(O7,0),'1OZ7GT'!$L$6:$L$2989,$B$22)+SUMIFS('1CN8DD'!$K$6:$K$2989,'1CN8DD'!$J$6:$J$2989,"&gt;="&amp;O7,'1CN8DD'!$J$6:$J$2989,"&lt;="&amp;EOMONTH(O7,0),'1CN8DD'!$L$6:$L$2989,$B$22)+SUMIFS('1UT9BR'!$K$6:$K$2990,'1UT9BR'!$J$6:$J$2990,"&gt;="&amp;O7,'1UT9BR'!$J$6:$J$2990,"&lt;="&amp;EOMONTH(O7,0),'1UT9BR'!$L$6:$L$2990,$B$22)+SUMIFS('1MK4UR'!$K$6:$K$2990,'1MK4UR'!$J$6:$J$2990,"&gt;="&amp;O7,'1MK4UR'!$J$6:$J$2990,"&lt;="&amp;EOMONTH(O7,0),'1MK4UR'!$L$6:$L$2990,$B$22)+SUMIFS(#REF!,#REF!,"&gt;="&amp;O7,#REF!,"&lt;="&amp;EOMONTH(O7,0),#REF!,$B$22)+SUMIFS('1JI2UE'!$K$6:$K$2989,'1JI2UE'!$J$6:$J$2989,"&gt;="&amp;O7,'1JI2UE'!$J$6:$J$2989,"&lt;="&amp;EOMONTH(O7,0),'1JI2UE'!$L$6:$L$2989,$B$22)+SUMIFS(#REF!,#REF!,"&gt;="&amp;O7,#REF!,"&lt;="&amp;EOMONTH(O7,0),#REF!,$B$22)+SUMIFS('1SI9BW'!$K$6:$K$2989,'1SI9BW'!$J$6:$J$2989,"&gt;="&amp;O7,'1SI9BW'!$J$6:$J$2989,"&lt;="&amp;EOMONTH(O7,0),'1SI9BW'!$L$6:$L$2989,$B$22)+SUMIFS(Suzuki!$K$6:$K$2989,Suzuki!$J$6:$J$2989,"&gt;="&amp;O7,Suzuki!$J$6:$J$2989,"&lt;="&amp;EOMONTH(O7,0),Suzuki!$L$6:$L$2989,$B$22)+SUMIFS('1SK3DD'!$K$6:$K$2989,'1SK3DD'!$J$6:$J$2989,"&gt;="&amp;O7,'1SK3DD'!$J$6:$J$2989,"&lt;="&amp;EOMONTH(O7,0),'1SK3DD'!$L$6:$L$2989,$B$22)+SUMIFS('1SX5TQ'!$K$6:$K$2989,'1SX5TQ'!$J$6:$J$2989,"&gt;="&amp;O7,'1SX5TQ'!$J$6:$J$2989,"&lt;="&amp;EOMONTH(O7,0),'1SX5TQ'!$L$6:$L$2989,$B$22)+SUMIFS('BMM465'!$K$6:$K$2989,'BMM465'!$J$6:$J$2989,"&gt;="&amp;O7,'BMM465'!$J$6:$J$2989,"&lt;="&amp;EOMONTH(O7,0),'BMM465'!$L$6:$L$2989,$B$22)+SUMIFS('1CF1ZO'!$K$6:$K$2989,'1CF1ZO'!$J$6:$J$2989,"&gt;="&amp;O7,'1CF1ZO'!$J$6:$J$2989,"&lt;="&amp;EOMONTH(O7,0),'1CF1ZO'!$L$6:$L$2989,$B$22)+SUMIFS('1UK1BK'!$K$6:$K$2989,'1UK1BK'!$J$6:$J$2989,"&gt;="&amp;O7,'1UK1BK'!$J$6:$J$2989,"&lt;="&amp;EOMONTH(O7,0),'1UK1BK'!$L$6:$L$2989,$B$22)</f>
        <v>#REF!</v>
      </c>
      <c r="P22" s="110" t="e">
        <f>SUMIFS('CEI565'!$K$6:$K$2990,'CEI565'!$J$6:$J$2990,"&gt;="&amp;P7,'CEI565'!$J$6:$J$2990,"&lt;="&amp;EOMONTH(P7,0),'CEI565'!$L$6:$L$2990,$B$22)+SUMIFS('1SM3VL'!$K$6:$K$2990,'1SM3VL'!$J$6:$J$2990,"&gt;="&amp;P7,'1SM3VL'!$J$6:$J$2990,"&lt;="&amp;EOMONTH(P7,0),'1SM3VL'!$L$6:$L$2990,$B$22)+SUMIFS('1QF4SM'!$K$6:$K$2989,'1QF4SM'!$J$6:$J$2989,"&gt;="&amp;P7,'1QF4SM'!$J$6:$J$2989,"&lt;="&amp;EOMONTH(P7,0),'1QF4SM'!$L$6:$L$2989,$B$22)+SUMIFS('1UV5KI'!$K$6:$K$2989,'1UV5KI'!$J$6:$J$2989,"&gt;="&amp;P7,'1UV5KI'!$J$6:$J$2989,"&lt;="&amp;EOMONTH(P7,0),'1UV5KI'!$L$6:$L$2989,$B$22)+SUMIFS(#REF!,#REF!,"&gt;="&amp;P7,#REF!,"&lt;="&amp;EOMONTH(P7,0),#REF!,$B$22)+SUMIFS('1UL9RY'!$K$6:$K$2990,'1UL9RY'!$J$6:$J$2990,"&gt;="&amp;P7,'1UL9RY'!$J$6:$J$2990,"&lt;="&amp;EOMONTH(P7,0),'1UL9RY'!$L$6:$L$2990,$B$22)+SUMIFS('1OZ7GT'!$K$6:$K$2989,'1OZ7GT'!$J$6:$J$2989,"&gt;="&amp;P7,'1OZ7GT'!$J$6:$J$2989,"&lt;="&amp;EOMONTH(P7,0),'1OZ7GT'!$L$6:$L$2989,$B$22)+SUMIFS('1CN8DD'!$K$6:$K$2989,'1CN8DD'!$J$6:$J$2989,"&gt;="&amp;P7,'1CN8DD'!$J$6:$J$2989,"&lt;="&amp;EOMONTH(P7,0),'1CN8DD'!$L$6:$L$2989,$B$22)+SUMIFS('1UT9BR'!$K$6:$K$2990,'1UT9BR'!$J$6:$J$2990,"&gt;="&amp;P7,'1UT9BR'!$J$6:$J$2990,"&lt;="&amp;EOMONTH(P7,0),'1UT9BR'!$L$6:$L$2990,$B$22)+SUMIFS('1MK4UR'!$K$6:$K$2990,'1MK4UR'!$J$6:$J$2990,"&gt;="&amp;P7,'1MK4UR'!$J$6:$J$2990,"&lt;="&amp;EOMONTH(P7,0),'1MK4UR'!$L$6:$L$2990,$B$22)+SUMIFS(#REF!,#REF!,"&gt;="&amp;P7,#REF!,"&lt;="&amp;EOMONTH(P7,0),#REF!,$B$22)+SUMIFS('1JI2UE'!$K$6:$K$2989,'1JI2UE'!$J$6:$J$2989,"&gt;="&amp;P7,'1JI2UE'!$J$6:$J$2989,"&lt;="&amp;EOMONTH(P7,0),'1JI2UE'!$L$6:$L$2989,$B$22)+SUMIFS(#REF!,#REF!,"&gt;="&amp;P7,#REF!,"&lt;="&amp;EOMONTH(P7,0),#REF!,$B$22)+SUMIFS('1SI9BW'!$K$6:$K$2989,'1SI9BW'!$J$6:$J$2989,"&gt;="&amp;P7,'1SI9BW'!$J$6:$J$2989,"&lt;="&amp;EOMONTH(P7,0),'1SI9BW'!$L$6:$L$2989,$B$22)+SUMIFS(Suzuki!$K$6:$K$2989,Suzuki!$J$6:$J$2989,"&gt;="&amp;P7,Suzuki!$J$6:$J$2989,"&lt;="&amp;EOMONTH(P7,0),Suzuki!$L$6:$L$2989,$B$22)+SUMIFS('1SK3DD'!$K$6:$K$2989,'1SK3DD'!$J$6:$J$2989,"&gt;="&amp;P7,'1SK3DD'!$J$6:$J$2989,"&lt;="&amp;EOMONTH(P7,0),'1SK3DD'!$L$6:$L$2989,$B$22)+SUMIFS('1SX5TQ'!$K$6:$K$2989,'1SX5TQ'!$J$6:$J$2989,"&gt;="&amp;P7,'1SX5TQ'!$J$6:$J$2989,"&lt;="&amp;EOMONTH(P7,0),'1SX5TQ'!$L$6:$L$2989,$B$22)+SUMIFS('BMM465'!$K$6:$K$2989,'BMM465'!$J$6:$J$2989,"&gt;="&amp;P7,'BMM465'!$J$6:$J$2989,"&lt;="&amp;EOMONTH(P7,0),'BMM465'!$L$6:$L$2989,$B$22)+SUMIFS('1CF1ZO'!$K$6:$K$2989,'1CF1ZO'!$J$6:$J$2989,"&gt;="&amp;P7,'1CF1ZO'!$J$6:$J$2989,"&lt;="&amp;EOMONTH(P7,0),'1CF1ZO'!$L$6:$L$2989,$B$22)+SUMIFS('1UK1BK'!$K$6:$K$2989,'1UK1BK'!$J$6:$J$2989,"&gt;="&amp;P7,'1UK1BK'!$J$6:$J$2989,"&lt;="&amp;EOMONTH(P7,0),'1UK1BK'!$L$6:$L$2989,$B$22)</f>
        <v>#REF!</v>
      </c>
      <c r="Q22" s="110" t="e">
        <f>SUMIFS('CEI565'!$K$6:$K$2990,'CEI565'!$J$6:$J$2990,"&gt;="&amp;Q7,'CEI565'!$J$6:$J$2990,"&lt;="&amp;EOMONTH(Q7,0),'CEI565'!$L$6:$L$2990,$B$22)+SUMIFS('1SM3VL'!$K$6:$K$2990,'1SM3VL'!$J$6:$J$2990,"&gt;="&amp;Q7,'1SM3VL'!$J$6:$J$2990,"&lt;="&amp;EOMONTH(Q7,0),'1SM3VL'!$L$6:$L$2990,$B$22)+SUMIFS('1QF4SM'!$K$6:$K$2989,'1QF4SM'!$J$6:$J$2989,"&gt;="&amp;Q7,'1QF4SM'!$J$6:$J$2989,"&lt;="&amp;EOMONTH(Q7,0),'1QF4SM'!$L$6:$L$2989,$B$22)+SUMIFS('1UV5KI'!$K$6:$K$2989,'1UV5KI'!$J$6:$J$2989,"&gt;="&amp;Q7,'1UV5KI'!$J$6:$J$2989,"&lt;="&amp;EOMONTH(Q7,0),'1UV5KI'!$L$6:$L$2989,$B$22)+SUMIFS(#REF!,#REF!,"&gt;="&amp;Q7,#REF!,"&lt;="&amp;EOMONTH(Q7,0),#REF!,$B$22)+SUMIFS('1UL9RY'!$K$6:$K$2990,'1UL9RY'!$J$6:$J$2990,"&gt;="&amp;Q7,'1UL9RY'!$J$6:$J$2990,"&lt;="&amp;EOMONTH(Q7,0),'1UL9RY'!$L$6:$L$2990,$B$22)+SUMIFS('1OZ7GT'!$K$6:$K$2989,'1OZ7GT'!$J$6:$J$2989,"&gt;="&amp;Q7,'1OZ7GT'!$J$6:$J$2989,"&lt;="&amp;EOMONTH(Q7,0),'1OZ7GT'!$L$6:$L$2989,$B$22)+SUMIFS('1CN8DD'!$K$6:$K$2989,'1CN8DD'!$J$6:$J$2989,"&gt;="&amp;Q7,'1CN8DD'!$J$6:$J$2989,"&lt;="&amp;EOMONTH(Q7,0),'1CN8DD'!$L$6:$L$2989,$B$22)+SUMIFS('1UT9BR'!$K$6:$K$2990,'1UT9BR'!$J$6:$J$2990,"&gt;="&amp;Q7,'1UT9BR'!$J$6:$J$2990,"&lt;="&amp;EOMONTH(Q7,0),'1UT9BR'!$L$6:$L$2990,$B$22)+SUMIFS('1MK4UR'!$K$6:$K$2990,'1MK4UR'!$J$6:$J$2990,"&gt;="&amp;Q7,'1MK4UR'!$J$6:$J$2990,"&lt;="&amp;EOMONTH(Q7,0),'1MK4UR'!$L$6:$L$2990,$B$22)+SUMIFS(#REF!,#REF!,"&gt;="&amp;Q7,#REF!,"&lt;="&amp;EOMONTH(Q7,0),#REF!,$B$22)+SUMIFS('1JI2UE'!$K$6:$K$2989,'1JI2UE'!$J$6:$J$2989,"&gt;="&amp;Q7,'1JI2UE'!$J$6:$J$2989,"&lt;="&amp;EOMONTH(Q7,0),'1JI2UE'!$L$6:$L$2989,$B$22)+SUMIFS(#REF!,#REF!,"&gt;="&amp;Q7,#REF!,"&lt;="&amp;EOMONTH(Q7,0),#REF!,$B$22)+SUMIFS('1SI9BW'!$K$6:$K$2989,'1SI9BW'!$J$6:$J$2989,"&gt;="&amp;Q7,'1SI9BW'!$J$6:$J$2989,"&lt;="&amp;EOMONTH(Q7,0),'1SI9BW'!$L$6:$L$2989,$B$22)+SUMIFS(Suzuki!$K$6:$K$2989,Suzuki!$J$6:$J$2989,"&gt;="&amp;Q7,Suzuki!$J$6:$J$2989,"&lt;="&amp;EOMONTH(Q7,0),Suzuki!$L$6:$L$2989,$B$22)+SUMIFS('1SK3DD'!$K$6:$K$2989,'1SK3DD'!$J$6:$J$2989,"&gt;="&amp;Q7,'1SK3DD'!$J$6:$J$2989,"&lt;="&amp;EOMONTH(Q7,0),'1SK3DD'!$L$6:$L$2989,$B$22)+SUMIFS('1SX5TQ'!$K$6:$K$2989,'1SX5TQ'!$J$6:$J$2989,"&gt;="&amp;Q7,'1SX5TQ'!$J$6:$J$2989,"&lt;="&amp;EOMONTH(Q7,0),'1SX5TQ'!$L$6:$L$2989,$B$22)+SUMIFS('BMM465'!$K$6:$K$2989,'BMM465'!$J$6:$J$2989,"&gt;="&amp;Q7,'BMM465'!$J$6:$J$2989,"&lt;="&amp;EOMONTH(Q7,0),'BMM465'!$L$6:$L$2989,$B$22)+SUMIFS('1CF1ZO'!$K$6:$K$2989,'1CF1ZO'!$J$6:$J$2989,"&gt;="&amp;Q7,'1CF1ZO'!$J$6:$J$2989,"&lt;="&amp;EOMONTH(Q7,0),'1CF1ZO'!$L$6:$L$2989,$B$22)+SUMIFS('1UK1BK'!$K$6:$K$2989,'1UK1BK'!$J$6:$J$2989,"&gt;="&amp;Q7,'1UK1BK'!$J$6:$J$2989,"&lt;="&amp;EOMONTH(Q7,0),'1UK1BK'!$L$6:$L$2989,$B$22)</f>
        <v>#REF!</v>
      </c>
      <c r="R22" s="110" t="e">
        <f>SUMIFS('CEI565'!$K$6:$K$2990,'CEI565'!$J$6:$J$2990,"&gt;="&amp;R7,'CEI565'!$J$6:$J$2990,"&lt;="&amp;EOMONTH(R7,0),'CEI565'!$L$6:$L$2990,$B$22)+SUMIFS('1SM3VL'!$K$6:$K$2990,'1SM3VL'!$J$6:$J$2990,"&gt;="&amp;R7,'1SM3VL'!$J$6:$J$2990,"&lt;="&amp;EOMONTH(R7,0),'1SM3VL'!$L$6:$L$2990,$B$22)+SUMIFS('1QF4SM'!$K$6:$K$2989,'1QF4SM'!$J$6:$J$2989,"&gt;="&amp;R7,'1QF4SM'!$J$6:$J$2989,"&lt;="&amp;EOMONTH(R7,0),'1QF4SM'!$L$6:$L$2989,$B$22)+SUMIFS('1UV5KI'!$K$6:$K$2989,'1UV5KI'!$J$6:$J$2989,"&gt;="&amp;R7,'1UV5KI'!$J$6:$J$2989,"&lt;="&amp;EOMONTH(R7,0),'1UV5KI'!$L$6:$L$2989,$B$22)+SUMIFS(#REF!,#REF!,"&gt;="&amp;R7,#REF!,"&lt;="&amp;EOMONTH(R7,0),#REF!,$B$22)+SUMIFS('1UL9RY'!$K$6:$K$2990,'1UL9RY'!$J$6:$J$2990,"&gt;="&amp;R7,'1UL9RY'!$J$6:$J$2990,"&lt;="&amp;EOMONTH(R7,0),'1UL9RY'!$L$6:$L$2990,$B$22)+SUMIFS('1OZ7GT'!$K$6:$K$2989,'1OZ7GT'!$J$6:$J$2989,"&gt;="&amp;R7,'1OZ7GT'!$J$6:$J$2989,"&lt;="&amp;EOMONTH(R7,0),'1OZ7GT'!$L$6:$L$2989,$B$22)+SUMIFS('1CN8DD'!$K$6:$K$2989,'1CN8DD'!$J$6:$J$2989,"&gt;="&amp;R7,'1CN8DD'!$J$6:$J$2989,"&lt;="&amp;EOMONTH(R7,0),'1CN8DD'!$L$6:$L$2989,$B$22)+SUMIFS('1UT9BR'!$K$6:$K$2990,'1UT9BR'!$J$6:$J$2990,"&gt;="&amp;R7,'1UT9BR'!$J$6:$J$2990,"&lt;="&amp;EOMONTH(R7,0),'1UT9BR'!$L$6:$L$2990,$B$22)+SUMIFS('1MK4UR'!$K$6:$K$2990,'1MK4UR'!$J$6:$J$2990,"&gt;="&amp;R7,'1MK4UR'!$J$6:$J$2990,"&lt;="&amp;EOMONTH(R7,0),'1MK4UR'!$L$6:$L$2990,$B$22)+SUMIFS(#REF!,#REF!,"&gt;="&amp;R7,#REF!,"&lt;="&amp;EOMONTH(R7,0),#REF!,$B$22)+SUMIFS('1JI2UE'!$K$6:$K$2989,'1JI2UE'!$J$6:$J$2989,"&gt;="&amp;R7,'1JI2UE'!$J$6:$J$2989,"&lt;="&amp;EOMONTH(R7,0),'1JI2UE'!$L$6:$L$2989,$B$22)+SUMIFS(#REF!,#REF!,"&gt;="&amp;R7,#REF!,"&lt;="&amp;EOMONTH(R7,0),#REF!,$B$22)+SUMIFS('1SI9BW'!$K$6:$K$2989,'1SI9BW'!$J$6:$J$2989,"&gt;="&amp;R7,'1SI9BW'!$J$6:$J$2989,"&lt;="&amp;EOMONTH(R7,0),'1SI9BW'!$L$6:$L$2989,$B$22)+SUMIFS(Suzuki!$K$6:$K$2989,Suzuki!$J$6:$J$2989,"&gt;="&amp;R7,Suzuki!$J$6:$J$2989,"&lt;="&amp;EOMONTH(R7,0),Suzuki!$L$6:$L$2989,$B$22)+SUMIFS('1SK3DD'!$K$6:$K$2989,'1SK3DD'!$J$6:$J$2989,"&gt;="&amp;R7,'1SK3DD'!$J$6:$J$2989,"&lt;="&amp;EOMONTH(R7,0),'1SK3DD'!$L$6:$L$2989,$B$22)+SUMIFS('1SX5TQ'!$K$6:$K$2989,'1SX5TQ'!$J$6:$J$2989,"&gt;="&amp;R7,'1SX5TQ'!$J$6:$J$2989,"&lt;="&amp;EOMONTH(R7,0),'1SX5TQ'!$L$6:$L$2989,$B$22)+SUMIFS('BMM465'!$K$6:$K$2989,'BMM465'!$J$6:$J$2989,"&gt;="&amp;R7,'BMM465'!$J$6:$J$2989,"&lt;="&amp;EOMONTH(R7,0),'BMM465'!$L$6:$L$2989,$B$22)+SUMIFS('1CF1ZO'!$K$6:$K$2989,'1CF1ZO'!$J$6:$J$2989,"&gt;="&amp;R7,'1CF1ZO'!$J$6:$J$2989,"&lt;="&amp;EOMONTH(R7,0),'1CF1ZO'!$L$6:$L$2989,$B$22)+SUMIFS('1UK1BK'!$K$6:$K$2989,'1UK1BK'!$J$6:$J$2989,"&gt;="&amp;R7,'1UK1BK'!$J$6:$J$2989,"&lt;="&amp;EOMONTH(R7,0),'1UK1BK'!$L$6:$L$2989,$B$22)</f>
        <v>#REF!</v>
      </c>
      <c r="S22" s="110" t="e">
        <f>SUMIFS('CEI565'!$K$6:$K$2990,'CEI565'!$J$6:$J$2990,"&gt;="&amp;S7,'CEI565'!$J$6:$J$2990,"&lt;="&amp;EOMONTH(S7,0),'CEI565'!$L$6:$L$2990,$B$22)+SUMIFS('1SM3VL'!$K$6:$K$2990,'1SM3VL'!$J$6:$J$2990,"&gt;="&amp;S7,'1SM3VL'!$J$6:$J$2990,"&lt;="&amp;EOMONTH(S7,0),'1SM3VL'!$L$6:$L$2990,$B$22)+SUMIFS('1QF4SM'!$K$6:$K$2989,'1QF4SM'!$J$6:$J$2989,"&gt;="&amp;S7,'1QF4SM'!$J$6:$J$2989,"&lt;="&amp;EOMONTH(S7,0),'1QF4SM'!$L$6:$L$2989,$B$22)+SUMIFS('1UV5KI'!$K$6:$K$2989,'1UV5KI'!$J$6:$J$2989,"&gt;="&amp;S7,'1UV5KI'!$J$6:$J$2989,"&lt;="&amp;EOMONTH(S7,0),'1UV5KI'!$L$6:$L$2989,$B$22)+SUMIFS(#REF!,#REF!,"&gt;="&amp;S7,#REF!,"&lt;="&amp;EOMONTH(S7,0),#REF!,$B$22)+SUMIFS('1UL9RY'!$K$6:$K$2990,'1UL9RY'!$J$6:$J$2990,"&gt;="&amp;S7,'1UL9RY'!$J$6:$J$2990,"&lt;="&amp;EOMONTH(S7,0),'1UL9RY'!$L$6:$L$2990,$B$22)+SUMIFS('1OZ7GT'!$K$6:$K$2989,'1OZ7GT'!$J$6:$J$2989,"&gt;="&amp;S7,'1OZ7GT'!$J$6:$J$2989,"&lt;="&amp;EOMONTH(S7,0),'1OZ7GT'!$L$6:$L$2989,$B$22)+SUMIFS('1CN8DD'!$K$6:$K$2989,'1CN8DD'!$J$6:$J$2989,"&gt;="&amp;S7,'1CN8DD'!$J$6:$J$2989,"&lt;="&amp;EOMONTH(S7,0),'1CN8DD'!$L$6:$L$2989,$B$22)+SUMIFS('1UT9BR'!$K$6:$K$2990,'1UT9BR'!$J$6:$J$2990,"&gt;="&amp;S7,'1UT9BR'!$J$6:$J$2990,"&lt;="&amp;EOMONTH(S7,0),'1UT9BR'!$L$6:$L$2990,$B$22)+SUMIFS('1MK4UR'!$K$6:$K$2990,'1MK4UR'!$J$6:$J$2990,"&gt;="&amp;S7,'1MK4UR'!$J$6:$J$2990,"&lt;="&amp;EOMONTH(S7,0),'1MK4UR'!$L$6:$L$2990,$B$22)+SUMIFS(#REF!,#REF!,"&gt;="&amp;S7,#REF!,"&lt;="&amp;EOMONTH(S7,0),#REF!,$B$22)+SUMIFS('1JI2UE'!$K$6:$K$2989,'1JI2UE'!$J$6:$J$2989,"&gt;="&amp;S7,'1JI2UE'!$J$6:$J$2989,"&lt;="&amp;EOMONTH(S7,0),'1JI2UE'!$L$6:$L$2989,$B$22)+SUMIFS(#REF!,#REF!,"&gt;="&amp;S7,#REF!,"&lt;="&amp;EOMONTH(S7,0),#REF!,$B$22)+SUMIFS('1SI9BW'!$K$6:$K$2989,'1SI9BW'!$J$6:$J$2989,"&gt;="&amp;S7,'1SI9BW'!$J$6:$J$2989,"&lt;="&amp;EOMONTH(S7,0),'1SI9BW'!$L$6:$L$2989,$B$22)+SUMIFS(Suzuki!$K$6:$K$2989,Suzuki!$J$6:$J$2989,"&gt;="&amp;S7,Suzuki!$J$6:$J$2989,"&lt;="&amp;EOMONTH(S7,0),Suzuki!$L$6:$L$2989,$B$22)+SUMIFS('1SK3DD'!$K$6:$K$2989,'1SK3DD'!$J$6:$J$2989,"&gt;="&amp;S7,'1SK3DD'!$J$6:$J$2989,"&lt;="&amp;EOMONTH(S7,0),'1SK3DD'!$L$6:$L$2989,$B$22)+SUMIFS('1SX5TQ'!$K$6:$K$2989,'1SX5TQ'!$J$6:$J$2989,"&gt;="&amp;S7,'1SX5TQ'!$J$6:$J$2989,"&lt;="&amp;EOMONTH(S7,0),'1SX5TQ'!$L$6:$L$2989,$B$22)+SUMIFS('BMM465'!$K$6:$K$2989,'BMM465'!$J$6:$J$2989,"&gt;="&amp;S7,'BMM465'!$J$6:$J$2989,"&lt;="&amp;EOMONTH(S7,0),'BMM465'!$L$6:$L$2989,$B$22)+SUMIFS('1CF1ZO'!$K$6:$K$2989,'1CF1ZO'!$J$6:$J$2989,"&gt;="&amp;S7,'1CF1ZO'!$J$6:$J$2989,"&lt;="&amp;EOMONTH(S7,0),'1CF1ZO'!$L$6:$L$2989,$B$22)+SUMIFS('1UK1BK'!$K$6:$K$2989,'1UK1BK'!$J$6:$J$2989,"&gt;="&amp;S7,'1UK1BK'!$J$6:$J$2989,"&lt;="&amp;EOMONTH(S7,0),'1UK1BK'!$L$6:$L$2989,$B$22)</f>
        <v>#REF!</v>
      </c>
      <c r="T22" s="110" t="e">
        <f>SUMIFS('CEI565'!$K$6:$K$2990,'CEI565'!$J$6:$J$2990,"&gt;="&amp;T7,'CEI565'!$J$6:$J$2990,"&lt;="&amp;EOMONTH(T7,0),'CEI565'!$L$6:$L$2990,$B$22)+SUMIFS('1SM3VL'!$K$6:$K$2990,'1SM3VL'!$J$6:$J$2990,"&gt;="&amp;T7,'1SM3VL'!$J$6:$J$2990,"&lt;="&amp;EOMONTH(T7,0),'1SM3VL'!$L$6:$L$2990,$B$22)+SUMIFS('1QF4SM'!$K$6:$K$2989,'1QF4SM'!$J$6:$J$2989,"&gt;="&amp;T7,'1QF4SM'!$J$6:$J$2989,"&lt;="&amp;EOMONTH(T7,0),'1QF4SM'!$L$6:$L$2989,$B$22)+SUMIFS('1UV5KI'!$K$6:$K$2989,'1UV5KI'!$J$6:$J$2989,"&gt;="&amp;T7,'1UV5KI'!$J$6:$J$2989,"&lt;="&amp;EOMONTH(T7,0),'1UV5KI'!$L$6:$L$2989,$B$22)+SUMIFS(#REF!,#REF!,"&gt;="&amp;T7,#REF!,"&lt;="&amp;EOMONTH(T7,0),#REF!,$B$22)+SUMIFS('1UL9RY'!$K$6:$K$2990,'1UL9RY'!$J$6:$J$2990,"&gt;="&amp;T7,'1UL9RY'!$J$6:$J$2990,"&lt;="&amp;EOMONTH(T7,0),'1UL9RY'!$L$6:$L$2990,$B$22)+SUMIFS('1OZ7GT'!$K$6:$K$2989,'1OZ7GT'!$J$6:$J$2989,"&gt;="&amp;T7,'1OZ7GT'!$J$6:$J$2989,"&lt;="&amp;EOMONTH(T7,0),'1OZ7GT'!$L$6:$L$2989,$B$22)+SUMIFS('1CN8DD'!$K$6:$K$2989,'1CN8DD'!$J$6:$J$2989,"&gt;="&amp;T7,'1CN8DD'!$J$6:$J$2989,"&lt;="&amp;EOMONTH(T7,0),'1CN8DD'!$L$6:$L$2989,$B$22)+SUMIFS('1UT9BR'!$K$6:$K$2990,'1UT9BR'!$J$6:$J$2990,"&gt;="&amp;T7,'1UT9BR'!$J$6:$J$2990,"&lt;="&amp;EOMONTH(T7,0),'1UT9BR'!$L$6:$L$2990,$B$22)+SUMIFS('1MK4UR'!$K$6:$K$2990,'1MK4UR'!$J$6:$J$2990,"&gt;="&amp;T7,'1MK4UR'!$J$6:$J$2990,"&lt;="&amp;EOMONTH(T7,0),'1MK4UR'!$L$6:$L$2990,$B$22)+SUMIFS(#REF!,#REF!,"&gt;="&amp;T7,#REF!,"&lt;="&amp;EOMONTH(T7,0),#REF!,$B$22)+SUMIFS('1JI2UE'!$K$6:$K$2989,'1JI2UE'!$J$6:$J$2989,"&gt;="&amp;T7,'1JI2UE'!$J$6:$J$2989,"&lt;="&amp;EOMONTH(T7,0),'1JI2UE'!$L$6:$L$2989,$B$22)+SUMIFS(#REF!,#REF!,"&gt;="&amp;T7,#REF!,"&lt;="&amp;EOMONTH(T7,0),#REF!,$B$22)+SUMIFS('1SI9BW'!$K$6:$K$2989,'1SI9BW'!$J$6:$J$2989,"&gt;="&amp;T7,'1SI9BW'!$J$6:$J$2989,"&lt;="&amp;EOMONTH(T7,0),'1SI9BW'!$L$6:$L$2989,$B$22)+SUMIFS(Suzuki!$K$6:$K$2989,Suzuki!$J$6:$J$2989,"&gt;="&amp;T7,Suzuki!$J$6:$J$2989,"&lt;="&amp;EOMONTH(T7,0),Suzuki!$L$6:$L$2989,$B$22)+SUMIFS('1SK3DD'!$K$6:$K$2989,'1SK3DD'!$J$6:$J$2989,"&gt;="&amp;T7,'1SK3DD'!$J$6:$J$2989,"&lt;="&amp;EOMONTH(T7,0),'1SK3DD'!$L$6:$L$2989,$B$22)+SUMIFS('1SX5TQ'!$K$6:$K$2989,'1SX5TQ'!$J$6:$J$2989,"&gt;="&amp;T7,'1SX5TQ'!$J$6:$J$2989,"&lt;="&amp;EOMONTH(T7,0),'1SX5TQ'!$L$6:$L$2989,$B$22)+SUMIFS('BMM465'!$K$6:$K$2989,'BMM465'!$J$6:$J$2989,"&gt;="&amp;T7,'BMM465'!$J$6:$J$2989,"&lt;="&amp;EOMONTH(T7,0),'BMM465'!$L$6:$L$2989,$B$22)+SUMIFS('1CF1ZO'!$K$6:$K$2989,'1CF1ZO'!$J$6:$J$2989,"&gt;="&amp;T7,'1CF1ZO'!$J$6:$J$2989,"&lt;="&amp;EOMONTH(T7,0),'1CF1ZO'!$L$6:$L$2989,$B$22)+SUMIFS('1UK1BK'!$K$6:$K$2989,'1UK1BK'!$J$6:$J$2989,"&gt;="&amp;T7,'1UK1BK'!$J$6:$J$2989,"&lt;="&amp;EOMONTH(T7,0),'1UK1BK'!$L$6:$L$2989,$B$22)</f>
        <v>#REF!</v>
      </c>
      <c r="U22" s="110" t="e">
        <f>SUMIFS('CEI565'!$K$6:$K$2990,'CEI565'!$J$6:$J$2990,"&gt;="&amp;U7,'CEI565'!$J$6:$J$2990,"&lt;="&amp;EOMONTH(U7,0),'CEI565'!$L$6:$L$2990,$B$22)+SUMIFS('1SM3VL'!$K$6:$K$2990,'1SM3VL'!$J$6:$J$2990,"&gt;="&amp;U7,'1SM3VL'!$J$6:$J$2990,"&lt;="&amp;EOMONTH(U7,0),'1SM3VL'!$L$6:$L$2990,$B$22)+SUMIFS('1QF4SM'!$K$6:$K$2989,'1QF4SM'!$J$6:$J$2989,"&gt;="&amp;U7,'1QF4SM'!$J$6:$J$2989,"&lt;="&amp;EOMONTH(U7,0),'1QF4SM'!$L$6:$L$2989,$B$22)+SUMIFS('1UV5KI'!$K$6:$K$2989,'1UV5KI'!$J$6:$J$2989,"&gt;="&amp;U7,'1UV5KI'!$J$6:$J$2989,"&lt;="&amp;EOMONTH(U7,0),'1UV5KI'!$L$6:$L$2989,$B$22)+SUMIFS(#REF!,#REF!,"&gt;="&amp;U7,#REF!,"&lt;="&amp;EOMONTH(U7,0),#REF!,$B$22)+SUMIFS('1UL9RY'!$K$6:$K$2990,'1UL9RY'!$J$6:$J$2990,"&gt;="&amp;U7,'1UL9RY'!$J$6:$J$2990,"&lt;="&amp;EOMONTH(U7,0),'1UL9RY'!$L$6:$L$2990,$B$22)+SUMIFS('1OZ7GT'!$K$6:$K$2989,'1OZ7GT'!$J$6:$J$2989,"&gt;="&amp;U7,'1OZ7GT'!$J$6:$J$2989,"&lt;="&amp;EOMONTH(U7,0),'1OZ7GT'!$L$6:$L$2989,$B$22)+SUMIFS('1CN8DD'!$K$6:$K$2989,'1CN8DD'!$J$6:$J$2989,"&gt;="&amp;U7,'1CN8DD'!$J$6:$J$2989,"&lt;="&amp;EOMONTH(U7,0),'1CN8DD'!$L$6:$L$2989,$B$22)+SUMIFS('1UT9BR'!$K$6:$K$2990,'1UT9BR'!$J$6:$J$2990,"&gt;="&amp;U7,'1UT9BR'!$J$6:$J$2990,"&lt;="&amp;EOMONTH(U7,0),'1UT9BR'!$L$6:$L$2990,$B$22)+SUMIFS('1MK4UR'!$K$6:$K$2990,'1MK4UR'!$J$6:$J$2990,"&gt;="&amp;U7,'1MK4UR'!$J$6:$J$2990,"&lt;="&amp;EOMONTH(U7,0),'1MK4UR'!$L$6:$L$2990,$B$22)+SUMIFS(#REF!,#REF!,"&gt;="&amp;U7,#REF!,"&lt;="&amp;EOMONTH(U7,0),#REF!,$B$22)+SUMIFS('1JI2UE'!$K$6:$K$2989,'1JI2UE'!$J$6:$J$2989,"&gt;="&amp;U7,'1JI2UE'!$J$6:$J$2989,"&lt;="&amp;EOMONTH(U7,0),'1JI2UE'!$L$6:$L$2989,$B$22)+SUMIFS(#REF!,#REF!,"&gt;="&amp;U7,#REF!,"&lt;="&amp;EOMONTH(U7,0),#REF!,$B$22)+SUMIFS('1SI9BW'!$K$6:$K$2989,'1SI9BW'!$J$6:$J$2989,"&gt;="&amp;U7,'1SI9BW'!$J$6:$J$2989,"&lt;="&amp;EOMONTH(U7,0),'1SI9BW'!$L$6:$L$2989,$B$22)+SUMIFS(Suzuki!$K$6:$K$2989,Suzuki!$J$6:$J$2989,"&gt;="&amp;U7,Suzuki!$J$6:$J$2989,"&lt;="&amp;EOMONTH(U7,0),Suzuki!$L$6:$L$2989,$B$22)+SUMIFS('1SK3DD'!$K$6:$K$2989,'1SK3DD'!$J$6:$J$2989,"&gt;="&amp;U7,'1SK3DD'!$J$6:$J$2989,"&lt;="&amp;EOMONTH(U7,0),'1SK3DD'!$L$6:$L$2989,$B$22)+SUMIFS('1SX5TQ'!$K$6:$K$2989,'1SX5TQ'!$J$6:$J$2989,"&gt;="&amp;U7,'1SX5TQ'!$J$6:$J$2989,"&lt;="&amp;EOMONTH(U7,0),'1SX5TQ'!$L$6:$L$2989,$B$22)+SUMIFS('BMM465'!$K$6:$K$2989,'BMM465'!$J$6:$J$2989,"&gt;="&amp;U7,'BMM465'!$J$6:$J$2989,"&lt;="&amp;EOMONTH(U7,0),'BMM465'!$L$6:$L$2989,$B$22)+SUMIFS('1CF1ZO'!$K$6:$K$2989,'1CF1ZO'!$J$6:$J$2989,"&gt;="&amp;U7,'1CF1ZO'!$J$6:$J$2989,"&lt;="&amp;EOMONTH(U7,0),'1CF1ZO'!$L$6:$L$2989,$B$22)+SUMIFS('1UK1BK'!$K$6:$K$2989,'1UK1BK'!$J$6:$J$2989,"&gt;="&amp;U7,'1UK1BK'!$J$6:$J$2989,"&lt;="&amp;EOMONTH(U7,0),'1UK1BK'!$L$6:$L$2989,$B$22)</f>
        <v>#REF!</v>
      </c>
      <c r="V22" s="110" t="e">
        <f>SUMIFS('CEI565'!$K$6:$K$2990,'CEI565'!$J$6:$J$2990,"&gt;="&amp;V7,'CEI565'!$J$6:$J$2990,"&lt;="&amp;EOMONTH(V7,0),'CEI565'!$L$6:$L$2990,$B$22)+SUMIFS('1SM3VL'!$K$6:$K$2990,'1SM3VL'!$J$6:$J$2990,"&gt;="&amp;V7,'1SM3VL'!$J$6:$J$2990,"&lt;="&amp;EOMONTH(V7,0),'1SM3VL'!$L$6:$L$2990,$B$22)+SUMIFS('1QF4SM'!$K$6:$K$2989,'1QF4SM'!$J$6:$J$2989,"&gt;="&amp;V7,'1QF4SM'!$J$6:$J$2989,"&lt;="&amp;EOMONTH(V7,0),'1QF4SM'!$L$6:$L$2989,$B$22)+SUMIFS('1UV5KI'!$K$6:$K$2989,'1UV5KI'!$J$6:$J$2989,"&gt;="&amp;V7,'1UV5KI'!$J$6:$J$2989,"&lt;="&amp;EOMONTH(V7,0),'1UV5KI'!$L$6:$L$2989,$B$22)+SUMIFS(#REF!,#REF!,"&gt;="&amp;V7,#REF!,"&lt;="&amp;EOMONTH(V7,0),#REF!,$B$22)+SUMIFS('1UL9RY'!$K$6:$K$2990,'1UL9RY'!$J$6:$J$2990,"&gt;="&amp;V7,'1UL9RY'!$J$6:$J$2990,"&lt;="&amp;EOMONTH(V7,0),'1UL9RY'!$L$6:$L$2990,$B$22)+SUMIFS('1OZ7GT'!$K$6:$K$2989,'1OZ7GT'!$J$6:$J$2989,"&gt;="&amp;V7,'1OZ7GT'!$J$6:$J$2989,"&lt;="&amp;EOMONTH(V7,0),'1OZ7GT'!$L$6:$L$2989,$B$22)+SUMIFS('1CN8DD'!$K$6:$K$2989,'1CN8DD'!$J$6:$J$2989,"&gt;="&amp;V7,'1CN8DD'!$J$6:$J$2989,"&lt;="&amp;EOMONTH(V7,0),'1CN8DD'!$L$6:$L$2989,$B$22)+SUMIFS('1UT9BR'!$K$6:$K$2990,'1UT9BR'!$J$6:$J$2990,"&gt;="&amp;V7,'1UT9BR'!$J$6:$J$2990,"&lt;="&amp;EOMONTH(V7,0),'1UT9BR'!$L$6:$L$2990,$B$22)+SUMIFS('1MK4UR'!$K$6:$K$2990,'1MK4UR'!$J$6:$J$2990,"&gt;="&amp;V7,'1MK4UR'!$J$6:$J$2990,"&lt;="&amp;EOMONTH(V7,0),'1MK4UR'!$L$6:$L$2990,$B$22)+SUMIFS(#REF!,#REF!,"&gt;="&amp;V7,#REF!,"&lt;="&amp;EOMONTH(V7,0),#REF!,$B$22)+SUMIFS('1JI2UE'!$K$6:$K$2989,'1JI2UE'!$J$6:$J$2989,"&gt;="&amp;V7,'1JI2UE'!$J$6:$J$2989,"&lt;="&amp;EOMONTH(V7,0),'1JI2UE'!$L$6:$L$2989,$B$22)+SUMIFS(#REF!,#REF!,"&gt;="&amp;V7,#REF!,"&lt;="&amp;EOMONTH(V7,0),#REF!,$B$22)+SUMIFS('1SI9BW'!$K$6:$K$2989,'1SI9BW'!$J$6:$J$2989,"&gt;="&amp;V7,'1SI9BW'!$J$6:$J$2989,"&lt;="&amp;EOMONTH(V7,0),'1SI9BW'!$L$6:$L$2989,$B$22)+SUMIFS(Suzuki!$K$6:$K$2989,Suzuki!$J$6:$J$2989,"&gt;="&amp;V7,Suzuki!$J$6:$J$2989,"&lt;="&amp;EOMONTH(V7,0),Suzuki!$L$6:$L$2989,$B$22)+SUMIFS('1SK3DD'!$K$6:$K$2989,'1SK3DD'!$J$6:$J$2989,"&gt;="&amp;V7,'1SK3DD'!$J$6:$J$2989,"&lt;="&amp;EOMONTH(V7,0),'1SK3DD'!$L$6:$L$2989,$B$22)+SUMIFS('1SX5TQ'!$K$6:$K$2989,'1SX5TQ'!$J$6:$J$2989,"&gt;="&amp;V7,'1SX5TQ'!$J$6:$J$2989,"&lt;="&amp;EOMONTH(V7,0),'1SX5TQ'!$L$6:$L$2989,$B$22)+SUMIFS('BMM465'!$K$6:$K$2989,'BMM465'!$J$6:$J$2989,"&gt;="&amp;V7,'BMM465'!$J$6:$J$2989,"&lt;="&amp;EOMONTH(V7,0),'BMM465'!$L$6:$L$2989,$B$22)+SUMIFS('1CF1ZO'!$K$6:$K$2989,'1CF1ZO'!$J$6:$J$2989,"&gt;="&amp;V7,'1CF1ZO'!$J$6:$J$2989,"&lt;="&amp;EOMONTH(V7,0),'1CF1ZO'!$L$6:$L$2989,$B$22)+SUMIFS('1UK1BK'!$K$6:$K$2989,'1UK1BK'!$J$6:$J$2989,"&gt;="&amp;V7,'1UK1BK'!$J$6:$J$2989,"&lt;="&amp;EOMONTH(V7,0),'1UK1BK'!$L$6:$L$2989,$B$22)</f>
        <v>#REF!</v>
      </c>
      <c r="W22" s="110" t="e">
        <f>SUMIFS('CEI565'!$K$6:$K$2990,'CEI565'!$J$6:$J$2990,"&gt;="&amp;W7,'CEI565'!$J$6:$J$2990,"&lt;="&amp;EOMONTH(W7,0),'CEI565'!$L$6:$L$2990,$B$22)+SUMIFS('1SM3VL'!$K$6:$K$2990,'1SM3VL'!$J$6:$J$2990,"&gt;="&amp;W7,'1SM3VL'!$J$6:$J$2990,"&lt;="&amp;EOMONTH(W7,0),'1SM3VL'!$L$6:$L$2990,$B$22)+SUMIFS('1QF4SM'!$K$6:$K$2989,'1QF4SM'!$J$6:$J$2989,"&gt;="&amp;W7,'1QF4SM'!$J$6:$J$2989,"&lt;="&amp;EOMONTH(W7,0),'1QF4SM'!$L$6:$L$2989,$B$22)+SUMIFS('1UV5KI'!$K$6:$K$2989,'1UV5KI'!$J$6:$J$2989,"&gt;="&amp;W7,'1UV5KI'!$J$6:$J$2989,"&lt;="&amp;EOMONTH(W7,0),'1UV5KI'!$L$6:$L$2989,$B$22)+SUMIFS(#REF!,#REF!,"&gt;="&amp;W7,#REF!,"&lt;="&amp;EOMONTH(W7,0),#REF!,$B$22)+SUMIFS('1UL9RY'!$K$6:$K$2990,'1UL9RY'!$J$6:$J$2990,"&gt;="&amp;W7,'1UL9RY'!$J$6:$J$2990,"&lt;="&amp;EOMONTH(W7,0),'1UL9RY'!$L$6:$L$2990,$B$22)+SUMIFS('1OZ7GT'!$K$6:$K$2989,'1OZ7GT'!$J$6:$J$2989,"&gt;="&amp;W7,'1OZ7GT'!$J$6:$J$2989,"&lt;="&amp;EOMONTH(W7,0),'1OZ7GT'!$L$6:$L$2989,$B$22)+SUMIFS('1CN8DD'!$K$6:$K$2989,'1CN8DD'!$J$6:$J$2989,"&gt;="&amp;W7,'1CN8DD'!$J$6:$J$2989,"&lt;="&amp;EOMONTH(W7,0),'1CN8DD'!$L$6:$L$2989,$B$22)+SUMIFS('1UT9BR'!$K$6:$K$2990,'1UT9BR'!$J$6:$J$2990,"&gt;="&amp;W7,'1UT9BR'!$J$6:$J$2990,"&lt;="&amp;EOMONTH(W7,0),'1UT9BR'!$L$6:$L$2990,$B$22)+SUMIFS('1MK4UR'!$K$6:$K$2990,'1MK4UR'!$J$6:$J$2990,"&gt;="&amp;W7,'1MK4UR'!$J$6:$J$2990,"&lt;="&amp;EOMONTH(W7,0),'1MK4UR'!$L$6:$L$2990,$B$22)+SUMIFS(#REF!,#REF!,"&gt;="&amp;W7,#REF!,"&lt;="&amp;EOMONTH(W7,0),#REF!,$B$22)+SUMIFS('1JI2UE'!$K$6:$K$2989,'1JI2UE'!$J$6:$J$2989,"&gt;="&amp;W7,'1JI2UE'!$J$6:$J$2989,"&lt;="&amp;EOMONTH(W7,0),'1JI2UE'!$L$6:$L$2989,$B$22)+SUMIFS(#REF!,#REF!,"&gt;="&amp;W7,#REF!,"&lt;="&amp;EOMONTH(W7,0),#REF!,$B$22)+SUMIFS('1SI9BW'!$K$6:$K$2989,'1SI9BW'!$J$6:$J$2989,"&gt;="&amp;W7,'1SI9BW'!$J$6:$J$2989,"&lt;="&amp;EOMONTH(W7,0),'1SI9BW'!$L$6:$L$2989,$B$22)+SUMIFS(Suzuki!$K$6:$K$2989,Suzuki!$J$6:$J$2989,"&gt;="&amp;W7,Suzuki!$J$6:$J$2989,"&lt;="&amp;EOMONTH(W7,0),Suzuki!$L$6:$L$2989,$B$22)+SUMIFS('1SK3DD'!$K$6:$K$2989,'1SK3DD'!$J$6:$J$2989,"&gt;="&amp;W7,'1SK3DD'!$J$6:$J$2989,"&lt;="&amp;EOMONTH(W7,0),'1SK3DD'!$L$6:$L$2989,$B$22)+SUMIFS('1SX5TQ'!$K$6:$K$2989,'1SX5TQ'!$J$6:$J$2989,"&gt;="&amp;W7,'1SX5TQ'!$J$6:$J$2989,"&lt;="&amp;EOMONTH(W7,0),'1SX5TQ'!$L$6:$L$2989,$B$22)+SUMIFS('BMM465'!$K$6:$K$2989,'BMM465'!$J$6:$J$2989,"&gt;="&amp;W7,'BMM465'!$J$6:$J$2989,"&lt;="&amp;EOMONTH(W7,0),'BMM465'!$L$6:$L$2989,$B$22)+SUMIFS('1CF1ZO'!$K$6:$K$2989,'1CF1ZO'!$J$6:$J$2989,"&gt;="&amp;W7,'1CF1ZO'!$J$6:$J$2989,"&lt;="&amp;EOMONTH(W7,0),'1CF1ZO'!$L$6:$L$2989,$B$22)+SUMIFS('1UK1BK'!$K$6:$K$2989,'1UK1BK'!$J$6:$J$2989,"&gt;="&amp;W7,'1UK1BK'!$J$6:$J$2989,"&lt;="&amp;EOMONTH(W7,0),'1UK1BK'!$L$6:$L$2989,$B$22)</f>
        <v>#REF!</v>
      </c>
      <c r="X22" s="110" t="e">
        <f>SUMIFS('CEI565'!$K$6:$K$2990,'CEI565'!$J$6:$J$2990,"&gt;="&amp;X7,'CEI565'!$J$6:$J$2990,"&lt;="&amp;EOMONTH(X7,0),'CEI565'!$L$6:$L$2990,$B$22)+SUMIFS('1SM3VL'!$K$6:$K$2990,'1SM3VL'!$J$6:$J$2990,"&gt;="&amp;X7,'1SM3VL'!$J$6:$J$2990,"&lt;="&amp;EOMONTH(X7,0),'1SM3VL'!$L$6:$L$2990,$B$22)+SUMIFS('1QF4SM'!$K$6:$K$2989,'1QF4SM'!$J$6:$J$2989,"&gt;="&amp;X7,'1QF4SM'!$J$6:$J$2989,"&lt;="&amp;EOMONTH(X7,0),'1QF4SM'!$L$6:$L$2989,$B$22)+SUMIFS('1UV5KI'!$K$6:$K$2989,'1UV5KI'!$J$6:$J$2989,"&gt;="&amp;X7,'1UV5KI'!$J$6:$J$2989,"&lt;="&amp;EOMONTH(X7,0),'1UV5KI'!$L$6:$L$2989,$B$22)+SUMIFS(#REF!,#REF!,"&gt;="&amp;X7,#REF!,"&lt;="&amp;EOMONTH(X7,0),#REF!,$B$22)+SUMIFS('1UL9RY'!$K$6:$K$2990,'1UL9RY'!$J$6:$J$2990,"&gt;="&amp;X7,'1UL9RY'!$J$6:$J$2990,"&lt;="&amp;EOMONTH(X7,0),'1UL9RY'!$L$6:$L$2990,$B$22)+SUMIFS('1OZ7GT'!$K$6:$K$2989,'1OZ7GT'!$J$6:$J$2989,"&gt;="&amp;X7,'1OZ7GT'!$J$6:$J$2989,"&lt;="&amp;EOMONTH(X7,0),'1OZ7GT'!$L$6:$L$2989,$B$22)+SUMIFS('1CN8DD'!$K$6:$K$2989,'1CN8DD'!$J$6:$J$2989,"&gt;="&amp;X7,'1CN8DD'!$J$6:$J$2989,"&lt;="&amp;EOMONTH(X7,0),'1CN8DD'!$L$6:$L$2989,$B$22)+SUMIFS('1UT9BR'!$K$6:$K$2990,'1UT9BR'!$J$6:$J$2990,"&gt;="&amp;X7,'1UT9BR'!$J$6:$J$2990,"&lt;="&amp;EOMONTH(X7,0),'1UT9BR'!$L$6:$L$2990,$B$22)+SUMIFS('1MK4UR'!$K$6:$K$2990,'1MK4UR'!$J$6:$J$2990,"&gt;="&amp;X7,'1MK4UR'!$J$6:$J$2990,"&lt;="&amp;EOMONTH(X7,0),'1MK4UR'!$L$6:$L$2990,$B$22)+SUMIFS(#REF!,#REF!,"&gt;="&amp;X7,#REF!,"&lt;="&amp;EOMONTH(X7,0),#REF!,$B$22)+SUMIFS('1JI2UE'!$K$6:$K$2989,'1JI2UE'!$J$6:$J$2989,"&gt;="&amp;X7,'1JI2UE'!$J$6:$J$2989,"&lt;="&amp;EOMONTH(X7,0),'1JI2UE'!$L$6:$L$2989,$B$22)+SUMIFS(#REF!,#REF!,"&gt;="&amp;X7,#REF!,"&lt;="&amp;EOMONTH(X7,0),#REF!,$B$22)+SUMIFS('1SI9BW'!$K$6:$K$2989,'1SI9BW'!$J$6:$J$2989,"&gt;="&amp;X7,'1SI9BW'!$J$6:$J$2989,"&lt;="&amp;EOMONTH(X7,0),'1SI9BW'!$L$6:$L$2989,$B$22)+SUMIFS(Suzuki!$K$6:$K$2989,Suzuki!$J$6:$J$2989,"&gt;="&amp;X7,Suzuki!$J$6:$J$2989,"&lt;="&amp;EOMONTH(X7,0),Suzuki!$L$6:$L$2989,$B$22)+SUMIFS('1SK3DD'!$K$6:$K$2989,'1SK3DD'!$J$6:$J$2989,"&gt;="&amp;X7,'1SK3DD'!$J$6:$J$2989,"&lt;="&amp;EOMONTH(X7,0),'1SK3DD'!$L$6:$L$2989,$B$22)+SUMIFS('1SX5TQ'!$K$6:$K$2989,'1SX5TQ'!$J$6:$J$2989,"&gt;="&amp;X7,'1SX5TQ'!$J$6:$J$2989,"&lt;="&amp;EOMONTH(X7,0),'1SX5TQ'!$L$6:$L$2989,$B$22)+SUMIFS('BMM465'!$K$6:$K$2989,'BMM465'!$J$6:$J$2989,"&gt;="&amp;X7,'BMM465'!$J$6:$J$2989,"&lt;="&amp;EOMONTH(X7,0),'BMM465'!$L$6:$L$2989,$B$22)+SUMIFS('1CF1ZO'!$K$6:$K$2989,'1CF1ZO'!$J$6:$J$2989,"&gt;="&amp;X7,'1CF1ZO'!$J$6:$J$2989,"&lt;="&amp;EOMONTH(X7,0),'1CF1ZO'!$L$6:$L$2989,$B$22)+SUMIFS('1UK1BK'!$K$6:$K$2989,'1UK1BK'!$J$6:$J$2989,"&gt;="&amp;X7,'1UK1BK'!$J$6:$J$2989,"&lt;="&amp;EOMONTH(X7,0),'1UK1BK'!$L$6:$L$2989,$B$22)</f>
        <v>#REF!</v>
      </c>
      <c r="Y22" s="110" t="e">
        <f>SUMIFS('CEI565'!$K$6:$K$2990,'CEI565'!$J$6:$J$2990,"&gt;="&amp;Y7,'CEI565'!$J$6:$J$2990,"&lt;="&amp;EOMONTH(Y7,0),'CEI565'!$L$6:$L$2990,$B$22)+SUMIFS('1SM3VL'!$K$6:$K$2990,'1SM3VL'!$J$6:$J$2990,"&gt;="&amp;Y7,'1SM3VL'!$J$6:$J$2990,"&lt;="&amp;EOMONTH(Y7,0),'1SM3VL'!$L$6:$L$2990,$B$22)+SUMIFS('1QF4SM'!$K$6:$K$2989,'1QF4SM'!$J$6:$J$2989,"&gt;="&amp;Y7,'1QF4SM'!$J$6:$J$2989,"&lt;="&amp;EOMONTH(Y7,0),'1QF4SM'!$L$6:$L$2989,$B$22)+SUMIFS('1UV5KI'!$K$6:$K$2989,'1UV5KI'!$J$6:$J$2989,"&gt;="&amp;Y7,'1UV5KI'!$J$6:$J$2989,"&lt;="&amp;EOMONTH(Y7,0),'1UV5KI'!$L$6:$L$2989,$B$22)+SUMIFS(#REF!,#REF!,"&gt;="&amp;Y7,#REF!,"&lt;="&amp;EOMONTH(Y7,0),#REF!,$B$22)+SUMIFS('1UL9RY'!$K$6:$K$2990,'1UL9RY'!$J$6:$J$2990,"&gt;="&amp;Y7,'1UL9RY'!$J$6:$J$2990,"&lt;="&amp;EOMONTH(Y7,0),'1UL9RY'!$L$6:$L$2990,$B$22)+SUMIFS('1OZ7GT'!$K$6:$K$2989,'1OZ7GT'!$J$6:$J$2989,"&gt;="&amp;Y7,'1OZ7GT'!$J$6:$J$2989,"&lt;="&amp;EOMONTH(Y7,0),'1OZ7GT'!$L$6:$L$2989,$B$22)+SUMIFS('1CN8DD'!$K$6:$K$2989,'1CN8DD'!$J$6:$J$2989,"&gt;="&amp;Y7,'1CN8DD'!$J$6:$J$2989,"&lt;="&amp;EOMONTH(Y7,0),'1CN8DD'!$L$6:$L$2989,$B$22)+SUMIFS('1UT9BR'!$K$6:$K$2990,'1UT9BR'!$J$6:$J$2990,"&gt;="&amp;Y7,'1UT9BR'!$J$6:$J$2990,"&lt;="&amp;EOMONTH(Y7,0),'1UT9BR'!$L$6:$L$2990,$B$22)+SUMIFS('1MK4UR'!$K$6:$K$2990,'1MK4UR'!$J$6:$J$2990,"&gt;="&amp;Y7,'1MK4UR'!$J$6:$J$2990,"&lt;="&amp;EOMONTH(Y7,0),'1MK4UR'!$L$6:$L$2990,$B$22)+SUMIFS(#REF!,#REF!,"&gt;="&amp;Y7,#REF!,"&lt;="&amp;EOMONTH(Y7,0),#REF!,$B$22)+SUMIFS('1JI2UE'!$K$6:$K$2989,'1JI2UE'!$J$6:$J$2989,"&gt;="&amp;Y7,'1JI2UE'!$J$6:$J$2989,"&lt;="&amp;EOMONTH(Y7,0),'1JI2UE'!$L$6:$L$2989,$B$22)+SUMIFS(#REF!,#REF!,"&gt;="&amp;Y7,#REF!,"&lt;="&amp;EOMONTH(Y7,0),#REF!,$B$22)+SUMIFS('1SI9BW'!$K$6:$K$2989,'1SI9BW'!$J$6:$J$2989,"&gt;="&amp;Y7,'1SI9BW'!$J$6:$J$2989,"&lt;="&amp;EOMONTH(Y7,0),'1SI9BW'!$L$6:$L$2989,$B$22)+SUMIFS(Suzuki!$K$6:$K$2989,Suzuki!$J$6:$J$2989,"&gt;="&amp;Y7,Suzuki!$J$6:$J$2989,"&lt;="&amp;EOMONTH(Y7,0),Suzuki!$L$6:$L$2989,$B$22)+SUMIFS('1SK3DD'!$K$6:$K$2989,'1SK3DD'!$J$6:$J$2989,"&gt;="&amp;Y7,'1SK3DD'!$J$6:$J$2989,"&lt;="&amp;EOMONTH(Y7,0),'1SK3DD'!$L$6:$L$2989,$B$22)+SUMIFS('1SX5TQ'!$K$6:$K$2989,'1SX5TQ'!$J$6:$J$2989,"&gt;="&amp;Y7,'1SX5TQ'!$J$6:$J$2989,"&lt;="&amp;EOMONTH(Y7,0),'1SX5TQ'!$L$6:$L$2989,$B$22)+SUMIFS('BMM465'!$K$6:$K$2989,'BMM465'!$J$6:$J$2989,"&gt;="&amp;Y7,'BMM465'!$J$6:$J$2989,"&lt;="&amp;EOMONTH(Y7,0),'BMM465'!$L$6:$L$2989,$B$22)+SUMIFS('1CF1ZO'!$K$6:$K$2989,'1CF1ZO'!$J$6:$J$2989,"&gt;="&amp;Y7,'1CF1ZO'!$J$6:$J$2989,"&lt;="&amp;EOMONTH(Y7,0),'1CF1ZO'!$L$6:$L$2989,$B$22)+SUMIFS('1UK1BK'!$K$6:$K$2989,'1UK1BK'!$J$6:$J$2989,"&gt;="&amp;Y7,'1UK1BK'!$J$6:$J$2989,"&lt;="&amp;EOMONTH(Y7,0),'1UK1BK'!$L$6:$L$2989,$B$22)</f>
        <v>#REF!</v>
      </c>
      <c r="Z22" s="110" t="e">
        <f>SUMIFS('CEI565'!$K$6:$K$2990,'CEI565'!$J$6:$J$2990,"&gt;="&amp;Z7,'CEI565'!$J$6:$J$2990,"&lt;="&amp;EOMONTH(Z7,0),'CEI565'!$L$6:$L$2990,$B$22)+SUMIFS('1SM3VL'!$K$6:$K$2990,'1SM3VL'!$J$6:$J$2990,"&gt;="&amp;Z7,'1SM3VL'!$J$6:$J$2990,"&lt;="&amp;EOMONTH(Z7,0),'1SM3VL'!$L$6:$L$2990,$B$22)+SUMIFS('1QF4SM'!$K$6:$K$2989,'1QF4SM'!$J$6:$J$2989,"&gt;="&amp;Z7,'1QF4SM'!$J$6:$J$2989,"&lt;="&amp;EOMONTH(Z7,0),'1QF4SM'!$L$6:$L$2989,$B$22)+SUMIFS('1UV5KI'!$K$6:$K$2989,'1UV5KI'!$J$6:$J$2989,"&gt;="&amp;Z7,'1UV5KI'!$J$6:$J$2989,"&lt;="&amp;EOMONTH(Z7,0),'1UV5KI'!$L$6:$L$2989,$B$22)+SUMIFS(#REF!,#REF!,"&gt;="&amp;Z7,#REF!,"&lt;="&amp;EOMONTH(Z7,0),#REF!,$B$22)+SUMIFS('1UL9RY'!$K$6:$K$2990,'1UL9RY'!$J$6:$J$2990,"&gt;="&amp;Z7,'1UL9RY'!$J$6:$J$2990,"&lt;="&amp;EOMONTH(Z7,0),'1UL9RY'!$L$6:$L$2990,$B$22)+SUMIFS('1OZ7GT'!$K$6:$K$2989,'1OZ7GT'!$J$6:$J$2989,"&gt;="&amp;Z7,'1OZ7GT'!$J$6:$J$2989,"&lt;="&amp;EOMONTH(Z7,0),'1OZ7GT'!$L$6:$L$2989,$B$22)+SUMIFS('1CN8DD'!$K$6:$K$2989,'1CN8DD'!$J$6:$J$2989,"&gt;="&amp;Z7,'1CN8DD'!$J$6:$J$2989,"&lt;="&amp;EOMONTH(Z7,0),'1CN8DD'!$L$6:$L$2989,$B$22)+SUMIFS('1UT9BR'!$K$6:$K$2990,'1UT9BR'!$J$6:$J$2990,"&gt;="&amp;Z7,'1UT9BR'!$J$6:$J$2990,"&lt;="&amp;EOMONTH(Z7,0),'1UT9BR'!$L$6:$L$2990,$B$22)+SUMIFS('1MK4UR'!$K$6:$K$2990,'1MK4UR'!$J$6:$J$2990,"&gt;="&amp;Z7,'1MK4UR'!$J$6:$J$2990,"&lt;="&amp;EOMONTH(Z7,0),'1MK4UR'!$L$6:$L$2990,$B$22)+SUMIFS(#REF!,#REF!,"&gt;="&amp;Z7,#REF!,"&lt;="&amp;EOMONTH(Z7,0),#REF!,$B$22)+SUMIFS('1JI2UE'!$K$6:$K$2989,'1JI2UE'!$J$6:$J$2989,"&gt;="&amp;Z7,'1JI2UE'!$J$6:$J$2989,"&lt;="&amp;EOMONTH(Z7,0),'1JI2UE'!$L$6:$L$2989,$B$22)+SUMIFS(#REF!,#REF!,"&gt;="&amp;Z7,#REF!,"&lt;="&amp;EOMONTH(Z7,0),#REF!,$B$22)+SUMIFS('1SI9BW'!$K$6:$K$2989,'1SI9BW'!$J$6:$J$2989,"&gt;="&amp;Z7,'1SI9BW'!$J$6:$J$2989,"&lt;="&amp;EOMONTH(Z7,0),'1SI9BW'!$L$6:$L$2989,$B$22)+SUMIFS(Suzuki!$K$6:$K$2989,Suzuki!$J$6:$J$2989,"&gt;="&amp;Z7,Suzuki!$J$6:$J$2989,"&lt;="&amp;EOMONTH(Z7,0),Suzuki!$L$6:$L$2989,$B$22)+SUMIFS('1SK3DD'!$K$6:$K$2989,'1SK3DD'!$J$6:$J$2989,"&gt;="&amp;Z7,'1SK3DD'!$J$6:$J$2989,"&lt;="&amp;EOMONTH(Z7,0),'1SK3DD'!$L$6:$L$2989,$B$22)+SUMIFS('1SX5TQ'!$K$6:$K$2989,'1SX5TQ'!$J$6:$J$2989,"&gt;="&amp;Z7,'1SX5TQ'!$J$6:$J$2989,"&lt;="&amp;EOMONTH(Z7,0),'1SX5TQ'!$L$6:$L$2989,$B$22)+SUMIFS('BMM465'!$K$6:$K$2989,'BMM465'!$J$6:$J$2989,"&gt;="&amp;Z7,'BMM465'!$J$6:$J$2989,"&lt;="&amp;EOMONTH(Z7,0),'BMM465'!$L$6:$L$2989,$B$22)+SUMIFS('1CF1ZO'!$K$6:$K$2989,'1CF1ZO'!$J$6:$J$2989,"&gt;="&amp;Z7,'1CF1ZO'!$J$6:$J$2989,"&lt;="&amp;EOMONTH(Z7,0),'1CF1ZO'!$L$6:$L$2989,$B$22)+SUMIFS('1UK1BK'!$K$6:$K$2989,'1UK1BK'!$J$6:$J$2989,"&gt;="&amp;Z7,'1UK1BK'!$J$6:$J$2989,"&lt;="&amp;EOMONTH(Z7,0),'1UK1BK'!$L$6:$L$2989,$B$22)</f>
        <v>#REF!</v>
      </c>
      <c r="AA22" s="110" t="e">
        <f>SUMIFS('CEI565'!$K$6:$K$2990,'CEI565'!$J$6:$J$2990,"&gt;="&amp;AA7,'CEI565'!$J$6:$J$2990,"&lt;="&amp;EOMONTH(AA7,0),'CEI565'!$L$6:$L$2990,$B$22)+SUMIFS('1SM3VL'!$K$6:$K$2990,'1SM3VL'!$J$6:$J$2990,"&gt;="&amp;AA7,'1SM3VL'!$J$6:$J$2990,"&lt;="&amp;EOMONTH(AA7,0),'1SM3VL'!$L$6:$L$2990,$B$22)+SUMIFS('1QF4SM'!$K$6:$K$2989,'1QF4SM'!$J$6:$J$2989,"&gt;="&amp;AA7,'1QF4SM'!$J$6:$J$2989,"&lt;="&amp;EOMONTH(AA7,0),'1QF4SM'!$L$6:$L$2989,$B$22)+SUMIFS('1UV5KI'!$K$6:$K$2989,'1UV5KI'!$J$6:$J$2989,"&gt;="&amp;AA7,'1UV5KI'!$J$6:$J$2989,"&lt;="&amp;EOMONTH(AA7,0),'1UV5KI'!$L$6:$L$2989,$B$22)+SUMIFS(#REF!,#REF!,"&gt;="&amp;AA7,#REF!,"&lt;="&amp;EOMONTH(AA7,0),#REF!,$B$22)+SUMIFS('1UL9RY'!$K$6:$K$2990,'1UL9RY'!$J$6:$J$2990,"&gt;="&amp;AA7,'1UL9RY'!$J$6:$J$2990,"&lt;="&amp;EOMONTH(AA7,0),'1UL9RY'!$L$6:$L$2990,$B$22)+SUMIFS('1OZ7GT'!$K$6:$K$2989,'1OZ7GT'!$J$6:$J$2989,"&gt;="&amp;AA7,'1OZ7GT'!$J$6:$J$2989,"&lt;="&amp;EOMONTH(AA7,0),'1OZ7GT'!$L$6:$L$2989,$B$22)+SUMIFS('1CN8DD'!$K$6:$K$2989,'1CN8DD'!$J$6:$J$2989,"&gt;="&amp;AA7,'1CN8DD'!$J$6:$J$2989,"&lt;="&amp;EOMONTH(AA7,0),'1CN8DD'!$L$6:$L$2989,$B$22)+SUMIFS('1UT9BR'!$K$6:$K$2990,'1UT9BR'!$J$6:$J$2990,"&gt;="&amp;AA7,'1UT9BR'!$J$6:$J$2990,"&lt;="&amp;EOMONTH(AA7,0),'1UT9BR'!$L$6:$L$2990,$B$22)+SUMIFS('1MK4UR'!$K$6:$K$2990,'1MK4UR'!$J$6:$J$2990,"&gt;="&amp;AA7,'1MK4UR'!$J$6:$J$2990,"&lt;="&amp;EOMONTH(AA7,0),'1MK4UR'!$L$6:$L$2990,$B$22)+SUMIFS(#REF!,#REF!,"&gt;="&amp;AA7,#REF!,"&lt;="&amp;EOMONTH(AA7,0),#REF!,$B$22)+SUMIFS('1JI2UE'!$K$6:$K$2989,'1JI2UE'!$J$6:$J$2989,"&gt;="&amp;AA7,'1JI2UE'!$J$6:$J$2989,"&lt;="&amp;EOMONTH(AA7,0),'1JI2UE'!$L$6:$L$2989,$B$22)+SUMIFS(#REF!,#REF!,"&gt;="&amp;AA7,#REF!,"&lt;="&amp;EOMONTH(AA7,0),#REF!,$B$22)+SUMIFS('1SI9BW'!$K$6:$K$2989,'1SI9BW'!$J$6:$J$2989,"&gt;="&amp;AA7,'1SI9BW'!$J$6:$J$2989,"&lt;="&amp;EOMONTH(AA7,0),'1SI9BW'!$L$6:$L$2989,$B$22)+SUMIFS(Suzuki!$K$6:$K$2989,Suzuki!$J$6:$J$2989,"&gt;="&amp;AA7,Suzuki!$J$6:$J$2989,"&lt;="&amp;EOMONTH(AA7,0),Suzuki!$L$6:$L$2989,$B$22)+SUMIFS('1SK3DD'!$K$6:$K$2989,'1SK3DD'!$J$6:$J$2989,"&gt;="&amp;AA7,'1SK3DD'!$J$6:$J$2989,"&lt;="&amp;EOMONTH(AA7,0),'1SK3DD'!$L$6:$L$2989,$B$22)+SUMIFS('1SX5TQ'!$K$6:$K$2989,'1SX5TQ'!$J$6:$J$2989,"&gt;="&amp;AA7,'1SX5TQ'!$J$6:$J$2989,"&lt;="&amp;EOMONTH(AA7,0),'1SX5TQ'!$L$6:$L$2989,$B$22)+SUMIFS('BMM465'!$K$6:$K$2989,'BMM465'!$J$6:$J$2989,"&gt;="&amp;AA7,'BMM465'!$J$6:$J$2989,"&lt;="&amp;EOMONTH(AA7,0),'BMM465'!$L$6:$L$2989,$B$22)+SUMIFS('1CF1ZO'!$K$6:$K$2989,'1CF1ZO'!$J$6:$J$2989,"&gt;="&amp;AA7,'1CF1ZO'!$J$6:$J$2989,"&lt;="&amp;EOMONTH(AA7,0),'1CF1ZO'!$L$6:$L$2989,$B$22)+SUMIFS('1UK1BK'!$K$6:$K$2989,'1UK1BK'!$J$6:$J$2989,"&gt;="&amp;AA7,'1UK1BK'!$J$6:$J$2989,"&lt;="&amp;EOMONTH(AA7,0),'1UK1BK'!$L$6:$L$2989,$B$22)</f>
        <v>#REF!</v>
      </c>
      <c r="AB22" s="110" t="e">
        <f>SUMIFS('CEI565'!$K$6:$K$2990,'CEI565'!$J$6:$J$2990,"&gt;="&amp;AB7,'CEI565'!$J$6:$J$2990,"&lt;="&amp;EOMONTH(AB7,0),'CEI565'!$L$6:$L$2990,$B$22)+SUMIFS('1SM3VL'!$K$6:$K$2990,'1SM3VL'!$J$6:$J$2990,"&gt;="&amp;AB7,'1SM3VL'!$J$6:$J$2990,"&lt;="&amp;EOMONTH(AB7,0),'1SM3VL'!$L$6:$L$2990,$B$22)+SUMIFS('1QF4SM'!$K$6:$K$2989,'1QF4SM'!$J$6:$J$2989,"&gt;="&amp;AB7,'1QF4SM'!$J$6:$J$2989,"&lt;="&amp;EOMONTH(AB7,0),'1QF4SM'!$L$6:$L$2989,$B$22)+SUMIFS('1UV5KI'!$K$6:$K$2989,'1UV5KI'!$J$6:$J$2989,"&gt;="&amp;AB7,'1UV5KI'!$J$6:$J$2989,"&lt;="&amp;EOMONTH(AB7,0),'1UV5KI'!$L$6:$L$2989,$B$22)+SUMIFS(#REF!,#REF!,"&gt;="&amp;AB7,#REF!,"&lt;="&amp;EOMONTH(AB7,0),#REF!,$B$22)+SUMIFS('1UL9RY'!$K$6:$K$2990,'1UL9RY'!$J$6:$J$2990,"&gt;="&amp;AB7,'1UL9RY'!$J$6:$J$2990,"&lt;="&amp;EOMONTH(AB7,0),'1UL9RY'!$L$6:$L$2990,$B$22)+SUMIFS('1OZ7GT'!$K$6:$K$2989,'1OZ7GT'!$J$6:$J$2989,"&gt;="&amp;AB7,'1OZ7GT'!$J$6:$J$2989,"&lt;="&amp;EOMONTH(AB7,0),'1OZ7GT'!$L$6:$L$2989,$B$22)+SUMIFS('1CN8DD'!$K$6:$K$2989,'1CN8DD'!$J$6:$J$2989,"&gt;="&amp;AB7,'1CN8DD'!$J$6:$J$2989,"&lt;="&amp;EOMONTH(AB7,0),'1CN8DD'!$L$6:$L$2989,$B$22)+SUMIFS('1UT9BR'!$K$6:$K$2990,'1UT9BR'!$J$6:$J$2990,"&gt;="&amp;AB7,'1UT9BR'!$J$6:$J$2990,"&lt;="&amp;EOMONTH(AB7,0),'1UT9BR'!$L$6:$L$2990,$B$22)+SUMIFS('1MK4UR'!$K$6:$K$2990,'1MK4UR'!$J$6:$J$2990,"&gt;="&amp;AB7,'1MK4UR'!$J$6:$J$2990,"&lt;="&amp;EOMONTH(AB7,0),'1MK4UR'!$L$6:$L$2990,$B$22)+SUMIFS(#REF!,#REF!,"&gt;="&amp;AB7,#REF!,"&lt;="&amp;EOMONTH(AB7,0),#REF!,$B$22)+SUMIFS('1JI2UE'!$K$6:$K$2989,'1JI2UE'!$J$6:$J$2989,"&gt;="&amp;AB7,'1JI2UE'!$J$6:$J$2989,"&lt;="&amp;EOMONTH(AB7,0),'1JI2UE'!$L$6:$L$2989,$B$22)+SUMIFS(#REF!,#REF!,"&gt;="&amp;AB7,#REF!,"&lt;="&amp;EOMONTH(AB7,0),#REF!,$B$22)+SUMIFS('1SI9BW'!$K$6:$K$2989,'1SI9BW'!$J$6:$J$2989,"&gt;="&amp;AB7,'1SI9BW'!$J$6:$J$2989,"&lt;="&amp;EOMONTH(AB7,0),'1SI9BW'!$L$6:$L$2989,$B$22)+SUMIFS(Suzuki!$K$6:$K$2989,Suzuki!$J$6:$J$2989,"&gt;="&amp;AB7,Suzuki!$J$6:$J$2989,"&lt;="&amp;EOMONTH(AB7,0),Suzuki!$L$6:$L$2989,$B$22)+SUMIFS('1SK3DD'!$K$6:$K$2989,'1SK3DD'!$J$6:$J$2989,"&gt;="&amp;AB7,'1SK3DD'!$J$6:$J$2989,"&lt;="&amp;EOMONTH(AB7,0),'1SK3DD'!$L$6:$L$2989,$B$22)+SUMIFS('1SX5TQ'!$K$6:$K$2989,'1SX5TQ'!$J$6:$J$2989,"&gt;="&amp;AB7,'1SX5TQ'!$J$6:$J$2989,"&lt;="&amp;EOMONTH(AB7,0),'1SX5TQ'!$L$6:$L$2989,$B$22)+SUMIFS('BMM465'!$K$6:$K$2989,'BMM465'!$J$6:$J$2989,"&gt;="&amp;AB7,'BMM465'!$J$6:$J$2989,"&lt;="&amp;EOMONTH(AB7,0),'BMM465'!$L$6:$L$2989,$B$22)+SUMIFS('1CF1ZO'!$K$6:$K$2989,'1CF1ZO'!$J$6:$J$2989,"&gt;="&amp;AB7,'1CF1ZO'!$J$6:$J$2989,"&lt;="&amp;EOMONTH(AB7,0),'1CF1ZO'!$L$6:$L$2989,$B$22)+SUMIFS('1UK1BK'!$K$6:$K$2989,'1UK1BK'!$J$6:$J$2989,"&gt;="&amp;AB7,'1UK1BK'!$J$6:$J$2989,"&lt;="&amp;EOMONTH(AB7,0),'1UK1BK'!$L$6:$L$2989,$B$22)</f>
        <v>#REF!</v>
      </c>
      <c r="AC22" s="110" t="e">
        <f>SUMIFS('CEI565'!$K$6:$K$2990,'CEI565'!$J$6:$J$2990,"&gt;="&amp;AC7,'CEI565'!$J$6:$J$2990,"&lt;="&amp;EOMONTH(AC7,0),'CEI565'!$L$6:$L$2990,$B$22)+SUMIFS('1SM3VL'!$K$6:$K$2990,'1SM3VL'!$J$6:$J$2990,"&gt;="&amp;AC7,'1SM3VL'!$J$6:$J$2990,"&lt;="&amp;EOMONTH(AC7,0),'1SM3VL'!$L$6:$L$2990,$B$22)+SUMIFS('1QF4SM'!$K$6:$K$2989,'1QF4SM'!$J$6:$J$2989,"&gt;="&amp;AC7,'1QF4SM'!$J$6:$J$2989,"&lt;="&amp;EOMONTH(AC7,0),'1QF4SM'!$L$6:$L$2989,$B$22)+SUMIFS('1UV5KI'!$K$6:$K$2989,'1UV5KI'!$J$6:$J$2989,"&gt;="&amp;AC7,'1UV5KI'!$J$6:$J$2989,"&lt;="&amp;EOMONTH(AC7,0),'1UV5KI'!$L$6:$L$2989,$B$22)+SUMIFS(#REF!,#REF!,"&gt;="&amp;AC7,#REF!,"&lt;="&amp;EOMONTH(AC7,0),#REF!,$B$22)+SUMIFS('1UL9RY'!$K$6:$K$2990,'1UL9RY'!$J$6:$J$2990,"&gt;="&amp;AC7,'1UL9RY'!$J$6:$J$2990,"&lt;="&amp;EOMONTH(AC7,0),'1UL9RY'!$L$6:$L$2990,$B$22)+SUMIFS('1OZ7GT'!$K$6:$K$2989,'1OZ7GT'!$J$6:$J$2989,"&gt;="&amp;AC7,'1OZ7GT'!$J$6:$J$2989,"&lt;="&amp;EOMONTH(AC7,0),'1OZ7GT'!$L$6:$L$2989,$B$22)+SUMIFS('1CN8DD'!$K$6:$K$2989,'1CN8DD'!$J$6:$J$2989,"&gt;="&amp;AC7,'1CN8DD'!$J$6:$J$2989,"&lt;="&amp;EOMONTH(AC7,0),'1CN8DD'!$L$6:$L$2989,$B$22)+SUMIFS('1UT9BR'!$K$6:$K$2990,'1UT9BR'!$J$6:$J$2990,"&gt;="&amp;AC7,'1UT9BR'!$J$6:$J$2990,"&lt;="&amp;EOMONTH(AC7,0),'1UT9BR'!$L$6:$L$2990,$B$22)+SUMIFS('1MK4UR'!$K$6:$K$2990,'1MK4UR'!$J$6:$J$2990,"&gt;="&amp;AC7,'1MK4UR'!$J$6:$J$2990,"&lt;="&amp;EOMONTH(AC7,0),'1MK4UR'!$L$6:$L$2990,$B$22)+SUMIFS(#REF!,#REF!,"&gt;="&amp;AC7,#REF!,"&lt;="&amp;EOMONTH(AC7,0),#REF!,$B$22)+SUMIFS('1JI2UE'!$K$6:$K$2989,'1JI2UE'!$J$6:$J$2989,"&gt;="&amp;AC7,'1JI2UE'!$J$6:$J$2989,"&lt;="&amp;EOMONTH(AC7,0),'1JI2UE'!$L$6:$L$2989,$B$22)+SUMIFS(#REF!,#REF!,"&gt;="&amp;AC7,#REF!,"&lt;="&amp;EOMONTH(AC7,0),#REF!,$B$22)+SUMIFS('1SI9BW'!$K$6:$K$2989,'1SI9BW'!$J$6:$J$2989,"&gt;="&amp;AC7,'1SI9BW'!$J$6:$J$2989,"&lt;="&amp;EOMONTH(AC7,0),'1SI9BW'!$L$6:$L$2989,$B$22)+SUMIFS(Suzuki!$K$6:$K$2989,Suzuki!$J$6:$J$2989,"&gt;="&amp;AC7,Suzuki!$J$6:$J$2989,"&lt;="&amp;EOMONTH(AC7,0),Suzuki!$L$6:$L$2989,$B$22)+SUMIFS('1SK3DD'!$K$6:$K$2989,'1SK3DD'!$J$6:$J$2989,"&gt;="&amp;AC7,'1SK3DD'!$J$6:$J$2989,"&lt;="&amp;EOMONTH(AC7,0),'1SK3DD'!$L$6:$L$2989,$B$22)+SUMIFS('1SX5TQ'!$K$6:$K$2989,'1SX5TQ'!$J$6:$J$2989,"&gt;="&amp;AC7,'1SX5TQ'!$J$6:$J$2989,"&lt;="&amp;EOMONTH(AC7,0),'1SX5TQ'!$L$6:$L$2989,$B$22)+SUMIFS('BMM465'!$K$6:$K$2989,'BMM465'!$J$6:$J$2989,"&gt;="&amp;AC7,'BMM465'!$J$6:$J$2989,"&lt;="&amp;EOMONTH(AC7,0),'BMM465'!$L$6:$L$2989,$B$22)+SUMIFS('1CF1ZO'!$K$6:$K$2989,'1CF1ZO'!$J$6:$J$2989,"&gt;="&amp;AC7,'1CF1ZO'!$J$6:$J$2989,"&lt;="&amp;EOMONTH(AC7,0),'1CF1ZO'!$L$6:$L$2989,$B$22)+SUMIFS('1UK1BK'!$K$6:$K$2989,'1UK1BK'!$J$6:$J$2989,"&gt;="&amp;AC7,'1UK1BK'!$J$6:$J$2989,"&lt;="&amp;EOMONTH(AC7,0),'1UK1BK'!$L$6:$L$2989,$B$22)</f>
        <v>#REF!</v>
      </c>
      <c r="AD22" s="110" t="e">
        <f>SUMIFS('CEI565'!$K$6:$K$2990,'CEI565'!$J$6:$J$2990,"&gt;="&amp;AD7,'CEI565'!$J$6:$J$2990,"&lt;="&amp;EOMONTH(AD7,0),'CEI565'!$L$6:$L$2990,$B$22)+SUMIFS('1SM3VL'!$K$6:$K$2990,'1SM3VL'!$J$6:$J$2990,"&gt;="&amp;AD7,'1SM3VL'!$J$6:$J$2990,"&lt;="&amp;EOMONTH(AD7,0),'1SM3VL'!$L$6:$L$2990,$B$22)+SUMIFS('1QF4SM'!$K$6:$K$2989,'1QF4SM'!$J$6:$J$2989,"&gt;="&amp;AD7,'1QF4SM'!$J$6:$J$2989,"&lt;="&amp;EOMONTH(AD7,0),'1QF4SM'!$L$6:$L$2989,$B$22)+SUMIFS('1UV5KI'!$K$6:$K$2989,'1UV5KI'!$J$6:$J$2989,"&gt;="&amp;AD7,'1UV5KI'!$J$6:$J$2989,"&lt;="&amp;EOMONTH(AD7,0),'1UV5KI'!$L$6:$L$2989,$B$22)+SUMIFS(#REF!,#REF!,"&gt;="&amp;AD7,#REF!,"&lt;="&amp;EOMONTH(AD7,0),#REF!,$B$22)+SUMIFS('1UL9RY'!$K$6:$K$2990,'1UL9RY'!$J$6:$J$2990,"&gt;="&amp;AD7,'1UL9RY'!$J$6:$J$2990,"&lt;="&amp;EOMONTH(AD7,0),'1UL9RY'!$L$6:$L$2990,$B$22)+SUMIFS('1OZ7GT'!$K$6:$K$2989,'1OZ7GT'!$J$6:$J$2989,"&gt;="&amp;AD7,'1OZ7GT'!$J$6:$J$2989,"&lt;="&amp;EOMONTH(AD7,0),'1OZ7GT'!$L$6:$L$2989,$B$22)+SUMIFS('1CN8DD'!$K$6:$K$2989,'1CN8DD'!$J$6:$J$2989,"&gt;="&amp;AD7,'1CN8DD'!$J$6:$J$2989,"&lt;="&amp;EOMONTH(AD7,0),'1CN8DD'!$L$6:$L$2989,$B$22)+SUMIFS('1UT9BR'!$K$6:$K$2990,'1UT9BR'!$J$6:$J$2990,"&gt;="&amp;AD7,'1UT9BR'!$J$6:$J$2990,"&lt;="&amp;EOMONTH(AD7,0),'1UT9BR'!$L$6:$L$2990,$B$22)+SUMIFS('1MK4UR'!$K$6:$K$2990,'1MK4UR'!$J$6:$J$2990,"&gt;="&amp;AD7,'1MK4UR'!$J$6:$J$2990,"&lt;="&amp;EOMONTH(AD7,0),'1MK4UR'!$L$6:$L$2990,$B$22)+SUMIFS(#REF!,#REF!,"&gt;="&amp;AD7,#REF!,"&lt;="&amp;EOMONTH(AD7,0),#REF!,$B$22)+SUMIFS('1JI2UE'!$K$6:$K$2989,'1JI2UE'!$J$6:$J$2989,"&gt;="&amp;AD7,'1JI2UE'!$J$6:$J$2989,"&lt;="&amp;EOMONTH(AD7,0),'1JI2UE'!$L$6:$L$2989,$B$22)+SUMIFS(#REF!,#REF!,"&gt;="&amp;AD7,#REF!,"&lt;="&amp;EOMONTH(AD7,0),#REF!,$B$22)+SUMIFS('1SI9BW'!$K$6:$K$2989,'1SI9BW'!$J$6:$J$2989,"&gt;="&amp;AD7,'1SI9BW'!$J$6:$J$2989,"&lt;="&amp;EOMONTH(AD7,0),'1SI9BW'!$L$6:$L$2989,$B$22)+SUMIFS(Suzuki!$K$6:$K$2989,Suzuki!$J$6:$J$2989,"&gt;="&amp;AD7,Suzuki!$J$6:$J$2989,"&lt;="&amp;EOMONTH(AD7,0),Suzuki!$L$6:$L$2989,$B$22)+SUMIFS('1SK3DD'!$K$6:$K$2989,'1SK3DD'!$J$6:$J$2989,"&gt;="&amp;AD7,'1SK3DD'!$J$6:$J$2989,"&lt;="&amp;EOMONTH(AD7,0),'1SK3DD'!$L$6:$L$2989,$B$22)+SUMIFS('1SX5TQ'!$K$6:$K$2989,'1SX5TQ'!$J$6:$J$2989,"&gt;="&amp;AD7,'1SX5TQ'!$J$6:$J$2989,"&lt;="&amp;EOMONTH(AD7,0),'1SX5TQ'!$L$6:$L$2989,$B$22)+SUMIFS('BMM465'!$K$6:$K$2989,'BMM465'!$J$6:$J$2989,"&gt;="&amp;AD7,'BMM465'!$J$6:$J$2989,"&lt;="&amp;EOMONTH(AD7,0),'BMM465'!$L$6:$L$2989,$B$22)+SUMIFS('1CF1ZO'!$K$6:$K$2989,'1CF1ZO'!$J$6:$J$2989,"&gt;="&amp;AD7,'1CF1ZO'!$J$6:$J$2989,"&lt;="&amp;EOMONTH(AD7,0),'1CF1ZO'!$L$6:$L$2989,$B$22)+SUMIFS('1UK1BK'!$K$6:$K$2989,'1UK1BK'!$J$6:$J$2989,"&gt;="&amp;AD7,'1UK1BK'!$J$6:$J$2989,"&lt;="&amp;EOMONTH(AD7,0),'1UK1BK'!$L$6:$L$2989,$B$22)</f>
        <v>#REF!</v>
      </c>
      <c r="AE22" s="110" t="e">
        <f>SUMIFS('CEI565'!$K$6:$K$2990,'CEI565'!$J$6:$J$2990,"&gt;="&amp;AE7,'CEI565'!$J$6:$J$2990,"&lt;="&amp;EOMONTH(AE7,0),'CEI565'!$L$6:$L$2990,$B$22)+SUMIFS('1SM3VL'!$K$6:$K$2990,'1SM3VL'!$J$6:$J$2990,"&gt;="&amp;AE7,'1SM3VL'!$J$6:$J$2990,"&lt;="&amp;EOMONTH(AE7,0),'1SM3VL'!$L$6:$L$2990,$B$22)+SUMIFS('1QF4SM'!$K$6:$K$2989,'1QF4SM'!$J$6:$J$2989,"&gt;="&amp;AE7,'1QF4SM'!$J$6:$J$2989,"&lt;="&amp;EOMONTH(AE7,0),'1QF4SM'!$L$6:$L$2989,$B$22)+SUMIFS('1UV5KI'!$K$6:$K$2989,'1UV5KI'!$J$6:$J$2989,"&gt;="&amp;AE7,'1UV5KI'!$J$6:$J$2989,"&lt;="&amp;EOMONTH(AE7,0),'1UV5KI'!$L$6:$L$2989,$B$22)+SUMIFS(#REF!,#REF!,"&gt;="&amp;AE7,#REF!,"&lt;="&amp;EOMONTH(AE7,0),#REF!,$B$22)+SUMIFS('1UL9RY'!$K$6:$K$2990,'1UL9RY'!$J$6:$J$2990,"&gt;="&amp;AE7,'1UL9RY'!$J$6:$J$2990,"&lt;="&amp;EOMONTH(AE7,0),'1UL9RY'!$L$6:$L$2990,$B$22)+SUMIFS('1OZ7GT'!$K$6:$K$2989,'1OZ7GT'!$J$6:$J$2989,"&gt;="&amp;AE7,'1OZ7GT'!$J$6:$J$2989,"&lt;="&amp;EOMONTH(AE7,0),'1OZ7GT'!$L$6:$L$2989,$B$22)+SUMIFS('1CN8DD'!$K$6:$K$2989,'1CN8DD'!$J$6:$J$2989,"&gt;="&amp;AE7,'1CN8DD'!$J$6:$J$2989,"&lt;="&amp;EOMONTH(AE7,0),'1CN8DD'!$L$6:$L$2989,$B$22)+SUMIFS('1UT9BR'!$K$6:$K$2990,'1UT9BR'!$J$6:$J$2990,"&gt;="&amp;AE7,'1UT9BR'!$J$6:$J$2990,"&lt;="&amp;EOMONTH(AE7,0),'1UT9BR'!$L$6:$L$2990,$B$22)+SUMIFS('1MK4UR'!$K$6:$K$2990,'1MK4UR'!$J$6:$J$2990,"&gt;="&amp;AE7,'1MK4UR'!$J$6:$J$2990,"&lt;="&amp;EOMONTH(AE7,0),'1MK4UR'!$L$6:$L$2990,$B$22)+SUMIFS(#REF!,#REF!,"&gt;="&amp;AE7,#REF!,"&lt;="&amp;EOMONTH(AE7,0),#REF!,$B$22)+SUMIFS('1JI2UE'!$K$6:$K$2989,'1JI2UE'!$J$6:$J$2989,"&gt;="&amp;AE7,'1JI2UE'!$J$6:$J$2989,"&lt;="&amp;EOMONTH(AE7,0),'1JI2UE'!$L$6:$L$2989,$B$22)+SUMIFS(#REF!,#REF!,"&gt;="&amp;AE7,#REF!,"&lt;="&amp;EOMONTH(AE7,0),#REF!,$B$22)+SUMIFS('1SI9BW'!$K$6:$K$2989,'1SI9BW'!$J$6:$J$2989,"&gt;="&amp;AE7,'1SI9BW'!$J$6:$J$2989,"&lt;="&amp;EOMONTH(AE7,0),'1SI9BW'!$L$6:$L$2989,$B$22)+SUMIFS(Suzuki!$K$6:$K$2989,Suzuki!$J$6:$J$2989,"&gt;="&amp;AE7,Suzuki!$J$6:$J$2989,"&lt;="&amp;EOMONTH(AE7,0),Suzuki!$L$6:$L$2989,$B$22)+SUMIFS('1SK3DD'!$K$6:$K$2989,'1SK3DD'!$J$6:$J$2989,"&gt;="&amp;AE7,'1SK3DD'!$J$6:$J$2989,"&lt;="&amp;EOMONTH(AE7,0),'1SK3DD'!$L$6:$L$2989,$B$22)+SUMIFS('1SX5TQ'!$K$6:$K$2989,'1SX5TQ'!$J$6:$J$2989,"&gt;="&amp;AE7,'1SX5TQ'!$J$6:$J$2989,"&lt;="&amp;EOMONTH(AE7,0),'1SX5TQ'!$L$6:$L$2989,$B$22)+SUMIFS('BMM465'!$K$6:$K$2989,'BMM465'!$J$6:$J$2989,"&gt;="&amp;AE7,'BMM465'!$J$6:$J$2989,"&lt;="&amp;EOMONTH(AE7,0),'BMM465'!$L$6:$L$2989,$B$22)+SUMIFS('1CF1ZO'!$K$6:$K$2989,'1CF1ZO'!$J$6:$J$2989,"&gt;="&amp;AE7,'1CF1ZO'!$J$6:$J$2989,"&lt;="&amp;EOMONTH(AE7,0),'1CF1ZO'!$L$6:$L$2989,$B$22)+SUMIFS('1UK1BK'!$K$6:$K$2989,'1UK1BK'!$J$6:$J$2989,"&gt;="&amp;AE7,'1UK1BK'!$J$6:$J$2989,"&lt;="&amp;EOMONTH(AE7,0),'1UK1BK'!$L$6:$L$2989,$B$22)</f>
        <v>#REF!</v>
      </c>
      <c r="AF22" s="110" t="e">
        <f>SUMIFS('CEI565'!$K$6:$K$2990,'CEI565'!$J$6:$J$2990,"&gt;="&amp;AF7,'CEI565'!$J$6:$J$2990,"&lt;="&amp;EOMONTH(AF7,0),'CEI565'!$L$6:$L$2990,$B$22)+SUMIFS('1SM3VL'!$K$6:$K$2990,'1SM3VL'!$J$6:$J$2990,"&gt;="&amp;AF7,'1SM3VL'!$J$6:$J$2990,"&lt;="&amp;EOMONTH(AF7,0),'1SM3VL'!$L$6:$L$2990,$B$22)+SUMIFS('1QF4SM'!$K$6:$K$2989,'1QF4SM'!$J$6:$J$2989,"&gt;="&amp;AF7,'1QF4SM'!$J$6:$J$2989,"&lt;="&amp;EOMONTH(AF7,0),'1QF4SM'!$L$6:$L$2989,$B$22)+SUMIFS('1UV5KI'!$K$6:$K$2989,'1UV5KI'!$J$6:$J$2989,"&gt;="&amp;AF7,'1UV5KI'!$J$6:$J$2989,"&lt;="&amp;EOMONTH(AF7,0),'1UV5KI'!$L$6:$L$2989,$B$22)+SUMIFS(#REF!,#REF!,"&gt;="&amp;AF7,#REF!,"&lt;="&amp;EOMONTH(AF7,0),#REF!,$B$22)+SUMIFS('1UL9RY'!$K$6:$K$2990,'1UL9RY'!$J$6:$J$2990,"&gt;="&amp;AF7,'1UL9RY'!$J$6:$J$2990,"&lt;="&amp;EOMONTH(AF7,0),'1UL9RY'!$L$6:$L$2990,$B$22)+SUMIFS('1OZ7GT'!$K$6:$K$2989,'1OZ7GT'!$J$6:$J$2989,"&gt;="&amp;AF7,'1OZ7GT'!$J$6:$J$2989,"&lt;="&amp;EOMONTH(AF7,0),'1OZ7GT'!$L$6:$L$2989,$B$22)+SUMIFS('1CN8DD'!$K$6:$K$2989,'1CN8DD'!$J$6:$J$2989,"&gt;="&amp;AF7,'1CN8DD'!$J$6:$J$2989,"&lt;="&amp;EOMONTH(AF7,0),'1CN8DD'!$L$6:$L$2989,$B$22)+SUMIFS('1UT9BR'!$K$6:$K$2990,'1UT9BR'!$J$6:$J$2990,"&gt;="&amp;AF7,'1UT9BR'!$J$6:$J$2990,"&lt;="&amp;EOMONTH(AF7,0),'1UT9BR'!$L$6:$L$2990,$B$22)+SUMIFS('1MK4UR'!$K$6:$K$2990,'1MK4UR'!$J$6:$J$2990,"&gt;="&amp;AF7,'1MK4UR'!$J$6:$J$2990,"&lt;="&amp;EOMONTH(AF7,0),'1MK4UR'!$L$6:$L$2990,$B$22)+SUMIFS(#REF!,#REF!,"&gt;="&amp;AF7,#REF!,"&lt;="&amp;EOMONTH(AF7,0),#REF!,$B$22)+SUMIFS('1JI2UE'!$K$6:$K$2989,'1JI2UE'!$J$6:$J$2989,"&gt;="&amp;AF7,'1JI2UE'!$J$6:$J$2989,"&lt;="&amp;EOMONTH(AF7,0),'1JI2UE'!$L$6:$L$2989,$B$22)+SUMIFS(#REF!,#REF!,"&gt;="&amp;AF7,#REF!,"&lt;="&amp;EOMONTH(AF7,0),#REF!,$B$22)+SUMIFS('1SI9BW'!$K$6:$K$2989,'1SI9BW'!$J$6:$J$2989,"&gt;="&amp;AF7,'1SI9BW'!$J$6:$J$2989,"&lt;="&amp;EOMONTH(AF7,0),'1SI9BW'!$L$6:$L$2989,$B$22)+SUMIFS(Suzuki!$K$6:$K$2989,Suzuki!$J$6:$J$2989,"&gt;="&amp;AF7,Suzuki!$J$6:$J$2989,"&lt;="&amp;EOMONTH(AF7,0),Suzuki!$L$6:$L$2989,$B$22)+SUMIFS('1SK3DD'!$K$6:$K$2989,'1SK3DD'!$J$6:$J$2989,"&gt;="&amp;AF7,'1SK3DD'!$J$6:$J$2989,"&lt;="&amp;EOMONTH(AF7,0),'1SK3DD'!$L$6:$L$2989,$B$22)+SUMIFS('1SX5TQ'!$K$6:$K$2989,'1SX5TQ'!$J$6:$J$2989,"&gt;="&amp;AF7,'1SX5TQ'!$J$6:$J$2989,"&lt;="&amp;EOMONTH(AF7,0),'1SX5TQ'!$L$6:$L$2989,$B$22)+SUMIFS('BMM465'!$K$6:$K$2989,'BMM465'!$J$6:$J$2989,"&gt;="&amp;AF7,'BMM465'!$J$6:$J$2989,"&lt;="&amp;EOMONTH(AF7,0),'BMM465'!$L$6:$L$2989,$B$22)+SUMIFS('1CF1ZO'!$K$6:$K$2989,'1CF1ZO'!$J$6:$J$2989,"&gt;="&amp;AF7,'1CF1ZO'!$J$6:$J$2989,"&lt;="&amp;EOMONTH(AF7,0),'1CF1ZO'!$L$6:$L$2989,$B$22)+SUMIFS('1UK1BK'!$K$6:$K$2989,'1UK1BK'!$J$6:$J$2989,"&gt;="&amp;AF7,'1UK1BK'!$J$6:$J$2989,"&lt;="&amp;EOMONTH(AF7,0),'1UK1BK'!$L$6:$L$2989,$B$22)</f>
        <v>#REF!</v>
      </c>
      <c r="AG22" s="110" t="e">
        <f>SUMIFS('CEI565'!$K$6:$K$2990,'CEI565'!$J$6:$J$2990,"&gt;="&amp;AG7,'CEI565'!$J$6:$J$2990,"&lt;="&amp;EOMONTH(AG7,0),'CEI565'!$L$6:$L$2990,$B$22)+SUMIFS('1SM3VL'!$K$6:$K$2990,'1SM3VL'!$J$6:$J$2990,"&gt;="&amp;AG7,'1SM3VL'!$J$6:$J$2990,"&lt;="&amp;EOMONTH(AG7,0),'1SM3VL'!$L$6:$L$2990,$B$22)+SUMIFS('1QF4SM'!$K$6:$K$2989,'1QF4SM'!$J$6:$J$2989,"&gt;="&amp;AG7,'1QF4SM'!$J$6:$J$2989,"&lt;="&amp;EOMONTH(AG7,0),'1QF4SM'!$L$6:$L$2989,$B$22)+SUMIFS('1UV5KI'!$K$6:$K$2989,'1UV5KI'!$J$6:$J$2989,"&gt;="&amp;AG7,'1UV5KI'!$J$6:$J$2989,"&lt;="&amp;EOMONTH(AG7,0),'1UV5KI'!$L$6:$L$2989,$B$22)+SUMIFS(#REF!,#REF!,"&gt;="&amp;AG7,#REF!,"&lt;="&amp;EOMONTH(AG7,0),#REF!,$B$22)+SUMIFS('1UL9RY'!$K$6:$K$2990,'1UL9RY'!$J$6:$J$2990,"&gt;="&amp;AG7,'1UL9RY'!$J$6:$J$2990,"&lt;="&amp;EOMONTH(AG7,0),'1UL9RY'!$L$6:$L$2990,$B$22)+SUMIFS('1OZ7GT'!$K$6:$K$2989,'1OZ7GT'!$J$6:$J$2989,"&gt;="&amp;AG7,'1OZ7GT'!$J$6:$J$2989,"&lt;="&amp;EOMONTH(AG7,0),'1OZ7GT'!$L$6:$L$2989,$B$22)+SUMIFS('1CN8DD'!$K$6:$K$2989,'1CN8DD'!$J$6:$J$2989,"&gt;="&amp;AG7,'1CN8DD'!$J$6:$J$2989,"&lt;="&amp;EOMONTH(AG7,0),'1CN8DD'!$L$6:$L$2989,$B$22)+SUMIFS('1UT9BR'!$K$6:$K$2990,'1UT9BR'!$J$6:$J$2990,"&gt;="&amp;AG7,'1UT9BR'!$J$6:$J$2990,"&lt;="&amp;EOMONTH(AG7,0),'1UT9BR'!$L$6:$L$2990,$B$22)+SUMIFS('1MK4UR'!$K$6:$K$2990,'1MK4UR'!$J$6:$J$2990,"&gt;="&amp;AG7,'1MK4UR'!$J$6:$J$2990,"&lt;="&amp;EOMONTH(AG7,0),'1MK4UR'!$L$6:$L$2990,$B$22)+SUMIFS(#REF!,#REF!,"&gt;="&amp;AG7,#REF!,"&lt;="&amp;EOMONTH(AG7,0),#REF!,$B$22)+SUMIFS('1JI2UE'!$K$6:$K$2989,'1JI2UE'!$J$6:$J$2989,"&gt;="&amp;AG7,'1JI2UE'!$J$6:$J$2989,"&lt;="&amp;EOMONTH(AG7,0),'1JI2UE'!$L$6:$L$2989,$B$22)+SUMIFS(#REF!,#REF!,"&gt;="&amp;AG7,#REF!,"&lt;="&amp;EOMONTH(AG7,0),#REF!,$B$22)+SUMIFS('1SI9BW'!$K$6:$K$2989,'1SI9BW'!$J$6:$J$2989,"&gt;="&amp;AG7,'1SI9BW'!$J$6:$J$2989,"&lt;="&amp;EOMONTH(AG7,0),'1SI9BW'!$L$6:$L$2989,$B$22)+SUMIFS(Suzuki!$K$6:$K$2989,Suzuki!$J$6:$J$2989,"&gt;="&amp;AG7,Suzuki!$J$6:$J$2989,"&lt;="&amp;EOMONTH(AG7,0),Suzuki!$L$6:$L$2989,$B$22)+SUMIFS('1SK3DD'!$K$6:$K$2989,'1SK3DD'!$J$6:$J$2989,"&gt;="&amp;AG7,'1SK3DD'!$J$6:$J$2989,"&lt;="&amp;EOMONTH(AG7,0),'1SK3DD'!$L$6:$L$2989,$B$22)+SUMIFS('1SX5TQ'!$K$6:$K$2989,'1SX5TQ'!$J$6:$J$2989,"&gt;="&amp;AG7,'1SX5TQ'!$J$6:$J$2989,"&lt;="&amp;EOMONTH(AG7,0),'1SX5TQ'!$L$6:$L$2989,$B$22)+SUMIFS('BMM465'!$K$6:$K$2989,'BMM465'!$J$6:$J$2989,"&gt;="&amp;AG7,'BMM465'!$J$6:$J$2989,"&lt;="&amp;EOMONTH(AG7,0),'BMM465'!$L$6:$L$2989,$B$22)+SUMIFS('1CF1ZO'!$K$6:$K$2989,'1CF1ZO'!$J$6:$J$2989,"&gt;="&amp;AG7,'1CF1ZO'!$J$6:$J$2989,"&lt;="&amp;EOMONTH(AG7,0),'1CF1ZO'!$L$6:$L$2989,$B$22)+SUMIFS('1UK1BK'!$K$6:$K$2989,'1UK1BK'!$J$6:$J$2989,"&gt;="&amp;AG7,'1UK1BK'!$J$6:$J$2989,"&lt;="&amp;EOMONTH(AG7,0),'1UK1BK'!$L$6:$L$2989,$B$22)</f>
        <v>#REF!</v>
      </c>
      <c r="AH22" s="110" t="e">
        <f>SUMIFS('CEI565'!$K$6:$K$2990,'CEI565'!$J$6:$J$2990,"&gt;="&amp;AH7,'CEI565'!$J$6:$J$2990,"&lt;="&amp;EOMONTH(AH7,0),'CEI565'!$L$6:$L$2990,$B$22)+SUMIFS('1SM3VL'!$K$6:$K$2990,'1SM3VL'!$J$6:$J$2990,"&gt;="&amp;AH7,'1SM3VL'!$J$6:$J$2990,"&lt;="&amp;EOMONTH(AH7,0),'1SM3VL'!$L$6:$L$2990,$B$22)+SUMIFS('1QF4SM'!$K$6:$K$2989,'1QF4SM'!$J$6:$J$2989,"&gt;="&amp;AH7,'1QF4SM'!$J$6:$J$2989,"&lt;="&amp;EOMONTH(AH7,0),'1QF4SM'!$L$6:$L$2989,$B$22)+SUMIFS('1UV5KI'!$K$6:$K$2989,'1UV5KI'!$J$6:$J$2989,"&gt;="&amp;AH7,'1UV5KI'!$J$6:$J$2989,"&lt;="&amp;EOMONTH(AH7,0),'1UV5KI'!$L$6:$L$2989,$B$22)+SUMIFS(#REF!,#REF!,"&gt;="&amp;AH7,#REF!,"&lt;="&amp;EOMONTH(AH7,0),#REF!,$B$22)+SUMIFS('1UL9RY'!$K$6:$K$2990,'1UL9RY'!$J$6:$J$2990,"&gt;="&amp;AH7,'1UL9RY'!$J$6:$J$2990,"&lt;="&amp;EOMONTH(AH7,0),'1UL9RY'!$L$6:$L$2990,$B$22)+SUMIFS('1OZ7GT'!$K$6:$K$2989,'1OZ7GT'!$J$6:$J$2989,"&gt;="&amp;AH7,'1OZ7GT'!$J$6:$J$2989,"&lt;="&amp;EOMONTH(AH7,0),'1OZ7GT'!$L$6:$L$2989,$B$22)+SUMIFS('1CN8DD'!$K$6:$K$2989,'1CN8DD'!$J$6:$J$2989,"&gt;="&amp;AH7,'1CN8DD'!$J$6:$J$2989,"&lt;="&amp;EOMONTH(AH7,0),'1CN8DD'!$L$6:$L$2989,$B$22)+SUMIFS('1UT9BR'!$K$6:$K$2990,'1UT9BR'!$J$6:$J$2990,"&gt;="&amp;AH7,'1UT9BR'!$J$6:$J$2990,"&lt;="&amp;EOMONTH(AH7,0),'1UT9BR'!$L$6:$L$2990,$B$22)+SUMIFS('1MK4UR'!$K$6:$K$2990,'1MK4UR'!$J$6:$J$2990,"&gt;="&amp;AH7,'1MK4UR'!$J$6:$J$2990,"&lt;="&amp;EOMONTH(AH7,0),'1MK4UR'!$L$6:$L$2990,$B$22)+SUMIFS(#REF!,#REF!,"&gt;="&amp;AH7,#REF!,"&lt;="&amp;EOMONTH(AH7,0),#REF!,$B$22)+SUMIFS('1JI2UE'!$K$6:$K$2989,'1JI2UE'!$J$6:$J$2989,"&gt;="&amp;AH7,'1JI2UE'!$J$6:$J$2989,"&lt;="&amp;EOMONTH(AH7,0),'1JI2UE'!$L$6:$L$2989,$B$22)+SUMIFS(#REF!,#REF!,"&gt;="&amp;AH7,#REF!,"&lt;="&amp;EOMONTH(AH7,0),#REF!,$B$22)+SUMIFS('1SI9BW'!$K$6:$K$2989,'1SI9BW'!$J$6:$J$2989,"&gt;="&amp;AH7,'1SI9BW'!$J$6:$J$2989,"&lt;="&amp;EOMONTH(AH7,0),'1SI9BW'!$L$6:$L$2989,$B$22)+SUMIFS(Suzuki!$K$6:$K$2989,Suzuki!$J$6:$J$2989,"&gt;="&amp;AH7,Suzuki!$J$6:$J$2989,"&lt;="&amp;EOMONTH(AH7,0),Suzuki!$L$6:$L$2989,$B$22)+SUMIFS('1SK3DD'!$K$6:$K$2989,'1SK3DD'!$J$6:$J$2989,"&gt;="&amp;AH7,'1SK3DD'!$J$6:$J$2989,"&lt;="&amp;EOMONTH(AH7,0),'1SK3DD'!$L$6:$L$2989,$B$22)+SUMIFS('1SX5TQ'!$K$6:$K$2989,'1SX5TQ'!$J$6:$J$2989,"&gt;="&amp;AH7,'1SX5TQ'!$J$6:$J$2989,"&lt;="&amp;EOMONTH(AH7,0),'1SX5TQ'!$L$6:$L$2989,$B$22)+SUMIFS('BMM465'!$K$6:$K$2989,'BMM465'!$J$6:$J$2989,"&gt;="&amp;AH7,'BMM465'!$J$6:$J$2989,"&lt;="&amp;EOMONTH(AH7,0),'BMM465'!$L$6:$L$2989,$B$22)+SUMIFS('1CF1ZO'!$K$6:$K$2989,'1CF1ZO'!$J$6:$J$2989,"&gt;="&amp;AH7,'1CF1ZO'!$J$6:$J$2989,"&lt;="&amp;EOMONTH(AH7,0),'1CF1ZO'!$L$6:$L$2989,$B$22)+SUMIFS('1UK1BK'!$K$6:$K$2989,'1UK1BK'!$J$6:$J$2989,"&gt;="&amp;AH7,'1UK1BK'!$J$6:$J$2989,"&lt;="&amp;EOMONTH(AH7,0),'1UK1BK'!$L$6:$L$2989,$B$22)</f>
        <v>#REF!</v>
      </c>
      <c r="AI22" s="110" t="e">
        <f>SUMIFS('CEI565'!$K$6:$K$2990,'CEI565'!$J$6:$J$2990,"&gt;="&amp;AI7,'CEI565'!$J$6:$J$2990,"&lt;="&amp;EOMONTH(AI7,0),'CEI565'!$L$6:$L$2990,$B$22)+SUMIFS('1SM3VL'!$K$6:$K$2990,'1SM3VL'!$J$6:$J$2990,"&gt;="&amp;AI7,'1SM3VL'!$J$6:$J$2990,"&lt;="&amp;EOMONTH(AI7,0),'1SM3VL'!$L$6:$L$2990,$B$22)+SUMIFS('1QF4SM'!$K$6:$K$2989,'1QF4SM'!$J$6:$J$2989,"&gt;="&amp;AI7,'1QF4SM'!$J$6:$J$2989,"&lt;="&amp;EOMONTH(AI7,0),'1QF4SM'!$L$6:$L$2989,$B$22)+SUMIFS('1UV5KI'!$K$6:$K$2989,'1UV5KI'!$J$6:$J$2989,"&gt;="&amp;AI7,'1UV5KI'!$J$6:$J$2989,"&lt;="&amp;EOMONTH(AI7,0),'1UV5KI'!$L$6:$L$2989,$B$22)+SUMIFS(#REF!,#REF!,"&gt;="&amp;AI7,#REF!,"&lt;="&amp;EOMONTH(AI7,0),#REF!,$B$22)+SUMIFS('1UL9RY'!$K$6:$K$2990,'1UL9RY'!$J$6:$J$2990,"&gt;="&amp;AI7,'1UL9RY'!$J$6:$J$2990,"&lt;="&amp;EOMONTH(AI7,0),'1UL9RY'!$L$6:$L$2990,$B$22)+SUMIFS('1OZ7GT'!$K$6:$K$2989,'1OZ7GT'!$J$6:$J$2989,"&gt;="&amp;AI7,'1OZ7GT'!$J$6:$J$2989,"&lt;="&amp;EOMONTH(AI7,0),'1OZ7GT'!$L$6:$L$2989,$B$22)+SUMIFS('1CN8DD'!$K$6:$K$2989,'1CN8DD'!$J$6:$J$2989,"&gt;="&amp;AI7,'1CN8DD'!$J$6:$J$2989,"&lt;="&amp;EOMONTH(AI7,0),'1CN8DD'!$L$6:$L$2989,$B$22)+SUMIFS('1UT9BR'!$K$6:$K$2990,'1UT9BR'!$J$6:$J$2990,"&gt;="&amp;AI7,'1UT9BR'!$J$6:$J$2990,"&lt;="&amp;EOMONTH(AI7,0),'1UT9BR'!$L$6:$L$2990,$B$22)+SUMIFS('1MK4UR'!$K$6:$K$2990,'1MK4UR'!$J$6:$J$2990,"&gt;="&amp;AI7,'1MK4UR'!$J$6:$J$2990,"&lt;="&amp;EOMONTH(AI7,0),'1MK4UR'!$L$6:$L$2990,$B$22)+SUMIFS(#REF!,#REF!,"&gt;="&amp;AI7,#REF!,"&lt;="&amp;EOMONTH(AI7,0),#REF!,$B$22)+SUMIFS('1JI2UE'!$K$6:$K$2989,'1JI2UE'!$J$6:$J$2989,"&gt;="&amp;AI7,'1JI2UE'!$J$6:$J$2989,"&lt;="&amp;EOMONTH(AI7,0),'1JI2UE'!$L$6:$L$2989,$B$22)+SUMIFS(#REF!,#REF!,"&gt;="&amp;AI7,#REF!,"&lt;="&amp;EOMONTH(AI7,0),#REF!,$B$22)+SUMIFS('1SI9BW'!$K$6:$K$2989,'1SI9BW'!$J$6:$J$2989,"&gt;="&amp;AI7,'1SI9BW'!$J$6:$J$2989,"&lt;="&amp;EOMONTH(AI7,0),'1SI9BW'!$L$6:$L$2989,$B$22)+SUMIFS(Suzuki!$K$6:$K$2989,Suzuki!$J$6:$J$2989,"&gt;="&amp;AI7,Suzuki!$J$6:$J$2989,"&lt;="&amp;EOMONTH(AI7,0),Suzuki!$L$6:$L$2989,$B$22)+SUMIFS('1SK3DD'!$K$6:$K$2989,'1SK3DD'!$J$6:$J$2989,"&gt;="&amp;AI7,'1SK3DD'!$J$6:$J$2989,"&lt;="&amp;EOMONTH(AI7,0),'1SK3DD'!$L$6:$L$2989,$B$22)+SUMIFS('1SX5TQ'!$K$6:$K$2989,'1SX5TQ'!$J$6:$J$2989,"&gt;="&amp;AI7,'1SX5TQ'!$J$6:$J$2989,"&lt;="&amp;EOMONTH(AI7,0),'1SX5TQ'!$L$6:$L$2989,$B$22)+SUMIFS('BMM465'!$K$6:$K$2989,'BMM465'!$J$6:$J$2989,"&gt;="&amp;AI7,'BMM465'!$J$6:$J$2989,"&lt;="&amp;EOMONTH(AI7,0),'BMM465'!$L$6:$L$2989,$B$22)+SUMIFS('1CF1ZO'!$K$6:$K$2989,'1CF1ZO'!$J$6:$J$2989,"&gt;="&amp;AI7,'1CF1ZO'!$J$6:$J$2989,"&lt;="&amp;EOMONTH(AI7,0),'1CF1ZO'!$L$6:$L$2989,$B$22)+SUMIFS('1UK1BK'!$K$6:$K$2989,'1UK1BK'!$J$6:$J$2989,"&gt;="&amp;AI7,'1UK1BK'!$J$6:$J$2989,"&lt;="&amp;EOMONTH(AI7,0),'1UK1BK'!$L$6:$L$2989,$B$22)</f>
        <v>#REF!</v>
      </c>
      <c r="AJ22" s="110" t="e">
        <f>SUMIFS('CEI565'!$K$6:$K$2990,'CEI565'!$J$6:$J$2990,"&gt;="&amp;AJ7,'CEI565'!$J$6:$J$2990,"&lt;="&amp;EOMONTH(AJ7,0),'CEI565'!$L$6:$L$2990,$B$22)+SUMIFS('1SM3VL'!$K$6:$K$2990,'1SM3VL'!$J$6:$J$2990,"&gt;="&amp;AJ7,'1SM3VL'!$J$6:$J$2990,"&lt;="&amp;EOMONTH(AJ7,0),'1SM3VL'!$L$6:$L$2990,$B$22)+SUMIFS('1QF4SM'!$K$6:$K$2989,'1QF4SM'!$J$6:$J$2989,"&gt;="&amp;AJ7,'1QF4SM'!$J$6:$J$2989,"&lt;="&amp;EOMONTH(AJ7,0),'1QF4SM'!$L$6:$L$2989,$B$22)+SUMIFS('1UV5KI'!$K$6:$K$2989,'1UV5KI'!$J$6:$J$2989,"&gt;="&amp;AJ7,'1UV5KI'!$J$6:$J$2989,"&lt;="&amp;EOMONTH(AJ7,0),'1UV5KI'!$L$6:$L$2989,$B$22)+SUMIFS(#REF!,#REF!,"&gt;="&amp;AJ7,#REF!,"&lt;="&amp;EOMONTH(AJ7,0),#REF!,$B$22)+SUMIFS('1UL9RY'!$K$6:$K$2990,'1UL9RY'!$J$6:$J$2990,"&gt;="&amp;AJ7,'1UL9RY'!$J$6:$J$2990,"&lt;="&amp;EOMONTH(AJ7,0),'1UL9RY'!$L$6:$L$2990,$B$22)+SUMIFS('1OZ7GT'!$K$6:$K$2989,'1OZ7GT'!$J$6:$J$2989,"&gt;="&amp;AJ7,'1OZ7GT'!$J$6:$J$2989,"&lt;="&amp;EOMONTH(AJ7,0),'1OZ7GT'!$L$6:$L$2989,$B$22)+SUMIFS('1CN8DD'!$K$6:$K$2989,'1CN8DD'!$J$6:$J$2989,"&gt;="&amp;AJ7,'1CN8DD'!$J$6:$J$2989,"&lt;="&amp;EOMONTH(AJ7,0),'1CN8DD'!$L$6:$L$2989,$B$22)+SUMIFS('1UT9BR'!$K$6:$K$2990,'1UT9BR'!$J$6:$J$2990,"&gt;="&amp;AJ7,'1UT9BR'!$J$6:$J$2990,"&lt;="&amp;EOMONTH(AJ7,0),'1UT9BR'!$L$6:$L$2990,$B$22)+SUMIFS('1MK4UR'!$K$6:$K$2990,'1MK4UR'!$J$6:$J$2990,"&gt;="&amp;AJ7,'1MK4UR'!$J$6:$J$2990,"&lt;="&amp;EOMONTH(AJ7,0),'1MK4UR'!$L$6:$L$2990,$B$22)+SUMIFS(#REF!,#REF!,"&gt;="&amp;AJ7,#REF!,"&lt;="&amp;EOMONTH(AJ7,0),#REF!,$B$22)+SUMIFS('1JI2UE'!$K$6:$K$2989,'1JI2UE'!$J$6:$J$2989,"&gt;="&amp;AJ7,'1JI2UE'!$J$6:$J$2989,"&lt;="&amp;EOMONTH(AJ7,0),'1JI2UE'!$L$6:$L$2989,$B$22)+SUMIFS(#REF!,#REF!,"&gt;="&amp;AJ7,#REF!,"&lt;="&amp;EOMONTH(AJ7,0),#REF!,$B$22)+SUMIFS('1SI9BW'!$K$6:$K$2989,'1SI9BW'!$J$6:$J$2989,"&gt;="&amp;AJ7,'1SI9BW'!$J$6:$J$2989,"&lt;="&amp;EOMONTH(AJ7,0),'1SI9BW'!$L$6:$L$2989,$B$22)+SUMIFS(Suzuki!$K$6:$K$2989,Suzuki!$J$6:$J$2989,"&gt;="&amp;AJ7,Suzuki!$J$6:$J$2989,"&lt;="&amp;EOMONTH(AJ7,0),Suzuki!$L$6:$L$2989,$B$22)+SUMIFS('1SK3DD'!$K$6:$K$2989,'1SK3DD'!$J$6:$J$2989,"&gt;="&amp;AJ7,'1SK3DD'!$J$6:$J$2989,"&lt;="&amp;EOMONTH(AJ7,0),'1SK3DD'!$L$6:$L$2989,$B$22)+SUMIFS('1SX5TQ'!$K$6:$K$2989,'1SX5TQ'!$J$6:$J$2989,"&gt;="&amp;AJ7,'1SX5TQ'!$J$6:$J$2989,"&lt;="&amp;EOMONTH(AJ7,0),'1SX5TQ'!$L$6:$L$2989,$B$22)+SUMIFS('BMM465'!$K$6:$K$2989,'BMM465'!$J$6:$J$2989,"&gt;="&amp;AJ7,'BMM465'!$J$6:$J$2989,"&lt;="&amp;EOMONTH(AJ7,0),'BMM465'!$L$6:$L$2989,$B$22)+SUMIFS('1CF1ZO'!$K$6:$K$2989,'1CF1ZO'!$J$6:$J$2989,"&gt;="&amp;AJ7,'1CF1ZO'!$J$6:$J$2989,"&lt;="&amp;EOMONTH(AJ7,0),'1CF1ZO'!$L$6:$L$2989,$B$22)+SUMIFS('1UK1BK'!$K$6:$K$2989,'1UK1BK'!$J$6:$J$2989,"&gt;="&amp;AJ7,'1UK1BK'!$J$6:$J$2989,"&lt;="&amp;EOMONTH(AJ7,0),'1UK1BK'!$L$6:$L$2989,$B$22)</f>
        <v>#REF!</v>
      </c>
      <c r="AK22" s="110" t="e">
        <f>SUMIFS('CEI565'!$K$6:$K$2990,'CEI565'!$J$6:$J$2990,"&gt;="&amp;AK7,'CEI565'!$J$6:$J$2990,"&lt;="&amp;EOMONTH(AK7,0),'CEI565'!$L$6:$L$2990,$B$22)+SUMIFS('1SM3VL'!$K$6:$K$2990,'1SM3VL'!$J$6:$J$2990,"&gt;="&amp;AK7,'1SM3VL'!$J$6:$J$2990,"&lt;="&amp;EOMONTH(AK7,0),'1SM3VL'!$L$6:$L$2990,$B$22)+SUMIFS('1QF4SM'!$K$6:$K$2989,'1QF4SM'!$J$6:$J$2989,"&gt;="&amp;AK7,'1QF4SM'!$J$6:$J$2989,"&lt;="&amp;EOMONTH(AK7,0),'1QF4SM'!$L$6:$L$2989,$B$22)+SUMIFS('1UV5KI'!$K$6:$K$2989,'1UV5KI'!$J$6:$J$2989,"&gt;="&amp;AK7,'1UV5KI'!$J$6:$J$2989,"&lt;="&amp;EOMONTH(AK7,0),'1UV5KI'!$L$6:$L$2989,$B$22)+SUMIFS(#REF!,#REF!,"&gt;="&amp;AK7,#REF!,"&lt;="&amp;EOMONTH(AK7,0),#REF!,$B$22)+SUMIFS('1UL9RY'!$K$6:$K$2990,'1UL9RY'!$J$6:$J$2990,"&gt;="&amp;AK7,'1UL9RY'!$J$6:$J$2990,"&lt;="&amp;EOMONTH(AK7,0),'1UL9RY'!$L$6:$L$2990,$B$22)+SUMIFS('1OZ7GT'!$K$6:$K$2989,'1OZ7GT'!$J$6:$J$2989,"&gt;="&amp;AK7,'1OZ7GT'!$J$6:$J$2989,"&lt;="&amp;EOMONTH(AK7,0),'1OZ7GT'!$L$6:$L$2989,$B$22)+SUMIFS('1CN8DD'!$K$6:$K$2989,'1CN8DD'!$J$6:$J$2989,"&gt;="&amp;AK7,'1CN8DD'!$J$6:$J$2989,"&lt;="&amp;EOMONTH(AK7,0),'1CN8DD'!$L$6:$L$2989,$B$22)+SUMIFS('1UT9BR'!$K$6:$K$2990,'1UT9BR'!$J$6:$J$2990,"&gt;="&amp;AK7,'1UT9BR'!$J$6:$J$2990,"&lt;="&amp;EOMONTH(AK7,0),'1UT9BR'!$L$6:$L$2990,$B$22)+SUMIFS('1MK4UR'!$K$6:$K$2990,'1MK4UR'!$J$6:$J$2990,"&gt;="&amp;AK7,'1MK4UR'!$J$6:$J$2990,"&lt;="&amp;EOMONTH(AK7,0),'1MK4UR'!$L$6:$L$2990,$B$22)+SUMIFS(#REF!,#REF!,"&gt;="&amp;AK7,#REF!,"&lt;="&amp;EOMONTH(AK7,0),#REF!,$B$22)+SUMIFS('1JI2UE'!$K$6:$K$2989,'1JI2UE'!$J$6:$J$2989,"&gt;="&amp;AK7,'1JI2UE'!$J$6:$J$2989,"&lt;="&amp;EOMONTH(AK7,0),'1JI2UE'!$L$6:$L$2989,$B$22)+SUMIFS(#REF!,#REF!,"&gt;="&amp;AK7,#REF!,"&lt;="&amp;EOMONTH(AK7,0),#REF!,$B$22)+SUMIFS('1SI9BW'!$K$6:$K$2989,'1SI9BW'!$J$6:$J$2989,"&gt;="&amp;AK7,'1SI9BW'!$J$6:$J$2989,"&lt;="&amp;EOMONTH(AK7,0),'1SI9BW'!$L$6:$L$2989,$B$22)+SUMIFS(Suzuki!$K$6:$K$2989,Suzuki!$J$6:$J$2989,"&gt;="&amp;AK7,Suzuki!$J$6:$J$2989,"&lt;="&amp;EOMONTH(AK7,0),Suzuki!$L$6:$L$2989,$B$22)+SUMIFS('1SK3DD'!$K$6:$K$2989,'1SK3DD'!$J$6:$J$2989,"&gt;="&amp;AK7,'1SK3DD'!$J$6:$J$2989,"&lt;="&amp;EOMONTH(AK7,0),'1SK3DD'!$L$6:$L$2989,$B$22)+SUMIFS('1SX5TQ'!$K$6:$K$2989,'1SX5TQ'!$J$6:$J$2989,"&gt;="&amp;AK7,'1SX5TQ'!$J$6:$J$2989,"&lt;="&amp;EOMONTH(AK7,0),'1SX5TQ'!$L$6:$L$2989,$B$22)+SUMIFS('BMM465'!$K$6:$K$2989,'BMM465'!$J$6:$J$2989,"&gt;="&amp;AK7,'BMM465'!$J$6:$J$2989,"&lt;="&amp;EOMONTH(AK7,0),'BMM465'!$L$6:$L$2989,$B$22)+SUMIFS('1CF1ZO'!$K$6:$K$2989,'1CF1ZO'!$J$6:$J$2989,"&gt;="&amp;AK7,'1CF1ZO'!$J$6:$J$2989,"&lt;="&amp;EOMONTH(AK7,0),'1CF1ZO'!$L$6:$L$2989,$B$22)+SUMIFS('1UK1BK'!$K$6:$K$2989,'1UK1BK'!$J$6:$J$2989,"&gt;="&amp;AK7,'1UK1BK'!$J$6:$J$2989,"&lt;="&amp;EOMONTH(AK7,0),'1UK1BK'!$L$6:$L$2989,$B$22)</f>
        <v>#REF!</v>
      </c>
      <c r="AL22" s="110" t="e">
        <f>SUMIFS('CEI565'!$K$6:$K$2990,'CEI565'!$J$6:$J$2990,"&gt;="&amp;AL7,'CEI565'!$J$6:$J$2990,"&lt;="&amp;EOMONTH(AL7,0),'CEI565'!$L$6:$L$2990,$B$22)+SUMIFS('1SM3VL'!$K$6:$K$2990,'1SM3VL'!$J$6:$J$2990,"&gt;="&amp;AL7,'1SM3VL'!$J$6:$J$2990,"&lt;="&amp;EOMONTH(AL7,0),'1SM3VL'!$L$6:$L$2990,$B$22)+SUMIFS('1QF4SM'!$K$6:$K$2989,'1QF4SM'!$J$6:$J$2989,"&gt;="&amp;AL7,'1QF4SM'!$J$6:$J$2989,"&lt;="&amp;EOMONTH(AL7,0),'1QF4SM'!$L$6:$L$2989,$B$22)+SUMIFS('1UV5KI'!$K$6:$K$2989,'1UV5KI'!$J$6:$J$2989,"&gt;="&amp;AL7,'1UV5KI'!$J$6:$J$2989,"&lt;="&amp;EOMONTH(AL7,0),'1UV5KI'!$L$6:$L$2989,$B$22)+SUMIFS(#REF!,#REF!,"&gt;="&amp;AL7,#REF!,"&lt;="&amp;EOMONTH(AL7,0),#REF!,$B$22)+SUMIFS('1UL9RY'!$K$6:$K$2990,'1UL9RY'!$J$6:$J$2990,"&gt;="&amp;AL7,'1UL9RY'!$J$6:$J$2990,"&lt;="&amp;EOMONTH(AL7,0),'1UL9RY'!$L$6:$L$2990,$B$22)+SUMIFS('1OZ7GT'!$K$6:$K$2989,'1OZ7GT'!$J$6:$J$2989,"&gt;="&amp;AL7,'1OZ7GT'!$J$6:$J$2989,"&lt;="&amp;EOMONTH(AL7,0),'1OZ7GT'!$L$6:$L$2989,$B$22)+SUMIFS('1CN8DD'!$K$6:$K$2989,'1CN8DD'!$J$6:$J$2989,"&gt;="&amp;AL7,'1CN8DD'!$J$6:$J$2989,"&lt;="&amp;EOMONTH(AL7,0),'1CN8DD'!$L$6:$L$2989,$B$22)+SUMIFS('1UT9BR'!$K$6:$K$2990,'1UT9BR'!$J$6:$J$2990,"&gt;="&amp;AL7,'1UT9BR'!$J$6:$J$2990,"&lt;="&amp;EOMONTH(AL7,0),'1UT9BR'!$L$6:$L$2990,$B$22)+SUMIFS('1MK4UR'!$K$6:$K$2990,'1MK4UR'!$J$6:$J$2990,"&gt;="&amp;AL7,'1MK4UR'!$J$6:$J$2990,"&lt;="&amp;EOMONTH(AL7,0),'1MK4UR'!$L$6:$L$2990,$B$22)+SUMIFS(#REF!,#REF!,"&gt;="&amp;AL7,#REF!,"&lt;="&amp;EOMONTH(AL7,0),#REF!,$B$22)+SUMIFS('1JI2UE'!$K$6:$K$2989,'1JI2UE'!$J$6:$J$2989,"&gt;="&amp;AL7,'1JI2UE'!$J$6:$J$2989,"&lt;="&amp;EOMONTH(AL7,0),'1JI2UE'!$L$6:$L$2989,$B$22)+SUMIFS(#REF!,#REF!,"&gt;="&amp;AL7,#REF!,"&lt;="&amp;EOMONTH(AL7,0),#REF!,$B$22)+SUMIFS('1SI9BW'!$K$6:$K$2989,'1SI9BW'!$J$6:$J$2989,"&gt;="&amp;AL7,'1SI9BW'!$J$6:$J$2989,"&lt;="&amp;EOMONTH(AL7,0),'1SI9BW'!$L$6:$L$2989,$B$22)+SUMIFS(Suzuki!$K$6:$K$2989,Suzuki!$J$6:$J$2989,"&gt;="&amp;AL7,Suzuki!$J$6:$J$2989,"&lt;="&amp;EOMONTH(AL7,0),Suzuki!$L$6:$L$2989,$B$22)+SUMIFS('1SK3DD'!$K$6:$K$2989,'1SK3DD'!$J$6:$J$2989,"&gt;="&amp;AL7,'1SK3DD'!$J$6:$J$2989,"&lt;="&amp;EOMONTH(AL7,0),'1SK3DD'!$L$6:$L$2989,$B$22)+SUMIFS('1SX5TQ'!$K$6:$K$2989,'1SX5TQ'!$J$6:$J$2989,"&gt;="&amp;AL7,'1SX5TQ'!$J$6:$J$2989,"&lt;="&amp;EOMONTH(AL7,0),'1SX5TQ'!$L$6:$L$2989,$B$22)+SUMIFS('BMM465'!$K$6:$K$2989,'BMM465'!$J$6:$J$2989,"&gt;="&amp;AL7,'BMM465'!$J$6:$J$2989,"&lt;="&amp;EOMONTH(AL7,0),'BMM465'!$L$6:$L$2989,$B$22)+SUMIFS('1CF1ZO'!$K$6:$K$2989,'1CF1ZO'!$J$6:$J$2989,"&gt;="&amp;AL7,'1CF1ZO'!$J$6:$J$2989,"&lt;="&amp;EOMONTH(AL7,0),'1CF1ZO'!$L$6:$L$2989,$B$22)+SUMIFS('1UK1BK'!$K$6:$K$2989,'1UK1BK'!$J$6:$J$2989,"&gt;="&amp;AL7,'1UK1BK'!$J$6:$J$2989,"&lt;="&amp;EOMONTH(AL7,0),'1UK1BK'!$L$6:$L$2989,$B$22)</f>
        <v>#REF!</v>
      </c>
      <c r="AM22" s="110" t="e">
        <f>SUMIFS('CEI565'!$K$6:$K$2990,'CEI565'!$J$6:$J$2990,"&gt;="&amp;AM7,'CEI565'!$J$6:$J$2990,"&lt;="&amp;EOMONTH(AM7,0),'CEI565'!$L$6:$L$2990,$B$22)+SUMIFS('1SM3VL'!$K$6:$K$2990,'1SM3VL'!$J$6:$J$2990,"&gt;="&amp;AM7,'1SM3VL'!$J$6:$J$2990,"&lt;="&amp;EOMONTH(AM7,0),'1SM3VL'!$L$6:$L$2990,$B$22)+SUMIFS('1QF4SM'!$K$6:$K$2989,'1QF4SM'!$J$6:$J$2989,"&gt;="&amp;AM7,'1QF4SM'!$J$6:$J$2989,"&lt;="&amp;EOMONTH(AM7,0),'1QF4SM'!$L$6:$L$2989,$B$22)+SUMIFS('1UV5KI'!$K$6:$K$2989,'1UV5KI'!$J$6:$J$2989,"&gt;="&amp;AM7,'1UV5KI'!$J$6:$J$2989,"&lt;="&amp;EOMONTH(AM7,0),'1UV5KI'!$L$6:$L$2989,$B$22)+SUMIFS(#REF!,#REF!,"&gt;="&amp;AM7,#REF!,"&lt;="&amp;EOMONTH(AM7,0),#REF!,$B$22)+SUMIFS('1UL9RY'!$K$6:$K$2990,'1UL9RY'!$J$6:$J$2990,"&gt;="&amp;AM7,'1UL9RY'!$J$6:$J$2990,"&lt;="&amp;EOMONTH(AM7,0),'1UL9RY'!$L$6:$L$2990,$B$22)+SUMIFS('1OZ7GT'!$K$6:$K$2989,'1OZ7GT'!$J$6:$J$2989,"&gt;="&amp;AM7,'1OZ7GT'!$J$6:$J$2989,"&lt;="&amp;EOMONTH(AM7,0),'1OZ7GT'!$L$6:$L$2989,$B$22)+SUMIFS('1CN8DD'!$K$6:$K$2989,'1CN8DD'!$J$6:$J$2989,"&gt;="&amp;AM7,'1CN8DD'!$J$6:$J$2989,"&lt;="&amp;EOMONTH(AM7,0),'1CN8DD'!$L$6:$L$2989,$B$22)+SUMIFS('1UT9BR'!$K$6:$K$2990,'1UT9BR'!$J$6:$J$2990,"&gt;="&amp;AM7,'1UT9BR'!$J$6:$J$2990,"&lt;="&amp;EOMONTH(AM7,0),'1UT9BR'!$L$6:$L$2990,$B$22)+SUMIFS('1MK4UR'!$K$6:$K$2990,'1MK4UR'!$J$6:$J$2990,"&gt;="&amp;AM7,'1MK4UR'!$J$6:$J$2990,"&lt;="&amp;EOMONTH(AM7,0),'1MK4UR'!$L$6:$L$2990,$B$22)+SUMIFS(#REF!,#REF!,"&gt;="&amp;AM7,#REF!,"&lt;="&amp;EOMONTH(AM7,0),#REF!,$B$22)+SUMIFS('1JI2UE'!$K$6:$K$2989,'1JI2UE'!$J$6:$J$2989,"&gt;="&amp;AM7,'1JI2UE'!$J$6:$J$2989,"&lt;="&amp;EOMONTH(AM7,0),'1JI2UE'!$L$6:$L$2989,$B$22)+SUMIFS(#REF!,#REF!,"&gt;="&amp;AM7,#REF!,"&lt;="&amp;EOMONTH(AM7,0),#REF!,$B$22)+SUMIFS('1SI9BW'!$K$6:$K$2989,'1SI9BW'!$J$6:$J$2989,"&gt;="&amp;AM7,'1SI9BW'!$J$6:$J$2989,"&lt;="&amp;EOMONTH(AM7,0),'1SI9BW'!$L$6:$L$2989,$B$22)+SUMIFS(Suzuki!$K$6:$K$2989,Suzuki!$J$6:$J$2989,"&gt;="&amp;AM7,Suzuki!$J$6:$J$2989,"&lt;="&amp;EOMONTH(AM7,0),Suzuki!$L$6:$L$2989,$B$22)+SUMIFS('1SK3DD'!$K$6:$K$2989,'1SK3DD'!$J$6:$J$2989,"&gt;="&amp;AM7,'1SK3DD'!$J$6:$J$2989,"&lt;="&amp;EOMONTH(AM7,0),'1SK3DD'!$L$6:$L$2989,$B$22)+SUMIFS('1SX5TQ'!$K$6:$K$2989,'1SX5TQ'!$J$6:$J$2989,"&gt;="&amp;AM7,'1SX5TQ'!$J$6:$J$2989,"&lt;="&amp;EOMONTH(AM7,0),'1SX5TQ'!$L$6:$L$2989,$B$22)+SUMIFS('BMM465'!$K$6:$K$2989,'BMM465'!$J$6:$J$2989,"&gt;="&amp;AM7,'BMM465'!$J$6:$J$2989,"&lt;="&amp;EOMONTH(AM7,0),'BMM465'!$L$6:$L$2989,$B$22)+SUMIFS('1CF1ZO'!$K$6:$K$2989,'1CF1ZO'!$J$6:$J$2989,"&gt;="&amp;AM7,'1CF1ZO'!$J$6:$J$2989,"&lt;="&amp;EOMONTH(AM7,0),'1CF1ZO'!$L$6:$L$2989,$B$22)+SUMIFS('1UK1BK'!$K$6:$K$2989,'1UK1BK'!$J$6:$J$2989,"&gt;="&amp;AM7,'1UK1BK'!$J$6:$J$2989,"&lt;="&amp;EOMONTH(AM7,0),'1UK1BK'!$L$6:$L$2989,$B$22)</f>
        <v>#REF!</v>
      </c>
      <c r="AN22" s="110" t="e">
        <f>SUMIFS('CEI565'!$K$6:$K$2990,'CEI565'!$J$6:$J$2990,"&gt;="&amp;AN7,'CEI565'!$J$6:$J$2990,"&lt;="&amp;EOMONTH(AN7,0),'CEI565'!$L$6:$L$2990,$B$22)+SUMIFS('1SM3VL'!$K$6:$K$2990,'1SM3VL'!$J$6:$J$2990,"&gt;="&amp;AN7,'1SM3VL'!$J$6:$J$2990,"&lt;="&amp;EOMONTH(AN7,0),'1SM3VL'!$L$6:$L$2990,$B$22)+SUMIFS('1QF4SM'!$K$6:$K$2989,'1QF4SM'!$J$6:$J$2989,"&gt;="&amp;AN7,'1QF4SM'!$J$6:$J$2989,"&lt;="&amp;EOMONTH(AN7,0),'1QF4SM'!$L$6:$L$2989,$B$22)+SUMIFS('1UV5KI'!$K$6:$K$2989,'1UV5KI'!$J$6:$J$2989,"&gt;="&amp;AN7,'1UV5KI'!$J$6:$J$2989,"&lt;="&amp;EOMONTH(AN7,0),'1UV5KI'!$L$6:$L$2989,$B$22)+SUMIFS(#REF!,#REF!,"&gt;="&amp;AN7,#REF!,"&lt;="&amp;EOMONTH(AN7,0),#REF!,$B$22)+SUMIFS('1UL9RY'!$K$6:$K$2990,'1UL9RY'!$J$6:$J$2990,"&gt;="&amp;AN7,'1UL9RY'!$J$6:$J$2990,"&lt;="&amp;EOMONTH(AN7,0),'1UL9RY'!$L$6:$L$2990,$B$22)+SUMIFS('1OZ7GT'!$K$6:$K$2989,'1OZ7GT'!$J$6:$J$2989,"&gt;="&amp;AN7,'1OZ7GT'!$J$6:$J$2989,"&lt;="&amp;EOMONTH(AN7,0),'1OZ7GT'!$L$6:$L$2989,$B$22)+SUMIFS('1CN8DD'!$K$6:$K$2989,'1CN8DD'!$J$6:$J$2989,"&gt;="&amp;AN7,'1CN8DD'!$J$6:$J$2989,"&lt;="&amp;EOMONTH(AN7,0),'1CN8DD'!$L$6:$L$2989,$B$22)+SUMIFS('1UT9BR'!$K$6:$K$2990,'1UT9BR'!$J$6:$J$2990,"&gt;="&amp;AN7,'1UT9BR'!$J$6:$J$2990,"&lt;="&amp;EOMONTH(AN7,0),'1UT9BR'!$L$6:$L$2990,$B$22)+SUMIFS('1MK4UR'!$K$6:$K$2990,'1MK4UR'!$J$6:$J$2990,"&gt;="&amp;AN7,'1MK4UR'!$J$6:$J$2990,"&lt;="&amp;EOMONTH(AN7,0),'1MK4UR'!$L$6:$L$2990,$B$22)+SUMIFS(#REF!,#REF!,"&gt;="&amp;AN7,#REF!,"&lt;="&amp;EOMONTH(AN7,0),#REF!,$B$22)+SUMIFS('1JI2UE'!$K$6:$K$2989,'1JI2UE'!$J$6:$J$2989,"&gt;="&amp;AN7,'1JI2UE'!$J$6:$J$2989,"&lt;="&amp;EOMONTH(AN7,0),'1JI2UE'!$L$6:$L$2989,$B$22)+SUMIFS(#REF!,#REF!,"&gt;="&amp;AN7,#REF!,"&lt;="&amp;EOMONTH(AN7,0),#REF!,$B$22)+SUMIFS('1SI9BW'!$K$6:$K$2989,'1SI9BW'!$J$6:$J$2989,"&gt;="&amp;AN7,'1SI9BW'!$J$6:$J$2989,"&lt;="&amp;EOMONTH(AN7,0),'1SI9BW'!$L$6:$L$2989,$B$22)+SUMIFS(Suzuki!$K$6:$K$2989,Suzuki!$J$6:$J$2989,"&gt;="&amp;AN7,Suzuki!$J$6:$J$2989,"&lt;="&amp;EOMONTH(AN7,0),Suzuki!$L$6:$L$2989,$B$22)+SUMIFS('1SK3DD'!$K$6:$K$2989,'1SK3DD'!$J$6:$J$2989,"&gt;="&amp;AN7,'1SK3DD'!$J$6:$J$2989,"&lt;="&amp;EOMONTH(AN7,0),'1SK3DD'!$L$6:$L$2989,$B$22)+SUMIFS('1SX5TQ'!$K$6:$K$2989,'1SX5TQ'!$J$6:$J$2989,"&gt;="&amp;AN7,'1SX5TQ'!$J$6:$J$2989,"&lt;="&amp;EOMONTH(AN7,0),'1SX5TQ'!$L$6:$L$2989,$B$22)+SUMIFS('BMM465'!$K$6:$K$2989,'BMM465'!$J$6:$J$2989,"&gt;="&amp;AN7,'BMM465'!$J$6:$J$2989,"&lt;="&amp;EOMONTH(AN7,0),'BMM465'!$L$6:$L$2989,$B$22)+SUMIFS('1CF1ZO'!$K$6:$K$2989,'1CF1ZO'!$J$6:$J$2989,"&gt;="&amp;AN7,'1CF1ZO'!$J$6:$J$2989,"&lt;="&amp;EOMONTH(AN7,0),'1CF1ZO'!$L$6:$L$2989,$B$22)+SUMIFS('1UK1BK'!$K$6:$K$2989,'1UK1BK'!$J$6:$J$2989,"&gt;="&amp;AN7,'1UK1BK'!$J$6:$J$2989,"&lt;="&amp;EOMONTH(AN7,0),'1UK1BK'!$L$6:$L$2989,$B$22)</f>
        <v>#REF!</v>
      </c>
      <c r="AO22" s="110" t="e">
        <f>SUMIFS('CEI565'!$K$6:$K$2990,'CEI565'!$J$6:$J$2990,"&gt;="&amp;AO7,'CEI565'!$J$6:$J$2990,"&lt;="&amp;EOMONTH(AO7,0),'CEI565'!$L$6:$L$2990,$B$22)+SUMIFS('1SM3VL'!$K$6:$K$2990,'1SM3VL'!$J$6:$J$2990,"&gt;="&amp;AO7,'1SM3VL'!$J$6:$J$2990,"&lt;="&amp;EOMONTH(AO7,0),'1SM3VL'!$L$6:$L$2990,$B$22)+SUMIFS('1QF4SM'!$K$6:$K$2989,'1QF4SM'!$J$6:$J$2989,"&gt;="&amp;AO7,'1QF4SM'!$J$6:$J$2989,"&lt;="&amp;EOMONTH(AO7,0),'1QF4SM'!$L$6:$L$2989,$B$22)+SUMIFS('1UV5KI'!$K$6:$K$2989,'1UV5KI'!$J$6:$J$2989,"&gt;="&amp;AO7,'1UV5KI'!$J$6:$J$2989,"&lt;="&amp;EOMONTH(AO7,0),'1UV5KI'!$L$6:$L$2989,$B$22)+SUMIFS(#REF!,#REF!,"&gt;="&amp;AO7,#REF!,"&lt;="&amp;EOMONTH(AO7,0),#REF!,$B$22)+SUMIFS('1UL9RY'!$K$6:$K$2990,'1UL9RY'!$J$6:$J$2990,"&gt;="&amp;AO7,'1UL9RY'!$J$6:$J$2990,"&lt;="&amp;EOMONTH(AO7,0),'1UL9RY'!$L$6:$L$2990,$B$22)+SUMIFS('1OZ7GT'!$K$6:$K$2989,'1OZ7GT'!$J$6:$J$2989,"&gt;="&amp;AO7,'1OZ7GT'!$J$6:$J$2989,"&lt;="&amp;EOMONTH(AO7,0),'1OZ7GT'!$L$6:$L$2989,$B$22)+SUMIFS('1CN8DD'!$K$6:$K$2989,'1CN8DD'!$J$6:$J$2989,"&gt;="&amp;AO7,'1CN8DD'!$J$6:$J$2989,"&lt;="&amp;EOMONTH(AO7,0),'1CN8DD'!$L$6:$L$2989,$B$22)+SUMIFS('1UT9BR'!$K$6:$K$2990,'1UT9BR'!$J$6:$J$2990,"&gt;="&amp;AO7,'1UT9BR'!$J$6:$J$2990,"&lt;="&amp;EOMONTH(AO7,0),'1UT9BR'!$L$6:$L$2990,$B$22)+SUMIFS('1MK4UR'!$K$6:$K$2990,'1MK4UR'!$J$6:$J$2990,"&gt;="&amp;AO7,'1MK4UR'!$J$6:$J$2990,"&lt;="&amp;EOMONTH(AO7,0),'1MK4UR'!$L$6:$L$2990,$B$22)+SUMIFS(#REF!,#REF!,"&gt;="&amp;AO7,#REF!,"&lt;="&amp;EOMONTH(AO7,0),#REF!,$B$22)+SUMIFS('1JI2UE'!$K$6:$K$2989,'1JI2UE'!$J$6:$J$2989,"&gt;="&amp;AO7,'1JI2UE'!$J$6:$J$2989,"&lt;="&amp;EOMONTH(AO7,0),'1JI2UE'!$L$6:$L$2989,$B$22)+SUMIFS(#REF!,#REF!,"&gt;="&amp;AO7,#REF!,"&lt;="&amp;EOMONTH(AO7,0),#REF!,$B$22)+SUMIFS('1SI9BW'!$K$6:$K$2989,'1SI9BW'!$J$6:$J$2989,"&gt;="&amp;AO7,'1SI9BW'!$J$6:$J$2989,"&lt;="&amp;EOMONTH(AO7,0),'1SI9BW'!$L$6:$L$2989,$B$22)+SUMIFS(Suzuki!$K$6:$K$2989,Suzuki!$J$6:$J$2989,"&gt;="&amp;AO7,Suzuki!$J$6:$J$2989,"&lt;="&amp;EOMONTH(AO7,0),Suzuki!$L$6:$L$2989,$B$22)+SUMIFS('1SK3DD'!$K$6:$K$2989,'1SK3DD'!$J$6:$J$2989,"&gt;="&amp;AO7,'1SK3DD'!$J$6:$J$2989,"&lt;="&amp;EOMONTH(AO7,0),'1SK3DD'!$L$6:$L$2989,$B$22)+SUMIFS('1SX5TQ'!$K$6:$K$2989,'1SX5TQ'!$J$6:$J$2989,"&gt;="&amp;AO7,'1SX5TQ'!$J$6:$J$2989,"&lt;="&amp;EOMONTH(AO7,0),'1SX5TQ'!$L$6:$L$2989,$B$22)+SUMIFS('BMM465'!$K$6:$K$2989,'BMM465'!$J$6:$J$2989,"&gt;="&amp;AO7,'BMM465'!$J$6:$J$2989,"&lt;="&amp;EOMONTH(AO7,0),'BMM465'!$L$6:$L$2989,$B$22)+SUMIFS('1CF1ZO'!$K$6:$K$2989,'1CF1ZO'!$J$6:$J$2989,"&gt;="&amp;AO7,'1CF1ZO'!$J$6:$J$2989,"&lt;="&amp;EOMONTH(AO7,0),'1CF1ZO'!$L$6:$L$2989,$B$22)+SUMIFS('1UK1BK'!$K$6:$K$2989,'1UK1BK'!$J$6:$J$2989,"&gt;="&amp;AO7,'1UK1BK'!$J$6:$J$2989,"&lt;="&amp;EOMONTH(AO7,0),'1UK1BK'!$L$6:$L$2989,$B$22)</f>
        <v>#REF!</v>
      </c>
      <c r="AP22" s="110" t="e">
        <f>SUMIFS('CEI565'!$K$6:$K$2990,'CEI565'!$J$6:$J$2990,"&gt;="&amp;AP7,'CEI565'!$J$6:$J$2990,"&lt;="&amp;EOMONTH(AP7,0),'CEI565'!$L$6:$L$2990,$B$22)+SUMIFS('1SM3VL'!$K$6:$K$2990,'1SM3VL'!$J$6:$J$2990,"&gt;="&amp;AP7,'1SM3VL'!$J$6:$J$2990,"&lt;="&amp;EOMONTH(AP7,0),'1SM3VL'!$L$6:$L$2990,$B$22)+SUMIFS('1QF4SM'!$K$6:$K$2989,'1QF4SM'!$J$6:$J$2989,"&gt;="&amp;AP7,'1QF4SM'!$J$6:$J$2989,"&lt;="&amp;EOMONTH(AP7,0),'1QF4SM'!$L$6:$L$2989,$B$22)+SUMIFS('1UV5KI'!$K$6:$K$2989,'1UV5KI'!$J$6:$J$2989,"&gt;="&amp;AP7,'1UV5KI'!$J$6:$J$2989,"&lt;="&amp;EOMONTH(AP7,0),'1UV5KI'!$L$6:$L$2989,$B$22)+SUMIFS(#REF!,#REF!,"&gt;="&amp;AP7,#REF!,"&lt;="&amp;EOMONTH(AP7,0),#REF!,$B$22)+SUMIFS('1UL9RY'!$K$6:$K$2990,'1UL9RY'!$J$6:$J$2990,"&gt;="&amp;AP7,'1UL9RY'!$J$6:$J$2990,"&lt;="&amp;EOMONTH(AP7,0),'1UL9RY'!$L$6:$L$2990,$B$22)+SUMIFS('1OZ7GT'!$K$6:$K$2989,'1OZ7GT'!$J$6:$J$2989,"&gt;="&amp;AP7,'1OZ7GT'!$J$6:$J$2989,"&lt;="&amp;EOMONTH(AP7,0),'1OZ7GT'!$L$6:$L$2989,$B$22)+SUMIFS('1CN8DD'!$K$6:$K$2989,'1CN8DD'!$J$6:$J$2989,"&gt;="&amp;AP7,'1CN8DD'!$J$6:$J$2989,"&lt;="&amp;EOMONTH(AP7,0),'1CN8DD'!$L$6:$L$2989,$B$22)+SUMIFS('1UT9BR'!$K$6:$K$2990,'1UT9BR'!$J$6:$J$2990,"&gt;="&amp;AP7,'1UT9BR'!$J$6:$J$2990,"&lt;="&amp;EOMONTH(AP7,0),'1UT9BR'!$L$6:$L$2990,$B$22)+SUMIFS('1MK4UR'!$K$6:$K$2990,'1MK4UR'!$J$6:$J$2990,"&gt;="&amp;AP7,'1MK4UR'!$J$6:$J$2990,"&lt;="&amp;EOMONTH(AP7,0),'1MK4UR'!$L$6:$L$2990,$B$22)+SUMIFS(#REF!,#REF!,"&gt;="&amp;AP7,#REF!,"&lt;="&amp;EOMONTH(AP7,0),#REF!,$B$22)+SUMIFS('1JI2UE'!$K$6:$K$2989,'1JI2UE'!$J$6:$J$2989,"&gt;="&amp;AP7,'1JI2UE'!$J$6:$J$2989,"&lt;="&amp;EOMONTH(AP7,0),'1JI2UE'!$L$6:$L$2989,$B$22)+SUMIFS(#REF!,#REF!,"&gt;="&amp;AP7,#REF!,"&lt;="&amp;EOMONTH(AP7,0),#REF!,$B$22)+SUMIFS('1SI9BW'!$K$6:$K$2989,'1SI9BW'!$J$6:$J$2989,"&gt;="&amp;AP7,'1SI9BW'!$J$6:$J$2989,"&lt;="&amp;EOMONTH(AP7,0),'1SI9BW'!$L$6:$L$2989,$B$22)+SUMIFS(Suzuki!$K$6:$K$2989,Suzuki!$J$6:$J$2989,"&gt;="&amp;AP7,Suzuki!$J$6:$J$2989,"&lt;="&amp;EOMONTH(AP7,0),Suzuki!$L$6:$L$2989,$B$22)+SUMIFS('1SK3DD'!$K$6:$K$2989,'1SK3DD'!$J$6:$J$2989,"&gt;="&amp;AP7,'1SK3DD'!$J$6:$J$2989,"&lt;="&amp;EOMONTH(AP7,0),'1SK3DD'!$L$6:$L$2989,$B$22)+SUMIFS('1SX5TQ'!$K$6:$K$2989,'1SX5TQ'!$J$6:$J$2989,"&gt;="&amp;AP7,'1SX5TQ'!$J$6:$J$2989,"&lt;="&amp;EOMONTH(AP7,0),'1SX5TQ'!$L$6:$L$2989,$B$22)+SUMIFS('BMM465'!$K$6:$K$2989,'BMM465'!$J$6:$J$2989,"&gt;="&amp;AP7,'BMM465'!$J$6:$J$2989,"&lt;="&amp;EOMONTH(AP7,0),'BMM465'!$L$6:$L$2989,$B$22)+SUMIFS('1CF1ZO'!$K$6:$K$2989,'1CF1ZO'!$J$6:$J$2989,"&gt;="&amp;AP7,'1CF1ZO'!$J$6:$J$2989,"&lt;="&amp;EOMONTH(AP7,0),'1CF1ZO'!$L$6:$L$2989,$B$22)+SUMIFS('1UK1BK'!$K$6:$K$2989,'1UK1BK'!$J$6:$J$2989,"&gt;="&amp;AP7,'1UK1BK'!$J$6:$J$2989,"&lt;="&amp;EOMONTH(AP7,0),'1UK1BK'!$L$6:$L$2989,$B$22)</f>
        <v>#REF!</v>
      </c>
      <c r="AQ22" s="110" t="e">
        <f>SUMIFS('CEI565'!$K$6:$K$2990,'CEI565'!$J$6:$J$2990,"&gt;="&amp;AQ7,'CEI565'!$J$6:$J$2990,"&lt;="&amp;EOMONTH(AQ7,0),'CEI565'!$L$6:$L$2990,$B$22)+SUMIFS('1SM3VL'!$K$6:$K$2990,'1SM3VL'!$J$6:$J$2990,"&gt;="&amp;AQ7,'1SM3VL'!$J$6:$J$2990,"&lt;="&amp;EOMONTH(AQ7,0),'1SM3VL'!$L$6:$L$2990,$B$22)+SUMIFS('1QF4SM'!$K$6:$K$2989,'1QF4SM'!$J$6:$J$2989,"&gt;="&amp;AQ7,'1QF4SM'!$J$6:$J$2989,"&lt;="&amp;EOMONTH(AQ7,0),'1QF4SM'!$L$6:$L$2989,$B$22)+SUMIFS('1UV5KI'!$K$6:$K$2989,'1UV5KI'!$J$6:$J$2989,"&gt;="&amp;AQ7,'1UV5KI'!$J$6:$J$2989,"&lt;="&amp;EOMONTH(AQ7,0),'1UV5KI'!$L$6:$L$2989,$B$22)+SUMIFS(#REF!,#REF!,"&gt;="&amp;AQ7,#REF!,"&lt;="&amp;EOMONTH(AQ7,0),#REF!,$B$22)+SUMIFS('1UL9RY'!$K$6:$K$2990,'1UL9RY'!$J$6:$J$2990,"&gt;="&amp;AQ7,'1UL9RY'!$J$6:$J$2990,"&lt;="&amp;EOMONTH(AQ7,0),'1UL9RY'!$L$6:$L$2990,$B$22)+SUMIFS('1OZ7GT'!$K$6:$K$2989,'1OZ7GT'!$J$6:$J$2989,"&gt;="&amp;AQ7,'1OZ7GT'!$J$6:$J$2989,"&lt;="&amp;EOMONTH(AQ7,0),'1OZ7GT'!$L$6:$L$2989,$B$22)+SUMIFS('1CN8DD'!$K$6:$K$2989,'1CN8DD'!$J$6:$J$2989,"&gt;="&amp;AQ7,'1CN8DD'!$J$6:$J$2989,"&lt;="&amp;EOMONTH(AQ7,0),'1CN8DD'!$L$6:$L$2989,$B$22)+SUMIFS('1UT9BR'!$K$6:$K$2990,'1UT9BR'!$J$6:$J$2990,"&gt;="&amp;AQ7,'1UT9BR'!$J$6:$J$2990,"&lt;="&amp;EOMONTH(AQ7,0),'1UT9BR'!$L$6:$L$2990,$B$22)+SUMIFS('1MK4UR'!$K$6:$K$2990,'1MK4UR'!$J$6:$J$2990,"&gt;="&amp;AQ7,'1MK4UR'!$J$6:$J$2990,"&lt;="&amp;EOMONTH(AQ7,0),'1MK4UR'!$L$6:$L$2990,$B$22)+SUMIFS(#REF!,#REF!,"&gt;="&amp;AQ7,#REF!,"&lt;="&amp;EOMONTH(AQ7,0),#REF!,$B$22)+SUMIFS('1JI2UE'!$K$6:$K$2989,'1JI2UE'!$J$6:$J$2989,"&gt;="&amp;AQ7,'1JI2UE'!$J$6:$J$2989,"&lt;="&amp;EOMONTH(AQ7,0),'1JI2UE'!$L$6:$L$2989,$B$22)+SUMIFS(#REF!,#REF!,"&gt;="&amp;AQ7,#REF!,"&lt;="&amp;EOMONTH(AQ7,0),#REF!,$B$22)+SUMIFS('1SI9BW'!$K$6:$K$2989,'1SI9BW'!$J$6:$J$2989,"&gt;="&amp;AQ7,'1SI9BW'!$J$6:$J$2989,"&lt;="&amp;EOMONTH(AQ7,0),'1SI9BW'!$L$6:$L$2989,$B$22)+SUMIFS(Suzuki!$K$6:$K$2989,Suzuki!$J$6:$J$2989,"&gt;="&amp;AQ7,Suzuki!$J$6:$J$2989,"&lt;="&amp;EOMONTH(AQ7,0),Suzuki!$L$6:$L$2989,$B$22)+SUMIFS('1SK3DD'!$K$6:$K$2989,'1SK3DD'!$J$6:$J$2989,"&gt;="&amp;AQ7,'1SK3DD'!$J$6:$J$2989,"&lt;="&amp;EOMONTH(AQ7,0),'1SK3DD'!$L$6:$L$2989,$B$22)+SUMIFS('1SX5TQ'!$K$6:$K$2989,'1SX5TQ'!$J$6:$J$2989,"&gt;="&amp;AQ7,'1SX5TQ'!$J$6:$J$2989,"&lt;="&amp;EOMONTH(AQ7,0),'1SX5TQ'!$L$6:$L$2989,$B$22)+SUMIFS('BMM465'!$K$6:$K$2989,'BMM465'!$J$6:$J$2989,"&gt;="&amp;AQ7,'BMM465'!$J$6:$J$2989,"&lt;="&amp;EOMONTH(AQ7,0),'BMM465'!$L$6:$L$2989,$B$22)+SUMIFS('1CF1ZO'!$K$6:$K$2989,'1CF1ZO'!$J$6:$J$2989,"&gt;="&amp;AQ7,'1CF1ZO'!$J$6:$J$2989,"&lt;="&amp;EOMONTH(AQ7,0),'1CF1ZO'!$L$6:$L$2989,$B$22)+SUMIFS('1UK1BK'!$K$6:$K$2989,'1UK1BK'!$J$6:$J$2989,"&gt;="&amp;AQ7,'1UK1BK'!$J$6:$J$2989,"&lt;="&amp;EOMONTH(AQ7,0),'1UK1BK'!$L$6:$L$2989,$B$22)</f>
        <v>#REF!</v>
      </c>
      <c r="AR22" s="110" t="e">
        <f>SUMIFS('CEI565'!$K$6:$K$2990,'CEI565'!$J$6:$J$2990,"&gt;="&amp;AR7,'CEI565'!$J$6:$J$2990,"&lt;="&amp;EOMONTH(AR7,0),'CEI565'!$L$6:$L$2990,$B$22)+SUMIFS('1SM3VL'!$K$6:$K$2990,'1SM3VL'!$J$6:$J$2990,"&gt;="&amp;AR7,'1SM3VL'!$J$6:$J$2990,"&lt;="&amp;EOMONTH(AR7,0),'1SM3VL'!$L$6:$L$2990,$B$22)+SUMIFS('1QF4SM'!$K$6:$K$2989,'1QF4SM'!$J$6:$J$2989,"&gt;="&amp;AR7,'1QF4SM'!$J$6:$J$2989,"&lt;="&amp;EOMONTH(AR7,0),'1QF4SM'!$L$6:$L$2989,$B$22)+SUMIFS('1UV5KI'!$K$6:$K$2989,'1UV5KI'!$J$6:$J$2989,"&gt;="&amp;AR7,'1UV5KI'!$J$6:$J$2989,"&lt;="&amp;EOMONTH(AR7,0),'1UV5KI'!$L$6:$L$2989,$B$22)+SUMIFS(#REF!,#REF!,"&gt;="&amp;AR7,#REF!,"&lt;="&amp;EOMONTH(AR7,0),#REF!,$B$22)+SUMIFS('1UL9RY'!$K$6:$K$2990,'1UL9RY'!$J$6:$J$2990,"&gt;="&amp;AR7,'1UL9RY'!$J$6:$J$2990,"&lt;="&amp;EOMONTH(AR7,0),'1UL9RY'!$L$6:$L$2990,$B$22)+SUMIFS('1OZ7GT'!$K$6:$K$2989,'1OZ7GT'!$J$6:$J$2989,"&gt;="&amp;AR7,'1OZ7GT'!$J$6:$J$2989,"&lt;="&amp;EOMONTH(AR7,0),'1OZ7GT'!$L$6:$L$2989,$B$22)+SUMIFS('1CN8DD'!$K$6:$K$2989,'1CN8DD'!$J$6:$J$2989,"&gt;="&amp;AR7,'1CN8DD'!$J$6:$J$2989,"&lt;="&amp;EOMONTH(AR7,0),'1CN8DD'!$L$6:$L$2989,$B$22)+SUMIFS('1UT9BR'!$K$6:$K$2990,'1UT9BR'!$J$6:$J$2990,"&gt;="&amp;AR7,'1UT9BR'!$J$6:$J$2990,"&lt;="&amp;EOMONTH(AR7,0),'1UT9BR'!$L$6:$L$2990,$B$22)+SUMIFS('1MK4UR'!$K$6:$K$2990,'1MK4UR'!$J$6:$J$2990,"&gt;="&amp;AR7,'1MK4UR'!$J$6:$J$2990,"&lt;="&amp;EOMONTH(AR7,0),'1MK4UR'!$L$6:$L$2990,$B$22)+SUMIFS(#REF!,#REF!,"&gt;="&amp;AR7,#REF!,"&lt;="&amp;EOMONTH(AR7,0),#REF!,$B$22)+SUMIFS('1JI2UE'!$K$6:$K$2989,'1JI2UE'!$J$6:$J$2989,"&gt;="&amp;AR7,'1JI2UE'!$J$6:$J$2989,"&lt;="&amp;EOMONTH(AR7,0),'1JI2UE'!$L$6:$L$2989,$B$22)+SUMIFS(#REF!,#REF!,"&gt;="&amp;AR7,#REF!,"&lt;="&amp;EOMONTH(AR7,0),#REF!,$B$22)+SUMIFS('1SI9BW'!$K$6:$K$2989,'1SI9BW'!$J$6:$J$2989,"&gt;="&amp;AR7,'1SI9BW'!$J$6:$J$2989,"&lt;="&amp;EOMONTH(AR7,0),'1SI9BW'!$L$6:$L$2989,$B$22)+SUMIFS(Suzuki!$K$6:$K$2989,Suzuki!$J$6:$J$2989,"&gt;="&amp;AR7,Suzuki!$J$6:$J$2989,"&lt;="&amp;EOMONTH(AR7,0),Suzuki!$L$6:$L$2989,$B$22)+SUMIFS('1SK3DD'!$K$6:$K$2989,'1SK3DD'!$J$6:$J$2989,"&gt;="&amp;AR7,'1SK3DD'!$J$6:$J$2989,"&lt;="&amp;EOMONTH(AR7,0),'1SK3DD'!$L$6:$L$2989,$B$22)+SUMIFS('1SX5TQ'!$K$6:$K$2989,'1SX5TQ'!$J$6:$J$2989,"&gt;="&amp;AR7,'1SX5TQ'!$J$6:$J$2989,"&lt;="&amp;EOMONTH(AR7,0),'1SX5TQ'!$L$6:$L$2989,$B$22)+SUMIFS('BMM465'!$K$6:$K$2989,'BMM465'!$J$6:$J$2989,"&gt;="&amp;AR7,'BMM465'!$J$6:$J$2989,"&lt;="&amp;EOMONTH(AR7,0),'BMM465'!$L$6:$L$2989,$B$22)+SUMIFS('1CF1ZO'!$K$6:$K$2989,'1CF1ZO'!$J$6:$J$2989,"&gt;="&amp;AR7,'1CF1ZO'!$J$6:$J$2989,"&lt;="&amp;EOMONTH(AR7,0),'1CF1ZO'!$L$6:$L$2989,$B$22)+SUMIFS('1UK1BK'!$K$6:$K$2989,'1UK1BK'!$J$6:$J$2989,"&gt;="&amp;AR7,'1UK1BK'!$J$6:$J$2989,"&lt;="&amp;EOMONTH(AR7,0),'1UK1BK'!$L$6:$L$2989,$B$22)</f>
        <v>#REF!</v>
      </c>
      <c r="AS22" s="110" t="e">
        <f>SUMIFS('CEI565'!$K$6:$K$2990,'CEI565'!$J$6:$J$2990,"&gt;="&amp;AS7,'CEI565'!$J$6:$J$2990,"&lt;="&amp;EOMONTH(AS7,0),'CEI565'!$L$6:$L$2990,$B$22)+SUMIFS('1SM3VL'!$K$6:$K$2990,'1SM3VL'!$J$6:$J$2990,"&gt;="&amp;AS7,'1SM3VL'!$J$6:$J$2990,"&lt;="&amp;EOMONTH(AS7,0),'1SM3VL'!$L$6:$L$2990,$B$22)+SUMIFS('1QF4SM'!$K$6:$K$2989,'1QF4SM'!$J$6:$J$2989,"&gt;="&amp;AS7,'1QF4SM'!$J$6:$J$2989,"&lt;="&amp;EOMONTH(AS7,0),'1QF4SM'!$L$6:$L$2989,$B$22)+SUMIFS('1UV5KI'!$K$6:$K$2989,'1UV5KI'!$J$6:$J$2989,"&gt;="&amp;AS7,'1UV5KI'!$J$6:$J$2989,"&lt;="&amp;EOMONTH(AS7,0),'1UV5KI'!$L$6:$L$2989,$B$22)+SUMIFS(#REF!,#REF!,"&gt;="&amp;AS7,#REF!,"&lt;="&amp;EOMONTH(AS7,0),#REF!,$B$22)+SUMIFS('1UL9RY'!$K$6:$K$2990,'1UL9RY'!$J$6:$J$2990,"&gt;="&amp;AS7,'1UL9RY'!$J$6:$J$2990,"&lt;="&amp;EOMONTH(AS7,0),'1UL9RY'!$L$6:$L$2990,$B$22)+SUMIFS('1OZ7GT'!$K$6:$K$2989,'1OZ7GT'!$J$6:$J$2989,"&gt;="&amp;AS7,'1OZ7GT'!$J$6:$J$2989,"&lt;="&amp;EOMONTH(AS7,0),'1OZ7GT'!$L$6:$L$2989,$B$22)+SUMIFS('1CN8DD'!$K$6:$K$2989,'1CN8DD'!$J$6:$J$2989,"&gt;="&amp;AS7,'1CN8DD'!$J$6:$J$2989,"&lt;="&amp;EOMONTH(AS7,0),'1CN8DD'!$L$6:$L$2989,$B$22)+SUMIFS('1UT9BR'!$K$6:$K$2990,'1UT9BR'!$J$6:$J$2990,"&gt;="&amp;AS7,'1UT9BR'!$J$6:$J$2990,"&lt;="&amp;EOMONTH(AS7,0),'1UT9BR'!$L$6:$L$2990,$B$22)+SUMIFS('1MK4UR'!$K$6:$K$2990,'1MK4UR'!$J$6:$J$2990,"&gt;="&amp;AS7,'1MK4UR'!$J$6:$J$2990,"&lt;="&amp;EOMONTH(AS7,0),'1MK4UR'!$L$6:$L$2990,$B$22)+SUMIFS(#REF!,#REF!,"&gt;="&amp;AS7,#REF!,"&lt;="&amp;EOMONTH(AS7,0),#REF!,$B$22)+SUMIFS('1JI2UE'!$K$6:$K$2989,'1JI2UE'!$J$6:$J$2989,"&gt;="&amp;AS7,'1JI2UE'!$J$6:$J$2989,"&lt;="&amp;EOMONTH(AS7,0),'1JI2UE'!$L$6:$L$2989,$B$22)+SUMIFS(#REF!,#REF!,"&gt;="&amp;AS7,#REF!,"&lt;="&amp;EOMONTH(AS7,0),#REF!,$B$22)+SUMIFS('1SI9BW'!$K$6:$K$2989,'1SI9BW'!$J$6:$J$2989,"&gt;="&amp;AS7,'1SI9BW'!$J$6:$J$2989,"&lt;="&amp;EOMONTH(AS7,0),'1SI9BW'!$L$6:$L$2989,$B$22)+SUMIFS(Suzuki!$K$6:$K$2989,Suzuki!$J$6:$J$2989,"&gt;="&amp;AS7,Suzuki!$J$6:$J$2989,"&lt;="&amp;EOMONTH(AS7,0),Suzuki!$L$6:$L$2989,$B$22)+SUMIFS('1SK3DD'!$K$6:$K$2989,'1SK3DD'!$J$6:$J$2989,"&gt;="&amp;AS7,'1SK3DD'!$J$6:$J$2989,"&lt;="&amp;EOMONTH(AS7,0),'1SK3DD'!$L$6:$L$2989,$B$22)+SUMIFS('1SX5TQ'!$K$6:$K$2989,'1SX5TQ'!$J$6:$J$2989,"&gt;="&amp;AS7,'1SX5TQ'!$J$6:$J$2989,"&lt;="&amp;EOMONTH(AS7,0),'1SX5TQ'!$L$6:$L$2989,$B$22)+SUMIFS('BMM465'!$K$6:$K$2989,'BMM465'!$J$6:$J$2989,"&gt;="&amp;AS7,'BMM465'!$J$6:$J$2989,"&lt;="&amp;EOMONTH(AS7,0),'BMM465'!$L$6:$L$2989,$B$22)+SUMIFS('1CF1ZO'!$K$6:$K$2989,'1CF1ZO'!$J$6:$J$2989,"&gt;="&amp;AS7,'1CF1ZO'!$J$6:$J$2989,"&lt;="&amp;EOMONTH(AS7,0),'1CF1ZO'!$L$6:$L$2989,$B$22)+SUMIFS('1UK1BK'!$K$6:$K$2989,'1UK1BK'!$J$6:$J$2989,"&gt;="&amp;AS7,'1UK1BK'!$J$6:$J$2989,"&lt;="&amp;EOMONTH(AS7,0),'1UK1BK'!$L$6:$L$2989,$B$22)</f>
        <v>#REF!</v>
      </c>
      <c r="AT22" s="110" t="e">
        <f>SUMIFS('CEI565'!$K$6:$K$2990,'CEI565'!$J$6:$J$2990,"&gt;="&amp;AT7,'CEI565'!$J$6:$J$2990,"&lt;="&amp;EOMONTH(AT7,0),'CEI565'!$L$6:$L$2990,$B$22)+SUMIFS('1SM3VL'!$K$6:$K$2990,'1SM3VL'!$J$6:$J$2990,"&gt;="&amp;AT7,'1SM3VL'!$J$6:$J$2990,"&lt;="&amp;EOMONTH(AT7,0),'1SM3VL'!$L$6:$L$2990,$B$22)+SUMIFS('1QF4SM'!$K$6:$K$2989,'1QF4SM'!$J$6:$J$2989,"&gt;="&amp;AT7,'1QF4SM'!$J$6:$J$2989,"&lt;="&amp;EOMONTH(AT7,0),'1QF4SM'!$L$6:$L$2989,$B$22)+SUMIFS('1UV5KI'!$K$6:$K$2989,'1UV5KI'!$J$6:$J$2989,"&gt;="&amp;AT7,'1UV5KI'!$J$6:$J$2989,"&lt;="&amp;EOMONTH(AT7,0),'1UV5KI'!$L$6:$L$2989,$B$22)+SUMIFS(#REF!,#REF!,"&gt;="&amp;AT7,#REF!,"&lt;="&amp;EOMONTH(AT7,0),#REF!,$B$22)+SUMIFS('1UL9RY'!$K$6:$K$2990,'1UL9RY'!$J$6:$J$2990,"&gt;="&amp;AT7,'1UL9RY'!$J$6:$J$2990,"&lt;="&amp;EOMONTH(AT7,0),'1UL9RY'!$L$6:$L$2990,$B$22)+SUMIFS('1OZ7GT'!$K$6:$K$2989,'1OZ7GT'!$J$6:$J$2989,"&gt;="&amp;AT7,'1OZ7GT'!$J$6:$J$2989,"&lt;="&amp;EOMONTH(AT7,0),'1OZ7GT'!$L$6:$L$2989,$B$22)+SUMIFS('1CN8DD'!$K$6:$K$2989,'1CN8DD'!$J$6:$J$2989,"&gt;="&amp;AT7,'1CN8DD'!$J$6:$J$2989,"&lt;="&amp;EOMONTH(AT7,0),'1CN8DD'!$L$6:$L$2989,$B$22)+SUMIFS('1UT9BR'!$K$6:$K$2990,'1UT9BR'!$J$6:$J$2990,"&gt;="&amp;AT7,'1UT9BR'!$J$6:$J$2990,"&lt;="&amp;EOMONTH(AT7,0),'1UT9BR'!$L$6:$L$2990,$B$22)+SUMIFS('1MK4UR'!$K$6:$K$2990,'1MK4UR'!$J$6:$J$2990,"&gt;="&amp;AT7,'1MK4UR'!$J$6:$J$2990,"&lt;="&amp;EOMONTH(AT7,0),'1MK4UR'!$L$6:$L$2990,$B$22)+SUMIFS(#REF!,#REF!,"&gt;="&amp;AT7,#REF!,"&lt;="&amp;EOMONTH(AT7,0),#REF!,$B$22)+SUMIFS('1JI2UE'!$K$6:$K$2989,'1JI2UE'!$J$6:$J$2989,"&gt;="&amp;AT7,'1JI2UE'!$J$6:$J$2989,"&lt;="&amp;EOMONTH(AT7,0),'1JI2UE'!$L$6:$L$2989,$B$22)+SUMIFS(#REF!,#REF!,"&gt;="&amp;AT7,#REF!,"&lt;="&amp;EOMONTH(AT7,0),#REF!,$B$22)+SUMIFS('1SI9BW'!$K$6:$K$2989,'1SI9BW'!$J$6:$J$2989,"&gt;="&amp;AT7,'1SI9BW'!$J$6:$J$2989,"&lt;="&amp;EOMONTH(AT7,0),'1SI9BW'!$L$6:$L$2989,$B$22)+SUMIFS(Suzuki!$K$6:$K$2989,Suzuki!$J$6:$J$2989,"&gt;="&amp;AT7,Suzuki!$J$6:$J$2989,"&lt;="&amp;EOMONTH(AT7,0),Suzuki!$L$6:$L$2989,$B$22)+SUMIFS('1SK3DD'!$K$6:$K$2989,'1SK3DD'!$J$6:$J$2989,"&gt;="&amp;AT7,'1SK3DD'!$J$6:$J$2989,"&lt;="&amp;EOMONTH(AT7,0),'1SK3DD'!$L$6:$L$2989,$B$22)+SUMIFS('1SX5TQ'!$K$6:$K$2989,'1SX5TQ'!$J$6:$J$2989,"&gt;="&amp;AT7,'1SX5TQ'!$J$6:$J$2989,"&lt;="&amp;EOMONTH(AT7,0),'1SX5TQ'!$L$6:$L$2989,$B$22)+SUMIFS('BMM465'!$K$6:$K$2989,'BMM465'!$J$6:$J$2989,"&gt;="&amp;AT7,'BMM465'!$J$6:$J$2989,"&lt;="&amp;EOMONTH(AT7,0),'BMM465'!$L$6:$L$2989,$B$22)+SUMIFS('1CF1ZO'!$K$6:$K$2989,'1CF1ZO'!$J$6:$J$2989,"&gt;="&amp;AT7,'1CF1ZO'!$J$6:$J$2989,"&lt;="&amp;EOMONTH(AT7,0),'1CF1ZO'!$L$6:$L$2989,$B$22)+SUMIFS('1UK1BK'!$K$6:$K$2989,'1UK1BK'!$J$6:$J$2989,"&gt;="&amp;AT7,'1UK1BK'!$J$6:$J$2989,"&lt;="&amp;EOMONTH(AT7,0),'1UK1BK'!$L$6:$L$2989,$B$22)</f>
        <v>#REF!</v>
      </c>
      <c r="AU22" s="110" t="e">
        <f>SUMIFS('CEI565'!$K$6:$K$2990,'CEI565'!$J$6:$J$2990,"&gt;="&amp;AU7,'CEI565'!$J$6:$J$2990,"&lt;="&amp;EOMONTH(AU7,0),'CEI565'!$L$6:$L$2990,$B$22)+SUMIFS('1SM3VL'!$K$6:$K$2990,'1SM3VL'!$J$6:$J$2990,"&gt;="&amp;AU7,'1SM3VL'!$J$6:$J$2990,"&lt;="&amp;EOMONTH(AU7,0),'1SM3VL'!$L$6:$L$2990,$B$22)+SUMIFS('1QF4SM'!$K$6:$K$2989,'1QF4SM'!$J$6:$J$2989,"&gt;="&amp;AU7,'1QF4SM'!$J$6:$J$2989,"&lt;="&amp;EOMONTH(AU7,0),'1QF4SM'!$L$6:$L$2989,$B$22)+SUMIFS('1UV5KI'!$K$6:$K$2989,'1UV5KI'!$J$6:$J$2989,"&gt;="&amp;AU7,'1UV5KI'!$J$6:$J$2989,"&lt;="&amp;EOMONTH(AU7,0),'1UV5KI'!$L$6:$L$2989,$B$22)+SUMIFS(#REF!,#REF!,"&gt;="&amp;AU7,#REF!,"&lt;="&amp;EOMONTH(AU7,0),#REF!,$B$22)+SUMIFS('1UL9RY'!$K$6:$K$2990,'1UL9RY'!$J$6:$J$2990,"&gt;="&amp;AU7,'1UL9RY'!$J$6:$J$2990,"&lt;="&amp;EOMONTH(AU7,0),'1UL9RY'!$L$6:$L$2990,$B$22)+SUMIFS('1OZ7GT'!$K$6:$K$2989,'1OZ7GT'!$J$6:$J$2989,"&gt;="&amp;AU7,'1OZ7GT'!$J$6:$J$2989,"&lt;="&amp;EOMONTH(AU7,0),'1OZ7GT'!$L$6:$L$2989,$B$22)+SUMIFS('1CN8DD'!$K$6:$K$2989,'1CN8DD'!$J$6:$J$2989,"&gt;="&amp;AU7,'1CN8DD'!$J$6:$J$2989,"&lt;="&amp;EOMONTH(AU7,0),'1CN8DD'!$L$6:$L$2989,$B$22)+SUMIFS('1UT9BR'!$K$6:$K$2990,'1UT9BR'!$J$6:$J$2990,"&gt;="&amp;AU7,'1UT9BR'!$J$6:$J$2990,"&lt;="&amp;EOMONTH(AU7,0),'1UT9BR'!$L$6:$L$2990,$B$22)+SUMIFS('1MK4UR'!$K$6:$K$2990,'1MK4UR'!$J$6:$J$2990,"&gt;="&amp;AU7,'1MK4UR'!$J$6:$J$2990,"&lt;="&amp;EOMONTH(AU7,0),'1MK4UR'!$L$6:$L$2990,$B$22)+SUMIFS(#REF!,#REF!,"&gt;="&amp;AU7,#REF!,"&lt;="&amp;EOMONTH(AU7,0),#REF!,$B$22)+SUMIFS('1JI2UE'!$K$6:$K$2989,'1JI2UE'!$J$6:$J$2989,"&gt;="&amp;AU7,'1JI2UE'!$J$6:$J$2989,"&lt;="&amp;EOMONTH(AU7,0),'1JI2UE'!$L$6:$L$2989,$B$22)+SUMIFS(#REF!,#REF!,"&gt;="&amp;AU7,#REF!,"&lt;="&amp;EOMONTH(AU7,0),#REF!,$B$22)+SUMIFS('1SI9BW'!$K$6:$K$2989,'1SI9BW'!$J$6:$J$2989,"&gt;="&amp;AU7,'1SI9BW'!$J$6:$J$2989,"&lt;="&amp;EOMONTH(AU7,0),'1SI9BW'!$L$6:$L$2989,$B$22)+SUMIFS(Suzuki!$K$6:$K$2989,Suzuki!$J$6:$J$2989,"&gt;="&amp;AU7,Suzuki!$J$6:$J$2989,"&lt;="&amp;EOMONTH(AU7,0),Suzuki!$L$6:$L$2989,$B$22)+SUMIFS('1SK3DD'!$K$6:$K$2989,'1SK3DD'!$J$6:$J$2989,"&gt;="&amp;AU7,'1SK3DD'!$J$6:$J$2989,"&lt;="&amp;EOMONTH(AU7,0),'1SK3DD'!$L$6:$L$2989,$B$22)+SUMIFS('1SX5TQ'!$K$6:$K$2989,'1SX5TQ'!$J$6:$J$2989,"&gt;="&amp;AU7,'1SX5TQ'!$J$6:$J$2989,"&lt;="&amp;EOMONTH(AU7,0),'1SX5TQ'!$L$6:$L$2989,$B$22)+SUMIFS('BMM465'!$K$6:$K$2989,'BMM465'!$J$6:$J$2989,"&gt;="&amp;AU7,'BMM465'!$J$6:$J$2989,"&lt;="&amp;EOMONTH(AU7,0),'BMM465'!$L$6:$L$2989,$B$22)+SUMIFS('1CF1ZO'!$K$6:$K$2989,'1CF1ZO'!$J$6:$J$2989,"&gt;="&amp;AU7,'1CF1ZO'!$J$6:$J$2989,"&lt;="&amp;EOMONTH(AU7,0),'1CF1ZO'!$L$6:$L$2989,$B$22)+SUMIFS('1UK1BK'!$K$6:$K$2989,'1UK1BK'!$J$6:$J$2989,"&gt;="&amp;AU7,'1UK1BK'!$J$6:$J$2989,"&lt;="&amp;EOMONTH(AU7,0),'1UK1BK'!$L$6:$L$2989,$B$22)</f>
        <v>#REF!</v>
      </c>
      <c r="AV22" s="110" t="e">
        <f>SUMIFS('CEI565'!$K$6:$K$2990,'CEI565'!$J$6:$J$2990,"&gt;="&amp;AV7,'CEI565'!$J$6:$J$2990,"&lt;="&amp;EOMONTH(AV7,0),'CEI565'!$L$6:$L$2990,$B$22)+SUMIFS('1SM3VL'!$K$6:$K$2990,'1SM3VL'!$J$6:$J$2990,"&gt;="&amp;AV7,'1SM3VL'!$J$6:$J$2990,"&lt;="&amp;EOMONTH(AV7,0),'1SM3VL'!$L$6:$L$2990,$B$22)+SUMIFS('1QF4SM'!$K$6:$K$2989,'1QF4SM'!$J$6:$J$2989,"&gt;="&amp;AV7,'1QF4SM'!$J$6:$J$2989,"&lt;="&amp;EOMONTH(AV7,0),'1QF4SM'!$L$6:$L$2989,$B$22)+SUMIFS('1UV5KI'!$K$6:$K$2989,'1UV5KI'!$J$6:$J$2989,"&gt;="&amp;AV7,'1UV5KI'!$J$6:$J$2989,"&lt;="&amp;EOMONTH(AV7,0),'1UV5KI'!$L$6:$L$2989,$B$22)+SUMIFS(#REF!,#REF!,"&gt;="&amp;AV7,#REF!,"&lt;="&amp;EOMONTH(AV7,0),#REF!,$B$22)+SUMIFS('1UL9RY'!$K$6:$K$2990,'1UL9RY'!$J$6:$J$2990,"&gt;="&amp;AV7,'1UL9RY'!$J$6:$J$2990,"&lt;="&amp;EOMONTH(AV7,0),'1UL9RY'!$L$6:$L$2990,$B$22)+SUMIFS('1OZ7GT'!$K$6:$K$2989,'1OZ7GT'!$J$6:$J$2989,"&gt;="&amp;AV7,'1OZ7GT'!$J$6:$J$2989,"&lt;="&amp;EOMONTH(AV7,0),'1OZ7GT'!$L$6:$L$2989,$B$22)+SUMIFS('1CN8DD'!$K$6:$K$2989,'1CN8DD'!$J$6:$J$2989,"&gt;="&amp;AV7,'1CN8DD'!$J$6:$J$2989,"&lt;="&amp;EOMONTH(AV7,0),'1CN8DD'!$L$6:$L$2989,$B$22)+SUMIFS('1UT9BR'!$K$6:$K$2990,'1UT9BR'!$J$6:$J$2990,"&gt;="&amp;AV7,'1UT9BR'!$J$6:$J$2990,"&lt;="&amp;EOMONTH(AV7,0),'1UT9BR'!$L$6:$L$2990,$B$22)+SUMIFS('1MK4UR'!$K$6:$K$2990,'1MK4UR'!$J$6:$J$2990,"&gt;="&amp;AV7,'1MK4UR'!$J$6:$J$2990,"&lt;="&amp;EOMONTH(AV7,0),'1MK4UR'!$L$6:$L$2990,$B$22)+SUMIFS(#REF!,#REF!,"&gt;="&amp;AV7,#REF!,"&lt;="&amp;EOMONTH(AV7,0),#REF!,$B$22)+SUMIFS('1JI2UE'!$K$6:$K$2989,'1JI2UE'!$J$6:$J$2989,"&gt;="&amp;AV7,'1JI2UE'!$J$6:$J$2989,"&lt;="&amp;EOMONTH(AV7,0),'1JI2UE'!$L$6:$L$2989,$B$22)+SUMIFS(#REF!,#REF!,"&gt;="&amp;AV7,#REF!,"&lt;="&amp;EOMONTH(AV7,0),#REF!,$B$22)+SUMIFS('1SI9BW'!$K$6:$K$2989,'1SI9BW'!$J$6:$J$2989,"&gt;="&amp;AV7,'1SI9BW'!$J$6:$J$2989,"&lt;="&amp;EOMONTH(AV7,0),'1SI9BW'!$L$6:$L$2989,$B$22)+SUMIFS(Suzuki!$K$6:$K$2989,Suzuki!$J$6:$J$2989,"&gt;="&amp;AV7,Suzuki!$J$6:$J$2989,"&lt;="&amp;EOMONTH(AV7,0),Suzuki!$L$6:$L$2989,$B$22)+SUMIFS('1SK3DD'!$K$6:$K$2989,'1SK3DD'!$J$6:$J$2989,"&gt;="&amp;AV7,'1SK3DD'!$J$6:$J$2989,"&lt;="&amp;EOMONTH(AV7,0),'1SK3DD'!$L$6:$L$2989,$B$22)+SUMIFS('1SX5TQ'!$K$6:$K$2989,'1SX5TQ'!$J$6:$J$2989,"&gt;="&amp;AV7,'1SX5TQ'!$J$6:$J$2989,"&lt;="&amp;EOMONTH(AV7,0),'1SX5TQ'!$L$6:$L$2989,$B$22)+SUMIFS('BMM465'!$K$6:$K$2989,'BMM465'!$J$6:$J$2989,"&gt;="&amp;AV7,'BMM465'!$J$6:$J$2989,"&lt;="&amp;EOMONTH(AV7,0),'BMM465'!$L$6:$L$2989,$B$22)+SUMIFS('1CF1ZO'!$K$6:$K$2989,'1CF1ZO'!$J$6:$J$2989,"&gt;="&amp;AV7,'1CF1ZO'!$J$6:$J$2989,"&lt;="&amp;EOMONTH(AV7,0),'1CF1ZO'!$L$6:$L$2989,$B$22)+SUMIFS('1UK1BK'!$K$6:$K$2989,'1UK1BK'!$J$6:$J$2989,"&gt;="&amp;AV7,'1UK1BK'!$J$6:$J$2989,"&lt;="&amp;EOMONTH(AV7,0),'1UK1BK'!$L$6:$L$2989,$B$22)</f>
        <v>#REF!</v>
      </c>
      <c r="AW22" s="110" t="e">
        <f>SUMIFS('CEI565'!$K$6:$K$2990,'CEI565'!$J$6:$J$2990,"&gt;="&amp;AW7,'CEI565'!$J$6:$J$2990,"&lt;="&amp;EOMONTH(AW7,0),'CEI565'!$L$6:$L$2990,$B$22)+SUMIFS('1SM3VL'!$K$6:$K$2990,'1SM3VL'!$J$6:$J$2990,"&gt;="&amp;AW7,'1SM3VL'!$J$6:$J$2990,"&lt;="&amp;EOMONTH(AW7,0),'1SM3VL'!$L$6:$L$2990,$B$22)+SUMIFS('1QF4SM'!$K$6:$K$2989,'1QF4SM'!$J$6:$J$2989,"&gt;="&amp;AW7,'1QF4SM'!$J$6:$J$2989,"&lt;="&amp;EOMONTH(AW7,0),'1QF4SM'!$L$6:$L$2989,$B$22)+SUMIFS('1UV5KI'!$K$6:$K$2989,'1UV5KI'!$J$6:$J$2989,"&gt;="&amp;AW7,'1UV5KI'!$J$6:$J$2989,"&lt;="&amp;EOMONTH(AW7,0),'1UV5KI'!$L$6:$L$2989,$B$22)+SUMIFS(#REF!,#REF!,"&gt;="&amp;AW7,#REF!,"&lt;="&amp;EOMONTH(AW7,0),#REF!,$B$22)+SUMIFS('1UL9RY'!$K$6:$K$2990,'1UL9RY'!$J$6:$J$2990,"&gt;="&amp;AW7,'1UL9RY'!$J$6:$J$2990,"&lt;="&amp;EOMONTH(AW7,0),'1UL9RY'!$L$6:$L$2990,$B$22)+SUMIFS('1OZ7GT'!$K$6:$K$2989,'1OZ7GT'!$J$6:$J$2989,"&gt;="&amp;AW7,'1OZ7GT'!$J$6:$J$2989,"&lt;="&amp;EOMONTH(AW7,0),'1OZ7GT'!$L$6:$L$2989,$B$22)+SUMIFS('1CN8DD'!$K$6:$K$2989,'1CN8DD'!$J$6:$J$2989,"&gt;="&amp;AW7,'1CN8DD'!$J$6:$J$2989,"&lt;="&amp;EOMONTH(AW7,0),'1CN8DD'!$L$6:$L$2989,$B$22)+SUMIFS('1UT9BR'!$K$6:$K$2990,'1UT9BR'!$J$6:$J$2990,"&gt;="&amp;AW7,'1UT9BR'!$J$6:$J$2990,"&lt;="&amp;EOMONTH(AW7,0),'1UT9BR'!$L$6:$L$2990,$B$22)+SUMIFS('1MK4UR'!$K$6:$K$2990,'1MK4UR'!$J$6:$J$2990,"&gt;="&amp;AW7,'1MK4UR'!$J$6:$J$2990,"&lt;="&amp;EOMONTH(AW7,0),'1MK4UR'!$L$6:$L$2990,$B$22)+SUMIFS(#REF!,#REF!,"&gt;="&amp;AW7,#REF!,"&lt;="&amp;EOMONTH(AW7,0),#REF!,$B$22)+SUMIFS('1JI2UE'!$K$6:$K$2989,'1JI2UE'!$J$6:$J$2989,"&gt;="&amp;AW7,'1JI2UE'!$J$6:$J$2989,"&lt;="&amp;EOMONTH(AW7,0),'1JI2UE'!$L$6:$L$2989,$B$22)+SUMIFS(#REF!,#REF!,"&gt;="&amp;AW7,#REF!,"&lt;="&amp;EOMONTH(AW7,0),#REF!,$B$22)+SUMIFS('1SI9BW'!$K$6:$K$2989,'1SI9BW'!$J$6:$J$2989,"&gt;="&amp;AW7,'1SI9BW'!$J$6:$J$2989,"&lt;="&amp;EOMONTH(AW7,0),'1SI9BW'!$L$6:$L$2989,$B$22)+SUMIFS(Suzuki!$K$6:$K$2989,Suzuki!$J$6:$J$2989,"&gt;="&amp;AW7,Suzuki!$J$6:$J$2989,"&lt;="&amp;EOMONTH(AW7,0),Suzuki!$L$6:$L$2989,$B$22)+SUMIFS('1SK3DD'!$K$6:$K$2989,'1SK3DD'!$J$6:$J$2989,"&gt;="&amp;AW7,'1SK3DD'!$J$6:$J$2989,"&lt;="&amp;EOMONTH(AW7,0),'1SK3DD'!$L$6:$L$2989,$B$22)+SUMIFS('1SX5TQ'!$K$6:$K$2989,'1SX5TQ'!$J$6:$J$2989,"&gt;="&amp;AW7,'1SX5TQ'!$J$6:$J$2989,"&lt;="&amp;EOMONTH(AW7,0),'1SX5TQ'!$L$6:$L$2989,$B$22)+SUMIFS('BMM465'!$K$6:$K$2989,'BMM465'!$J$6:$J$2989,"&gt;="&amp;AW7,'BMM465'!$J$6:$J$2989,"&lt;="&amp;EOMONTH(AW7,0),'BMM465'!$L$6:$L$2989,$B$22)+SUMIFS('1CF1ZO'!$K$6:$K$2989,'1CF1ZO'!$J$6:$J$2989,"&gt;="&amp;AW7,'1CF1ZO'!$J$6:$J$2989,"&lt;="&amp;EOMONTH(AW7,0),'1CF1ZO'!$L$6:$L$2989,$B$22)+SUMIFS('1UK1BK'!$K$6:$K$2989,'1UK1BK'!$J$6:$J$2989,"&gt;="&amp;AW7,'1UK1BK'!$J$6:$J$2989,"&lt;="&amp;EOMONTH(AW7,0),'1UK1BK'!$L$6:$L$2989,$B$22)</f>
        <v>#REF!</v>
      </c>
      <c r="AX22" s="110" t="e">
        <f>SUMIFS('CEI565'!$K$6:$K$2990,'CEI565'!$J$6:$J$2990,"&gt;="&amp;AX7,'CEI565'!$J$6:$J$2990,"&lt;="&amp;EOMONTH(AX7,0),'CEI565'!$L$6:$L$2990,$B$22)+SUMIFS('1SM3VL'!$K$6:$K$2990,'1SM3VL'!$J$6:$J$2990,"&gt;="&amp;AX7,'1SM3VL'!$J$6:$J$2990,"&lt;="&amp;EOMONTH(AX7,0),'1SM3VL'!$L$6:$L$2990,$B$22)+SUMIFS('1QF4SM'!$K$6:$K$2989,'1QF4SM'!$J$6:$J$2989,"&gt;="&amp;AX7,'1QF4SM'!$J$6:$J$2989,"&lt;="&amp;EOMONTH(AX7,0),'1QF4SM'!$L$6:$L$2989,$B$22)+SUMIFS('1UV5KI'!$K$6:$K$2989,'1UV5KI'!$J$6:$J$2989,"&gt;="&amp;AX7,'1UV5KI'!$J$6:$J$2989,"&lt;="&amp;EOMONTH(AX7,0),'1UV5KI'!$L$6:$L$2989,$B$22)+SUMIFS(#REF!,#REF!,"&gt;="&amp;AX7,#REF!,"&lt;="&amp;EOMONTH(AX7,0),#REF!,$B$22)+SUMIFS('1UL9RY'!$K$6:$K$2990,'1UL9RY'!$J$6:$J$2990,"&gt;="&amp;AX7,'1UL9RY'!$J$6:$J$2990,"&lt;="&amp;EOMONTH(AX7,0),'1UL9RY'!$L$6:$L$2990,$B$22)+SUMIFS('1OZ7GT'!$K$6:$K$2989,'1OZ7GT'!$J$6:$J$2989,"&gt;="&amp;AX7,'1OZ7GT'!$J$6:$J$2989,"&lt;="&amp;EOMONTH(AX7,0),'1OZ7GT'!$L$6:$L$2989,$B$22)+SUMIFS('1CN8DD'!$K$6:$K$2989,'1CN8DD'!$J$6:$J$2989,"&gt;="&amp;AX7,'1CN8DD'!$J$6:$J$2989,"&lt;="&amp;EOMONTH(AX7,0),'1CN8DD'!$L$6:$L$2989,$B$22)+SUMIFS('1UT9BR'!$K$6:$K$2990,'1UT9BR'!$J$6:$J$2990,"&gt;="&amp;AX7,'1UT9BR'!$J$6:$J$2990,"&lt;="&amp;EOMONTH(AX7,0),'1UT9BR'!$L$6:$L$2990,$B$22)+SUMIFS('1MK4UR'!$K$6:$K$2990,'1MK4UR'!$J$6:$J$2990,"&gt;="&amp;AX7,'1MK4UR'!$J$6:$J$2990,"&lt;="&amp;EOMONTH(AX7,0),'1MK4UR'!$L$6:$L$2990,$B$22)+SUMIFS(#REF!,#REF!,"&gt;="&amp;AX7,#REF!,"&lt;="&amp;EOMONTH(AX7,0),#REF!,$B$22)+SUMIFS('1JI2UE'!$K$6:$K$2989,'1JI2UE'!$J$6:$J$2989,"&gt;="&amp;AX7,'1JI2UE'!$J$6:$J$2989,"&lt;="&amp;EOMONTH(AX7,0),'1JI2UE'!$L$6:$L$2989,$B$22)+SUMIFS(#REF!,#REF!,"&gt;="&amp;AX7,#REF!,"&lt;="&amp;EOMONTH(AX7,0),#REF!,$B$22)+SUMIFS('1SI9BW'!$K$6:$K$2989,'1SI9BW'!$J$6:$J$2989,"&gt;="&amp;AX7,'1SI9BW'!$J$6:$J$2989,"&lt;="&amp;EOMONTH(AX7,0),'1SI9BW'!$L$6:$L$2989,$B$22)+SUMIFS(Suzuki!$K$6:$K$2989,Suzuki!$J$6:$J$2989,"&gt;="&amp;AX7,Suzuki!$J$6:$J$2989,"&lt;="&amp;EOMONTH(AX7,0),Suzuki!$L$6:$L$2989,$B$22)+SUMIFS('1SK3DD'!$K$6:$K$2989,'1SK3DD'!$J$6:$J$2989,"&gt;="&amp;AX7,'1SK3DD'!$J$6:$J$2989,"&lt;="&amp;EOMONTH(AX7,0),'1SK3DD'!$L$6:$L$2989,$B$22)+SUMIFS('1SX5TQ'!$K$6:$K$2989,'1SX5TQ'!$J$6:$J$2989,"&gt;="&amp;AX7,'1SX5TQ'!$J$6:$J$2989,"&lt;="&amp;EOMONTH(AX7,0),'1SX5TQ'!$L$6:$L$2989,$B$22)+SUMIFS('BMM465'!$K$6:$K$2989,'BMM465'!$J$6:$J$2989,"&gt;="&amp;AX7,'BMM465'!$J$6:$J$2989,"&lt;="&amp;EOMONTH(AX7,0),'BMM465'!$L$6:$L$2989,$B$22)+SUMIFS('1CF1ZO'!$K$6:$K$2989,'1CF1ZO'!$J$6:$J$2989,"&gt;="&amp;AX7,'1CF1ZO'!$J$6:$J$2989,"&lt;="&amp;EOMONTH(AX7,0),'1CF1ZO'!$L$6:$L$2989,$B$22)+SUMIFS('1UK1BK'!$K$6:$K$2989,'1UK1BK'!$J$6:$J$2989,"&gt;="&amp;AX7,'1UK1BK'!$J$6:$J$2989,"&lt;="&amp;EOMONTH(AX7,0),'1UK1BK'!$L$6:$L$2989,$B$22)</f>
        <v>#REF!</v>
      </c>
      <c r="AY22" s="110" t="e">
        <f>SUMIFS('CEI565'!$K$6:$K$2990,'CEI565'!$J$6:$J$2990,"&gt;="&amp;AY7,'CEI565'!$J$6:$J$2990,"&lt;="&amp;EOMONTH(AY7,0),'CEI565'!$L$6:$L$2990,$B$22)+SUMIFS('1SM3VL'!$K$6:$K$2990,'1SM3VL'!$J$6:$J$2990,"&gt;="&amp;AY7,'1SM3VL'!$J$6:$J$2990,"&lt;="&amp;EOMONTH(AY7,0),'1SM3VL'!$L$6:$L$2990,$B$22)+SUMIFS('1QF4SM'!$K$6:$K$2989,'1QF4SM'!$J$6:$J$2989,"&gt;="&amp;AY7,'1QF4SM'!$J$6:$J$2989,"&lt;="&amp;EOMONTH(AY7,0),'1QF4SM'!$L$6:$L$2989,$B$22)+SUMIFS('1UV5KI'!$K$6:$K$2989,'1UV5KI'!$J$6:$J$2989,"&gt;="&amp;AY7,'1UV5KI'!$J$6:$J$2989,"&lt;="&amp;EOMONTH(AY7,0),'1UV5KI'!$L$6:$L$2989,$B$22)+SUMIFS(#REF!,#REF!,"&gt;="&amp;AY7,#REF!,"&lt;="&amp;EOMONTH(AY7,0),#REF!,$B$22)+SUMIFS('1UL9RY'!$K$6:$K$2990,'1UL9RY'!$J$6:$J$2990,"&gt;="&amp;AY7,'1UL9RY'!$J$6:$J$2990,"&lt;="&amp;EOMONTH(AY7,0),'1UL9RY'!$L$6:$L$2990,$B$22)+SUMIFS('1OZ7GT'!$K$6:$K$2989,'1OZ7GT'!$J$6:$J$2989,"&gt;="&amp;AY7,'1OZ7GT'!$J$6:$J$2989,"&lt;="&amp;EOMONTH(AY7,0),'1OZ7GT'!$L$6:$L$2989,$B$22)+SUMIFS('1CN8DD'!$K$6:$K$2989,'1CN8DD'!$J$6:$J$2989,"&gt;="&amp;AY7,'1CN8DD'!$J$6:$J$2989,"&lt;="&amp;EOMONTH(AY7,0),'1CN8DD'!$L$6:$L$2989,$B$22)+SUMIFS('1UT9BR'!$K$6:$K$2990,'1UT9BR'!$J$6:$J$2990,"&gt;="&amp;AY7,'1UT9BR'!$J$6:$J$2990,"&lt;="&amp;EOMONTH(AY7,0),'1UT9BR'!$L$6:$L$2990,$B$22)+SUMIFS('1MK4UR'!$K$6:$K$2990,'1MK4UR'!$J$6:$J$2990,"&gt;="&amp;AY7,'1MK4UR'!$J$6:$J$2990,"&lt;="&amp;EOMONTH(AY7,0),'1MK4UR'!$L$6:$L$2990,$B$22)+SUMIFS(#REF!,#REF!,"&gt;="&amp;AY7,#REF!,"&lt;="&amp;EOMONTH(AY7,0),#REF!,$B$22)+SUMIFS('1JI2UE'!$K$6:$K$2989,'1JI2UE'!$J$6:$J$2989,"&gt;="&amp;AY7,'1JI2UE'!$J$6:$J$2989,"&lt;="&amp;EOMONTH(AY7,0),'1JI2UE'!$L$6:$L$2989,$B$22)+SUMIFS(#REF!,#REF!,"&gt;="&amp;AY7,#REF!,"&lt;="&amp;EOMONTH(AY7,0),#REF!,$B$22)+SUMIFS('1SI9BW'!$K$6:$K$2989,'1SI9BW'!$J$6:$J$2989,"&gt;="&amp;AY7,'1SI9BW'!$J$6:$J$2989,"&lt;="&amp;EOMONTH(AY7,0),'1SI9BW'!$L$6:$L$2989,$B$22)+SUMIFS(Suzuki!$K$6:$K$2989,Suzuki!$J$6:$J$2989,"&gt;="&amp;AY7,Suzuki!$J$6:$J$2989,"&lt;="&amp;EOMONTH(AY7,0),Suzuki!$L$6:$L$2989,$B$22)+SUMIFS('1SK3DD'!$K$6:$K$2989,'1SK3DD'!$J$6:$J$2989,"&gt;="&amp;AY7,'1SK3DD'!$J$6:$J$2989,"&lt;="&amp;EOMONTH(AY7,0),'1SK3DD'!$L$6:$L$2989,$B$22)+SUMIFS('1SX5TQ'!$K$6:$K$2989,'1SX5TQ'!$J$6:$J$2989,"&gt;="&amp;AY7,'1SX5TQ'!$J$6:$J$2989,"&lt;="&amp;EOMONTH(AY7,0),'1SX5TQ'!$L$6:$L$2989,$B$22)+SUMIFS('BMM465'!$K$6:$K$2989,'BMM465'!$J$6:$J$2989,"&gt;="&amp;AY7,'BMM465'!$J$6:$J$2989,"&lt;="&amp;EOMONTH(AY7,0),'BMM465'!$L$6:$L$2989,$B$22)+SUMIFS('1CF1ZO'!$K$6:$K$2989,'1CF1ZO'!$J$6:$J$2989,"&gt;="&amp;AY7,'1CF1ZO'!$J$6:$J$2989,"&lt;="&amp;EOMONTH(AY7,0),'1CF1ZO'!$L$6:$L$2989,$B$22)+SUMIFS('1UK1BK'!$K$6:$K$2989,'1UK1BK'!$J$6:$J$2989,"&gt;="&amp;AY7,'1UK1BK'!$J$6:$J$2989,"&lt;="&amp;EOMONTH(AY7,0),'1UK1BK'!$L$6:$L$2989,$B$22)</f>
        <v>#REF!</v>
      </c>
      <c r="AZ22" s="110" t="e">
        <f>SUMIFS('CEI565'!$K$6:$K$2990,'CEI565'!$J$6:$J$2990,"&gt;="&amp;AZ7,'CEI565'!$J$6:$J$2990,"&lt;="&amp;EOMONTH(AZ7,0),'CEI565'!$L$6:$L$2990,$B$22)+SUMIFS('1SM3VL'!$K$6:$K$2990,'1SM3VL'!$J$6:$J$2990,"&gt;="&amp;AZ7,'1SM3VL'!$J$6:$J$2990,"&lt;="&amp;EOMONTH(AZ7,0),'1SM3VL'!$L$6:$L$2990,$B$22)+SUMIFS('1QF4SM'!$K$6:$K$2989,'1QF4SM'!$J$6:$J$2989,"&gt;="&amp;AZ7,'1QF4SM'!$J$6:$J$2989,"&lt;="&amp;EOMONTH(AZ7,0),'1QF4SM'!$L$6:$L$2989,$B$22)+SUMIFS('1UV5KI'!$K$6:$K$2989,'1UV5KI'!$J$6:$J$2989,"&gt;="&amp;AZ7,'1UV5KI'!$J$6:$J$2989,"&lt;="&amp;EOMONTH(AZ7,0),'1UV5KI'!$L$6:$L$2989,$B$22)+SUMIFS(#REF!,#REF!,"&gt;="&amp;AZ7,#REF!,"&lt;="&amp;EOMONTH(AZ7,0),#REF!,$B$22)+SUMIFS('1UL9RY'!$K$6:$K$2990,'1UL9RY'!$J$6:$J$2990,"&gt;="&amp;AZ7,'1UL9RY'!$J$6:$J$2990,"&lt;="&amp;EOMONTH(AZ7,0),'1UL9RY'!$L$6:$L$2990,$B$22)+SUMIFS('1OZ7GT'!$K$6:$K$2989,'1OZ7GT'!$J$6:$J$2989,"&gt;="&amp;AZ7,'1OZ7GT'!$J$6:$J$2989,"&lt;="&amp;EOMONTH(AZ7,0),'1OZ7GT'!$L$6:$L$2989,$B$22)+SUMIFS('1CN8DD'!$K$6:$K$2989,'1CN8DD'!$J$6:$J$2989,"&gt;="&amp;AZ7,'1CN8DD'!$J$6:$J$2989,"&lt;="&amp;EOMONTH(AZ7,0),'1CN8DD'!$L$6:$L$2989,$B$22)+SUMIFS('1UT9BR'!$K$6:$K$2990,'1UT9BR'!$J$6:$J$2990,"&gt;="&amp;AZ7,'1UT9BR'!$J$6:$J$2990,"&lt;="&amp;EOMONTH(AZ7,0),'1UT9BR'!$L$6:$L$2990,$B$22)+SUMIFS('1MK4UR'!$K$6:$K$2990,'1MK4UR'!$J$6:$J$2990,"&gt;="&amp;AZ7,'1MK4UR'!$J$6:$J$2990,"&lt;="&amp;EOMONTH(AZ7,0),'1MK4UR'!$L$6:$L$2990,$B$22)+SUMIFS(#REF!,#REF!,"&gt;="&amp;AZ7,#REF!,"&lt;="&amp;EOMONTH(AZ7,0),#REF!,$B$22)+SUMIFS('1JI2UE'!$K$6:$K$2989,'1JI2UE'!$J$6:$J$2989,"&gt;="&amp;AZ7,'1JI2UE'!$J$6:$J$2989,"&lt;="&amp;EOMONTH(AZ7,0),'1JI2UE'!$L$6:$L$2989,$B$22)+SUMIFS(#REF!,#REF!,"&gt;="&amp;AZ7,#REF!,"&lt;="&amp;EOMONTH(AZ7,0),#REF!,$B$22)+SUMIFS('1SI9BW'!$K$6:$K$2989,'1SI9BW'!$J$6:$J$2989,"&gt;="&amp;AZ7,'1SI9BW'!$J$6:$J$2989,"&lt;="&amp;EOMONTH(AZ7,0),'1SI9BW'!$L$6:$L$2989,$B$22)+SUMIFS(Suzuki!$K$6:$K$2989,Suzuki!$J$6:$J$2989,"&gt;="&amp;AZ7,Suzuki!$J$6:$J$2989,"&lt;="&amp;EOMONTH(AZ7,0),Suzuki!$L$6:$L$2989,$B$22)+SUMIFS('1SK3DD'!$K$6:$K$2989,'1SK3DD'!$J$6:$J$2989,"&gt;="&amp;AZ7,'1SK3DD'!$J$6:$J$2989,"&lt;="&amp;EOMONTH(AZ7,0),'1SK3DD'!$L$6:$L$2989,$B$22)+SUMIFS('1SX5TQ'!$K$6:$K$2989,'1SX5TQ'!$J$6:$J$2989,"&gt;="&amp;AZ7,'1SX5TQ'!$J$6:$J$2989,"&lt;="&amp;EOMONTH(AZ7,0),'1SX5TQ'!$L$6:$L$2989,$B$22)+SUMIFS('BMM465'!$K$6:$K$2989,'BMM465'!$J$6:$J$2989,"&gt;="&amp;AZ7,'BMM465'!$J$6:$J$2989,"&lt;="&amp;EOMONTH(AZ7,0),'BMM465'!$L$6:$L$2989,$B$22)+SUMIFS('1CF1ZO'!$K$6:$K$2989,'1CF1ZO'!$J$6:$J$2989,"&gt;="&amp;AZ7,'1CF1ZO'!$J$6:$J$2989,"&lt;="&amp;EOMONTH(AZ7,0),'1CF1ZO'!$L$6:$L$2989,$B$22)+SUMIFS('1UK1BK'!$K$6:$K$2989,'1UK1BK'!$J$6:$J$2989,"&gt;="&amp;AZ7,'1UK1BK'!$J$6:$J$2989,"&lt;="&amp;EOMONTH(AZ7,0),'1UK1BK'!$L$6:$L$2989,$B$22)</f>
        <v>#REF!</v>
      </c>
      <c r="BA22" s="110" t="e">
        <f>SUMIFS('CEI565'!$K$6:$K$2990,'CEI565'!$J$6:$J$2990,"&gt;="&amp;BA7,'CEI565'!$J$6:$J$2990,"&lt;="&amp;EOMONTH(BA7,0),'CEI565'!$L$6:$L$2990,$B$22)+SUMIFS('1SM3VL'!$K$6:$K$2990,'1SM3VL'!$J$6:$J$2990,"&gt;="&amp;BA7,'1SM3VL'!$J$6:$J$2990,"&lt;="&amp;EOMONTH(BA7,0),'1SM3VL'!$L$6:$L$2990,$B$22)+SUMIFS('1QF4SM'!$K$6:$K$2989,'1QF4SM'!$J$6:$J$2989,"&gt;="&amp;BA7,'1QF4SM'!$J$6:$J$2989,"&lt;="&amp;EOMONTH(BA7,0),'1QF4SM'!$L$6:$L$2989,$B$22)+SUMIFS('1UV5KI'!$K$6:$K$2989,'1UV5KI'!$J$6:$J$2989,"&gt;="&amp;BA7,'1UV5KI'!$J$6:$J$2989,"&lt;="&amp;EOMONTH(BA7,0),'1UV5KI'!$L$6:$L$2989,$B$22)+SUMIFS(#REF!,#REF!,"&gt;="&amp;BA7,#REF!,"&lt;="&amp;EOMONTH(BA7,0),#REF!,$B$22)+SUMIFS('1UL9RY'!$K$6:$K$2990,'1UL9RY'!$J$6:$J$2990,"&gt;="&amp;BA7,'1UL9RY'!$J$6:$J$2990,"&lt;="&amp;EOMONTH(BA7,0),'1UL9RY'!$L$6:$L$2990,$B$22)+SUMIFS('1OZ7GT'!$K$6:$K$2989,'1OZ7GT'!$J$6:$J$2989,"&gt;="&amp;BA7,'1OZ7GT'!$J$6:$J$2989,"&lt;="&amp;EOMONTH(BA7,0),'1OZ7GT'!$L$6:$L$2989,$B$22)+SUMIFS('1CN8DD'!$K$6:$K$2989,'1CN8DD'!$J$6:$J$2989,"&gt;="&amp;BA7,'1CN8DD'!$J$6:$J$2989,"&lt;="&amp;EOMONTH(BA7,0),'1CN8DD'!$L$6:$L$2989,$B$22)+SUMIFS('1UT9BR'!$K$6:$K$2990,'1UT9BR'!$J$6:$J$2990,"&gt;="&amp;BA7,'1UT9BR'!$J$6:$J$2990,"&lt;="&amp;EOMONTH(BA7,0),'1UT9BR'!$L$6:$L$2990,$B$22)+SUMIFS('1MK4UR'!$K$6:$K$2990,'1MK4UR'!$J$6:$J$2990,"&gt;="&amp;BA7,'1MK4UR'!$J$6:$J$2990,"&lt;="&amp;EOMONTH(BA7,0),'1MK4UR'!$L$6:$L$2990,$B$22)+SUMIFS(#REF!,#REF!,"&gt;="&amp;BA7,#REF!,"&lt;="&amp;EOMONTH(BA7,0),#REF!,$B$22)+SUMIFS('1JI2UE'!$K$6:$K$2989,'1JI2UE'!$J$6:$J$2989,"&gt;="&amp;BA7,'1JI2UE'!$J$6:$J$2989,"&lt;="&amp;EOMONTH(BA7,0),'1JI2UE'!$L$6:$L$2989,$B$22)+SUMIFS(#REF!,#REF!,"&gt;="&amp;BA7,#REF!,"&lt;="&amp;EOMONTH(BA7,0),#REF!,$B$22)+SUMIFS('1SI9BW'!$K$6:$K$2989,'1SI9BW'!$J$6:$J$2989,"&gt;="&amp;BA7,'1SI9BW'!$J$6:$J$2989,"&lt;="&amp;EOMONTH(BA7,0),'1SI9BW'!$L$6:$L$2989,$B$22)+SUMIFS(Suzuki!$K$6:$K$2989,Suzuki!$J$6:$J$2989,"&gt;="&amp;BA7,Suzuki!$J$6:$J$2989,"&lt;="&amp;EOMONTH(BA7,0),Suzuki!$L$6:$L$2989,$B$22)+SUMIFS('1SK3DD'!$K$6:$K$2989,'1SK3DD'!$J$6:$J$2989,"&gt;="&amp;BA7,'1SK3DD'!$J$6:$J$2989,"&lt;="&amp;EOMONTH(BA7,0),'1SK3DD'!$L$6:$L$2989,$B$22)+SUMIFS('1SX5TQ'!$K$6:$K$2989,'1SX5TQ'!$J$6:$J$2989,"&gt;="&amp;BA7,'1SX5TQ'!$J$6:$J$2989,"&lt;="&amp;EOMONTH(BA7,0),'1SX5TQ'!$L$6:$L$2989,$B$22)+SUMIFS('BMM465'!$K$6:$K$2989,'BMM465'!$J$6:$J$2989,"&gt;="&amp;BA7,'BMM465'!$J$6:$J$2989,"&lt;="&amp;EOMONTH(BA7,0),'BMM465'!$L$6:$L$2989,$B$22)+SUMIFS('1CF1ZO'!$K$6:$K$2989,'1CF1ZO'!$J$6:$J$2989,"&gt;="&amp;BA7,'1CF1ZO'!$J$6:$J$2989,"&lt;="&amp;EOMONTH(BA7,0),'1CF1ZO'!$L$6:$L$2989,$B$22)+SUMIFS('1UK1BK'!$K$6:$K$2989,'1UK1BK'!$J$6:$J$2989,"&gt;="&amp;BA7,'1UK1BK'!$J$6:$J$2989,"&lt;="&amp;EOMONTH(BA7,0),'1UK1BK'!$L$6:$L$2989,$B$22)</f>
        <v>#REF!</v>
      </c>
    </row>
    <row r="23" spans="1:53" x14ac:dyDescent="0.25">
      <c r="B23" s="5" t="s">
        <v>64</v>
      </c>
      <c r="C23" s="69" t="str">
        <f t="shared" si="13"/>
        <v/>
      </c>
      <c r="D23" s="109">
        <f t="shared" si="2"/>
        <v>20898</v>
      </c>
      <c r="E23" s="69" t="str">
        <f t="shared" ca="1" si="14"/>
        <v/>
      </c>
      <c r="F23" s="109">
        <f t="shared" ca="1" si="3"/>
        <v>170236.11300000001</v>
      </c>
      <c r="G23" s="69" t="str">
        <f t="shared" ca="1" si="15"/>
        <v/>
      </c>
      <c r="H23" s="109">
        <f t="shared" ca="1" si="4"/>
        <v>191134.11300000001</v>
      </c>
      <c r="I23" s="110">
        <f>SUMIFS('Other Expense'!$G$8:$G$2966,'Other Expense'!$F$8:$F$2966,"&gt;="&amp;I7,'Other Expense'!$F$8:$F$2966,"&lt;="&amp;EOMONTH(I7,0),'Other Expense'!$H$8:$H$2966,$B$23)</f>
        <v>0</v>
      </c>
      <c r="J23" s="110">
        <f>SUMIFS('Other Expense'!$G$8:$G$2966,'Other Expense'!$F$8:$F$2966,"&gt;="&amp;J7,'Other Expense'!$F$8:$F$2966,"&lt;="&amp;EOMONTH(J7,0),'Other Expense'!$H$8:$H$2966,$B$23)</f>
        <v>0</v>
      </c>
      <c r="K23" s="110">
        <f>SUMIFS('Other Expense'!$G$8:$G$2966,'Other Expense'!$F$8:$F$2966,"&gt;="&amp;K7,'Other Expense'!$F$8:$F$2966,"&lt;="&amp;EOMONTH(K7,0),'Other Expense'!$H$8:$H$2966,$B$23)</f>
        <v>0</v>
      </c>
      <c r="L23" s="110">
        <f>SUMIFS('Other Expense'!$G$8:$G$2966,'Other Expense'!$F$8:$F$2966,"&gt;="&amp;L7,'Other Expense'!$F$8:$F$2966,"&lt;="&amp;EOMONTH(L7,0),'Other Expense'!$H$8:$H$2966,$B$23)</f>
        <v>0</v>
      </c>
      <c r="M23" s="110">
        <f>SUMIFS('Other Expense'!$G$8:$G$2966,'Other Expense'!$F$8:$F$2966,"&gt;="&amp;M7,'Other Expense'!$F$8:$F$2966,"&lt;="&amp;EOMONTH(M7,0),'Other Expense'!$H$8:$H$2966,$B$23)</f>
        <v>0</v>
      </c>
      <c r="N23" s="110">
        <f>SUMIFS('Other Expense'!$G$8:$G$2966,'Other Expense'!$F$8:$F$2966,"&gt;="&amp;N7,'Other Expense'!$F$8:$F$2966,"&lt;="&amp;EOMONTH(N7,0),'Other Expense'!$H$8:$H$2966,$B$23)</f>
        <v>0</v>
      </c>
      <c r="O23" s="110">
        <f>SUMIFS('Other Expense'!$G$8:$G$2966,'Other Expense'!$F$8:$F$2966,"&gt;="&amp;O7,'Other Expense'!$F$8:$F$2966,"&lt;="&amp;EOMONTH(O7,0),'Other Expense'!$H$8:$H$2966,$B$23)</f>
        <v>0</v>
      </c>
      <c r="P23" s="110">
        <f>SUMIFS('Other Expense'!$G$8:$G$2966,'Other Expense'!$F$8:$F$2966,"&gt;="&amp;P7,'Other Expense'!$F$8:$F$2966,"&lt;="&amp;EOMONTH(P7,0),'Other Expense'!$H$8:$H$2966,$B$23)</f>
        <v>0</v>
      </c>
      <c r="Q23" s="110">
        <f>SUMIFS('Other Expense'!$G$8:$G$2966,'Other Expense'!$F$8:$F$2966,"&gt;="&amp;Q7,'Other Expense'!$F$8:$F$2966,"&lt;="&amp;EOMONTH(Q7,0),'Other Expense'!$H$8:$H$2966,$B$23)</f>
        <v>0</v>
      </c>
      <c r="R23" s="110">
        <v>20898</v>
      </c>
      <c r="S23" s="110">
        <f>SUMIFS('Other Expense'!$G$8:$G$2966,'Other Expense'!$F$8:$F$2966,"&gt;="&amp;S7,'Other Expense'!$F$8:$F$2966,"&lt;="&amp;EOMONTH(S7,0),'Other Expense'!$H$8:$H$2966,$B$23)</f>
        <v>0</v>
      </c>
      <c r="T23" s="110">
        <f>SUMIFS('Other Expense'!$G$8:$G$2966,'Other Expense'!$F$8:$F$2966,"&gt;="&amp;T7,'Other Expense'!$F$8:$F$2966,"&lt;="&amp;EOMONTH(T7,0),'Other Expense'!$H$8:$H$2966,$B$23)</f>
        <v>0</v>
      </c>
      <c r="U23" s="110">
        <f>SUMIFS('Other Expense'!$G$8:$G$2966,'Other Expense'!$F$8:$F$2966,"&gt;="&amp;U7,'Other Expense'!$F$8:$F$2966,"&lt;="&amp;EOMONTH(U7,0),'Other Expense'!$H$8:$H$2966,$B$23)</f>
        <v>0</v>
      </c>
      <c r="V23" s="110">
        <f>SUMIFS('Other Expense'!$G$8:$G$2966,'Other Expense'!$F$8:$F$2966,"&gt;="&amp;V7,'Other Expense'!$F$8:$F$2966,"&lt;="&amp;EOMONTH(V7,0),'Other Expense'!$H$8:$H$2966,$B$23)</f>
        <v>0</v>
      </c>
      <c r="W23" s="110">
        <f>SUMIFS('Other Expense'!$G$8:$G$2966,'Other Expense'!$F$8:$F$2966,"&gt;="&amp;W7,'Other Expense'!$F$8:$F$2966,"&lt;="&amp;EOMONTH(W7,0),'Other Expense'!$H$8:$H$2966,$B$23)</f>
        <v>0</v>
      </c>
      <c r="X23" s="110">
        <f>SUMIFS('Other Expense'!$G$8:$G$2966,'Other Expense'!$F$8:$F$2966,"&gt;="&amp;X7,'Other Expense'!$F$8:$F$2966,"&lt;="&amp;EOMONTH(X7,0),'Other Expense'!$H$8:$H$2966,$B$23)</f>
        <v>0</v>
      </c>
      <c r="Y23" s="110">
        <f>SUMIFS('Other Expense'!$G$8:$G$2966,'Other Expense'!$F$8:$F$2966,"&gt;="&amp;Y7,'Other Expense'!$F$8:$F$2966,"&lt;="&amp;EOMONTH(Y7,0),'Other Expense'!$H$8:$H$2966,$B$23)</f>
        <v>0</v>
      </c>
      <c r="Z23" s="110">
        <f>SUMIFS('Other Expense'!$G$8:$G$2966,'Other Expense'!$F$8:$F$2966,"&gt;="&amp;Z7,'Other Expense'!$F$8:$F$2966,"&lt;="&amp;EOMONTH(Z7,0),'Other Expense'!$H$8:$H$2966,$B$23)</f>
        <v>0</v>
      </c>
      <c r="AA23" s="110">
        <f>SUMIFS('Other Expense'!$G$8:$G$2966,'Other Expense'!$F$8:$F$2966,"&gt;="&amp;AA7,'Other Expense'!$F$8:$F$2966,"&lt;="&amp;EOMONTH(AA7,0),'Other Expense'!$H$8:$H$2966,$B$23)</f>
        <v>0</v>
      </c>
      <c r="AB23" s="110">
        <f>SUMIFS('Other Expense'!$G$8:$G$2966,'Other Expense'!$F$8:$F$2966,"&gt;="&amp;AB7,'Other Expense'!$F$8:$F$2966,"&lt;="&amp;EOMONTH(AB7,0),'Other Expense'!$H$8:$H$2966,$B$23)</f>
        <v>0</v>
      </c>
      <c r="AC23" s="110">
        <f>SUMIFS('Other Expense'!$G$8:$G$2966,'Other Expense'!$F$8:$F$2966,"&gt;="&amp;AC7,'Other Expense'!$F$8:$F$2966,"&lt;="&amp;EOMONTH(AC7,0),'Other Expense'!$H$8:$H$2966,$B$23)</f>
        <v>0</v>
      </c>
      <c r="AD23" s="110">
        <f ca="1">Database!$U$3</f>
        <v>170236.11300000001</v>
      </c>
      <c r="AE23" s="110">
        <v>0</v>
      </c>
      <c r="AF23" s="110">
        <v>0</v>
      </c>
      <c r="AG23" s="110">
        <v>0</v>
      </c>
      <c r="AH23" s="110">
        <v>0</v>
      </c>
      <c r="AI23" s="110">
        <v>0</v>
      </c>
      <c r="AJ23" s="110">
        <v>0</v>
      </c>
      <c r="AK23" s="110">
        <v>0</v>
      </c>
      <c r="AL23" s="110">
        <v>0</v>
      </c>
      <c r="AM23" s="110">
        <v>0</v>
      </c>
      <c r="AN23" s="110">
        <v>0</v>
      </c>
      <c r="AO23" s="110">
        <v>0</v>
      </c>
      <c r="AP23" s="110">
        <v>0</v>
      </c>
      <c r="AQ23" s="110">
        <v>0</v>
      </c>
      <c r="AR23" s="110">
        <v>0</v>
      </c>
      <c r="AS23" s="110">
        <v>0</v>
      </c>
      <c r="AT23" s="110">
        <v>0</v>
      </c>
      <c r="AU23" s="110">
        <v>0</v>
      </c>
      <c r="AV23" s="110">
        <v>0</v>
      </c>
      <c r="AW23" s="110">
        <v>0</v>
      </c>
      <c r="AX23" s="110">
        <v>0</v>
      </c>
      <c r="AY23" s="110">
        <v>0</v>
      </c>
      <c r="AZ23" s="110">
        <v>0</v>
      </c>
      <c r="BA23" s="110">
        <v>0</v>
      </c>
    </row>
    <row r="24" spans="1:53" x14ac:dyDescent="0.25">
      <c r="B24" s="5" t="s">
        <v>133</v>
      </c>
      <c r="C24" s="69" t="str">
        <f t="shared" si="13"/>
        <v/>
      </c>
      <c r="D24" s="109" t="e">
        <f t="shared" si="2"/>
        <v>#REF!</v>
      </c>
      <c r="E24" s="69" t="str">
        <f t="shared" si="14"/>
        <v/>
      </c>
      <c r="F24" s="109" t="e">
        <f t="shared" si="3"/>
        <v>#REF!</v>
      </c>
      <c r="G24" s="69" t="str">
        <f t="shared" si="15"/>
        <v/>
      </c>
      <c r="H24" s="109" t="e">
        <f t="shared" si="4"/>
        <v>#REF!</v>
      </c>
      <c r="I24" s="110" t="e">
        <f>SUMIFS('CEI565'!$K$6:$K$2990,'CEI565'!$J$6:$J$2990,"&gt;="&amp;I7,'CEI565'!$J$6:$J$2990,"&lt;="&amp;EOMONTH(I7,0),'CEI565'!$L$6:$L$2990,$B$24)+SUMIFS('1SM3VL'!$K$6:$K$2990,'1SM3VL'!$J$6:$J$2990,"&gt;="&amp;I7,'1SM3VL'!$J$6:$J$2990,"&lt;="&amp;EOMONTH(I7,0),'1SM3VL'!$L$6:$L$2990,$B$24)+SUMIFS('1QF4SM'!$K$6:$K$2989,'1QF4SM'!$J$6:$J$2989,"&gt;="&amp;I7,'1QF4SM'!$J$6:$J$2989,"&lt;="&amp;EOMONTH(I7,0),'1QF4SM'!$L$6:$L$2989,$B$24)+SUMIFS('1UV5KI'!$K$6:$K$2989,'1UV5KI'!$J$6:$J$2989,"&gt;="&amp;I7,'1UV5KI'!$J$6:$J$2989,"&lt;="&amp;EOMONTH(I7,0),'1UV5KI'!$L$6:$L$2989,$B$24)+SUMIFS(#REF!,#REF!,"&gt;="&amp;I7,#REF!,"&lt;="&amp;EOMONTH(I7,0),#REF!,$B$24)+SUMIFS('1UL9RY'!$K$6:$K$2990,'1UL9RY'!$J$6:$J$2990,"&gt;="&amp;I7,'1UL9RY'!$J$6:$J$2990,"&lt;="&amp;EOMONTH(I7,0),'1UL9RY'!$L$6:$L$2990,$B$24)+SUMIFS('1OZ7GT'!$K$6:$K$2989,'1OZ7GT'!$J$6:$J$2989,"&gt;="&amp;I7,'1OZ7GT'!$J$6:$J$2989,"&lt;="&amp;EOMONTH(I7,0),'1OZ7GT'!$L$6:$L$2989,$B$24)+SUMIFS('1CN8DD'!$K$6:$K$2989,'1CN8DD'!$J$6:$J$2989,"&gt;="&amp;I7,'1CN8DD'!$J$6:$J$2989,"&lt;="&amp;EOMONTH(I7,0),'1CN8DD'!$L$6:$L$2989,$B$24)+SUMIFS('1UT9BR'!$K$6:$K$2990,'1UT9BR'!$J$6:$J$2990,"&gt;="&amp;I7,'1UT9BR'!$J$6:$J$2990,"&lt;="&amp;EOMONTH(I7,0),'1UT9BR'!$L$6:$L$2990,$B$24)+SUMIFS('1MK4UR'!$K$6:$K$2990,'1MK4UR'!$J$6:$J$2990,"&gt;="&amp;I7,'1MK4UR'!$J$6:$J$2990,"&lt;="&amp;EOMONTH(I7,0),'1MK4UR'!$L$6:$L$2990,$B$24)+SUMIFS(#REF!,#REF!,"&gt;="&amp;I7,#REF!,"&lt;="&amp;EOMONTH(I7,0),#REF!,$B$24)+SUMIFS('1JI2UE'!$K$6:$K$2989,'1JI2UE'!$J$6:$J$2989,"&gt;="&amp;I7,'1JI2UE'!$J$6:$J$2989,"&lt;="&amp;EOMONTH(I7,0),'1JI2UE'!$L$6:$L$2989,$B$24)+SUMIFS(#REF!,#REF!,"&gt;="&amp;I7,#REF!,"&lt;="&amp;EOMONTH(I7,0),#REF!,$B$24)+SUMIFS('1SI9BW'!$K$6:$K$2989,'1SI9BW'!$J$6:$J$2989,"&gt;="&amp;I7,'1SI9BW'!$J$6:$J$2989,"&lt;="&amp;EOMONTH(I7,0),'1SI9BW'!$L$6:$L$2989,$B$24)+SUMIFS(Suzuki!$K$6:$K$2989,Suzuki!$J$6:$J$2989,"&gt;="&amp;I7,Suzuki!$J$6:$J$2989,"&lt;="&amp;EOMONTH(I7,0),Suzuki!$L$6:$L$2989,$B$24)+SUMIFS('1SK3DD'!$K$6:$K$2989,'1SK3DD'!$J$6:$J$2989,"&gt;="&amp;I7,'1SK3DD'!$J$6:$J$2989,"&lt;="&amp;EOMONTH(I7,0),'1SK3DD'!$L$6:$L$2989,$B$24)+SUMIFS('1SX5TQ'!$K$6:$K$2989,'1SX5TQ'!$J$6:$J$2989,"&gt;="&amp;I7,'1SX5TQ'!$J$6:$J$2989,"&lt;="&amp;EOMONTH(I7,0),'1SX5TQ'!$L$6:$L$2989,$B$24)+SUMIFS('BMM465'!$K$6:$K$2989,'BMM465'!$J$6:$J$2989,"&gt;="&amp;I7,'BMM465'!$J$6:$J$2989,"&lt;="&amp;EOMONTH(I7,0),'BMM465'!$L$6:$L$2989,$B$24)+SUMIFS('1CF1ZO'!$K$6:$K$2989,'1CF1ZO'!$J$6:$J$2989,"&gt;="&amp;I7,'1CF1ZO'!$J$6:$J$2989,"&lt;="&amp;EOMONTH(I7,0),'1CF1ZO'!$L$6:$L$2989,$B$24)+SUMIFS('1UK1BK'!$K$6:$K$2989,'1UK1BK'!$J$6:$J$2989,"&gt;="&amp;I7,'1UK1BK'!$J$6:$J$2989,"&lt;="&amp;EOMONTH(I7,0),'1UK1BK'!$L$6:$L$2989,$B$24)</f>
        <v>#REF!</v>
      </c>
      <c r="J24" s="110" t="e">
        <f>SUMIFS('CEI565'!$K$6:$K$2990,'CEI565'!$J$6:$J$2990,"&gt;="&amp;J7,'CEI565'!$J$6:$J$2990,"&lt;="&amp;EOMONTH(J7,0),'CEI565'!$L$6:$L$2990,$B$24)+SUMIFS('1SM3VL'!$K$6:$K$2990,'1SM3VL'!$J$6:$J$2990,"&gt;="&amp;J7,'1SM3VL'!$J$6:$J$2990,"&lt;="&amp;EOMONTH(J7,0),'1SM3VL'!$L$6:$L$2990,$B$24)+SUMIFS('1QF4SM'!$K$6:$K$2989,'1QF4SM'!$J$6:$J$2989,"&gt;="&amp;J7,'1QF4SM'!$J$6:$J$2989,"&lt;="&amp;EOMONTH(J7,0),'1QF4SM'!$L$6:$L$2989,$B$24)+SUMIFS('1UV5KI'!$K$6:$K$2989,'1UV5KI'!$J$6:$J$2989,"&gt;="&amp;J7,'1UV5KI'!$J$6:$J$2989,"&lt;="&amp;EOMONTH(J7,0),'1UV5KI'!$L$6:$L$2989,$B$24)+SUMIFS(#REF!,#REF!,"&gt;="&amp;J7,#REF!,"&lt;="&amp;EOMONTH(J7,0),#REF!,$B$24)+SUMIFS('1UL9RY'!$K$6:$K$2990,'1UL9RY'!$J$6:$J$2990,"&gt;="&amp;J7,'1UL9RY'!$J$6:$J$2990,"&lt;="&amp;EOMONTH(J7,0),'1UL9RY'!$L$6:$L$2990,$B$24)+SUMIFS('1OZ7GT'!$K$6:$K$2989,'1OZ7GT'!$J$6:$J$2989,"&gt;="&amp;J7,'1OZ7GT'!$J$6:$J$2989,"&lt;="&amp;EOMONTH(J7,0),'1OZ7GT'!$L$6:$L$2989,$B$24)+SUMIFS('1CN8DD'!$K$6:$K$2989,'1CN8DD'!$J$6:$J$2989,"&gt;="&amp;J7,'1CN8DD'!$J$6:$J$2989,"&lt;="&amp;EOMONTH(J7,0),'1CN8DD'!$L$6:$L$2989,$B$24)+SUMIFS('1UT9BR'!$K$6:$K$2990,'1UT9BR'!$J$6:$J$2990,"&gt;="&amp;J7,'1UT9BR'!$J$6:$J$2990,"&lt;="&amp;EOMONTH(J7,0),'1UT9BR'!$L$6:$L$2990,$B$24)+SUMIFS('1MK4UR'!$K$6:$K$2990,'1MK4UR'!$J$6:$J$2990,"&gt;="&amp;J7,'1MK4UR'!$J$6:$J$2990,"&lt;="&amp;EOMONTH(J7,0),'1MK4UR'!$L$6:$L$2990,$B$24)+SUMIFS(#REF!,#REF!,"&gt;="&amp;J7,#REF!,"&lt;="&amp;EOMONTH(J7,0),#REF!,$B$24)+SUMIFS('1JI2UE'!$K$6:$K$2989,'1JI2UE'!$J$6:$J$2989,"&gt;="&amp;J7,'1JI2UE'!$J$6:$J$2989,"&lt;="&amp;EOMONTH(J7,0),'1JI2UE'!$L$6:$L$2989,$B$24)+SUMIFS(#REF!,#REF!,"&gt;="&amp;J7,#REF!,"&lt;="&amp;EOMONTH(J7,0),#REF!,$B$24)+SUMIFS('1SI9BW'!$K$6:$K$2989,'1SI9BW'!$J$6:$J$2989,"&gt;="&amp;J7,'1SI9BW'!$J$6:$J$2989,"&lt;="&amp;EOMONTH(J7,0),'1SI9BW'!$L$6:$L$2989,$B$24)+SUMIFS(Suzuki!$K$6:$K$2989,Suzuki!$J$6:$J$2989,"&gt;="&amp;J7,Suzuki!$J$6:$J$2989,"&lt;="&amp;EOMONTH(J7,0),Suzuki!$L$6:$L$2989,$B$24)+SUMIFS('1SK3DD'!$K$6:$K$2989,'1SK3DD'!$J$6:$J$2989,"&gt;="&amp;J7,'1SK3DD'!$J$6:$J$2989,"&lt;="&amp;EOMONTH(J7,0),'1SK3DD'!$L$6:$L$2989,$B$24)+SUMIFS('1SX5TQ'!$K$6:$K$2989,'1SX5TQ'!$J$6:$J$2989,"&gt;="&amp;J7,'1SX5TQ'!$J$6:$J$2989,"&lt;="&amp;EOMONTH(J7,0),'1SX5TQ'!$L$6:$L$2989,$B$24)+SUMIFS('BMM465'!$K$6:$K$2989,'BMM465'!$J$6:$J$2989,"&gt;="&amp;J7,'BMM465'!$J$6:$J$2989,"&lt;="&amp;EOMONTH(J7,0),'BMM465'!$L$6:$L$2989,$B$24)+SUMIFS('1CF1ZO'!$K$6:$K$2989,'1CF1ZO'!$J$6:$J$2989,"&gt;="&amp;J7,'1CF1ZO'!$J$6:$J$2989,"&lt;="&amp;EOMONTH(J7,0),'1CF1ZO'!$L$6:$L$2989,$B$24)+SUMIFS('1UK1BK'!$K$6:$K$2989,'1UK1BK'!$J$6:$J$2989,"&gt;="&amp;J7,'1UK1BK'!$J$6:$J$2989,"&lt;="&amp;EOMONTH(J7,0),'1UK1BK'!$L$6:$L$2989,$B$24)</f>
        <v>#REF!</v>
      </c>
      <c r="K24" s="110" t="e">
        <f>SUMIFS('CEI565'!$K$6:$K$2990,'CEI565'!$J$6:$J$2990,"&gt;="&amp;K7,'CEI565'!$J$6:$J$2990,"&lt;="&amp;EOMONTH(K7,0),'CEI565'!$L$6:$L$2990,$B$24)+SUMIFS('1SM3VL'!$K$6:$K$2990,'1SM3VL'!$J$6:$J$2990,"&gt;="&amp;K7,'1SM3VL'!$J$6:$J$2990,"&lt;="&amp;EOMONTH(K7,0),'1SM3VL'!$L$6:$L$2990,$B$24)+SUMIFS('1QF4SM'!$K$6:$K$2989,'1QF4SM'!$J$6:$J$2989,"&gt;="&amp;K7,'1QF4SM'!$J$6:$J$2989,"&lt;="&amp;EOMONTH(K7,0),'1QF4SM'!$L$6:$L$2989,$B$24)+SUMIFS('1UV5KI'!$K$6:$K$2989,'1UV5KI'!$J$6:$J$2989,"&gt;="&amp;K7,'1UV5KI'!$J$6:$J$2989,"&lt;="&amp;EOMONTH(K7,0),'1UV5KI'!$L$6:$L$2989,$B$24)+SUMIFS(#REF!,#REF!,"&gt;="&amp;K7,#REF!,"&lt;="&amp;EOMONTH(K7,0),#REF!,$B$24)+SUMIFS('1UL9RY'!$K$6:$K$2990,'1UL9RY'!$J$6:$J$2990,"&gt;="&amp;K7,'1UL9RY'!$J$6:$J$2990,"&lt;="&amp;EOMONTH(K7,0),'1UL9RY'!$L$6:$L$2990,$B$24)+SUMIFS('1OZ7GT'!$K$6:$K$2989,'1OZ7GT'!$J$6:$J$2989,"&gt;="&amp;K7,'1OZ7GT'!$J$6:$J$2989,"&lt;="&amp;EOMONTH(K7,0),'1OZ7GT'!$L$6:$L$2989,$B$24)+SUMIFS('1CN8DD'!$K$6:$K$2989,'1CN8DD'!$J$6:$J$2989,"&gt;="&amp;K7,'1CN8DD'!$J$6:$J$2989,"&lt;="&amp;EOMONTH(K7,0),'1CN8DD'!$L$6:$L$2989,$B$24)+SUMIFS('1UT9BR'!$K$6:$K$2990,'1UT9BR'!$J$6:$J$2990,"&gt;="&amp;K7,'1UT9BR'!$J$6:$J$2990,"&lt;="&amp;EOMONTH(K7,0),'1UT9BR'!$L$6:$L$2990,$B$24)+SUMIFS('1MK4UR'!$K$6:$K$2990,'1MK4UR'!$J$6:$J$2990,"&gt;="&amp;K7,'1MK4UR'!$J$6:$J$2990,"&lt;="&amp;EOMONTH(K7,0),'1MK4UR'!$L$6:$L$2990,$B$24)+SUMIFS(#REF!,#REF!,"&gt;="&amp;K7,#REF!,"&lt;="&amp;EOMONTH(K7,0),#REF!,$B$24)+SUMIFS('1JI2UE'!$K$6:$K$2989,'1JI2UE'!$J$6:$J$2989,"&gt;="&amp;K7,'1JI2UE'!$J$6:$J$2989,"&lt;="&amp;EOMONTH(K7,0),'1JI2UE'!$L$6:$L$2989,$B$24)+SUMIFS(#REF!,#REF!,"&gt;="&amp;K7,#REF!,"&lt;="&amp;EOMONTH(K7,0),#REF!,$B$24)+SUMIFS('1SI9BW'!$K$6:$K$2989,'1SI9BW'!$J$6:$J$2989,"&gt;="&amp;K7,'1SI9BW'!$J$6:$J$2989,"&lt;="&amp;EOMONTH(K7,0),'1SI9BW'!$L$6:$L$2989,$B$24)+SUMIFS(Suzuki!$K$6:$K$2989,Suzuki!$J$6:$J$2989,"&gt;="&amp;K7,Suzuki!$J$6:$J$2989,"&lt;="&amp;EOMONTH(K7,0),Suzuki!$L$6:$L$2989,$B$24)+SUMIFS('1SK3DD'!$K$6:$K$2989,'1SK3DD'!$J$6:$J$2989,"&gt;="&amp;K7,'1SK3DD'!$J$6:$J$2989,"&lt;="&amp;EOMONTH(K7,0),'1SK3DD'!$L$6:$L$2989,$B$24)+SUMIFS('1SX5TQ'!$K$6:$K$2989,'1SX5TQ'!$J$6:$J$2989,"&gt;="&amp;K7,'1SX5TQ'!$J$6:$J$2989,"&lt;="&amp;EOMONTH(K7,0),'1SX5TQ'!$L$6:$L$2989,$B$24)+SUMIFS('BMM465'!$K$6:$K$2989,'BMM465'!$J$6:$J$2989,"&gt;="&amp;K7,'BMM465'!$J$6:$J$2989,"&lt;="&amp;EOMONTH(K7,0),'BMM465'!$L$6:$L$2989,$B$24)+SUMIFS('1CF1ZO'!$K$6:$K$2989,'1CF1ZO'!$J$6:$J$2989,"&gt;="&amp;K7,'1CF1ZO'!$J$6:$J$2989,"&lt;="&amp;EOMONTH(K7,0),'1CF1ZO'!$L$6:$L$2989,$B$24)+SUMIFS('1UK1BK'!$K$6:$K$2989,'1UK1BK'!$J$6:$J$2989,"&gt;="&amp;K7,'1UK1BK'!$J$6:$J$2989,"&lt;="&amp;EOMONTH(K7,0),'1UK1BK'!$L$6:$L$2989,$B$24)</f>
        <v>#REF!</v>
      </c>
      <c r="L24" s="110" t="e">
        <f>SUMIFS('CEI565'!$K$6:$K$2990,'CEI565'!$J$6:$J$2990,"&gt;="&amp;L7,'CEI565'!$J$6:$J$2990,"&lt;="&amp;EOMONTH(L7,0),'CEI565'!$L$6:$L$2990,$B$24)+SUMIFS('1SM3VL'!$K$6:$K$2990,'1SM3VL'!$J$6:$J$2990,"&gt;="&amp;L7,'1SM3VL'!$J$6:$J$2990,"&lt;="&amp;EOMONTH(L7,0),'1SM3VL'!$L$6:$L$2990,$B$24)+SUMIFS('1QF4SM'!$K$6:$K$2989,'1QF4SM'!$J$6:$J$2989,"&gt;="&amp;L7,'1QF4SM'!$J$6:$J$2989,"&lt;="&amp;EOMONTH(L7,0),'1QF4SM'!$L$6:$L$2989,$B$24)+SUMIFS('1UV5KI'!$K$6:$K$2989,'1UV5KI'!$J$6:$J$2989,"&gt;="&amp;L7,'1UV5KI'!$J$6:$J$2989,"&lt;="&amp;EOMONTH(L7,0),'1UV5KI'!$L$6:$L$2989,$B$24)+SUMIFS(#REF!,#REF!,"&gt;="&amp;L7,#REF!,"&lt;="&amp;EOMONTH(L7,0),#REF!,$B$24)+SUMIFS('1UL9RY'!$K$6:$K$2990,'1UL9RY'!$J$6:$J$2990,"&gt;="&amp;L7,'1UL9RY'!$J$6:$J$2990,"&lt;="&amp;EOMONTH(L7,0),'1UL9RY'!$L$6:$L$2990,$B$24)+SUMIFS('1OZ7GT'!$K$6:$K$2989,'1OZ7GT'!$J$6:$J$2989,"&gt;="&amp;L7,'1OZ7GT'!$J$6:$J$2989,"&lt;="&amp;EOMONTH(L7,0),'1OZ7GT'!$L$6:$L$2989,$B$24)+SUMIFS('1CN8DD'!$K$6:$K$2989,'1CN8DD'!$J$6:$J$2989,"&gt;="&amp;L7,'1CN8DD'!$J$6:$J$2989,"&lt;="&amp;EOMONTH(L7,0),'1CN8DD'!$L$6:$L$2989,$B$24)+SUMIFS('1UT9BR'!$K$6:$K$2990,'1UT9BR'!$J$6:$J$2990,"&gt;="&amp;L7,'1UT9BR'!$J$6:$J$2990,"&lt;="&amp;EOMONTH(L7,0),'1UT9BR'!$L$6:$L$2990,$B$24)+SUMIFS('1MK4UR'!$K$6:$K$2990,'1MK4UR'!$J$6:$J$2990,"&gt;="&amp;L7,'1MK4UR'!$J$6:$J$2990,"&lt;="&amp;EOMONTH(L7,0),'1MK4UR'!$L$6:$L$2990,$B$24)+SUMIFS(#REF!,#REF!,"&gt;="&amp;L7,#REF!,"&lt;="&amp;EOMONTH(L7,0),#REF!,$B$24)+SUMIFS('1JI2UE'!$K$6:$K$2989,'1JI2UE'!$J$6:$J$2989,"&gt;="&amp;L7,'1JI2UE'!$J$6:$J$2989,"&lt;="&amp;EOMONTH(L7,0),'1JI2UE'!$L$6:$L$2989,$B$24)+SUMIFS(#REF!,#REF!,"&gt;="&amp;L7,#REF!,"&lt;="&amp;EOMONTH(L7,0),#REF!,$B$24)+SUMIFS('1SI9BW'!$K$6:$K$2989,'1SI9BW'!$J$6:$J$2989,"&gt;="&amp;L7,'1SI9BW'!$J$6:$J$2989,"&lt;="&amp;EOMONTH(L7,0),'1SI9BW'!$L$6:$L$2989,$B$24)+SUMIFS(Suzuki!$K$6:$K$2989,Suzuki!$J$6:$J$2989,"&gt;="&amp;L7,Suzuki!$J$6:$J$2989,"&lt;="&amp;EOMONTH(L7,0),Suzuki!$L$6:$L$2989,$B$24)+SUMIFS('1SK3DD'!$K$6:$K$2989,'1SK3DD'!$J$6:$J$2989,"&gt;="&amp;L7,'1SK3DD'!$J$6:$J$2989,"&lt;="&amp;EOMONTH(L7,0),'1SK3DD'!$L$6:$L$2989,$B$24)+SUMIFS('1SX5TQ'!$K$6:$K$2989,'1SX5TQ'!$J$6:$J$2989,"&gt;="&amp;L7,'1SX5TQ'!$J$6:$J$2989,"&lt;="&amp;EOMONTH(L7,0),'1SX5TQ'!$L$6:$L$2989,$B$24)+SUMIFS('BMM465'!$K$6:$K$2989,'BMM465'!$J$6:$J$2989,"&gt;="&amp;L7,'BMM465'!$J$6:$J$2989,"&lt;="&amp;EOMONTH(L7,0),'BMM465'!$L$6:$L$2989,$B$24)+SUMIFS('1CF1ZO'!$K$6:$K$2989,'1CF1ZO'!$J$6:$J$2989,"&gt;="&amp;L7,'1CF1ZO'!$J$6:$J$2989,"&lt;="&amp;EOMONTH(L7,0),'1CF1ZO'!$L$6:$L$2989,$B$24)+SUMIFS('1UK1BK'!$K$6:$K$2989,'1UK1BK'!$J$6:$J$2989,"&gt;="&amp;L7,'1UK1BK'!$J$6:$J$2989,"&lt;="&amp;EOMONTH(L7,0),'1UK1BK'!$L$6:$L$2989,$B$24)</f>
        <v>#REF!</v>
      </c>
      <c r="M24" s="110" t="e">
        <f>SUMIFS('CEI565'!$K$6:$K$2990,'CEI565'!$J$6:$J$2990,"&gt;="&amp;M7,'CEI565'!$J$6:$J$2990,"&lt;="&amp;EOMONTH(M7,0),'CEI565'!$L$6:$L$2990,$B$24)+SUMIFS('1SM3VL'!$K$6:$K$2990,'1SM3VL'!$J$6:$J$2990,"&gt;="&amp;M7,'1SM3VL'!$J$6:$J$2990,"&lt;="&amp;EOMONTH(M7,0),'1SM3VL'!$L$6:$L$2990,$B$24)+SUMIFS('1QF4SM'!$K$6:$K$2989,'1QF4SM'!$J$6:$J$2989,"&gt;="&amp;M7,'1QF4SM'!$J$6:$J$2989,"&lt;="&amp;EOMONTH(M7,0),'1QF4SM'!$L$6:$L$2989,$B$24)+SUMIFS('1UV5KI'!$K$6:$K$2989,'1UV5KI'!$J$6:$J$2989,"&gt;="&amp;M7,'1UV5KI'!$J$6:$J$2989,"&lt;="&amp;EOMONTH(M7,0),'1UV5KI'!$L$6:$L$2989,$B$24)+SUMIFS(#REF!,#REF!,"&gt;="&amp;M7,#REF!,"&lt;="&amp;EOMONTH(M7,0),#REF!,$B$24)+SUMIFS('1UL9RY'!$K$6:$K$2990,'1UL9RY'!$J$6:$J$2990,"&gt;="&amp;M7,'1UL9RY'!$J$6:$J$2990,"&lt;="&amp;EOMONTH(M7,0),'1UL9RY'!$L$6:$L$2990,$B$24)+SUMIFS('1OZ7GT'!$K$6:$K$2989,'1OZ7GT'!$J$6:$J$2989,"&gt;="&amp;M7,'1OZ7GT'!$J$6:$J$2989,"&lt;="&amp;EOMONTH(M7,0),'1OZ7GT'!$L$6:$L$2989,$B$24)+SUMIFS('1CN8DD'!$K$6:$K$2989,'1CN8DD'!$J$6:$J$2989,"&gt;="&amp;M7,'1CN8DD'!$J$6:$J$2989,"&lt;="&amp;EOMONTH(M7,0),'1CN8DD'!$L$6:$L$2989,$B$24)+SUMIFS('1UT9BR'!$K$6:$K$2990,'1UT9BR'!$J$6:$J$2990,"&gt;="&amp;M7,'1UT9BR'!$J$6:$J$2990,"&lt;="&amp;EOMONTH(M7,0),'1UT9BR'!$L$6:$L$2990,$B$24)+SUMIFS('1MK4UR'!$K$6:$K$2990,'1MK4UR'!$J$6:$J$2990,"&gt;="&amp;M7,'1MK4UR'!$J$6:$J$2990,"&lt;="&amp;EOMONTH(M7,0),'1MK4UR'!$L$6:$L$2990,$B$24)+SUMIFS(#REF!,#REF!,"&gt;="&amp;M7,#REF!,"&lt;="&amp;EOMONTH(M7,0),#REF!,$B$24)+SUMIFS('1JI2UE'!$K$6:$K$2989,'1JI2UE'!$J$6:$J$2989,"&gt;="&amp;M7,'1JI2UE'!$J$6:$J$2989,"&lt;="&amp;EOMONTH(M7,0),'1JI2UE'!$L$6:$L$2989,$B$24)+SUMIFS(#REF!,#REF!,"&gt;="&amp;M7,#REF!,"&lt;="&amp;EOMONTH(M7,0),#REF!,$B$24)+SUMIFS('1SI9BW'!$K$6:$K$2989,'1SI9BW'!$J$6:$J$2989,"&gt;="&amp;M7,'1SI9BW'!$J$6:$J$2989,"&lt;="&amp;EOMONTH(M7,0),'1SI9BW'!$L$6:$L$2989,$B$24)+SUMIFS(Suzuki!$K$6:$K$2989,Suzuki!$J$6:$J$2989,"&gt;="&amp;M7,Suzuki!$J$6:$J$2989,"&lt;="&amp;EOMONTH(M7,0),Suzuki!$L$6:$L$2989,$B$24)+SUMIFS('1SK3DD'!$K$6:$K$2989,'1SK3DD'!$J$6:$J$2989,"&gt;="&amp;M7,'1SK3DD'!$J$6:$J$2989,"&lt;="&amp;EOMONTH(M7,0),'1SK3DD'!$L$6:$L$2989,$B$24)+SUMIFS('1SX5TQ'!$K$6:$K$2989,'1SX5TQ'!$J$6:$J$2989,"&gt;="&amp;M7,'1SX5TQ'!$J$6:$J$2989,"&lt;="&amp;EOMONTH(M7,0),'1SX5TQ'!$L$6:$L$2989,$B$24)+SUMIFS('BMM465'!$K$6:$K$2989,'BMM465'!$J$6:$J$2989,"&gt;="&amp;M7,'BMM465'!$J$6:$J$2989,"&lt;="&amp;EOMONTH(M7,0),'BMM465'!$L$6:$L$2989,$B$24)+SUMIFS('1CF1ZO'!$K$6:$K$2989,'1CF1ZO'!$J$6:$J$2989,"&gt;="&amp;M7,'1CF1ZO'!$J$6:$J$2989,"&lt;="&amp;EOMONTH(M7,0),'1CF1ZO'!$L$6:$L$2989,$B$24)+SUMIFS('1UK1BK'!$K$6:$K$2989,'1UK1BK'!$J$6:$J$2989,"&gt;="&amp;M7,'1UK1BK'!$J$6:$J$2989,"&lt;="&amp;EOMONTH(M7,0),'1UK1BK'!$L$6:$L$2989,$B$24)</f>
        <v>#REF!</v>
      </c>
      <c r="N24" s="110" t="e">
        <f>SUMIFS('CEI565'!$K$6:$K$2990,'CEI565'!$J$6:$J$2990,"&gt;="&amp;N7,'CEI565'!$J$6:$J$2990,"&lt;="&amp;EOMONTH(N7,0),'CEI565'!$L$6:$L$2990,$B$24)+SUMIFS('1SM3VL'!$K$6:$K$2990,'1SM3VL'!$J$6:$J$2990,"&gt;="&amp;N7,'1SM3VL'!$J$6:$J$2990,"&lt;="&amp;EOMONTH(N7,0),'1SM3VL'!$L$6:$L$2990,$B$24)+SUMIFS('1QF4SM'!$K$6:$K$2989,'1QF4SM'!$J$6:$J$2989,"&gt;="&amp;N7,'1QF4SM'!$J$6:$J$2989,"&lt;="&amp;EOMONTH(N7,0),'1QF4SM'!$L$6:$L$2989,$B$24)+SUMIFS('1UV5KI'!$K$6:$K$2989,'1UV5KI'!$J$6:$J$2989,"&gt;="&amp;N7,'1UV5KI'!$J$6:$J$2989,"&lt;="&amp;EOMONTH(N7,0),'1UV5KI'!$L$6:$L$2989,$B$24)+SUMIFS(#REF!,#REF!,"&gt;="&amp;N7,#REF!,"&lt;="&amp;EOMONTH(N7,0),#REF!,$B$24)+SUMIFS('1UL9RY'!$K$6:$K$2990,'1UL9RY'!$J$6:$J$2990,"&gt;="&amp;N7,'1UL9RY'!$J$6:$J$2990,"&lt;="&amp;EOMONTH(N7,0),'1UL9RY'!$L$6:$L$2990,$B$24)+SUMIFS('1OZ7GT'!$K$6:$K$2989,'1OZ7GT'!$J$6:$J$2989,"&gt;="&amp;N7,'1OZ7GT'!$J$6:$J$2989,"&lt;="&amp;EOMONTH(N7,0),'1OZ7GT'!$L$6:$L$2989,$B$24)+SUMIFS('1CN8DD'!$K$6:$K$2989,'1CN8DD'!$J$6:$J$2989,"&gt;="&amp;N7,'1CN8DD'!$J$6:$J$2989,"&lt;="&amp;EOMONTH(N7,0),'1CN8DD'!$L$6:$L$2989,$B$24)+SUMIFS('1UT9BR'!$K$6:$K$2990,'1UT9BR'!$J$6:$J$2990,"&gt;="&amp;N7,'1UT9BR'!$J$6:$J$2990,"&lt;="&amp;EOMONTH(N7,0),'1UT9BR'!$L$6:$L$2990,$B$24)+SUMIFS('1MK4UR'!$K$6:$K$2990,'1MK4UR'!$J$6:$J$2990,"&gt;="&amp;N7,'1MK4UR'!$J$6:$J$2990,"&lt;="&amp;EOMONTH(N7,0),'1MK4UR'!$L$6:$L$2990,$B$24)+SUMIFS(#REF!,#REF!,"&gt;="&amp;N7,#REF!,"&lt;="&amp;EOMONTH(N7,0),#REF!,$B$24)+SUMIFS('1JI2UE'!$K$6:$K$2989,'1JI2UE'!$J$6:$J$2989,"&gt;="&amp;N7,'1JI2UE'!$J$6:$J$2989,"&lt;="&amp;EOMONTH(N7,0),'1JI2UE'!$L$6:$L$2989,$B$24)+SUMIFS(#REF!,#REF!,"&gt;="&amp;N7,#REF!,"&lt;="&amp;EOMONTH(N7,0),#REF!,$B$24)+SUMIFS('1SI9BW'!$K$6:$K$2989,'1SI9BW'!$J$6:$J$2989,"&gt;="&amp;N7,'1SI9BW'!$J$6:$J$2989,"&lt;="&amp;EOMONTH(N7,0),'1SI9BW'!$L$6:$L$2989,$B$24)+SUMIFS(Suzuki!$K$6:$K$2989,Suzuki!$J$6:$J$2989,"&gt;="&amp;N7,Suzuki!$J$6:$J$2989,"&lt;="&amp;EOMONTH(N7,0),Suzuki!$L$6:$L$2989,$B$24)+SUMIFS('1SK3DD'!$K$6:$K$2989,'1SK3DD'!$J$6:$J$2989,"&gt;="&amp;N7,'1SK3DD'!$J$6:$J$2989,"&lt;="&amp;EOMONTH(N7,0),'1SK3DD'!$L$6:$L$2989,$B$24)+SUMIFS('1SX5TQ'!$K$6:$K$2989,'1SX5TQ'!$J$6:$J$2989,"&gt;="&amp;N7,'1SX5TQ'!$J$6:$J$2989,"&lt;="&amp;EOMONTH(N7,0),'1SX5TQ'!$L$6:$L$2989,$B$24)+SUMIFS('BMM465'!$K$6:$K$2989,'BMM465'!$J$6:$J$2989,"&gt;="&amp;N7,'BMM465'!$J$6:$J$2989,"&lt;="&amp;EOMONTH(N7,0),'BMM465'!$L$6:$L$2989,$B$24)+SUMIFS('1CF1ZO'!$K$6:$K$2989,'1CF1ZO'!$J$6:$J$2989,"&gt;="&amp;N7,'1CF1ZO'!$J$6:$J$2989,"&lt;="&amp;EOMONTH(N7,0),'1CF1ZO'!$L$6:$L$2989,$B$24)+SUMIFS('1UK1BK'!$K$6:$K$2989,'1UK1BK'!$J$6:$J$2989,"&gt;="&amp;N7,'1UK1BK'!$J$6:$J$2989,"&lt;="&amp;EOMONTH(N7,0),'1UK1BK'!$L$6:$L$2989,$B$24)</f>
        <v>#REF!</v>
      </c>
      <c r="O24" s="110" t="e">
        <f>SUMIFS('CEI565'!$K$6:$K$2990,'CEI565'!$J$6:$J$2990,"&gt;="&amp;O7,'CEI565'!$J$6:$J$2990,"&lt;="&amp;EOMONTH(O7,0),'CEI565'!$L$6:$L$2990,$B$24)+SUMIFS('1SM3VL'!$K$6:$K$2990,'1SM3VL'!$J$6:$J$2990,"&gt;="&amp;O7,'1SM3VL'!$J$6:$J$2990,"&lt;="&amp;EOMONTH(O7,0),'1SM3VL'!$L$6:$L$2990,$B$24)+SUMIFS('1QF4SM'!$K$6:$K$2989,'1QF4SM'!$J$6:$J$2989,"&gt;="&amp;O7,'1QF4SM'!$J$6:$J$2989,"&lt;="&amp;EOMONTH(O7,0),'1QF4SM'!$L$6:$L$2989,$B$24)+SUMIFS('1UV5KI'!$K$6:$K$2989,'1UV5KI'!$J$6:$J$2989,"&gt;="&amp;O7,'1UV5KI'!$J$6:$J$2989,"&lt;="&amp;EOMONTH(O7,0),'1UV5KI'!$L$6:$L$2989,$B$24)+SUMIFS(#REF!,#REF!,"&gt;="&amp;O7,#REF!,"&lt;="&amp;EOMONTH(O7,0),#REF!,$B$24)+SUMIFS('1UL9RY'!$K$6:$K$2990,'1UL9RY'!$J$6:$J$2990,"&gt;="&amp;O7,'1UL9RY'!$J$6:$J$2990,"&lt;="&amp;EOMONTH(O7,0),'1UL9RY'!$L$6:$L$2990,$B$24)+SUMIFS('1OZ7GT'!$K$6:$K$2989,'1OZ7GT'!$J$6:$J$2989,"&gt;="&amp;O7,'1OZ7GT'!$J$6:$J$2989,"&lt;="&amp;EOMONTH(O7,0),'1OZ7GT'!$L$6:$L$2989,$B$24)+SUMIFS('1CN8DD'!$K$6:$K$2989,'1CN8DD'!$J$6:$J$2989,"&gt;="&amp;O7,'1CN8DD'!$J$6:$J$2989,"&lt;="&amp;EOMONTH(O7,0),'1CN8DD'!$L$6:$L$2989,$B$24)+SUMIFS('1UT9BR'!$K$6:$K$2990,'1UT9BR'!$J$6:$J$2990,"&gt;="&amp;O7,'1UT9BR'!$J$6:$J$2990,"&lt;="&amp;EOMONTH(O7,0),'1UT9BR'!$L$6:$L$2990,$B$24)+SUMIFS('1MK4UR'!$K$6:$K$2990,'1MK4UR'!$J$6:$J$2990,"&gt;="&amp;O7,'1MK4UR'!$J$6:$J$2990,"&lt;="&amp;EOMONTH(O7,0),'1MK4UR'!$L$6:$L$2990,$B$24)+SUMIFS(#REF!,#REF!,"&gt;="&amp;O7,#REF!,"&lt;="&amp;EOMONTH(O7,0),#REF!,$B$24)+SUMIFS('1JI2UE'!$K$6:$K$2989,'1JI2UE'!$J$6:$J$2989,"&gt;="&amp;O7,'1JI2UE'!$J$6:$J$2989,"&lt;="&amp;EOMONTH(O7,0),'1JI2UE'!$L$6:$L$2989,$B$24)+SUMIFS(#REF!,#REF!,"&gt;="&amp;O7,#REF!,"&lt;="&amp;EOMONTH(O7,0),#REF!,$B$24)+SUMIFS('1SI9BW'!$K$6:$K$2989,'1SI9BW'!$J$6:$J$2989,"&gt;="&amp;O7,'1SI9BW'!$J$6:$J$2989,"&lt;="&amp;EOMONTH(O7,0),'1SI9BW'!$L$6:$L$2989,$B$24)+SUMIFS(Suzuki!$K$6:$K$2989,Suzuki!$J$6:$J$2989,"&gt;="&amp;O7,Suzuki!$J$6:$J$2989,"&lt;="&amp;EOMONTH(O7,0),Suzuki!$L$6:$L$2989,$B$24)+SUMIFS('1SK3DD'!$K$6:$K$2989,'1SK3DD'!$J$6:$J$2989,"&gt;="&amp;O7,'1SK3DD'!$J$6:$J$2989,"&lt;="&amp;EOMONTH(O7,0),'1SK3DD'!$L$6:$L$2989,$B$24)+SUMIFS('1SX5TQ'!$K$6:$K$2989,'1SX5TQ'!$J$6:$J$2989,"&gt;="&amp;O7,'1SX5TQ'!$J$6:$J$2989,"&lt;="&amp;EOMONTH(O7,0),'1SX5TQ'!$L$6:$L$2989,$B$24)+SUMIFS('BMM465'!$K$6:$K$2989,'BMM465'!$J$6:$J$2989,"&gt;="&amp;O7,'BMM465'!$J$6:$J$2989,"&lt;="&amp;EOMONTH(O7,0),'BMM465'!$L$6:$L$2989,$B$24)+SUMIFS('1CF1ZO'!$K$6:$K$2989,'1CF1ZO'!$J$6:$J$2989,"&gt;="&amp;O7,'1CF1ZO'!$J$6:$J$2989,"&lt;="&amp;EOMONTH(O7,0),'1CF1ZO'!$L$6:$L$2989,$B$24)+SUMIFS('1UK1BK'!$K$6:$K$2989,'1UK1BK'!$J$6:$J$2989,"&gt;="&amp;O7,'1UK1BK'!$J$6:$J$2989,"&lt;="&amp;EOMONTH(O7,0),'1UK1BK'!$L$6:$L$2989,$B$24)</f>
        <v>#REF!</v>
      </c>
      <c r="P24" s="110" t="e">
        <f>SUMIFS('CEI565'!$K$6:$K$2990,'CEI565'!$J$6:$J$2990,"&gt;="&amp;P7,'CEI565'!$J$6:$J$2990,"&lt;="&amp;EOMONTH(P7,0),'CEI565'!$L$6:$L$2990,$B$24)+SUMIFS('1SM3VL'!$K$6:$K$2990,'1SM3VL'!$J$6:$J$2990,"&gt;="&amp;P7,'1SM3VL'!$J$6:$J$2990,"&lt;="&amp;EOMONTH(P7,0),'1SM3VL'!$L$6:$L$2990,$B$24)+SUMIFS('1QF4SM'!$K$6:$K$2989,'1QF4SM'!$J$6:$J$2989,"&gt;="&amp;P7,'1QF4SM'!$J$6:$J$2989,"&lt;="&amp;EOMONTH(P7,0),'1QF4SM'!$L$6:$L$2989,$B$24)+SUMIFS('1UV5KI'!$K$6:$K$2989,'1UV5KI'!$J$6:$J$2989,"&gt;="&amp;P7,'1UV5KI'!$J$6:$J$2989,"&lt;="&amp;EOMONTH(P7,0),'1UV5KI'!$L$6:$L$2989,$B$24)+SUMIFS(#REF!,#REF!,"&gt;="&amp;P7,#REF!,"&lt;="&amp;EOMONTH(P7,0),#REF!,$B$24)+SUMIFS('1UL9RY'!$K$6:$K$2990,'1UL9RY'!$J$6:$J$2990,"&gt;="&amp;P7,'1UL9RY'!$J$6:$J$2990,"&lt;="&amp;EOMONTH(P7,0),'1UL9RY'!$L$6:$L$2990,$B$24)+SUMIFS('1OZ7GT'!$K$6:$K$2989,'1OZ7GT'!$J$6:$J$2989,"&gt;="&amp;P7,'1OZ7GT'!$J$6:$J$2989,"&lt;="&amp;EOMONTH(P7,0),'1OZ7GT'!$L$6:$L$2989,$B$24)+SUMIFS('1CN8DD'!$K$6:$K$2989,'1CN8DD'!$J$6:$J$2989,"&gt;="&amp;P7,'1CN8DD'!$J$6:$J$2989,"&lt;="&amp;EOMONTH(P7,0),'1CN8DD'!$L$6:$L$2989,$B$24)+SUMIFS('1UT9BR'!$K$6:$K$2990,'1UT9BR'!$J$6:$J$2990,"&gt;="&amp;P7,'1UT9BR'!$J$6:$J$2990,"&lt;="&amp;EOMONTH(P7,0),'1UT9BR'!$L$6:$L$2990,$B$24)+SUMIFS('1MK4UR'!$K$6:$K$2990,'1MK4UR'!$J$6:$J$2990,"&gt;="&amp;P7,'1MK4UR'!$J$6:$J$2990,"&lt;="&amp;EOMONTH(P7,0),'1MK4UR'!$L$6:$L$2990,$B$24)+SUMIFS(#REF!,#REF!,"&gt;="&amp;P7,#REF!,"&lt;="&amp;EOMONTH(P7,0),#REF!,$B$24)+SUMIFS('1JI2UE'!$K$6:$K$2989,'1JI2UE'!$J$6:$J$2989,"&gt;="&amp;P7,'1JI2UE'!$J$6:$J$2989,"&lt;="&amp;EOMONTH(P7,0),'1JI2UE'!$L$6:$L$2989,$B$24)+SUMIFS(#REF!,#REF!,"&gt;="&amp;P7,#REF!,"&lt;="&amp;EOMONTH(P7,0),#REF!,$B$24)+SUMIFS('1SI9BW'!$K$6:$K$2989,'1SI9BW'!$J$6:$J$2989,"&gt;="&amp;P7,'1SI9BW'!$J$6:$J$2989,"&lt;="&amp;EOMONTH(P7,0),'1SI9BW'!$L$6:$L$2989,$B$24)+SUMIFS(Suzuki!$K$6:$K$2989,Suzuki!$J$6:$J$2989,"&gt;="&amp;P7,Suzuki!$J$6:$J$2989,"&lt;="&amp;EOMONTH(P7,0),Suzuki!$L$6:$L$2989,$B$24)+SUMIFS('1SK3DD'!$K$6:$K$2989,'1SK3DD'!$J$6:$J$2989,"&gt;="&amp;P7,'1SK3DD'!$J$6:$J$2989,"&lt;="&amp;EOMONTH(P7,0),'1SK3DD'!$L$6:$L$2989,$B$24)+SUMIFS('1SX5TQ'!$K$6:$K$2989,'1SX5TQ'!$J$6:$J$2989,"&gt;="&amp;P7,'1SX5TQ'!$J$6:$J$2989,"&lt;="&amp;EOMONTH(P7,0),'1SX5TQ'!$L$6:$L$2989,$B$24)+SUMIFS('BMM465'!$K$6:$K$2989,'BMM465'!$J$6:$J$2989,"&gt;="&amp;P7,'BMM465'!$J$6:$J$2989,"&lt;="&amp;EOMONTH(P7,0),'BMM465'!$L$6:$L$2989,$B$24)+SUMIFS('1CF1ZO'!$K$6:$K$2989,'1CF1ZO'!$J$6:$J$2989,"&gt;="&amp;P7,'1CF1ZO'!$J$6:$J$2989,"&lt;="&amp;EOMONTH(P7,0),'1CF1ZO'!$L$6:$L$2989,$B$24)+SUMIFS('1UK1BK'!$K$6:$K$2989,'1UK1BK'!$J$6:$J$2989,"&gt;="&amp;P7,'1UK1BK'!$J$6:$J$2989,"&lt;="&amp;EOMONTH(P7,0),'1UK1BK'!$L$6:$L$2989,$B$24)</f>
        <v>#REF!</v>
      </c>
      <c r="Q24" s="110" t="e">
        <f>SUMIFS('CEI565'!$K$6:$K$2990,'CEI565'!$J$6:$J$2990,"&gt;="&amp;Q7,'CEI565'!$J$6:$J$2990,"&lt;="&amp;EOMONTH(Q7,0),'CEI565'!$L$6:$L$2990,$B$24)+SUMIFS('1SM3VL'!$K$6:$K$2990,'1SM3VL'!$J$6:$J$2990,"&gt;="&amp;Q7,'1SM3VL'!$J$6:$J$2990,"&lt;="&amp;EOMONTH(Q7,0),'1SM3VL'!$L$6:$L$2990,$B$24)+SUMIFS('1QF4SM'!$K$6:$K$2989,'1QF4SM'!$J$6:$J$2989,"&gt;="&amp;Q7,'1QF4SM'!$J$6:$J$2989,"&lt;="&amp;EOMONTH(Q7,0),'1QF4SM'!$L$6:$L$2989,$B$24)+SUMIFS('1UV5KI'!$K$6:$K$2989,'1UV5KI'!$J$6:$J$2989,"&gt;="&amp;Q7,'1UV5KI'!$J$6:$J$2989,"&lt;="&amp;EOMONTH(Q7,0),'1UV5KI'!$L$6:$L$2989,$B$24)+SUMIFS(#REF!,#REF!,"&gt;="&amp;Q7,#REF!,"&lt;="&amp;EOMONTH(Q7,0),#REF!,$B$24)+SUMIFS('1UL9RY'!$K$6:$K$2990,'1UL9RY'!$J$6:$J$2990,"&gt;="&amp;Q7,'1UL9RY'!$J$6:$J$2990,"&lt;="&amp;EOMONTH(Q7,0),'1UL9RY'!$L$6:$L$2990,$B$24)+SUMIFS('1OZ7GT'!$K$6:$K$2989,'1OZ7GT'!$J$6:$J$2989,"&gt;="&amp;Q7,'1OZ7GT'!$J$6:$J$2989,"&lt;="&amp;EOMONTH(Q7,0),'1OZ7GT'!$L$6:$L$2989,$B$24)+SUMIFS('1CN8DD'!$K$6:$K$2989,'1CN8DD'!$J$6:$J$2989,"&gt;="&amp;Q7,'1CN8DD'!$J$6:$J$2989,"&lt;="&amp;EOMONTH(Q7,0),'1CN8DD'!$L$6:$L$2989,$B$24)+SUMIFS('1UT9BR'!$K$6:$K$2990,'1UT9BR'!$J$6:$J$2990,"&gt;="&amp;Q7,'1UT9BR'!$J$6:$J$2990,"&lt;="&amp;EOMONTH(Q7,0),'1UT9BR'!$L$6:$L$2990,$B$24)+SUMIFS('1MK4UR'!$K$6:$K$2990,'1MK4UR'!$J$6:$J$2990,"&gt;="&amp;Q7,'1MK4UR'!$J$6:$J$2990,"&lt;="&amp;EOMONTH(Q7,0),'1MK4UR'!$L$6:$L$2990,$B$24)+SUMIFS(#REF!,#REF!,"&gt;="&amp;Q7,#REF!,"&lt;="&amp;EOMONTH(Q7,0),#REF!,$B$24)+SUMIFS('1JI2UE'!$K$6:$K$2989,'1JI2UE'!$J$6:$J$2989,"&gt;="&amp;Q7,'1JI2UE'!$J$6:$J$2989,"&lt;="&amp;EOMONTH(Q7,0),'1JI2UE'!$L$6:$L$2989,$B$24)+SUMIFS(#REF!,#REF!,"&gt;="&amp;Q7,#REF!,"&lt;="&amp;EOMONTH(Q7,0),#REF!,$B$24)+SUMIFS('1SI9BW'!$K$6:$K$2989,'1SI9BW'!$J$6:$J$2989,"&gt;="&amp;Q7,'1SI9BW'!$J$6:$J$2989,"&lt;="&amp;EOMONTH(Q7,0),'1SI9BW'!$L$6:$L$2989,$B$24)+SUMIFS(Suzuki!$K$6:$K$2989,Suzuki!$J$6:$J$2989,"&gt;="&amp;Q7,Suzuki!$J$6:$J$2989,"&lt;="&amp;EOMONTH(Q7,0),Suzuki!$L$6:$L$2989,$B$24)+SUMIFS('1SK3DD'!$K$6:$K$2989,'1SK3DD'!$J$6:$J$2989,"&gt;="&amp;Q7,'1SK3DD'!$J$6:$J$2989,"&lt;="&amp;EOMONTH(Q7,0),'1SK3DD'!$L$6:$L$2989,$B$24)+SUMIFS('1SX5TQ'!$K$6:$K$2989,'1SX5TQ'!$J$6:$J$2989,"&gt;="&amp;Q7,'1SX5TQ'!$J$6:$J$2989,"&lt;="&amp;EOMONTH(Q7,0),'1SX5TQ'!$L$6:$L$2989,$B$24)+SUMIFS('BMM465'!$K$6:$K$2989,'BMM465'!$J$6:$J$2989,"&gt;="&amp;Q7,'BMM465'!$J$6:$J$2989,"&lt;="&amp;EOMONTH(Q7,0),'BMM465'!$L$6:$L$2989,$B$24)+SUMIFS('1CF1ZO'!$K$6:$K$2989,'1CF1ZO'!$J$6:$J$2989,"&gt;="&amp;Q7,'1CF1ZO'!$J$6:$J$2989,"&lt;="&amp;EOMONTH(Q7,0),'1CF1ZO'!$L$6:$L$2989,$B$24)+SUMIFS('1UK1BK'!$K$6:$K$2989,'1UK1BK'!$J$6:$J$2989,"&gt;="&amp;Q7,'1UK1BK'!$J$6:$J$2989,"&lt;="&amp;EOMONTH(Q7,0),'1UK1BK'!$L$6:$L$2989,$B$24)</f>
        <v>#REF!</v>
      </c>
      <c r="R24" s="110" t="e">
        <f>SUMIFS('CEI565'!$K$6:$K$2990,'CEI565'!$J$6:$J$2990,"&gt;="&amp;R7,'CEI565'!$J$6:$J$2990,"&lt;="&amp;EOMONTH(R7,0),'CEI565'!$L$6:$L$2990,$B$24)+SUMIFS('1SM3VL'!$K$6:$K$2990,'1SM3VL'!$J$6:$J$2990,"&gt;="&amp;R7,'1SM3VL'!$J$6:$J$2990,"&lt;="&amp;EOMONTH(R7,0),'1SM3VL'!$L$6:$L$2990,$B$24)+SUMIFS('1QF4SM'!$K$6:$K$2989,'1QF4SM'!$J$6:$J$2989,"&gt;="&amp;R7,'1QF4SM'!$J$6:$J$2989,"&lt;="&amp;EOMONTH(R7,0),'1QF4SM'!$L$6:$L$2989,$B$24)+SUMIFS('1UV5KI'!$K$6:$K$2989,'1UV5KI'!$J$6:$J$2989,"&gt;="&amp;R7,'1UV5KI'!$J$6:$J$2989,"&lt;="&amp;EOMONTH(R7,0),'1UV5KI'!$L$6:$L$2989,$B$24)+SUMIFS(#REF!,#REF!,"&gt;="&amp;R7,#REF!,"&lt;="&amp;EOMONTH(R7,0),#REF!,$B$24)+SUMIFS('1UL9RY'!$K$6:$K$2990,'1UL9RY'!$J$6:$J$2990,"&gt;="&amp;R7,'1UL9RY'!$J$6:$J$2990,"&lt;="&amp;EOMONTH(R7,0),'1UL9RY'!$L$6:$L$2990,$B$24)+SUMIFS('1OZ7GT'!$K$6:$K$2989,'1OZ7GT'!$J$6:$J$2989,"&gt;="&amp;R7,'1OZ7GT'!$J$6:$J$2989,"&lt;="&amp;EOMONTH(R7,0),'1OZ7GT'!$L$6:$L$2989,$B$24)+SUMIFS('1CN8DD'!$K$6:$K$2989,'1CN8DD'!$J$6:$J$2989,"&gt;="&amp;R7,'1CN8DD'!$J$6:$J$2989,"&lt;="&amp;EOMONTH(R7,0),'1CN8DD'!$L$6:$L$2989,$B$24)+SUMIFS('1UT9BR'!$K$6:$K$2990,'1UT9BR'!$J$6:$J$2990,"&gt;="&amp;R7,'1UT9BR'!$J$6:$J$2990,"&lt;="&amp;EOMONTH(R7,0),'1UT9BR'!$L$6:$L$2990,$B$24)+SUMIFS('1MK4UR'!$K$6:$K$2990,'1MK4UR'!$J$6:$J$2990,"&gt;="&amp;R7,'1MK4UR'!$J$6:$J$2990,"&lt;="&amp;EOMONTH(R7,0),'1MK4UR'!$L$6:$L$2990,$B$24)+SUMIFS(#REF!,#REF!,"&gt;="&amp;R7,#REF!,"&lt;="&amp;EOMONTH(R7,0),#REF!,$B$24)+SUMIFS('1JI2UE'!$K$6:$K$2989,'1JI2UE'!$J$6:$J$2989,"&gt;="&amp;R7,'1JI2UE'!$J$6:$J$2989,"&lt;="&amp;EOMONTH(R7,0),'1JI2UE'!$L$6:$L$2989,$B$24)+SUMIFS(#REF!,#REF!,"&gt;="&amp;R7,#REF!,"&lt;="&amp;EOMONTH(R7,0),#REF!,$B$24)+SUMIFS('1SI9BW'!$K$6:$K$2989,'1SI9BW'!$J$6:$J$2989,"&gt;="&amp;R7,'1SI9BW'!$J$6:$J$2989,"&lt;="&amp;EOMONTH(R7,0),'1SI9BW'!$L$6:$L$2989,$B$24)+SUMIFS(Suzuki!$K$6:$K$2989,Suzuki!$J$6:$J$2989,"&gt;="&amp;R7,Suzuki!$J$6:$J$2989,"&lt;="&amp;EOMONTH(R7,0),Suzuki!$L$6:$L$2989,$B$24)+SUMIFS('1SK3DD'!$K$6:$K$2989,'1SK3DD'!$J$6:$J$2989,"&gt;="&amp;R7,'1SK3DD'!$J$6:$J$2989,"&lt;="&amp;EOMONTH(R7,0),'1SK3DD'!$L$6:$L$2989,$B$24)+SUMIFS('1SX5TQ'!$K$6:$K$2989,'1SX5TQ'!$J$6:$J$2989,"&gt;="&amp;R7,'1SX5TQ'!$J$6:$J$2989,"&lt;="&amp;EOMONTH(R7,0),'1SX5TQ'!$L$6:$L$2989,$B$24)+SUMIFS('BMM465'!$K$6:$K$2989,'BMM465'!$J$6:$J$2989,"&gt;="&amp;R7,'BMM465'!$J$6:$J$2989,"&lt;="&amp;EOMONTH(R7,0),'BMM465'!$L$6:$L$2989,$B$24)+SUMIFS('1CF1ZO'!$K$6:$K$2989,'1CF1ZO'!$J$6:$J$2989,"&gt;="&amp;R7,'1CF1ZO'!$J$6:$J$2989,"&lt;="&amp;EOMONTH(R7,0),'1CF1ZO'!$L$6:$L$2989,$B$24)+SUMIFS('1UK1BK'!$K$6:$K$2989,'1UK1BK'!$J$6:$J$2989,"&gt;="&amp;R7,'1UK1BK'!$J$6:$J$2989,"&lt;="&amp;EOMONTH(R7,0),'1UK1BK'!$L$6:$L$2989,$B$24)</f>
        <v>#REF!</v>
      </c>
      <c r="S24" s="110" t="e">
        <f>SUMIFS('CEI565'!$K$6:$K$2990,'CEI565'!$J$6:$J$2990,"&gt;="&amp;S7,'CEI565'!$J$6:$J$2990,"&lt;="&amp;EOMONTH(S7,0),'CEI565'!$L$6:$L$2990,$B$24)+SUMIFS('1SM3VL'!$K$6:$K$2990,'1SM3VL'!$J$6:$J$2990,"&gt;="&amp;S7,'1SM3VL'!$J$6:$J$2990,"&lt;="&amp;EOMONTH(S7,0),'1SM3VL'!$L$6:$L$2990,$B$24)+SUMIFS('1QF4SM'!$K$6:$K$2989,'1QF4SM'!$J$6:$J$2989,"&gt;="&amp;S7,'1QF4SM'!$J$6:$J$2989,"&lt;="&amp;EOMONTH(S7,0),'1QF4SM'!$L$6:$L$2989,$B$24)+SUMIFS('1UV5KI'!$K$6:$K$2989,'1UV5KI'!$J$6:$J$2989,"&gt;="&amp;S7,'1UV5KI'!$J$6:$J$2989,"&lt;="&amp;EOMONTH(S7,0),'1UV5KI'!$L$6:$L$2989,$B$24)+SUMIFS(#REF!,#REF!,"&gt;="&amp;S7,#REF!,"&lt;="&amp;EOMONTH(S7,0),#REF!,$B$24)+SUMIFS('1UL9RY'!$K$6:$K$2990,'1UL9RY'!$J$6:$J$2990,"&gt;="&amp;S7,'1UL9RY'!$J$6:$J$2990,"&lt;="&amp;EOMONTH(S7,0),'1UL9RY'!$L$6:$L$2990,$B$24)+SUMIFS('1OZ7GT'!$K$6:$K$2989,'1OZ7GT'!$J$6:$J$2989,"&gt;="&amp;S7,'1OZ7GT'!$J$6:$J$2989,"&lt;="&amp;EOMONTH(S7,0),'1OZ7GT'!$L$6:$L$2989,$B$24)+SUMIFS('1CN8DD'!$K$6:$K$2989,'1CN8DD'!$J$6:$J$2989,"&gt;="&amp;S7,'1CN8DD'!$J$6:$J$2989,"&lt;="&amp;EOMONTH(S7,0),'1CN8DD'!$L$6:$L$2989,$B$24)+SUMIFS('1UT9BR'!$K$6:$K$2990,'1UT9BR'!$J$6:$J$2990,"&gt;="&amp;S7,'1UT9BR'!$J$6:$J$2990,"&lt;="&amp;EOMONTH(S7,0),'1UT9BR'!$L$6:$L$2990,$B$24)+SUMIFS('1MK4UR'!$K$6:$K$2990,'1MK4UR'!$J$6:$J$2990,"&gt;="&amp;S7,'1MK4UR'!$J$6:$J$2990,"&lt;="&amp;EOMONTH(S7,0),'1MK4UR'!$L$6:$L$2990,$B$24)+SUMIFS(#REF!,#REF!,"&gt;="&amp;S7,#REF!,"&lt;="&amp;EOMONTH(S7,0),#REF!,$B$24)+SUMIFS('1JI2UE'!$K$6:$K$2989,'1JI2UE'!$J$6:$J$2989,"&gt;="&amp;S7,'1JI2UE'!$J$6:$J$2989,"&lt;="&amp;EOMONTH(S7,0),'1JI2UE'!$L$6:$L$2989,$B$24)+SUMIFS(#REF!,#REF!,"&gt;="&amp;S7,#REF!,"&lt;="&amp;EOMONTH(S7,0),#REF!,$B$24)+SUMIFS('1SI9BW'!$K$6:$K$2989,'1SI9BW'!$J$6:$J$2989,"&gt;="&amp;S7,'1SI9BW'!$J$6:$J$2989,"&lt;="&amp;EOMONTH(S7,0),'1SI9BW'!$L$6:$L$2989,$B$24)+SUMIFS(Suzuki!$K$6:$K$2989,Suzuki!$J$6:$J$2989,"&gt;="&amp;S7,Suzuki!$J$6:$J$2989,"&lt;="&amp;EOMONTH(S7,0),Suzuki!$L$6:$L$2989,$B$24)+SUMIFS('1SK3DD'!$K$6:$K$2989,'1SK3DD'!$J$6:$J$2989,"&gt;="&amp;S7,'1SK3DD'!$J$6:$J$2989,"&lt;="&amp;EOMONTH(S7,0),'1SK3DD'!$L$6:$L$2989,$B$24)+SUMIFS('1SX5TQ'!$K$6:$K$2989,'1SX5TQ'!$J$6:$J$2989,"&gt;="&amp;S7,'1SX5TQ'!$J$6:$J$2989,"&lt;="&amp;EOMONTH(S7,0),'1SX5TQ'!$L$6:$L$2989,$B$24)+SUMIFS('BMM465'!$K$6:$K$2989,'BMM465'!$J$6:$J$2989,"&gt;="&amp;S7,'BMM465'!$J$6:$J$2989,"&lt;="&amp;EOMONTH(S7,0),'BMM465'!$L$6:$L$2989,$B$24)+SUMIFS('1CF1ZO'!$K$6:$K$2989,'1CF1ZO'!$J$6:$J$2989,"&gt;="&amp;S7,'1CF1ZO'!$J$6:$J$2989,"&lt;="&amp;EOMONTH(S7,0),'1CF1ZO'!$L$6:$L$2989,$B$24)+SUMIFS('1UK1BK'!$K$6:$K$2989,'1UK1BK'!$J$6:$J$2989,"&gt;="&amp;S7,'1UK1BK'!$J$6:$J$2989,"&lt;="&amp;EOMONTH(S7,0),'1UK1BK'!$L$6:$L$2989,$B$24)</f>
        <v>#REF!</v>
      </c>
      <c r="T24" s="110" t="e">
        <f>SUMIFS('CEI565'!$K$6:$K$2990,'CEI565'!$J$6:$J$2990,"&gt;="&amp;T7,'CEI565'!$J$6:$J$2990,"&lt;="&amp;EOMONTH(T7,0),'CEI565'!$L$6:$L$2990,$B$24)+SUMIFS('1SM3VL'!$K$6:$K$2990,'1SM3VL'!$J$6:$J$2990,"&gt;="&amp;T7,'1SM3VL'!$J$6:$J$2990,"&lt;="&amp;EOMONTH(T7,0),'1SM3VL'!$L$6:$L$2990,$B$24)+SUMIFS('1QF4SM'!$K$6:$K$2989,'1QF4SM'!$J$6:$J$2989,"&gt;="&amp;T7,'1QF4SM'!$J$6:$J$2989,"&lt;="&amp;EOMONTH(T7,0),'1QF4SM'!$L$6:$L$2989,$B$24)+SUMIFS('1UV5KI'!$K$6:$K$2989,'1UV5KI'!$J$6:$J$2989,"&gt;="&amp;T7,'1UV5KI'!$J$6:$J$2989,"&lt;="&amp;EOMONTH(T7,0),'1UV5KI'!$L$6:$L$2989,$B$24)+SUMIFS(#REF!,#REF!,"&gt;="&amp;T7,#REF!,"&lt;="&amp;EOMONTH(T7,0),#REF!,$B$24)+SUMIFS('1UL9RY'!$K$6:$K$2990,'1UL9RY'!$J$6:$J$2990,"&gt;="&amp;T7,'1UL9RY'!$J$6:$J$2990,"&lt;="&amp;EOMONTH(T7,0),'1UL9RY'!$L$6:$L$2990,$B$24)+SUMIFS('1OZ7GT'!$K$6:$K$2989,'1OZ7GT'!$J$6:$J$2989,"&gt;="&amp;T7,'1OZ7GT'!$J$6:$J$2989,"&lt;="&amp;EOMONTH(T7,0),'1OZ7GT'!$L$6:$L$2989,$B$24)+SUMIFS('1CN8DD'!$K$6:$K$2989,'1CN8DD'!$J$6:$J$2989,"&gt;="&amp;T7,'1CN8DD'!$J$6:$J$2989,"&lt;="&amp;EOMONTH(T7,0),'1CN8DD'!$L$6:$L$2989,$B$24)+SUMIFS('1UT9BR'!$K$6:$K$2990,'1UT9BR'!$J$6:$J$2990,"&gt;="&amp;T7,'1UT9BR'!$J$6:$J$2990,"&lt;="&amp;EOMONTH(T7,0),'1UT9BR'!$L$6:$L$2990,$B$24)+SUMIFS('1MK4UR'!$K$6:$K$2990,'1MK4UR'!$J$6:$J$2990,"&gt;="&amp;T7,'1MK4UR'!$J$6:$J$2990,"&lt;="&amp;EOMONTH(T7,0),'1MK4UR'!$L$6:$L$2990,$B$24)+SUMIFS(#REF!,#REF!,"&gt;="&amp;T7,#REF!,"&lt;="&amp;EOMONTH(T7,0),#REF!,$B$24)+SUMIFS('1JI2UE'!$K$6:$K$2989,'1JI2UE'!$J$6:$J$2989,"&gt;="&amp;T7,'1JI2UE'!$J$6:$J$2989,"&lt;="&amp;EOMONTH(T7,0),'1JI2UE'!$L$6:$L$2989,$B$24)+SUMIFS(#REF!,#REF!,"&gt;="&amp;T7,#REF!,"&lt;="&amp;EOMONTH(T7,0),#REF!,$B$24)+SUMIFS('1SI9BW'!$K$6:$K$2989,'1SI9BW'!$J$6:$J$2989,"&gt;="&amp;T7,'1SI9BW'!$J$6:$J$2989,"&lt;="&amp;EOMONTH(T7,0),'1SI9BW'!$L$6:$L$2989,$B$24)+SUMIFS(Suzuki!$K$6:$K$2989,Suzuki!$J$6:$J$2989,"&gt;="&amp;T7,Suzuki!$J$6:$J$2989,"&lt;="&amp;EOMONTH(T7,0),Suzuki!$L$6:$L$2989,$B$24)+SUMIFS('1SK3DD'!$K$6:$K$2989,'1SK3DD'!$J$6:$J$2989,"&gt;="&amp;T7,'1SK3DD'!$J$6:$J$2989,"&lt;="&amp;EOMONTH(T7,0),'1SK3DD'!$L$6:$L$2989,$B$24)+SUMIFS('1SX5TQ'!$K$6:$K$2989,'1SX5TQ'!$J$6:$J$2989,"&gt;="&amp;T7,'1SX5TQ'!$J$6:$J$2989,"&lt;="&amp;EOMONTH(T7,0),'1SX5TQ'!$L$6:$L$2989,$B$24)+SUMIFS('BMM465'!$K$6:$K$2989,'BMM465'!$J$6:$J$2989,"&gt;="&amp;T7,'BMM465'!$J$6:$J$2989,"&lt;="&amp;EOMONTH(T7,0),'BMM465'!$L$6:$L$2989,$B$24)+SUMIFS('1CF1ZO'!$K$6:$K$2989,'1CF1ZO'!$J$6:$J$2989,"&gt;="&amp;T7,'1CF1ZO'!$J$6:$J$2989,"&lt;="&amp;EOMONTH(T7,0),'1CF1ZO'!$L$6:$L$2989,$B$24)+SUMIFS('1UK1BK'!$K$6:$K$2989,'1UK1BK'!$J$6:$J$2989,"&gt;="&amp;T7,'1UK1BK'!$J$6:$J$2989,"&lt;="&amp;EOMONTH(T7,0),'1UK1BK'!$L$6:$L$2989,$B$24)</f>
        <v>#REF!</v>
      </c>
      <c r="U24" s="110" t="e">
        <f>SUMIFS('CEI565'!$K$6:$K$2990,'CEI565'!$J$6:$J$2990,"&gt;="&amp;U7,'CEI565'!$J$6:$J$2990,"&lt;="&amp;EOMONTH(U7,0),'CEI565'!$L$6:$L$2990,$B$24)+SUMIFS('1SM3VL'!$K$6:$K$2990,'1SM3VL'!$J$6:$J$2990,"&gt;="&amp;U7,'1SM3VL'!$J$6:$J$2990,"&lt;="&amp;EOMONTH(U7,0),'1SM3VL'!$L$6:$L$2990,$B$24)+SUMIFS('1QF4SM'!$K$6:$K$2989,'1QF4SM'!$J$6:$J$2989,"&gt;="&amp;U7,'1QF4SM'!$J$6:$J$2989,"&lt;="&amp;EOMONTH(U7,0),'1QF4SM'!$L$6:$L$2989,$B$24)+SUMIFS('1UV5KI'!$K$6:$K$2989,'1UV5KI'!$J$6:$J$2989,"&gt;="&amp;U7,'1UV5KI'!$J$6:$J$2989,"&lt;="&amp;EOMONTH(U7,0),'1UV5KI'!$L$6:$L$2989,$B$24)+SUMIFS(#REF!,#REF!,"&gt;="&amp;U7,#REF!,"&lt;="&amp;EOMONTH(U7,0),#REF!,$B$24)+SUMIFS('1UL9RY'!$K$6:$K$2990,'1UL9RY'!$J$6:$J$2990,"&gt;="&amp;U7,'1UL9RY'!$J$6:$J$2990,"&lt;="&amp;EOMONTH(U7,0),'1UL9RY'!$L$6:$L$2990,$B$24)+SUMIFS('1OZ7GT'!$K$6:$K$2989,'1OZ7GT'!$J$6:$J$2989,"&gt;="&amp;U7,'1OZ7GT'!$J$6:$J$2989,"&lt;="&amp;EOMONTH(U7,0),'1OZ7GT'!$L$6:$L$2989,$B$24)+SUMIFS('1CN8DD'!$K$6:$K$2989,'1CN8DD'!$J$6:$J$2989,"&gt;="&amp;U7,'1CN8DD'!$J$6:$J$2989,"&lt;="&amp;EOMONTH(U7,0),'1CN8DD'!$L$6:$L$2989,$B$24)+SUMIFS('1UT9BR'!$K$6:$K$2990,'1UT9BR'!$J$6:$J$2990,"&gt;="&amp;U7,'1UT9BR'!$J$6:$J$2990,"&lt;="&amp;EOMONTH(U7,0),'1UT9BR'!$L$6:$L$2990,$B$24)+SUMIFS('1MK4UR'!$K$6:$K$2990,'1MK4UR'!$J$6:$J$2990,"&gt;="&amp;U7,'1MK4UR'!$J$6:$J$2990,"&lt;="&amp;EOMONTH(U7,0),'1MK4UR'!$L$6:$L$2990,$B$24)+SUMIFS(#REF!,#REF!,"&gt;="&amp;U7,#REF!,"&lt;="&amp;EOMONTH(U7,0),#REF!,$B$24)+SUMIFS('1JI2UE'!$K$6:$K$2989,'1JI2UE'!$J$6:$J$2989,"&gt;="&amp;U7,'1JI2UE'!$J$6:$J$2989,"&lt;="&amp;EOMONTH(U7,0),'1JI2UE'!$L$6:$L$2989,$B$24)+SUMIFS(#REF!,#REF!,"&gt;="&amp;U7,#REF!,"&lt;="&amp;EOMONTH(U7,0),#REF!,$B$24)+SUMIFS('1SI9BW'!$K$6:$K$2989,'1SI9BW'!$J$6:$J$2989,"&gt;="&amp;U7,'1SI9BW'!$J$6:$J$2989,"&lt;="&amp;EOMONTH(U7,0),'1SI9BW'!$L$6:$L$2989,$B$24)+SUMIFS(Suzuki!$K$6:$K$2989,Suzuki!$J$6:$J$2989,"&gt;="&amp;U7,Suzuki!$J$6:$J$2989,"&lt;="&amp;EOMONTH(U7,0),Suzuki!$L$6:$L$2989,$B$24)+SUMIFS('1SK3DD'!$K$6:$K$2989,'1SK3DD'!$J$6:$J$2989,"&gt;="&amp;U7,'1SK3DD'!$J$6:$J$2989,"&lt;="&amp;EOMONTH(U7,0),'1SK3DD'!$L$6:$L$2989,$B$24)+SUMIFS('1SX5TQ'!$K$6:$K$2989,'1SX5TQ'!$J$6:$J$2989,"&gt;="&amp;U7,'1SX5TQ'!$J$6:$J$2989,"&lt;="&amp;EOMONTH(U7,0),'1SX5TQ'!$L$6:$L$2989,$B$24)+SUMIFS('BMM465'!$K$6:$K$2989,'BMM465'!$J$6:$J$2989,"&gt;="&amp;U7,'BMM465'!$J$6:$J$2989,"&lt;="&amp;EOMONTH(U7,0),'BMM465'!$L$6:$L$2989,$B$24)+SUMIFS('1CF1ZO'!$K$6:$K$2989,'1CF1ZO'!$J$6:$J$2989,"&gt;="&amp;U7,'1CF1ZO'!$J$6:$J$2989,"&lt;="&amp;EOMONTH(U7,0),'1CF1ZO'!$L$6:$L$2989,$B$24)+SUMIFS('1UK1BK'!$K$6:$K$2989,'1UK1BK'!$J$6:$J$2989,"&gt;="&amp;U7,'1UK1BK'!$J$6:$J$2989,"&lt;="&amp;EOMONTH(U7,0),'1UK1BK'!$L$6:$L$2989,$B$24)</f>
        <v>#REF!</v>
      </c>
      <c r="V24" s="110" t="e">
        <f>SUMIFS('CEI565'!$K$6:$K$2990,'CEI565'!$J$6:$J$2990,"&gt;="&amp;V7,'CEI565'!$J$6:$J$2990,"&lt;="&amp;EOMONTH(V7,0),'CEI565'!$L$6:$L$2990,$B$24)+SUMIFS('1SM3VL'!$K$6:$K$2990,'1SM3VL'!$J$6:$J$2990,"&gt;="&amp;V7,'1SM3VL'!$J$6:$J$2990,"&lt;="&amp;EOMONTH(V7,0),'1SM3VL'!$L$6:$L$2990,$B$24)+SUMIFS('1QF4SM'!$K$6:$K$2989,'1QF4SM'!$J$6:$J$2989,"&gt;="&amp;V7,'1QF4SM'!$J$6:$J$2989,"&lt;="&amp;EOMONTH(V7,0),'1QF4SM'!$L$6:$L$2989,$B$24)+SUMIFS('1UV5KI'!$K$6:$K$2989,'1UV5KI'!$J$6:$J$2989,"&gt;="&amp;V7,'1UV5KI'!$J$6:$J$2989,"&lt;="&amp;EOMONTH(V7,0),'1UV5KI'!$L$6:$L$2989,$B$24)+SUMIFS(#REF!,#REF!,"&gt;="&amp;V7,#REF!,"&lt;="&amp;EOMONTH(V7,0),#REF!,$B$24)+SUMIFS('1UL9RY'!$K$6:$K$2990,'1UL9RY'!$J$6:$J$2990,"&gt;="&amp;V7,'1UL9RY'!$J$6:$J$2990,"&lt;="&amp;EOMONTH(V7,0),'1UL9RY'!$L$6:$L$2990,$B$24)+SUMIFS('1OZ7GT'!$K$6:$K$2989,'1OZ7GT'!$J$6:$J$2989,"&gt;="&amp;V7,'1OZ7GT'!$J$6:$J$2989,"&lt;="&amp;EOMONTH(V7,0),'1OZ7GT'!$L$6:$L$2989,$B$24)+SUMIFS('1CN8DD'!$K$6:$K$2989,'1CN8DD'!$J$6:$J$2989,"&gt;="&amp;V7,'1CN8DD'!$J$6:$J$2989,"&lt;="&amp;EOMONTH(V7,0),'1CN8DD'!$L$6:$L$2989,$B$24)+SUMIFS('1UT9BR'!$K$6:$K$2990,'1UT9BR'!$J$6:$J$2990,"&gt;="&amp;V7,'1UT9BR'!$J$6:$J$2990,"&lt;="&amp;EOMONTH(V7,0),'1UT9BR'!$L$6:$L$2990,$B$24)+SUMIFS('1MK4UR'!$K$6:$K$2990,'1MK4UR'!$J$6:$J$2990,"&gt;="&amp;V7,'1MK4UR'!$J$6:$J$2990,"&lt;="&amp;EOMONTH(V7,0),'1MK4UR'!$L$6:$L$2990,$B$24)+SUMIFS(#REF!,#REF!,"&gt;="&amp;V7,#REF!,"&lt;="&amp;EOMONTH(V7,0),#REF!,$B$24)+SUMIFS('1JI2UE'!$K$6:$K$2989,'1JI2UE'!$J$6:$J$2989,"&gt;="&amp;V7,'1JI2UE'!$J$6:$J$2989,"&lt;="&amp;EOMONTH(V7,0),'1JI2UE'!$L$6:$L$2989,$B$24)+SUMIFS(#REF!,#REF!,"&gt;="&amp;V7,#REF!,"&lt;="&amp;EOMONTH(V7,0),#REF!,$B$24)+SUMIFS('1SI9BW'!$K$6:$K$2989,'1SI9BW'!$J$6:$J$2989,"&gt;="&amp;V7,'1SI9BW'!$J$6:$J$2989,"&lt;="&amp;EOMONTH(V7,0),'1SI9BW'!$L$6:$L$2989,$B$24)+SUMIFS(Suzuki!$K$6:$K$2989,Suzuki!$J$6:$J$2989,"&gt;="&amp;V7,Suzuki!$J$6:$J$2989,"&lt;="&amp;EOMONTH(V7,0),Suzuki!$L$6:$L$2989,$B$24)+SUMIFS('1SK3DD'!$K$6:$K$2989,'1SK3DD'!$J$6:$J$2989,"&gt;="&amp;V7,'1SK3DD'!$J$6:$J$2989,"&lt;="&amp;EOMONTH(V7,0),'1SK3DD'!$L$6:$L$2989,$B$24)+SUMIFS('1SX5TQ'!$K$6:$K$2989,'1SX5TQ'!$J$6:$J$2989,"&gt;="&amp;V7,'1SX5TQ'!$J$6:$J$2989,"&lt;="&amp;EOMONTH(V7,0),'1SX5TQ'!$L$6:$L$2989,$B$24)+SUMIFS('BMM465'!$K$6:$K$2989,'BMM465'!$J$6:$J$2989,"&gt;="&amp;V7,'BMM465'!$J$6:$J$2989,"&lt;="&amp;EOMONTH(V7,0),'BMM465'!$L$6:$L$2989,$B$24)+SUMIFS('1CF1ZO'!$K$6:$K$2989,'1CF1ZO'!$J$6:$J$2989,"&gt;="&amp;V7,'1CF1ZO'!$J$6:$J$2989,"&lt;="&amp;EOMONTH(V7,0),'1CF1ZO'!$L$6:$L$2989,$B$24)+SUMIFS('1UK1BK'!$K$6:$K$2989,'1UK1BK'!$J$6:$J$2989,"&gt;="&amp;V7,'1UK1BK'!$J$6:$J$2989,"&lt;="&amp;EOMONTH(V7,0),'1UK1BK'!$L$6:$L$2989,$B$24)</f>
        <v>#REF!</v>
      </c>
      <c r="W24" s="110" t="e">
        <f>SUMIFS('CEI565'!$K$6:$K$2990,'CEI565'!$J$6:$J$2990,"&gt;="&amp;W7,'CEI565'!$J$6:$J$2990,"&lt;="&amp;EOMONTH(W7,0),'CEI565'!$L$6:$L$2990,$B$24)+SUMIFS('1SM3VL'!$K$6:$K$2990,'1SM3VL'!$J$6:$J$2990,"&gt;="&amp;W7,'1SM3VL'!$J$6:$J$2990,"&lt;="&amp;EOMONTH(W7,0),'1SM3VL'!$L$6:$L$2990,$B$24)+SUMIFS('1QF4SM'!$K$6:$K$2989,'1QF4SM'!$J$6:$J$2989,"&gt;="&amp;W7,'1QF4SM'!$J$6:$J$2989,"&lt;="&amp;EOMONTH(W7,0),'1QF4SM'!$L$6:$L$2989,$B$24)+SUMIFS('1UV5KI'!$K$6:$K$2989,'1UV5KI'!$J$6:$J$2989,"&gt;="&amp;W7,'1UV5KI'!$J$6:$J$2989,"&lt;="&amp;EOMONTH(W7,0),'1UV5KI'!$L$6:$L$2989,$B$24)+SUMIFS(#REF!,#REF!,"&gt;="&amp;W7,#REF!,"&lt;="&amp;EOMONTH(W7,0),#REF!,$B$24)+SUMIFS('1UL9RY'!$K$6:$K$2990,'1UL9RY'!$J$6:$J$2990,"&gt;="&amp;W7,'1UL9RY'!$J$6:$J$2990,"&lt;="&amp;EOMONTH(W7,0),'1UL9RY'!$L$6:$L$2990,$B$24)+SUMIFS('1OZ7GT'!$K$6:$K$2989,'1OZ7GT'!$J$6:$J$2989,"&gt;="&amp;W7,'1OZ7GT'!$J$6:$J$2989,"&lt;="&amp;EOMONTH(W7,0),'1OZ7GT'!$L$6:$L$2989,$B$24)+SUMIFS('1CN8DD'!$K$6:$K$2989,'1CN8DD'!$J$6:$J$2989,"&gt;="&amp;W7,'1CN8DD'!$J$6:$J$2989,"&lt;="&amp;EOMONTH(W7,0),'1CN8DD'!$L$6:$L$2989,$B$24)+SUMIFS('1UT9BR'!$K$6:$K$2990,'1UT9BR'!$J$6:$J$2990,"&gt;="&amp;W7,'1UT9BR'!$J$6:$J$2990,"&lt;="&amp;EOMONTH(W7,0),'1UT9BR'!$L$6:$L$2990,$B$24)+SUMIFS('1MK4UR'!$K$6:$K$2990,'1MK4UR'!$J$6:$J$2990,"&gt;="&amp;W7,'1MK4UR'!$J$6:$J$2990,"&lt;="&amp;EOMONTH(W7,0),'1MK4UR'!$L$6:$L$2990,$B$24)+SUMIFS(#REF!,#REF!,"&gt;="&amp;W7,#REF!,"&lt;="&amp;EOMONTH(W7,0),#REF!,$B$24)+SUMIFS('1JI2UE'!$K$6:$K$2989,'1JI2UE'!$J$6:$J$2989,"&gt;="&amp;W7,'1JI2UE'!$J$6:$J$2989,"&lt;="&amp;EOMONTH(W7,0),'1JI2UE'!$L$6:$L$2989,$B$24)+SUMIFS(#REF!,#REF!,"&gt;="&amp;W7,#REF!,"&lt;="&amp;EOMONTH(W7,0),#REF!,$B$24)+SUMIFS('1SI9BW'!$K$6:$K$2989,'1SI9BW'!$J$6:$J$2989,"&gt;="&amp;W7,'1SI9BW'!$J$6:$J$2989,"&lt;="&amp;EOMONTH(W7,0),'1SI9BW'!$L$6:$L$2989,$B$24)+SUMIFS(Suzuki!$K$6:$K$2989,Suzuki!$J$6:$J$2989,"&gt;="&amp;W7,Suzuki!$J$6:$J$2989,"&lt;="&amp;EOMONTH(W7,0),Suzuki!$L$6:$L$2989,$B$24)+SUMIFS('1SK3DD'!$K$6:$K$2989,'1SK3DD'!$J$6:$J$2989,"&gt;="&amp;W7,'1SK3DD'!$J$6:$J$2989,"&lt;="&amp;EOMONTH(W7,0),'1SK3DD'!$L$6:$L$2989,$B$24)+SUMIFS('1SX5TQ'!$K$6:$K$2989,'1SX5TQ'!$J$6:$J$2989,"&gt;="&amp;W7,'1SX5TQ'!$J$6:$J$2989,"&lt;="&amp;EOMONTH(W7,0),'1SX5TQ'!$L$6:$L$2989,$B$24)+SUMIFS('BMM465'!$K$6:$K$2989,'BMM465'!$J$6:$J$2989,"&gt;="&amp;W7,'BMM465'!$J$6:$J$2989,"&lt;="&amp;EOMONTH(W7,0),'BMM465'!$L$6:$L$2989,$B$24)+SUMIFS('1CF1ZO'!$K$6:$K$2989,'1CF1ZO'!$J$6:$J$2989,"&gt;="&amp;W7,'1CF1ZO'!$J$6:$J$2989,"&lt;="&amp;EOMONTH(W7,0),'1CF1ZO'!$L$6:$L$2989,$B$24)+SUMIFS('1UK1BK'!$K$6:$K$2989,'1UK1BK'!$J$6:$J$2989,"&gt;="&amp;W7,'1UK1BK'!$J$6:$J$2989,"&lt;="&amp;EOMONTH(W7,0),'1UK1BK'!$L$6:$L$2989,$B$24)</f>
        <v>#REF!</v>
      </c>
      <c r="X24" s="110" t="e">
        <f>SUMIFS('CEI565'!$K$6:$K$2990,'CEI565'!$J$6:$J$2990,"&gt;="&amp;X7,'CEI565'!$J$6:$J$2990,"&lt;="&amp;EOMONTH(X7,0),'CEI565'!$L$6:$L$2990,$B$24)+SUMIFS('1SM3VL'!$K$6:$K$2990,'1SM3VL'!$J$6:$J$2990,"&gt;="&amp;X7,'1SM3VL'!$J$6:$J$2990,"&lt;="&amp;EOMONTH(X7,0),'1SM3VL'!$L$6:$L$2990,$B$24)+SUMIFS('1QF4SM'!$K$6:$K$2989,'1QF4SM'!$J$6:$J$2989,"&gt;="&amp;X7,'1QF4SM'!$J$6:$J$2989,"&lt;="&amp;EOMONTH(X7,0),'1QF4SM'!$L$6:$L$2989,$B$24)+SUMIFS('1UV5KI'!$K$6:$K$2989,'1UV5KI'!$J$6:$J$2989,"&gt;="&amp;X7,'1UV5KI'!$J$6:$J$2989,"&lt;="&amp;EOMONTH(X7,0),'1UV5KI'!$L$6:$L$2989,$B$24)+SUMIFS(#REF!,#REF!,"&gt;="&amp;X7,#REF!,"&lt;="&amp;EOMONTH(X7,0),#REF!,$B$24)+SUMIFS('1UL9RY'!$K$6:$K$2990,'1UL9RY'!$J$6:$J$2990,"&gt;="&amp;X7,'1UL9RY'!$J$6:$J$2990,"&lt;="&amp;EOMONTH(X7,0),'1UL9RY'!$L$6:$L$2990,$B$24)+SUMIFS('1OZ7GT'!$K$6:$K$2989,'1OZ7GT'!$J$6:$J$2989,"&gt;="&amp;X7,'1OZ7GT'!$J$6:$J$2989,"&lt;="&amp;EOMONTH(X7,0),'1OZ7GT'!$L$6:$L$2989,$B$24)+SUMIFS('1CN8DD'!$K$6:$K$2989,'1CN8DD'!$J$6:$J$2989,"&gt;="&amp;X7,'1CN8DD'!$J$6:$J$2989,"&lt;="&amp;EOMONTH(X7,0),'1CN8DD'!$L$6:$L$2989,$B$24)+SUMIFS('1UT9BR'!$K$6:$K$2990,'1UT9BR'!$J$6:$J$2990,"&gt;="&amp;X7,'1UT9BR'!$J$6:$J$2990,"&lt;="&amp;EOMONTH(X7,0),'1UT9BR'!$L$6:$L$2990,$B$24)+SUMIFS('1MK4UR'!$K$6:$K$2990,'1MK4UR'!$J$6:$J$2990,"&gt;="&amp;X7,'1MK4UR'!$J$6:$J$2990,"&lt;="&amp;EOMONTH(X7,0),'1MK4UR'!$L$6:$L$2990,$B$24)+SUMIFS(#REF!,#REF!,"&gt;="&amp;X7,#REF!,"&lt;="&amp;EOMONTH(X7,0),#REF!,$B$24)+SUMIFS('1JI2UE'!$K$6:$K$2989,'1JI2UE'!$J$6:$J$2989,"&gt;="&amp;X7,'1JI2UE'!$J$6:$J$2989,"&lt;="&amp;EOMONTH(X7,0),'1JI2UE'!$L$6:$L$2989,$B$24)+SUMIFS(#REF!,#REF!,"&gt;="&amp;X7,#REF!,"&lt;="&amp;EOMONTH(X7,0),#REF!,$B$24)+SUMIFS('1SI9BW'!$K$6:$K$2989,'1SI9BW'!$J$6:$J$2989,"&gt;="&amp;X7,'1SI9BW'!$J$6:$J$2989,"&lt;="&amp;EOMONTH(X7,0),'1SI9BW'!$L$6:$L$2989,$B$24)+SUMIFS(Suzuki!$K$6:$K$2989,Suzuki!$J$6:$J$2989,"&gt;="&amp;X7,Suzuki!$J$6:$J$2989,"&lt;="&amp;EOMONTH(X7,0),Suzuki!$L$6:$L$2989,$B$24)+SUMIFS('1SK3DD'!$K$6:$K$2989,'1SK3DD'!$J$6:$J$2989,"&gt;="&amp;X7,'1SK3DD'!$J$6:$J$2989,"&lt;="&amp;EOMONTH(X7,0),'1SK3DD'!$L$6:$L$2989,$B$24)+SUMIFS('1SX5TQ'!$K$6:$K$2989,'1SX5TQ'!$J$6:$J$2989,"&gt;="&amp;X7,'1SX5TQ'!$J$6:$J$2989,"&lt;="&amp;EOMONTH(X7,0),'1SX5TQ'!$L$6:$L$2989,$B$24)+SUMIFS('BMM465'!$K$6:$K$2989,'BMM465'!$J$6:$J$2989,"&gt;="&amp;X7,'BMM465'!$J$6:$J$2989,"&lt;="&amp;EOMONTH(X7,0),'BMM465'!$L$6:$L$2989,$B$24)+SUMIFS('1CF1ZO'!$K$6:$K$2989,'1CF1ZO'!$J$6:$J$2989,"&gt;="&amp;X7,'1CF1ZO'!$J$6:$J$2989,"&lt;="&amp;EOMONTH(X7,0),'1CF1ZO'!$L$6:$L$2989,$B$24)+SUMIFS('1UK1BK'!$K$6:$K$2989,'1UK1BK'!$J$6:$J$2989,"&gt;="&amp;X7,'1UK1BK'!$J$6:$J$2989,"&lt;="&amp;EOMONTH(X7,0),'1UK1BK'!$L$6:$L$2989,$B$24)</f>
        <v>#REF!</v>
      </c>
      <c r="Y24" s="110" t="e">
        <f>SUMIFS('CEI565'!$K$6:$K$2990,'CEI565'!$J$6:$J$2990,"&gt;="&amp;Y7,'CEI565'!$J$6:$J$2990,"&lt;="&amp;EOMONTH(Y7,0),'CEI565'!$L$6:$L$2990,$B$24)+SUMIFS('1SM3VL'!$K$6:$K$2990,'1SM3VL'!$J$6:$J$2990,"&gt;="&amp;Y7,'1SM3VL'!$J$6:$J$2990,"&lt;="&amp;EOMONTH(Y7,0),'1SM3VL'!$L$6:$L$2990,$B$24)+SUMIFS('1QF4SM'!$K$6:$K$2989,'1QF4SM'!$J$6:$J$2989,"&gt;="&amp;Y7,'1QF4SM'!$J$6:$J$2989,"&lt;="&amp;EOMONTH(Y7,0),'1QF4SM'!$L$6:$L$2989,$B$24)+SUMIFS('1UV5KI'!$K$6:$K$2989,'1UV5KI'!$J$6:$J$2989,"&gt;="&amp;Y7,'1UV5KI'!$J$6:$J$2989,"&lt;="&amp;EOMONTH(Y7,0),'1UV5KI'!$L$6:$L$2989,$B$24)+SUMIFS(#REF!,#REF!,"&gt;="&amp;Y7,#REF!,"&lt;="&amp;EOMONTH(Y7,0),#REF!,$B$24)+SUMIFS('1UL9RY'!$K$6:$K$2990,'1UL9RY'!$J$6:$J$2990,"&gt;="&amp;Y7,'1UL9RY'!$J$6:$J$2990,"&lt;="&amp;EOMONTH(Y7,0),'1UL9RY'!$L$6:$L$2990,$B$24)+SUMIFS('1OZ7GT'!$K$6:$K$2989,'1OZ7GT'!$J$6:$J$2989,"&gt;="&amp;Y7,'1OZ7GT'!$J$6:$J$2989,"&lt;="&amp;EOMONTH(Y7,0),'1OZ7GT'!$L$6:$L$2989,$B$24)+SUMIFS('1CN8DD'!$K$6:$K$2989,'1CN8DD'!$J$6:$J$2989,"&gt;="&amp;Y7,'1CN8DD'!$J$6:$J$2989,"&lt;="&amp;EOMONTH(Y7,0),'1CN8DD'!$L$6:$L$2989,$B$24)+SUMIFS('1UT9BR'!$K$6:$K$2990,'1UT9BR'!$J$6:$J$2990,"&gt;="&amp;Y7,'1UT9BR'!$J$6:$J$2990,"&lt;="&amp;EOMONTH(Y7,0),'1UT9BR'!$L$6:$L$2990,$B$24)+SUMIFS('1MK4UR'!$K$6:$K$2990,'1MK4UR'!$J$6:$J$2990,"&gt;="&amp;Y7,'1MK4UR'!$J$6:$J$2990,"&lt;="&amp;EOMONTH(Y7,0),'1MK4UR'!$L$6:$L$2990,$B$24)+SUMIFS(#REF!,#REF!,"&gt;="&amp;Y7,#REF!,"&lt;="&amp;EOMONTH(Y7,0),#REF!,$B$24)+SUMIFS('1JI2UE'!$K$6:$K$2989,'1JI2UE'!$J$6:$J$2989,"&gt;="&amp;Y7,'1JI2UE'!$J$6:$J$2989,"&lt;="&amp;EOMONTH(Y7,0),'1JI2UE'!$L$6:$L$2989,$B$24)+SUMIFS(#REF!,#REF!,"&gt;="&amp;Y7,#REF!,"&lt;="&amp;EOMONTH(Y7,0),#REF!,$B$24)+SUMIFS('1SI9BW'!$K$6:$K$2989,'1SI9BW'!$J$6:$J$2989,"&gt;="&amp;Y7,'1SI9BW'!$J$6:$J$2989,"&lt;="&amp;EOMONTH(Y7,0),'1SI9BW'!$L$6:$L$2989,$B$24)+SUMIFS(Suzuki!$K$6:$K$2989,Suzuki!$J$6:$J$2989,"&gt;="&amp;Y7,Suzuki!$J$6:$J$2989,"&lt;="&amp;EOMONTH(Y7,0),Suzuki!$L$6:$L$2989,$B$24)+SUMIFS('1SK3DD'!$K$6:$K$2989,'1SK3DD'!$J$6:$J$2989,"&gt;="&amp;Y7,'1SK3DD'!$J$6:$J$2989,"&lt;="&amp;EOMONTH(Y7,0),'1SK3DD'!$L$6:$L$2989,$B$24)+SUMIFS('1SX5TQ'!$K$6:$K$2989,'1SX5TQ'!$J$6:$J$2989,"&gt;="&amp;Y7,'1SX5TQ'!$J$6:$J$2989,"&lt;="&amp;EOMONTH(Y7,0),'1SX5TQ'!$L$6:$L$2989,$B$24)+SUMIFS('BMM465'!$K$6:$K$2989,'BMM465'!$J$6:$J$2989,"&gt;="&amp;Y7,'BMM465'!$J$6:$J$2989,"&lt;="&amp;EOMONTH(Y7,0),'BMM465'!$L$6:$L$2989,$B$24)+SUMIFS('1CF1ZO'!$K$6:$K$2989,'1CF1ZO'!$J$6:$J$2989,"&gt;="&amp;Y7,'1CF1ZO'!$J$6:$J$2989,"&lt;="&amp;EOMONTH(Y7,0),'1CF1ZO'!$L$6:$L$2989,$B$24)+SUMIFS('1UK1BK'!$K$6:$K$2989,'1UK1BK'!$J$6:$J$2989,"&gt;="&amp;Y7,'1UK1BK'!$J$6:$J$2989,"&lt;="&amp;EOMONTH(Y7,0),'1UK1BK'!$L$6:$L$2989,$B$24)</f>
        <v>#REF!</v>
      </c>
      <c r="Z24" s="110" t="e">
        <f>SUMIFS('CEI565'!$K$6:$K$2990,'CEI565'!$J$6:$J$2990,"&gt;="&amp;Z7,'CEI565'!$J$6:$J$2990,"&lt;="&amp;EOMONTH(Z7,0),'CEI565'!$L$6:$L$2990,$B$24)+SUMIFS('1SM3VL'!$K$6:$K$2990,'1SM3VL'!$J$6:$J$2990,"&gt;="&amp;Z7,'1SM3VL'!$J$6:$J$2990,"&lt;="&amp;EOMONTH(Z7,0),'1SM3VL'!$L$6:$L$2990,$B$24)+SUMIFS('1QF4SM'!$K$6:$K$2989,'1QF4SM'!$J$6:$J$2989,"&gt;="&amp;Z7,'1QF4SM'!$J$6:$J$2989,"&lt;="&amp;EOMONTH(Z7,0),'1QF4SM'!$L$6:$L$2989,$B$24)+SUMIFS('1UV5KI'!$K$6:$K$2989,'1UV5KI'!$J$6:$J$2989,"&gt;="&amp;Z7,'1UV5KI'!$J$6:$J$2989,"&lt;="&amp;EOMONTH(Z7,0),'1UV5KI'!$L$6:$L$2989,$B$24)+SUMIFS(#REF!,#REF!,"&gt;="&amp;Z7,#REF!,"&lt;="&amp;EOMONTH(Z7,0),#REF!,$B$24)+SUMIFS('1UL9RY'!$K$6:$K$2990,'1UL9RY'!$J$6:$J$2990,"&gt;="&amp;Z7,'1UL9RY'!$J$6:$J$2990,"&lt;="&amp;EOMONTH(Z7,0),'1UL9RY'!$L$6:$L$2990,$B$24)+SUMIFS('1OZ7GT'!$K$6:$K$2989,'1OZ7GT'!$J$6:$J$2989,"&gt;="&amp;Z7,'1OZ7GT'!$J$6:$J$2989,"&lt;="&amp;EOMONTH(Z7,0),'1OZ7GT'!$L$6:$L$2989,$B$24)+SUMIFS('1CN8DD'!$K$6:$K$2989,'1CN8DD'!$J$6:$J$2989,"&gt;="&amp;Z7,'1CN8DD'!$J$6:$J$2989,"&lt;="&amp;EOMONTH(Z7,0),'1CN8DD'!$L$6:$L$2989,$B$24)+SUMIFS('1UT9BR'!$K$6:$K$2990,'1UT9BR'!$J$6:$J$2990,"&gt;="&amp;Z7,'1UT9BR'!$J$6:$J$2990,"&lt;="&amp;EOMONTH(Z7,0),'1UT9BR'!$L$6:$L$2990,$B$24)+SUMIFS('1MK4UR'!$K$6:$K$2990,'1MK4UR'!$J$6:$J$2990,"&gt;="&amp;Z7,'1MK4UR'!$J$6:$J$2990,"&lt;="&amp;EOMONTH(Z7,0),'1MK4UR'!$L$6:$L$2990,$B$24)+SUMIFS(#REF!,#REF!,"&gt;="&amp;Z7,#REF!,"&lt;="&amp;EOMONTH(Z7,0),#REF!,$B$24)+SUMIFS('1JI2UE'!$K$6:$K$2989,'1JI2UE'!$J$6:$J$2989,"&gt;="&amp;Z7,'1JI2UE'!$J$6:$J$2989,"&lt;="&amp;EOMONTH(Z7,0),'1JI2UE'!$L$6:$L$2989,$B$24)+SUMIFS(#REF!,#REF!,"&gt;="&amp;Z7,#REF!,"&lt;="&amp;EOMONTH(Z7,0),#REF!,$B$24)+SUMIFS('1SI9BW'!$K$6:$K$2989,'1SI9BW'!$J$6:$J$2989,"&gt;="&amp;Z7,'1SI9BW'!$J$6:$J$2989,"&lt;="&amp;EOMONTH(Z7,0),'1SI9BW'!$L$6:$L$2989,$B$24)+SUMIFS(Suzuki!$K$6:$K$2989,Suzuki!$J$6:$J$2989,"&gt;="&amp;Z7,Suzuki!$J$6:$J$2989,"&lt;="&amp;EOMONTH(Z7,0),Suzuki!$L$6:$L$2989,$B$24)+SUMIFS('1SK3DD'!$K$6:$K$2989,'1SK3DD'!$J$6:$J$2989,"&gt;="&amp;Z7,'1SK3DD'!$J$6:$J$2989,"&lt;="&amp;EOMONTH(Z7,0),'1SK3DD'!$L$6:$L$2989,$B$24)+SUMIFS('1SX5TQ'!$K$6:$K$2989,'1SX5TQ'!$J$6:$J$2989,"&gt;="&amp;Z7,'1SX5TQ'!$J$6:$J$2989,"&lt;="&amp;EOMONTH(Z7,0),'1SX5TQ'!$L$6:$L$2989,$B$24)+SUMIFS('BMM465'!$K$6:$K$2989,'BMM465'!$J$6:$J$2989,"&gt;="&amp;Z7,'BMM465'!$J$6:$J$2989,"&lt;="&amp;EOMONTH(Z7,0),'BMM465'!$L$6:$L$2989,$B$24)+SUMIFS('1CF1ZO'!$K$6:$K$2989,'1CF1ZO'!$J$6:$J$2989,"&gt;="&amp;Z7,'1CF1ZO'!$J$6:$J$2989,"&lt;="&amp;EOMONTH(Z7,0),'1CF1ZO'!$L$6:$L$2989,$B$24)+SUMIFS('1UK1BK'!$K$6:$K$2989,'1UK1BK'!$J$6:$J$2989,"&gt;="&amp;Z7,'1UK1BK'!$J$6:$J$2989,"&lt;="&amp;EOMONTH(Z7,0),'1UK1BK'!$L$6:$L$2989,$B$24)</f>
        <v>#REF!</v>
      </c>
      <c r="AA24" s="110" t="e">
        <f>SUMIFS('CEI565'!$K$6:$K$2990,'CEI565'!$J$6:$J$2990,"&gt;="&amp;AA7,'CEI565'!$J$6:$J$2990,"&lt;="&amp;EOMONTH(AA7,0),'CEI565'!$L$6:$L$2990,$B$24)+SUMIFS('1SM3VL'!$K$6:$K$2990,'1SM3VL'!$J$6:$J$2990,"&gt;="&amp;AA7,'1SM3VL'!$J$6:$J$2990,"&lt;="&amp;EOMONTH(AA7,0),'1SM3VL'!$L$6:$L$2990,$B$24)+SUMIFS('1QF4SM'!$K$6:$K$2989,'1QF4SM'!$J$6:$J$2989,"&gt;="&amp;AA7,'1QF4SM'!$J$6:$J$2989,"&lt;="&amp;EOMONTH(AA7,0),'1QF4SM'!$L$6:$L$2989,$B$24)+SUMIFS('1UV5KI'!$K$6:$K$2989,'1UV5KI'!$J$6:$J$2989,"&gt;="&amp;AA7,'1UV5KI'!$J$6:$J$2989,"&lt;="&amp;EOMONTH(AA7,0),'1UV5KI'!$L$6:$L$2989,$B$24)+SUMIFS(#REF!,#REF!,"&gt;="&amp;AA7,#REF!,"&lt;="&amp;EOMONTH(AA7,0),#REF!,$B$24)+SUMIFS('1UL9RY'!$K$6:$K$2990,'1UL9RY'!$J$6:$J$2990,"&gt;="&amp;AA7,'1UL9RY'!$J$6:$J$2990,"&lt;="&amp;EOMONTH(AA7,0),'1UL9RY'!$L$6:$L$2990,$B$24)+SUMIFS('1OZ7GT'!$K$6:$K$2989,'1OZ7GT'!$J$6:$J$2989,"&gt;="&amp;AA7,'1OZ7GT'!$J$6:$J$2989,"&lt;="&amp;EOMONTH(AA7,0),'1OZ7GT'!$L$6:$L$2989,$B$24)+SUMIFS('1CN8DD'!$K$6:$K$2989,'1CN8DD'!$J$6:$J$2989,"&gt;="&amp;AA7,'1CN8DD'!$J$6:$J$2989,"&lt;="&amp;EOMONTH(AA7,0),'1CN8DD'!$L$6:$L$2989,$B$24)+SUMIFS('1UT9BR'!$K$6:$K$2990,'1UT9BR'!$J$6:$J$2990,"&gt;="&amp;AA7,'1UT9BR'!$J$6:$J$2990,"&lt;="&amp;EOMONTH(AA7,0),'1UT9BR'!$L$6:$L$2990,$B$24)+SUMIFS('1MK4UR'!$K$6:$K$2990,'1MK4UR'!$J$6:$J$2990,"&gt;="&amp;AA7,'1MK4UR'!$J$6:$J$2990,"&lt;="&amp;EOMONTH(AA7,0),'1MK4UR'!$L$6:$L$2990,$B$24)+SUMIFS(#REF!,#REF!,"&gt;="&amp;AA7,#REF!,"&lt;="&amp;EOMONTH(AA7,0),#REF!,$B$24)+SUMIFS('1JI2UE'!$K$6:$K$2989,'1JI2UE'!$J$6:$J$2989,"&gt;="&amp;AA7,'1JI2UE'!$J$6:$J$2989,"&lt;="&amp;EOMONTH(AA7,0),'1JI2UE'!$L$6:$L$2989,$B$24)+SUMIFS(#REF!,#REF!,"&gt;="&amp;AA7,#REF!,"&lt;="&amp;EOMONTH(AA7,0),#REF!,$B$24)+SUMIFS('1SI9BW'!$K$6:$K$2989,'1SI9BW'!$J$6:$J$2989,"&gt;="&amp;AA7,'1SI9BW'!$J$6:$J$2989,"&lt;="&amp;EOMONTH(AA7,0),'1SI9BW'!$L$6:$L$2989,$B$24)+SUMIFS(Suzuki!$K$6:$K$2989,Suzuki!$J$6:$J$2989,"&gt;="&amp;AA7,Suzuki!$J$6:$J$2989,"&lt;="&amp;EOMONTH(AA7,0),Suzuki!$L$6:$L$2989,$B$24)+SUMIFS('1SK3DD'!$K$6:$K$2989,'1SK3DD'!$J$6:$J$2989,"&gt;="&amp;AA7,'1SK3DD'!$J$6:$J$2989,"&lt;="&amp;EOMONTH(AA7,0),'1SK3DD'!$L$6:$L$2989,$B$24)+SUMIFS('1SX5TQ'!$K$6:$K$2989,'1SX5TQ'!$J$6:$J$2989,"&gt;="&amp;AA7,'1SX5TQ'!$J$6:$J$2989,"&lt;="&amp;EOMONTH(AA7,0),'1SX5TQ'!$L$6:$L$2989,$B$24)+SUMIFS('BMM465'!$K$6:$K$2989,'BMM465'!$J$6:$J$2989,"&gt;="&amp;AA7,'BMM465'!$J$6:$J$2989,"&lt;="&amp;EOMONTH(AA7,0),'BMM465'!$L$6:$L$2989,$B$24)+SUMIFS('1CF1ZO'!$K$6:$K$2989,'1CF1ZO'!$J$6:$J$2989,"&gt;="&amp;AA7,'1CF1ZO'!$J$6:$J$2989,"&lt;="&amp;EOMONTH(AA7,0),'1CF1ZO'!$L$6:$L$2989,$B$24)+SUMIFS('1UK1BK'!$K$6:$K$2989,'1UK1BK'!$J$6:$J$2989,"&gt;="&amp;AA7,'1UK1BK'!$J$6:$J$2989,"&lt;="&amp;EOMONTH(AA7,0),'1UK1BK'!$L$6:$L$2989,$B$24)</f>
        <v>#REF!</v>
      </c>
      <c r="AB24" s="110" t="e">
        <f>SUMIFS('CEI565'!$K$6:$K$2990,'CEI565'!$J$6:$J$2990,"&gt;="&amp;AB7,'CEI565'!$J$6:$J$2990,"&lt;="&amp;EOMONTH(AB7,0),'CEI565'!$L$6:$L$2990,$B$24)+SUMIFS('1SM3VL'!$K$6:$K$2990,'1SM3VL'!$J$6:$J$2990,"&gt;="&amp;AB7,'1SM3VL'!$J$6:$J$2990,"&lt;="&amp;EOMONTH(AB7,0),'1SM3VL'!$L$6:$L$2990,$B$24)+SUMIFS('1QF4SM'!$K$6:$K$2989,'1QF4SM'!$J$6:$J$2989,"&gt;="&amp;AB7,'1QF4SM'!$J$6:$J$2989,"&lt;="&amp;EOMONTH(AB7,0),'1QF4SM'!$L$6:$L$2989,$B$24)+SUMIFS('1UV5KI'!$K$6:$K$2989,'1UV5KI'!$J$6:$J$2989,"&gt;="&amp;AB7,'1UV5KI'!$J$6:$J$2989,"&lt;="&amp;EOMONTH(AB7,0),'1UV5KI'!$L$6:$L$2989,$B$24)+SUMIFS(#REF!,#REF!,"&gt;="&amp;AB7,#REF!,"&lt;="&amp;EOMONTH(AB7,0),#REF!,$B$24)+SUMIFS('1UL9RY'!$K$6:$K$2990,'1UL9RY'!$J$6:$J$2990,"&gt;="&amp;AB7,'1UL9RY'!$J$6:$J$2990,"&lt;="&amp;EOMONTH(AB7,0),'1UL9RY'!$L$6:$L$2990,$B$24)+SUMIFS('1OZ7GT'!$K$6:$K$2989,'1OZ7GT'!$J$6:$J$2989,"&gt;="&amp;AB7,'1OZ7GT'!$J$6:$J$2989,"&lt;="&amp;EOMONTH(AB7,0),'1OZ7GT'!$L$6:$L$2989,$B$24)+SUMIFS('1CN8DD'!$K$6:$K$2989,'1CN8DD'!$J$6:$J$2989,"&gt;="&amp;AB7,'1CN8DD'!$J$6:$J$2989,"&lt;="&amp;EOMONTH(AB7,0),'1CN8DD'!$L$6:$L$2989,$B$24)+SUMIFS('1UT9BR'!$K$6:$K$2990,'1UT9BR'!$J$6:$J$2990,"&gt;="&amp;AB7,'1UT9BR'!$J$6:$J$2990,"&lt;="&amp;EOMONTH(AB7,0),'1UT9BR'!$L$6:$L$2990,$B$24)+SUMIFS('1MK4UR'!$K$6:$K$2990,'1MK4UR'!$J$6:$J$2990,"&gt;="&amp;AB7,'1MK4UR'!$J$6:$J$2990,"&lt;="&amp;EOMONTH(AB7,0),'1MK4UR'!$L$6:$L$2990,$B$24)+SUMIFS(#REF!,#REF!,"&gt;="&amp;AB7,#REF!,"&lt;="&amp;EOMONTH(AB7,0),#REF!,$B$24)+SUMIFS('1JI2UE'!$K$6:$K$2989,'1JI2UE'!$J$6:$J$2989,"&gt;="&amp;AB7,'1JI2UE'!$J$6:$J$2989,"&lt;="&amp;EOMONTH(AB7,0),'1JI2UE'!$L$6:$L$2989,$B$24)+SUMIFS(#REF!,#REF!,"&gt;="&amp;AB7,#REF!,"&lt;="&amp;EOMONTH(AB7,0),#REF!,$B$24)+SUMIFS('1SI9BW'!$K$6:$K$2989,'1SI9BW'!$J$6:$J$2989,"&gt;="&amp;AB7,'1SI9BW'!$J$6:$J$2989,"&lt;="&amp;EOMONTH(AB7,0),'1SI9BW'!$L$6:$L$2989,$B$24)+SUMIFS(Suzuki!$K$6:$K$2989,Suzuki!$J$6:$J$2989,"&gt;="&amp;AB7,Suzuki!$J$6:$J$2989,"&lt;="&amp;EOMONTH(AB7,0),Suzuki!$L$6:$L$2989,$B$24)+SUMIFS('1SK3DD'!$K$6:$K$2989,'1SK3DD'!$J$6:$J$2989,"&gt;="&amp;AB7,'1SK3DD'!$J$6:$J$2989,"&lt;="&amp;EOMONTH(AB7,0),'1SK3DD'!$L$6:$L$2989,$B$24)+SUMIFS('1SX5TQ'!$K$6:$K$2989,'1SX5TQ'!$J$6:$J$2989,"&gt;="&amp;AB7,'1SX5TQ'!$J$6:$J$2989,"&lt;="&amp;EOMONTH(AB7,0),'1SX5TQ'!$L$6:$L$2989,$B$24)+SUMIFS('BMM465'!$K$6:$K$2989,'BMM465'!$J$6:$J$2989,"&gt;="&amp;AB7,'BMM465'!$J$6:$J$2989,"&lt;="&amp;EOMONTH(AB7,0),'BMM465'!$L$6:$L$2989,$B$24)+SUMIFS('1CF1ZO'!$K$6:$K$2989,'1CF1ZO'!$J$6:$J$2989,"&gt;="&amp;AB7,'1CF1ZO'!$J$6:$J$2989,"&lt;="&amp;EOMONTH(AB7,0),'1CF1ZO'!$L$6:$L$2989,$B$24)+SUMIFS('1UK1BK'!$K$6:$K$2989,'1UK1BK'!$J$6:$J$2989,"&gt;="&amp;AB7,'1UK1BK'!$J$6:$J$2989,"&lt;="&amp;EOMONTH(AB7,0),'1UK1BK'!$L$6:$L$2989,$B$24)</f>
        <v>#REF!</v>
      </c>
      <c r="AC24" s="110" t="e">
        <f>SUMIFS('CEI565'!$K$6:$K$2990,'CEI565'!$J$6:$J$2990,"&gt;="&amp;AC7,'CEI565'!$J$6:$J$2990,"&lt;="&amp;EOMONTH(AC7,0),'CEI565'!$L$6:$L$2990,$B$24)+SUMIFS('1SM3VL'!$K$6:$K$2990,'1SM3VL'!$J$6:$J$2990,"&gt;="&amp;AC7,'1SM3VL'!$J$6:$J$2990,"&lt;="&amp;EOMONTH(AC7,0),'1SM3VL'!$L$6:$L$2990,$B$24)+SUMIFS('1QF4SM'!$K$6:$K$2989,'1QF4SM'!$J$6:$J$2989,"&gt;="&amp;AC7,'1QF4SM'!$J$6:$J$2989,"&lt;="&amp;EOMONTH(AC7,0),'1QF4SM'!$L$6:$L$2989,$B$24)+SUMIFS('1UV5KI'!$K$6:$K$2989,'1UV5KI'!$J$6:$J$2989,"&gt;="&amp;AC7,'1UV5KI'!$J$6:$J$2989,"&lt;="&amp;EOMONTH(AC7,0),'1UV5KI'!$L$6:$L$2989,$B$24)+SUMIFS(#REF!,#REF!,"&gt;="&amp;AC7,#REF!,"&lt;="&amp;EOMONTH(AC7,0),#REF!,$B$24)+SUMIFS('1UL9RY'!$K$6:$K$2990,'1UL9RY'!$J$6:$J$2990,"&gt;="&amp;AC7,'1UL9RY'!$J$6:$J$2990,"&lt;="&amp;EOMONTH(AC7,0),'1UL9RY'!$L$6:$L$2990,$B$24)+SUMIFS('1OZ7GT'!$K$6:$K$2989,'1OZ7GT'!$J$6:$J$2989,"&gt;="&amp;AC7,'1OZ7GT'!$J$6:$J$2989,"&lt;="&amp;EOMONTH(AC7,0),'1OZ7GT'!$L$6:$L$2989,$B$24)+SUMIFS('1CN8DD'!$K$6:$K$2989,'1CN8DD'!$J$6:$J$2989,"&gt;="&amp;AC7,'1CN8DD'!$J$6:$J$2989,"&lt;="&amp;EOMONTH(AC7,0),'1CN8DD'!$L$6:$L$2989,$B$24)+SUMIFS('1UT9BR'!$K$6:$K$2990,'1UT9BR'!$J$6:$J$2990,"&gt;="&amp;AC7,'1UT9BR'!$J$6:$J$2990,"&lt;="&amp;EOMONTH(AC7,0),'1UT9BR'!$L$6:$L$2990,$B$24)+SUMIFS('1MK4UR'!$K$6:$K$2990,'1MK4UR'!$J$6:$J$2990,"&gt;="&amp;AC7,'1MK4UR'!$J$6:$J$2990,"&lt;="&amp;EOMONTH(AC7,0),'1MK4UR'!$L$6:$L$2990,$B$24)+SUMIFS(#REF!,#REF!,"&gt;="&amp;AC7,#REF!,"&lt;="&amp;EOMONTH(AC7,0),#REF!,$B$24)+SUMIFS('1JI2UE'!$K$6:$K$2989,'1JI2UE'!$J$6:$J$2989,"&gt;="&amp;AC7,'1JI2UE'!$J$6:$J$2989,"&lt;="&amp;EOMONTH(AC7,0),'1JI2UE'!$L$6:$L$2989,$B$24)+SUMIFS(#REF!,#REF!,"&gt;="&amp;AC7,#REF!,"&lt;="&amp;EOMONTH(AC7,0),#REF!,$B$24)+SUMIFS('1SI9BW'!$K$6:$K$2989,'1SI9BW'!$J$6:$J$2989,"&gt;="&amp;AC7,'1SI9BW'!$J$6:$J$2989,"&lt;="&amp;EOMONTH(AC7,0),'1SI9BW'!$L$6:$L$2989,$B$24)+SUMIFS(Suzuki!$K$6:$K$2989,Suzuki!$J$6:$J$2989,"&gt;="&amp;AC7,Suzuki!$J$6:$J$2989,"&lt;="&amp;EOMONTH(AC7,0),Suzuki!$L$6:$L$2989,$B$24)+SUMIFS('1SK3DD'!$K$6:$K$2989,'1SK3DD'!$J$6:$J$2989,"&gt;="&amp;AC7,'1SK3DD'!$J$6:$J$2989,"&lt;="&amp;EOMONTH(AC7,0),'1SK3DD'!$L$6:$L$2989,$B$24)+SUMIFS('1SX5TQ'!$K$6:$K$2989,'1SX5TQ'!$J$6:$J$2989,"&gt;="&amp;AC7,'1SX5TQ'!$J$6:$J$2989,"&lt;="&amp;EOMONTH(AC7,0),'1SX5TQ'!$L$6:$L$2989,$B$24)+SUMIFS('BMM465'!$K$6:$K$2989,'BMM465'!$J$6:$J$2989,"&gt;="&amp;AC7,'BMM465'!$J$6:$J$2989,"&lt;="&amp;EOMONTH(AC7,0),'BMM465'!$L$6:$L$2989,$B$24)+SUMIFS('1CF1ZO'!$K$6:$K$2989,'1CF1ZO'!$J$6:$J$2989,"&gt;="&amp;AC7,'1CF1ZO'!$J$6:$J$2989,"&lt;="&amp;EOMONTH(AC7,0),'1CF1ZO'!$L$6:$L$2989,$B$24)+SUMIFS('1UK1BK'!$K$6:$K$2989,'1UK1BK'!$J$6:$J$2989,"&gt;="&amp;AC7,'1UK1BK'!$J$6:$J$2989,"&lt;="&amp;EOMONTH(AC7,0),'1UK1BK'!$L$6:$L$2989,$B$24)</f>
        <v>#REF!</v>
      </c>
      <c r="AD24" s="110" t="e">
        <f>SUMIFS('CEI565'!$K$6:$K$2990,'CEI565'!$J$6:$J$2990,"&gt;="&amp;AD7,'CEI565'!$J$6:$J$2990,"&lt;="&amp;EOMONTH(AD7,0),'CEI565'!$L$6:$L$2990,$B$24)+SUMIFS('1SM3VL'!$K$6:$K$2990,'1SM3VL'!$J$6:$J$2990,"&gt;="&amp;AD7,'1SM3VL'!$J$6:$J$2990,"&lt;="&amp;EOMONTH(AD7,0),'1SM3VL'!$L$6:$L$2990,$B$24)+SUMIFS('1QF4SM'!$K$6:$K$2989,'1QF4SM'!$J$6:$J$2989,"&gt;="&amp;AD7,'1QF4SM'!$J$6:$J$2989,"&lt;="&amp;EOMONTH(AD7,0),'1QF4SM'!$L$6:$L$2989,$B$24)+SUMIFS('1UV5KI'!$K$6:$K$2989,'1UV5KI'!$J$6:$J$2989,"&gt;="&amp;AD7,'1UV5KI'!$J$6:$J$2989,"&lt;="&amp;EOMONTH(AD7,0),'1UV5KI'!$L$6:$L$2989,$B$24)+SUMIFS(#REF!,#REF!,"&gt;="&amp;AD7,#REF!,"&lt;="&amp;EOMONTH(AD7,0),#REF!,$B$24)+SUMIFS('1UL9RY'!$K$6:$K$2990,'1UL9RY'!$J$6:$J$2990,"&gt;="&amp;AD7,'1UL9RY'!$J$6:$J$2990,"&lt;="&amp;EOMONTH(AD7,0),'1UL9RY'!$L$6:$L$2990,$B$24)+SUMIFS('1OZ7GT'!$K$6:$K$2989,'1OZ7GT'!$J$6:$J$2989,"&gt;="&amp;AD7,'1OZ7GT'!$J$6:$J$2989,"&lt;="&amp;EOMONTH(AD7,0),'1OZ7GT'!$L$6:$L$2989,$B$24)+SUMIFS('1CN8DD'!$K$6:$K$2989,'1CN8DD'!$J$6:$J$2989,"&gt;="&amp;AD7,'1CN8DD'!$J$6:$J$2989,"&lt;="&amp;EOMONTH(AD7,0),'1CN8DD'!$L$6:$L$2989,$B$24)+SUMIFS('1UT9BR'!$K$6:$K$2990,'1UT9BR'!$J$6:$J$2990,"&gt;="&amp;AD7,'1UT9BR'!$J$6:$J$2990,"&lt;="&amp;EOMONTH(AD7,0),'1UT9BR'!$L$6:$L$2990,$B$24)+SUMIFS('1MK4UR'!$K$6:$K$2990,'1MK4UR'!$J$6:$J$2990,"&gt;="&amp;AD7,'1MK4UR'!$J$6:$J$2990,"&lt;="&amp;EOMONTH(AD7,0),'1MK4UR'!$L$6:$L$2990,$B$24)+SUMIFS(#REF!,#REF!,"&gt;="&amp;AD7,#REF!,"&lt;="&amp;EOMONTH(AD7,0),#REF!,$B$24)+SUMIFS('1JI2UE'!$K$6:$K$2989,'1JI2UE'!$J$6:$J$2989,"&gt;="&amp;AD7,'1JI2UE'!$J$6:$J$2989,"&lt;="&amp;EOMONTH(AD7,0),'1JI2UE'!$L$6:$L$2989,$B$24)+SUMIFS(#REF!,#REF!,"&gt;="&amp;AD7,#REF!,"&lt;="&amp;EOMONTH(AD7,0),#REF!,$B$24)+SUMIFS('1SI9BW'!$K$6:$K$2989,'1SI9BW'!$J$6:$J$2989,"&gt;="&amp;AD7,'1SI9BW'!$J$6:$J$2989,"&lt;="&amp;EOMONTH(AD7,0),'1SI9BW'!$L$6:$L$2989,$B$24)+SUMIFS(Suzuki!$K$6:$K$2989,Suzuki!$J$6:$J$2989,"&gt;="&amp;AD7,Suzuki!$J$6:$J$2989,"&lt;="&amp;EOMONTH(AD7,0),Suzuki!$L$6:$L$2989,$B$24)+SUMIFS('1SK3DD'!$K$6:$K$2989,'1SK3DD'!$J$6:$J$2989,"&gt;="&amp;AD7,'1SK3DD'!$J$6:$J$2989,"&lt;="&amp;EOMONTH(AD7,0),'1SK3DD'!$L$6:$L$2989,$B$24)+SUMIFS('1SX5TQ'!$K$6:$K$2989,'1SX5TQ'!$J$6:$J$2989,"&gt;="&amp;AD7,'1SX5TQ'!$J$6:$J$2989,"&lt;="&amp;EOMONTH(AD7,0),'1SX5TQ'!$L$6:$L$2989,$B$24)+SUMIFS('BMM465'!$K$6:$K$2989,'BMM465'!$J$6:$J$2989,"&gt;="&amp;AD7,'BMM465'!$J$6:$J$2989,"&lt;="&amp;EOMONTH(AD7,0),'BMM465'!$L$6:$L$2989,$B$24)+SUMIFS('1CF1ZO'!$K$6:$K$2989,'1CF1ZO'!$J$6:$J$2989,"&gt;="&amp;AD7,'1CF1ZO'!$J$6:$J$2989,"&lt;="&amp;EOMONTH(AD7,0),'1CF1ZO'!$L$6:$L$2989,$B$24)+SUMIFS('1UK1BK'!$K$6:$K$2989,'1UK1BK'!$J$6:$J$2989,"&gt;="&amp;AD7,'1UK1BK'!$J$6:$J$2989,"&lt;="&amp;EOMONTH(AD7,0),'1UK1BK'!$L$6:$L$2989,$B$24)</f>
        <v>#REF!</v>
      </c>
      <c r="AE24" s="110" t="e">
        <f>SUMIFS('CEI565'!$K$6:$K$2990,'CEI565'!$J$6:$J$2990,"&gt;="&amp;AE7,'CEI565'!$J$6:$J$2990,"&lt;="&amp;EOMONTH(AE7,0),'CEI565'!$L$6:$L$2990,$B$24)+SUMIFS('1SM3VL'!$K$6:$K$2990,'1SM3VL'!$J$6:$J$2990,"&gt;="&amp;AE7,'1SM3VL'!$J$6:$J$2990,"&lt;="&amp;EOMONTH(AE7,0),'1SM3VL'!$L$6:$L$2990,$B$24)+SUMIFS('1QF4SM'!$K$6:$K$2989,'1QF4SM'!$J$6:$J$2989,"&gt;="&amp;AE7,'1QF4SM'!$J$6:$J$2989,"&lt;="&amp;EOMONTH(AE7,0),'1QF4SM'!$L$6:$L$2989,$B$24)+SUMIFS('1UV5KI'!$K$6:$K$2989,'1UV5KI'!$J$6:$J$2989,"&gt;="&amp;AE7,'1UV5KI'!$J$6:$J$2989,"&lt;="&amp;EOMONTH(AE7,0),'1UV5KI'!$L$6:$L$2989,$B$24)+SUMIFS(#REF!,#REF!,"&gt;="&amp;AE7,#REF!,"&lt;="&amp;EOMONTH(AE7,0),#REF!,$B$24)+SUMIFS('1UL9RY'!$K$6:$K$2990,'1UL9RY'!$J$6:$J$2990,"&gt;="&amp;AE7,'1UL9RY'!$J$6:$J$2990,"&lt;="&amp;EOMONTH(AE7,0),'1UL9RY'!$L$6:$L$2990,$B$24)+SUMIFS('1OZ7GT'!$K$6:$K$2989,'1OZ7GT'!$J$6:$J$2989,"&gt;="&amp;AE7,'1OZ7GT'!$J$6:$J$2989,"&lt;="&amp;EOMONTH(AE7,0),'1OZ7GT'!$L$6:$L$2989,$B$24)+SUMIFS('1CN8DD'!$K$6:$K$2989,'1CN8DD'!$J$6:$J$2989,"&gt;="&amp;AE7,'1CN8DD'!$J$6:$J$2989,"&lt;="&amp;EOMONTH(AE7,0),'1CN8DD'!$L$6:$L$2989,$B$24)+SUMIFS('1UT9BR'!$K$6:$K$2990,'1UT9BR'!$J$6:$J$2990,"&gt;="&amp;AE7,'1UT9BR'!$J$6:$J$2990,"&lt;="&amp;EOMONTH(AE7,0),'1UT9BR'!$L$6:$L$2990,$B$24)+SUMIFS('1MK4UR'!$K$6:$K$2990,'1MK4UR'!$J$6:$J$2990,"&gt;="&amp;AE7,'1MK4UR'!$J$6:$J$2990,"&lt;="&amp;EOMONTH(AE7,0),'1MK4UR'!$L$6:$L$2990,$B$24)+SUMIFS(#REF!,#REF!,"&gt;="&amp;AE7,#REF!,"&lt;="&amp;EOMONTH(AE7,0),#REF!,$B$24)+SUMIFS('1JI2UE'!$K$6:$K$2989,'1JI2UE'!$J$6:$J$2989,"&gt;="&amp;AE7,'1JI2UE'!$J$6:$J$2989,"&lt;="&amp;EOMONTH(AE7,0),'1JI2UE'!$L$6:$L$2989,$B$24)+SUMIFS(#REF!,#REF!,"&gt;="&amp;AE7,#REF!,"&lt;="&amp;EOMONTH(AE7,0),#REF!,$B$24)+SUMIFS('1SI9BW'!$K$6:$K$2989,'1SI9BW'!$J$6:$J$2989,"&gt;="&amp;AE7,'1SI9BW'!$J$6:$J$2989,"&lt;="&amp;EOMONTH(AE7,0),'1SI9BW'!$L$6:$L$2989,$B$24)+SUMIFS(Suzuki!$K$6:$K$2989,Suzuki!$J$6:$J$2989,"&gt;="&amp;AE7,Suzuki!$J$6:$J$2989,"&lt;="&amp;EOMONTH(AE7,0),Suzuki!$L$6:$L$2989,$B$24)+SUMIFS('1SK3DD'!$K$6:$K$2989,'1SK3DD'!$J$6:$J$2989,"&gt;="&amp;AE7,'1SK3DD'!$J$6:$J$2989,"&lt;="&amp;EOMONTH(AE7,0),'1SK3DD'!$L$6:$L$2989,$B$24)+SUMIFS('1SX5TQ'!$K$6:$K$2989,'1SX5TQ'!$J$6:$J$2989,"&gt;="&amp;AE7,'1SX5TQ'!$J$6:$J$2989,"&lt;="&amp;EOMONTH(AE7,0),'1SX5TQ'!$L$6:$L$2989,$B$24)+SUMIFS('BMM465'!$K$6:$K$2989,'BMM465'!$J$6:$J$2989,"&gt;="&amp;AE7,'BMM465'!$J$6:$J$2989,"&lt;="&amp;EOMONTH(AE7,0),'BMM465'!$L$6:$L$2989,$B$24)+SUMIFS('1CF1ZO'!$K$6:$K$2989,'1CF1ZO'!$J$6:$J$2989,"&gt;="&amp;AE7,'1CF1ZO'!$J$6:$J$2989,"&lt;="&amp;EOMONTH(AE7,0),'1CF1ZO'!$L$6:$L$2989,$B$24)+SUMIFS('1UK1BK'!$K$6:$K$2989,'1UK1BK'!$J$6:$J$2989,"&gt;="&amp;AE7,'1UK1BK'!$J$6:$J$2989,"&lt;="&amp;EOMONTH(AE7,0),'1UK1BK'!$L$6:$L$2989,$B$24)</f>
        <v>#REF!</v>
      </c>
      <c r="AF24" s="110" t="e">
        <f>SUMIFS('CEI565'!$K$6:$K$2990,'CEI565'!$J$6:$J$2990,"&gt;="&amp;AF7,'CEI565'!$J$6:$J$2990,"&lt;="&amp;EOMONTH(AF7,0),'CEI565'!$L$6:$L$2990,$B$24)+SUMIFS('1SM3VL'!$K$6:$K$2990,'1SM3VL'!$J$6:$J$2990,"&gt;="&amp;AF7,'1SM3VL'!$J$6:$J$2990,"&lt;="&amp;EOMONTH(AF7,0),'1SM3VL'!$L$6:$L$2990,$B$24)+SUMIFS('1QF4SM'!$K$6:$K$2989,'1QF4SM'!$J$6:$J$2989,"&gt;="&amp;AF7,'1QF4SM'!$J$6:$J$2989,"&lt;="&amp;EOMONTH(AF7,0),'1QF4SM'!$L$6:$L$2989,$B$24)+SUMIFS('1UV5KI'!$K$6:$K$2989,'1UV5KI'!$J$6:$J$2989,"&gt;="&amp;AF7,'1UV5KI'!$J$6:$J$2989,"&lt;="&amp;EOMONTH(AF7,0),'1UV5KI'!$L$6:$L$2989,$B$24)+SUMIFS(#REF!,#REF!,"&gt;="&amp;AF7,#REF!,"&lt;="&amp;EOMONTH(AF7,0),#REF!,$B$24)+SUMIFS('1UL9RY'!$K$6:$K$2990,'1UL9RY'!$J$6:$J$2990,"&gt;="&amp;AF7,'1UL9RY'!$J$6:$J$2990,"&lt;="&amp;EOMONTH(AF7,0),'1UL9RY'!$L$6:$L$2990,$B$24)+SUMIFS('1OZ7GT'!$K$6:$K$2989,'1OZ7GT'!$J$6:$J$2989,"&gt;="&amp;AF7,'1OZ7GT'!$J$6:$J$2989,"&lt;="&amp;EOMONTH(AF7,0),'1OZ7GT'!$L$6:$L$2989,$B$24)+SUMIFS('1CN8DD'!$K$6:$K$2989,'1CN8DD'!$J$6:$J$2989,"&gt;="&amp;AF7,'1CN8DD'!$J$6:$J$2989,"&lt;="&amp;EOMONTH(AF7,0),'1CN8DD'!$L$6:$L$2989,$B$24)+SUMIFS('1UT9BR'!$K$6:$K$2990,'1UT9BR'!$J$6:$J$2990,"&gt;="&amp;AF7,'1UT9BR'!$J$6:$J$2990,"&lt;="&amp;EOMONTH(AF7,0),'1UT9BR'!$L$6:$L$2990,$B$24)+SUMIFS('1MK4UR'!$K$6:$K$2990,'1MK4UR'!$J$6:$J$2990,"&gt;="&amp;AF7,'1MK4UR'!$J$6:$J$2990,"&lt;="&amp;EOMONTH(AF7,0),'1MK4UR'!$L$6:$L$2990,$B$24)+SUMIFS(#REF!,#REF!,"&gt;="&amp;AF7,#REF!,"&lt;="&amp;EOMONTH(AF7,0),#REF!,$B$24)+SUMIFS('1JI2UE'!$K$6:$K$2989,'1JI2UE'!$J$6:$J$2989,"&gt;="&amp;AF7,'1JI2UE'!$J$6:$J$2989,"&lt;="&amp;EOMONTH(AF7,0),'1JI2UE'!$L$6:$L$2989,$B$24)+SUMIFS(#REF!,#REF!,"&gt;="&amp;AF7,#REF!,"&lt;="&amp;EOMONTH(AF7,0),#REF!,$B$24)+SUMIFS('1SI9BW'!$K$6:$K$2989,'1SI9BW'!$J$6:$J$2989,"&gt;="&amp;AF7,'1SI9BW'!$J$6:$J$2989,"&lt;="&amp;EOMONTH(AF7,0),'1SI9BW'!$L$6:$L$2989,$B$24)+SUMIFS(Suzuki!$K$6:$K$2989,Suzuki!$J$6:$J$2989,"&gt;="&amp;AF7,Suzuki!$J$6:$J$2989,"&lt;="&amp;EOMONTH(AF7,0),Suzuki!$L$6:$L$2989,$B$24)+SUMIFS('1SK3DD'!$K$6:$K$2989,'1SK3DD'!$J$6:$J$2989,"&gt;="&amp;AF7,'1SK3DD'!$J$6:$J$2989,"&lt;="&amp;EOMONTH(AF7,0),'1SK3DD'!$L$6:$L$2989,$B$24)+SUMIFS('1SX5TQ'!$K$6:$K$2989,'1SX5TQ'!$J$6:$J$2989,"&gt;="&amp;AF7,'1SX5TQ'!$J$6:$J$2989,"&lt;="&amp;EOMONTH(AF7,0),'1SX5TQ'!$L$6:$L$2989,$B$24)+SUMIFS('BMM465'!$K$6:$K$2989,'BMM465'!$J$6:$J$2989,"&gt;="&amp;AF7,'BMM465'!$J$6:$J$2989,"&lt;="&amp;EOMONTH(AF7,0),'BMM465'!$L$6:$L$2989,$B$24)+SUMIFS('1CF1ZO'!$K$6:$K$2989,'1CF1ZO'!$J$6:$J$2989,"&gt;="&amp;AF7,'1CF1ZO'!$J$6:$J$2989,"&lt;="&amp;EOMONTH(AF7,0),'1CF1ZO'!$L$6:$L$2989,$B$24)+SUMIFS('1UK1BK'!$K$6:$K$2989,'1UK1BK'!$J$6:$J$2989,"&gt;="&amp;AF7,'1UK1BK'!$J$6:$J$2989,"&lt;="&amp;EOMONTH(AF7,0),'1UK1BK'!$L$6:$L$2989,$B$24)</f>
        <v>#REF!</v>
      </c>
      <c r="AG24" s="110" t="e">
        <f>SUMIFS('CEI565'!$K$6:$K$2990,'CEI565'!$J$6:$J$2990,"&gt;="&amp;AG7,'CEI565'!$J$6:$J$2990,"&lt;="&amp;EOMONTH(AG7,0),'CEI565'!$L$6:$L$2990,$B$24)+SUMIFS('1SM3VL'!$K$6:$K$2990,'1SM3VL'!$J$6:$J$2990,"&gt;="&amp;AG7,'1SM3VL'!$J$6:$J$2990,"&lt;="&amp;EOMONTH(AG7,0),'1SM3VL'!$L$6:$L$2990,$B$24)+SUMIFS('1QF4SM'!$K$6:$K$2989,'1QF4SM'!$J$6:$J$2989,"&gt;="&amp;AG7,'1QF4SM'!$J$6:$J$2989,"&lt;="&amp;EOMONTH(AG7,0),'1QF4SM'!$L$6:$L$2989,$B$24)+SUMIFS('1UV5KI'!$K$6:$K$2989,'1UV5KI'!$J$6:$J$2989,"&gt;="&amp;AG7,'1UV5KI'!$J$6:$J$2989,"&lt;="&amp;EOMONTH(AG7,0),'1UV5KI'!$L$6:$L$2989,$B$24)+SUMIFS(#REF!,#REF!,"&gt;="&amp;AG7,#REF!,"&lt;="&amp;EOMONTH(AG7,0),#REF!,$B$24)+SUMIFS('1UL9RY'!$K$6:$K$2990,'1UL9RY'!$J$6:$J$2990,"&gt;="&amp;AG7,'1UL9RY'!$J$6:$J$2990,"&lt;="&amp;EOMONTH(AG7,0),'1UL9RY'!$L$6:$L$2990,$B$24)+SUMIFS('1OZ7GT'!$K$6:$K$2989,'1OZ7GT'!$J$6:$J$2989,"&gt;="&amp;AG7,'1OZ7GT'!$J$6:$J$2989,"&lt;="&amp;EOMONTH(AG7,0),'1OZ7GT'!$L$6:$L$2989,$B$24)+SUMIFS('1CN8DD'!$K$6:$K$2989,'1CN8DD'!$J$6:$J$2989,"&gt;="&amp;AG7,'1CN8DD'!$J$6:$J$2989,"&lt;="&amp;EOMONTH(AG7,0),'1CN8DD'!$L$6:$L$2989,$B$24)+SUMIFS('1UT9BR'!$K$6:$K$2990,'1UT9BR'!$J$6:$J$2990,"&gt;="&amp;AG7,'1UT9BR'!$J$6:$J$2990,"&lt;="&amp;EOMONTH(AG7,0),'1UT9BR'!$L$6:$L$2990,$B$24)+SUMIFS('1MK4UR'!$K$6:$K$2990,'1MK4UR'!$J$6:$J$2990,"&gt;="&amp;AG7,'1MK4UR'!$J$6:$J$2990,"&lt;="&amp;EOMONTH(AG7,0),'1MK4UR'!$L$6:$L$2990,$B$24)+SUMIFS(#REF!,#REF!,"&gt;="&amp;AG7,#REF!,"&lt;="&amp;EOMONTH(AG7,0),#REF!,$B$24)+SUMIFS('1JI2UE'!$K$6:$K$2989,'1JI2UE'!$J$6:$J$2989,"&gt;="&amp;AG7,'1JI2UE'!$J$6:$J$2989,"&lt;="&amp;EOMONTH(AG7,0),'1JI2UE'!$L$6:$L$2989,$B$24)+SUMIFS(#REF!,#REF!,"&gt;="&amp;AG7,#REF!,"&lt;="&amp;EOMONTH(AG7,0),#REF!,$B$24)+SUMIFS('1SI9BW'!$K$6:$K$2989,'1SI9BW'!$J$6:$J$2989,"&gt;="&amp;AG7,'1SI9BW'!$J$6:$J$2989,"&lt;="&amp;EOMONTH(AG7,0),'1SI9BW'!$L$6:$L$2989,$B$24)+SUMIFS(Suzuki!$K$6:$K$2989,Suzuki!$J$6:$J$2989,"&gt;="&amp;AG7,Suzuki!$J$6:$J$2989,"&lt;="&amp;EOMONTH(AG7,0),Suzuki!$L$6:$L$2989,$B$24)+SUMIFS('1SK3DD'!$K$6:$K$2989,'1SK3DD'!$J$6:$J$2989,"&gt;="&amp;AG7,'1SK3DD'!$J$6:$J$2989,"&lt;="&amp;EOMONTH(AG7,0),'1SK3DD'!$L$6:$L$2989,$B$24)+SUMIFS('1SX5TQ'!$K$6:$K$2989,'1SX5TQ'!$J$6:$J$2989,"&gt;="&amp;AG7,'1SX5TQ'!$J$6:$J$2989,"&lt;="&amp;EOMONTH(AG7,0),'1SX5TQ'!$L$6:$L$2989,$B$24)+SUMIFS('BMM465'!$K$6:$K$2989,'BMM465'!$J$6:$J$2989,"&gt;="&amp;AG7,'BMM465'!$J$6:$J$2989,"&lt;="&amp;EOMONTH(AG7,0),'BMM465'!$L$6:$L$2989,$B$24)+SUMIFS('1CF1ZO'!$K$6:$K$2989,'1CF1ZO'!$J$6:$J$2989,"&gt;="&amp;AG7,'1CF1ZO'!$J$6:$J$2989,"&lt;="&amp;EOMONTH(AG7,0),'1CF1ZO'!$L$6:$L$2989,$B$24)+SUMIFS('1UK1BK'!$K$6:$K$2989,'1UK1BK'!$J$6:$J$2989,"&gt;="&amp;AG7,'1UK1BK'!$J$6:$J$2989,"&lt;="&amp;EOMONTH(AG7,0),'1UK1BK'!$L$6:$L$2989,$B$24)</f>
        <v>#REF!</v>
      </c>
      <c r="AH24" s="110" t="e">
        <f>SUMIFS('CEI565'!$K$6:$K$2990,'CEI565'!$J$6:$J$2990,"&gt;="&amp;AH7,'CEI565'!$J$6:$J$2990,"&lt;="&amp;EOMONTH(AH7,0),'CEI565'!$L$6:$L$2990,$B$24)+SUMIFS('1SM3VL'!$K$6:$K$2990,'1SM3VL'!$J$6:$J$2990,"&gt;="&amp;AH7,'1SM3VL'!$J$6:$J$2990,"&lt;="&amp;EOMONTH(AH7,0),'1SM3VL'!$L$6:$L$2990,$B$24)+SUMIFS('1QF4SM'!$K$6:$K$2989,'1QF4SM'!$J$6:$J$2989,"&gt;="&amp;AH7,'1QF4SM'!$J$6:$J$2989,"&lt;="&amp;EOMONTH(AH7,0),'1QF4SM'!$L$6:$L$2989,$B$24)+SUMIFS('1UV5KI'!$K$6:$K$2989,'1UV5KI'!$J$6:$J$2989,"&gt;="&amp;AH7,'1UV5KI'!$J$6:$J$2989,"&lt;="&amp;EOMONTH(AH7,0),'1UV5KI'!$L$6:$L$2989,$B$24)+SUMIFS(#REF!,#REF!,"&gt;="&amp;AH7,#REF!,"&lt;="&amp;EOMONTH(AH7,0),#REF!,$B$24)+SUMIFS('1UL9RY'!$K$6:$K$2990,'1UL9RY'!$J$6:$J$2990,"&gt;="&amp;AH7,'1UL9RY'!$J$6:$J$2990,"&lt;="&amp;EOMONTH(AH7,0),'1UL9RY'!$L$6:$L$2990,$B$24)+SUMIFS('1OZ7GT'!$K$6:$K$2989,'1OZ7GT'!$J$6:$J$2989,"&gt;="&amp;AH7,'1OZ7GT'!$J$6:$J$2989,"&lt;="&amp;EOMONTH(AH7,0),'1OZ7GT'!$L$6:$L$2989,$B$24)+SUMIFS('1CN8DD'!$K$6:$K$2989,'1CN8DD'!$J$6:$J$2989,"&gt;="&amp;AH7,'1CN8DD'!$J$6:$J$2989,"&lt;="&amp;EOMONTH(AH7,0),'1CN8DD'!$L$6:$L$2989,$B$24)+SUMIFS('1UT9BR'!$K$6:$K$2990,'1UT9BR'!$J$6:$J$2990,"&gt;="&amp;AH7,'1UT9BR'!$J$6:$J$2990,"&lt;="&amp;EOMONTH(AH7,0),'1UT9BR'!$L$6:$L$2990,$B$24)+SUMIFS('1MK4UR'!$K$6:$K$2990,'1MK4UR'!$J$6:$J$2990,"&gt;="&amp;AH7,'1MK4UR'!$J$6:$J$2990,"&lt;="&amp;EOMONTH(AH7,0),'1MK4UR'!$L$6:$L$2990,$B$24)+SUMIFS(#REF!,#REF!,"&gt;="&amp;AH7,#REF!,"&lt;="&amp;EOMONTH(AH7,0),#REF!,$B$24)+SUMIFS('1JI2UE'!$K$6:$K$2989,'1JI2UE'!$J$6:$J$2989,"&gt;="&amp;AH7,'1JI2UE'!$J$6:$J$2989,"&lt;="&amp;EOMONTH(AH7,0),'1JI2UE'!$L$6:$L$2989,$B$24)+SUMIFS(#REF!,#REF!,"&gt;="&amp;AH7,#REF!,"&lt;="&amp;EOMONTH(AH7,0),#REF!,$B$24)+SUMIFS('1SI9BW'!$K$6:$K$2989,'1SI9BW'!$J$6:$J$2989,"&gt;="&amp;AH7,'1SI9BW'!$J$6:$J$2989,"&lt;="&amp;EOMONTH(AH7,0),'1SI9BW'!$L$6:$L$2989,$B$24)+SUMIFS(Suzuki!$K$6:$K$2989,Suzuki!$J$6:$J$2989,"&gt;="&amp;AH7,Suzuki!$J$6:$J$2989,"&lt;="&amp;EOMONTH(AH7,0),Suzuki!$L$6:$L$2989,$B$24)+SUMIFS('1SK3DD'!$K$6:$K$2989,'1SK3DD'!$J$6:$J$2989,"&gt;="&amp;AH7,'1SK3DD'!$J$6:$J$2989,"&lt;="&amp;EOMONTH(AH7,0),'1SK3DD'!$L$6:$L$2989,$B$24)+SUMIFS('1SX5TQ'!$K$6:$K$2989,'1SX5TQ'!$J$6:$J$2989,"&gt;="&amp;AH7,'1SX5TQ'!$J$6:$J$2989,"&lt;="&amp;EOMONTH(AH7,0),'1SX5TQ'!$L$6:$L$2989,$B$24)+SUMIFS('BMM465'!$K$6:$K$2989,'BMM465'!$J$6:$J$2989,"&gt;="&amp;AH7,'BMM465'!$J$6:$J$2989,"&lt;="&amp;EOMONTH(AH7,0),'BMM465'!$L$6:$L$2989,$B$24)+SUMIFS('1CF1ZO'!$K$6:$K$2989,'1CF1ZO'!$J$6:$J$2989,"&gt;="&amp;AH7,'1CF1ZO'!$J$6:$J$2989,"&lt;="&amp;EOMONTH(AH7,0),'1CF1ZO'!$L$6:$L$2989,$B$24)+SUMIFS('1UK1BK'!$K$6:$K$2989,'1UK1BK'!$J$6:$J$2989,"&gt;="&amp;AH7,'1UK1BK'!$J$6:$J$2989,"&lt;="&amp;EOMONTH(AH7,0),'1UK1BK'!$L$6:$L$2989,$B$24)</f>
        <v>#REF!</v>
      </c>
      <c r="AI24" s="110" t="e">
        <f>SUMIFS('CEI565'!$K$6:$K$2990,'CEI565'!$J$6:$J$2990,"&gt;="&amp;AI7,'CEI565'!$J$6:$J$2990,"&lt;="&amp;EOMONTH(AI7,0),'CEI565'!$L$6:$L$2990,$B$24)+SUMIFS('1SM3VL'!$K$6:$K$2990,'1SM3VL'!$J$6:$J$2990,"&gt;="&amp;AI7,'1SM3VL'!$J$6:$J$2990,"&lt;="&amp;EOMONTH(AI7,0),'1SM3VL'!$L$6:$L$2990,$B$24)+SUMIFS('1QF4SM'!$K$6:$K$2989,'1QF4SM'!$J$6:$J$2989,"&gt;="&amp;AI7,'1QF4SM'!$J$6:$J$2989,"&lt;="&amp;EOMONTH(AI7,0),'1QF4SM'!$L$6:$L$2989,$B$24)+SUMIFS('1UV5KI'!$K$6:$K$2989,'1UV5KI'!$J$6:$J$2989,"&gt;="&amp;AI7,'1UV5KI'!$J$6:$J$2989,"&lt;="&amp;EOMONTH(AI7,0),'1UV5KI'!$L$6:$L$2989,$B$24)+SUMIFS(#REF!,#REF!,"&gt;="&amp;AI7,#REF!,"&lt;="&amp;EOMONTH(AI7,0),#REF!,$B$24)+SUMIFS('1UL9RY'!$K$6:$K$2990,'1UL9RY'!$J$6:$J$2990,"&gt;="&amp;AI7,'1UL9RY'!$J$6:$J$2990,"&lt;="&amp;EOMONTH(AI7,0),'1UL9RY'!$L$6:$L$2990,$B$24)+SUMIFS('1OZ7GT'!$K$6:$K$2989,'1OZ7GT'!$J$6:$J$2989,"&gt;="&amp;AI7,'1OZ7GT'!$J$6:$J$2989,"&lt;="&amp;EOMONTH(AI7,0),'1OZ7GT'!$L$6:$L$2989,$B$24)+SUMIFS('1CN8DD'!$K$6:$K$2989,'1CN8DD'!$J$6:$J$2989,"&gt;="&amp;AI7,'1CN8DD'!$J$6:$J$2989,"&lt;="&amp;EOMONTH(AI7,0),'1CN8DD'!$L$6:$L$2989,$B$24)+SUMIFS('1UT9BR'!$K$6:$K$2990,'1UT9BR'!$J$6:$J$2990,"&gt;="&amp;AI7,'1UT9BR'!$J$6:$J$2990,"&lt;="&amp;EOMONTH(AI7,0),'1UT9BR'!$L$6:$L$2990,$B$24)+SUMIFS('1MK4UR'!$K$6:$K$2990,'1MK4UR'!$J$6:$J$2990,"&gt;="&amp;AI7,'1MK4UR'!$J$6:$J$2990,"&lt;="&amp;EOMONTH(AI7,0),'1MK4UR'!$L$6:$L$2990,$B$24)+SUMIFS(#REF!,#REF!,"&gt;="&amp;AI7,#REF!,"&lt;="&amp;EOMONTH(AI7,0),#REF!,$B$24)+SUMIFS('1JI2UE'!$K$6:$K$2989,'1JI2UE'!$J$6:$J$2989,"&gt;="&amp;AI7,'1JI2UE'!$J$6:$J$2989,"&lt;="&amp;EOMONTH(AI7,0),'1JI2UE'!$L$6:$L$2989,$B$24)+SUMIFS(#REF!,#REF!,"&gt;="&amp;AI7,#REF!,"&lt;="&amp;EOMONTH(AI7,0),#REF!,$B$24)+SUMIFS('1SI9BW'!$K$6:$K$2989,'1SI9BW'!$J$6:$J$2989,"&gt;="&amp;AI7,'1SI9BW'!$J$6:$J$2989,"&lt;="&amp;EOMONTH(AI7,0),'1SI9BW'!$L$6:$L$2989,$B$24)+SUMIFS(Suzuki!$K$6:$K$2989,Suzuki!$J$6:$J$2989,"&gt;="&amp;AI7,Suzuki!$J$6:$J$2989,"&lt;="&amp;EOMONTH(AI7,0),Suzuki!$L$6:$L$2989,$B$24)+SUMIFS('1SK3DD'!$K$6:$K$2989,'1SK3DD'!$J$6:$J$2989,"&gt;="&amp;AI7,'1SK3DD'!$J$6:$J$2989,"&lt;="&amp;EOMONTH(AI7,0),'1SK3DD'!$L$6:$L$2989,$B$24)+SUMIFS('1SX5TQ'!$K$6:$K$2989,'1SX5TQ'!$J$6:$J$2989,"&gt;="&amp;AI7,'1SX5TQ'!$J$6:$J$2989,"&lt;="&amp;EOMONTH(AI7,0),'1SX5TQ'!$L$6:$L$2989,$B$24)+SUMIFS('BMM465'!$K$6:$K$2989,'BMM465'!$J$6:$J$2989,"&gt;="&amp;AI7,'BMM465'!$J$6:$J$2989,"&lt;="&amp;EOMONTH(AI7,0),'BMM465'!$L$6:$L$2989,$B$24)+SUMIFS('1CF1ZO'!$K$6:$K$2989,'1CF1ZO'!$J$6:$J$2989,"&gt;="&amp;AI7,'1CF1ZO'!$J$6:$J$2989,"&lt;="&amp;EOMONTH(AI7,0),'1CF1ZO'!$L$6:$L$2989,$B$24)+SUMIFS('1UK1BK'!$K$6:$K$2989,'1UK1BK'!$J$6:$J$2989,"&gt;="&amp;AI7,'1UK1BK'!$J$6:$J$2989,"&lt;="&amp;EOMONTH(AI7,0),'1UK1BK'!$L$6:$L$2989,$B$24)</f>
        <v>#REF!</v>
      </c>
      <c r="AJ24" s="110" t="e">
        <f>SUMIFS('CEI565'!$K$6:$K$2990,'CEI565'!$J$6:$J$2990,"&gt;="&amp;AJ7,'CEI565'!$J$6:$J$2990,"&lt;="&amp;EOMONTH(AJ7,0),'CEI565'!$L$6:$L$2990,$B$24)+SUMIFS('1SM3VL'!$K$6:$K$2990,'1SM3VL'!$J$6:$J$2990,"&gt;="&amp;AJ7,'1SM3VL'!$J$6:$J$2990,"&lt;="&amp;EOMONTH(AJ7,0),'1SM3VL'!$L$6:$L$2990,$B$24)+SUMIFS('1QF4SM'!$K$6:$K$2989,'1QF4SM'!$J$6:$J$2989,"&gt;="&amp;AJ7,'1QF4SM'!$J$6:$J$2989,"&lt;="&amp;EOMONTH(AJ7,0),'1QF4SM'!$L$6:$L$2989,$B$24)+SUMIFS('1UV5KI'!$K$6:$K$2989,'1UV5KI'!$J$6:$J$2989,"&gt;="&amp;AJ7,'1UV5KI'!$J$6:$J$2989,"&lt;="&amp;EOMONTH(AJ7,0),'1UV5KI'!$L$6:$L$2989,$B$24)+SUMIFS(#REF!,#REF!,"&gt;="&amp;AJ7,#REF!,"&lt;="&amp;EOMONTH(AJ7,0),#REF!,$B$24)+SUMIFS('1UL9RY'!$K$6:$K$2990,'1UL9RY'!$J$6:$J$2990,"&gt;="&amp;AJ7,'1UL9RY'!$J$6:$J$2990,"&lt;="&amp;EOMONTH(AJ7,0),'1UL9RY'!$L$6:$L$2990,$B$24)+SUMIFS('1OZ7GT'!$K$6:$K$2989,'1OZ7GT'!$J$6:$J$2989,"&gt;="&amp;AJ7,'1OZ7GT'!$J$6:$J$2989,"&lt;="&amp;EOMONTH(AJ7,0),'1OZ7GT'!$L$6:$L$2989,$B$24)+SUMIFS('1CN8DD'!$K$6:$K$2989,'1CN8DD'!$J$6:$J$2989,"&gt;="&amp;AJ7,'1CN8DD'!$J$6:$J$2989,"&lt;="&amp;EOMONTH(AJ7,0),'1CN8DD'!$L$6:$L$2989,$B$24)+SUMIFS('1UT9BR'!$K$6:$K$2990,'1UT9BR'!$J$6:$J$2990,"&gt;="&amp;AJ7,'1UT9BR'!$J$6:$J$2990,"&lt;="&amp;EOMONTH(AJ7,0),'1UT9BR'!$L$6:$L$2990,$B$24)+SUMIFS('1MK4UR'!$K$6:$K$2990,'1MK4UR'!$J$6:$J$2990,"&gt;="&amp;AJ7,'1MK4UR'!$J$6:$J$2990,"&lt;="&amp;EOMONTH(AJ7,0),'1MK4UR'!$L$6:$L$2990,$B$24)+SUMIFS(#REF!,#REF!,"&gt;="&amp;AJ7,#REF!,"&lt;="&amp;EOMONTH(AJ7,0),#REF!,$B$24)+SUMIFS('1JI2UE'!$K$6:$K$2989,'1JI2UE'!$J$6:$J$2989,"&gt;="&amp;AJ7,'1JI2UE'!$J$6:$J$2989,"&lt;="&amp;EOMONTH(AJ7,0),'1JI2UE'!$L$6:$L$2989,$B$24)+SUMIFS(#REF!,#REF!,"&gt;="&amp;AJ7,#REF!,"&lt;="&amp;EOMONTH(AJ7,0),#REF!,$B$24)+SUMIFS('1SI9BW'!$K$6:$K$2989,'1SI9BW'!$J$6:$J$2989,"&gt;="&amp;AJ7,'1SI9BW'!$J$6:$J$2989,"&lt;="&amp;EOMONTH(AJ7,0),'1SI9BW'!$L$6:$L$2989,$B$24)+SUMIFS(Suzuki!$K$6:$K$2989,Suzuki!$J$6:$J$2989,"&gt;="&amp;AJ7,Suzuki!$J$6:$J$2989,"&lt;="&amp;EOMONTH(AJ7,0),Suzuki!$L$6:$L$2989,$B$24)+SUMIFS('1SK3DD'!$K$6:$K$2989,'1SK3DD'!$J$6:$J$2989,"&gt;="&amp;AJ7,'1SK3DD'!$J$6:$J$2989,"&lt;="&amp;EOMONTH(AJ7,0),'1SK3DD'!$L$6:$L$2989,$B$24)+SUMIFS('1SX5TQ'!$K$6:$K$2989,'1SX5TQ'!$J$6:$J$2989,"&gt;="&amp;AJ7,'1SX5TQ'!$J$6:$J$2989,"&lt;="&amp;EOMONTH(AJ7,0),'1SX5TQ'!$L$6:$L$2989,$B$24)+SUMIFS('BMM465'!$K$6:$K$2989,'BMM465'!$J$6:$J$2989,"&gt;="&amp;AJ7,'BMM465'!$J$6:$J$2989,"&lt;="&amp;EOMONTH(AJ7,0),'BMM465'!$L$6:$L$2989,$B$24)+SUMIFS('1CF1ZO'!$K$6:$K$2989,'1CF1ZO'!$J$6:$J$2989,"&gt;="&amp;AJ7,'1CF1ZO'!$J$6:$J$2989,"&lt;="&amp;EOMONTH(AJ7,0),'1CF1ZO'!$L$6:$L$2989,$B$24)+SUMIFS('1UK1BK'!$K$6:$K$2989,'1UK1BK'!$J$6:$J$2989,"&gt;="&amp;AJ7,'1UK1BK'!$J$6:$J$2989,"&lt;="&amp;EOMONTH(AJ7,0),'1UK1BK'!$L$6:$L$2989,$B$24)</f>
        <v>#REF!</v>
      </c>
      <c r="AK24" s="110" t="e">
        <f>SUMIFS('CEI565'!$K$6:$K$2990,'CEI565'!$J$6:$J$2990,"&gt;="&amp;AK7,'CEI565'!$J$6:$J$2990,"&lt;="&amp;EOMONTH(AK7,0),'CEI565'!$L$6:$L$2990,$B$24)+SUMIFS('1SM3VL'!$K$6:$K$2990,'1SM3VL'!$J$6:$J$2990,"&gt;="&amp;AK7,'1SM3VL'!$J$6:$J$2990,"&lt;="&amp;EOMONTH(AK7,0),'1SM3VL'!$L$6:$L$2990,$B$24)+SUMIFS('1QF4SM'!$K$6:$K$2989,'1QF4SM'!$J$6:$J$2989,"&gt;="&amp;AK7,'1QF4SM'!$J$6:$J$2989,"&lt;="&amp;EOMONTH(AK7,0),'1QF4SM'!$L$6:$L$2989,$B$24)+SUMIFS('1UV5KI'!$K$6:$K$2989,'1UV5KI'!$J$6:$J$2989,"&gt;="&amp;AK7,'1UV5KI'!$J$6:$J$2989,"&lt;="&amp;EOMONTH(AK7,0),'1UV5KI'!$L$6:$L$2989,$B$24)+SUMIFS(#REF!,#REF!,"&gt;="&amp;AK7,#REF!,"&lt;="&amp;EOMONTH(AK7,0),#REF!,$B$24)+SUMIFS('1UL9RY'!$K$6:$K$2990,'1UL9RY'!$J$6:$J$2990,"&gt;="&amp;AK7,'1UL9RY'!$J$6:$J$2990,"&lt;="&amp;EOMONTH(AK7,0),'1UL9RY'!$L$6:$L$2990,$B$24)+SUMIFS('1OZ7GT'!$K$6:$K$2989,'1OZ7GT'!$J$6:$J$2989,"&gt;="&amp;AK7,'1OZ7GT'!$J$6:$J$2989,"&lt;="&amp;EOMONTH(AK7,0),'1OZ7GT'!$L$6:$L$2989,$B$24)+SUMIFS('1CN8DD'!$K$6:$K$2989,'1CN8DD'!$J$6:$J$2989,"&gt;="&amp;AK7,'1CN8DD'!$J$6:$J$2989,"&lt;="&amp;EOMONTH(AK7,0),'1CN8DD'!$L$6:$L$2989,$B$24)+SUMIFS('1UT9BR'!$K$6:$K$2990,'1UT9BR'!$J$6:$J$2990,"&gt;="&amp;AK7,'1UT9BR'!$J$6:$J$2990,"&lt;="&amp;EOMONTH(AK7,0),'1UT9BR'!$L$6:$L$2990,$B$24)+SUMIFS('1MK4UR'!$K$6:$K$2990,'1MK4UR'!$J$6:$J$2990,"&gt;="&amp;AK7,'1MK4UR'!$J$6:$J$2990,"&lt;="&amp;EOMONTH(AK7,0),'1MK4UR'!$L$6:$L$2990,$B$24)+SUMIFS(#REF!,#REF!,"&gt;="&amp;AK7,#REF!,"&lt;="&amp;EOMONTH(AK7,0),#REF!,$B$24)+SUMIFS('1JI2UE'!$K$6:$K$2989,'1JI2UE'!$J$6:$J$2989,"&gt;="&amp;AK7,'1JI2UE'!$J$6:$J$2989,"&lt;="&amp;EOMONTH(AK7,0),'1JI2UE'!$L$6:$L$2989,$B$24)+SUMIFS(#REF!,#REF!,"&gt;="&amp;AK7,#REF!,"&lt;="&amp;EOMONTH(AK7,0),#REF!,$B$24)+SUMIFS('1SI9BW'!$K$6:$K$2989,'1SI9BW'!$J$6:$J$2989,"&gt;="&amp;AK7,'1SI9BW'!$J$6:$J$2989,"&lt;="&amp;EOMONTH(AK7,0),'1SI9BW'!$L$6:$L$2989,$B$24)+SUMIFS(Suzuki!$K$6:$K$2989,Suzuki!$J$6:$J$2989,"&gt;="&amp;AK7,Suzuki!$J$6:$J$2989,"&lt;="&amp;EOMONTH(AK7,0),Suzuki!$L$6:$L$2989,$B$24)+SUMIFS('1SK3DD'!$K$6:$K$2989,'1SK3DD'!$J$6:$J$2989,"&gt;="&amp;AK7,'1SK3DD'!$J$6:$J$2989,"&lt;="&amp;EOMONTH(AK7,0),'1SK3DD'!$L$6:$L$2989,$B$24)+SUMIFS('1SX5TQ'!$K$6:$K$2989,'1SX5TQ'!$J$6:$J$2989,"&gt;="&amp;AK7,'1SX5TQ'!$J$6:$J$2989,"&lt;="&amp;EOMONTH(AK7,0),'1SX5TQ'!$L$6:$L$2989,$B$24)+SUMIFS('BMM465'!$K$6:$K$2989,'BMM465'!$J$6:$J$2989,"&gt;="&amp;AK7,'BMM465'!$J$6:$J$2989,"&lt;="&amp;EOMONTH(AK7,0),'BMM465'!$L$6:$L$2989,$B$24)+SUMIFS('1CF1ZO'!$K$6:$K$2989,'1CF1ZO'!$J$6:$J$2989,"&gt;="&amp;AK7,'1CF1ZO'!$J$6:$J$2989,"&lt;="&amp;EOMONTH(AK7,0),'1CF1ZO'!$L$6:$L$2989,$B$24)+SUMIFS('1UK1BK'!$K$6:$K$2989,'1UK1BK'!$J$6:$J$2989,"&gt;="&amp;AK7,'1UK1BK'!$J$6:$J$2989,"&lt;="&amp;EOMONTH(AK7,0),'1UK1BK'!$L$6:$L$2989,$B$24)</f>
        <v>#REF!</v>
      </c>
      <c r="AL24" s="110" t="e">
        <f>SUMIFS('CEI565'!$K$6:$K$2990,'CEI565'!$J$6:$J$2990,"&gt;="&amp;AL7,'CEI565'!$J$6:$J$2990,"&lt;="&amp;EOMONTH(AL7,0),'CEI565'!$L$6:$L$2990,$B$24)+SUMIFS('1SM3VL'!$K$6:$K$2990,'1SM3VL'!$J$6:$J$2990,"&gt;="&amp;AL7,'1SM3VL'!$J$6:$J$2990,"&lt;="&amp;EOMONTH(AL7,0),'1SM3VL'!$L$6:$L$2990,$B$24)+SUMIFS('1QF4SM'!$K$6:$K$2989,'1QF4SM'!$J$6:$J$2989,"&gt;="&amp;AL7,'1QF4SM'!$J$6:$J$2989,"&lt;="&amp;EOMONTH(AL7,0),'1QF4SM'!$L$6:$L$2989,$B$24)+SUMIFS('1UV5KI'!$K$6:$K$2989,'1UV5KI'!$J$6:$J$2989,"&gt;="&amp;AL7,'1UV5KI'!$J$6:$J$2989,"&lt;="&amp;EOMONTH(AL7,0),'1UV5KI'!$L$6:$L$2989,$B$24)+SUMIFS(#REF!,#REF!,"&gt;="&amp;AL7,#REF!,"&lt;="&amp;EOMONTH(AL7,0),#REF!,$B$24)+SUMIFS('1UL9RY'!$K$6:$K$2990,'1UL9RY'!$J$6:$J$2990,"&gt;="&amp;AL7,'1UL9RY'!$J$6:$J$2990,"&lt;="&amp;EOMONTH(AL7,0),'1UL9RY'!$L$6:$L$2990,$B$24)+SUMIFS('1OZ7GT'!$K$6:$K$2989,'1OZ7GT'!$J$6:$J$2989,"&gt;="&amp;AL7,'1OZ7GT'!$J$6:$J$2989,"&lt;="&amp;EOMONTH(AL7,0),'1OZ7GT'!$L$6:$L$2989,$B$24)+SUMIFS('1CN8DD'!$K$6:$K$2989,'1CN8DD'!$J$6:$J$2989,"&gt;="&amp;AL7,'1CN8DD'!$J$6:$J$2989,"&lt;="&amp;EOMONTH(AL7,0),'1CN8DD'!$L$6:$L$2989,$B$24)+SUMIFS('1UT9BR'!$K$6:$K$2990,'1UT9BR'!$J$6:$J$2990,"&gt;="&amp;AL7,'1UT9BR'!$J$6:$J$2990,"&lt;="&amp;EOMONTH(AL7,0),'1UT9BR'!$L$6:$L$2990,$B$24)+SUMIFS('1MK4UR'!$K$6:$K$2990,'1MK4UR'!$J$6:$J$2990,"&gt;="&amp;AL7,'1MK4UR'!$J$6:$J$2990,"&lt;="&amp;EOMONTH(AL7,0),'1MK4UR'!$L$6:$L$2990,$B$24)+SUMIFS(#REF!,#REF!,"&gt;="&amp;AL7,#REF!,"&lt;="&amp;EOMONTH(AL7,0),#REF!,$B$24)+SUMIFS('1JI2UE'!$K$6:$K$2989,'1JI2UE'!$J$6:$J$2989,"&gt;="&amp;AL7,'1JI2UE'!$J$6:$J$2989,"&lt;="&amp;EOMONTH(AL7,0),'1JI2UE'!$L$6:$L$2989,$B$24)+SUMIFS(#REF!,#REF!,"&gt;="&amp;AL7,#REF!,"&lt;="&amp;EOMONTH(AL7,0),#REF!,$B$24)+SUMIFS('1SI9BW'!$K$6:$K$2989,'1SI9BW'!$J$6:$J$2989,"&gt;="&amp;AL7,'1SI9BW'!$J$6:$J$2989,"&lt;="&amp;EOMONTH(AL7,0),'1SI9BW'!$L$6:$L$2989,$B$24)+SUMIFS(Suzuki!$K$6:$K$2989,Suzuki!$J$6:$J$2989,"&gt;="&amp;AL7,Suzuki!$J$6:$J$2989,"&lt;="&amp;EOMONTH(AL7,0),Suzuki!$L$6:$L$2989,$B$24)+SUMIFS('1SK3DD'!$K$6:$K$2989,'1SK3DD'!$J$6:$J$2989,"&gt;="&amp;AL7,'1SK3DD'!$J$6:$J$2989,"&lt;="&amp;EOMONTH(AL7,0),'1SK3DD'!$L$6:$L$2989,$B$24)+SUMIFS('1SX5TQ'!$K$6:$K$2989,'1SX5TQ'!$J$6:$J$2989,"&gt;="&amp;AL7,'1SX5TQ'!$J$6:$J$2989,"&lt;="&amp;EOMONTH(AL7,0),'1SX5TQ'!$L$6:$L$2989,$B$24)+SUMIFS('BMM465'!$K$6:$K$2989,'BMM465'!$J$6:$J$2989,"&gt;="&amp;AL7,'BMM465'!$J$6:$J$2989,"&lt;="&amp;EOMONTH(AL7,0),'BMM465'!$L$6:$L$2989,$B$24)+SUMIFS('1CF1ZO'!$K$6:$K$2989,'1CF1ZO'!$J$6:$J$2989,"&gt;="&amp;AL7,'1CF1ZO'!$J$6:$J$2989,"&lt;="&amp;EOMONTH(AL7,0),'1CF1ZO'!$L$6:$L$2989,$B$24)+SUMIFS('1UK1BK'!$K$6:$K$2989,'1UK1BK'!$J$6:$J$2989,"&gt;="&amp;AL7,'1UK1BK'!$J$6:$J$2989,"&lt;="&amp;EOMONTH(AL7,0),'1UK1BK'!$L$6:$L$2989,$B$24)</f>
        <v>#REF!</v>
      </c>
      <c r="AM24" s="110" t="e">
        <f>SUMIFS('CEI565'!$K$6:$K$2990,'CEI565'!$J$6:$J$2990,"&gt;="&amp;AM7,'CEI565'!$J$6:$J$2990,"&lt;="&amp;EOMONTH(AM7,0),'CEI565'!$L$6:$L$2990,$B$24)+SUMIFS('1SM3VL'!$K$6:$K$2990,'1SM3VL'!$J$6:$J$2990,"&gt;="&amp;AM7,'1SM3VL'!$J$6:$J$2990,"&lt;="&amp;EOMONTH(AM7,0),'1SM3VL'!$L$6:$L$2990,$B$24)+SUMIFS('1QF4SM'!$K$6:$K$2989,'1QF4SM'!$J$6:$J$2989,"&gt;="&amp;AM7,'1QF4SM'!$J$6:$J$2989,"&lt;="&amp;EOMONTH(AM7,0),'1QF4SM'!$L$6:$L$2989,$B$24)+SUMIFS('1UV5KI'!$K$6:$K$2989,'1UV5KI'!$J$6:$J$2989,"&gt;="&amp;AM7,'1UV5KI'!$J$6:$J$2989,"&lt;="&amp;EOMONTH(AM7,0),'1UV5KI'!$L$6:$L$2989,$B$24)+SUMIFS(#REF!,#REF!,"&gt;="&amp;AM7,#REF!,"&lt;="&amp;EOMONTH(AM7,0),#REF!,$B$24)+SUMIFS('1UL9RY'!$K$6:$K$2990,'1UL9RY'!$J$6:$J$2990,"&gt;="&amp;AM7,'1UL9RY'!$J$6:$J$2990,"&lt;="&amp;EOMONTH(AM7,0),'1UL9RY'!$L$6:$L$2990,$B$24)+SUMIFS('1OZ7GT'!$K$6:$K$2989,'1OZ7GT'!$J$6:$J$2989,"&gt;="&amp;AM7,'1OZ7GT'!$J$6:$J$2989,"&lt;="&amp;EOMONTH(AM7,0),'1OZ7GT'!$L$6:$L$2989,$B$24)+SUMIFS('1CN8DD'!$K$6:$K$2989,'1CN8DD'!$J$6:$J$2989,"&gt;="&amp;AM7,'1CN8DD'!$J$6:$J$2989,"&lt;="&amp;EOMONTH(AM7,0),'1CN8DD'!$L$6:$L$2989,$B$24)+SUMIFS('1UT9BR'!$K$6:$K$2990,'1UT9BR'!$J$6:$J$2990,"&gt;="&amp;AM7,'1UT9BR'!$J$6:$J$2990,"&lt;="&amp;EOMONTH(AM7,0),'1UT9BR'!$L$6:$L$2990,$B$24)+SUMIFS('1MK4UR'!$K$6:$K$2990,'1MK4UR'!$J$6:$J$2990,"&gt;="&amp;AM7,'1MK4UR'!$J$6:$J$2990,"&lt;="&amp;EOMONTH(AM7,0),'1MK4UR'!$L$6:$L$2990,$B$24)+SUMIFS(#REF!,#REF!,"&gt;="&amp;AM7,#REF!,"&lt;="&amp;EOMONTH(AM7,0),#REF!,$B$24)+SUMIFS('1JI2UE'!$K$6:$K$2989,'1JI2UE'!$J$6:$J$2989,"&gt;="&amp;AM7,'1JI2UE'!$J$6:$J$2989,"&lt;="&amp;EOMONTH(AM7,0),'1JI2UE'!$L$6:$L$2989,$B$24)+SUMIFS(#REF!,#REF!,"&gt;="&amp;AM7,#REF!,"&lt;="&amp;EOMONTH(AM7,0),#REF!,$B$24)+SUMIFS('1SI9BW'!$K$6:$K$2989,'1SI9BW'!$J$6:$J$2989,"&gt;="&amp;AM7,'1SI9BW'!$J$6:$J$2989,"&lt;="&amp;EOMONTH(AM7,0),'1SI9BW'!$L$6:$L$2989,$B$24)+SUMIFS(Suzuki!$K$6:$K$2989,Suzuki!$J$6:$J$2989,"&gt;="&amp;AM7,Suzuki!$J$6:$J$2989,"&lt;="&amp;EOMONTH(AM7,0),Suzuki!$L$6:$L$2989,$B$24)+SUMIFS('1SK3DD'!$K$6:$K$2989,'1SK3DD'!$J$6:$J$2989,"&gt;="&amp;AM7,'1SK3DD'!$J$6:$J$2989,"&lt;="&amp;EOMONTH(AM7,0),'1SK3DD'!$L$6:$L$2989,$B$24)+SUMIFS('1SX5TQ'!$K$6:$K$2989,'1SX5TQ'!$J$6:$J$2989,"&gt;="&amp;AM7,'1SX5TQ'!$J$6:$J$2989,"&lt;="&amp;EOMONTH(AM7,0),'1SX5TQ'!$L$6:$L$2989,$B$24)+SUMIFS('BMM465'!$K$6:$K$2989,'BMM465'!$J$6:$J$2989,"&gt;="&amp;AM7,'BMM465'!$J$6:$J$2989,"&lt;="&amp;EOMONTH(AM7,0),'BMM465'!$L$6:$L$2989,$B$24)+SUMIFS('1CF1ZO'!$K$6:$K$2989,'1CF1ZO'!$J$6:$J$2989,"&gt;="&amp;AM7,'1CF1ZO'!$J$6:$J$2989,"&lt;="&amp;EOMONTH(AM7,0),'1CF1ZO'!$L$6:$L$2989,$B$24)+SUMIFS('1UK1BK'!$K$6:$K$2989,'1UK1BK'!$J$6:$J$2989,"&gt;="&amp;AM7,'1UK1BK'!$J$6:$J$2989,"&lt;="&amp;EOMONTH(AM7,0),'1UK1BK'!$L$6:$L$2989,$B$24)</f>
        <v>#REF!</v>
      </c>
      <c r="AN24" s="110" t="e">
        <f>SUMIFS('CEI565'!$K$6:$K$2990,'CEI565'!$J$6:$J$2990,"&gt;="&amp;AN7,'CEI565'!$J$6:$J$2990,"&lt;="&amp;EOMONTH(AN7,0),'CEI565'!$L$6:$L$2990,$B$24)+SUMIFS('1SM3VL'!$K$6:$K$2990,'1SM3VL'!$J$6:$J$2990,"&gt;="&amp;AN7,'1SM3VL'!$J$6:$J$2990,"&lt;="&amp;EOMONTH(AN7,0),'1SM3VL'!$L$6:$L$2990,$B$24)+SUMIFS('1QF4SM'!$K$6:$K$2989,'1QF4SM'!$J$6:$J$2989,"&gt;="&amp;AN7,'1QF4SM'!$J$6:$J$2989,"&lt;="&amp;EOMONTH(AN7,0),'1QF4SM'!$L$6:$L$2989,$B$24)+SUMIFS('1UV5KI'!$K$6:$K$2989,'1UV5KI'!$J$6:$J$2989,"&gt;="&amp;AN7,'1UV5KI'!$J$6:$J$2989,"&lt;="&amp;EOMONTH(AN7,0),'1UV5KI'!$L$6:$L$2989,$B$24)+SUMIFS(#REF!,#REF!,"&gt;="&amp;AN7,#REF!,"&lt;="&amp;EOMONTH(AN7,0),#REF!,$B$24)+SUMIFS('1UL9RY'!$K$6:$K$2990,'1UL9RY'!$J$6:$J$2990,"&gt;="&amp;AN7,'1UL9RY'!$J$6:$J$2990,"&lt;="&amp;EOMONTH(AN7,0),'1UL9RY'!$L$6:$L$2990,$B$24)+SUMIFS('1OZ7GT'!$K$6:$K$2989,'1OZ7GT'!$J$6:$J$2989,"&gt;="&amp;AN7,'1OZ7GT'!$J$6:$J$2989,"&lt;="&amp;EOMONTH(AN7,0),'1OZ7GT'!$L$6:$L$2989,$B$24)+SUMIFS('1CN8DD'!$K$6:$K$2989,'1CN8DD'!$J$6:$J$2989,"&gt;="&amp;AN7,'1CN8DD'!$J$6:$J$2989,"&lt;="&amp;EOMONTH(AN7,0),'1CN8DD'!$L$6:$L$2989,$B$24)+SUMIFS('1UT9BR'!$K$6:$K$2990,'1UT9BR'!$J$6:$J$2990,"&gt;="&amp;AN7,'1UT9BR'!$J$6:$J$2990,"&lt;="&amp;EOMONTH(AN7,0),'1UT9BR'!$L$6:$L$2990,$B$24)+SUMIFS('1MK4UR'!$K$6:$K$2990,'1MK4UR'!$J$6:$J$2990,"&gt;="&amp;AN7,'1MK4UR'!$J$6:$J$2990,"&lt;="&amp;EOMONTH(AN7,0),'1MK4UR'!$L$6:$L$2990,$B$24)+SUMIFS(#REF!,#REF!,"&gt;="&amp;AN7,#REF!,"&lt;="&amp;EOMONTH(AN7,0),#REF!,$B$24)+SUMIFS('1JI2UE'!$K$6:$K$2989,'1JI2UE'!$J$6:$J$2989,"&gt;="&amp;AN7,'1JI2UE'!$J$6:$J$2989,"&lt;="&amp;EOMONTH(AN7,0),'1JI2UE'!$L$6:$L$2989,$B$24)+SUMIFS(#REF!,#REF!,"&gt;="&amp;AN7,#REF!,"&lt;="&amp;EOMONTH(AN7,0),#REF!,$B$24)+SUMIFS('1SI9BW'!$K$6:$K$2989,'1SI9BW'!$J$6:$J$2989,"&gt;="&amp;AN7,'1SI9BW'!$J$6:$J$2989,"&lt;="&amp;EOMONTH(AN7,0),'1SI9BW'!$L$6:$L$2989,$B$24)+SUMIFS(Suzuki!$K$6:$K$2989,Suzuki!$J$6:$J$2989,"&gt;="&amp;AN7,Suzuki!$J$6:$J$2989,"&lt;="&amp;EOMONTH(AN7,0),Suzuki!$L$6:$L$2989,$B$24)+SUMIFS('1SK3DD'!$K$6:$K$2989,'1SK3DD'!$J$6:$J$2989,"&gt;="&amp;AN7,'1SK3DD'!$J$6:$J$2989,"&lt;="&amp;EOMONTH(AN7,0),'1SK3DD'!$L$6:$L$2989,$B$24)+SUMIFS('1SX5TQ'!$K$6:$K$2989,'1SX5TQ'!$J$6:$J$2989,"&gt;="&amp;AN7,'1SX5TQ'!$J$6:$J$2989,"&lt;="&amp;EOMONTH(AN7,0),'1SX5TQ'!$L$6:$L$2989,$B$24)+SUMIFS('BMM465'!$K$6:$K$2989,'BMM465'!$J$6:$J$2989,"&gt;="&amp;AN7,'BMM465'!$J$6:$J$2989,"&lt;="&amp;EOMONTH(AN7,0),'BMM465'!$L$6:$L$2989,$B$24)+SUMIFS('1CF1ZO'!$K$6:$K$2989,'1CF1ZO'!$J$6:$J$2989,"&gt;="&amp;AN7,'1CF1ZO'!$J$6:$J$2989,"&lt;="&amp;EOMONTH(AN7,0),'1CF1ZO'!$L$6:$L$2989,$B$24)+SUMIFS('1UK1BK'!$K$6:$K$2989,'1UK1BK'!$J$6:$J$2989,"&gt;="&amp;AN7,'1UK1BK'!$J$6:$J$2989,"&lt;="&amp;EOMONTH(AN7,0),'1UK1BK'!$L$6:$L$2989,$B$24)</f>
        <v>#REF!</v>
      </c>
      <c r="AO24" s="110" t="e">
        <f>SUMIFS('CEI565'!$K$6:$K$2990,'CEI565'!$J$6:$J$2990,"&gt;="&amp;AO7,'CEI565'!$J$6:$J$2990,"&lt;="&amp;EOMONTH(AO7,0),'CEI565'!$L$6:$L$2990,$B$24)+SUMIFS('1SM3VL'!$K$6:$K$2990,'1SM3VL'!$J$6:$J$2990,"&gt;="&amp;AO7,'1SM3VL'!$J$6:$J$2990,"&lt;="&amp;EOMONTH(AO7,0),'1SM3VL'!$L$6:$L$2990,$B$24)+SUMIFS('1QF4SM'!$K$6:$K$2989,'1QF4SM'!$J$6:$J$2989,"&gt;="&amp;AO7,'1QF4SM'!$J$6:$J$2989,"&lt;="&amp;EOMONTH(AO7,0),'1QF4SM'!$L$6:$L$2989,$B$24)+SUMIFS('1UV5KI'!$K$6:$K$2989,'1UV5KI'!$J$6:$J$2989,"&gt;="&amp;AO7,'1UV5KI'!$J$6:$J$2989,"&lt;="&amp;EOMONTH(AO7,0),'1UV5KI'!$L$6:$L$2989,$B$24)+SUMIFS(#REF!,#REF!,"&gt;="&amp;AO7,#REF!,"&lt;="&amp;EOMONTH(AO7,0),#REF!,$B$24)+SUMIFS('1UL9RY'!$K$6:$K$2990,'1UL9RY'!$J$6:$J$2990,"&gt;="&amp;AO7,'1UL9RY'!$J$6:$J$2990,"&lt;="&amp;EOMONTH(AO7,0),'1UL9RY'!$L$6:$L$2990,$B$24)+SUMIFS('1OZ7GT'!$K$6:$K$2989,'1OZ7GT'!$J$6:$J$2989,"&gt;="&amp;AO7,'1OZ7GT'!$J$6:$J$2989,"&lt;="&amp;EOMONTH(AO7,0),'1OZ7GT'!$L$6:$L$2989,$B$24)+SUMIFS('1CN8DD'!$K$6:$K$2989,'1CN8DD'!$J$6:$J$2989,"&gt;="&amp;AO7,'1CN8DD'!$J$6:$J$2989,"&lt;="&amp;EOMONTH(AO7,0),'1CN8DD'!$L$6:$L$2989,$B$24)+SUMIFS('1UT9BR'!$K$6:$K$2990,'1UT9BR'!$J$6:$J$2990,"&gt;="&amp;AO7,'1UT9BR'!$J$6:$J$2990,"&lt;="&amp;EOMONTH(AO7,0),'1UT9BR'!$L$6:$L$2990,$B$24)+SUMIFS('1MK4UR'!$K$6:$K$2990,'1MK4UR'!$J$6:$J$2990,"&gt;="&amp;AO7,'1MK4UR'!$J$6:$J$2990,"&lt;="&amp;EOMONTH(AO7,0),'1MK4UR'!$L$6:$L$2990,$B$24)+SUMIFS(#REF!,#REF!,"&gt;="&amp;AO7,#REF!,"&lt;="&amp;EOMONTH(AO7,0),#REF!,$B$24)+SUMIFS('1JI2UE'!$K$6:$K$2989,'1JI2UE'!$J$6:$J$2989,"&gt;="&amp;AO7,'1JI2UE'!$J$6:$J$2989,"&lt;="&amp;EOMONTH(AO7,0),'1JI2UE'!$L$6:$L$2989,$B$24)+SUMIFS(#REF!,#REF!,"&gt;="&amp;AO7,#REF!,"&lt;="&amp;EOMONTH(AO7,0),#REF!,$B$24)+SUMIFS('1SI9BW'!$K$6:$K$2989,'1SI9BW'!$J$6:$J$2989,"&gt;="&amp;AO7,'1SI9BW'!$J$6:$J$2989,"&lt;="&amp;EOMONTH(AO7,0),'1SI9BW'!$L$6:$L$2989,$B$24)+SUMIFS(Suzuki!$K$6:$K$2989,Suzuki!$J$6:$J$2989,"&gt;="&amp;AO7,Suzuki!$J$6:$J$2989,"&lt;="&amp;EOMONTH(AO7,0),Suzuki!$L$6:$L$2989,$B$24)+SUMIFS('1SK3DD'!$K$6:$K$2989,'1SK3DD'!$J$6:$J$2989,"&gt;="&amp;AO7,'1SK3DD'!$J$6:$J$2989,"&lt;="&amp;EOMONTH(AO7,0),'1SK3DD'!$L$6:$L$2989,$B$24)+SUMIFS('1SX5TQ'!$K$6:$K$2989,'1SX5TQ'!$J$6:$J$2989,"&gt;="&amp;AO7,'1SX5TQ'!$J$6:$J$2989,"&lt;="&amp;EOMONTH(AO7,0),'1SX5TQ'!$L$6:$L$2989,$B$24)+SUMIFS('BMM465'!$K$6:$K$2989,'BMM465'!$J$6:$J$2989,"&gt;="&amp;AO7,'BMM465'!$J$6:$J$2989,"&lt;="&amp;EOMONTH(AO7,0),'BMM465'!$L$6:$L$2989,$B$24)+SUMIFS('1CF1ZO'!$K$6:$K$2989,'1CF1ZO'!$J$6:$J$2989,"&gt;="&amp;AO7,'1CF1ZO'!$J$6:$J$2989,"&lt;="&amp;EOMONTH(AO7,0),'1CF1ZO'!$L$6:$L$2989,$B$24)+SUMIFS('1UK1BK'!$K$6:$K$2989,'1UK1BK'!$J$6:$J$2989,"&gt;="&amp;AO7,'1UK1BK'!$J$6:$J$2989,"&lt;="&amp;EOMONTH(AO7,0),'1UK1BK'!$L$6:$L$2989,$B$24)</f>
        <v>#REF!</v>
      </c>
      <c r="AP24" s="110" t="e">
        <f>SUMIFS('CEI565'!$K$6:$K$2990,'CEI565'!$J$6:$J$2990,"&gt;="&amp;AP7,'CEI565'!$J$6:$J$2990,"&lt;="&amp;EOMONTH(AP7,0),'CEI565'!$L$6:$L$2990,$B$24)+SUMIFS('1SM3VL'!$K$6:$K$2990,'1SM3VL'!$J$6:$J$2990,"&gt;="&amp;AP7,'1SM3VL'!$J$6:$J$2990,"&lt;="&amp;EOMONTH(AP7,0),'1SM3VL'!$L$6:$L$2990,$B$24)+SUMIFS('1QF4SM'!$K$6:$K$2989,'1QF4SM'!$J$6:$J$2989,"&gt;="&amp;AP7,'1QF4SM'!$J$6:$J$2989,"&lt;="&amp;EOMONTH(AP7,0),'1QF4SM'!$L$6:$L$2989,$B$24)+SUMIFS('1UV5KI'!$K$6:$K$2989,'1UV5KI'!$J$6:$J$2989,"&gt;="&amp;AP7,'1UV5KI'!$J$6:$J$2989,"&lt;="&amp;EOMONTH(AP7,0),'1UV5KI'!$L$6:$L$2989,$B$24)+SUMIFS(#REF!,#REF!,"&gt;="&amp;AP7,#REF!,"&lt;="&amp;EOMONTH(AP7,0),#REF!,$B$24)+SUMIFS('1UL9RY'!$K$6:$K$2990,'1UL9RY'!$J$6:$J$2990,"&gt;="&amp;AP7,'1UL9RY'!$J$6:$J$2990,"&lt;="&amp;EOMONTH(AP7,0),'1UL9RY'!$L$6:$L$2990,$B$24)+SUMIFS('1OZ7GT'!$K$6:$K$2989,'1OZ7GT'!$J$6:$J$2989,"&gt;="&amp;AP7,'1OZ7GT'!$J$6:$J$2989,"&lt;="&amp;EOMONTH(AP7,0),'1OZ7GT'!$L$6:$L$2989,$B$24)+SUMIFS('1CN8DD'!$K$6:$K$2989,'1CN8DD'!$J$6:$J$2989,"&gt;="&amp;AP7,'1CN8DD'!$J$6:$J$2989,"&lt;="&amp;EOMONTH(AP7,0),'1CN8DD'!$L$6:$L$2989,$B$24)+SUMIFS('1UT9BR'!$K$6:$K$2990,'1UT9BR'!$J$6:$J$2990,"&gt;="&amp;AP7,'1UT9BR'!$J$6:$J$2990,"&lt;="&amp;EOMONTH(AP7,0),'1UT9BR'!$L$6:$L$2990,$B$24)+SUMIFS('1MK4UR'!$K$6:$K$2990,'1MK4UR'!$J$6:$J$2990,"&gt;="&amp;AP7,'1MK4UR'!$J$6:$J$2990,"&lt;="&amp;EOMONTH(AP7,0),'1MK4UR'!$L$6:$L$2990,$B$24)+SUMIFS(#REF!,#REF!,"&gt;="&amp;AP7,#REF!,"&lt;="&amp;EOMONTH(AP7,0),#REF!,$B$24)+SUMIFS('1JI2UE'!$K$6:$K$2989,'1JI2UE'!$J$6:$J$2989,"&gt;="&amp;AP7,'1JI2UE'!$J$6:$J$2989,"&lt;="&amp;EOMONTH(AP7,0),'1JI2UE'!$L$6:$L$2989,$B$24)+SUMIFS(#REF!,#REF!,"&gt;="&amp;AP7,#REF!,"&lt;="&amp;EOMONTH(AP7,0),#REF!,$B$24)+SUMIFS('1SI9BW'!$K$6:$K$2989,'1SI9BW'!$J$6:$J$2989,"&gt;="&amp;AP7,'1SI9BW'!$J$6:$J$2989,"&lt;="&amp;EOMONTH(AP7,0),'1SI9BW'!$L$6:$L$2989,$B$24)+SUMIFS(Suzuki!$K$6:$K$2989,Suzuki!$J$6:$J$2989,"&gt;="&amp;AP7,Suzuki!$J$6:$J$2989,"&lt;="&amp;EOMONTH(AP7,0),Suzuki!$L$6:$L$2989,$B$24)+SUMIFS('1SK3DD'!$K$6:$K$2989,'1SK3DD'!$J$6:$J$2989,"&gt;="&amp;AP7,'1SK3DD'!$J$6:$J$2989,"&lt;="&amp;EOMONTH(AP7,0),'1SK3DD'!$L$6:$L$2989,$B$24)+SUMIFS('1SX5TQ'!$K$6:$K$2989,'1SX5TQ'!$J$6:$J$2989,"&gt;="&amp;AP7,'1SX5TQ'!$J$6:$J$2989,"&lt;="&amp;EOMONTH(AP7,0),'1SX5TQ'!$L$6:$L$2989,$B$24)+SUMIFS('BMM465'!$K$6:$K$2989,'BMM465'!$J$6:$J$2989,"&gt;="&amp;AP7,'BMM465'!$J$6:$J$2989,"&lt;="&amp;EOMONTH(AP7,0),'BMM465'!$L$6:$L$2989,$B$24)+SUMIFS('1CF1ZO'!$K$6:$K$2989,'1CF1ZO'!$J$6:$J$2989,"&gt;="&amp;AP7,'1CF1ZO'!$J$6:$J$2989,"&lt;="&amp;EOMONTH(AP7,0),'1CF1ZO'!$L$6:$L$2989,$B$24)+SUMIFS('1UK1BK'!$K$6:$K$2989,'1UK1BK'!$J$6:$J$2989,"&gt;="&amp;AP7,'1UK1BK'!$J$6:$J$2989,"&lt;="&amp;EOMONTH(AP7,0),'1UK1BK'!$L$6:$L$2989,$B$24)</f>
        <v>#REF!</v>
      </c>
      <c r="AQ24" s="110" t="e">
        <f>SUMIFS('CEI565'!$K$6:$K$2990,'CEI565'!$J$6:$J$2990,"&gt;="&amp;AQ7,'CEI565'!$J$6:$J$2990,"&lt;="&amp;EOMONTH(AQ7,0),'CEI565'!$L$6:$L$2990,$B$24)+SUMIFS('1SM3VL'!$K$6:$K$2990,'1SM3VL'!$J$6:$J$2990,"&gt;="&amp;AQ7,'1SM3VL'!$J$6:$J$2990,"&lt;="&amp;EOMONTH(AQ7,0),'1SM3VL'!$L$6:$L$2990,$B$24)+SUMIFS('1QF4SM'!$K$6:$K$2989,'1QF4SM'!$J$6:$J$2989,"&gt;="&amp;AQ7,'1QF4SM'!$J$6:$J$2989,"&lt;="&amp;EOMONTH(AQ7,0),'1QF4SM'!$L$6:$L$2989,$B$24)+SUMIFS('1UV5KI'!$K$6:$K$2989,'1UV5KI'!$J$6:$J$2989,"&gt;="&amp;AQ7,'1UV5KI'!$J$6:$J$2989,"&lt;="&amp;EOMONTH(AQ7,0),'1UV5KI'!$L$6:$L$2989,$B$24)+SUMIFS(#REF!,#REF!,"&gt;="&amp;AQ7,#REF!,"&lt;="&amp;EOMONTH(AQ7,0),#REF!,$B$24)+SUMIFS('1UL9RY'!$K$6:$K$2990,'1UL9RY'!$J$6:$J$2990,"&gt;="&amp;AQ7,'1UL9RY'!$J$6:$J$2990,"&lt;="&amp;EOMONTH(AQ7,0),'1UL9RY'!$L$6:$L$2990,$B$24)+SUMIFS('1OZ7GT'!$K$6:$K$2989,'1OZ7GT'!$J$6:$J$2989,"&gt;="&amp;AQ7,'1OZ7GT'!$J$6:$J$2989,"&lt;="&amp;EOMONTH(AQ7,0),'1OZ7GT'!$L$6:$L$2989,$B$24)+SUMIFS('1CN8DD'!$K$6:$K$2989,'1CN8DD'!$J$6:$J$2989,"&gt;="&amp;AQ7,'1CN8DD'!$J$6:$J$2989,"&lt;="&amp;EOMONTH(AQ7,0),'1CN8DD'!$L$6:$L$2989,$B$24)+SUMIFS('1UT9BR'!$K$6:$K$2990,'1UT9BR'!$J$6:$J$2990,"&gt;="&amp;AQ7,'1UT9BR'!$J$6:$J$2990,"&lt;="&amp;EOMONTH(AQ7,0),'1UT9BR'!$L$6:$L$2990,$B$24)+SUMIFS('1MK4UR'!$K$6:$K$2990,'1MK4UR'!$J$6:$J$2990,"&gt;="&amp;AQ7,'1MK4UR'!$J$6:$J$2990,"&lt;="&amp;EOMONTH(AQ7,0),'1MK4UR'!$L$6:$L$2990,$B$24)+SUMIFS(#REF!,#REF!,"&gt;="&amp;AQ7,#REF!,"&lt;="&amp;EOMONTH(AQ7,0),#REF!,$B$24)+SUMIFS('1JI2UE'!$K$6:$K$2989,'1JI2UE'!$J$6:$J$2989,"&gt;="&amp;AQ7,'1JI2UE'!$J$6:$J$2989,"&lt;="&amp;EOMONTH(AQ7,0),'1JI2UE'!$L$6:$L$2989,$B$24)+SUMIFS(#REF!,#REF!,"&gt;="&amp;AQ7,#REF!,"&lt;="&amp;EOMONTH(AQ7,0),#REF!,$B$24)+SUMIFS('1SI9BW'!$K$6:$K$2989,'1SI9BW'!$J$6:$J$2989,"&gt;="&amp;AQ7,'1SI9BW'!$J$6:$J$2989,"&lt;="&amp;EOMONTH(AQ7,0),'1SI9BW'!$L$6:$L$2989,$B$24)+SUMIFS(Suzuki!$K$6:$K$2989,Suzuki!$J$6:$J$2989,"&gt;="&amp;AQ7,Suzuki!$J$6:$J$2989,"&lt;="&amp;EOMONTH(AQ7,0),Suzuki!$L$6:$L$2989,$B$24)+SUMIFS('1SK3DD'!$K$6:$K$2989,'1SK3DD'!$J$6:$J$2989,"&gt;="&amp;AQ7,'1SK3DD'!$J$6:$J$2989,"&lt;="&amp;EOMONTH(AQ7,0),'1SK3DD'!$L$6:$L$2989,$B$24)+SUMIFS('1SX5TQ'!$K$6:$K$2989,'1SX5TQ'!$J$6:$J$2989,"&gt;="&amp;AQ7,'1SX5TQ'!$J$6:$J$2989,"&lt;="&amp;EOMONTH(AQ7,0),'1SX5TQ'!$L$6:$L$2989,$B$24)+SUMIFS('BMM465'!$K$6:$K$2989,'BMM465'!$J$6:$J$2989,"&gt;="&amp;AQ7,'BMM465'!$J$6:$J$2989,"&lt;="&amp;EOMONTH(AQ7,0),'BMM465'!$L$6:$L$2989,$B$24)+SUMIFS('1CF1ZO'!$K$6:$K$2989,'1CF1ZO'!$J$6:$J$2989,"&gt;="&amp;AQ7,'1CF1ZO'!$J$6:$J$2989,"&lt;="&amp;EOMONTH(AQ7,0),'1CF1ZO'!$L$6:$L$2989,$B$24)+SUMIFS('1UK1BK'!$K$6:$K$2989,'1UK1BK'!$J$6:$J$2989,"&gt;="&amp;AQ7,'1UK1BK'!$J$6:$J$2989,"&lt;="&amp;EOMONTH(AQ7,0),'1UK1BK'!$L$6:$L$2989,$B$24)</f>
        <v>#REF!</v>
      </c>
      <c r="AR24" s="110" t="e">
        <f>SUMIFS('CEI565'!$K$6:$K$2990,'CEI565'!$J$6:$J$2990,"&gt;="&amp;AR7,'CEI565'!$J$6:$J$2990,"&lt;="&amp;EOMONTH(AR7,0),'CEI565'!$L$6:$L$2990,$B$24)+SUMIFS('1SM3VL'!$K$6:$K$2990,'1SM3VL'!$J$6:$J$2990,"&gt;="&amp;AR7,'1SM3VL'!$J$6:$J$2990,"&lt;="&amp;EOMONTH(AR7,0),'1SM3VL'!$L$6:$L$2990,$B$24)+SUMIFS('1QF4SM'!$K$6:$K$2989,'1QF4SM'!$J$6:$J$2989,"&gt;="&amp;AR7,'1QF4SM'!$J$6:$J$2989,"&lt;="&amp;EOMONTH(AR7,0),'1QF4SM'!$L$6:$L$2989,$B$24)+SUMIFS('1UV5KI'!$K$6:$K$2989,'1UV5KI'!$J$6:$J$2989,"&gt;="&amp;AR7,'1UV5KI'!$J$6:$J$2989,"&lt;="&amp;EOMONTH(AR7,0),'1UV5KI'!$L$6:$L$2989,$B$24)+SUMIFS(#REF!,#REF!,"&gt;="&amp;AR7,#REF!,"&lt;="&amp;EOMONTH(AR7,0),#REF!,$B$24)+SUMIFS('1UL9RY'!$K$6:$K$2990,'1UL9RY'!$J$6:$J$2990,"&gt;="&amp;AR7,'1UL9RY'!$J$6:$J$2990,"&lt;="&amp;EOMONTH(AR7,0),'1UL9RY'!$L$6:$L$2990,$B$24)+SUMIFS('1OZ7GT'!$K$6:$K$2989,'1OZ7GT'!$J$6:$J$2989,"&gt;="&amp;AR7,'1OZ7GT'!$J$6:$J$2989,"&lt;="&amp;EOMONTH(AR7,0),'1OZ7GT'!$L$6:$L$2989,$B$24)+SUMIFS('1CN8DD'!$K$6:$K$2989,'1CN8DD'!$J$6:$J$2989,"&gt;="&amp;AR7,'1CN8DD'!$J$6:$J$2989,"&lt;="&amp;EOMONTH(AR7,0),'1CN8DD'!$L$6:$L$2989,$B$24)+SUMIFS('1UT9BR'!$K$6:$K$2990,'1UT9BR'!$J$6:$J$2990,"&gt;="&amp;AR7,'1UT9BR'!$J$6:$J$2990,"&lt;="&amp;EOMONTH(AR7,0),'1UT9BR'!$L$6:$L$2990,$B$24)+SUMIFS('1MK4UR'!$K$6:$K$2990,'1MK4UR'!$J$6:$J$2990,"&gt;="&amp;AR7,'1MK4UR'!$J$6:$J$2990,"&lt;="&amp;EOMONTH(AR7,0),'1MK4UR'!$L$6:$L$2990,$B$24)+SUMIFS(#REF!,#REF!,"&gt;="&amp;AR7,#REF!,"&lt;="&amp;EOMONTH(AR7,0),#REF!,$B$24)+SUMIFS('1JI2UE'!$K$6:$K$2989,'1JI2UE'!$J$6:$J$2989,"&gt;="&amp;AR7,'1JI2UE'!$J$6:$J$2989,"&lt;="&amp;EOMONTH(AR7,0),'1JI2UE'!$L$6:$L$2989,$B$24)+SUMIFS(#REF!,#REF!,"&gt;="&amp;AR7,#REF!,"&lt;="&amp;EOMONTH(AR7,0),#REF!,$B$24)+SUMIFS('1SI9BW'!$K$6:$K$2989,'1SI9BW'!$J$6:$J$2989,"&gt;="&amp;AR7,'1SI9BW'!$J$6:$J$2989,"&lt;="&amp;EOMONTH(AR7,0),'1SI9BW'!$L$6:$L$2989,$B$24)+SUMIFS(Suzuki!$K$6:$K$2989,Suzuki!$J$6:$J$2989,"&gt;="&amp;AR7,Suzuki!$J$6:$J$2989,"&lt;="&amp;EOMONTH(AR7,0),Suzuki!$L$6:$L$2989,$B$24)+SUMIFS('1SK3DD'!$K$6:$K$2989,'1SK3DD'!$J$6:$J$2989,"&gt;="&amp;AR7,'1SK3DD'!$J$6:$J$2989,"&lt;="&amp;EOMONTH(AR7,0),'1SK3DD'!$L$6:$L$2989,$B$24)+SUMIFS('1SX5TQ'!$K$6:$K$2989,'1SX5TQ'!$J$6:$J$2989,"&gt;="&amp;AR7,'1SX5TQ'!$J$6:$J$2989,"&lt;="&amp;EOMONTH(AR7,0),'1SX5TQ'!$L$6:$L$2989,$B$24)+SUMIFS('BMM465'!$K$6:$K$2989,'BMM465'!$J$6:$J$2989,"&gt;="&amp;AR7,'BMM465'!$J$6:$J$2989,"&lt;="&amp;EOMONTH(AR7,0),'BMM465'!$L$6:$L$2989,$B$24)+SUMIFS('1CF1ZO'!$K$6:$K$2989,'1CF1ZO'!$J$6:$J$2989,"&gt;="&amp;AR7,'1CF1ZO'!$J$6:$J$2989,"&lt;="&amp;EOMONTH(AR7,0),'1CF1ZO'!$L$6:$L$2989,$B$24)+SUMIFS('1UK1BK'!$K$6:$K$2989,'1UK1BK'!$J$6:$J$2989,"&gt;="&amp;AR7,'1UK1BK'!$J$6:$J$2989,"&lt;="&amp;EOMONTH(AR7,0),'1UK1BK'!$L$6:$L$2989,$B$24)</f>
        <v>#REF!</v>
      </c>
      <c r="AS24" s="110" t="e">
        <f>SUMIFS('CEI565'!$K$6:$K$2990,'CEI565'!$J$6:$J$2990,"&gt;="&amp;AS7,'CEI565'!$J$6:$J$2990,"&lt;="&amp;EOMONTH(AS7,0),'CEI565'!$L$6:$L$2990,$B$24)+SUMIFS('1SM3VL'!$K$6:$K$2990,'1SM3VL'!$J$6:$J$2990,"&gt;="&amp;AS7,'1SM3VL'!$J$6:$J$2990,"&lt;="&amp;EOMONTH(AS7,0),'1SM3VL'!$L$6:$L$2990,$B$24)+SUMIFS('1QF4SM'!$K$6:$K$2989,'1QF4SM'!$J$6:$J$2989,"&gt;="&amp;AS7,'1QF4SM'!$J$6:$J$2989,"&lt;="&amp;EOMONTH(AS7,0),'1QF4SM'!$L$6:$L$2989,$B$24)+SUMIFS('1UV5KI'!$K$6:$K$2989,'1UV5KI'!$J$6:$J$2989,"&gt;="&amp;AS7,'1UV5KI'!$J$6:$J$2989,"&lt;="&amp;EOMONTH(AS7,0),'1UV5KI'!$L$6:$L$2989,$B$24)+SUMIFS(#REF!,#REF!,"&gt;="&amp;AS7,#REF!,"&lt;="&amp;EOMONTH(AS7,0),#REF!,$B$24)+SUMIFS('1UL9RY'!$K$6:$K$2990,'1UL9RY'!$J$6:$J$2990,"&gt;="&amp;AS7,'1UL9RY'!$J$6:$J$2990,"&lt;="&amp;EOMONTH(AS7,0),'1UL9RY'!$L$6:$L$2990,$B$24)+SUMIFS('1OZ7GT'!$K$6:$K$2989,'1OZ7GT'!$J$6:$J$2989,"&gt;="&amp;AS7,'1OZ7GT'!$J$6:$J$2989,"&lt;="&amp;EOMONTH(AS7,0),'1OZ7GT'!$L$6:$L$2989,$B$24)+SUMIFS('1CN8DD'!$K$6:$K$2989,'1CN8DD'!$J$6:$J$2989,"&gt;="&amp;AS7,'1CN8DD'!$J$6:$J$2989,"&lt;="&amp;EOMONTH(AS7,0),'1CN8DD'!$L$6:$L$2989,$B$24)+SUMIFS('1UT9BR'!$K$6:$K$2990,'1UT9BR'!$J$6:$J$2990,"&gt;="&amp;AS7,'1UT9BR'!$J$6:$J$2990,"&lt;="&amp;EOMONTH(AS7,0),'1UT9BR'!$L$6:$L$2990,$B$24)+SUMIFS('1MK4UR'!$K$6:$K$2990,'1MK4UR'!$J$6:$J$2990,"&gt;="&amp;AS7,'1MK4UR'!$J$6:$J$2990,"&lt;="&amp;EOMONTH(AS7,0),'1MK4UR'!$L$6:$L$2990,$B$24)+SUMIFS(#REF!,#REF!,"&gt;="&amp;AS7,#REF!,"&lt;="&amp;EOMONTH(AS7,0),#REF!,$B$24)+SUMIFS('1JI2UE'!$K$6:$K$2989,'1JI2UE'!$J$6:$J$2989,"&gt;="&amp;AS7,'1JI2UE'!$J$6:$J$2989,"&lt;="&amp;EOMONTH(AS7,0),'1JI2UE'!$L$6:$L$2989,$B$24)+SUMIFS(#REF!,#REF!,"&gt;="&amp;AS7,#REF!,"&lt;="&amp;EOMONTH(AS7,0),#REF!,$B$24)+SUMIFS('1SI9BW'!$K$6:$K$2989,'1SI9BW'!$J$6:$J$2989,"&gt;="&amp;AS7,'1SI9BW'!$J$6:$J$2989,"&lt;="&amp;EOMONTH(AS7,0),'1SI9BW'!$L$6:$L$2989,$B$24)+SUMIFS(Suzuki!$K$6:$K$2989,Suzuki!$J$6:$J$2989,"&gt;="&amp;AS7,Suzuki!$J$6:$J$2989,"&lt;="&amp;EOMONTH(AS7,0),Suzuki!$L$6:$L$2989,$B$24)+SUMIFS('1SK3DD'!$K$6:$K$2989,'1SK3DD'!$J$6:$J$2989,"&gt;="&amp;AS7,'1SK3DD'!$J$6:$J$2989,"&lt;="&amp;EOMONTH(AS7,0),'1SK3DD'!$L$6:$L$2989,$B$24)+SUMIFS('1SX5TQ'!$K$6:$K$2989,'1SX5TQ'!$J$6:$J$2989,"&gt;="&amp;AS7,'1SX5TQ'!$J$6:$J$2989,"&lt;="&amp;EOMONTH(AS7,0),'1SX5TQ'!$L$6:$L$2989,$B$24)+SUMIFS('BMM465'!$K$6:$K$2989,'BMM465'!$J$6:$J$2989,"&gt;="&amp;AS7,'BMM465'!$J$6:$J$2989,"&lt;="&amp;EOMONTH(AS7,0),'BMM465'!$L$6:$L$2989,$B$24)+SUMIFS('1CF1ZO'!$K$6:$K$2989,'1CF1ZO'!$J$6:$J$2989,"&gt;="&amp;AS7,'1CF1ZO'!$J$6:$J$2989,"&lt;="&amp;EOMONTH(AS7,0),'1CF1ZO'!$L$6:$L$2989,$B$24)+SUMIFS('1UK1BK'!$K$6:$K$2989,'1UK1BK'!$J$6:$J$2989,"&gt;="&amp;AS7,'1UK1BK'!$J$6:$J$2989,"&lt;="&amp;EOMONTH(AS7,0),'1UK1BK'!$L$6:$L$2989,$B$24)</f>
        <v>#REF!</v>
      </c>
      <c r="AT24" s="110" t="e">
        <f>SUMIFS('CEI565'!$K$6:$K$2990,'CEI565'!$J$6:$J$2990,"&gt;="&amp;AT7,'CEI565'!$J$6:$J$2990,"&lt;="&amp;EOMONTH(AT7,0),'CEI565'!$L$6:$L$2990,$B$24)+SUMIFS('1SM3VL'!$K$6:$K$2990,'1SM3VL'!$J$6:$J$2990,"&gt;="&amp;AT7,'1SM3VL'!$J$6:$J$2990,"&lt;="&amp;EOMONTH(AT7,0),'1SM3VL'!$L$6:$L$2990,$B$24)+SUMIFS('1QF4SM'!$K$6:$K$2989,'1QF4SM'!$J$6:$J$2989,"&gt;="&amp;AT7,'1QF4SM'!$J$6:$J$2989,"&lt;="&amp;EOMONTH(AT7,0),'1QF4SM'!$L$6:$L$2989,$B$24)+SUMIFS('1UV5KI'!$K$6:$K$2989,'1UV5KI'!$J$6:$J$2989,"&gt;="&amp;AT7,'1UV5KI'!$J$6:$J$2989,"&lt;="&amp;EOMONTH(AT7,0),'1UV5KI'!$L$6:$L$2989,$B$24)+SUMIFS(#REF!,#REF!,"&gt;="&amp;AT7,#REF!,"&lt;="&amp;EOMONTH(AT7,0),#REF!,$B$24)+SUMIFS('1UL9RY'!$K$6:$K$2990,'1UL9RY'!$J$6:$J$2990,"&gt;="&amp;AT7,'1UL9RY'!$J$6:$J$2990,"&lt;="&amp;EOMONTH(AT7,0),'1UL9RY'!$L$6:$L$2990,$B$24)+SUMIFS('1OZ7GT'!$K$6:$K$2989,'1OZ7GT'!$J$6:$J$2989,"&gt;="&amp;AT7,'1OZ7GT'!$J$6:$J$2989,"&lt;="&amp;EOMONTH(AT7,0),'1OZ7GT'!$L$6:$L$2989,$B$24)+SUMIFS('1CN8DD'!$K$6:$K$2989,'1CN8DD'!$J$6:$J$2989,"&gt;="&amp;AT7,'1CN8DD'!$J$6:$J$2989,"&lt;="&amp;EOMONTH(AT7,0),'1CN8DD'!$L$6:$L$2989,$B$24)+SUMIFS('1UT9BR'!$K$6:$K$2990,'1UT9BR'!$J$6:$J$2990,"&gt;="&amp;AT7,'1UT9BR'!$J$6:$J$2990,"&lt;="&amp;EOMONTH(AT7,0),'1UT9BR'!$L$6:$L$2990,$B$24)+SUMIFS('1MK4UR'!$K$6:$K$2990,'1MK4UR'!$J$6:$J$2990,"&gt;="&amp;AT7,'1MK4UR'!$J$6:$J$2990,"&lt;="&amp;EOMONTH(AT7,0),'1MK4UR'!$L$6:$L$2990,$B$24)+SUMIFS(#REF!,#REF!,"&gt;="&amp;AT7,#REF!,"&lt;="&amp;EOMONTH(AT7,0),#REF!,$B$24)+SUMIFS('1JI2UE'!$K$6:$K$2989,'1JI2UE'!$J$6:$J$2989,"&gt;="&amp;AT7,'1JI2UE'!$J$6:$J$2989,"&lt;="&amp;EOMONTH(AT7,0),'1JI2UE'!$L$6:$L$2989,$B$24)+SUMIFS(#REF!,#REF!,"&gt;="&amp;AT7,#REF!,"&lt;="&amp;EOMONTH(AT7,0),#REF!,$B$24)+SUMIFS('1SI9BW'!$K$6:$K$2989,'1SI9BW'!$J$6:$J$2989,"&gt;="&amp;AT7,'1SI9BW'!$J$6:$J$2989,"&lt;="&amp;EOMONTH(AT7,0),'1SI9BW'!$L$6:$L$2989,$B$24)+SUMIFS(Suzuki!$K$6:$K$2989,Suzuki!$J$6:$J$2989,"&gt;="&amp;AT7,Suzuki!$J$6:$J$2989,"&lt;="&amp;EOMONTH(AT7,0),Suzuki!$L$6:$L$2989,$B$24)+SUMIFS('1SK3DD'!$K$6:$K$2989,'1SK3DD'!$J$6:$J$2989,"&gt;="&amp;AT7,'1SK3DD'!$J$6:$J$2989,"&lt;="&amp;EOMONTH(AT7,0),'1SK3DD'!$L$6:$L$2989,$B$24)+SUMIFS('1SX5TQ'!$K$6:$K$2989,'1SX5TQ'!$J$6:$J$2989,"&gt;="&amp;AT7,'1SX5TQ'!$J$6:$J$2989,"&lt;="&amp;EOMONTH(AT7,0),'1SX5TQ'!$L$6:$L$2989,$B$24)+SUMIFS('BMM465'!$K$6:$K$2989,'BMM465'!$J$6:$J$2989,"&gt;="&amp;AT7,'BMM465'!$J$6:$J$2989,"&lt;="&amp;EOMONTH(AT7,0),'BMM465'!$L$6:$L$2989,$B$24)+SUMIFS('1CF1ZO'!$K$6:$K$2989,'1CF1ZO'!$J$6:$J$2989,"&gt;="&amp;AT7,'1CF1ZO'!$J$6:$J$2989,"&lt;="&amp;EOMONTH(AT7,0),'1CF1ZO'!$L$6:$L$2989,$B$24)+SUMIFS('1UK1BK'!$K$6:$K$2989,'1UK1BK'!$J$6:$J$2989,"&gt;="&amp;AT7,'1UK1BK'!$J$6:$J$2989,"&lt;="&amp;EOMONTH(AT7,0),'1UK1BK'!$L$6:$L$2989,$B$24)</f>
        <v>#REF!</v>
      </c>
      <c r="AU24" s="110" t="e">
        <f>SUMIFS('CEI565'!$K$6:$K$2990,'CEI565'!$J$6:$J$2990,"&gt;="&amp;AU7,'CEI565'!$J$6:$J$2990,"&lt;="&amp;EOMONTH(AU7,0),'CEI565'!$L$6:$L$2990,$B$24)+SUMIFS('1SM3VL'!$K$6:$K$2990,'1SM3VL'!$J$6:$J$2990,"&gt;="&amp;AU7,'1SM3VL'!$J$6:$J$2990,"&lt;="&amp;EOMONTH(AU7,0),'1SM3VL'!$L$6:$L$2990,$B$24)+SUMIFS('1QF4SM'!$K$6:$K$2989,'1QF4SM'!$J$6:$J$2989,"&gt;="&amp;AU7,'1QF4SM'!$J$6:$J$2989,"&lt;="&amp;EOMONTH(AU7,0),'1QF4SM'!$L$6:$L$2989,$B$24)+SUMIFS('1UV5KI'!$K$6:$K$2989,'1UV5KI'!$J$6:$J$2989,"&gt;="&amp;AU7,'1UV5KI'!$J$6:$J$2989,"&lt;="&amp;EOMONTH(AU7,0),'1UV5KI'!$L$6:$L$2989,$B$24)+SUMIFS(#REF!,#REF!,"&gt;="&amp;AU7,#REF!,"&lt;="&amp;EOMONTH(AU7,0),#REF!,$B$24)+SUMIFS('1UL9RY'!$K$6:$K$2990,'1UL9RY'!$J$6:$J$2990,"&gt;="&amp;AU7,'1UL9RY'!$J$6:$J$2990,"&lt;="&amp;EOMONTH(AU7,0),'1UL9RY'!$L$6:$L$2990,$B$24)+SUMIFS('1OZ7GT'!$K$6:$K$2989,'1OZ7GT'!$J$6:$J$2989,"&gt;="&amp;AU7,'1OZ7GT'!$J$6:$J$2989,"&lt;="&amp;EOMONTH(AU7,0),'1OZ7GT'!$L$6:$L$2989,$B$24)+SUMIFS('1CN8DD'!$K$6:$K$2989,'1CN8DD'!$J$6:$J$2989,"&gt;="&amp;AU7,'1CN8DD'!$J$6:$J$2989,"&lt;="&amp;EOMONTH(AU7,0),'1CN8DD'!$L$6:$L$2989,$B$24)+SUMIFS('1UT9BR'!$K$6:$K$2990,'1UT9BR'!$J$6:$J$2990,"&gt;="&amp;AU7,'1UT9BR'!$J$6:$J$2990,"&lt;="&amp;EOMONTH(AU7,0),'1UT9BR'!$L$6:$L$2990,$B$24)+SUMIFS('1MK4UR'!$K$6:$K$2990,'1MK4UR'!$J$6:$J$2990,"&gt;="&amp;AU7,'1MK4UR'!$J$6:$J$2990,"&lt;="&amp;EOMONTH(AU7,0),'1MK4UR'!$L$6:$L$2990,$B$24)+SUMIFS(#REF!,#REF!,"&gt;="&amp;AU7,#REF!,"&lt;="&amp;EOMONTH(AU7,0),#REF!,$B$24)+SUMIFS('1JI2UE'!$K$6:$K$2989,'1JI2UE'!$J$6:$J$2989,"&gt;="&amp;AU7,'1JI2UE'!$J$6:$J$2989,"&lt;="&amp;EOMONTH(AU7,0),'1JI2UE'!$L$6:$L$2989,$B$24)+SUMIFS(#REF!,#REF!,"&gt;="&amp;AU7,#REF!,"&lt;="&amp;EOMONTH(AU7,0),#REF!,$B$24)+SUMIFS('1SI9BW'!$K$6:$K$2989,'1SI9BW'!$J$6:$J$2989,"&gt;="&amp;AU7,'1SI9BW'!$J$6:$J$2989,"&lt;="&amp;EOMONTH(AU7,0),'1SI9BW'!$L$6:$L$2989,$B$24)+SUMIFS(Suzuki!$K$6:$K$2989,Suzuki!$J$6:$J$2989,"&gt;="&amp;AU7,Suzuki!$J$6:$J$2989,"&lt;="&amp;EOMONTH(AU7,0),Suzuki!$L$6:$L$2989,$B$24)+SUMIFS('1SK3DD'!$K$6:$K$2989,'1SK3DD'!$J$6:$J$2989,"&gt;="&amp;AU7,'1SK3DD'!$J$6:$J$2989,"&lt;="&amp;EOMONTH(AU7,0),'1SK3DD'!$L$6:$L$2989,$B$24)+SUMIFS('1SX5TQ'!$K$6:$K$2989,'1SX5TQ'!$J$6:$J$2989,"&gt;="&amp;AU7,'1SX5TQ'!$J$6:$J$2989,"&lt;="&amp;EOMONTH(AU7,0),'1SX5TQ'!$L$6:$L$2989,$B$24)+SUMIFS('BMM465'!$K$6:$K$2989,'BMM465'!$J$6:$J$2989,"&gt;="&amp;AU7,'BMM465'!$J$6:$J$2989,"&lt;="&amp;EOMONTH(AU7,0),'BMM465'!$L$6:$L$2989,$B$24)+SUMIFS('1CF1ZO'!$K$6:$K$2989,'1CF1ZO'!$J$6:$J$2989,"&gt;="&amp;AU7,'1CF1ZO'!$J$6:$J$2989,"&lt;="&amp;EOMONTH(AU7,0),'1CF1ZO'!$L$6:$L$2989,$B$24)+SUMIFS('1UK1BK'!$K$6:$K$2989,'1UK1BK'!$J$6:$J$2989,"&gt;="&amp;AU7,'1UK1BK'!$J$6:$J$2989,"&lt;="&amp;EOMONTH(AU7,0),'1UK1BK'!$L$6:$L$2989,$B$24)</f>
        <v>#REF!</v>
      </c>
      <c r="AV24" s="110" t="e">
        <f>SUMIFS('CEI565'!$K$6:$K$2990,'CEI565'!$J$6:$J$2990,"&gt;="&amp;AV7,'CEI565'!$J$6:$J$2990,"&lt;="&amp;EOMONTH(AV7,0),'CEI565'!$L$6:$L$2990,$B$24)+SUMIFS('1SM3VL'!$K$6:$K$2990,'1SM3VL'!$J$6:$J$2990,"&gt;="&amp;AV7,'1SM3VL'!$J$6:$J$2990,"&lt;="&amp;EOMONTH(AV7,0),'1SM3VL'!$L$6:$L$2990,$B$24)+SUMIFS('1QF4SM'!$K$6:$K$2989,'1QF4SM'!$J$6:$J$2989,"&gt;="&amp;AV7,'1QF4SM'!$J$6:$J$2989,"&lt;="&amp;EOMONTH(AV7,0),'1QF4SM'!$L$6:$L$2989,$B$24)+SUMIFS('1UV5KI'!$K$6:$K$2989,'1UV5KI'!$J$6:$J$2989,"&gt;="&amp;AV7,'1UV5KI'!$J$6:$J$2989,"&lt;="&amp;EOMONTH(AV7,0),'1UV5KI'!$L$6:$L$2989,$B$24)+SUMIFS(#REF!,#REF!,"&gt;="&amp;AV7,#REF!,"&lt;="&amp;EOMONTH(AV7,0),#REF!,$B$24)+SUMIFS('1UL9RY'!$K$6:$K$2990,'1UL9RY'!$J$6:$J$2990,"&gt;="&amp;AV7,'1UL9RY'!$J$6:$J$2990,"&lt;="&amp;EOMONTH(AV7,0),'1UL9RY'!$L$6:$L$2990,$B$24)+SUMIFS('1OZ7GT'!$K$6:$K$2989,'1OZ7GT'!$J$6:$J$2989,"&gt;="&amp;AV7,'1OZ7GT'!$J$6:$J$2989,"&lt;="&amp;EOMONTH(AV7,0),'1OZ7GT'!$L$6:$L$2989,$B$24)+SUMIFS('1CN8DD'!$K$6:$K$2989,'1CN8DD'!$J$6:$J$2989,"&gt;="&amp;AV7,'1CN8DD'!$J$6:$J$2989,"&lt;="&amp;EOMONTH(AV7,0),'1CN8DD'!$L$6:$L$2989,$B$24)+SUMIFS('1UT9BR'!$K$6:$K$2990,'1UT9BR'!$J$6:$J$2990,"&gt;="&amp;AV7,'1UT9BR'!$J$6:$J$2990,"&lt;="&amp;EOMONTH(AV7,0),'1UT9BR'!$L$6:$L$2990,$B$24)+SUMIFS('1MK4UR'!$K$6:$K$2990,'1MK4UR'!$J$6:$J$2990,"&gt;="&amp;AV7,'1MK4UR'!$J$6:$J$2990,"&lt;="&amp;EOMONTH(AV7,0),'1MK4UR'!$L$6:$L$2990,$B$24)+SUMIFS(#REF!,#REF!,"&gt;="&amp;AV7,#REF!,"&lt;="&amp;EOMONTH(AV7,0),#REF!,$B$24)+SUMIFS('1JI2UE'!$K$6:$K$2989,'1JI2UE'!$J$6:$J$2989,"&gt;="&amp;AV7,'1JI2UE'!$J$6:$J$2989,"&lt;="&amp;EOMONTH(AV7,0),'1JI2UE'!$L$6:$L$2989,$B$24)+SUMIFS(#REF!,#REF!,"&gt;="&amp;AV7,#REF!,"&lt;="&amp;EOMONTH(AV7,0),#REF!,$B$24)+SUMIFS('1SI9BW'!$K$6:$K$2989,'1SI9BW'!$J$6:$J$2989,"&gt;="&amp;AV7,'1SI9BW'!$J$6:$J$2989,"&lt;="&amp;EOMONTH(AV7,0),'1SI9BW'!$L$6:$L$2989,$B$24)+SUMIFS(Suzuki!$K$6:$K$2989,Suzuki!$J$6:$J$2989,"&gt;="&amp;AV7,Suzuki!$J$6:$J$2989,"&lt;="&amp;EOMONTH(AV7,0),Suzuki!$L$6:$L$2989,$B$24)+SUMIFS('1SK3DD'!$K$6:$K$2989,'1SK3DD'!$J$6:$J$2989,"&gt;="&amp;AV7,'1SK3DD'!$J$6:$J$2989,"&lt;="&amp;EOMONTH(AV7,0),'1SK3DD'!$L$6:$L$2989,$B$24)+SUMIFS('1SX5TQ'!$K$6:$K$2989,'1SX5TQ'!$J$6:$J$2989,"&gt;="&amp;AV7,'1SX5TQ'!$J$6:$J$2989,"&lt;="&amp;EOMONTH(AV7,0),'1SX5TQ'!$L$6:$L$2989,$B$24)+SUMIFS('BMM465'!$K$6:$K$2989,'BMM465'!$J$6:$J$2989,"&gt;="&amp;AV7,'BMM465'!$J$6:$J$2989,"&lt;="&amp;EOMONTH(AV7,0),'BMM465'!$L$6:$L$2989,$B$24)+SUMIFS('1CF1ZO'!$K$6:$K$2989,'1CF1ZO'!$J$6:$J$2989,"&gt;="&amp;AV7,'1CF1ZO'!$J$6:$J$2989,"&lt;="&amp;EOMONTH(AV7,0),'1CF1ZO'!$L$6:$L$2989,$B$24)+SUMIFS('1UK1BK'!$K$6:$K$2989,'1UK1BK'!$J$6:$J$2989,"&gt;="&amp;AV7,'1UK1BK'!$J$6:$J$2989,"&lt;="&amp;EOMONTH(AV7,0),'1UK1BK'!$L$6:$L$2989,$B$24)</f>
        <v>#REF!</v>
      </c>
      <c r="AW24" s="110" t="e">
        <f>SUMIFS('CEI565'!$K$6:$K$2990,'CEI565'!$J$6:$J$2990,"&gt;="&amp;AW7,'CEI565'!$J$6:$J$2990,"&lt;="&amp;EOMONTH(AW7,0),'CEI565'!$L$6:$L$2990,$B$24)+SUMIFS('1SM3VL'!$K$6:$K$2990,'1SM3VL'!$J$6:$J$2990,"&gt;="&amp;AW7,'1SM3VL'!$J$6:$J$2990,"&lt;="&amp;EOMONTH(AW7,0),'1SM3VL'!$L$6:$L$2990,$B$24)+SUMIFS('1QF4SM'!$K$6:$K$2989,'1QF4SM'!$J$6:$J$2989,"&gt;="&amp;AW7,'1QF4SM'!$J$6:$J$2989,"&lt;="&amp;EOMONTH(AW7,0),'1QF4SM'!$L$6:$L$2989,$B$24)+SUMIFS('1UV5KI'!$K$6:$K$2989,'1UV5KI'!$J$6:$J$2989,"&gt;="&amp;AW7,'1UV5KI'!$J$6:$J$2989,"&lt;="&amp;EOMONTH(AW7,0),'1UV5KI'!$L$6:$L$2989,$B$24)+SUMIFS(#REF!,#REF!,"&gt;="&amp;AW7,#REF!,"&lt;="&amp;EOMONTH(AW7,0),#REF!,$B$24)+SUMIFS('1UL9RY'!$K$6:$K$2990,'1UL9RY'!$J$6:$J$2990,"&gt;="&amp;AW7,'1UL9RY'!$J$6:$J$2990,"&lt;="&amp;EOMONTH(AW7,0),'1UL9RY'!$L$6:$L$2990,$B$24)+SUMIFS('1OZ7GT'!$K$6:$K$2989,'1OZ7GT'!$J$6:$J$2989,"&gt;="&amp;AW7,'1OZ7GT'!$J$6:$J$2989,"&lt;="&amp;EOMONTH(AW7,0),'1OZ7GT'!$L$6:$L$2989,$B$24)+SUMIFS('1CN8DD'!$K$6:$K$2989,'1CN8DD'!$J$6:$J$2989,"&gt;="&amp;AW7,'1CN8DD'!$J$6:$J$2989,"&lt;="&amp;EOMONTH(AW7,0),'1CN8DD'!$L$6:$L$2989,$B$24)+SUMIFS('1UT9BR'!$K$6:$K$2990,'1UT9BR'!$J$6:$J$2990,"&gt;="&amp;AW7,'1UT9BR'!$J$6:$J$2990,"&lt;="&amp;EOMONTH(AW7,0),'1UT9BR'!$L$6:$L$2990,$B$24)+SUMIFS('1MK4UR'!$K$6:$K$2990,'1MK4UR'!$J$6:$J$2990,"&gt;="&amp;AW7,'1MK4UR'!$J$6:$J$2990,"&lt;="&amp;EOMONTH(AW7,0),'1MK4UR'!$L$6:$L$2990,$B$24)+SUMIFS(#REF!,#REF!,"&gt;="&amp;AW7,#REF!,"&lt;="&amp;EOMONTH(AW7,0),#REF!,$B$24)+SUMIFS('1JI2UE'!$K$6:$K$2989,'1JI2UE'!$J$6:$J$2989,"&gt;="&amp;AW7,'1JI2UE'!$J$6:$J$2989,"&lt;="&amp;EOMONTH(AW7,0),'1JI2UE'!$L$6:$L$2989,$B$24)+SUMIFS(#REF!,#REF!,"&gt;="&amp;AW7,#REF!,"&lt;="&amp;EOMONTH(AW7,0),#REF!,$B$24)+SUMIFS('1SI9BW'!$K$6:$K$2989,'1SI9BW'!$J$6:$J$2989,"&gt;="&amp;AW7,'1SI9BW'!$J$6:$J$2989,"&lt;="&amp;EOMONTH(AW7,0),'1SI9BW'!$L$6:$L$2989,$B$24)+SUMIFS(Suzuki!$K$6:$K$2989,Suzuki!$J$6:$J$2989,"&gt;="&amp;AW7,Suzuki!$J$6:$J$2989,"&lt;="&amp;EOMONTH(AW7,0),Suzuki!$L$6:$L$2989,$B$24)+SUMIFS('1SK3DD'!$K$6:$K$2989,'1SK3DD'!$J$6:$J$2989,"&gt;="&amp;AW7,'1SK3DD'!$J$6:$J$2989,"&lt;="&amp;EOMONTH(AW7,0),'1SK3DD'!$L$6:$L$2989,$B$24)+SUMIFS('1SX5TQ'!$K$6:$K$2989,'1SX5TQ'!$J$6:$J$2989,"&gt;="&amp;AW7,'1SX5TQ'!$J$6:$J$2989,"&lt;="&amp;EOMONTH(AW7,0),'1SX5TQ'!$L$6:$L$2989,$B$24)+SUMIFS('BMM465'!$K$6:$K$2989,'BMM465'!$J$6:$J$2989,"&gt;="&amp;AW7,'BMM465'!$J$6:$J$2989,"&lt;="&amp;EOMONTH(AW7,0),'BMM465'!$L$6:$L$2989,$B$24)+SUMIFS('1CF1ZO'!$K$6:$K$2989,'1CF1ZO'!$J$6:$J$2989,"&gt;="&amp;AW7,'1CF1ZO'!$J$6:$J$2989,"&lt;="&amp;EOMONTH(AW7,0),'1CF1ZO'!$L$6:$L$2989,$B$24)+SUMIFS('1UK1BK'!$K$6:$K$2989,'1UK1BK'!$J$6:$J$2989,"&gt;="&amp;AW7,'1UK1BK'!$J$6:$J$2989,"&lt;="&amp;EOMONTH(AW7,0),'1UK1BK'!$L$6:$L$2989,$B$24)</f>
        <v>#REF!</v>
      </c>
      <c r="AX24" s="110" t="e">
        <f>SUMIFS('CEI565'!$K$6:$K$2990,'CEI565'!$J$6:$J$2990,"&gt;="&amp;AX7,'CEI565'!$J$6:$J$2990,"&lt;="&amp;EOMONTH(AX7,0),'CEI565'!$L$6:$L$2990,$B$24)+SUMIFS('1SM3VL'!$K$6:$K$2990,'1SM3VL'!$J$6:$J$2990,"&gt;="&amp;AX7,'1SM3VL'!$J$6:$J$2990,"&lt;="&amp;EOMONTH(AX7,0),'1SM3VL'!$L$6:$L$2990,$B$24)+SUMIFS('1QF4SM'!$K$6:$K$2989,'1QF4SM'!$J$6:$J$2989,"&gt;="&amp;AX7,'1QF4SM'!$J$6:$J$2989,"&lt;="&amp;EOMONTH(AX7,0),'1QF4SM'!$L$6:$L$2989,$B$24)+SUMIFS('1UV5KI'!$K$6:$K$2989,'1UV5KI'!$J$6:$J$2989,"&gt;="&amp;AX7,'1UV5KI'!$J$6:$J$2989,"&lt;="&amp;EOMONTH(AX7,0),'1UV5KI'!$L$6:$L$2989,$B$24)+SUMIFS(#REF!,#REF!,"&gt;="&amp;AX7,#REF!,"&lt;="&amp;EOMONTH(AX7,0),#REF!,$B$24)+SUMIFS('1UL9RY'!$K$6:$K$2990,'1UL9RY'!$J$6:$J$2990,"&gt;="&amp;AX7,'1UL9RY'!$J$6:$J$2990,"&lt;="&amp;EOMONTH(AX7,0),'1UL9RY'!$L$6:$L$2990,$B$24)+SUMIFS('1OZ7GT'!$K$6:$K$2989,'1OZ7GT'!$J$6:$J$2989,"&gt;="&amp;AX7,'1OZ7GT'!$J$6:$J$2989,"&lt;="&amp;EOMONTH(AX7,0),'1OZ7GT'!$L$6:$L$2989,$B$24)+SUMIFS('1CN8DD'!$K$6:$K$2989,'1CN8DD'!$J$6:$J$2989,"&gt;="&amp;AX7,'1CN8DD'!$J$6:$J$2989,"&lt;="&amp;EOMONTH(AX7,0),'1CN8DD'!$L$6:$L$2989,$B$24)+SUMIFS('1UT9BR'!$K$6:$K$2990,'1UT9BR'!$J$6:$J$2990,"&gt;="&amp;AX7,'1UT9BR'!$J$6:$J$2990,"&lt;="&amp;EOMONTH(AX7,0),'1UT9BR'!$L$6:$L$2990,$B$24)+SUMIFS('1MK4UR'!$K$6:$K$2990,'1MK4UR'!$J$6:$J$2990,"&gt;="&amp;AX7,'1MK4UR'!$J$6:$J$2990,"&lt;="&amp;EOMONTH(AX7,0),'1MK4UR'!$L$6:$L$2990,$B$24)+SUMIFS(#REF!,#REF!,"&gt;="&amp;AX7,#REF!,"&lt;="&amp;EOMONTH(AX7,0),#REF!,$B$24)+SUMIFS('1JI2UE'!$K$6:$K$2989,'1JI2UE'!$J$6:$J$2989,"&gt;="&amp;AX7,'1JI2UE'!$J$6:$J$2989,"&lt;="&amp;EOMONTH(AX7,0),'1JI2UE'!$L$6:$L$2989,$B$24)+SUMIFS(#REF!,#REF!,"&gt;="&amp;AX7,#REF!,"&lt;="&amp;EOMONTH(AX7,0),#REF!,$B$24)+SUMIFS('1SI9BW'!$K$6:$K$2989,'1SI9BW'!$J$6:$J$2989,"&gt;="&amp;AX7,'1SI9BW'!$J$6:$J$2989,"&lt;="&amp;EOMONTH(AX7,0),'1SI9BW'!$L$6:$L$2989,$B$24)+SUMIFS(Suzuki!$K$6:$K$2989,Suzuki!$J$6:$J$2989,"&gt;="&amp;AX7,Suzuki!$J$6:$J$2989,"&lt;="&amp;EOMONTH(AX7,0),Suzuki!$L$6:$L$2989,$B$24)+SUMIFS('1SK3DD'!$K$6:$K$2989,'1SK3DD'!$J$6:$J$2989,"&gt;="&amp;AX7,'1SK3DD'!$J$6:$J$2989,"&lt;="&amp;EOMONTH(AX7,0),'1SK3DD'!$L$6:$L$2989,$B$24)+SUMIFS('1SX5TQ'!$K$6:$K$2989,'1SX5TQ'!$J$6:$J$2989,"&gt;="&amp;AX7,'1SX5TQ'!$J$6:$J$2989,"&lt;="&amp;EOMONTH(AX7,0),'1SX5TQ'!$L$6:$L$2989,$B$24)+SUMIFS('BMM465'!$K$6:$K$2989,'BMM465'!$J$6:$J$2989,"&gt;="&amp;AX7,'BMM465'!$J$6:$J$2989,"&lt;="&amp;EOMONTH(AX7,0),'BMM465'!$L$6:$L$2989,$B$24)+SUMIFS('1CF1ZO'!$K$6:$K$2989,'1CF1ZO'!$J$6:$J$2989,"&gt;="&amp;AX7,'1CF1ZO'!$J$6:$J$2989,"&lt;="&amp;EOMONTH(AX7,0),'1CF1ZO'!$L$6:$L$2989,$B$24)+SUMIFS('1UK1BK'!$K$6:$K$2989,'1UK1BK'!$J$6:$J$2989,"&gt;="&amp;AX7,'1UK1BK'!$J$6:$J$2989,"&lt;="&amp;EOMONTH(AX7,0),'1UK1BK'!$L$6:$L$2989,$B$24)</f>
        <v>#REF!</v>
      </c>
      <c r="AY24" s="110" t="e">
        <f>SUMIFS('CEI565'!$K$6:$K$2990,'CEI565'!$J$6:$J$2990,"&gt;="&amp;AY7,'CEI565'!$J$6:$J$2990,"&lt;="&amp;EOMONTH(AY7,0),'CEI565'!$L$6:$L$2990,$B$24)+SUMIFS('1SM3VL'!$K$6:$K$2990,'1SM3VL'!$J$6:$J$2990,"&gt;="&amp;AY7,'1SM3VL'!$J$6:$J$2990,"&lt;="&amp;EOMONTH(AY7,0),'1SM3VL'!$L$6:$L$2990,$B$24)+SUMIFS('1QF4SM'!$K$6:$K$2989,'1QF4SM'!$J$6:$J$2989,"&gt;="&amp;AY7,'1QF4SM'!$J$6:$J$2989,"&lt;="&amp;EOMONTH(AY7,0),'1QF4SM'!$L$6:$L$2989,$B$24)+SUMIFS('1UV5KI'!$K$6:$K$2989,'1UV5KI'!$J$6:$J$2989,"&gt;="&amp;AY7,'1UV5KI'!$J$6:$J$2989,"&lt;="&amp;EOMONTH(AY7,0),'1UV5KI'!$L$6:$L$2989,$B$24)+SUMIFS(#REF!,#REF!,"&gt;="&amp;AY7,#REF!,"&lt;="&amp;EOMONTH(AY7,0),#REF!,$B$24)+SUMIFS('1UL9RY'!$K$6:$K$2990,'1UL9RY'!$J$6:$J$2990,"&gt;="&amp;AY7,'1UL9RY'!$J$6:$J$2990,"&lt;="&amp;EOMONTH(AY7,0),'1UL9RY'!$L$6:$L$2990,$B$24)+SUMIFS('1OZ7GT'!$K$6:$K$2989,'1OZ7GT'!$J$6:$J$2989,"&gt;="&amp;AY7,'1OZ7GT'!$J$6:$J$2989,"&lt;="&amp;EOMONTH(AY7,0),'1OZ7GT'!$L$6:$L$2989,$B$24)+SUMIFS('1CN8DD'!$K$6:$K$2989,'1CN8DD'!$J$6:$J$2989,"&gt;="&amp;AY7,'1CN8DD'!$J$6:$J$2989,"&lt;="&amp;EOMONTH(AY7,0),'1CN8DD'!$L$6:$L$2989,$B$24)+SUMIFS('1UT9BR'!$K$6:$K$2990,'1UT9BR'!$J$6:$J$2990,"&gt;="&amp;AY7,'1UT9BR'!$J$6:$J$2990,"&lt;="&amp;EOMONTH(AY7,0),'1UT9BR'!$L$6:$L$2990,$B$24)+SUMIFS('1MK4UR'!$K$6:$K$2990,'1MK4UR'!$J$6:$J$2990,"&gt;="&amp;AY7,'1MK4UR'!$J$6:$J$2990,"&lt;="&amp;EOMONTH(AY7,0),'1MK4UR'!$L$6:$L$2990,$B$24)+SUMIFS(#REF!,#REF!,"&gt;="&amp;AY7,#REF!,"&lt;="&amp;EOMONTH(AY7,0),#REF!,$B$24)+SUMIFS('1JI2UE'!$K$6:$K$2989,'1JI2UE'!$J$6:$J$2989,"&gt;="&amp;AY7,'1JI2UE'!$J$6:$J$2989,"&lt;="&amp;EOMONTH(AY7,0),'1JI2UE'!$L$6:$L$2989,$B$24)+SUMIFS(#REF!,#REF!,"&gt;="&amp;AY7,#REF!,"&lt;="&amp;EOMONTH(AY7,0),#REF!,$B$24)+SUMIFS('1SI9BW'!$K$6:$K$2989,'1SI9BW'!$J$6:$J$2989,"&gt;="&amp;AY7,'1SI9BW'!$J$6:$J$2989,"&lt;="&amp;EOMONTH(AY7,0),'1SI9BW'!$L$6:$L$2989,$B$24)+SUMIFS(Suzuki!$K$6:$K$2989,Suzuki!$J$6:$J$2989,"&gt;="&amp;AY7,Suzuki!$J$6:$J$2989,"&lt;="&amp;EOMONTH(AY7,0),Suzuki!$L$6:$L$2989,$B$24)+SUMIFS('1SK3DD'!$K$6:$K$2989,'1SK3DD'!$J$6:$J$2989,"&gt;="&amp;AY7,'1SK3DD'!$J$6:$J$2989,"&lt;="&amp;EOMONTH(AY7,0),'1SK3DD'!$L$6:$L$2989,$B$24)+SUMIFS('1SX5TQ'!$K$6:$K$2989,'1SX5TQ'!$J$6:$J$2989,"&gt;="&amp;AY7,'1SX5TQ'!$J$6:$J$2989,"&lt;="&amp;EOMONTH(AY7,0),'1SX5TQ'!$L$6:$L$2989,$B$24)+SUMIFS('BMM465'!$K$6:$K$2989,'BMM465'!$J$6:$J$2989,"&gt;="&amp;AY7,'BMM465'!$J$6:$J$2989,"&lt;="&amp;EOMONTH(AY7,0),'BMM465'!$L$6:$L$2989,$B$24)+SUMIFS('1CF1ZO'!$K$6:$K$2989,'1CF1ZO'!$J$6:$J$2989,"&gt;="&amp;AY7,'1CF1ZO'!$J$6:$J$2989,"&lt;="&amp;EOMONTH(AY7,0),'1CF1ZO'!$L$6:$L$2989,$B$24)+SUMIFS('1UK1BK'!$K$6:$K$2989,'1UK1BK'!$J$6:$J$2989,"&gt;="&amp;AY7,'1UK1BK'!$J$6:$J$2989,"&lt;="&amp;EOMONTH(AY7,0),'1UK1BK'!$L$6:$L$2989,$B$24)</f>
        <v>#REF!</v>
      </c>
      <c r="AZ24" s="110" t="e">
        <f>SUMIFS('CEI565'!$K$6:$K$2990,'CEI565'!$J$6:$J$2990,"&gt;="&amp;AZ7,'CEI565'!$J$6:$J$2990,"&lt;="&amp;EOMONTH(AZ7,0),'CEI565'!$L$6:$L$2990,$B$24)+SUMIFS('1SM3VL'!$K$6:$K$2990,'1SM3VL'!$J$6:$J$2990,"&gt;="&amp;AZ7,'1SM3VL'!$J$6:$J$2990,"&lt;="&amp;EOMONTH(AZ7,0),'1SM3VL'!$L$6:$L$2990,$B$24)+SUMIFS('1QF4SM'!$K$6:$K$2989,'1QF4SM'!$J$6:$J$2989,"&gt;="&amp;AZ7,'1QF4SM'!$J$6:$J$2989,"&lt;="&amp;EOMONTH(AZ7,0),'1QF4SM'!$L$6:$L$2989,$B$24)+SUMIFS('1UV5KI'!$K$6:$K$2989,'1UV5KI'!$J$6:$J$2989,"&gt;="&amp;AZ7,'1UV5KI'!$J$6:$J$2989,"&lt;="&amp;EOMONTH(AZ7,0),'1UV5KI'!$L$6:$L$2989,$B$24)+SUMIFS(#REF!,#REF!,"&gt;="&amp;AZ7,#REF!,"&lt;="&amp;EOMONTH(AZ7,0),#REF!,$B$24)+SUMIFS('1UL9RY'!$K$6:$K$2990,'1UL9RY'!$J$6:$J$2990,"&gt;="&amp;AZ7,'1UL9RY'!$J$6:$J$2990,"&lt;="&amp;EOMONTH(AZ7,0),'1UL9RY'!$L$6:$L$2990,$B$24)+SUMIFS('1OZ7GT'!$K$6:$K$2989,'1OZ7GT'!$J$6:$J$2989,"&gt;="&amp;AZ7,'1OZ7GT'!$J$6:$J$2989,"&lt;="&amp;EOMONTH(AZ7,0),'1OZ7GT'!$L$6:$L$2989,$B$24)+SUMIFS('1CN8DD'!$K$6:$K$2989,'1CN8DD'!$J$6:$J$2989,"&gt;="&amp;AZ7,'1CN8DD'!$J$6:$J$2989,"&lt;="&amp;EOMONTH(AZ7,0),'1CN8DD'!$L$6:$L$2989,$B$24)+SUMIFS('1UT9BR'!$K$6:$K$2990,'1UT9BR'!$J$6:$J$2990,"&gt;="&amp;AZ7,'1UT9BR'!$J$6:$J$2990,"&lt;="&amp;EOMONTH(AZ7,0),'1UT9BR'!$L$6:$L$2990,$B$24)+SUMIFS('1MK4UR'!$K$6:$K$2990,'1MK4UR'!$J$6:$J$2990,"&gt;="&amp;AZ7,'1MK4UR'!$J$6:$J$2990,"&lt;="&amp;EOMONTH(AZ7,0),'1MK4UR'!$L$6:$L$2990,$B$24)+SUMIFS(#REF!,#REF!,"&gt;="&amp;AZ7,#REF!,"&lt;="&amp;EOMONTH(AZ7,0),#REF!,$B$24)+SUMIFS('1JI2UE'!$K$6:$K$2989,'1JI2UE'!$J$6:$J$2989,"&gt;="&amp;AZ7,'1JI2UE'!$J$6:$J$2989,"&lt;="&amp;EOMONTH(AZ7,0),'1JI2UE'!$L$6:$L$2989,$B$24)+SUMIFS(#REF!,#REF!,"&gt;="&amp;AZ7,#REF!,"&lt;="&amp;EOMONTH(AZ7,0),#REF!,$B$24)+SUMIFS('1SI9BW'!$K$6:$K$2989,'1SI9BW'!$J$6:$J$2989,"&gt;="&amp;AZ7,'1SI9BW'!$J$6:$J$2989,"&lt;="&amp;EOMONTH(AZ7,0),'1SI9BW'!$L$6:$L$2989,$B$24)+SUMIFS(Suzuki!$K$6:$K$2989,Suzuki!$J$6:$J$2989,"&gt;="&amp;AZ7,Suzuki!$J$6:$J$2989,"&lt;="&amp;EOMONTH(AZ7,0),Suzuki!$L$6:$L$2989,$B$24)+SUMIFS('1SK3DD'!$K$6:$K$2989,'1SK3DD'!$J$6:$J$2989,"&gt;="&amp;AZ7,'1SK3DD'!$J$6:$J$2989,"&lt;="&amp;EOMONTH(AZ7,0),'1SK3DD'!$L$6:$L$2989,$B$24)+SUMIFS('1SX5TQ'!$K$6:$K$2989,'1SX5TQ'!$J$6:$J$2989,"&gt;="&amp;AZ7,'1SX5TQ'!$J$6:$J$2989,"&lt;="&amp;EOMONTH(AZ7,0),'1SX5TQ'!$L$6:$L$2989,$B$24)+SUMIFS('BMM465'!$K$6:$K$2989,'BMM465'!$J$6:$J$2989,"&gt;="&amp;AZ7,'BMM465'!$J$6:$J$2989,"&lt;="&amp;EOMONTH(AZ7,0),'BMM465'!$L$6:$L$2989,$B$24)+SUMIFS('1CF1ZO'!$K$6:$K$2989,'1CF1ZO'!$J$6:$J$2989,"&gt;="&amp;AZ7,'1CF1ZO'!$J$6:$J$2989,"&lt;="&amp;EOMONTH(AZ7,0),'1CF1ZO'!$L$6:$L$2989,$B$24)+SUMIFS('1UK1BK'!$K$6:$K$2989,'1UK1BK'!$J$6:$J$2989,"&gt;="&amp;AZ7,'1UK1BK'!$J$6:$J$2989,"&lt;="&amp;EOMONTH(AZ7,0),'1UK1BK'!$L$6:$L$2989,$B$24)</f>
        <v>#REF!</v>
      </c>
      <c r="BA24" s="110" t="e">
        <f>SUMIFS('CEI565'!$K$6:$K$2990,'CEI565'!$J$6:$J$2990,"&gt;="&amp;BA7,'CEI565'!$J$6:$J$2990,"&lt;="&amp;EOMONTH(BA7,0),'CEI565'!$L$6:$L$2990,$B$24)+SUMIFS('1SM3VL'!$K$6:$K$2990,'1SM3VL'!$J$6:$J$2990,"&gt;="&amp;BA7,'1SM3VL'!$J$6:$J$2990,"&lt;="&amp;EOMONTH(BA7,0),'1SM3VL'!$L$6:$L$2990,$B$24)+SUMIFS('1QF4SM'!$K$6:$K$2989,'1QF4SM'!$J$6:$J$2989,"&gt;="&amp;BA7,'1QF4SM'!$J$6:$J$2989,"&lt;="&amp;EOMONTH(BA7,0),'1QF4SM'!$L$6:$L$2989,$B$24)+SUMIFS('1UV5KI'!$K$6:$K$2989,'1UV5KI'!$J$6:$J$2989,"&gt;="&amp;BA7,'1UV5KI'!$J$6:$J$2989,"&lt;="&amp;EOMONTH(BA7,0),'1UV5KI'!$L$6:$L$2989,$B$24)+SUMIFS(#REF!,#REF!,"&gt;="&amp;BA7,#REF!,"&lt;="&amp;EOMONTH(BA7,0),#REF!,$B$24)+SUMIFS('1UL9RY'!$K$6:$K$2990,'1UL9RY'!$J$6:$J$2990,"&gt;="&amp;BA7,'1UL9RY'!$J$6:$J$2990,"&lt;="&amp;EOMONTH(BA7,0),'1UL9RY'!$L$6:$L$2990,$B$24)+SUMIFS('1OZ7GT'!$K$6:$K$2989,'1OZ7GT'!$J$6:$J$2989,"&gt;="&amp;BA7,'1OZ7GT'!$J$6:$J$2989,"&lt;="&amp;EOMONTH(BA7,0),'1OZ7GT'!$L$6:$L$2989,$B$24)+SUMIFS('1CN8DD'!$K$6:$K$2989,'1CN8DD'!$J$6:$J$2989,"&gt;="&amp;BA7,'1CN8DD'!$J$6:$J$2989,"&lt;="&amp;EOMONTH(BA7,0),'1CN8DD'!$L$6:$L$2989,$B$24)+SUMIFS('1UT9BR'!$K$6:$K$2990,'1UT9BR'!$J$6:$J$2990,"&gt;="&amp;BA7,'1UT9BR'!$J$6:$J$2990,"&lt;="&amp;EOMONTH(BA7,0),'1UT9BR'!$L$6:$L$2990,$B$24)+SUMIFS('1MK4UR'!$K$6:$K$2990,'1MK4UR'!$J$6:$J$2990,"&gt;="&amp;BA7,'1MK4UR'!$J$6:$J$2990,"&lt;="&amp;EOMONTH(BA7,0),'1MK4UR'!$L$6:$L$2990,$B$24)+SUMIFS(#REF!,#REF!,"&gt;="&amp;BA7,#REF!,"&lt;="&amp;EOMONTH(BA7,0),#REF!,$B$24)+SUMIFS('1JI2UE'!$K$6:$K$2989,'1JI2UE'!$J$6:$J$2989,"&gt;="&amp;BA7,'1JI2UE'!$J$6:$J$2989,"&lt;="&amp;EOMONTH(BA7,0),'1JI2UE'!$L$6:$L$2989,$B$24)+SUMIFS(#REF!,#REF!,"&gt;="&amp;BA7,#REF!,"&lt;="&amp;EOMONTH(BA7,0),#REF!,$B$24)+SUMIFS('1SI9BW'!$K$6:$K$2989,'1SI9BW'!$J$6:$J$2989,"&gt;="&amp;BA7,'1SI9BW'!$J$6:$J$2989,"&lt;="&amp;EOMONTH(BA7,0),'1SI9BW'!$L$6:$L$2989,$B$24)+SUMIFS(Suzuki!$K$6:$K$2989,Suzuki!$J$6:$J$2989,"&gt;="&amp;BA7,Suzuki!$J$6:$J$2989,"&lt;="&amp;EOMONTH(BA7,0),Suzuki!$L$6:$L$2989,$B$24)+SUMIFS('1SK3DD'!$K$6:$K$2989,'1SK3DD'!$J$6:$J$2989,"&gt;="&amp;BA7,'1SK3DD'!$J$6:$J$2989,"&lt;="&amp;EOMONTH(BA7,0),'1SK3DD'!$L$6:$L$2989,$B$24)+SUMIFS('1SX5TQ'!$K$6:$K$2989,'1SX5TQ'!$J$6:$J$2989,"&gt;="&amp;BA7,'1SX5TQ'!$J$6:$J$2989,"&lt;="&amp;EOMONTH(BA7,0),'1SX5TQ'!$L$6:$L$2989,$B$24)+SUMIFS('BMM465'!$K$6:$K$2989,'BMM465'!$J$6:$J$2989,"&gt;="&amp;BA7,'BMM465'!$J$6:$J$2989,"&lt;="&amp;EOMONTH(BA7,0),'BMM465'!$L$6:$L$2989,$B$24)+SUMIFS('1CF1ZO'!$K$6:$K$2989,'1CF1ZO'!$J$6:$J$2989,"&gt;="&amp;BA7,'1CF1ZO'!$J$6:$J$2989,"&lt;="&amp;EOMONTH(BA7,0),'1CF1ZO'!$L$6:$L$2989,$B$24)+SUMIFS('1UK1BK'!$K$6:$K$2989,'1UK1BK'!$J$6:$J$2989,"&gt;="&amp;BA7,'1UK1BK'!$J$6:$J$2989,"&lt;="&amp;EOMONTH(BA7,0),'1UK1BK'!$L$6:$L$2989,$B$24)</f>
        <v>#REF!</v>
      </c>
    </row>
    <row r="25" spans="1:53" x14ac:dyDescent="0.25">
      <c r="B25" s="5" t="s">
        <v>32</v>
      </c>
      <c r="C25" s="69" t="str">
        <f t="shared" si="13"/>
        <v/>
      </c>
      <c r="D25" s="109" t="e">
        <f t="shared" si="2"/>
        <v>#REF!</v>
      </c>
      <c r="E25" s="69" t="str">
        <f t="shared" si="14"/>
        <v/>
      </c>
      <c r="F25" s="109" t="e">
        <f t="shared" si="3"/>
        <v>#REF!</v>
      </c>
      <c r="G25" s="69" t="str">
        <f t="shared" si="15"/>
        <v/>
      </c>
      <c r="H25" s="109" t="e">
        <f t="shared" si="4"/>
        <v>#REF!</v>
      </c>
      <c r="I25" s="110" t="e">
        <f>SUMIFS('CEI565'!$K$6:$K$2990,'CEI565'!$J$6:$J$2990,"&gt;="&amp;I7,'CEI565'!$J$6:$J$2990,"&lt;="&amp;EOMONTH(I7,0),'CEI565'!$L$6:$L$2990,$B$25)+SUMIFS('1SM3VL'!$K$6:$K$2990,'1SM3VL'!$J$6:$J$2990,"&gt;="&amp;I7,'1SM3VL'!$J$6:$J$2990,"&lt;="&amp;EOMONTH(I7,0),'1SM3VL'!$L$6:$L$2990,$B$25)+SUMIFS('1QF4SM'!$K$6:$K$2989,'1QF4SM'!$J$6:$J$2989,"&gt;="&amp;I7,'1QF4SM'!$J$6:$J$2989,"&lt;="&amp;EOMONTH(I7,0),'1QF4SM'!$L$6:$L$2989,$B$25)+SUMIFS('1UV5KI'!$K$6:$K$2989,'1UV5KI'!$J$6:$J$2989,"&gt;="&amp;I7,'1UV5KI'!$J$6:$J$2989,"&lt;="&amp;EOMONTH(I7,0),'1UV5KI'!$L$6:$L$2989,$B$25)+SUMIFS(#REF!,#REF!,"&gt;="&amp;I7,#REF!,"&lt;="&amp;EOMONTH(I7,0),#REF!,$B$25)+SUMIFS('1UL9RY'!$K$6:$K$2990,'1UL9RY'!$J$6:$J$2990,"&gt;="&amp;I7,'1UL9RY'!$J$6:$J$2990,"&lt;="&amp;EOMONTH(I7,0),'1UL9RY'!$L$6:$L$2990,$B$25)+SUMIFS('1OZ7GT'!$K$6:$K$2989,'1OZ7GT'!$J$6:$J$2989,"&gt;="&amp;I7,'1OZ7GT'!$J$6:$J$2989,"&lt;="&amp;EOMONTH(I7,0),'1OZ7GT'!$L$6:$L$2989,$B$25)+SUMIFS('1CN8DD'!$K$6:$K$2989,'1CN8DD'!$J$6:$J$2989,"&gt;="&amp;I7,'1CN8DD'!$J$6:$J$2989,"&lt;="&amp;EOMONTH(I7,0),'1CN8DD'!$L$6:$L$2989,$B$25)+SUMIFS('1UT9BR'!$K$6:$K$2990,'1UT9BR'!$J$6:$J$2990,"&gt;="&amp;I7,'1UT9BR'!$J$6:$J$2990,"&lt;="&amp;EOMONTH(I7,0),'1UT9BR'!$L$6:$L$2990,$B$25)+SUMIFS('1MK4UR'!$K$6:$K$2990,'1MK4UR'!$J$6:$J$2990,"&gt;="&amp;I7,'1MK4UR'!$J$6:$J$2990,"&lt;="&amp;EOMONTH(I7,0),'1MK4UR'!$L$6:$L$2990,$B$25)+SUMIFS(#REF!,#REF!,"&gt;="&amp;I7,#REF!,"&lt;="&amp;EOMONTH(I7,0),#REF!,$B$25)+SUMIFS('1JI2UE'!$K$6:$K$2989,'1JI2UE'!$J$6:$J$2989,"&gt;="&amp;I7,'1JI2UE'!$J$6:$J$2989,"&lt;="&amp;EOMONTH(I7,0),'1JI2UE'!$L$6:$L$2989,$B$25)+SUMIFS(#REF!,#REF!,"&gt;="&amp;I7,#REF!,"&lt;="&amp;EOMONTH(I7,0),#REF!,$B$25)+SUMIFS('1SI9BW'!$K$6:$K$2989,'1SI9BW'!$J$6:$J$2989,"&gt;="&amp;I7,'1SI9BW'!$J$6:$J$2989,"&lt;="&amp;EOMONTH(I7,0),'1SI9BW'!$L$6:$L$2989,$B$25)+SUMIFS(Suzuki!$K$6:$K$2989,Suzuki!$J$6:$J$2989,"&gt;="&amp;I7,Suzuki!$J$6:$J$2989,"&lt;="&amp;EOMONTH(I7,0),Suzuki!$L$6:$L$2989,$B$25)+SUMIFS('1SK3DD'!$K$6:$K$2989,'1SK3DD'!$J$6:$J$2989,"&gt;="&amp;I7,'1SK3DD'!$J$6:$J$2989,"&lt;="&amp;EOMONTH(I7,0),'1SK3DD'!$L$6:$L$2989,$B$25)+SUMIFS('1SX5TQ'!$K$6:$K$2989,'1SX5TQ'!$J$6:$J$2989,"&gt;="&amp;I7,'1SX5TQ'!$J$6:$J$2989,"&lt;="&amp;EOMONTH(I7,0),'1SX5TQ'!$L$6:$L$2989,$B$25)+SUMIFS('BMM465'!$K$6:$K$2989,'BMM465'!$J$6:$J$2989,"&gt;="&amp;I7,'BMM465'!$J$6:$J$2989,"&lt;="&amp;EOMONTH(I7,0),'BMM465'!$L$6:$L$2989,$B$25)+SUMIFS('1CF1ZO'!$K$6:$K$2989,'1CF1ZO'!$J$6:$J$2989,"&gt;="&amp;I7,'1CF1ZO'!$J$6:$J$2989,"&lt;="&amp;EOMONTH(I7,0),'1CF1ZO'!$L$6:$L$2989,$B$25)+SUMIFS('1UK1BK'!$K$6:$K$2989,'1UK1BK'!$J$6:$J$2989,"&gt;="&amp;I7,'1UK1BK'!$J$6:$J$2989,"&lt;="&amp;EOMONTH(I7,0),'1UK1BK'!$L$6:$L$2989,$B$25)</f>
        <v>#REF!</v>
      </c>
      <c r="J25" s="110" t="e">
        <f>SUMIFS('CEI565'!$K$6:$K$2990,'CEI565'!$J$6:$J$2990,"&gt;="&amp;J7,'CEI565'!$J$6:$J$2990,"&lt;="&amp;EOMONTH(J7,0),'CEI565'!$L$6:$L$2990,$B$25)+SUMIFS('1SM3VL'!$K$6:$K$2990,'1SM3VL'!$J$6:$J$2990,"&gt;="&amp;J7,'1SM3VL'!$J$6:$J$2990,"&lt;="&amp;EOMONTH(J7,0),'1SM3VL'!$L$6:$L$2990,$B$25)+SUMIFS('1QF4SM'!$K$6:$K$2989,'1QF4SM'!$J$6:$J$2989,"&gt;="&amp;J7,'1QF4SM'!$J$6:$J$2989,"&lt;="&amp;EOMONTH(J7,0),'1QF4SM'!$L$6:$L$2989,$B$25)+SUMIFS('1UV5KI'!$K$6:$K$2989,'1UV5KI'!$J$6:$J$2989,"&gt;="&amp;J7,'1UV5KI'!$J$6:$J$2989,"&lt;="&amp;EOMONTH(J7,0),'1UV5KI'!$L$6:$L$2989,$B$25)+SUMIFS(#REF!,#REF!,"&gt;="&amp;J7,#REF!,"&lt;="&amp;EOMONTH(J7,0),#REF!,$B$25)+SUMIFS('1UL9RY'!$K$6:$K$2990,'1UL9RY'!$J$6:$J$2990,"&gt;="&amp;J7,'1UL9RY'!$J$6:$J$2990,"&lt;="&amp;EOMONTH(J7,0),'1UL9RY'!$L$6:$L$2990,$B$25)+SUMIFS('1OZ7GT'!$K$6:$K$2989,'1OZ7GT'!$J$6:$J$2989,"&gt;="&amp;J7,'1OZ7GT'!$J$6:$J$2989,"&lt;="&amp;EOMONTH(J7,0),'1OZ7GT'!$L$6:$L$2989,$B$25)+SUMIFS('1CN8DD'!$K$6:$K$2989,'1CN8DD'!$J$6:$J$2989,"&gt;="&amp;J7,'1CN8DD'!$J$6:$J$2989,"&lt;="&amp;EOMONTH(J7,0),'1CN8DD'!$L$6:$L$2989,$B$25)+SUMIFS('1UT9BR'!$K$6:$K$2990,'1UT9BR'!$J$6:$J$2990,"&gt;="&amp;J7,'1UT9BR'!$J$6:$J$2990,"&lt;="&amp;EOMONTH(J7,0),'1UT9BR'!$L$6:$L$2990,$B$25)+SUMIFS('1MK4UR'!$K$6:$K$2990,'1MK4UR'!$J$6:$J$2990,"&gt;="&amp;J7,'1MK4UR'!$J$6:$J$2990,"&lt;="&amp;EOMONTH(J7,0),'1MK4UR'!$L$6:$L$2990,$B$25)+SUMIFS(#REF!,#REF!,"&gt;="&amp;J7,#REF!,"&lt;="&amp;EOMONTH(J7,0),#REF!,$B$25)+SUMIFS('1JI2UE'!$K$6:$K$2989,'1JI2UE'!$J$6:$J$2989,"&gt;="&amp;J7,'1JI2UE'!$J$6:$J$2989,"&lt;="&amp;EOMONTH(J7,0),'1JI2UE'!$L$6:$L$2989,$B$25)+SUMIFS(#REF!,#REF!,"&gt;="&amp;J7,#REF!,"&lt;="&amp;EOMONTH(J7,0),#REF!,$B$25)+SUMIFS('1SI9BW'!$K$6:$K$2989,'1SI9BW'!$J$6:$J$2989,"&gt;="&amp;J7,'1SI9BW'!$J$6:$J$2989,"&lt;="&amp;EOMONTH(J7,0),'1SI9BW'!$L$6:$L$2989,$B$25)+SUMIFS(Suzuki!$K$6:$K$2989,Suzuki!$J$6:$J$2989,"&gt;="&amp;J7,Suzuki!$J$6:$J$2989,"&lt;="&amp;EOMONTH(J7,0),Suzuki!$L$6:$L$2989,$B$25)+SUMIFS('1SK3DD'!$K$6:$K$2989,'1SK3DD'!$J$6:$J$2989,"&gt;="&amp;J7,'1SK3DD'!$J$6:$J$2989,"&lt;="&amp;EOMONTH(J7,0),'1SK3DD'!$L$6:$L$2989,$B$25)+SUMIFS('1SX5TQ'!$K$6:$K$2989,'1SX5TQ'!$J$6:$J$2989,"&gt;="&amp;J7,'1SX5TQ'!$J$6:$J$2989,"&lt;="&amp;EOMONTH(J7,0),'1SX5TQ'!$L$6:$L$2989,$B$25)+SUMIFS('BMM465'!$K$6:$K$2989,'BMM465'!$J$6:$J$2989,"&gt;="&amp;J7,'BMM465'!$J$6:$J$2989,"&lt;="&amp;EOMONTH(J7,0),'BMM465'!$L$6:$L$2989,$B$25)+SUMIFS('1CF1ZO'!$K$6:$K$2989,'1CF1ZO'!$J$6:$J$2989,"&gt;="&amp;J7,'1CF1ZO'!$J$6:$J$2989,"&lt;="&amp;EOMONTH(J7,0),'1CF1ZO'!$L$6:$L$2989,$B$25)+SUMIFS('1UK1BK'!$K$6:$K$2989,'1UK1BK'!$J$6:$J$2989,"&gt;="&amp;J7,'1UK1BK'!$J$6:$J$2989,"&lt;="&amp;EOMONTH(J7,0),'1UK1BK'!$L$6:$L$2989,$B$25)</f>
        <v>#REF!</v>
      </c>
      <c r="K25" s="110" t="e">
        <f>SUMIFS('CEI565'!$K$6:$K$2990,'CEI565'!$J$6:$J$2990,"&gt;="&amp;K7,'CEI565'!$J$6:$J$2990,"&lt;="&amp;EOMONTH(K7,0),'CEI565'!$L$6:$L$2990,$B$25)+SUMIFS('1SM3VL'!$K$6:$K$2990,'1SM3VL'!$J$6:$J$2990,"&gt;="&amp;K7,'1SM3VL'!$J$6:$J$2990,"&lt;="&amp;EOMONTH(K7,0),'1SM3VL'!$L$6:$L$2990,$B$25)+SUMIFS('1QF4SM'!$K$6:$K$2989,'1QF4SM'!$J$6:$J$2989,"&gt;="&amp;K7,'1QF4SM'!$J$6:$J$2989,"&lt;="&amp;EOMONTH(K7,0),'1QF4SM'!$L$6:$L$2989,$B$25)+SUMIFS('1UV5KI'!$K$6:$K$2989,'1UV5KI'!$J$6:$J$2989,"&gt;="&amp;K7,'1UV5KI'!$J$6:$J$2989,"&lt;="&amp;EOMONTH(K7,0),'1UV5KI'!$L$6:$L$2989,$B$25)+SUMIFS(#REF!,#REF!,"&gt;="&amp;K7,#REF!,"&lt;="&amp;EOMONTH(K7,0),#REF!,$B$25)+SUMIFS('1UL9RY'!$K$6:$K$2990,'1UL9RY'!$J$6:$J$2990,"&gt;="&amp;K7,'1UL9RY'!$J$6:$J$2990,"&lt;="&amp;EOMONTH(K7,0),'1UL9RY'!$L$6:$L$2990,$B$25)+SUMIFS('1OZ7GT'!$K$6:$K$2989,'1OZ7GT'!$J$6:$J$2989,"&gt;="&amp;K7,'1OZ7GT'!$J$6:$J$2989,"&lt;="&amp;EOMONTH(K7,0),'1OZ7GT'!$L$6:$L$2989,$B$25)+SUMIFS('1CN8DD'!$K$6:$K$2989,'1CN8DD'!$J$6:$J$2989,"&gt;="&amp;K7,'1CN8DD'!$J$6:$J$2989,"&lt;="&amp;EOMONTH(K7,0),'1CN8DD'!$L$6:$L$2989,$B$25)+SUMIFS('1UT9BR'!$K$6:$K$2990,'1UT9BR'!$J$6:$J$2990,"&gt;="&amp;K7,'1UT9BR'!$J$6:$J$2990,"&lt;="&amp;EOMONTH(K7,0),'1UT9BR'!$L$6:$L$2990,$B$25)+SUMIFS('1MK4UR'!$K$6:$K$2990,'1MK4UR'!$J$6:$J$2990,"&gt;="&amp;K7,'1MK4UR'!$J$6:$J$2990,"&lt;="&amp;EOMONTH(K7,0),'1MK4UR'!$L$6:$L$2990,$B$25)+SUMIFS(#REF!,#REF!,"&gt;="&amp;K7,#REF!,"&lt;="&amp;EOMONTH(K7,0),#REF!,$B$25)+SUMIFS('1JI2UE'!$K$6:$K$2989,'1JI2UE'!$J$6:$J$2989,"&gt;="&amp;K7,'1JI2UE'!$J$6:$J$2989,"&lt;="&amp;EOMONTH(K7,0),'1JI2UE'!$L$6:$L$2989,$B$25)+SUMIFS(#REF!,#REF!,"&gt;="&amp;K7,#REF!,"&lt;="&amp;EOMONTH(K7,0),#REF!,$B$25)+SUMIFS('1SI9BW'!$K$6:$K$2989,'1SI9BW'!$J$6:$J$2989,"&gt;="&amp;K7,'1SI9BW'!$J$6:$J$2989,"&lt;="&amp;EOMONTH(K7,0),'1SI9BW'!$L$6:$L$2989,$B$25)+SUMIFS(Suzuki!$K$6:$K$2989,Suzuki!$J$6:$J$2989,"&gt;="&amp;K7,Suzuki!$J$6:$J$2989,"&lt;="&amp;EOMONTH(K7,0),Suzuki!$L$6:$L$2989,$B$25)+SUMIFS('1SK3DD'!$K$6:$K$2989,'1SK3DD'!$J$6:$J$2989,"&gt;="&amp;K7,'1SK3DD'!$J$6:$J$2989,"&lt;="&amp;EOMONTH(K7,0),'1SK3DD'!$L$6:$L$2989,$B$25)+SUMIFS('1SX5TQ'!$K$6:$K$2989,'1SX5TQ'!$J$6:$J$2989,"&gt;="&amp;K7,'1SX5TQ'!$J$6:$J$2989,"&lt;="&amp;EOMONTH(K7,0),'1SX5TQ'!$L$6:$L$2989,$B$25)+SUMIFS('BMM465'!$K$6:$K$2989,'BMM465'!$J$6:$J$2989,"&gt;="&amp;K7,'BMM465'!$J$6:$J$2989,"&lt;="&amp;EOMONTH(K7,0),'BMM465'!$L$6:$L$2989,$B$25)+SUMIFS('1CF1ZO'!$K$6:$K$2989,'1CF1ZO'!$J$6:$J$2989,"&gt;="&amp;K7,'1CF1ZO'!$J$6:$J$2989,"&lt;="&amp;EOMONTH(K7,0),'1CF1ZO'!$L$6:$L$2989,$B$25)+SUMIFS('1UK1BK'!$K$6:$K$2989,'1UK1BK'!$J$6:$J$2989,"&gt;="&amp;K7,'1UK1BK'!$J$6:$J$2989,"&lt;="&amp;EOMONTH(K7,0),'1UK1BK'!$L$6:$L$2989,$B$25)</f>
        <v>#REF!</v>
      </c>
      <c r="L25" s="110" t="e">
        <f>SUMIFS('CEI565'!$K$6:$K$2990,'CEI565'!$J$6:$J$2990,"&gt;="&amp;L7,'CEI565'!$J$6:$J$2990,"&lt;="&amp;EOMONTH(L7,0),'CEI565'!$L$6:$L$2990,$B$25)+SUMIFS('1SM3VL'!$K$6:$K$2990,'1SM3VL'!$J$6:$J$2990,"&gt;="&amp;L7,'1SM3VL'!$J$6:$J$2990,"&lt;="&amp;EOMONTH(L7,0),'1SM3VL'!$L$6:$L$2990,$B$25)+SUMIFS('1QF4SM'!$K$6:$K$2989,'1QF4SM'!$J$6:$J$2989,"&gt;="&amp;L7,'1QF4SM'!$J$6:$J$2989,"&lt;="&amp;EOMONTH(L7,0),'1QF4SM'!$L$6:$L$2989,$B$25)+SUMIFS('1UV5KI'!$K$6:$K$2989,'1UV5KI'!$J$6:$J$2989,"&gt;="&amp;L7,'1UV5KI'!$J$6:$J$2989,"&lt;="&amp;EOMONTH(L7,0),'1UV5KI'!$L$6:$L$2989,$B$25)+SUMIFS(#REF!,#REF!,"&gt;="&amp;L7,#REF!,"&lt;="&amp;EOMONTH(L7,0),#REF!,$B$25)+SUMIFS('1UL9RY'!$K$6:$K$2990,'1UL9RY'!$J$6:$J$2990,"&gt;="&amp;L7,'1UL9RY'!$J$6:$J$2990,"&lt;="&amp;EOMONTH(L7,0),'1UL9RY'!$L$6:$L$2990,$B$25)+SUMIFS('1OZ7GT'!$K$6:$K$2989,'1OZ7GT'!$J$6:$J$2989,"&gt;="&amp;L7,'1OZ7GT'!$J$6:$J$2989,"&lt;="&amp;EOMONTH(L7,0),'1OZ7GT'!$L$6:$L$2989,$B$25)+SUMIFS('1CN8DD'!$K$6:$K$2989,'1CN8DD'!$J$6:$J$2989,"&gt;="&amp;L7,'1CN8DD'!$J$6:$J$2989,"&lt;="&amp;EOMONTH(L7,0),'1CN8DD'!$L$6:$L$2989,$B$25)+SUMIFS('1UT9BR'!$K$6:$K$2990,'1UT9BR'!$J$6:$J$2990,"&gt;="&amp;L7,'1UT9BR'!$J$6:$J$2990,"&lt;="&amp;EOMONTH(L7,0),'1UT9BR'!$L$6:$L$2990,$B$25)+SUMIFS('1MK4UR'!$K$6:$K$2990,'1MK4UR'!$J$6:$J$2990,"&gt;="&amp;L7,'1MK4UR'!$J$6:$J$2990,"&lt;="&amp;EOMONTH(L7,0),'1MK4UR'!$L$6:$L$2990,$B$25)+SUMIFS(#REF!,#REF!,"&gt;="&amp;L7,#REF!,"&lt;="&amp;EOMONTH(L7,0),#REF!,$B$25)+SUMIFS('1JI2UE'!$K$6:$K$2989,'1JI2UE'!$J$6:$J$2989,"&gt;="&amp;L7,'1JI2UE'!$J$6:$J$2989,"&lt;="&amp;EOMONTH(L7,0),'1JI2UE'!$L$6:$L$2989,$B$25)+SUMIFS(#REF!,#REF!,"&gt;="&amp;L7,#REF!,"&lt;="&amp;EOMONTH(L7,0),#REF!,$B$25)+SUMIFS('1SI9BW'!$K$6:$K$2989,'1SI9BW'!$J$6:$J$2989,"&gt;="&amp;L7,'1SI9BW'!$J$6:$J$2989,"&lt;="&amp;EOMONTH(L7,0),'1SI9BW'!$L$6:$L$2989,$B$25)+SUMIFS(Suzuki!$K$6:$K$2989,Suzuki!$J$6:$J$2989,"&gt;="&amp;L7,Suzuki!$J$6:$J$2989,"&lt;="&amp;EOMONTH(L7,0),Suzuki!$L$6:$L$2989,$B$25)+SUMIFS('1SK3DD'!$K$6:$K$2989,'1SK3DD'!$J$6:$J$2989,"&gt;="&amp;L7,'1SK3DD'!$J$6:$J$2989,"&lt;="&amp;EOMONTH(L7,0),'1SK3DD'!$L$6:$L$2989,$B$25)+SUMIFS('1SX5TQ'!$K$6:$K$2989,'1SX5TQ'!$J$6:$J$2989,"&gt;="&amp;L7,'1SX5TQ'!$J$6:$J$2989,"&lt;="&amp;EOMONTH(L7,0),'1SX5TQ'!$L$6:$L$2989,$B$25)+SUMIFS('BMM465'!$K$6:$K$2989,'BMM465'!$J$6:$J$2989,"&gt;="&amp;L7,'BMM465'!$J$6:$J$2989,"&lt;="&amp;EOMONTH(L7,0),'BMM465'!$L$6:$L$2989,$B$25)+SUMIFS('1CF1ZO'!$K$6:$K$2989,'1CF1ZO'!$J$6:$J$2989,"&gt;="&amp;L7,'1CF1ZO'!$J$6:$J$2989,"&lt;="&amp;EOMONTH(L7,0),'1CF1ZO'!$L$6:$L$2989,$B$25)+SUMIFS('1UK1BK'!$K$6:$K$2989,'1UK1BK'!$J$6:$J$2989,"&gt;="&amp;L7,'1UK1BK'!$J$6:$J$2989,"&lt;="&amp;EOMONTH(L7,0),'1UK1BK'!$L$6:$L$2989,$B$25)</f>
        <v>#REF!</v>
      </c>
      <c r="M25" s="110" t="e">
        <f>SUMIFS('CEI565'!$K$6:$K$2990,'CEI565'!$J$6:$J$2990,"&gt;="&amp;M7,'CEI565'!$J$6:$J$2990,"&lt;="&amp;EOMONTH(M7,0),'CEI565'!$L$6:$L$2990,$B$25)+SUMIFS('1SM3VL'!$K$6:$K$2990,'1SM3VL'!$J$6:$J$2990,"&gt;="&amp;M7,'1SM3VL'!$J$6:$J$2990,"&lt;="&amp;EOMONTH(M7,0),'1SM3VL'!$L$6:$L$2990,$B$25)+SUMIFS('1QF4SM'!$K$6:$K$2989,'1QF4SM'!$J$6:$J$2989,"&gt;="&amp;M7,'1QF4SM'!$J$6:$J$2989,"&lt;="&amp;EOMONTH(M7,0),'1QF4SM'!$L$6:$L$2989,$B$25)+SUMIFS('1UV5KI'!$K$6:$K$2989,'1UV5KI'!$J$6:$J$2989,"&gt;="&amp;M7,'1UV5KI'!$J$6:$J$2989,"&lt;="&amp;EOMONTH(M7,0),'1UV5KI'!$L$6:$L$2989,$B$25)+SUMIFS(#REF!,#REF!,"&gt;="&amp;M7,#REF!,"&lt;="&amp;EOMONTH(M7,0),#REF!,$B$25)+SUMIFS('1UL9RY'!$K$6:$K$2990,'1UL9RY'!$J$6:$J$2990,"&gt;="&amp;M7,'1UL9RY'!$J$6:$J$2990,"&lt;="&amp;EOMONTH(M7,0),'1UL9RY'!$L$6:$L$2990,$B$25)+SUMIFS('1OZ7GT'!$K$6:$K$2989,'1OZ7GT'!$J$6:$J$2989,"&gt;="&amp;M7,'1OZ7GT'!$J$6:$J$2989,"&lt;="&amp;EOMONTH(M7,0),'1OZ7GT'!$L$6:$L$2989,$B$25)+SUMIFS('1CN8DD'!$K$6:$K$2989,'1CN8DD'!$J$6:$J$2989,"&gt;="&amp;M7,'1CN8DD'!$J$6:$J$2989,"&lt;="&amp;EOMONTH(M7,0),'1CN8DD'!$L$6:$L$2989,$B$25)+SUMIFS('1UT9BR'!$K$6:$K$2990,'1UT9BR'!$J$6:$J$2990,"&gt;="&amp;M7,'1UT9BR'!$J$6:$J$2990,"&lt;="&amp;EOMONTH(M7,0),'1UT9BR'!$L$6:$L$2990,$B$25)+SUMIFS('1MK4UR'!$K$6:$K$2990,'1MK4UR'!$J$6:$J$2990,"&gt;="&amp;M7,'1MK4UR'!$J$6:$J$2990,"&lt;="&amp;EOMONTH(M7,0),'1MK4UR'!$L$6:$L$2990,$B$25)+SUMIFS(#REF!,#REF!,"&gt;="&amp;M7,#REF!,"&lt;="&amp;EOMONTH(M7,0),#REF!,$B$25)+SUMIFS('1JI2UE'!$K$6:$K$2989,'1JI2UE'!$J$6:$J$2989,"&gt;="&amp;M7,'1JI2UE'!$J$6:$J$2989,"&lt;="&amp;EOMONTH(M7,0),'1JI2UE'!$L$6:$L$2989,$B$25)+SUMIFS(#REF!,#REF!,"&gt;="&amp;M7,#REF!,"&lt;="&amp;EOMONTH(M7,0),#REF!,$B$25)+SUMIFS('1SI9BW'!$K$6:$K$2989,'1SI9BW'!$J$6:$J$2989,"&gt;="&amp;M7,'1SI9BW'!$J$6:$J$2989,"&lt;="&amp;EOMONTH(M7,0),'1SI9BW'!$L$6:$L$2989,$B$25)+SUMIFS(Suzuki!$K$6:$K$2989,Suzuki!$J$6:$J$2989,"&gt;="&amp;M7,Suzuki!$J$6:$J$2989,"&lt;="&amp;EOMONTH(M7,0),Suzuki!$L$6:$L$2989,$B$25)+SUMIFS('1SK3DD'!$K$6:$K$2989,'1SK3DD'!$J$6:$J$2989,"&gt;="&amp;M7,'1SK3DD'!$J$6:$J$2989,"&lt;="&amp;EOMONTH(M7,0),'1SK3DD'!$L$6:$L$2989,$B$25)+SUMIFS('1SX5TQ'!$K$6:$K$2989,'1SX5TQ'!$J$6:$J$2989,"&gt;="&amp;M7,'1SX5TQ'!$J$6:$J$2989,"&lt;="&amp;EOMONTH(M7,0),'1SX5TQ'!$L$6:$L$2989,$B$25)+SUMIFS('BMM465'!$K$6:$K$2989,'BMM465'!$J$6:$J$2989,"&gt;="&amp;M7,'BMM465'!$J$6:$J$2989,"&lt;="&amp;EOMONTH(M7,0),'BMM465'!$L$6:$L$2989,$B$25)+SUMIFS('1CF1ZO'!$K$6:$K$2989,'1CF1ZO'!$J$6:$J$2989,"&gt;="&amp;M7,'1CF1ZO'!$J$6:$J$2989,"&lt;="&amp;EOMONTH(M7,0),'1CF1ZO'!$L$6:$L$2989,$B$25)+SUMIFS('1UK1BK'!$K$6:$K$2989,'1UK1BK'!$J$6:$J$2989,"&gt;="&amp;M7,'1UK1BK'!$J$6:$J$2989,"&lt;="&amp;EOMONTH(M7,0),'1UK1BK'!$L$6:$L$2989,$B$25)</f>
        <v>#REF!</v>
      </c>
      <c r="N25" s="110" t="e">
        <f>SUMIFS('CEI565'!$K$6:$K$2990,'CEI565'!$J$6:$J$2990,"&gt;="&amp;N7,'CEI565'!$J$6:$J$2990,"&lt;="&amp;EOMONTH(N7,0),'CEI565'!$L$6:$L$2990,$B$25)+SUMIFS('1SM3VL'!$K$6:$K$2990,'1SM3VL'!$J$6:$J$2990,"&gt;="&amp;N7,'1SM3VL'!$J$6:$J$2990,"&lt;="&amp;EOMONTH(N7,0),'1SM3VL'!$L$6:$L$2990,$B$25)+SUMIFS('1QF4SM'!$K$6:$K$2989,'1QF4SM'!$J$6:$J$2989,"&gt;="&amp;N7,'1QF4SM'!$J$6:$J$2989,"&lt;="&amp;EOMONTH(N7,0),'1QF4SM'!$L$6:$L$2989,$B$25)+SUMIFS('1UV5KI'!$K$6:$K$2989,'1UV5KI'!$J$6:$J$2989,"&gt;="&amp;N7,'1UV5KI'!$J$6:$J$2989,"&lt;="&amp;EOMONTH(N7,0),'1UV5KI'!$L$6:$L$2989,$B$25)+SUMIFS(#REF!,#REF!,"&gt;="&amp;N7,#REF!,"&lt;="&amp;EOMONTH(N7,0),#REF!,$B$25)+SUMIFS('1UL9RY'!$K$6:$K$2990,'1UL9RY'!$J$6:$J$2990,"&gt;="&amp;N7,'1UL9RY'!$J$6:$J$2990,"&lt;="&amp;EOMONTH(N7,0),'1UL9RY'!$L$6:$L$2990,$B$25)+SUMIFS('1OZ7GT'!$K$6:$K$2989,'1OZ7GT'!$J$6:$J$2989,"&gt;="&amp;N7,'1OZ7GT'!$J$6:$J$2989,"&lt;="&amp;EOMONTH(N7,0),'1OZ7GT'!$L$6:$L$2989,$B$25)+SUMIFS('1CN8DD'!$K$6:$K$2989,'1CN8DD'!$J$6:$J$2989,"&gt;="&amp;N7,'1CN8DD'!$J$6:$J$2989,"&lt;="&amp;EOMONTH(N7,0),'1CN8DD'!$L$6:$L$2989,$B$25)+SUMIFS('1UT9BR'!$K$6:$K$2990,'1UT9BR'!$J$6:$J$2990,"&gt;="&amp;N7,'1UT9BR'!$J$6:$J$2990,"&lt;="&amp;EOMONTH(N7,0),'1UT9BR'!$L$6:$L$2990,$B$25)+SUMIFS('1MK4UR'!$K$6:$K$2990,'1MK4UR'!$J$6:$J$2990,"&gt;="&amp;N7,'1MK4UR'!$J$6:$J$2990,"&lt;="&amp;EOMONTH(N7,0),'1MK4UR'!$L$6:$L$2990,$B$25)+SUMIFS(#REF!,#REF!,"&gt;="&amp;N7,#REF!,"&lt;="&amp;EOMONTH(N7,0),#REF!,$B$25)+SUMIFS('1JI2UE'!$K$6:$K$2989,'1JI2UE'!$J$6:$J$2989,"&gt;="&amp;N7,'1JI2UE'!$J$6:$J$2989,"&lt;="&amp;EOMONTH(N7,0),'1JI2UE'!$L$6:$L$2989,$B$25)+SUMIFS(#REF!,#REF!,"&gt;="&amp;N7,#REF!,"&lt;="&amp;EOMONTH(N7,0),#REF!,$B$25)+SUMIFS('1SI9BW'!$K$6:$K$2989,'1SI9BW'!$J$6:$J$2989,"&gt;="&amp;N7,'1SI9BW'!$J$6:$J$2989,"&lt;="&amp;EOMONTH(N7,0),'1SI9BW'!$L$6:$L$2989,$B$25)+SUMIFS(Suzuki!$K$6:$K$2989,Suzuki!$J$6:$J$2989,"&gt;="&amp;N7,Suzuki!$J$6:$J$2989,"&lt;="&amp;EOMONTH(N7,0),Suzuki!$L$6:$L$2989,$B$25)+SUMIFS('1SK3DD'!$K$6:$K$2989,'1SK3DD'!$J$6:$J$2989,"&gt;="&amp;N7,'1SK3DD'!$J$6:$J$2989,"&lt;="&amp;EOMONTH(N7,0),'1SK3DD'!$L$6:$L$2989,$B$25)+SUMIFS('1SX5TQ'!$K$6:$K$2989,'1SX5TQ'!$J$6:$J$2989,"&gt;="&amp;N7,'1SX5TQ'!$J$6:$J$2989,"&lt;="&amp;EOMONTH(N7,0),'1SX5TQ'!$L$6:$L$2989,$B$25)+SUMIFS('BMM465'!$K$6:$K$2989,'BMM465'!$J$6:$J$2989,"&gt;="&amp;N7,'BMM465'!$J$6:$J$2989,"&lt;="&amp;EOMONTH(N7,0),'BMM465'!$L$6:$L$2989,$B$25)+SUMIFS('1CF1ZO'!$K$6:$K$2989,'1CF1ZO'!$J$6:$J$2989,"&gt;="&amp;N7,'1CF1ZO'!$J$6:$J$2989,"&lt;="&amp;EOMONTH(N7,0),'1CF1ZO'!$L$6:$L$2989,$B$25)+SUMIFS('1UK1BK'!$K$6:$K$2989,'1UK1BK'!$J$6:$J$2989,"&gt;="&amp;N7,'1UK1BK'!$J$6:$J$2989,"&lt;="&amp;EOMONTH(N7,0),'1UK1BK'!$L$6:$L$2989,$B$25)</f>
        <v>#REF!</v>
      </c>
      <c r="O25" s="110" t="e">
        <f>SUMIFS('CEI565'!$K$6:$K$2990,'CEI565'!$J$6:$J$2990,"&gt;="&amp;O7,'CEI565'!$J$6:$J$2990,"&lt;="&amp;EOMONTH(O7,0),'CEI565'!$L$6:$L$2990,$B$25)+SUMIFS('1SM3VL'!$K$6:$K$2990,'1SM3VL'!$J$6:$J$2990,"&gt;="&amp;O7,'1SM3VL'!$J$6:$J$2990,"&lt;="&amp;EOMONTH(O7,0),'1SM3VL'!$L$6:$L$2990,$B$25)+SUMIFS('1QF4SM'!$K$6:$K$2989,'1QF4SM'!$J$6:$J$2989,"&gt;="&amp;O7,'1QF4SM'!$J$6:$J$2989,"&lt;="&amp;EOMONTH(O7,0),'1QF4SM'!$L$6:$L$2989,$B$25)+SUMIFS('1UV5KI'!$K$6:$K$2989,'1UV5KI'!$J$6:$J$2989,"&gt;="&amp;O7,'1UV5KI'!$J$6:$J$2989,"&lt;="&amp;EOMONTH(O7,0),'1UV5KI'!$L$6:$L$2989,$B$25)+SUMIFS(#REF!,#REF!,"&gt;="&amp;O7,#REF!,"&lt;="&amp;EOMONTH(O7,0),#REF!,$B$25)+SUMIFS('1UL9RY'!$K$6:$K$2990,'1UL9RY'!$J$6:$J$2990,"&gt;="&amp;O7,'1UL9RY'!$J$6:$J$2990,"&lt;="&amp;EOMONTH(O7,0),'1UL9RY'!$L$6:$L$2990,$B$25)+SUMIFS('1OZ7GT'!$K$6:$K$2989,'1OZ7GT'!$J$6:$J$2989,"&gt;="&amp;O7,'1OZ7GT'!$J$6:$J$2989,"&lt;="&amp;EOMONTH(O7,0),'1OZ7GT'!$L$6:$L$2989,$B$25)+SUMIFS('1CN8DD'!$K$6:$K$2989,'1CN8DD'!$J$6:$J$2989,"&gt;="&amp;O7,'1CN8DD'!$J$6:$J$2989,"&lt;="&amp;EOMONTH(O7,0),'1CN8DD'!$L$6:$L$2989,$B$25)+SUMIFS('1UT9BR'!$K$6:$K$2990,'1UT9BR'!$J$6:$J$2990,"&gt;="&amp;O7,'1UT9BR'!$J$6:$J$2990,"&lt;="&amp;EOMONTH(O7,0),'1UT9BR'!$L$6:$L$2990,$B$25)+SUMIFS('1MK4UR'!$K$6:$K$2990,'1MK4UR'!$J$6:$J$2990,"&gt;="&amp;O7,'1MK4UR'!$J$6:$J$2990,"&lt;="&amp;EOMONTH(O7,0),'1MK4UR'!$L$6:$L$2990,$B$25)+SUMIFS(#REF!,#REF!,"&gt;="&amp;O7,#REF!,"&lt;="&amp;EOMONTH(O7,0),#REF!,$B$25)+SUMIFS('1JI2UE'!$K$6:$K$2989,'1JI2UE'!$J$6:$J$2989,"&gt;="&amp;O7,'1JI2UE'!$J$6:$J$2989,"&lt;="&amp;EOMONTH(O7,0),'1JI2UE'!$L$6:$L$2989,$B$25)+SUMIFS(#REF!,#REF!,"&gt;="&amp;O7,#REF!,"&lt;="&amp;EOMONTH(O7,0),#REF!,$B$25)+SUMIFS('1SI9BW'!$K$6:$K$2989,'1SI9BW'!$J$6:$J$2989,"&gt;="&amp;O7,'1SI9BW'!$J$6:$J$2989,"&lt;="&amp;EOMONTH(O7,0),'1SI9BW'!$L$6:$L$2989,$B$25)+SUMIFS(Suzuki!$K$6:$K$2989,Suzuki!$J$6:$J$2989,"&gt;="&amp;O7,Suzuki!$J$6:$J$2989,"&lt;="&amp;EOMONTH(O7,0),Suzuki!$L$6:$L$2989,$B$25)+SUMIFS('1SK3DD'!$K$6:$K$2989,'1SK3DD'!$J$6:$J$2989,"&gt;="&amp;O7,'1SK3DD'!$J$6:$J$2989,"&lt;="&amp;EOMONTH(O7,0),'1SK3DD'!$L$6:$L$2989,$B$25)+SUMIFS('1SX5TQ'!$K$6:$K$2989,'1SX5TQ'!$J$6:$J$2989,"&gt;="&amp;O7,'1SX5TQ'!$J$6:$J$2989,"&lt;="&amp;EOMONTH(O7,0),'1SX5TQ'!$L$6:$L$2989,$B$25)+SUMIFS('BMM465'!$K$6:$K$2989,'BMM465'!$J$6:$J$2989,"&gt;="&amp;O7,'BMM465'!$J$6:$J$2989,"&lt;="&amp;EOMONTH(O7,0),'BMM465'!$L$6:$L$2989,$B$25)+SUMIFS('1CF1ZO'!$K$6:$K$2989,'1CF1ZO'!$J$6:$J$2989,"&gt;="&amp;O7,'1CF1ZO'!$J$6:$J$2989,"&lt;="&amp;EOMONTH(O7,0),'1CF1ZO'!$L$6:$L$2989,$B$25)+SUMIFS('1UK1BK'!$K$6:$K$2989,'1UK1BK'!$J$6:$J$2989,"&gt;="&amp;O7,'1UK1BK'!$J$6:$J$2989,"&lt;="&amp;EOMONTH(O7,0),'1UK1BK'!$L$6:$L$2989,$B$25)</f>
        <v>#REF!</v>
      </c>
      <c r="P25" s="110" t="e">
        <f>SUMIFS('CEI565'!$K$6:$K$2990,'CEI565'!$J$6:$J$2990,"&gt;="&amp;P7,'CEI565'!$J$6:$J$2990,"&lt;="&amp;EOMONTH(P7,0),'CEI565'!$L$6:$L$2990,$B$25)+SUMIFS('1SM3VL'!$K$6:$K$2990,'1SM3VL'!$J$6:$J$2990,"&gt;="&amp;P7,'1SM3VL'!$J$6:$J$2990,"&lt;="&amp;EOMONTH(P7,0),'1SM3VL'!$L$6:$L$2990,$B$25)+SUMIFS('1QF4SM'!$K$6:$K$2989,'1QF4SM'!$J$6:$J$2989,"&gt;="&amp;P7,'1QF4SM'!$J$6:$J$2989,"&lt;="&amp;EOMONTH(P7,0),'1QF4SM'!$L$6:$L$2989,$B$25)+SUMIFS('1UV5KI'!$K$6:$K$2989,'1UV5KI'!$J$6:$J$2989,"&gt;="&amp;P7,'1UV5KI'!$J$6:$J$2989,"&lt;="&amp;EOMONTH(P7,0),'1UV5KI'!$L$6:$L$2989,$B$25)+SUMIFS(#REF!,#REF!,"&gt;="&amp;P7,#REF!,"&lt;="&amp;EOMONTH(P7,0),#REF!,$B$25)+SUMIFS('1UL9RY'!$K$6:$K$2990,'1UL9RY'!$J$6:$J$2990,"&gt;="&amp;P7,'1UL9RY'!$J$6:$J$2990,"&lt;="&amp;EOMONTH(P7,0),'1UL9RY'!$L$6:$L$2990,$B$25)+SUMIFS('1OZ7GT'!$K$6:$K$2989,'1OZ7GT'!$J$6:$J$2989,"&gt;="&amp;P7,'1OZ7GT'!$J$6:$J$2989,"&lt;="&amp;EOMONTH(P7,0),'1OZ7GT'!$L$6:$L$2989,$B$25)+SUMIFS('1CN8DD'!$K$6:$K$2989,'1CN8DD'!$J$6:$J$2989,"&gt;="&amp;P7,'1CN8DD'!$J$6:$J$2989,"&lt;="&amp;EOMONTH(P7,0),'1CN8DD'!$L$6:$L$2989,$B$25)+SUMIFS('1UT9BR'!$K$6:$K$2990,'1UT9BR'!$J$6:$J$2990,"&gt;="&amp;P7,'1UT9BR'!$J$6:$J$2990,"&lt;="&amp;EOMONTH(P7,0),'1UT9BR'!$L$6:$L$2990,$B$25)+SUMIFS('1MK4UR'!$K$6:$K$2990,'1MK4UR'!$J$6:$J$2990,"&gt;="&amp;P7,'1MK4UR'!$J$6:$J$2990,"&lt;="&amp;EOMONTH(P7,0),'1MK4UR'!$L$6:$L$2990,$B$25)+SUMIFS(#REF!,#REF!,"&gt;="&amp;P7,#REF!,"&lt;="&amp;EOMONTH(P7,0),#REF!,$B$25)+SUMIFS('1JI2UE'!$K$6:$K$2989,'1JI2UE'!$J$6:$J$2989,"&gt;="&amp;P7,'1JI2UE'!$J$6:$J$2989,"&lt;="&amp;EOMONTH(P7,0),'1JI2UE'!$L$6:$L$2989,$B$25)+SUMIFS(#REF!,#REF!,"&gt;="&amp;P7,#REF!,"&lt;="&amp;EOMONTH(P7,0),#REF!,$B$25)+SUMIFS('1SI9BW'!$K$6:$K$2989,'1SI9BW'!$J$6:$J$2989,"&gt;="&amp;P7,'1SI9BW'!$J$6:$J$2989,"&lt;="&amp;EOMONTH(P7,0),'1SI9BW'!$L$6:$L$2989,$B$25)+SUMIFS(Suzuki!$K$6:$K$2989,Suzuki!$J$6:$J$2989,"&gt;="&amp;P7,Suzuki!$J$6:$J$2989,"&lt;="&amp;EOMONTH(P7,0),Suzuki!$L$6:$L$2989,$B$25)+SUMIFS('1SK3DD'!$K$6:$K$2989,'1SK3DD'!$J$6:$J$2989,"&gt;="&amp;P7,'1SK3DD'!$J$6:$J$2989,"&lt;="&amp;EOMONTH(P7,0),'1SK3DD'!$L$6:$L$2989,$B$25)+SUMIFS('1SX5TQ'!$K$6:$K$2989,'1SX5TQ'!$J$6:$J$2989,"&gt;="&amp;P7,'1SX5TQ'!$J$6:$J$2989,"&lt;="&amp;EOMONTH(P7,0),'1SX5TQ'!$L$6:$L$2989,$B$25)+SUMIFS('BMM465'!$K$6:$K$2989,'BMM465'!$J$6:$J$2989,"&gt;="&amp;P7,'BMM465'!$J$6:$J$2989,"&lt;="&amp;EOMONTH(P7,0),'BMM465'!$L$6:$L$2989,$B$25)+SUMIFS('1CF1ZO'!$K$6:$K$2989,'1CF1ZO'!$J$6:$J$2989,"&gt;="&amp;P7,'1CF1ZO'!$J$6:$J$2989,"&lt;="&amp;EOMONTH(P7,0),'1CF1ZO'!$L$6:$L$2989,$B$25)+SUMIFS('1UK1BK'!$K$6:$K$2989,'1UK1BK'!$J$6:$J$2989,"&gt;="&amp;P7,'1UK1BK'!$J$6:$J$2989,"&lt;="&amp;EOMONTH(P7,0),'1UK1BK'!$L$6:$L$2989,$B$25)</f>
        <v>#REF!</v>
      </c>
      <c r="Q25" s="110" t="e">
        <f>SUMIFS('CEI565'!$K$6:$K$2990,'CEI565'!$J$6:$J$2990,"&gt;="&amp;Q7,'CEI565'!$J$6:$J$2990,"&lt;="&amp;EOMONTH(Q7,0),'CEI565'!$L$6:$L$2990,$B$25)+SUMIFS('1SM3VL'!$K$6:$K$2990,'1SM3VL'!$J$6:$J$2990,"&gt;="&amp;Q7,'1SM3VL'!$J$6:$J$2990,"&lt;="&amp;EOMONTH(Q7,0),'1SM3VL'!$L$6:$L$2990,$B$25)+SUMIFS('1QF4SM'!$K$6:$K$2989,'1QF4SM'!$J$6:$J$2989,"&gt;="&amp;Q7,'1QF4SM'!$J$6:$J$2989,"&lt;="&amp;EOMONTH(Q7,0),'1QF4SM'!$L$6:$L$2989,$B$25)+SUMIFS('1UV5KI'!$K$6:$K$2989,'1UV5KI'!$J$6:$J$2989,"&gt;="&amp;Q7,'1UV5KI'!$J$6:$J$2989,"&lt;="&amp;EOMONTH(Q7,0),'1UV5KI'!$L$6:$L$2989,$B$25)+SUMIFS(#REF!,#REF!,"&gt;="&amp;Q7,#REF!,"&lt;="&amp;EOMONTH(Q7,0),#REF!,$B$25)+SUMIFS('1UL9RY'!$K$6:$K$2990,'1UL9RY'!$J$6:$J$2990,"&gt;="&amp;Q7,'1UL9RY'!$J$6:$J$2990,"&lt;="&amp;EOMONTH(Q7,0),'1UL9RY'!$L$6:$L$2990,$B$25)+SUMIFS('1OZ7GT'!$K$6:$K$2989,'1OZ7GT'!$J$6:$J$2989,"&gt;="&amp;Q7,'1OZ7GT'!$J$6:$J$2989,"&lt;="&amp;EOMONTH(Q7,0),'1OZ7GT'!$L$6:$L$2989,$B$25)+SUMIFS('1CN8DD'!$K$6:$K$2989,'1CN8DD'!$J$6:$J$2989,"&gt;="&amp;Q7,'1CN8DD'!$J$6:$J$2989,"&lt;="&amp;EOMONTH(Q7,0),'1CN8DD'!$L$6:$L$2989,$B$25)+SUMIFS('1UT9BR'!$K$6:$K$2990,'1UT9BR'!$J$6:$J$2990,"&gt;="&amp;Q7,'1UT9BR'!$J$6:$J$2990,"&lt;="&amp;EOMONTH(Q7,0),'1UT9BR'!$L$6:$L$2990,$B$25)+SUMIFS('1MK4UR'!$K$6:$K$2990,'1MK4UR'!$J$6:$J$2990,"&gt;="&amp;Q7,'1MK4UR'!$J$6:$J$2990,"&lt;="&amp;EOMONTH(Q7,0),'1MK4UR'!$L$6:$L$2990,$B$25)+SUMIFS(#REF!,#REF!,"&gt;="&amp;Q7,#REF!,"&lt;="&amp;EOMONTH(Q7,0),#REF!,$B$25)+SUMIFS('1JI2UE'!$K$6:$K$2989,'1JI2UE'!$J$6:$J$2989,"&gt;="&amp;Q7,'1JI2UE'!$J$6:$J$2989,"&lt;="&amp;EOMONTH(Q7,0),'1JI2UE'!$L$6:$L$2989,$B$25)+SUMIFS(#REF!,#REF!,"&gt;="&amp;Q7,#REF!,"&lt;="&amp;EOMONTH(Q7,0),#REF!,$B$25)+SUMIFS('1SI9BW'!$K$6:$K$2989,'1SI9BW'!$J$6:$J$2989,"&gt;="&amp;Q7,'1SI9BW'!$J$6:$J$2989,"&lt;="&amp;EOMONTH(Q7,0),'1SI9BW'!$L$6:$L$2989,$B$25)+SUMIFS(Suzuki!$K$6:$K$2989,Suzuki!$J$6:$J$2989,"&gt;="&amp;Q7,Suzuki!$J$6:$J$2989,"&lt;="&amp;EOMONTH(Q7,0),Suzuki!$L$6:$L$2989,$B$25)+SUMIFS('1SK3DD'!$K$6:$K$2989,'1SK3DD'!$J$6:$J$2989,"&gt;="&amp;Q7,'1SK3DD'!$J$6:$J$2989,"&lt;="&amp;EOMONTH(Q7,0),'1SK3DD'!$L$6:$L$2989,$B$25)+SUMIFS('1SX5TQ'!$K$6:$K$2989,'1SX5TQ'!$J$6:$J$2989,"&gt;="&amp;Q7,'1SX5TQ'!$J$6:$J$2989,"&lt;="&amp;EOMONTH(Q7,0),'1SX5TQ'!$L$6:$L$2989,$B$25)+SUMIFS('BMM465'!$K$6:$K$2989,'BMM465'!$J$6:$J$2989,"&gt;="&amp;Q7,'BMM465'!$J$6:$J$2989,"&lt;="&amp;EOMONTH(Q7,0),'BMM465'!$L$6:$L$2989,$B$25)+SUMIFS('1CF1ZO'!$K$6:$K$2989,'1CF1ZO'!$J$6:$J$2989,"&gt;="&amp;Q7,'1CF1ZO'!$J$6:$J$2989,"&lt;="&amp;EOMONTH(Q7,0),'1CF1ZO'!$L$6:$L$2989,$B$25)+SUMIFS('1UK1BK'!$K$6:$K$2989,'1UK1BK'!$J$6:$J$2989,"&gt;="&amp;Q7,'1UK1BK'!$J$6:$J$2989,"&lt;="&amp;EOMONTH(Q7,0),'1UK1BK'!$L$6:$L$2989,$B$25)</f>
        <v>#REF!</v>
      </c>
      <c r="R25" s="110" t="e">
        <f>SUMIFS('CEI565'!$K$6:$K$2990,'CEI565'!$J$6:$J$2990,"&gt;="&amp;R7,'CEI565'!$J$6:$J$2990,"&lt;="&amp;EOMONTH(R7,0),'CEI565'!$L$6:$L$2990,$B$25)+SUMIFS('1SM3VL'!$K$6:$K$2990,'1SM3VL'!$J$6:$J$2990,"&gt;="&amp;R7,'1SM3VL'!$J$6:$J$2990,"&lt;="&amp;EOMONTH(R7,0),'1SM3VL'!$L$6:$L$2990,$B$25)+SUMIFS('1QF4SM'!$K$6:$K$2989,'1QF4SM'!$J$6:$J$2989,"&gt;="&amp;R7,'1QF4SM'!$J$6:$J$2989,"&lt;="&amp;EOMONTH(R7,0),'1QF4SM'!$L$6:$L$2989,$B$25)+SUMIFS('1UV5KI'!$K$6:$K$2989,'1UV5KI'!$J$6:$J$2989,"&gt;="&amp;R7,'1UV5KI'!$J$6:$J$2989,"&lt;="&amp;EOMONTH(R7,0),'1UV5KI'!$L$6:$L$2989,$B$25)+SUMIFS(#REF!,#REF!,"&gt;="&amp;R7,#REF!,"&lt;="&amp;EOMONTH(R7,0),#REF!,$B$25)+SUMIFS('1UL9RY'!$K$6:$K$2990,'1UL9RY'!$J$6:$J$2990,"&gt;="&amp;R7,'1UL9RY'!$J$6:$J$2990,"&lt;="&amp;EOMONTH(R7,0),'1UL9RY'!$L$6:$L$2990,$B$25)+SUMIFS('1OZ7GT'!$K$6:$K$2989,'1OZ7GT'!$J$6:$J$2989,"&gt;="&amp;R7,'1OZ7GT'!$J$6:$J$2989,"&lt;="&amp;EOMONTH(R7,0),'1OZ7GT'!$L$6:$L$2989,$B$25)+SUMIFS('1CN8DD'!$K$6:$K$2989,'1CN8DD'!$J$6:$J$2989,"&gt;="&amp;R7,'1CN8DD'!$J$6:$J$2989,"&lt;="&amp;EOMONTH(R7,0),'1CN8DD'!$L$6:$L$2989,$B$25)+SUMIFS('1UT9BR'!$K$6:$K$2990,'1UT9BR'!$J$6:$J$2990,"&gt;="&amp;R7,'1UT9BR'!$J$6:$J$2990,"&lt;="&amp;EOMONTH(R7,0),'1UT9BR'!$L$6:$L$2990,$B$25)+SUMIFS('1MK4UR'!$K$6:$K$2990,'1MK4UR'!$J$6:$J$2990,"&gt;="&amp;R7,'1MK4UR'!$J$6:$J$2990,"&lt;="&amp;EOMONTH(R7,0),'1MK4UR'!$L$6:$L$2990,$B$25)+SUMIFS(#REF!,#REF!,"&gt;="&amp;R7,#REF!,"&lt;="&amp;EOMONTH(R7,0),#REF!,$B$25)+SUMIFS('1JI2UE'!$K$6:$K$2989,'1JI2UE'!$J$6:$J$2989,"&gt;="&amp;R7,'1JI2UE'!$J$6:$J$2989,"&lt;="&amp;EOMONTH(R7,0),'1JI2UE'!$L$6:$L$2989,$B$25)+SUMIFS(#REF!,#REF!,"&gt;="&amp;R7,#REF!,"&lt;="&amp;EOMONTH(R7,0),#REF!,$B$25)+SUMIFS('1SI9BW'!$K$6:$K$2989,'1SI9BW'!$J$6:$J$2989,"&gt;="&amp;R7,'1SI9BW'!$J$6:$J$2989,"&lt;="&amp;EOMONTH(R7,0),'1SI9BW'!$L$6:$L$2989,$B$25)+SUMIFS(Suzuki!$K$6:$K$2989,Suzuki!$J$6:$J$2989,"&gt;="&amp;R7,Suzuki!$J$6:$J$2989,"&lt;="&amp;EOMONTH(R7,0),Suzuki!$L$6:$L$2989,$B$25)+SUMIFS('1SK3DD'!$K$6:$K$2989,'1SK3DD'!$J$6:$J$2989,"&gt;="&amp;R7,'1SK3DD'!$J$6:$J$2989,"&lt;="&amp;EOMONTH(R7,0),'1SK3DD'!$L$6:$L$2989,$B$25)+SUMIFS('1SX5TQ'!$K$6:$K$2989,'1SX5TQ'!$J$6:$J$2989,"&gt;="&amp;R7,'1SX5TQ'!$J$6:$J$2989,"&lt;="&amp;EOMONTH(R7,0),'1SX5TQ'!$L$6:$L$2989,$B$25)+SUMIFS('BMM465'!$K$6:$K$2989,'BMM465'!$J$6:$J$2989,"&gt;="&amp;R7,'BMM465'!$J$6:$J$2989,"&lt;="&amp;EOMONTH(R7,0),'BMM465'!$L$6:$L$2989,$B$25)+SUMIFS('1CF1ZO'!$K$6:$K$2989,'1CF1ZO'!$J$6:$J$2989,"&gt;="&amp;R7,'1CF1ZO'!$J$6:$J$2989,"&lt;="&amp;EOMONTH(R7,0),'1CF1ZO'!$L$6:$L$2989,$B$25)+SUMIFS('1UK1BK'!$K$6:$K$2989,'1UK1BK'!$J$6:$J$2989,"&gt;="&amp;R7,'1UK1BK'!$J$6:$J$2989,"&lt;="&amp;EOMONTH(R7,0),'1UK1BK'!$L$6:$L$2989,$B$25)</f>
        <v>#REF!</v>
      </c>
      <c r="S25" s="110" t="e">
        <f>SUMIFS('CEI565'!$K$6:$K$2990,'CEI565'!$J$6:$J$2990,"&gt;="&amp;S7,'CEI565'!$J$6:$J$2990,"&lt;="&amp;EOMONTH(S7,0),'CEI565'!$L$6:$L$2990,$B$25)+SUMIFS('1SM3VL'!$K$6:$K$2990,'1SM3VL'!$J$6:$J$2990,"&gt;="&amp;S7,'1SM3VL'!$J$6:$J$2990,"&lt;="&amp;EOMONTH(S7,0),'1SM3VL'!$L$6:$L$2990,$B$25)+SUMIFS('1QF4SM'!$K$6:$K$2989,'1QF4SM'!$J$6:$J$2989,"&gt;="&amp;S7,'1QF4SM'!$J$6:$J$2989,"&lt;="&amp;EOMONTH(S7,0),'1QF4SM'!$L$6:$L$2989,$B$25)+SUMIFS('1UV5KI'!$K$6:$K$2989,'1UV5KI'!$J$6:$J$2989,"&gt;="&amp;S7,'1UV5KI'!$J$6:$J$2989,"&lt;="&amp;EOMONTH(S7,0),'1UV5KI'!$L$6:$L$2989,$B$25)+SUMIFS(#REF!,#REF!,"&gt;="&amp;S7,#REF!,"&lt;="&amp;EOMONTH(S7,0),#REF!,$B$25)+SUMIFS('1UL9RY'!$K$6:$K$2990,'1UL9RY'!$J$6:$J$2990,"&gt;="&amp;S7,'1UL9RY'!$J$6:$J$2990,"&lt;="&amp;EOMONTH(S7,0),'1UL9RY'!$L$6:$L$2990,$B$25)+SUMIFS('1OZ7GT'!$K$6:$K$2989,'1OZ7GT'!$J$6:$J$2989,"&gt;="&amp;S7,'1OZ7GT'!$J$6:$J$2989,"&lt;="&amp;EOMONTH(S7,0),'1OZ7GT'!$L$6:$L$2989,$B$25)+SUMIFS('1CN8DD'!$K$6:$K$2989,'1CN8DD'!$J$6:$J$2989,"&gt;="&amp;S7,'1CN8DD'!$J$6:$J$2989,"&lt;="&amp;EOMONTH(S7,0),'1CN8DD'!$L$6:$L$2989,$B$25)+SUMIFS('1UT9BR'!$K$6:$K$2990,'1UT9BR'!$J$6:$J$2990,"&gt;="&amp;S7,'1UT9BR'!$J$6:$J$2990,"&lt;="&amp;EOMONTH(S7,0),'1UT9BR'!$L$6:$L$2990,$B$25)+SUMIFS('1MK4UR'!$K$6:$K$2990,'1MK4UR'!$J$6:$J$2990,"&gt;="&amp;S7,'1MK4UR'!$J$6:$J$2990,"&lt;="&amp;EOMONTH(S7,0),'1MK4UR'!$L$6:$L$2990,$B$25)+SUMIFS(#REF!,#REF!,"&gt;="&amp;S7,#REF!,"&lt;="&amp;EOMONTH(S7,0),#REF!,$B$25)+SUMIFS('1JI2UE'!$K$6:$K$2989,'1JI2UE'!$J$6:$J$2989,"&gt;="&amp;S7,'1JI2UE'!$J$6:$J$2989,"&lt;="&amp;EOMONTH(S7,0),'1JI2UE'!$L$6:$L$2989,$B$25)+SUMIFS(#REF!,#REF!,"&gt;="&amp;S7,#REF!,"&lt;="&amp;EOMONTH(S7,0),#REF!,$B$25)+SUMIFS('1SI9BW'!$K$6:$K$2989,'1SI9BW'!$J$6:$J$2989,"&gt;="&amp;S7,'1SI9BW'!$J$6:$J$2989,"&lt;="&amp;EOMONTH(S7,0),'1SI9BW'!$L$6:$L$2989,$B$25)+SUMIFS(Suzuki!$K$6:$K$2989,Suzuki!$J$6:$J$2989,"&gt;="&amp;S7,Suzuki!$J$6:$J$2989,"&lt;="&amp;EOMONTH(S7,0),Suzuki!$L$6:$L$2989,$B$25)+SUMIFS('1SK3DD'!$K$6:$K$2989,'1SK3DD'!$J$6:$J$2989,"&gt;="&amp;S7,'1SK3DD'!$J$6:$J$2989,"&lt;="&amp;EOMONTH(S7,0),'1SK3DD'!$L$6:$L$2989,$B$25)+SUMIFS('1SX5TQ'!$K$6:$K$2989,'1SX5TQ'!$J$6:$J$2989,"&gt;="&amp;S7,'1SX5TQ'!$J$6:$J$2989,"&lt;="&amp;EOMONTH(S7,0),'1SX5TQ'!$L$6:$L$2989,$B$25)+SUMIFS('BMM465'!$K$6:$K$2989,'BMM465'!$J$6:$J$2989,"&gt;="&amp;S7,'BMM465'!$J$6:$J$2989,"&lt;="&amp;EOMONTH(S7,0),'BMM465'!$L$6:$L$2989,$B$25)+SUMIFS('1CF1ZO'!$K$6:$K$2989,'1CF1ZO'!$J$6:$J$2989,"&gt;="&amp;S7,'1CF1ZO'!$J$6:$J$2989,"&lt;="&amp;EOMONTH(S7,0),'1CF1ZO'!$L$6:$L$2989,$B$25)+SUMIFS('1UK1BK'!$K$6:$K$2989,'1UK1BK'!$J$6:$J$2989,"&gt;="&amp;S7,'1UK1BK'!$J$6:$J$2989,"&lt;="&amp;EOMONTH(S7,0),'1UK1BK'!$L$6:$L$2989,$B$25)</f>
        <v>#REF!</v>
      </c>
      <c r="T25" s="110" t="e">
        <f>SUMIFS('CEI565'!$K$6:$K$2990,'CEI565'!$J$6:$J$2990,"&gt;="&amp;T7,'CEI565'!$J$6:$J$2990,"&lt;="&amp;EOMONTH(T7,0),'CEI565'!$L$6:$L$2990,$B$25)+SUMIFS('1SM3VL'!$K$6:$K$2990,'1SM3VL'!$J$6:$J$2990,"&gt;="&amp;T7,'1SM3VL'!$J$6:$J$2990,"&lt;="&amp;EOMONTH(T7,0),'1SM3VL'!$L$6:$L$2990,$B$25)+SUMIFS('1QF4SM'!$K$6:$K$2989,'1QF4SM'!$J$6:$J$2989,"&gt;="&amp;T7,'1QF4SM'!$J$6:$J$2989,"&lt;="&amp;EOMONTH(T7,0),'1QF4SM'!$L$6:$L$2989,$B$25)+SUMIFS('1UV5KI'!$K$6:$K$2989,'1UV5KI'!$J$6:$J$2989,"&gt;="&amp;T7,'1UV5KI'!$J$6:$J$2989,"&lt;="&amp;EOMONTH(T7,0),'1UV5KI'!$L$6:$L$2989,$B$25)+SUMIFS(#REF!,#REF!,"&gt;="&amp;T7,#REF!,"&lt;="&amp;EOMONTH(T7,0),#REF!,$B$25)+SUMIFS('1UL9RY'!$K$6:$K$2990,'1UL9RY'!$J$6:$J$2990,"&gt;="&amp;T7,'1UL9RY'!$J$6:$J$2990,"&lt;="&amp;EOMONTH(T7,0),'1UL9RY'!$L$6:$L$2990,$B$25)+SUMIFS('1OZ7GT'!$K$6:$K$2989,'1OZ7GT'!$J$6:$J$2989,"&gt;="&amp;T7,'1OZ7GT'!$J$6:$J$2989,"&lt;="&amp;EOMONTH(T7,0),'1OZ7GT'!$L$6:$L$2989,$B$25)+SUMIFS('1CN8DD'!$K$6:$K$2989,'1CN8DD'!$J$6:$J$2989,"&gt;="&amp;T7,'1CN8DD'!$J$6:$J$2989,"&lt;="&amp;EOMONTH(T7,0),'1CN8DD'!$L$6:$L$2989,$B$25)+SUMIFS('1UT9BR'!$K$6:$K$2990,'1UT9BR'!$J$6:$J$2990,"&gt;="&amp;T7,'1UT9BR'!$J$6:$J$2990,"&lt;="&amp;EOMONTH(T7,0),'1UT9BR'!$L$6:$L$2990,$B$25)+SUMIFS('1MK4UR'!$K$6:$K$2990,'1MK4UR'!$J$6:$J$2990,"&gt;="&amp;T7,'1MK4UR'!$J$6:$J$2990,"&lt;="&amp;EOMONTH(T7,0),'1MK4UR'!$L$6:$L$2990,$B$25)+SUMIFS(#REF!,#REF!,"&gt;="&amp;T7,#REF!,"&lt;="&amp;EOMONTH(T7,0),#REF!,$B$25)+SUMIFS('1JI2UE'!$K$6:$K$2989,'1JI2UE'!$J$6:$J$2989,"&gt;="&amp;T7,'1JI2UE'!$J$6:$J$2989,"&lt;="&amp;EOMONTH(T7,0),'1JI2UE'!$L$6:$L$2989,$B$25)+SUMIFS(#REF!,#REF!,"&gt;="&amp;T7,#REF!,"&lt;="&amp;EOMONTH(T7,0),#REF!,$B$25)+SUMIFS('1SI9BW'!$K$6:$K$2989,'1SI9BW'!$J$6:$J$2989,"&gt;="&amp;T7,'1SI9BW'!$J$6:$J$2989,"&lt;="&amp;EOMONTH(T7,0),'1SI9BW'!$L$6:$L$2989,$B$25)+SUMIFS(Suzuki!$K$6:$K$2989,Suzuki!$J$6:$J$2989,"&gt;="&amp;T7,Suzuki!$J$6:$J$2989,"&lt;="&amp;EOMONTH(T7,0),Suzuki!$L$6:$L$2989,$B$25)+SUMIFS('1SK3DD'!$K$6:$K$2989,'1SK3DD'!$J$6:$J$2989,"&gt;="&amp;T7,'1SK3DD'!$J$6:$J$2989,"&lt;="&amp;EOMONTH(T7,0),'1SK3DD'!$L$6:$L$2989,$B$25)+SUMIFS('1SX5TQ'!$K$6:$K$2989,'1SX5TQ'!$J$6:$J$2989,"&gt;="&amp;T7,'1SX5TQ'!$J$6:$J$2989,"&lt;="&amp;EOMONTH(T7,0),'1SX5TQ'!$L$6:$L$2989,$B$25)+SUMIFS('BMM465'!$K$6:$K$2989,'BMM465'!$J$6:$J$2989,"&gt;="&amp;T7,'BMM465'!$J$6:$J$2989,"&lt;="&amp;EOMONTH(T7,0),'BMM465'!$L$6:$L$2989,$B$25)+SUMIFS('1CF1ZO'!$K$6:$K$2989,'1CF1ZO'!$J$6:$J$2989,"&gt;="&amp;T7,'1CF1ZO'!$J$6:$J$2989,"&lt;="&amp;EOMONTH(T7,0),'1CF1ZO'!$L$6:$L$2989,$B$25)+SUMIFS('1UK1BK'!$K$6:$K$2989,'1UK1BK'!$J$6:$J$2989,"&gt;="&amp;T7,'1UK1BK'!$J$6:$J$2989,"&lt;="&amp;EOMONTH(T7,0),'1UK1BK'!$L$6:$L$2989,$B$25)</f>
        <v>#REF!</v>
      </c>
      <c r="U25" s="110" t="e">
        <f>SUMIFS('CEI565'!$K$6:$K$2990,'CEI565'!$J$6:$J$2990,"&gt;="&amp;U7,'CEI565'!$J$6:$J$2990,"&lt;="&amp;EOMONTH(U7,0),'CEI565'!$L$6:$L$2990,$B$25)+SUMIFS('1SM3VL'!$K$6:$K$2990,'1SM3VL'!$J$6:$J$2990,"&gt;="&amp;U7,'1SM3VL'!$J$6:$J$2990,"&lt;="&amp;EOMONTH(U7,0),'1SM3VL'!$L$6:$L$2990,$B$25)+SUMIFS('1QF4SM'!$K$6:$K$2989,'1QF4SM'!$J$6:$J$2989,"&gt;="&amp;U7,'1QF4SM'!$J$6:$J$2989,"&lt;="&amp;EOMONTH(U7,0),'1QF4SM'!$L$6:$L$2989,$B$25)+SUMIFS('1UV5KI'!$K$6:$K$2989,'1UV5KI'!$J$6:$J$2989,"&gt;="&amp;U7,'1UV5KI'!$J$6:$J$2989,"&lt;="&amp;EOMONTH(U7,0),'1UV5KI'!$L$6:$L$2989,$B$25)+SUMIFS(#REF!,#REF!,"&gt;="&amp;U7,#REF!,"&lt;="&amp;EOMONTH(U7,0),#REF!,$B$25)+SUMIFS('1UL9RY'!$K$6:$K$2990,'1UL9RY'!$J$6:$J$2990,"&gt;="&amp;U7,'1UL9RY'!$J$6:$J$2990,"&lt;="&amp;EOMONTH(U7,0),'1UL9RY'!$L$6:$L$2990,$B$25)+SUMIFS('1OZ7GT'!$K$6:$K$2989,'1OZ7GT'!$J$6:$J$2989,"&gt;="&amp;U7,'1OZ7GT'!$J$6:$J$2989,"&lt;="&amp;EOMONTH(U7,0),'1OZ7GT'!$L$6:$L$2989,$B$25)+SUMIFS('1CN8DD'!$K$6:$K$2989,'1CN8DD'!$J$6:$J$2989,"&gt;="&amp;U7,'1CN8DD'!$J$6:$J$2989,"&lt;="&amp;EOMONTH(U7,0),'1CN8DD'!$L$6:$L$2989,$B$25)+SUMIFS('1UT9BR'!$K$6:$K$2990,'1UT9BR'!$J$6:$J$2990,"&gt;="&amp;U7,'1UT9BR'!$J$6:$J$2990,"&lt;="&amp;EOMONTH(U7,0),'1UT9BR'!$L$6:$L$2990,$B$25)+SUMIFS('1MK4UR'!$K$6:$K$2990,'1MK4UR'!$J$6:$J$2990,"&gt;="&amp;U7,'1MK4UR'!$J$6:$J$2990,"&lt;="&amp;EOMONTH(U7,0),'1MK4UR'!$L$6:$L$2990,$B$25)+SUMIFS(#REF!,#REF!,"&gt;="&amp;U7,#REF!,"&lt;="&amp;EOMONTH(U7,0),#REF!,$B$25)+SUMIFS('1JI2UE'!$K$6:$K$2989,'1JI2UE'!$J$6:$J$2989,"&gt;="&amp;U7,'1JI2UE'!$J$6:$J$2989,"&lt;="&amp;EOMONTH(U7,0),'1JI2UE'!$L$6:$L$2989,$B$25)+SUMIFS(#REF!,#REF!,"&gt;="&amp;U7,#REF!,"&lt;="&amp;EOMONTH(U7,0),#REF!,$B$25)+SUMIFS('1SI9BW'!$K$6:$K$2989,'1SI9BW'!$J$6:$J$2989,"&gt;="&amp;U7,'1SI9BW'!$J$6:$J$2989,"&lt;="&amp;EOMONTH(U7,0),'1SI9BW'!$L$6:$L$2989,$B$25)+SUMIFS(Suzuki!$K$6:$K$2989,Suzuki!$J$6:$J$2989,"&gt;="&amp;U7,Suzuki!$J$6:$J$2989,"&lt;="&amp;EOMONTH(U7,0),Suzuki!$L$6:$L$2989,$B$25)+SUMIFS('1SK3DD'!$K$6:$K$2989,'1SK3DD'!$J$6:$J$2989,"&gt;="&amp;U7,'1SK3DD'!$J$6:$J$2989,"&lt;="&amp;EOMONTH(U7,0),'1SK3DD'!$L$6:$L$2989,$B$25)+SUMIFS('1SX5TQ'!$K$6:$K$2989,'1SX5TQ'!$J$6:$J$2989,"&gt;="&amp;U7,'1SX5TQ'!$J$6:$J$2989,"&lt;="&amp;EOMONTH(U7,0),'1SX5TQ'!$L$6:$L$2989,$B$25)+SUMIFS('BMM465'!$K$6:$K$2989,'BMM465'!$J$6:$J$2989,"&gt;="&amp;U7,'BMM465'!$J$6:$J$2989,"&lt;="&amp;EOMONTH(U7,0),'BMM465'!$L$6:$L$2989,$B$25)+SUMIFS('1CF1ZO'!$K$6:$K$2989,'1CF1ZO'!$J$6:$J$2989,"&gt;="&amp;U7,'1CF1ZO'!$J$6:$J$2989,"&lt;="&amp;EOMONTH(U7,0),'1CF1ZO'!$L$6:$L$2989,$B$25)+SUMIFS('1UK1BK'!$K$6:$K$2989,'1UK1BK'!$J$6:$J$2989,"&gt;="&amp;U7,'1UK1BK'!$J$6:$J$2989,"&lt;="&amp;EOMONTH(U7,0),'1UK1BK'!$L$6:$L$2989,$B$25)</f>
        <v>#REF!</v>
      </c>
      <c r="V25" s="110" t="e">
        <f>SUMIFS('CEI565'!$K$6:$K$2990,'CEI565'!$J$6:$J$2990,"&gt;="&amp;V7,'CEI565'!$J$6:$J$2990,"&lt;="&amp;EOMONTH(V7,0),'CEI565'!$L$6:$L$2990,$B$25)+SUMIFS('1SM3VL'!$K$6:$K$2990,'1SM3VL'!$J$6:$J$2990,"&gt;="&amp;V7,'1SM3VL'!$J$6:$J$2990,"&lt;="&amp;EOMONTH(V7,0),'1SM3VL'!$L$6:$L$2990,$B$25)+SUMIFS('1QF4SM'!$K$6:$K$2989,'1QF4SM'!$J$6:$J$2989,"&gt;="&amp;V7,'1QF4SM'!$J$6:$J$2989,"&lt;="&amp;EOMONTH(V7,0),'1QF4SM'!$L$6:$L$2989,$B$25)+SUMIFS('1UV5KI'!$K$6:$K$2989,'1UV5KI'!$J$6:$J$2989,"&gt;="&amp;V7,'1UV5KI'!$J$6:$J$2989,"&lt;="&amp;EOMONTH(V7,0),'1UV5KI'!$L$6:$L$2989,$B$25)+SUMIFS(#REF!,#REF!,"&gt;="&amp;V7,#REF!,"&lt;="&amp;EOMONTH(V7,0),#REF!,$B$25)+SUMIFS('1UL9RY'!$K$6:$K$2990,'1UL9RY'!$J$6:$J$2990,"&gt;="&amp;V7,'1UL9RY'!$J$6:$J$2990,"&lt;="&amp;EOMONTH(V7,0),'1UL9RY'!$L$6:$L$2990,$B$25)+SUMIFS('1OZ7GT'!$K$6:$K$2989,'1OZ7GT'!$J$6:$J$2989,"&gt;="&amp;V7,'1OZ7GT'!$J$6:$J$2989,"&lt;="&amp;EOMONTH(V7,0),'1OZ7GT'!$L$6:$L$2989,$B$25)+SUMIFS('1CN8DD'!$K$6:$K$2989,'1CN8DD'!$J$6:$J$2989,"&gt;="&amp;V7,'1CN8DD'!$J$6:$J$2989,"&lt;="&amp;EOMONTH(V7,0),'1CN8DD'!$L$6:$L$2989,$B$25)+SUMIFS('1UT9BR'!$K$6:$K$2990,'1UT9BR'!$J$6:$J$2990,"&gt;="&amp;V7,'1UT9BR'!$J$6:$J$2990,"&lt;="&amp;EOMONTH(V7,0),'1UT9BR'!$L$6:$L$2990,$B$25)+SUMIFS('1MK4UR'!$K$6:$K$2990,'1MK4UR'!$J$6:$J$2990,"&gt;="&amp;V7,'1MK4UR'!$J$6:$J$2990,"&lt;="&amp;EOMONTH(V7,0),'1MK4UR'!$L$6:$L$2990,$B$25)+SUMIFS(#REF!,#REF!,"&gt;="&amp;V7,#REF!,"&lt;="&amp;EOMONTH(V7,0),#REF!,$B$25)+SUMIFS('1JI2UE'!$K$6:$K$2989,'1JI2UE'!$J$6:$J$2989,"&gt;="&amp;V7,'1JI2UE'!$J$6:$J$2989,"&lt;="&amp;EOMONTH(V7,0),'1JI2UE'!$L$6:$L$2989,$B$25)+SUMIFS(#REF!,#REF!,"&gt;="&amp;V7,#REF!,"&lt;="&amp;EOMONTH(V7,0),#REF!,$B$25)+SUMIFS('1SI9BW'!$K$6:$K$2989,'1SI9BW'!$J$6:$J$2989,"&gt;="&amp;V7,'1SI9BW'!$J$6:$J$2989,"&lt;="&amp;EOMONTH(V7,0),'1SI9BW'!$L$6:$L$2989,$B$25)+SUMIFS(Suzuki!$K$6:$K$2989,Suzuki!$J$6:$J$2989,"&gt;="&amp;V7,Suzuki!$J$6:$J$2989,"&lt;="&amp;EOMONTH(V7,0),Suzuki!$L$6:$L$2989,$B$25)+SUMIFS('1SK3DD'!$K$6:$K$2989,'1SK3DD'!$J$6:$J$2989,"&gt;="&amp;V7,'1SK3DD'!$J$6:$J$2989,"&lt;="&amp;EOMONTH(V7,0),'1SK3DD'!$L$6:$L$2989,$B$25)+SUMIFS('1SX5TQ'!$K$6:$K$2989,'1SX5TQ'!$J$6:$J$2989,"&gt;="&amp;V7,'1SX5TQ'!$J$6:$J$2989,"&lt;="&amp;EOMONTH(V7,0),'1SX5TQ'!$L$6:$L$2989,$B$25)+SUMIFS('BMM465'!$K$6:$K$2989,'BMM465'!$J$6:$J$2989,"&gt;="&amp;V7,'BMM465'!$J$6:$J$2989,"&lt;="&amp;EOMONTH(V7,0),'BMM465'!$L$6:$L$2989,$B$25)+SUMIFS('1CF1ZO'!$K$6:$K$2989,'1CF1ZO'!$J$6:$J$2989,"&gt;="&amp;V7,'1CF1ZO'!$J$6:$J$2989,"&lt;="&amp;EOMONTH(V7,0),'1CF1ZO'!$L$6:$L$2989,$B$25)+SUMIFS('1UK1BK'!$K$6:$K$2989,'1UK1BK'!$J$6:$J$2989,"&gt;="&amp;V7,'1UK1BK'!$J$6:$J$2989,"&lt;="&amp;EOMONTH(V7,0),'1UK1BK'!$L$6:$L$2989,$B$25)</f>
        <v>#REF!</v>
      </c>
      <c r="W25" s="110" t="e">
        <f>SUMIFS('CEI565'!$K$6:$K$2990,'CEI565'!$J$6:$J$2990,"&gt;="&amp;W7,'CEI565'!$J$6:$J$2990,"&lt;="&amp;EOMONTH(W7,0),'CEI565'!$L$6:$L$2990,$B$25)+SUMIFS('1SM3VL'!$K$6:$K$2990,'1SM3VL'!$J$6:$J$2990,"&gt;="&amp;W7,'1SM3VL'!$J$6:$J$2990,"&lt;="&amp;EOMONTH(W7,0),'1SM3VL'!$L$6:$L$2990,$B$25)+SUMIFS('1QF4SM'!$K$6:$K$2989,'1QF4SM'!$J$6:$J$2989,"&gt;="&amp;W7,'1QF4SM'!$J$6:$J$2989,"&lt;="&amp;EOMONTH(W7,0),'1QF4SM'!$L$6:$L$2989,$B$25)+SUMIFS('1UV5KI'!$K$6:$K$2989,'1UV5KI'!$J$6:$J$2989,"&gt;="&amp;W7,'1UV5KI'!$J$6:$J$2989,"&lt;="&amp;EOMONTH(W7,0),'1UV5KI'!$L$6:$L$2989,$B$25)+SUMIFS(#REF!,#REF!,"&gt;="&amp;W7,#REF!,"&lt;="&amp;EOMONTH(W7,0),#REF!,$B$25)+SUMIFS('1UL9RY'!$K$6:$K$2990,'1UL9RY'!$J$6:$J$2990,"&gt;="&amp;W7,'1UL9RY'!$J$6:$J$2990,"&lt;="&amp;EOMONTH(W7,0),'1UL9RY'!$L$6:$L$2990,$B$25)+SUMIFS('1OZ7GT'!$K$6:$K$2989,'1OZ7GT'!$J$6:$J$2989,"&gt;="&amp;W7,'1OZ7GT'!$J$6:$J$2989,"&lt;="&amp;EOMONTH(W7,0),'1OZ7GT'!$L$6:$L$2989,$B$25)+SUMIFS('1CN8DD'!$K$6:$K$2989,'1CN8DD'!$J$6:$J$2989,"&gt;="&amp;W7,'1CN8DD'!$J$6:$J$2989,"&lt;="&amp;EOMONTH(W7,0),'1CN8DD'!$L$6:$L$2989,$B$25)+SUMIFS('1UT9BR'!$K$6:$K$2990,'1UT9BR'!$J$6:$J$2990,"&gt;="&amp;W7,'1UT9BR'!$J$6:$J$2990,"&lt;="&amp;EOMONTH(W7,0),'1UT9BR'!$L$6:$L$2990,$B$25)+SUMIFS('1MK4UR'!$K$6:$K$2990,'1MK4UR'!$J$6:$J$2990,"&gt;="&amp;W7,'1MK4UR'!$J$6:$J$2990,"&lt;="&amp;EOMONTH(W7,0),'1MK4UR'!$L$6:$L$2990,$B$25)+SUMIFS(#REF!,#REF!,"&gt;="&amp;W7,#REF!,"&lt;="&amp;EOMONTH(W7,0),#REF!,$B$25)+SUMIFS('1JI2UE'!$K$6:$K$2989,'1JI2UE'!$J$6:$J$2989,"&gt;="&amp;W7,'1JI2UE'!$J$6:$J$2989,"&lt;="&amp;EOMONTH(W7,0),'1JI2UE'!$L$6:$L$2989,$B$25)+SUMIFS(#REF!,#REF!,"&gt;="&amp;W7,#REF!,"&lt;="&amp;EOMONTH(W7,0),#REF!,$B$25)+SUMIFS('1SI9BW'!$K$6:$K$2989,'1SI9BW'!$J$6:$J$2989,"&gt;="&amp;W7,'1SI9BW'!$J$6:$J$2989,"&lt;="&amp;EOMONTH(W7,0),'1SI9BW'!$L$6:$L$2989,$B$25)+SUMIFS(Suzuki!$K$6:$K$2989,Suzuki!$J$6:$J$2989,"&gt;="&amp;W7,Suzuki!$J$6:$J$2989,"&lt;="&amp;EOMONTH(W7,0),Suzuki!$L$6:$L$2989,$B$25)+SUMIFS('1SK3DD'!$K$6:$K$2989,'1SK3DD'!$J$6:$J$2989,"&gt;="&amp;W7,'1SK3DD'!$J$6:$J$2989,"&lt;="&amp;EOMONTH(W7,0),'1SK3DD'!$L$6:$L$2989,$B$25)+SUMIFS('1SX5TQ'!$K$6:$K$2989,'1SX5TQ'!$J$6:$J$2989,"&gt;="&amp;W7,'1SX5TQ'!$J$6:$J$2989,"&lt;="&amp;EOMONTH(W7,0),'1SX5TQ'!$L$6:$L$2989,$B$25)+SUMIFS('BMM465'!$K$6:$K$2989,'BMM465'!$J$6:$J$2989,"&gt;="&amp;W7,'BMM465'!$J$6:$J$2989,"&lt;="&amp;EOMONTH(W7,0),'BMM465'!$L$6:$L$2989,$B$25)+SUMIFS('1CF1ZO'!$K$6:$K$2989,'1CF1ZO'!$J$6:$J$2989,"&gt;="&amp;W7,'1CF1ZO'!$J$6:$J$2989,"&lt;="&amp;EOMONTH(W7,0),'1CF1ZO'!$L$6:$L$2989,$B$25)+SUMIFS('1UK1BK'!$K$6:$K$2989,'1UK1BK'!$J$6:$J$2989,"&gt;="&amp;W7,'1UK1BK'!$J$6:$J$2989,"&lt;="&amp;EOMONTH(W7,0),'1UK1BK'!$L$6:$L$2989,$B$25)</f>
        <v>#REF!</v>
      </c>
      <c r="X25" s="110" t="e">
        <f>SUMIFS('CEI565'!$K$6:$K$2990,'CEI565'!$J$6:$J$2990,"&gt;="&amp;X7,'CEI565'!$J$6:$J$2990,"&lt;="&amp;EOMONTH(X7,0),'CEI565'!$L$6:$L$2990,$B$25)+SUMIFS('1SM3VL'!$K$6:$K$2990,'1SM3VL'!$J$6:$J$2990,"&gt;="&amp;X7,'1SM3VL'!$J$6:$J$2990,"&lt;="&amp;EOMONTH(X7,0),'1SM3VL'!$L$6:$L$2990,$B$25)+SUMIFS('1QF4SM'!$K$6:$K$2989,'1QF4SM'!$J$6:$J$2989,"&gt;="&amp;X7,'1QF4SM'!$J$6:$J$2989,"&lt;="&amp;EOMONTH(X7,0),'1QF4SM'!$L$6:$L$2989,$B$25)+SUMIFS('1UV5KI'!$K$6:$K$2989,'1UV5KI'!$J$6:$J$2989,"&gt;="&amp;X7,'1UV5KI'!$J$6:$J$2989,"&lt;="&amp;EOMONTH(X7,0),'1UV5KI'!$L$6:$L$2989,$B$25)+SUMIFS(#REF!,#REF!,"&gt;="&amp;X7,#REF!,"&lt;="&amp;EOMONTH(X7,0),#REF!,$B$25)+SUMIFS('1UL9RY'!$K$6:$K$2990,'1UL9RY'!$J$6:$J$2990,"&gt;="&amp;X7,'1UL9RY'!$J$6:$J$2990,"&lt;="&amp;EOMONTH(X7,0),'1UL9RY'!$L$6:$L$2990,$B$25)+SUMIFS('1OZ7GT'!$K$6:$K$2989,'1OZ7GT'!$J$6:$J$2989,"&gt;="&amp;X7,'1OZ7GT'!$J$6:$J$2989,"&lt;="&amp;EOMONTH(X7,0),'1OZ7GT'!$L$6:$L$2989,$B$25)+SUMIFS('1CN8DD'!$K$6:$K$2989,'1CN8DD'!$J$6:$J$2989,"&gt;="&amp;X7,'1CN8DD'!$J$6:$J$2989,"&lt;="&amp;EOMONTH(X7,0),'1CN8DD'!$L$6:$L$2989,$B$25)+SUMIFS('1UT9BR'!$K$6:$K$2990,'1UT9BR'!$J$6:$J$2990,"&gt;="&amp;X7,'1UT9BR'!$J$6:$J$2990,"&lt;="&amp;EOMONTH(X7,0),'1UT9BR'!$L$6:$L$2990,$B$25)+SUMIFS('1MK4UR'!$K$6:$K$2990,'1MK4UR'!$J$6:$J$2990,"&gt;="&amp;X7,'1MK4UR'!$J$6:$J$2990,"&lt;="&amp;EOMONTH(X7,0),'1MK4UR'!$L$6:$L$2990,$B$25)+SUMIFS(#REF!,#REF!,"&gt;="&amp;X7,#REF!,"&lt;="&amp;EOMONTH(X7,0),#REF!,$B$25)+SUMIFS('1JI2UE'!$K$6:$K$2989,'1JI2UE'!$J$6:$J$2989,"&gt;="&amp;X7,'1JI2UE'!$J$6:$J$2989,"&lt;="&amp;EOMONTH(X7,0),'1JI2UE'!$L$6:$L$2989,$B$25)+SUMIFS(#REF!,#REF!,"&gt;="&amp;X7,#REF!,"&lt;="&amp;EOMONTH(X7,0),#REF!,$B$25)+SUMIFS('1SI9BW'!$K$6:$K$2989,'1SI9BW'!$J$6:$J$2989,"&gt;="&amp;X7,'1SI9BW'!$J$6:$J$2989,"&lt;="&amp;EOMONTH(X7,0),'1SI9BW'!$L$6:$L$2989,$B$25)+SUMIFS(Suzuki!$K$6:$K$2989,Suzuki!$J$6:$J$2989,"&gt;="&amp;X7,Suzuki!$J$6:$J$2989,"&lt;="&amp;EOMONTH(X7,0),Suzuki!$L$6:$L$2989,$B$25)+SUMIFS('1SK3DD'!$K$6:$K$2989,'1SK3DD'!$J$6:$J$2989,"&gt;="&amp;X7,'1SK3DD'!$J$6:$J$2989,"&lt;="&amp;EOMONTH(X7,0),'1SK3DD'!$L$6:$L$2989,$B$25)+SUMIFS('1SX5TQ'!$K$6:$K$2989,'1SX5TQ'!$J$6:$J$2989,"&gt;="&amp;X7,'1SX5TQ'!$J$6:$J$2989,"&lt;="&amp;EOMONTH(X7,0),'1SX5TQ'!$L$6:$L$2989,$B$25)+SUMIFS('BMM465'!$K$6:$K$2989,'BMM465'!$J$6:$J$2989,"&gt;="&amp;X7,'BMM465'!$J$6:$J$2989,"&lt;="&amp;EOMONTH(X7,0),'BMM465'!$L$6:$L$2989,$B$25)+SUMIFS('1CF1ZO'!$K$6:$K$2989,'1CF1ZO'!$J$6:$J$2989,"&gt;="&amp;X7,'1CF1ZO'!$J$6:$J$2989,"&lt;="&amp;EOMONTH(X7,0),'1CF1ZO'!$L$6:$L$2989,$B$25)+SUMIFS('1UK1BK'!$K$6:$K$2989,'1UK1BK'!$J$6:$J$2989,"&gt;="&amp;X7,'1UK1BK'!$J$6:$J$2989,"&lt;="&amp;EOMONTH(X7,0),'1UK1BK'!$L$6:$L$2989,$B$25)</f>
        <v>#REF!</v>
      </c>
      <c r="Y25" s="110" t="e">
        <f>SUMIFS('CEI565'!$K$6:$K$2990,'CEI565'!$J$6:$J$2990,"&gt;="&amp;Y7,'CEI565'!$J$6:$J$2990,"&lt;="&amp;EOMONTH(Y7,0),'CEI565'!$L$6:$L$2990,$B$25)+SUMIFS('1SM3VL'!$K$6:$K$2990,'1SM3VL'!$J$6:$J$2990,"&gt;="&amp;Y7,'1SM3VL'!$J$6:$J$2990,"&lt;="&amp;EOMONTH(Y7,0),'1SM3VL'!$L$6:$L$2990,$B$25)+SUMIFS('1QF4SM'!$K$6:$K$2989,'1QF4SM'!$J$6:$J$2989,"&gt;="&amp;Y7,'1QF4SM'!$J$6:$J$2989,"&lt;="&amp;EOMONTH(Y7,0),'1QF4SM'!$L$6:$L$2989,$B$25)+SUMIFS('1UV5KI'!$K$6:$K$2989,'1UV5KI'!$J$6:$J$2989,"&gt;="&amp;Y7,'1UV5KI'!$J$6:$J$2989,"&lt;="&amp;EOMONTH(Y7,0),'1UV5KI'!$L$6:$L$2989,$B$25)+SUMIFS(#REF!,#REF!,"&gt;="&amp;Y7,#REF!,"&lt;="&amp;EOMONTH(Y7,0),#REF!,$B$25)+SUMIFS('1UL9RY'!$K$6:$K$2990,'1UL9RY'!$J$6:$J$2990,"&gt;="&amp;Y7,'1UL9RY'!$J$6:$J$2990,"&lt;="&amp;EOMONTH(Y7,0),'1UL9RY'!$L$6:$L$2990,$B$25)+SUMIFS('1OZ7GT'!$K$6:$K$2989,'1OZ7GT'!$J$6:$J$2989,"&gt;="&amp;Y7,'1OZ7GT'!$J$6:$J$2989,"&lt;="&amp;EOMONTH(Y7,0),'1OZ7GT'!$L$6:$L$2989,$B$25)+SUMIFS('1CN8DD'!$K$6:$K$2989,'1CN8DD'!$J$6:$J$2989,"&gt;="&amp;Y7,'1CN8DD'!$J$6:$J$2989,"&lt;="&amp;EOMONTH(Y7,0),'1CN8DD'!$L$6:$L$2989,$B$25)+SUMIFS('1UT9BR'!$K$6:$K$2990,'1UT9BR'!$J$6:$J$2990,"&gt;="&amp;Y7,'1UT9BR'!$J$6:$J$2990,"&lt;="&amp;EOMONTH(Y7,0),'1UT9BR'!$L$6:$L$2990,$B$25)+SUMIFS('1MK4UR'!$K$6:$K$2990,'1MK4UR'!$J$6:$J$2990,"&gt;="&amp;Y7,'1MK4UR'!$J$6:$J$2990,"&lt;="&amp;EOMONTH(Y7,0),'1MK4UR'!$L$6:$L$2990,$B$25)+SUMIFS(#REF!,#REF!,"&gt;="&amp;Y7,#REF!,"&lt;="&amp;EOMONTH(Y7,0),#REF!,$B$25)+SUMIFS('1JI2UE'!$K$6:$K$2989,'1JI2UE'!$J$6:$J$2989,"&gt;="&amp;Y7,'1JI2UE'!$J$6:$J$2989,"&lt;="&amp;EOMONTH(Y7,0),'1JI2UE'!$L$6:$L$2989,$B$25)+SUMIFS(#REF!,#REF!,"&gt;="&amp;Y7,#REF!,"&lt;="&amp;EOMONTH(Y7,0),#REF!,$B$25)+SUMIFS('1SI9BW'!$K$6:$K$2989,'1SI9BW'!$J$6:$J$2989,"&gt;="&amp;Y7,'1SI9BW'!$J$6:$J$2989,"&lt;="&amp;EOMONTH(Y7,0),'1SI9BW'!$L$6:$L$2989,$B$25)+SUMIFS(Suzuki!$K$6:$K$2989,Suzuki!$J$6:$J$2989,"&gt;="&amp;Y7,Suzuki!$J$6:$J$2989,"&lt;="&amp;EOMONTH(Y7,0),Suzuki!$L$6:$L$2989,$B$25)+SUMIFS('1SK3DD'!$K$6:$K$2989,'1SK3DD'!$J$6:$J$2989,"&gt;="&amp;Y7,'1SK3DD'!$J$6:$J$2989,"&lt;="&amp;EOMONTH(Y7,0),'1SK3DD'!$L$6:$L$2989,$B$25)+SUMIFS('1SX5TQ'!$K$6:$K$2989,'1SX5TQ'!$J$6:$J$2989,"&gt;="&amp;Y7,'1SX5TQ'!$J$6:$J$2989,"&lt;="&amp;EOMONTH(Y7,0),'1SX5TQ'!$L$6:$L$2989,$B$25)+SUMIFS('BMM465'!$K$6:$K$2989,'BMM465'!$J$6:$J$2989,"&gt;="&amp;Y7,'BMM465'!$J$6:$J$2989,"&lt;="&amp;EOMONTH(Y7,0),'BMM465'!$L$6:$L$2989,$B$25)+SUMIFS('1CF1ZO'!$K$6:$K$2989,'1CF1ZO'!$J$6:$J$2989,"&gt;="&amp;Y7,'1CF1ZO'!$J$6:$J$2989,"&lt;="&amp;EOMONTH(Y7,0),'1CF1ZO'!$L$6:$L$2989,$B$25)+SUMIFS('1UK1BK'!$K$6:$K$2989,'1UK1BK'!$J$6:$J$2989,"&gt;="&amp;Y7,'1UK1BK'!$J$6:$J$2989,"&lt;="&amp;EOMONTH(Y7,0),'1UK1BK'!$L$6:$L$2989,$B$25)</f>
        <v>#REF!</v>
      </c>
      <c r="Z25" s="110" t="e">
        <f>SUMIFS('CEI565'!$K$6:$K$2990,'CEI565'!$J$6:$J$2990,"&gt;="&amp;Z7,'CEI565'!$J$6:$J$2990,"&lt;="&amp;EOMONTH(Z7,0),'CEI565'!$L$6:$L$2990,$B$25)+SUMIFS('1SM3VL'!$K$6:$K$2990,'1SM3VL'!$J$6:$J$2990,"&gt;="&amp;Z7,'1SM3VL'!$J$6:$J$2990,"&lt;="&amp;EOMONTH(Z7,0),'1SM3VL'!$L$6:$L$2990,$B$25)+SUMIFS('1QF4SM'!$K$6:$K$2989,'1QF4SM'!$J$6:$J$2989,"&gt;="&amp;Z7,'1QF4SM'!$J$6:$J$2989,"&lt;="&amp;EOMONTH(Z7,0),'1QF4SM'!$L$6:$L$2989,$B$25)+SUMIFS('1UV5KI'!$K$6:$K$2989,'1UV5KI'!$J$6:$J$2989,"&gt;="&amp;Z7,'1UV5KI'!$J$6:$J$2989,"&lt;="&amp;EOMONTH(Z7,0),'1UV5KI'!$L$6:$L$2989,$B$25)+SUMIFS(#REF!,#REF!,"&gt;="&amp;Z7,#REF!,"&lt;="&amp;EOMONTH(Z7,0),#REF!,$B$25)+SUMIFS('1UL9RY'!$K$6:$K$2990,'1UL9RY'!$J$6:$J$2990,"&gt;="&amp;Z7,'1UL9RY'!$J$6:$J$2990,"&lt;="&amp;EOMONTH(Z7,0),'1UL9RY'!$L$6:$L$2990,$B$25)+SUMIFS('1OZ7GT'!$K$6:$K$2989,'1OZ7GT'!$J$6:$J$2989,"&gt;="&amp;Z7,'1OZ7GT'!$J$6:$J$2989,"&lt;="&amp;EOMONTH(Z7,0),'1OZ7GT'!$L$6:$L$2989,$B$25)+SUMIFS('1CN8DD'!$K$6:$K$2989,'1CN8DD'!$J$6:$J$2989,"&gt;="&amp;Z7,'1CN8DD'!$J$6:$J$2989,"&lt;="&amp;EOMONTH(Z7,0),'1CN8DD'!$L$6:$L$2989,$B$25)+SUMIFS('1UT9BR'!$K$6:$K$2990,'1UT9BR'!$J$6:$J$2990,"&gt;="&amp;Z7,'1UT9BR'!$J$6:$J$2990,"&lt;="&amp;EOMONTH(Z7,0),'1UT9BR'!$L$6:$L$2990,$B$25)+SUMIFS('1MK4UR'!$K$6:$K$2990,'1MK4UR'!$J$6:$J$2990,"&gt;="&amp;Z7,'1MK4UR'!$J$6:$J$2990,"&lt;="&amp;EOMONTH(Z7,0),'1MK4UR'!$L$6:$L$2990,$B$25)+SUMIFS(#REF!,#REF!,"&gt;="&amp;Z7,#REF!,"&lt;="&amp;EOMONTH(Z7,0),#REF!,$B$25)+SUMIFS('1JI2UE'!$K$6:$K$2989,'1JI2UE'!$J$6:$J$2989,"&gt;="&amp;Z7,'1JI2UE'!$J$6:$J$2989,"&lt;="&amp;EOMONTH(Z7,0),'1JI2UE'!$L$6:$L$2989,$B$25)+SUMIFS(#REF!,#REF!,"&gt;="&amp;Z7,#REF!,"&lt;="&amp;EOMONTH(Z7,0),#REF!,$B$25)+SUMIFS('1SI9BW'!$K$6:$K$2989,'1SI9BW'!$J$6:$J$2989,"&gt;="&amp;Z7,'1SI9BW'!$J$6:$J$2989,"&lt;="&amp;EOMONTH(Z7,0),'1SI9BW'!$L$6:$L$2989,$B$25)+SUMIFS(Suzuki!$K$6:$K$2989,Suzuki!$J$6:$J$2989,"&gt;="&amp;Z7,Suzuki!$J$6:$J$2989,"&lt;="&amp;EOMONTH(Z7,0),Suzuki!$L$6:$L$2989,$B$25)+SUMIFS('1SK3DD'!$K$6:$K$2989,'1SK3DD'!$J$6:$J$2989,"&gt;="&amp;Z7,'1SK3DD'!$J$6:$J$2989,"&lt;="&amp;EOMONTH(Z7,0),'1SK3DD'!$L$6:$L$2989,$B$25)+SUMIFS('1SX5TQ'!$K$6:$K$2989,'1SX5TQ'!$J$6:$J$2989,"&gt;="&amp;Z7,'1SX5TQ'!$J$6:$J$2989,"&lt;="&amp;EOMONTH(Z7,0),'1SX5TQ'!$L$6:$L$2989,$B$25)+SUMIFS('BMM465'!$K$6:$K$2989,'BMM465'!$J$6:$J$2989,"&gt;="&amp;Z7,'BMM465'!$J$6:$J$2989,"&lt;="&amp;EOMONTH(Z7,0),'BMM465'!$L$6:$L$2989,$B$25)+SUMIFS('1CF1ZO'!$K$6:$K$2989,'1CF1ZO'!$J$6:$J$2989,"&gt;="&amp;Z7,'1CF1ZO'!$J$6:$J$2989,"&lt;="&amp;EOMONTH(Z7,0),'1CF1ZO'!$L$6:$L$2989,$B$25)+SUMIFS('1UK1BK'!$K$6:$K$2989,'1UK1BK'!$J$6:$J$2989,"&gt;="&amp;Z7,'1UK1BK'!$J$6:$J$2989,"&lt;="&amp;EOMONTH(Z7,0),'1UK1BK'!$L$6:$L$2989,$B$25)</f>
        <v>#REF!</v>
      </c>
      <c r="AA25" s="110" t="e">
        <f>SUMIFS('CEI565'!$K$6:$K$2990,'CEI565'!$J$6:$J$2990,"&gt;="&amp;AA7,'CEI565'!$J$6:$J$2990,"&lt;="&amp;EOMONTH(AA7,0),'CEI565'!$L$6:$L$2990,$B$25)+SUMIFS('1SM3VL'!$K$6:$K$2990,'1SM3VL'!$J$6:$J$2990,"&gt;="&amp;AA7,'1SM3VL'!$J$6:$J$2990,"&lt;="&amp;EOMONTH(AA7,0),'1SM3VL'!$L$6:$L$2990,$B$25)+SUMIFS('1QF4SM'!$K$6:$K$2989,'1QF4SM'!$J$6:$J$2989,"&gt;="&amp;AA7,'1QF4SM'!$J$6:$J$2989,"&lt;="&amp;EOMONTH(AA7,0),'1QF4SM'!$L$6:$L$2989,$B$25)+SUMIFS('1UV5KI'!$K$6:$K$2989,'1UV5KI'!$J$6:$J$2989,"&gt;="&amp;AA7,'1UV5KI'!$J$6:$J$2989,"&lt;="&amp;EOMONTH(AA7,0),'1UV5KI'!$L$6:$L$2989,$B$25)+SUMIFS(#REF!,#REF!,"&gt;="&amp;AA7,#REF!,"&lt;="&amp;EOMONTH(AA7,0),#REF!,$B$25)+SUMIFS('1UL9RY'!$K$6:$K$2990,'1UL9RY'!$J$6:$J$2990,"&gt;="&amp;AA7,'1UL9RY'!$J$6:$J$2990,"&lt;="&amp;EOMONTH(AA7,0),'1UL9RY'!$L$6:$L$2990,$B$25)+SUMIFS('1OZ7GT'!$K$6:$K$2989,'1OZ7GT'!$J$6:$J$2989,"&gt;="&amp;AA7,'1OZ7GT'!$J$6:$J$2989,"&lt;="&amp;EOMONTH(AA7,0),'1OZ7GT'!$L$6:$L$2989,$B$25)+SUMIFS('1CN8DD'!$K$6:$K$2989,'1CN8DD'!$J$6:$J$2989,"&gt;="&amp;AA7,'1CN8DD'!$J$6:$J$2989,"&lt;="&amp;EOMONTH(AA7,0),'1CN8DD'!$L$6:$L$2989,$B$25)+SUMIFS('1UT9BR'!$K$6:$K$2990,'1UT9BR'!$J$6:$J$2990,"&gt;="&amp;AA7,'1UT9BR'!$J$6:$J$2990,"&lt;="&amp;EOMONTH(AA7,0),'1UT9BR'!$L$6:$L$2990,$B$25)+SUMIFS('1MK4UR'!$K$6:$K$2990,'1MK4UR'!$J$6:$J$2990,"&gt;="&amp;AA7,'1MK4UR'!$J$6:$J$2990,"&lt;="&amp;EOMONTH(AA7,0),'1MK4UR'!$L$6:$L$2990,$B$25)+SUMIFS(#REF!,#REF!,"&gt;="&amp;AA7,#REF!,"&lt;="&amp;EOMONTH(AA7,0),#REF!,$B$25)+SUMIFS('1JI2UE'!$K$6:$K$2989,'1JI2UE'!$J$6:$J$2989,"&gt;="&amp;AA7,'1JI2UE'!$J$6:$J$2989,"&lt;="&amp;EOMONTH(AA7,0),'1JI2UE'!$L$6:$L$2989,$B$25)+SUMIFS(#REF!,#REF!,"&gt;="&amp;AA7,#REF!,"&lt;="&amp;EOMONTH(AA7,0),#REF!,$B$25)+SUMIFS('1SI9BW'!$K$6:$K$2989,'1SI9BW'!$J$6:$J$2989,"&gt;="&amp;AA7,'1SI9BW'!$J$6:$J$2989,"&lt;="&amp;EOMONTH(AA7,0),'1SI9BW'!$L$6:$L$2989,$B$25)+SUMIFS(Suzuki!$K$6:$K$2989,Suzuki!$J$6:$J$2989,"&gt;="&amp;AA7,Suzuki!$J$6:$J$2989,"&lt;="&amp;EOMONTH(AA7,0),Suzuki!$L$6:$L$2989,$B$25)+SUMIFS('1SK3DD'!$K$6:$K$2989,'1SK3DD'!$J$6:$J$2989,"&gt;="&amp;AA7,'1SK3DD'!$J$6:$J$2989,"&lt;="&amp;EOMONTH(AA7,0),'1SK3DD'!$L$6:$L$2989,$B$25)+SUMIFS('1SX5TQ'!$K$6:$K$2989,'1SX5TQ'!$J$6:$J$2989,"&gt;="&amp;AA7,'1SX5TQ'!$J$6:$J$2989,"&lt;="&amp;EOMONTH(AA7,0),'1SX5TQ'!$L$6:$L$2989,$B$25)+SUMIFS('BMM465'!$K$6:$K$2989,'BMM465'!$J$6:$J$2989,"&gt;="&amp;AA7,'BMM465'!$J$6:$J$2989,"&lt;="&amp;EOMONTH(AA7,0),'BMM465'!$L$6:$L$2989,$B$25)+SUMIFS('1CF1ZO'!$K$6:$K$2989,'1CF1ZO'!$J$6:$J$2989,"&gt;="&amp;AA7,'1CF1ZO'!$J$6:$J$2989,"&lt;="&amp;EOMONTH(AA7,0),'1CF1ZO'!$L$6:$L$2989,$B$25)+SUMIFS('1UK1BK'!$K$6:$K$2989,'1UK1BK'!$J$6:$J$2989,"&gt;="&amp;AA7,'1UK1BK'!$J$6:$J$2989,"&lt;="&amp;EOMONTH(AA7,0),'1UK1BK'!$L$6:$L$2989,$B$25)</f>
        <v>#REF!</v>
      </c>
      <c r="AB25" s="110" t="e">
        <f>SUMIFS('CEI565'!$K$6:$K$2990,'CEI565'!$J$6:$J$2990,"&gt;="&amp;AB7,'CEI565'!$J$6:$J$2990,"&lt;="&amp;EOMONTH(AB7,0),'CEI565'!$L$6:$L$2990,$B$25)+SUMIFS('1SM3VL'!$K$6:$K$2990,'1SM3VL'!$J$6:$J$2990,"&gt;="&amp;AB7,'1SM3VL'!$J$6:$J$2990,"&lt;="&amp;EOMONTH(AB7,0),'1SM3VL'!$L$6:$L$2990,$B$25)+SUMIFS('1QF4SM'!$K$6:$K$2989,'1QF4SM'!$J$6:$J$2989,"&gt;="&amp;AB7,'1QF4SM'!$J$6:$J$2989,"&lt;="&amp;EOMONTH(AB7,0),'1QF4SM'!$L$6:$L$2989,$B$25)+SUMIFS('1UV5KI'!$K$6:$K$2989,'1UV5KI'!$J$6:$J$2989,"&gt;="&amp;AB7,'1UV5KI'!$J$6:$J$2989,"&lt;="&amp;EOMONTH(AB7,0),'1UV5KI'!$L$6:$L$2989,$B$25)+SUMIFS(#REF!,#REF!,"&gt;="&amp;AB7,#REF!,"&lt;="&amp;EOMONTH(AB7,0),#REF!,$B$25)+SUMIFS('1UL9RY'!$K$6:$K$2990,'1UL9RY'!$J$6:$J$2990,"&gt;="&amp;AB7,'1UL9RY'!$J$6:$J$2990,"&lt;="&amp;EOMONTH(AB7,0),'1UL9RY'!$L$6:$L$2990,$B$25)+SUMIFS('1OZ7GT'!$K$6:$K$2989,'1OZ7GT'!$J$6:$J$2989,"&gt;="&amp;AB7,'1OZ7GT'!$J$6:$J$2989,"&lt;="&amp;EOMONTH(AB7,0),'1OZ7GT'!$L$6:$L$2989,$B$25)+SUMIFS('1CN8DD'!$K$6:$K$2989,'1CN8DD'!$J$6:$J$2989,"&gt;="&amp;AB7,'1CN8DD'!$J$6:$J$2989,"&lt;="&amp;EOMONTH(AB7,0),'1CN8DD'!$L$6:$L$2989,$B$25)+SUMIFS('1UT9BR'!$K$6:$K$2990,'1UT9BR'!$J$6:$J$2990,"&gt;="&amp;AB7,'1UT9BR'!$J$6:$J$2990,"&lt;="&amp;EOMONTH(AB7,0),'1UT9BR'!$L$6:$L$2990,$B$25)+SUMIFS('1MK4UR'!$K$6:$K$2990,'1MK4UR'!$J$6:$J$2990,"&gt;="&amp;AB7,'1MK4UR'!$J$6:$J$2990,"&lt;="&amp;EOMONTH(AB7,0),'1MK4UR'!$L$6:$L$2990,$B$25)+SUMIFS(#REF!,#REF!,"&gt;="&amp;AB7,#REF!,"&lt;="&amp;EOMONTH(AB7,0),#REF!,$B$25)+SUMIFS('1JI2UE'!$K$6:$K$2989,'1JI2UE'!$J$6:$J$2989,"&gt;="&amp;AB7,'1JI2UE'!$J$6:$J$2989,"&lt;="&amp;EOMONTH(AB7,0),'1JI2UE'!$L$6:$L$2989,$B$25)+SUMIFS(#REF!,#REF!,"&gt;="&amp;AB7,#REF!,"&lt;="&amp;EOMONTH(AB7,0),#REF!,$B$25)+SUMIFS('1SI9BW'!$K$6:$K$2989,'1SI9BW'!$J$6:$J$2989,"&gt;="&amp;AB7,'1SI9BW'!$J$6:$J$2989,"&lt;="&amp;EOMONTH(AB7,0),'1SI9BW'!$L$6:$L$2989,$B$25)+SUMIFS(Suzuki!$K$6:$K$2989,Suzuki!$J$6:$J$2989,"&gt;="&amp;AB7,Suzuki!$J$6:$J$2989,"&lt;="&amp;EOMONTH(AB7,0),Suzuki!$L$6:$L$2989,$B$25)+SUMIFS('1SK3DD'!$K$6:$K$2989,'1SK3DD'!$J$6:$J$2989,"&gt;="&amp;AB7,'1SK3DD'!$J$6:$J$2989,"&lt;="&amp;EOMONTH(AB7,0),'1SK3DD'!$L$6:$L$2989,$B$25)+SUMIFS('1SX5TQ'!$K$6:$K$2989,'1SX5TQ'!$J$6:$J$2989,"&gt;="&amp;AB7,'1SX5TQ'!$J$6:$J$2989,"&lt;="&amp;EOMONTH(AB7,0),'1SX5TQ'!$L$6:$L$2989,$B$25)+SUMIFS('BMM465'!$K$6:$K$2989,'BMM465'!$J$6:$J$2989,"&gt;="&amp;AB7,'BMM465'!$J$6:$J$2989,"&lt;="&amp;EOMONTH(AB7,0),'BMM465'!$L$6:$L$2989,$B$25)+SUMIFS('1CF1ZO'!$K$6:$K$2989,'1CF1ZO'!$J$6:$J$2989,"&gt;="&amp;AB7,'1CF1ZO'!$J$6:$J$2989,"&lt;="&amp;EOMONTH(AB7,0),'1CF1ZO'!$L$6:$L$2989,$B$25)+SUMIFS('1UK1BK'!$K$6:$K$2989,'1UK1BK'!$J$6:$J$2989,"&gt;="&amp;AB7,'1UK1BK'!$J$6:$J$2989,"&lt;="&amp;EOMONTH(AB7,0),'1UK1BK'!$L$6:$L$2989,$B$25)</f>
        <v>#REF!</v>
      </c>
      <c r="AC25" s="110" t="e">
        <f>SUMIFS('CEI565'!$K$6:$K$2990,'CEI565'!$J$6:$J$2990,"&gt;="&amp;AC7,'CEI565'!$J$6:$J$2990,"&lt;="&amp;EOMONTH(AC7,0),'CEI565'!$L$6:$L$2990,$B$25)+SUMIFS('1SM3VL'!$K$6:$K$2990,'1SM3VL'!$J$6:$J$2990,"&gt;="&amp;AC7,'1SM3VL'!$J$6:$J$2990,"&lt;="&amp;EOMONTH(AC7,0),'1SM3VL'!$L$6:$L$2990,$B$25)+SUMIFS('1QF4SM'!$K$6:$K$2989,'1QF4SM'!$J$6:$J$2989,"&gt;="&amp;AC7,'1QF4SM'!$J$6:$J$2989,"&lt;="&amp;EOMONTH(AC7,0),'1QF4SM'!$L$6:$L$2989,$B$25)+SUMIFS('1UV5KI'!$K$6:$K$2989,'1UV5KI'!$J$6:$J$2989,"&gt;="&amp;AC7,'1UV5KI'!$J$6:$J$2989,"&lt;="&amp;EOMONTH(AC7,0),'1UV5KI'!$L$6:$L$2989,$B$25)+SUMIFS(#REF!,#REF!,"&gt;="&amp;AC7,#REF!,"&lt;="&amp;EOMONTH(AC7,0),#REF!,$B$25)+SUMIFS('1UL9RY'!$K$6:$K$2990,'1UL9RY'!$J$6:$J$2990,"&gt;="&amp;AC7,'1UL9RY'!$J$6:$J$2990,"&lt;="&amp;EOMONTH(AC7,0),'1UL9RY'!$L$6:$L$2990,$B$25)+SUMIFS('1OZ7GT'!$K$6:$K$2989,'1OZ7GT'!$J$6:$J$2989,"&gt;="&amp;AC7,'1OZ7GT'!$J$6:$J$2989,"&lt;="&amp;EOMONTH(AC7,0),'1OZ7GT'!$L$6:$L$2989,$B$25)+SUMIFS('1CN8DD'!$K$6:$K$2989,'1CN8DD'!$J$6:$J$2989,"&gt;="&amp;AC7,'1CN8DD'!$J$6:$J$2989,"&lt;="&amp;EOMONTH(AC7,0),'1CN8DD'!$L$6:$L$2989,$B$25)+SUMIFS('1UT9BR'!$K$6:$K$2990,'1UT9BR'!$J$6:$J$2990,"&gt;="&amp;AC7,'1UT9BR'!$J$6:$J$2990,"&lt;="&amp;EOMONTH(AC7,0),'1UT9BR'!$L$6:$L$2990,$B$25)+SUMIFS('1MK4UR'!$K$6:$K$2990,'1MK4UR'!$J$6:$J$2990,"&gt;="&amp;AC7,'1MK4UR'!$J$6:$J$2990,"&lt;="&amp;EOMONTH(AC7,0),'1MK4UR'!$L$6:$L$2990,$B$25)+SUMIFS(#REF!,#REF!,"&gt;="&amp;AC7,#REF!,"&lt;="&amp;EOMONTH(AC7,0),#REF!,$B$25)+SUMIFS('1JI2UE'!$K$6:$K$2989,'1JI2UE'!$J$6:$J$2989,"&gt;="&amp;AC7,'1JI2UE'!$J$6:$J$2989,"&lt;="&amp;EOMONTH(AC7,0),'1JI2UE'!$L$6:$L$2989,$B$25)+SUMIFS(#REF!,#REF!,"&gt;="&amp;AC7,#REF!,"&lt;="&amp;EOMONTH(AC7,0),#REF!,$B$25)+SUMIFS('1SI9BW'!$K$6:$K$2989,'1SI9BW'!$J$6:$J$2989,"&gt;="&amp;AC7,'1SI9BW'!$J$6:$J$2989,"&lt;="&amp;EOMONTH(AC7,0),'1SI9BW'!$L$6:$L$2989,$B$25)+SUMIFS(Suzuki!$K$6:$K$2989,Suzuki!$J$6:$J$2989,"&gt;="&amp;AC7,Suzuki!$J$6:$J$2989,"&lt;="&amp;EOMONTH(AC7,0),Suzuki!$L$6:$L$2989,$B$25)+SUMIFS('1SK3DD'!$K$6:$K$2989,'1SK3DD'!$J$6:$J$2989,"&gt;="&amp;AC7,'1SK3DD'!$J$6:$J$2989,"&lt;="&amp;EOMONTH(AC7,0),'1SK3DD'!$L$6:$L$2989,$B$25)+SUMIFS('1SX5TQ'!$K$6:$K$2989,'1SX5TQ'!$J$6:$J$2989,"&gt;="&amp;AC7,'1SX5TQ'!$J$6:$J$2989,"&lt;="&amp;EOMONTH(AC7,0),'1SX5TQ'!$L$6:$L$2989,$B$25)+SUMIFS('BMM465'!$K$6:$K$2989,'BMM465'!$J$6:$J$2989,"&gt;="&amp;AC7,'BMM465'!$J$6:$J$2989,"&lt;="&amp;EOMONTH(AC7,0),'BMM465'!$L$6:$L$2989,$B$25)+SUMIFS('1CF1ZO'!$K$6:$K$2989,'1CF1ZO'!$J$6:$J$2989,"&gt;="&amp;AC7,'1CF1ZO'!$J$6:$J$2989,"&lt;="&amp;EOMONTH(AC7,0),'1CF1ZO'!$L$6:$L$2989,$B$25)+SUMIFS('1UK1BK'!$K$6:$K$2989,'1UK1BK'!$J$6:$J$2989,"&gt;="&amp;AC7,'1UK1BK'!$J$6:$J$2989,"&lt;="&amp;EOMONTH(AC7,0),'1UK1BK'!$L$6:$L$2989,$B$25)</f>
        <v>#REF!</v>
      </c>
      <c r="AD25" s="110" t="e">
        <f>SUMIFS('CEI565'!$K$6:$K$2990,'CEI565'!$J$6:$J$2990,"&gt;="&amp;AD7,'CEI565'!$J$6:$J$2990,"&lt;="&amp;EOMONTH(AD7,0),'CEI565'!$L$6:$L$2990,$B$25)+SUMIFS('1SM3VL'!$K$6:$K$2990,'1SM3VL'!$J$6:$J$2990,"&gt;="&amp;AD7,'1SM3VL'!$J$6:$J$2990,"&lt;="&amp;EOMONTH(AD7,0),'1SM3VL'!$L$6:$L$2990,$B$25)+SUMIFS('1QF4SM'!$K$6:$K$2989,'1QF4SM'!$J$6:$J$2989,"&gt;="&amp;AD7,'1QF4SM'!$J$6:$J$2989,"&lt;="&amp;EOMONTH(AD7,0),'1QF4SM'!$L$6:$L$2989,$B$25)+SUMIFS('1UV5KI'!$K$6:$K$2989,'1UV5KI'!$J$6:$J$2989,"&gt;="&amp;AD7,'1UV5KI'!$J$6:$J$2989,"&lt;="&amp;EOMONTH(AD7,0),'1UV5KI'!$L$6:$L$2989,$B$25)+SUMIFS(#REF!,#REF!,"&gt;="&amp;AD7,#REF!,"&lt;="&amp;EOMONTH(AD7,0),#REF!,$B$25)+SUMIFS('1UL9RY'!$K$6:$K$2990,'1UL9RY'!$J$6:$J$2990,"&gt;="&amp;AD7,'1UL9RY'!$J$6:$J$2990,"&lt;="&amp;EOMONTH(AD7,0),'1UL9RY'!$L$6:$L$2990,$B$25)+SUMIFS('1OZ7GT'!$K$6:$K$2989,'1OZ7GT'!$J$6:$J$2989,"&gt;="&amp;AD7,'1OZ7GT'!$J$6:$J$2989,"&lt;="&amp;EOMONTH(AD7,0),'1OZ7GT'!$L$6:$L$2989,$B$25)+SUMIFS('1CN8DD'!$K$6:$K$2989,'1CN8DD'!$J$6:$J$2989,"&gt;="&amp;AD7,'1CN8DD'!$J$6:$J$2989,"&lt;="&amp;EOMONTH(AD7,0),'1CN8DD'!$L$6:$L$2989,$B$25)+SUMIFS('1UT9BR'!$K$6:$K$2990,'1UT9BR'!$J$6:$J$2990,"&gt;="&amp;AD7,'1UT9BR'!$J$6:$J$2990,"&lt;="&amp;EOMONTH(AD7,0),'1UT9BR'!$L$6:$L$2990,$B$25)+SUMIFS('1MK4UR'!$K$6:$K$2990,'1MK4UR'!$J$6:$J$2990,"&gt;="&amp;AD7,'1MK4UR'!$J$6:$J$2990,"&lt;="&amp;EOMONTH(AD7,0),'1MK4UR'!$L$6:$L$2990,$B$25)+SUMIFS(#REF!,#REF!,"&gt;="&amp;AD7,#REF!,"&lt;="&amp;EOMONTH(AD7,0),#REF!,$B$25)+SUMIFS('1JI2UE'!$K$6:$K$2989,'1JI2UE'!$J$6:$J$2989,"&gt;="&amp;AD7,'1JI2UE'!$J$6:$J$2989,"&lt;="&amp;EOMONTH(AD7,0),'1JI2UE'!$L$6:$L$2989,$B$25)+SUMIFS(#REF!,#REF!,"&gt;="&amp;AD7,#REF!,"&lt;="&amp;EOMONTH(AD7,0),#REF!,$B$25)+SUMIFS('1SI9BW'!$K$6:$K$2989,'1SI9BW'!$J$6:$J$2989,"&gt;="&amp;AD7,'1SI9BW'!$J$6:$J$2989,"&lt;="&amp;EOMONTH(AD7,0),'1SI9BW'!$L$6:$L$2989,$B$25)+SUMIFS(Suzuki!$K$6:$K$2989,Suzuki!$J$6:$J$2989,"&gt;="&amp;AD7,Suzuki!$J$6:$J$2989,"&lt;="&amp;EOMONTH(AD7,0),Suzuki!$L$6:$L$2989,$B$25)+SUMIFS('1SK3DD'!$K$6:$K$2989,'1SK3DD'!$J$6:$J$2989,"&gt;="&amp;AD7,'1SK3DD'!$J$6:$J$2989,"&lt;="&amp;EOMONTH(AD7,0),'1SK3DD'!$L$6:$L$2989,$B$25)+SUMIFS('1SX5TQ'!$K$6:$K$2989,'1SX5TQ'!$J$6:$J$2989,"&gt;="&amp;AD7,'1SX5TQ'!$J$6:$J$2989,"&lt;="&amp;EOMONTH(AD7,0),'1SX5TQ'!$L$6:$L$2989,$B$25)+SUMIFS('BMM465'!$K$6:$K$2989,'BMM465'!$J$6:$J$2989,"&gt;="&amp;AD7,'BMM465'!$J$6:$J$2989,"&lt;="&amp;EOMONTH(AD7,0),'BMM465'!$L$6:$L$2989,$B$25)+SUMIFS('1CF1ZO'!$K$6:$K$2989,'1CF1ZO'!$J$6:$J$2989,"&gt;="&amp;AD7,'1CF1ZO'!$J$6:$J$2989,"&lt;="&amp;EOMONTH(AD7,0),'1CF1ZO'!$L$6:$L$2989,$B$25)+SUMIFS('1UK1BK'!$K$6:$K$2989,'1UK1BK'!$J$6:$J$2989,"&gt;="&amp;AD7,'1UK1BK'!$J$6:$J$2989,"&lt;="&amp;EOMONTH(AD7,0),'1UK1BK'!$L$6:$L$2989,$B$25)</f>
        <v>#REF!</v>
      </c>
      <c r="AE25" s="110" t="e">
        <f>SUMIFS('CEI565'!$K$6:$K$2990,'CEI565'!$J$6:$J$2990,"&gt;="&amp;AE7,'CEI565'!$J$6:$J$2990,"&lt;="&amp;EOMONTH(AE7,0),'CEI565'!$L$6:$L$2990,$B$25)+SUMIFS('1SM3VL'!$K$6:$K$2990,'1SM3VL'!$J$6:$J$2990,"&gt;="&amp;AE7,'1SM3VL'!$J$6:$J$2990,"&lt;="&amp;EOMONTH(AE7,0),'1SM3VL'!$L$6:$L$2990,$B$25)+SUMIFS('1QF4SM'!$K$6:$K$2989,'1QF4SM'!$J$6:$J$2989,"&gt;="&amp;AE7,'1QF4SM'!$J$6:$J$2989,"&lt;="&amp;EOMONTH(AE7,0),'1QF4SM'!$L$6:$L$2989,$B$25)+SUMIFS('1UV5KI'!$K$6:$K$2989,'1UV5KI'!$J$6:$J$2989,"&gt;="&amp;AE7,'1UV5KI'!$J$6:$J$2989,"&lt;="&amp;EOMONTH(AE7,0),'1UV5KI'!$L$6:$L$2989,$B$25)+SUMIFS(#REF!,#REF!,"&gt;="&amp;AE7,#REF!,"&lt;="&amp;EOMONTH(AE7,0),#REF!,$B$25)+SUMIFS('1UL9RY'!$K$6:$K$2990,'1UL9RY'!$J$6:$J$2990,"&gt;="&amp;AE7,'1UL9RY'!$J$6:$J$2990,"&lt;="&amp;EOMONTH(AE7,0),'1UL9RY'!$L$6:$L$2990,$B$25)+SUMIFS('1OZ7GT'!$K$6:$K$2989,'1OZ7GT'!$J$6:$J$2989,"&gt;="&amp;AE7,'1OZ7GT'!$J$6:$J$2989,"&lt;="&amp;EOMONTH(AE7,0),'1OZ7GT'!$L$6:$L$2989,$B$25)+SUMIFS('1CN8DD'!$K$6:$K$2989,'1CN8DD'!$J$6:$J$2989,"&gt;="&amp;AE7,'1CN8DD'!$J$6:$J$2989,"&lt;="&amp;EOMONTH(AE7,0),'1CN8DD'!$L$6:$L$2989,$B$25)+SUMIFS('1UT9BR'!$K$6:$K$2990,'1UT9BR'!$J$6:$J$2990,"&gt;="&amp;AE7,'1UT9BR'!$J$6:$J$2990,"&lt;="&amp;EOMONTH(AE7,0),'1UT9BR'!$L$6:$L$2990,$B$25)+SUMIFS('1MK4UR'!$K$6:$K$2990,'1MK4UR'!$J$6:$J$2990,"&gt;="&amp;AE7,'1MK4UR'!$J$6:$J$2990,"&lt;="&amp;EOMONTH(AE7,0),'1MK4UR'!$L$6:$L$2990,$B$25)+SUMIFS(#REF!,#REF!,"&gt;="&amp;AE7,#REF!,"&lt;="&amp;EOMONTH(AE7,0),#REF!,$B$25)+SUMIFS('1JI2UE'!$K$6:$K$2989,'1JI2UE'!$J$6:$J$2989,"&gt;="&amp;AE7,'1JI2UE'!$J$6:$J$2989,"&lt;="&amp;EOMONTH(AE7,0),'1JI2UE'!$L$6:$L$2989,$B$25)+SUMIFS(#REF!,#REF!,"&gt;="&amp;AE7,#REF!,"&lt;="&amp;EOMONTH(AE7,0),#REF!,$B$25)+SUMIFS('1SI9BW'!$K$6:$K$2989,'1SI9BW'!$J$6:$J$2989,"&gt;="&amp;AE7,'1SI9BW'!$J$6:$J$2989,"&lt;="&amp;EOMONTH(AE7,0),'1SI9BW'!$L$6:$L$2989,$B$25)+SUMIFS(Suzuki!$K$6:$K$2989,Suzuki!$J$6:$J$2989,"&gt;="&amp;AE7,Suzuki!$J$6:$J$2989,"&lt;="&amp;EOMONTH(AE7,0),Suzuki!$L$6:$L$2989,$B$25)+SUMIFS('1SK3DD'!$K$6:$K$2989,'1SK3DD'!$J$6:$J$2989,"&gt;="&amp;AE7,'1SK3DD'!$J$6:$J$2989,"&lt;="&amp;EOMONTH(AE7,0),'1SK3DD'!$L$6:$L$2989,$B$25)+SUMIFS('1SX5TQ'!$K$6:$K$2989,'1SX5TQ'!$J$6:$J$2989,"&gt;="&amp;AE7,'1SX5TQ'!$J$6:$J$2989,"&lt;="&amp;EOMONTH(AE7,0),'1SX5TQ'!$L$6:$L$2989,$B$25)+SUMIFS('BMM465'!$K$6:$K$2989,'BMM465'!$J$6:$J$2989,"&gt;="&amp;AE7,'BMM465'!$J$6:$J$2989,"&lt;="&amp;EOMONTH(AE7,0),'BMM465'!$L$6:$L$2989,$B$25)+SUMIFS('1CF1ZO'!$K$6:$K$2989,'1CF1ZO'!$J$6:$J$2989,"&gt;="&amp;AE7,'1CF1ZO'!$J$6:$J$2989,"&lt;="&amp;EOMONTH(AE7,0),'1CF1ZO'!$L$6:$L$2989,$B$25)+SUMIFS('1UK1BK'!$K$6:$K$2989,'1UK1BK'!$J$6:$J$2989,"&gt;="&amp;AE7,'1UK1BK'!$J$6:$J$2989,"&lt;="&amp;EOMONTH(AE7,0),'1UK1BK'!$L$6:$L$2989,$B$25)</f>
        <v>#REF!</v>
      </c>
      <c r="AF25" s="110" t="e">
        <f>SUMIFS('CEI565'!$K$6:$K$2990,'CEI565'!$J$6:$J$2990,"&gt;="&amp;AF7,'CEI565'!$J$6:$J$2990,"&lt;="&amp;EOMONTH(AF7,0),'CEI565'!$L$6:$L$2990,$B$25)+SUMIFS('1SM3VL'!$K$6:$K$2990,'1SM3VL'!$J$6:$J$2990,"&gt;="&amp;AF7,'1SM3VL'!$J$6:$J$2990,"&lt;="&amp;EOMONTH(AF7,0),'1SM3VL'!$L$6:$L$2990,$B$25)+SUMIFS('1QF4SM'!$K$6:$K$2989,'1QF4SM'!$J$6:$J$2989,"&gt;="&amp;AF7,'1QF4SM'!$J$6:$J$2989,"&lt;="&amp;EOMONTH(AF7,0),'1QF4SM'!$L$6:$L$2989,$B$25)+SUMIFS('1UV5KI'!$K$6:$K$2989,'1UV5KI'!$J$6:$J$2989,"&gt;="&amp;AF7,'1UV5KI'!$J$6:$J$2989,"&lt;="&amp;EOMONTH(AF7,0),'1UV5KI'!$L$6:$L$2989,$B$25)+SUMIFS(#REF!,#REF!,"&gt;="&amp;AF7,#REF!,"&lt;="&amp;EOMONTH(AF7,0),#REF!,$B$25)+SUMIFS('1UL9RY'!$K$6:$K$2990,'1UL9RY'!$J$6:$J$2990,"&gt;="&amp;AF7,'1UL9RY'!$J$6:$J$2990,"&lt;="&amp;EOMONTH(AF7,0),'1UL9RY'!$L$6:$L$2990,$B$25)+SUMIFS('1OZ7GT'!$K$6:$K$2989,'1OZ7GT'!$J$6:$J$2989,"&gt;="&amp;AF7,'1OZ7GT'!$J$6:$J$2989,"&lt;="&amp;EOMONTH(AF7,0),'1OZ7GT'!$L$6:$L$2989,$B$25)+SUMIFS('1CN8DD'!$K$6:$K$2989,'1CN8DD'!$J$6:$J$2989,"&gt;="&amp;AF7,'1CN8DD'!$J$6:$J$2989,"&lt;="&amp;EOMONTH(AF7,0),'1CN8DD'!$L$6:$L$2989,$B$25)+SUMIFS('1UT9BR'!$K$6:$K$2990,'1UT9BR'!$J$6:$J$2990,"&gt;="&amp;AF7,'1UT9BR'!$J$6:$J$2990,"&lt;="&amp;EOMONTH(AF7,0),'1UT9BR'!$L$6:$L$2990,$B$25)+SUMIFS('1MK4UR'!$K$6:$K$2990,'1MK4UR'!$J$6:$J$2990,"&gt;="&amp;AF7,'1MK4UR'!$J$6:$J$2990,"&lt;="&amp;EOMONTH(AF7,0),'1MK4UR'!$L$6:$L$2990,$B$25)+SUMIFS(#REF!,#REF!,"&gt;="&amp;AF7,#REF!,"&lt;="&amp;EOMONTH(AF7,0),#REF!,$B$25)+SUMIFS('1JI2UE'!$K$6:$K$2989,'1JI2UE'!$J$6:$J$2989,"&gt;="&amp;AF7,'1JI2UE'!$J$6:$J$2989,"&lt;="&amp;EOMONTH(AF7,0),'1JI2UE'!$L$6:$L$2989,$B$25)+SUMIFS(#REF!,#REF!,"&gt;="&amp;AF7,#REF!,"&lt;="&amp;EOMONTH(AF7,0),#REF!,$B$25)+SUMIFS('1SI9BW'!$K$6:$K$2989,'1SI9BW'!$J$6:$J$2989,"&gt;="&amp;AF7,'1SI9BW'!$J$6:$J$2989,"&lt;="&amp;EOMONTH(AF7,0),'1SI9BW'!$L$6:$L$2989,$B$25)+SUMIFS(Suzuki!$K$6:$K$2989,Suzuki!$J$6:$J$2989,"&gt;="&amp;AF7,Suzuki!$J$6:$J$2989,"&lt;="&amp;EOMONTH(AF7,0),Suzuki!$L$6:$L$2989,$B$25)+SUMIFS('1SK3DD'!$K$6:$K$2989,'1SK3DD'!$J$6:$J$2989,"&gt;="&amp;AF7,'1SK3DD'!$J$6:$J$2989,"&lt;="&amp;EOMONTH(AF7,0),'1SK3DD'!$L$6:$L$2989,$B$25)+SUMIFS('1SX5TQ'!$K$6:$K$2989,'1SX5TQ'!$J$6:$J$2989,"&gt;="&amp;AF7,'1SX5TQ'!$J$6:$J$2989,"&lt;="&amp;EOMONTH(AF7,0),'1SX5TQ'!$L$6:$L$2989,$B$25)+SUMIFS('BMM465'!$K$6:$K$2989,'BMM465'!$J$6:$J$2989,"&gt;="&amp;AF7,'BMM465'!$J$6:$J$2989,"&lt;="&amp;EOMONTH(AF7,0),'BMM465'!$L$6:$L$2989,$B$25)+SUMIFS('1CF1ZO'!$K$6:$K$2989,'1CF1ZO'!$J$6:$J$2989,"&gt;="&amp;AF7,'1CF1ZO'!$J$6:$J$2989,"&lt;="&amp;EOMONTH(AF7,0),'1CF1ZO'!$L$6:$L$2989,$B$25)+SUMIFS('1UK1BK'!$K$6:$K$2989,'1UK1BK'!$J$6:$J$2989,"&gt;="&amp;AF7,'1UK1BK'!$J$6:$J$2989,"&lt;="&amp;EOMONTH(AF7,0),'1UK1BK'!$L$6:$L$2989,$B$25)</f>
        <v>#REF!</v>
      </c>
      <c r="AG25" s="110" t="e">
        <f>SUMIFS('CEI565'!$K$6:$K$2990,'CEI565'!$J$6:$J$2990,"&gt;="&amp;AG7,'CEI565'!$J$6:$J$2990,"&lt;="&amp;EOMONTH(AG7,0),'CEI565'!$L$6:$L$2990,$B$25)+SUMIFS('1SM3VL'!$K$6:$K$2990,'1SM3VL'!$J$6:$J$2990,"&gt;="&amp;AG7,'1SM3VL'!$J$6:$J$2990,"&lt;="&amp;EOMONTH(AG7,0),'1SM3VL'!$L$6:$L$2990,$B$25)+SUMIFS('1QF4SM'!$K$6:$K$2989,'1QF4SM'!$J$6:$J$2989,"&gt;="&amp;AG7,'1QF4SM'!$J$6:$J$2989,"&lt;="&amp;EOMONTH(AG7,0),'1QF4SM'!$L$6:$L$2989,$B$25)+SUMIFS('1UV5KI'!$K$6:$K$2989,'1UV5KI'!$J$6:$J$2989,"&gt;="&amp;AG7,'1UV5KI'!$J$6:$J$2989,"&lt;="&amp;EOMONTH(AG7,0),'1UV5KI'!$L$6:$L$2989,$B$25)+SUMIFS(#REF!,#REF!,"&gt;="&amp;AG7,#REF!,"&lt;="&amp;EOMONTH(AG7,0),#REF!,$B$25)+SUMIFS('1UL9RY'!$K$6:$K$2990,'1UL9RY'!$J$6:$J$2990,"&gt;="&amp;AG7,'1UL9RY'!$J$6:$J$2990,"&lt;="&amp;EOMONTH(AG7,0),'1UL9RY'!$L$6:$L$2990,$B$25)+SUMIFS('1OZ7GT'!$K$6:$K$2989,'1OZ7GT'!$J$6:$J$2989,"&gt;="&amp;AG7,'1OZ7GT'!$J$6:$J$2989,"&lt;="&amp;EOMONTH(AG7,0),'1OZ7GT'!$L$6:$L$2989,$B$25)+SUMIFS('1CN8DD'!$K$6:$K$2989,'1CN8DD'!$J$6:$J$2989,"&gt;="&amp;AG7,'1CN8DD'!$J$6:$J$2989,"&lt;="&amp;EOMONTH(AG7,0),'1CN8DD'!$L$6:$L$2989,$B$25)+SUMIFS('1UT9BR'!$K$6:$K$2990,'1UT9BR'!$J$6:$J$2990,"&gt;="&amp;AG7,'1UT9BR'!$J$6:$J$2990,"&lt;="&amp;EOMONTH(AG7,0),'1UT9BR'!$L$6:$L$2990,$B$25)+SUMIFS('1MK4UR'!$K$6:$K$2990,'1MK4UR'!$J$6:$J$2990,"&gt;="&amp;AG7,'1MK4UR'!$J$6:$J$2990,"&lt;="&amp;EOMONTH(AG7,0),'1MK4UR'!$L$6:$L$2990,$B$25)+SUMIFS(#REF!,#REF!,"&gt;="&amp;AG7,#REF!,"&lt;="&amp;EOMONTH(AG7,0),#REF!,$B$25)+SUMIFS('1JI2UE'!$K$6:$K$2989,'1JI2UE'!$J$6:$J$2989,"&gt;="&amp;AG7,'1JI2UE'!$J$6:$J$2989,"&lt;="&amp;EOMONTH(AG7,0),'1JI2UE'!$L$6:$L$2989,$B$25)+SUMIFS(#REF!,#REF!,"&gt;="&amp;AG7,#REF!,"&lt;="&amp;EOMONTH(AG7,0),#REF!,$B$25)+SUMIFS('1SI9BW'!$K$6:$K$2989,'1SI9BW'!$J$6:$J$2989,"&gt;="&amp;AG7,'1SI9BW'!$J$6:$J$2989,"&lt;="&amp;EOMONTH(AG7,0),'1SI9BW'!$L$6:$L$2989,$B$25)+SUMIFS(Suzuki!$K$6:$K$2989,Suzuki!$J$6:$J$2989,"&gt;="&amp;AG7,Suzuki!$J$6:$J$2989,"&lt;="&amp;EOMONTH(AG7,0),Suzuki!$L$6:$L$2989,$B$25)+SUMIFS('1SK3DD'!$K$6:$K$2989,'1SK3DD'!$J$6:$J$2989,"&gt;="&amp;AG7,'1SK3DD'!$J$6:$J$2989,"&lt;="&amp;EOMONTH(AG7,0),'1SK3DD'!$L$6:$L$2989,$B$25)+SUMIFS('1SX5TQ'!$K$6:$K$2989,'1SX5TQ'!$J$6:$J$2989,"&gt;="&amp;AG7,'1SX5TQ'!$J$6:$J$2989,"&lt;="&amp;EOMONTH(AG7,0),'1SX5TQ'!$L$6:$L$2989,$B$25)+SUMIFS('BMM465'!$K$6:$K$2989,'BMM465'!$J$6:$J$2989,"&gt;="&amp;AG7,'BMM465'!$J$6:$J$2989,"&lt;="&amp;EOMONTH(AG7,0),'BMM465'!$L$6:$L$2989,$B$25)+SUMIFS('1CF1ZO'!$K$6:$K$2989,'1CF1ZO'!$J$6:$J$2989,"&gt;="&amp;AG7,'1CF1ZO'!$J$6:$J$2989,"&lt;="&amp;EOMONTH(AG7,0),'1CF1ZO'!$L$6:$L$2989,$B$25)+SUMIFS('1UK1BK'!$K$6:$K$2989,'1UK1BK'!$J$6:$J$2989,"&gt;="&amp;AG7,'1UK1BK'!$J$6:$J$2989,"&lt;="&amp;EOMONTH(AG7,0),'1UK1BK'!$L$6:$L$2989,$B$25)</f>
        <v>#REF!</v>
      </c>
      <c r="AH25" s="110" t="e">
        <f>SUMIFS('CEI565'!$K$6:$K$2990,'CEI565'!$J$6:$J$2990,"&gt;="&amp;AH7,'CEI565'!$J$6:$J$2990,"&lt;="&amp;EOMONTH(AH7,0),'CEI565'!$L$6:$L$2990,$B$25)+SUMIFS('1SM3VL'!$K$6:$K$2990,'1SM3VL'!$J$6:$J$2990,"&gt;="&amp;AH7,'1SM3VL'!$J$6:$J$2990,"&lt;="&amp;EOMONTH(AH7,0),'1SM3VL'!$L$6:$L$2990,$B$25)+SUMIFS('1QF4SM'!$K$6:$K$2989,'1QF4SM'!$J$6:$J$2989,"&gt;="&amp;AH7,'1QF4SM'!$J$6:$J$2989,"&lt;="&amp;EOMONTH(AH7,0),'1QF4SM'!$L$6:$L$2989,$B$25)+SUMIFS('1UV5KI'!$K$6:$K$2989,'1UV5KI'!$J$6:$J$2989,"&gt;="&amp;AH7,'1UV5KI'!$J$6:$J$2989,"&lt;="&amp;EOMONTH(AH7,0),'1UV5KI'!$L$6:$L$2989,$B$25)+SUMIFS(#REF!,#REF!,"&gt;="&amp;AH7,#REF!,"&lt;="&amp;EOMONTH(AH7,0),#REF!,$B$25)+SUMIFS('1UL9RY'!$K$6:$K$2990,'1UL9RY'!$J$6:$J$2990,"&gt;="&amp;AH7,'1UL9RY'!$J$6:$J$2990,"&lt;="&amp;EOMONTH(AH7,0),'1UL9RY'!$L$6:$L$2990,$B$25)+SUMIFS('1OZ7GT'!$K$6:$K$2989,'1OZ7GT'!$J$6:$J$2989,"&gt;="&amp;AH7,'1OZ7GT'!$J$6:$J$2989,"&lt;="&amp;EOMONTH(AH7,0),'1OZ7GT'!$L$6:$L$2989,$B$25)+SUMIFS('1CN8DD'!$K$6:$K$2989,'1CN8DD'!$J$6:$J$2989,"&gt;="&amp;AH7,'1CN8DD'!$J$6:$J$2989,"&lt;="&amp;EOMONTH(AH7,0),'1CN8DD'!$L$6:$L$2989,$B$25)+SUMIFS('1UT9BR'!$K$6:$K$2990,'1UT9BR'!$J$6:$J$2990,"&gt;="&amp;AH7,'1UT9BR'!$J$6:$J$2990,"&lt;="&amp;EOMONTH(AH7,0),'1UT9BR'!$L$6:$L$2990,$B$25)+SUMIFS('1MK4UR'!$K$6:$K$2990,'1MK4UR'!$J$6:$J$2990,"&gt;="&amp;AH7,'1MK4UR'!$J$6:$J$2990,"&lt;="&amp;EOMONTH(AH7,0),'1MK4UR'!$L$6:$L$2990,$B$25)+SUMIFS(#REF!,#REF!,"&gt;="&amp;AH7,#REF!,"&lt;="&amp;EOMONTH(AH7,0),#REF!,$B$25)+SUMIFS('1JI2UE'!$K$6:$K$2989,'1JI2UE'!$J$6:$J$2989,"&gt;="&amp;AH7,'1JI2UE'!$J$6:$J$2989,"&lt;="&amp;EOMONTH(AH7,0),'1JI2UE'!$L$6:$L$2989,$B$25)+SUMIFS(#REF!,#REF!,"&gt;="&amp;AH7,#REF!,"&lt;="&amp;EOMONTH(AH7,0),#REF!,$B$25)+SUMIFS('1SI9BW'!$K$6:$K$2989,'1SI9BW'!$J$6:$J$2989,"&gt;="&amp;AH7,'1SI9BW'!$J$6:$J$2989,"&lt;="&amp;EOMONTH(AH7,0),'1SI9BW'!$L$6:$L$2989,$B$25)+SUMIFS(Suzuki!$K$6:$K$2989,Suzuki!$J$6:$J$2989,"&gt;="&amp;AH7,Suzuki!$J$6:$J$2989,"&lt;="&amp;EOMONTH(AH7,0),Suzuki!$L$6:$L$2989,$B$25)+SUMIFS('1SK3DD'!$K$6:$K$2989,'1SK3DD'!$J$6:$J$2989,"&gt;="&amp;AH7,'1SK3DD'!$J$6:$J$2989,"&lt;="&amp;EOMONTH(AH7,0),'1SK3DD'!$L$6:$L$2989,$B$25)+SUMIFS('1SX5TQ'!$K$6:$K$2989,'1SX5TQ'!$J$6:$J$2989,"&gt;="&amp;AH7,'1SX5TQ'!$J$6:$J$2989,"&lt;="&amp;EOMONTH(AH7,0),'1SX5TQ'!$L$6:$L$2989,$B$25)+SUMIFS('BMM465'!$K$6:$K$2989,'BMM465'!$J$6:$J$2989,"&gt;="&amp;AH7,'BMM465'!$J$6:$J$2989,"&lt;="&amp;EOMONTH(AH7,0),'BMM465'!$L$6:$L$2989,$B$25)+SUMIFS('1CF1ZO'!$K$6:$K$2989,'1CF1ZO'!$J$6:$J$2989,"&gt;="&amp;AH7,'1CF1ZO'!$J$6:$J$2989,"&lt;="&amp;EOMONTH(AH7,0),'1CF1ZO'!$L$6:$L$2989,$B$25)+SUMIFS('1UK1BK'!$K$6:$K$2989,'1UK1BK'!$J$6:$J$2989,"&gt;="&amp;AH7,'1UK1BK'!$J$6:$J$2989,"&lt;="&amp;EOMONTH(AH7,0),'1UK1BK'!$L$6:$L$2989,$B$25)</f>
        <v>#REF!</v>
      </c>
      <c r="AI25" s="110" t="e">
        <f>SUMIFS('CEI565'!$K$6:$K$2990,'CEI565'!$J$6:$J$2990,"&gt;="&amp;AI7,'CEI565'!$J$6:$J$2990,"&lt;="&amp;EOMONTH(AI7,0),'CEI565'!$L$6:$L$2990,$B$25)+SUMIFS('1SM3VL'!$K$6:$K$2990,'1SM3VL'!$J$6:$J$2990,"&gt;="&amp;AI7,'1SM3VL'!$J$6:$J$2990,"&lt;="&amp;EOMONTH(AI7,0),'1SM3VL'!$L$6:$L$2990,$B$25)+SUMIFS('1QF4SM'!$K$6:$K$2989,'1QF4SM'!$J$6:$J$2989,"&gt;="&amp;AI7,'1QF4SM'!$J$6:$J$2989,"&lt;="&amp;EOMONTH(AI7,0),'1QF4SM'!$L$6:$L$2989,$B$25)+SUMIFS('1UV5KI'!$K$6:$K$2989,'1UV5KI'!$J$6:$J$2989,"&gt;="&amp;AI7,'1UV5KI'!$J$6:$J$2989,"&lt;="&amp;EOMONTH(AI7,0),'1UV5KI'!$L$6:$L$2989,$B$25)+SUMIFS(#REF!,#REF!,"&gt;="&amp;AI7,#REF!,"&lt;="&amp;EOMONTH(AI7,0),#REF!,$B$25)+SUMIFS('1UL9RY'!$K$6:$K$2990,'1UL9RY'!$J$6:$J$2990,"&gt;="&amp;AI7,'1UL9RY'!$J$6:$J$2990,"&lt;="&amp;EOMONTH(AI7,0),'1UL9RY'!$L$6:$L$2990,$B$25)+SUMIFS('1OZ7GT'!$K$6:$K$2989,'1OZ7GT'!$J$6:$J$2989,"&gt;="&amp;AI7,'1OZ7GT'!$J$6:$J$2989,"&lt;="&amp;EOMONTH(AI7,0),'1OZ7GT'!$L$6:$L$2989,$B$25)+SUMIFS('1CN8DD'!$K$6:$K$2989,'1CN8DD'!$J$6:$J$2989,"&gt;="&amp;AI7,'1CN8DD'!$J$6:$J$2989,"&lt;="&amp;EOMONTH(AI7,0),'1CN8DD'!$L$6:$L$2989,$B$25)+SUMIFS('1UT9BR'!$K$6:$K$2990,'1UT9BR'!$J$6:$J$2990,"&gt;="&amp;AI7,'1UT9BR'!$J$6:$J$2990,"&lt;="&amp;EOMONTH(AI7,0),'1UT9BR'!$L$6:$L$2990,$B$25)+SUMIFS('1MK4UR'!$K$6:$K$2990,'1MK4UR'!$J$6:$J$2990,"&gt;="&amp;AI7,'1MK4UR'!$J$6:$J$2990,"&lt;="&amp;EOMONTH(AI7,0),'1MK4UR'!$L$6:$L$2990,$B$25)+SUMIFS(#REF!,#REF!,"&gt;="&amp;AI7,#REF!,"&lt;="&amp;EOMONTH(AI7,0),#REF!,$B$25)+SUMIFS('1JI2UE'!$K$6:$K$2989,'1JI2UE'!$J$6:$J$2989,"&gt;="&amp;AI7,'1JI2UE'!$J$6:$J$2989,"&lt;="&amp;EOMONTH(AI7,0),'1JI2UE'!$L$6:$L$2989,$B$25)+SUMIFS(#REF!,#REF!,"&gt;="&amp;AI7,#REF!,"&lt;="&amp;EOMONTH(AI7,0),#REF!,$B$25)+SUMIFS('1SI9BW'!$K$6:$K$2989,'1SI9BW'!$J$6:$J$2989,"&gt;="&amp;AI7,'1SI9BW'!$J$6:$J$2989,"&lt;="&amp;EOMONTH(AI7,0),'1SI9BW'!$L$6:$L$2989,$B$25)+SUMIFS(Suzuki!$K$6:$K$2989,Suzuki!$J$6:$J$2989,"&gt;="&amp;AI7,Suzuki!$J$6:$J$2989,"&lt;="&amp;EOMONTH(AI7,0),Suzuki!$L$6:$L$2989,$B$25)+SUMIFS('1SK3DD'!$K$6:$K$2989,'1SK3DD'!$J$6:$J$2989,"&gt;="&amp;AI7,'1SK3DD'!$J$6:$J$2989,"&lt;="&amp;EOMONTH(AI7,0),'1SK3DD'!$L$6:$L$2989,$B$25)+SUMIFS('1SX5TQ'!$K$6:$K$2989,'1SX5TQ'!$J$6:$J$2989,"&gt;="&amp;AI7,'1SX5TQ'!$J$6:$J$2989,"&lt;="&amp;EOMONTH(AI7,0),'1SX5TQ'!$L$6:$L$2989,$B$25)+SUMIFS('BMM465'!$K$6:$K$2989,'BMM465'!$J$6:$J$2989,"&gt;="&amp;AI7,'BMM465'!$J$6:$J$2989,"&lt;="&amp;EOMONTH(AI7,0),'BMM465'!$L$6:$L$2989,$B$25)+SUMIFS('1CF1ZO'!$K$6:$K$2989,'1CF1ZO'!$J$6:$J$2989,"&gt;="&amp;AI7,'1CF1ZO'!$J$6:$J$2989,"&lt;="&amp;EOMONTH(AI7,0),'1CF1ZO'!$L$6:$L$2989,$B$25)+SUMIFS('1UK1BK'!$K$6:$K$2989,'1UK1BK'!$J$6:$J$2989,"&gt;="&amp;AI7,'1UK1BK'!$J$6:$J$2989,"&lt;="&amp;EOMONTH(AI7,0),'1UK1BK'!$L$6:$L$2989,$B$25)</f>
        <v>#REF!</v>
      </c>
      <c r="AJ25" s="110" t="e">
        <f>SUMIFS('CEI565'!$K$6:$K$2990,'CEI565'!$J$6:$J$2990,"&gt;="&amp;AJ7,'CEI565'!$J$6:$J$2990,"&lt;="&amp;EOMONTH(AJ7,0),'CEI565'!$L$6:$L$2990,$B$25)+SUMIFS('1SM3VL'!$K$6:$K$2990,'1SM3VL'!$J$6:$J$2990,"&gt;="&amp;AJ7,'1SM3VL'!$J$6:$J$2990,"&lt;="&amp;EOMONTH(AJ7,0),'1SM3VL'!$L$6:$L$2990,$B$25)+SUMIFS('1QF4SM'!$K$6:$K$2989,'1QF4SM'!$J$6:$J$2989,"&gt;="&amp;AJ7,'1QF4SM'!$J$6:$J$2989,"&lt;="&amp;EOMONTH(AJ7,0),'1QF4SM'!$L$6:$L$2989,$B$25)+SUMIFS('1UV5KI'!$K$6:$K$2989,'1UV5KI'!$J$6:$J$2989,"&gt;="&amp;AJ7,'1UV5KI'!$J$6:$J$2989,"&lt;="&amp;EOMONTH(AJ7,0),'1UV5KI'!$L$6:$L$2989,$B$25)+SUMIFS(#REF!,#REF!,"&gt;="&amp;AJ7,#REF!,"&lt;="&amp;EOMONTH(AJ7,0),#REF!,$B$25)+SUMIFS('1UL9RY'!$K$6:$K$2990,'1UL9RY'!$J$6:$J$2990,"&gt;="&amp;AJ7,'1UL9RY'!$J$6:$J$2990,"&lt;="&amp;EOMONTH(AJ7,0),'1UL9RY'!$L$6:$L$2990,$B$25)+SUMIFS('1OZ7GT'!$K$6:$K$2989,'1OZ7GT'!$J$6:$J$2989,"&gt;="&amp;AJ7,'1OZ7GT'!$J$6:$J$2989,"&lt;="&amp;EOMONTH(AJ7,0),'1OZ7GT'!$L$6:$L$2989,$B$25)+SUMIFS('1CN8DD'!$K$6:$K$2989,'1CN8DD'!$J$6:$J$2989,"&gt;="&amp;AJ7,'1CN8DD'!$J$6:$J$2989,"&lt;="&amp;EOMONTH(AJ7,0),'1CN8DD'!$L$6:$L$2989,$B$25)+SUMIFS('1UT9BR'!$K$6:$K$2990,'1UT9BR'!$J$6:$J$2990,"&gt;="&amp;AJ7,'1UT9BR'!$J$6:$J$2990,"&lt;="&amp;EOMONTH(AJ7,0),'1UT9BR'!$L$6:$L$2990,$B$25)+SUMIFS('1MK4UR'!$K$6:$K$2990,'1MK4UR'!$J$6:$J$2990,"&gt;="&amp;AJ7,'1MK4UR'!$J$6:$J$2990,"&lt;="&amp;EOMONTH(AJ7,0),'1MK4UR'!$L$6:$L$2990,$B$25)+SUMIFS(#REF!,#REF!,"&gt;="&amp;AJ7,#REF!,"&lt;="&amp;EOMONTH(AJ7,0),#REF!,$B$25)+SUMIFS('1JI2UE'!$K$6:$K$2989,'1JI2UE'!$J$6:$J$2989,"&gt;="&amp;AJ7,'1JI2UE'!$J$6:$J$2989,"&lt;="&amp;EOMONTH(AJ7,0),'1JI2UE'!$L$6:$L$2989,$B$25)+SUMIFS(#REF!,#REF!,"&gt;="&amp;AJ7,#REF!,"&lt;="&amp;EOMONTH(AJ7,0),#REF!,$B$25)+SUMIFS('1SI9BW'!$K$6:$K$2989,'1SI9BW'!$J$6:$J$2989,"&gt;="&amp;AJ7,'1SI9BW'!$J$6:$J$2989,"&lt;="&amp;EOMONTH(AJ7,0),'1SI9BW'!$L$6:$L$2989,$B$25)+SUMIFS(Suzuki!$K$6:$K$2989,Suzuki!$J$6:$J$2989,"&gt;="&amp;AJ7,Suzuki!$J$6:$J$2989,"&lt;="&amp;EOMONTH(AJ7,0),Suzuki!$L$6:$L$2989,$B$25)+SUMIFS('1SK3DD'!$K$6:$K$2989,'1SK3DD'!$J$6:$J$2989,"&gt;="&amp;AJ7,'1SK3DD'!$J$6:$J$2989,"&lt;="&amp;EOMONTH(AJ7,0),'1SK3DD'!$L$6:$L$2989,$B$25)+SUMIFS('1SX5TQ'!$K$6:$K$2989,'1SX5TQ'!$J$6:$J$2989,"&gt;="&amp;AJ7,'1SX5TQ'!$J$6:$J$2989,"&lt;="&amp;EOMONTH(AJ7,0),'1SX5TQ'!$L$6:$L$2989,$B$25)+SUMIFS('BMM465'!$K$6:$K$2989,'BMM465'!$J$6:$J$2989,"&gt;="&amp;AJ7,'BMM465'!$J$6:$J$2989,"&lt;="&amp;EOMONTH(AJ7,0),'BMM465'!$L$6:$L$2989,$B$25)+SUMIFS('1CF1ZO'!$K$6:$K$2989,'1CF1ZO'!$J$6:$J$2989,"&gt;="&amp;AJ7,'1CF1ZO'!$J$6:$J$2989,"&lt;="&amp;EOMONTH(AJ7,0),'1CF1ZO'!$L$6:$L$2989,$B$25)+SUMIFS('1UK1BK'!$K$6:$K$2989,'1UK1BK'!$J$6:$J$2989,"&gt;="&amp;AJ7,'1UK1BK'!$J$6:$J$2989,"&lt;="&amp;EOMONTH(AJ7,0),'1UK1BK'!$L$6:$L$2989,$B$25)</f>
        <v>#REF!</v>
      </c>
      <c r="AK25" s="110" t="e">
        <f>SUMIFS('CEI565'!$K$6:$K$2990,'CEI565'!$J$6:$J$2990,"&gt;="&amp;AK7,'CEI565'!$J$6:$J$2990,"&lt;="&amp;EOMONTH(AK7,0),'CEI565'!$L$6:$L$2990,$B$25)+SUMIFS('1SM3VL'!$K$6:$K$2990,'1SM3VL'!$J$6:$J$2990,"&gt;="&amp;AK7,'1SM3VL'!$J$6:$J$2990,"&lt;="&amp;EOMONTH(AK7,0),'1SM3VL'!$L$6:$L$2990,$B$25)+SUMIFS('1QF4SM'!$K$6:$K$2989,'1QF4SM'!$J$6:$J$2989,"&gt;="&amp;AK7,'1QF4SM'!$J$6:$J$2989,"&lt;="&amp;EOMONTH(AK7,0),'1QF4SM'!$L$6:$L$2989,$B$25)+SUMIFS('1UV5KI'!$K$6:$K$2989,'1UV5KI'!$J$6:$J$2989,"&gt;="&amp;AK7,'1UV5KI'!$J$6:$J$2989,"&lt;="&amp;EOMONTH(AK7,0),'1UV5KI'!$L$6:$L$2989,$B$25)+SUMIFS(#REF!,#REF!,"&gt;="&amp;AK7,#REF!,"&lt;="&amp;EOMONTH(AK7,0),#REF!,$B$25)+SUMIFS('1UL9RY'!$K$6:$K$2990,'1UL9RY'!$J$6:$J$2990,"&gt;="&amp;AK7,'1UL9RY'!$J$6:$J$2990,"&lt;="&amp;EOMONTH(AK7,0),'1UL9RY'!$L$6:$L$2990,$B$25)+SUMIFS('1OZ7GT'!$K$6:$K$2989,'1OZ7GT'!$J$6:$J$2989,"&gt;="&amp;AK7,'1OZ7GT'!$J$6:$J$2989,"&lt;="&amp;EOMONTH(AK7,0),'1OZ7GT'!$L$6:$L$2989,$B$25)+SUMIFS('1CN8DD'!$K$6:$K$2989,'1CN8DD'!$J$6:$J$2989,"&gt;="&amp;AK7,'1CN8DD'!$J$6:$J$2989,"&lt;="&amp;EOMONTH(AK7,0),'1CN8DD'!$L$6:$L$2989,$B$25)+SUMIFS('1UT9BR'!$K$6:$K$2990,'1UT9BR'!$J$6:$J$2990,"&gt;="&amp;AK7,'1UT9BR'!$J$6:$J$2990,"&lt;="&amp;EOMONTH(AK7,0),'1UT9BR'!$L$6:$L$2990,$B$25)+SUMIFS('1MK4UR'!$K$6:$K$2990,'1MK4UR'!$J$6:$J$2990,"&gt;="&amp;AK7,'1MK4UR'!$J$6:$J$2990,"&lt;="&amp;EOMONTH(AK7,0),'1MK4UR'!$L$6:$L$2990,$B$25)+SUMIFS(#REF!,#REF!,"&gt;="&amp;AK7,#REF!,"&lt;="&amp;EOMONTH(AK7,0),#REF!,$B$25)+SUMIFS('1JI2UE'!$K$6:$K$2989,'1JI2UE'!$J$6:$J$2989,"&gt;="&amp;AK7,'1JI2UE'!$J$6:$J$2989,"&lt;="&amp;EOMONTH(AK7,0),'1JI2UE'!$L$6:$L$2989,$B$25)+SUMIFS(#REF!,#REF!,"&gt;="&amp;AK7,#REF!,"&lt;="&amp;EOMONTH(AK7,0),#REF!,$B$25)+SUMIFS('1SI9BW'!$K$6:$K$2989,'1SI9BW'!$J$6:$J$2989,"&gt;="&amp;AK7,'1SI9BW'!$J$6:$J$2989,"&lt;="&amp;EOMONTH(AK7,0),'1SI9BW'!$L$6:$L$2989,$B$25)+SUMIFS(Suzuki!$K$6:$K$2989,Suzuki!$J$6:$J$2989,"&gt;="&amp;AK7,Suzuki!$J$6:$J$2989,"&lt;="&amp;EOMONTH(AK7,0),Suzuki!$L$6:$L$2989,$B$25)+SUMIFS('1SK3DD'!$K$6:$K$2989,'1SK3DD'!$J$6:$J$2989,"&gt;="&amp;AK7,'1SK3DD'!$J$6:$J$2989,"&lt;="&amp;EOMONTH(AK7,0),'1SK3DD'!$L$6:$L$2989,$B$25)+SUMIFS('1SX5TQ'!$K$6:$K$2989,'1SX5TQ'!$J$6:$J$2989,"&gt;="&amp;AK7,'1SX5TQ'!$J$6:$J$2989,"&lt;="&amp;EOMONTH(AK7,0),'1SX5TQ'!$L$6:$L$2989,$B$25)+SUMIFS('BMM465'!$K$6:$K$2989,'BMM465'!$J$6:$J$2989,"&gt;="&amp;AK7,'BMM465'!$J$6:$J$2989,"&lt;="&amp;EOMONTH(AK7,0),'BMM465'!$L$6:$L$2989,$B$25)+SUMIFS('1CF1ZO'!$K$6:$K$2989,'1CF1ZO'!$J$6:$J$2989,"&gt;="&amp;AK7,'1CF1ZO'!$J$6:$J$2989,"&lt;="&amp;EOMONTH(AK7,0),'1CF1ZO'!$L$6:$L$2989,$B$25)+SUMIFS('1UK1BK'!$K$6:$K$2989,'1UK1BK'!$J$6:$J$2989,"&gt;="&amp;AK7,'1UK1BK'!$J$6:$J$2989,"&lt;="&amp;EOMONTH(AK7,0),'1UK1BK'!$L$6:$L$2989,$B$25)</f>
        <v>#REF!</v>
      </c>
      <c r="AL25" s="110" t="e">
        <f>SUMIFS('CEI565'!$K$6:$K$2990,'CEI565'!$J$6:$J$2990,"&gt;="&amp;AL7,'CEI565'!$J$6:$J$2990,"&lt;="&amp;EOMONTH(AL7,0),'CEI565'!$L$6:$L$2990,$B$25)+SUMIFS('1SM3VL'!$K$6:$K$2990,'1SM3VL'!$J$6:$J$2990,"&gt;="&amp;AL7,'1SM3VL'!$J$6:$J$2990,"&lt;="&amp;EOMONTH(AL7,0),'1SM3VL'!$L$6:$L$2990,$B$25)+SUMIFS('1QF4SM'!$K$6:$K$2989,'1QF4SM'!$J$6:$J$2989,"&gt;="&amp;AL7,'1QF4SM'!$J$6:$J$2989,"&lt;="&amp;EOMONTH(AL7,0),'1QF4SM'!$L$6:$L$2989,$B$25)+SUMIFS('1UV5KI'!$K$6:$K$2989,'1UV5KI'!$J$6:$J$2989,"&gt;="&amp;AL7,'1UV5KI'!$J$6:$J$2989,"&lt;="&amp;EOMONTH(AL7,0),'1UV5KI'!$L$6:$L$2989,$B$25)+SUMIFS(#REF!,#REF!,"&gt;="&amp;AL7,#REF!,"&lt;="&amp;EOMONTH(AL7,0),#REF!,$B$25)+SUMIFS('1UL9RY'!$K$6:$K$2990,'1UL9RY'!$J$6:$J$2990,"&gt;="&amp;AL7,'1UL9RY'!$J$6:$J$2990,"&lt;="&amp;EOMONTH(AL7,0),'1UL9RY'!$L$6:$L$2990,$B$25)+SUMIFS('1OZ7GT'!$K$6:$K$2989,'1OZ7GT'!$J$6:$J$2989,"&gt;="&amp;AL7,'1OZ7GT'!$J$6:$J$2989,"&lt;="&amp;EOMONTH(AL7,0),'1OZ7GT'!$L$6:$L$2989,$B$25)+SUMIFS('1CN8DD'!$K$6:$K$2989,'1CN8DD'!$J$6:$J$2989,"&gt;="&amp;AL7,'1CN8DD'!$J$6:$J$2989,"&lt;="&amp;EOMONTH(AL7,0),'1CN8DD'!$L$6:$L$2989,$B$25)+SUMIFS('1UT9BR'!$K$6:$K$2990,'1UT9BR'!$J$6:$J$2990,"&gt;="&amp;AL7,'1UT9BR'!$J$6:$J$2990,"&lt;="&amp;EOMONTH(AL7,0),'1UT9BR'!$L$6:$L$2990,$B$25)+SUMIFS('1MK4UR'!$K$6:$K$2990,'1MK4UR'!$J$6:$J$2990,"&gt;="&amp;AL7,'1MK4UR'!$J$6:$J$2990,"&lt;="&amp;EOMONTH(AL7,0),'1MK4UR'!$L$6:$L$2990,$B$25)+SUMIFS(#REF!,#REF!,"&gt;="&amp;AL7,#REF!,"&lt;="&amp;EOMONTH(AL7,0),#REF!,$B$25)+SUMIFS('1JI2UE'!$K$6:$K$2989,'1JI2UE'!$J$6:$J$2989,"&gt;="&amp;AL7,'1JI2UE'!$J$6:$J$2989,"&lt;="&amp;EOMONTH(AL7,0),'1JI2UE'!$L$6:$L$2989,$B$25)+SUMIFS(#REF!,#REF!,"&gt;="&amp;AL7,#REF!,"&lt;="&amp;EOMONTH(AL7,0),#REF!,$B$25)+SUMIFS('1SI9BW'!$K$6:$K$2989,'1SI9BW'!$J$6:$J$2989,"&gt;="&amp;AL7,'1SI9BW'!$J$6:$J$2989,"&lt;="&amp;EOMONTH(AL7,0),'1SI9BW'!$L$6:$L$2989,$B$25)+SUMIFS(Suzuki!$K$6:$K$2989,Suzuki!$J$6:$J$2989,"&gt;="&amp;AL7,Suzuki!$J$6:$J$2989,"&lt;="&amp;EOMONTH(AL7,0),Suzuki!$L$6:$L$2989,$B$25)+SUMIFS('1SK3DD'!$K$6:$K$2989,'1SK3DD'!$J$6:$J$2989,"&gt;="&amp;AL7,'1SK3DD'!$J$6:$J$2989,"&lt;="&amp;EOMONTH(AL7,0),'1SK3DD'!$L$6:$L$2989,$B$25)+SUMIFS('1SX5TQ'!$K$6:$K$2989,'1SX5TQ'!$J$6:$J$2989,"&gt;="&amp;AL7,'1SX5TQ'!$J$6:$J$2989,"&lt;="&amp;EOMONTH(AL7,0),'1SX5TQ'!$L$6:$L$2989,$B$25)+SUMIFS('BMM465'!$K$6:$K$2989,'BMM465'!$J$6:$J$2989,"&gt;="&amp;AL7,'BMM465'!$J$6:$J$2989,"&lt;="&amp;EOMONTH(AL7,0),'BMM465'!$L$6:$L$2989,$B$25)+SUMIFS('1CF1ZO'!$K$6:$K$2989,'1CF1ZO'!$J$6:$J$2989,"&gt;="&amp;AL7,'1CF1ZO'!$J$6:$J$2989,"&lt;="&amp;EOMONTH(AL7,0),'1CF1ZO'!$L$6:$L$2989,$B$25)+SUMIFS('1UK1BK'!$K$6:$K$2989,'1UK1BK'!$J$6:$J$2989,"&gt;="&amp;AL7,'1UK1BK'!$J$6:$J$2989,"&lt;="&amp;EOMONTH(AL7,0),'1UK1BK'!$L$6:$L$2989,$B$25)</f>
        <v>#REF!</v>
      </c>
      <c r="AM25" s="110" t="e">
        <f>SUMIFS('CEI565'!$K$6:$K$2990,'CEI565'!$J$6:$J$2990,"&gt;="&amp;AM7,'CEI565'!$J$6:$J$2990,"&lt;="&amp;EOMONTH(AM7,0),'CEI565'!$L$6:$L$2990,$B$25)+SUMIFS('1SM3VL'!$K$6:$K$2990,'1SM3VL'!$J$6:$J$2990,"&gt;="&amp;AM7,'1SM3VL'!$J$6:$J$2990,"&lt;="&amp;EOMONTH(AM7,0),'1SM3VL'!$L$6:$L$2990,$B$25)+SUMIFS('1QF4SM'!$K$6:$K$2989,'1QF4SM'!$J$6:$J$2989,"&gt;="&amp;AM7,'1QF4SM'!$J$6:$J$2989,"&lt;="&amp;EOMONTH(AM7,0),'1QF4SM'!$L$6:$L$2989,$B$25)+SUMIFS('1UV5KI'!$K$6:$K$2989,'1UV5KI'!$J$6:$J$2989,"&gt;="&amp;AM7,'1UV5KI'!$J$6:$J$2989,"&lt;="&amp;EOMONTH(AM7,0),'1UV5KI'!$L$6:$L$2989,$B$25)+SUMIFS(#REF!,#REF!,"&gt;="&amp;AM7,#REF!,"&lt;="&amp;EOMONTH(AM7,0),#REF!,$B$25)+SUMIFS('1UL9RY'!$K$6:$K$2990,'1UL9RY'!$J$6:$J$2990,"&gt;="&amp;AM7,'1UL9RY'!$J$6:$J$2990,"&lt;="&amp;EOMONTH(AM7,0),'1UL9RY'!$L$6:$L$2990,$B$25)+SUMIFS('1OZ7GT'!$K$6:$K$2989,'1OZ7GT'!$J$6:$J$2989,"&gt;="&amp;AM7,'1OZ7GT'!$J$6:$J$2989,"&lt;="&amp;EOMONTH(AM7,0),'1OZ7GT'!$L$6:$L$2989,$B$25)+SUMIFS('1CN8DD'!$K$6:$K$2989,'1CN8DD'!$J$6:$J$2989,"&gt;="&amp;AM7,'1CN8DD'!$J$6:$J$2989,"&lt;="&amp;EOMONTH(AM7,0),'1CN8DD'!$L$6:$L$2989,$B$25)+SUMIFS('1UT9BR'!$K$6:$K$2990,'1UT9BR'!$J$6:$J$2990,"&gt;="&amp;AM7,'1UT9BR'!$J$6:$J$2990,"&lt;="&amp;EOMONTH(AM7,0),'1UT9BR'!$L$6:$L$2990,$B$25)+SUMIFS('1MK4UR'!$K$6:$K$2990,'1MK4UR'!$J$6:$J$2990,"&gt;="&amp;AM7,'1MK4UR'!$J$6:$J$2990,"&lt;="&amp;EOMONTH(AM7,0),'1MK4UR'!$L$6:$L$2990,$B$25)+SUMIFS(#REF!,#REF!,"&gt;="&amp;AM7,#REF!,"&lt;="&amp;EOMONTH(AM7,0),#REF!,$B$25)+SUMIFS('1JI2UE'!$K$6:$K$2989,'1JI2UE'!$J$6:$J$2989,"&gt;="&amp;AM7,'1JI2UE'!$J$6:$J$2989,"&lt;="&amp;EOMONTH(AM7,0),'1JI2UE'!$L$6:$L$2989,$B$25)+SUMIFS(#REF!,#REF!,"&gt;="&amp;AM7,#REF!,"&lt;="&amp;EOMONTH(AM7,0),#REF!,$B$25)+SUMIFS('1SI9BW'!$K$6:$K$2989,'1SI9BW'!$J$6:$J$2989,"&gt;="&amp;AM7,'1SI9BW'!$J$6:$J$2989,"&lt;="&amp;EOMONTH(AM7,0),'1SI9BW'!$L$6:$L$2989,$B$25)+SUMIFS(Suzuki!$K$6:$K$2989,Suzuki!$J$6:$J$2989,"&gt;="&amp;AM7,Suzuki!$J$6:$J$2989,"&lt;="&amp;EOMONTH(AM7,0),Suzuki!$L$6:$L$2989,$B$25)+SUMIFS('1SK3DD'!$K$6:$K$2989,'1SK3DD'!$J$6:$J$2989,"&gt;="&amp;AM7,'1SK3DD'!$J$6:$J$2989,"&lt;="&amp;EOMONTH(AM7,0),'1SK3DD'!$L$6:$L$2989,$B$25)+SUMIFS('1SX5TQ'!$K$6:$K$2989,'1SX5TQ'!$J$6:$J$2989,"&gt;="&amp;AM7,'1SX5TQ'!$J$6:$J$2989,"&lt;="&amp;EOMONTH(AM7,0),'1SX5TQ'!$L$6:$L$2989,$B$25)+SUMIFS('BMM465'!$K$6:$K$2989,'BMM465'!$J$6:$J$2989,"&gt;="&amp;AM7,'BMM465'!$J$6:$J$2989,"&lt;="&amp;EOMONTH(AM7,0),'BMM465'!$L$6:$L$2989,$B$25)+SUMIFS('1CF1ZO'!$K$6:$K$2989,'1CF1ZO'!$J$6:$J$2989,"&gt;="&amp;AM7,'1CF1ZO'!$J$6:$J$2989,"&lt;="&amp;EOMONTH(AM7,0),'1CF1ZO'!$L$6:$L$2989,$B$25)+SUMIFS('1UK1BK'!$K$6:$K$2989,'1UK1BK'!$J$6:$J$2989,"&gt;="&amp;AM7,'1UK1BK'!$J$6:$J$2989,"&lt;="&amp;EOMONTH(AM7,0),'1UK1BK'!$L$6:$L$2989,$B$25)</f>
        <v>#REF!</v>
      </c>
      <c r="AN25" s="110" t="e">
        <f>SUMIFS('CEI565'!$K$6:$K$2990,'CEI565'!$J$6:$J$2990,"&gt;="&amp;AN7,'CEI565'!$J$6:$J$2990,"&lt;="&amp;EOMONTH(AN7,0),'CEI565'!$L$6:$L$2990,$B$25)+SUMIFS('1SM3VL'!$K$6:$K$2990,'1SM3VL'!$J$6:$J$2990,"&gt;="&amp;AN7,'1SM3VL'!$J$6:$J$2990,"&lt;="&amp;EOMONTH(AN7,0),'1SM3VL'!$L$6:$L$2990,$B$25)+SUMIFS('1QF4SM'!$K$6:$K$2989,'1QF4SM'!$J$6:$J$2989,"&gt;="&amp;AN7,'1QF4SM'!$J$6:$J$2989,"&lt;="&amp;EOMONTH(AN7,0),'1QF4SM'!$L$6:$L$2989,$B$25)+SUMIFS('1UV5KI'!$K$6:$K$2989,'1UV5KI'!$J$6:$J$2989,"&gt;="&amp;AN7,'1UV5KI'!$J$6:$J$2989,"&lt;="&amp;EOMONTH(AN7,0),'1UV5KI'!$L$6:$L$2989,$B$25)+SUMIFS(#REF!,#REF!,"&gt;="&amp;AN7,#REF!,"&lt;="&amp;EOMONTH(AN7,0),#REF!,$B$25)+SUMIFS('1UL9RY'!$K$6:$K$2990,'1UL9RY'!$J$6:$J$2990,"&gt;="&amp;AN7,'1UL9RY'!$J$6:$J$2990,"&lt;="&amp;EOMONTH(AN7,0),'1UL9RY'!$L$6:$L$2990,$B$25)+SUMIFS('1OZ7GT'!$K$6:$K$2989,'1OZ7GT'!$J$6:$J$2989,"&gt;="&amp;AN7,'1OZ7GT'!$J$6:$J$2989,"&lt;="&amp;EOMONTH(AN7,0),'1OZ7GT'!$L$6:$L$2989,$B$25)+SUMIFS('1CN8DD'!$K$6:$K$2989,'1CN8DD'!$J$6:$J$2989,"&gt;="&amp;AN7,'1CN8DD'!$J$6:$J$2989,"&lt;="&amp;EOMONTH(AN7,0),'1CN8DD'!$L$6:$L$2989,$B$25)+SUMIFS('1UT9BR'!$K$6:$K$2990,'1UT9BR'!$J$6:$J$2990,"&gt;="&amp;AN7,'1UT9BR'!$J$6:$J$2990,"&lt;="&amp;EOMONTH(AN7,0),'1UT9BR'!$L$6:$L$2990,$B$25)+SUMIFS('1MK4UR'!$K$6:$K$2990,'1MK4UR'!$J$6:$J$2990,"&gt;="&amp;AN7,'1MK4UR'!$J$6:$J$2990,"&lt;="&amp;EOMONTH(AN7,0),'1MK4UR'!$L$6:$L$2990,$B$25)+SUMIFS(#REF!,#REF!,"&gt;="&amp;AN7,#REF!,"&lt;="&amp;EOMONTH(AN7,0),#REF!,$B$25)+SUMIFS('1JI2UE'!$K$6:$K$2989,'1JI2UE'!$J$6:$J$2989,"&gt;="&amp;AN7,'1JI2UE'!$J$6:$J$2989,"&lt;="&amp;EOMONTH(AN7,0),'1JI2UE'!$L$6:$L$2989,$B$25)+SUMIFS(#REF!,#REF!,"&gt;="&amp;AN7,#REF!,"&lt;="&amp;EOMONTH(AN7,0),#REF!,$B$25)+SUMIFS('1SI9BW'!$K$6:$K$2989,'1SI9BW'!$J$6:$J$2989,"&gt;="&amp;AN7,'1SI9BW'!$J$6:$J$2989,"&lt;="&amp;EOMONTH(AN7,0),'1SI9BW'!$L$6:$L$2989,$B$25)+SUMIFS(Suzuki!$K$6:$K$2989,Suzuki!$J$6:$J$2989,"&gt;="&amp;AN7,Suzuki!$J$6:$J$2989,"&lt;="&amp;EOMONTH(AN7,0),Suzuki!$L$6:$L$2989,$B$25)+SUMIFS('1SK3DD'!$K$6:$K$2989,'1SK3DD'!$J$6:$J$2989,"&gt;="&amp;AN7,'1SK3DD'!$J$6:$J$2989,"&lt;="&amp;EOMONTH(AN7,0),'1SK3DD'!$L$6:$L$2989,$B$25)+SUMIFS('1SX5TQ'!$K$6:$K$2989,'1SX5TQ'!$J$6:$J$2989,"&gt;="&amp;AN7,'1SX5TQ'!$J$6:$J$2989,"&lt;="&amp;EOMONTH(AN7,0),'1SX5TQ'!$L$6:$L$2989,$B$25)+SUMIFS('BMM465'!$K$6:$K$2989,'BMM465'!$J$6:$J$2989,"&gt;="&amp;AN7,'BMM465'!$J$6:$J$2989,"&lt;="&amp;EOMONTH(AN7,0),'BMM465'!$L$6:$L$2989,$B$25)+SUMIFS('1CF1ZO'!$K$6:$K$2989,'1CF1ZO'!$J$6:$J$2989,"&gt;="&amp;AN7,'1CF1ZO'!$J$6:$J$2989,"&lt;="&amp;EOMONTH(AN7,0),'1CF1ZO'!$L$6:$L$2989,$B$25)+SUMIFS('1UK1BK'!$K$6:$K$2989,'1UK1BK'!$J$6:$J$2989,"&gt;="&amp;AN7,'1UK1BK'!$J$6:$J$2989,"&lt;="&amp;EOMONTH(AN7,0),'1UK1BK'!$L$6:$L$2989,$B$25)</f>
        <v>#REF!</v>
      </c>
      <c r="AO25" s="110" t="e">
        <f>SUMIFS('CEI565'!$K$6:$K$2990,'CEI565'!$J$6:$J$2990,"&gt;="&amp;AO7,'CEI565'!$J$6:$J$2990,"&lt;="&amp;EOMONTH(AO7,0),'CEI565'!$L$6:$L$2990,$B$25)+SUMIFS('1SM3VL'!$K$6:$K$2990,'1SM3VL'!$J$6:$J$2990,"&gt;="&amp;AO7,'1SM3VL'!$J$6:$J$2990,"&lt;="&amp;EOMONTH(AO7,0),'1SM3VL'!$L$6:$L$2990,$B$25)+SUMIFS('1QF4SM'!$K$6:$K$2989,'1QF4SM'!$J$6:$J$2989,"&gt;="&amp;AO7,'1QF4SM'!$J$6:$J$2989,"&lt;="&amp;EOMONTH(AO7,0),'1QF4SM'!$L$6:$L$2989,$B$25)+SUMIFS('1UV5KI'!$K$6:$K$2989,'1UV5KI'!$J$6:$J$2989,"&gt;="&amp;AO7,'1UV5KI'!$J$6:$J$2989,"&lt;="&amp;EOMONTH(AO7,0),'1UV5KI'!$L$6:$L$2989,$B$25)+SUMIFS(#REF!,#REF!,"&gt;="&amp;AO7,#REF!,"&lt;="&amp;EOMONTH(AO7,0),#REF!,$B$25)+SUMIFS('1UL9RY'!$K$6:$K$2990,'1UL9RY'!$J$6:$J$2990,"&gt;="&amp;AO7,'1UL9RY'!$J$6:$J$2990,"&lt;="&amp;EOMONTH(AO7,0),'1UL9RY'!$L$6:$L$2990,$B$25)+SUMIFS('1OZ7GT'!$K$6:$K$2989,'1OZ7GT'!$J$6:$J$2989,"&gt;="&amp;AO7,'1OZ7GT'!$J$6:$J$2989,"&lt;="&amp;EOMONTH(AO7,0),'1OZ7GT'!$L$6:$L$2989,$B$25)+SUMIFS('1CN8DD'!$K$6:$K$2989,'1CN8DD'!$J$6:$J$2989,"&gt;="&amp;AO7,'1CN8DD'!$J$6:$J$2989,"&lt;="&amp;EOMONTH(AO7,0),'1CN8DD'!$L$6:$L$2989,$B$25)+SUMIFS('1UT9BR'!$K$6:$K$2990,'1UT9BR'!$J$6:$J$2990,"&gt;="&amp;AO7,'1UT9BR'!$J$6:$J$2990,"&lt;="&amp;EOMONTH(AO7,0),'1UT9BR'!$L$6:$L$2990,$B$25)+SUMIFS('1MK4UR'!$K$6:$K$2990,'1MK4UR'!$J$6:$J$2990,"&gt;="&amp;AO7,'1MK4UR'!$J$6:$J$2990,"&lt;="&amp;EOMONTH(AO7,0),'1MK4UR'!$L$6:$L$2990,$B$25)+SUMIFS(#REF!,#REF!,"&gt;="&amp;AO7,#REF!,"&lt;="&amp;EOMONTH(AO7,0),#REF!,$B$25)+SUMIFS('1JI2UE'!$K$6:$K$2989,'1JI2UE'!$J$6:$J$2989,"&gt;="&amp;AO7,'1JI2UE'!$J$6:$J$2989,"&lt;="&amp;EOMONTH(AO7,0),'1JI2UE'!$L$6:$L$2989,$B$25)+SUMIFS(#REF!,#REF!,"&gt;="&amp;AO7,#REF!,"&lt;="&amp;EOMONTH(AO7,0),#REF!,$B$25)+SUMIFS('1SI9BW'!$K$6:$K$2989,'1SI9BW'!$J$6:$J$2989,"&gt;="&amp;AO7,'1SI9BW'!$J$6:$J$2989,"&lt;="&amp;EOMONTH(AO7,0),'1SI9BW'!$L$6:$L$2989,$B$25)+SUMIFS(Suzuki!$K$6:$K$2989,Suzuki!$J$6:$J$2989,"&gt;="&amp;AO7,Suzuki!$J$6:$J$2989,"&lt;="&amp;EOMONTH(AO7,0),Suzuki!$L$6:$L$2989,$B$25)+SUMIFS('1SK3DD'!$K$6:$K$2989,'1SK3DD'!$J$6:$J$2989,"&gt;="&amp;AO7,'1SK3DD'!$J$6:$J$2989,"&lt;="&amp;EOMONTH(AO7,0),'1SK3DD'!$L$6:$L$2989,$B$25)+SUMIFS('1SX5TQ'!$K$6:$K$2989,'1SX5TQ'!$J$6:$J$2989,"&gt;="&amp;AO7,'1SX5TQ'!$J$6:$J$2989,"&lt;="&amp;EOMONTH(AO7,0),'1SX5TQ'!$L$6:$L$2989,$B$25)+SUMIFS('BMM465'!$K$6:$K$2989,'BMM465'!$J$6:$J$2989,"&gt;="&amp;AO7,'BMM465'!$J$6:$J$2989,"&lt;="&amp;EOMONTH(AO7,0),'BMM465'!$L$6:$L$2989,$B$25)+SUMIFS('1CF1ZO'!$K$6:$K$2989,'1CF1ZO'!$J$6:$J$2989,"&gt;="&amp;AO7,'1CF1ZO'!$J$6:$J$2989,"&lt;="&amp;EOMONTH(AO7,0),'1CF1ZO'!$L$6:$L$2989,$B$25)+SUMIFS('1UK1BK'!$K$6:$K$2989,'1UK1BK'!$J$6:$J$2989,"&gt;="&amp;AO7,'1UK1BK'!$J$6:$J$2989,"&lt;="&amp;EOMONTH(AO7,0),'1UK1BK'!$L$6:$L$2989,$B$25)</f>
        <v>#REF!</v>
      </c>
      <c r="AP25" s="110" t="e">
        <f>SUMIFS('CEI565'!$K$6:$K$2990,'CEI565'!$J$6:$J$2990,"&gt;="&amp;AP7,'CEI565'!$J$6:$J$2990,"&lt;="&amp;EOMONTH(AP7,0),'CEI565'!$L$6:$L$2990,$B$25)+SUMIFS('1SM3VL'!$K$6:$K$2990,'1SM3VL'!$J$6:$J$2990,"&gt;="&amp;AP7,'1SM3VL'!$J$6:$J$2990,"&lt;="&amp;EOMONTH(AP7,0),'1SM3VL'!$L$6:$L$2990,$B$25)+SUMIFS('1QF4SM'!$K$6:$K$2989,'1QF4SM'!$J$6:$J$2989,"&gt;="&amp;AP7,'1QF4SM'!$J$6:$J$2989,"&lt;="&amp;EOMONTH(AP7,0),'1QF4SM'!$L$6:$L$2989,$B$25)+SUMIFS('1UV5KI'!$K$6:$K$2989,'1UV5KI'!$J$6:$J$2989,"&gt;="&amp;AP7,'1UV5KI'!$J$6:$J$2989,"&lt;="&amp;EOMONTH(AP7,0),'1UV5KI'!$L$6:$L$2989,$B$25)+SUMIFS(#REF!,#REF!,"&gt;="&amp;AP7,#REF!,"&lt;="&amp;EOMONTH(AP7,0),#REF!,$B$25)+SUMIFS('1UL9RY'!$K$6:$K$2990,'1UL9RY'!$J$6:$J$2990,"&gt;="&amp;AP7,'1UL9RY'!$J$6:$J$2990,"&lt;="&amp;EOMONTH(AP7,0),'1UL9RY'!$L$6:$L$2990,$B$25)+SUMIFS('1OZ7GT'!$K$6:$K$2989,'1OZ7GT'!$J$6:$J$2989,"&gt;="&amp;AP7,'1OZ7GT'!$J$6:$J$2989,"&lt;="&amp;EOMONTH(AP7,0),'1OZ7GT'!$L$6:$L$2989,$B$25)+SUMIFS('1CN8DD'!$K$6:$K$2989,'1CN8DD'!$J$6:$J$2989,"&gt;="&amp;AP7,'1CN8DD'!$J$6:$J$2989,"&lt;="&amp;EOMONTH(AP7,0),'1CN8DD'!$L$6:$L$2989,$B$25)+SUMIFS('1UT9BR'!$K$6:$K$2990,'1UT9BR'!$J$6:$J$2990,"&gt;="&amp;AP7,'1UT9BR'!$J$6:$J$2990,"&lt;="&amp;EOMONTH(AP7,0),'1UT9BR'!$L$6:$L$2990,$B$25)+SUMIFS('1MK4UR'!$K$6:$K$2990,'1MK4UR'!$J$6:$J$2990,"&gt;="&amp;AP7,'1MK4UR'!$J$6:$J$2990,"&lt;="&amp;EOMONTH(AP7,0),'1MK4UR'!$L$6:$L$2990,$B$25)+SUMIFS(#REF!,#REF!,"&gt;="&amp;AP7,#REF!,"&lt;="&amp;EOMONTH(AP7,0),#REF!,$B$25)+SUMIFS('1JI2UE'!$K$6:$K$2989,'1JI2UE'!$J$6:$J$2989,"&gt;="&amp;AP7,'1JI2UE'!$J$6:$J$2989,"&lt;="&amp;EOMONTH(AP7,0),'1JI2UE'!$L$6:$L$2989,$B$25)+SUMIFS(#REF!,#REF!,"&gt;="&amp;AP7,#REF!,"&lt;="&amp;EOMONTH(AP7,0),#REF!,$B$25)+SUMIFS('1SI9BW'!$K$6:$K$2989,'1SI9BW'!$J$6:$J$2989,"&gt;="&amp;AP7,'1SI9BW'!$J$6:$J$2989,"&lt;="&amp;EOMONTH(AP7,0),'1SI9BW'!$L$6:$L$2989,$B$25)+SUMIFS(Suzuki!$K$6:$K$2989,Suzuki!$J$6:$J$2989,"&gt;="&amp;AP7,Suzuki!$J$6:$J$2989,"&lt;="&amp;EOMONTH(AP7,0),Suzuki!$L$6:$L$2989,$B$25)+SUMIFS('1SK3DD'!$K$6:$K$2989,'1SK3DD'!$J$6:$J$2989,"&gt;="&amp;AP7,'1SK3DD'!$J$6:$J$2989,"&lt;="&amp;EOMONTH(AP7,0),'1SK3DD'!$L$6:$L$2989,$B$25)+SUMIFS('1SX5TQ'!$K$6:$K$2989,'1SX5TQ'!$J$6:$J$2989,"&gt;="&amp;AP7,'1SX5TQ'!$J$6:$J$2989,"&lt;="&amp;EOMONTH(AP7,0),'1SX5TQ'!$L$6:$L$2989,$B$25)+SUMIFS('BMM465'!$K$6:$K$2989,'BMM465'!$J$6:$J$2989,"&gt;="&amp;AP7,'BMM465'!$J$6:$J$2989,"&lt;="&amp;EOMONTH(AP7,0),'BMM465'!$L$6:$L$2989,$B$25)+SUMIFS('1CF1ZO'!$K$6:$K$2989,'1CF1ZO'!$J$6:$J$2989,"&gt;="&amp;AP7,'1CF1ZO'!$J$6:$J$2989,"&lt;="&amp;EOMONTH(AP7,0),'1CF1ZO'!$L$6:$L$2989,$B$25)+SUMIFS('1UK1BK'!$K$6:$K$2989,'1UK1BK'!$J$6:$J$2989,"&gt;="&amp;AP7,'1UK1BK'!$J$6:$J$2989,"&lt;="&amp;EOMONTH(AP7,0),'1UK1BK'!$L$6:$L$2989,$B$25)</f>
        <v>#REF!</v>
      </c>
      <c r="AQ25" s="110" t="e">
        <f>SUMIFS('CEI565'!$K$6:$K$2990,'CEI565'!$J$6:$J$2990,"&gt;="&amp;AQ7,'CEI565'!$J$6:$J$2990,"&lt;="&amp;EOMONTH(AQ7,0),'CEI565'!$L$6:$L$2990,$B$25)+SUMIFS('1SM3VL'!$K$6:$K$2990,'1SM3VL'!$J$6:$J$2990,"&gt;="&amp;AQ7,'1SM3VL'!$J$6:$J$2990,"&lt;="&amp;EOMONTH(AQ7,0),'1SM3VL'!$L$6:$L$2990,$B$25)+SUMIFS('1QF4SM'!$K$6:$K$2989,'1QF4SM'!$J$6:$J$2989,"&gt;="&amp;AQ7,'1QF4SM'!$J$6:$J$2989,"&lt;="&amp;EOMONTH(AQ7,0),'1QF4SM'!$L$6:$L$2989,$B$25)+SUMIFS('1UV5KI'!$K$6:$K$2989,'1UV5KI'!$J$6:$J$2989,"&gt;="&amp;AQ7,'1UV5KI'!$J$6:$J$2989,"&lt;="&amp;EOMONTH(AQ7,0),'1UV5KI'!$L$6:$L$2989,$B$25)+SUMIFS(#REF!,#REF!,"&gt;="&amp;AQ7,#REF!,"&lt;="&amp;EOMONTH(AQ7,0),#REF!,$B$25)+SUMIFS('1UL9RY'!$K$6:$K$2990,'1UL9RY'!$J$6:$J$2990,"&gt;="&amp;AQ7,'1UL9RY'!$J$6:$J$2990,"&lt;="&amp;EOMONTH(AQ7,0),'1UL9RY'!$L$6:$L$2990,$B$25)+SUMIFS('1OZ7GT'!$K$6:$K$2989,'1OZ7GT'!$J$6:$J$2989,"&gt;="&amp;AQ7,'1OZ7GT'!$J$6:$J$2989,"&lt;="&amp;EOMONTH(AQ7,0),'1OZ7GT'!$L$6:$L$2989,$B$25)+SUMIFS('1CN8DD'!$K$6:$K$2989,'1CN8DD'!$J$6:$J$2989,"&gt;="&amp;AQ7,'1CN8DD'!$J$6:$J$2989,"&lt;="&amp;EOMONTH(AQ7,0),'1CN8DD'!$L$6:$L$2989,$B$25)+SUMIFS('1UT9BR'!$K$6:$K$2990,'1UT9BR'!$J$6:$J$2990,"&gt;="&amp;AQ7,'1UT9BR'!$J$6:$J$2990,"&lt;="&amp;EOMONTH(AQ7,0),'1UT9BR'!$L$6:$L$2990,$B$25)+SUMIFS('1MK4UR'!$K$6:$K$2990,'1MK4UR'!$J$6:$J$2990,"&gt;="&amp;AQ7,'1MK4UR'!$J$6:$J$2990,"&lt;="&amp;EOMONTH(AQ7,0),'1MK4UR'!$L$6:$L$2990,$B$25)+SUMIFS(#REF!,#REF!,"&gt;="&amp;AQ7,#REF!,"&lt;="&amp;EOMONTH(AQ7,0),#REF!,$B$25)+SUMIFS('1JI2UE'!$K$6:$K$2989,'1JI2UE'!$J$6:$J$2989,"&gt;="&amp;AQ7,'1JI2UE'!$J$6:$J$2989,"&lt;="&amp;EOMONTH(AQ7,0),'1JI2UE'!$L$6:$L$2989,$B$25)+SUMIFS(#REF!,#REF!,"&gt;="&amp;AQ7,#REF!,"&lt;="&amp;EOMONTH(AQ7,0),#REF!,$B$25)+SUMIFS('1SI9BW'!$K$6:$K$2989,'1SI9BW'!$J$6:$J$2989,"&gt;="&amp;AQ7,'1SI9BW'!$J$6:$J$2989,"&lt;="&amp;EOMONTH(AQ7,0),'1SI9BW'!$L$6:$L$2989,$B$25)+SUMIFS(Suzuki!$K$6:$K$2989,Suzuki!$J$6:$J$2989,"&gt;="&amp;AQ7,Suzuki!$J$6:$J$2989,"&lt;="&amp;EOMONTH(AQ7,0),Suzuki!$L$6:$L$2989,$B$25)+SUMIFS('1SK3DD'!$K$6:$K$2989,'1SK3DD'!$J$6:$J$2989,"&gt;="&amp;AQ7,'1SK3DD'!$J$6:$J$2989,"&lt;="&amp;EOMONTH(AQ7,0),'1SK3DD'!$L$6:$L$2989,$B$25)+SUMIFS('1SX5TQ'!$K$6:$K$2989,'1SX5TQ'!$J$6:$J$2989,"&gt;="&amp;AQ7,'1SX5TQ'!$J$6:$J$2989,"&lt;="&amp;EOMONTH(AQ7,0),'1SX5TQ'!$L$6:$L$2989,$B$25)+SUMIFS('BMM465'!$K$6:$K$2989,'BMM465'!$J$6:$J$2989,"&gt;="&amp;AQ7,'BMM465'!$J$6:$J$2989,"&lt;="&amp;EOMONTH(AQ7,0),'BMM465'!$L$6:$L$2989,$B$25)+SUMIFS('1CF1ZO'!$K$6:$K$2989,'1CF1ZO'!$J$6:$J$2989,"&gt;="&amp;AQ7,'1CF1ZO'!$J$6:$J$2989,"&lt;="&amp;EOMONTH(AQ7,0),'1CF1ZO'!$L$6:$L$2989,$B$25)+SUMIFS('1UK1BK'!$K$6:$K$2989,'1UK1BK'!$J$6:$J$2989,"&gt;="&amp;AQ7,'1UK1BK'!$J$6:$J$2989,"&lt;="&amp;EOMONTH(AQ7,0),'1UK1BK'!$L$6:$L$2989,$B$25)</f>
        <v>#REF!</v>
      </c>
      <c r="AR25" s="110" t="e">
        <f>SUMIFS('CEI565'!$K$6:$K$2990,'CEI565'!$J$6:$J$2990,"&gt;="&amp;AR7,'CEI565'!$J$6:$J$2990,"&lt;="&amp;EOMONTH(AR7,0),'CEI565'!$L$6:$L$2990,$B$25)+SUMIFS('1SM3VL'!$K$6:$K$2990,'1SM3VL'!$J$6:$J$2990,"&gt;="&amp;AR7,'1SM3VL'!$J$6:$J$2990,"&lt;="&amp;EOMONTH(AR7,0),'1SM3VL'!$L$6:$L$2990,$B$25)+SUMIFS('1QF4SM'!$K$6:$K$2989,'1QF4SM'!$J$6:$J$2989,"&gt;="&amp;AR7,'1QF4SM'!$J$6:$J$2989,"&lt;="&amp;EOMONTH(AR7,0),'1QF4SM'!$L$6:$L$2989,$B$25)+SUMIFS('1UV5KI'!$K$6:$K$2989,'1UV5KI'!$J$6:$J$2989,"&gt;="&amp;AR7,'1UV5KI'!$J$6:$J$2989,"&lt;="&amp;EOMONTH(AR7,0),'1UV5KI'!$L$6:$L$2989,$B$25)+SUMIFS(#REF!,#REF!,"&gt;="&amp;AR7,#REF!,"&lt;="&amp;EOMONTH(AR7,0),#REF!,$B$25)+SUMIFS('1UL9RY'!$K$6:$K$2990,'1UL9RY'!$J$6:$J$2990,"&gt;="&amp;AR7,'1UL9RY'!$J$6:$J$2990,"&lt;="&amp;EOMONTH(AR7,0),'1UL9RY'!$L$6:$L$2990,$B$25)+SUMIFS('1OZ7GT'!$K$6:$K$2989,'1OZ7GT'!$J$6:$J$2989,"&gt;="&amp;AR7,'1OZ7GT'!$J$6:$J$2989,"&lt;="&amp;EOMONTH(AR7,0),'1OZ7GT'!$L$6:$L$2989,$B$25)+SUMIFS('1CN8DD'!$K$6:$K$2989,'1CN8DD'!$J$6:$J$2989,"&gt;="&amp;AR7,'1CN8DD'!$J$6:$J$2989,"&lt;="&amp;EOMONTH(AR7,0),'1CN8DD'!$L$6:$L$2989,$B$25)+SUMIFS('1UT9BR'!$K$6:$K$2990,'1UT9BR'!$J$6:$J$2990,"&gt;="&amp;AR7,'1UT9BR'!$J$6:$J$2990,"&lt;="&amp;EOMONTH(AR7,0),'1UT9BR'!$L$6:$L$2990,$B$25)+SUMIFS('1MK4UR'!$K$6:$K$2990,'1MK4UR'!$J$6:$J$2990,"&gt;="&amp;AR7,'1MK4UR'!$J$6:$J$2990,"&lt;="&amp;EOMONTH(AR7,0),'1MK4UR'!$L$6:$L$2990,$B$25)+SUMIFS(#REF!,#REF!,"&gt;="&amp;AR7,#REF!,"&lt;="&amp;EOMONTH(AR7,0),#REF!,$B$25)+SUMIFS('1JI2UE'!$K$6:$K$2989,'1JI2UE'!$J$6:$J$2989,"&gt;="&amp;AR7,'1JI2UE'!$J$6:$J$2989,"&lt;="&amp;EOMONTH(AR7,0),'1JI2UE'!$L$6:$L$2989,$B$25)+SUMIFS(#REF!,#REF!,"&gt;="&amp;AR7,#REF!,"&lt;="&amp;EOMONTH(AR7,0),#REF!,$B$25)+SUMIFS('1SI9BW'!$K$6:$K$2989,'1SI9BW'!$J$6:$J$2989,"&gt;="&amp;AR7,'1SI9BW'!$J$6:$J$2989,"&lt;="&amp;EOMONTH(AR7,0),'1SI9BW'!$L$6:$L$2989,$B$25)+SUMIFS(Suzuki!$K$6:$K$2989,Suzuki!$J$6:$J$2989,"&gt;="&amp;AR7,Suzuki!$J$6:$J$2989,"&lt;="&amp;EOMONTH(AR7,0),Suzuki!$L$6:$L$2989,$B$25)+SUMIFS('1SK3DD'!$K$6:$K$2989,'1SK3DD'!$J$6:$J$2989,"&gt;="&amp;AR7,'1SK3DD'!$J$6:$J$2989,"&lt;="&amp;EOMONTH(AR7,0),'1SK3DD'!$L$6:$L$2989,$B$25)+SUMIFS('1SX5TQ'!$K$6:$K$2989,'1SX5TQ'!$J$6:$J$2989,"&gt;="&amp;AR7,'1SX5TQ'!$J$6:$J$2989,"&lt;="&amp;EOMONTH(AR7,0),'1SX5TQ'!$L$6:$L$2989,$B$25)+SUMIFS('BMM465'!$K$6:$K$2989,'BMM465'!$J$6:$J$2989,"&gt;="&amp;AR7,'BMM465'!$J$6:$J$2989,"&lt;="&amp;EOMONTH(AR7,0),'BMM465'!$L$6:$L$2989,$B$25)+SUMIFS('1CF1ZO'!$K$6:$K$2989,'1CF1ZO'!$J$6:$J$2989,"&gt;="&amp;AR7,'1CF1ZO'!$J$6:$J$2989,"&lt;="&amp;EOMONTH(AR7,0),'1CF1ZO'!$L$6:$L$2989,$B$25)+SUMIFS('1UK1BK'!$K$6:$K$2989,'1UK1BK'!$J$6:$J$2989,"&gt;="&amp;AR7,'1UK1BK'!$J$6:$J$2989,"&lt;="&amp;EOMONTH(AR7,0),'1UK1BK'!$L$6:$L$2989,$B$25)</f>
        <v>#REF!</v>
      </c>
      <c r="AS25" s="110" t="e">
        <f>SUMIFS('CEI565'!$K$6:$K$2990,'CEI565'!$J$6:$J$2990,"&gt;="&amp;AS7,'CEI565'!$J$6:$J$2990,"&lt;="&amp;EOMONTH(AS7,0),'CEI565'!$L$6:$L$2990,$B$25)+SUMIFS('1SM3VL'!$K$6:$K$2990,'1SM3VL'!$J$6:$J$2990,"&gt;="&amp;AS7,'1SM3VL'!$J$6:$J$2990,"&lt;="&amp;EOMONTH(AS7,0),'1SM3VL'!$L$6:$L$2990,$B$25)+SUMIFS('1QF4SM'!$K$6:$K$2989,'1QF4SM'!$J$6:$J$2989,"&gt;="&amp;AS7,'1QF4SM'!$J$6:$J$2989,"&lt;="&amp;EOMONTH(AS7,0),'1QF4SM'!$L$6:$L$2989,$B$25)+SUMIFS('1UV5KI'!$K$6:$K$2989,'1UV5KI'!$J$6:$J$2989,"&gt;="&amp;AS7,'1UV5KI'!$J$6:$J$2989,"&lt;="&amp;EOMONTH(AS7,0),'1UV5KI'!$L$6:$L$2989,$B$25)+SUMIFS(#REF!,#REF!,"&gt;="&amp;AS7,#REF!,"&lt;="&amp;EOMONTH(AS7,0),#REF!,$B$25)+SUMIFS('1UL9RY'!$K$6:$K$2990,'1UL9RY'!$J$6:$J$2990,"&gt;="&amp;AS7,'1UL9RY'!$J$6:$J$2990,"&lt;="&amp;EOMONTH(AS7,0),'1UL9RY'!$L$6:$L$2990,$B$25)+SUMIFS('1OZ7GT'!$K$6:$K$2989,'1OZ7GT'!$J$6:$J$2989,"&gt;="&amp;AS7,'1OZ7GT'!$J$6:$J$2989,"&lt;="&amp;EOMONTH(AS7,0),'1OZ7GT'!$L$6:$L$2989,$B$25)+SUMIFS('1CN8DD'!$K$6:$K$2989,'1CN8DD'!$J$6:$J$2989,"&gt;="&amp;AS7,'1CN8DD'!$J$6:$J$2989,"&lt;="&amp;EOMONTH(AS7,0),'1CN8DD'!$L$6:$L$2989,$B$25)+SUMIFS('1UT9BR'!$K$6:$K$2990,'1UT9BR'!$J$6:$J$2990,"&gt;="&amp;AS7,'1UT9BR'!$J$6:$J$2990,"&lt;="&amp;EOMONTH(AS7,0),'1UT9BR'!$L$6:$L$2990,$B$25)+SUMIFS('1MK4UR'!$K$6:$K$2990,'1MK4UR'!$J$6:$J$2990,"&gt;="&amp;AS7,'1MK4UR'!$J$6:$J$2990,"&lt;="&amp;EOMONTH(AS7,0),'1MK4UR'!$L$6:$L$2990,$B$25)+SUMIFS(#REF!,#REF!,"&gt;="&amp;AS7,#REF!,"&lt;="&amp;EOMONTH(AS7,0),#REF!,$B$25)+SUMIFS('1JI2UE'!$K$6:$K$2989,'1JI2UE'!$J$6:$J$2989,"&gt;="&amp;AS7,'1JI2UE'!$J$6:$J$2989,"&lt;="&amp;EOMONTH(AS7,0),'1JI2UE'!$L$6:$L$2989,$B$25)+SUMIFS(#REF!,#REF!,"&gt;="&amp;AS7,#REF!,"&lt;="&amp;EOMONTH(AS7,0),#REF!,$B$25)+SUMIFS('1SI9BW'!$K$6:$K$2989,'1SI9BW'!$J$6:$J$2989,"&gt;="&amp;AS7,'1SI9BW'!$J$6:$J$2989,"&lt;="&amp;EOMONTH(AS7,0),'1SI9BW'!$L$6:$L$2989,$B$25)+SUMIFS(Suzuki!$K$6:$K$2989,Suzuki!$J$6:$J$2989,"&gt;="&amp;AS7,Suzuki!$J$6:$J$2989,"&lt;="&amp;EOMONTH(AS7,0),Suzuki!$L$6:$L$2989,$B$25)+SUMIFS('1SK3DD'!$K$6:$K$2989,'1SK3DD'!$J$6:$J$2989,"&gt;="&amp;AS7,'1SK3DD'!$J$6:$J$2989,"&lt;="&amp;EOMONTH(AS7,0),'1SK3DD'!$L$6:$L$2989,$B$25)+SUMIFS('1SX5TQ'!$K$6:$K$2989,'1SX5TQ'!$J$6:$J$2989,"&gt;="&amp;AS7,'1SX5TQ'!$J$6:$J$2989,"&lt;="&amp;EOMONTH(AS7,0),'1SX5TQ'!$L$6:$L$2989,$B$25)+SUMIFS('BMM465'!$K$6:$K$2989,'BMM465'!$J$6:$J$2989,"&gt;="&amp;AS7,'BMM465'!$J$6:$J$2989,"&lt;="&amp;EOMONTH(AS7,0),'BMM465'!$L$6:$L$2989,$B$25)+SUMIFS('1CF1ZO'!$K$6:$K$2989,'1CF1ZO'!$J$6:$J$2989,"&gt;="&amp;AS7,'1CF1ZO'!$J$6:$J$2989,"&lt;="&amp;EOMONTH(AS7,0),'1CF1ZO'!$L$6:$L$2989,$B$25)+SUMIFS('1UK1BK'!$K$6:$K$2989,'1UK1BK'!$J$6:$J$2989,"&gt;="&amp;AS7,'1UK1BK'!$J$6:$J$2989,"&lt;="&amp;EOMONTH(AS7,0),'1UK1BK'!$L$6:$L$2989,$B$25)</f>
        <v>#REF!</v>
      </c>
      <c r="AT25" s="110" t="e">
        <f>SUMIFS('CEI565'!$K$6:$K$2990,'CEI565'!$J$6:$J$2990,"&gt;="&amp;AT7,'CEI565'!$J$6:$J$2990,"&lt;="&amp;EOMONTH(AT7,0),'CEI565'!$L$6:$L$2990,$B$25)+SUMIFS('1SM3VL'!$K$6:$K$2990,'1SM3VL'!$J$6:$J$2990,"&gt;="&amp;AT7,'1SM3VL'!$J$6:$J$2990,"&lt;="&amp;EOMONTH(AT7,0),'1SM3VL'!$L$6:$L$2990,$B$25)+SUMIFS('1QF4SM'!$K$6:$K$2989,'1QF4SM'!$J$6:$J$2989,"&gt;="&amp;AT7,'1QF4SM'!$J$6:$J$2989,"&lt;="&amp;EOMONTH(AT7,0),'1QF4SM'!$L$6:$L$2989,$B$25)+SUMIFS('1UV5KI'!$K$6:$K$2989,'1UV5KI'!$J$6:$J$2989,"&gt;="&amp;AT7,'1UV5KI'!$J$6:$J$2989,"&lt;="&amp;EOMONTH(AT7,0),'1UV5KI'!$L$6:$L$2989,$B$25)+SUMIFS(#REF!,#REF!,"&gt;="&amp;AT7,#REF!,"&lt;="&amp;EOMONTH(AT7,0),#REF!,$B$25)+SUMIFS('1UL9RY'!$K$6:$K$2990,'1UL9RY'!$J$6:$J$2990,"&gt;="&amp;AT7,'1UL9RY'!$J$6:$J$2990,"&lt;="&amp;EOMONTH(AT7,0),'1UL9RY'!$L$6:$L$2990,$B$25)+SUMIFS('1OZ7GT'!$K$6:$K$2989,'1OZ7GT'!$J$6:$J$2989,"&gt;="&amp;AT7,'1OZ7GT'!$J$6:$J$2989,"&lt;="&amp;EOMONTH(AT7,0),'1OZ7GT'!$L$6:$L$2989,$B$25)+SUMIFS('1CN8DD'!$K$6:$K$2989,'1CN8DD'!$J$6:$J$2989,"&gt;="&amp;AT7,'1CN8DD'!$J$6:$J$2989,"&lt;="&amp;EOMONTH(AT7,0),'1CN8DD'!$L$6:$L$2989,$B$25)+SUMIFS('1UT9BR'!$K$6:$K$2990,'1UT9BR'!$J$6:$J$2990,"&gt;="&amp;AT7,'1UT9BR'!$J$6:$J$2990,"&lt;="&amp;EOMONTH(AT7,0),'1UT9BR'!$L$6:$L$2990,$B$25)+SUMIFS('1MK4UR'!$K$6:$K$2990,'1MK4UR'!$J$6:$J$2990,"&gt;="&amp;AT7,'1MK4UR'!$J$6:$J$2990,"&lt;="&amp;EOMONTH(AT7,0),'1MK4UR'!$L$6:$L$2990,$B$25)+SUMIFS(#REF!,#REF!,"&gt;="&amp;AT7,#REF!,"&lt;="&amp;EOMONTH(AT7,0),#REF!,$B$25)+SUMIFS('1JI2UE'!$K$6:$K$2989,'1JI2UE'!$J$6:$J$2989,"&gt;="&amp;AT7,'1JI2UE'!$J$6:$J$2989,"&lt;="&amp;EOMONTH(AT7,0),'1JI2UE'!$L$6:$L$2989,$B$25)+SUMIFS(#REF!,#REF!,"&gt;="&amp;AT7,#REF!,"&lt;="&amp;EOMONTH(AT7,0),#REF!,$B$25)+SUMIFS('1SI9BW'!$K$6:$K$2989,'1SI9BW'!$J$6:$J$2989,"&gt;="&amp;AT7,'1SI9BW'!$J$6:$J$2989,"&lt;="&amp;EOMONTH(AT7,0),'1SI9BW'!$L$6:$L$2989,$B$25)+SUMIFS(Suzuki!$K$6:$K$2989,Suzuki!$J$6:$J$2989,"&gt;="&amp;AT7,Suzuki!$J$6:$J$2989,"&lt;="&amp;EOMONTH(AT7,0),Suzuki!$L$6:$L$2989,$B$25)+SUMIFS('1SK3DD'!$K$6:$K$2989,'1SK3DD'!$J$6:$J$2989,"&gt;="&amp;AT7,'1SK3DD'!$J$6:$J$2989,"&lt;="&amp;EOMONTH(AT7,0),'1SK3DD'!$L$6:$L$2989,$B$25)+SUMIFS('1SX5TQ'!$K$6:$K$2989,'1SX5TQ'!$J$6:$J$2989,"&gt;="&amp;AT7,'1SX5TQ'!$J$6:$J$2989,"&lt;="&amp;EOMONTH(AT7,0),'1SX5TQ'!$L$6:$L$2989,$B$25)+SUMIFS('BMM465'!$K$6:$K$2989,'BMM465'!$J$6:$J$2989,"&gt;="&amp;AT7,'BMM465'!$J$6:$J$2989,"&lt;="&amp;EOMONTH(AT7,0),'BMM465'!$L$6:$L$2989,$B$25)+SUMIFS('1CF1ZO'!$K$6:$K$2989,'1CF1ZO'!$J$6:$J$2989,"&gt;="&amp;AT7,'1CF1ZO'!$J$6:$J$2989,"&lt;="&amp;EOMONTH(AT7,0),'1CF1ZO'!$L$6:$L$2989,$B$25)+SUMIFS('1UK1BK'!$K$6:$K$2989,'1UK1BK'!$J$6:$J$2989,"&gt;="&amp;AT7,'1UK1BK'!$J$6:$J$2989,"&lt;="&amp;EOMONTH(AT7,0),'1UK1BK'!$L$6:$L$2989,$B$25)</f>
        <v>#REF!</v>
      </c>
      <c r="AU25" s="110" t="e">
        <f>SUMIFS('CEI565'!$K$6:$K$2990,'CEI565'!$J$6:$J$2990,"&gt;="&amp;AU7,'CEI565'!$J$6:$J$2990,"&lt;="&amp;EOMONTH(AU7,0),'CEI565'!$L$6:$L$2990,$B$25)+SUMIFS('1SM3VL'!$K$6:$K$2990,'1SM3VL'!$J$6:$J$2990,"&gt;="&amp;AU7,'1SM3VL'!$J$6:$J$2990,"&lt;="&amp;EOMONTH(AU7,0),'1SM3VL'!$L$6:$L$2990,$B$25)+SUMIFS('1QF4SM'!$K$6:$K$2989,'1QF4SM'!$J$6:$J$2989,"&gt;="&amp;AU7,'1QF4SM'!$J$6:$J$2989,"&lt;="&amp;EOMONTH(AU7,0),'1QF4SM'!$L$6:$L$2989,$B$25)+SUMIFS('1UV5KI'!$K$6:$K$2989,'1UV5KI'!$J$6:$J$2989,"&gt;="&amp;AU7,'1UV5KI'!$J$6:$J$2989,"&lt;="&amp;EOMONTH(AU7,0),'1UV5KI'!$L$6:$L$2989,$B$25)+SUMIFS(#REF!,#REF!,"&gt;="&amp;AU7,#REF!,"&lt;="&amp;EOMONTH(AU7,0),#REF!,$B$25)+SUMIFS('1UL9RY'!$K$6:$K$2990,'1UL9RY'!$J$6:$J$2990,"&gt;="&amp;AU7,'1UL9RY'!$J$6:$J$2990,"&lt;="&amp;EOMONTH(AU7,0),'1UL9RY'!$L$6:$L$2990,$B$25)+SUMIFS('1OZ7GT'!$K$6:$K$2989,'1OZ7GT'!$J$6:$J$2989,"&gt;="&amp;AU7,'1OZ7GT'!$J$6:$J$2989,"&lt;="&amp;EOMONTH(AU7,0),'1OZ7GT'!$L$6:$L$2989,$B$25)+SUMIFS('1CN8DD'!$K$6:$K$2989,'1CN8DD'!$J$6:$J$2989,"&gt;="&amp;AU7,'1CN8DD'!$J$6:$J$2989,"&lt;="&amp;EOMONTH(AU7,0),'1CN8DD'!$L$6:$L$2989,$B$25)+SUMIFS('1UT9BR'!$K$6:$K$2990,'1UT9BR'!$J$6:$J$2990,"&gt;="&amp;AU7,'1UT9BR'!$J$6:$J$2990,"&lt;="&amp;EOMONTH(AU7,0),'1UT9BR'!$L$6:$L$2990,$B$25)+SUMIFS('1MK4UR'!$K$6:$K$2990,'1MK4UR'!$J$6:$J$2990,"&gt;="&amp;AU7,'1MK4UR'!$J$6:$J$2990,"&lt;="&amp;EOMONTH(AU7,0),'1MK4UR'!$L$6:$L$2990,$B$25)+SUMIFS(#REF!,#REF!,"&gt;="&amp;AU7,#REF!,"&lt;="&amp;EOMONTH(AU7,0),#REF!,$B$25)+SUMIFS('1JI2UE'!$K$6:$K$2989,'1JI2UE'!$J$6:$J$2989,"&gt;="&amp;AU7,'1JI2UE'!$J$6:$J$2989,"&lt;="&amp;EOMONTH(AU7,0),'1JI2UE'!$L$6:$L$2989,$B$25)+SUMIFS(#REF!,#REF!,"&gt;="&amp;AU7,#REF!,"&lt;="&amp;EOMONTH(AU7,0),#REF!,$B$25)+SUMIFS('1SI9BW'!$K$6:$K$2989,'1SI9BW'!$J$6:$J$2989,"&gt;="&amp;AU7,'1SI9BW'!$J$6:$J$2989,"&lt;="&amp;EOMONTH(AU7,0),'1SI9BW'!$L$6:$L$2989,$B$25)+SUMIFS(Suzuki!$K$6:$K$2989,Suzuki!$J$6:$J$2989,"&gt;="&amp;AU7,Suzuki!$J$6:$J$2989,"&lt;="&amp;EOMONTH(AU7,0),Suzuki!$L$6:$L$2989,$B$25)+SUMIFS('1SK3DD'!$K$6:$K$2989,'1SK3DD'!$J$6:$J$2989,"&gt;="&amp;AU7,'1SK3DD'!$J$6:$J$2989,"&lt;="&amp;EOMONTH(AU7,0),'1SK3DD'!$L$6:$L$2989,$B$25)+SUMIFS('1SX5TQ'!$K$6:$K$2989,'1SX5TQ'!$J$6:$J$2989,"&gt;="&amp;AU7,'1SX5TQ'!$J$6:$J$2989,"&lt;="&amp;EOMONTH(AU7,0),'1SX5TQ'!$L$6:$L$2989,$B$25)+SUMIFS('BMM465'!$K$6:$K$2989,'BMM465'!$J$6:$J$2989,"&gt;="&amp;AU7,'BMM465'!$J$6:$J$2989,"&lt;="&amp;EOMONTH(AU7,0),'BMM465'!$L$6:$L$2989,$B$25)+SUMIFS('1CF1ZO'!$K$6:$K$2989,'1CF1ZO'!$J$6:$J$2989,"&gt;="&amp;AU7,'1CF1ZO'!$J$6:$J$2989,"&lt;="&amp;EOMONTH(AU7,0),'1CF1ZO'!$L$6:$L$2989,$B$25)+SUMIFS('1UK1BK'!$K$6:$K$2989,'1UK1BK'!$J$6:$J$2989,"&gt;="&amp;AU7,'1UK1BK'!$J$6:$J$2989,"&lt;="&amp;EOMONTH(AU7,0),'1UK1BK'!$L$6:$L$2989,$B$25)</f>
        <v>#REF!</v>
      </c>
      <c r="AV25" s="110" t="e">
        <f>SUMIFS('CEI565'!$K$6:$K$2990,'CEI565'!$J$6:$J$2990,"&gt;="&amp;AV7,'CEI565'!$J$6:$J$2990,"&lt;="&amp;EOMONTH(AV7,0),'CEI565'!$L$6:$L$2990,$B$25)+SUMIFS('1SM3VL'!$K$6:$K$2990,'1SM3VL'!$J$6:$J$2990,"&gt;="&amp;AV7,'1SM3VL'!$J$6:$J$2990,"&lt;="&amp;EOMONTH(AV7,0),'1SM3VL'!$L$6:$L$2990,$B$25)+SUMIFS('1QF4SM'!$K$6:$K$2989,'1QF4SM'!$J$6:$J$2989,"&gt;="&amp;AV7,'1QF4SM'!$J$6:$J$2989,"&lt;="&amp;EOMONTH(AV7,0),'1QF4SM'!$L$6:$L$2989,$B$25)+SUMIFS('1UV5KI'!$K$6:$K$2989,'1UV5KI'!$J$6:$J$2989,"&gt;="&amp;AV7,'1UV5KI'!$J$6:$J$2989,"&lt;="&amp;EOMONTH(AV7,0),'1UV5KI'!$L$6:$L$2989,$B$25)+SUMIFS(#REF!,#REF!,"&gt;="&amp;AV7,#REF!,"&lt;="&amp;EOMONTH(AV7,0),#REF!,$B$25)+SUMIFS('1UL9RY'!$K$6:$K$2990,'1UL9RY'!$J$6:$J$2990,"&gt;="&amp;AV7,'1UL9RY'!$J$6:$J$2990,"&lt;="&amp;EOMONTH(AV7,0),'1UL9RY'!$L$6:$L$2990,$B$25)+SUMIFS('1OZ7GT'!$K$6:$K$2989,'1OZ7GT'!$J$6:$J$2989,"&gt;="&amp;AV7,'1OZ7GT'!$J$6:$J$2989,"&lt;="&amp;EOMONTH(AV7,0),'1OZ7GT'!$L$6:$L$2989,$B$25)+SUMIFS('1CN8DD'!$K$6:$K$2989,'1CN8DD'!$J$6:$J$2989,"&gt;="&amp;AV7,'1CN8DD'!$J$6:$J$2989,"&lt;="&amp;EOMONTH(AV7,0),'1CN8DD'!$L$6:$L$2989,$B$25)+SUMIFS('1UT9BR'!$K$6:$K$2990,'1UT9BR'!$J$6:$J$2990,"&gt;="&amp;AV7,'1UT9BR'!$J$6:$J$2990,"&lt;="&amp;EOMONTH(AV7,0),'1UT9BR'!$L$6:$L$2990,$B$25)+SUMIFS('1MK4UR'!$K$6:$K$2990,'1MK4UR'!$J$6:$J$2990,"&gt;="&amp;AV7,'1MK4UR'!$J$6:$J$2990,"&lt;="&amp;EOMONTH(AV7,0),'1MK4UR'!$L$6:$L$2990,$B$25)+SUMIFS(#REF!,#REF!,"&gt;="&amp;AV7,#REF!,"&lt;="&amp;EOMONTH(AV7,0),#REF!,$B$25)+SUMIFS('1JI2UE'!$K$6:$K$2989,'1JI2UE'!$J$6:$J$2989,"&gt;="&amp;AV7,'1JI2UE'!$J$6:$J$2989,"&lt;="&amp;EOMONTH(AV7,0),'1JI2UE'!$L$6:$L$2989,$B$25)+SUMIFS(#REF!,#REF!,"&gt;="&amp;AV7,#REF!,"&lt;="&amp;EOMONTH(AV7,0),#REF!,$B$25)+SUMIFS('1SI9BW'!$K$6:$K$2989,'1SI9BW'!$J$6:$J$2989,"&gt;="&amp;AV7,'1SI9BW'!$J$6:$J$2989,"&lt;="&amp;EOMONTH(AV7,0),'1SI9BW'!$L$6:$L$2989,$B$25)+SUMIFS(Suzuki!$K$6:$K$2989,Suzuki!$J$6:$J$2989,"&gt;="&amp;AV7,Suzuki!$J$6:$J$2989,"&lt;="&amp;EOMONTH(AV7,0),Suzuki!$L$6:$L$2989,$B$25)+SUMIFS('1SK3DD'!$K$6:$K$2989,'1SK3DD'!$J$6:$J$2989,"&gt;="&amp;AV7,'1SK3DD'!$J$6:$J$2989,"&lt;="&amp;EOMONTH(AV7,0),'1SK3DD'!$L$6:$L$2989,$B$25)+SUMIFS('1SX5TQ'!$K$6:$K$2989,'1SX5TQ'!$J$6:$J$2989,"&gt;="&amp;AV7,'1SX5TQ'!$J$6:$J$2989,"&lt;="&amp;EOMONTH(AV7,0),'1SX5TQ'!$L$6:$L$2989,$B$25)+SUMIFS('BMM465'!$K$6:$K$2989,'BMM465'!$J$6:$J$2989,"&gt;="&amp;AV7,'BMM465'!$J$6:$J$2989,"&lt;="&amp;EOMONTH(AV7,0),'BMM465'!$L$6:$L$2989,$B$25)+SUMIFS('1CF1ZO'!$K$6:$K$2989,'1CF1ZO'!$J$6:$J$2989,"&gt;="&amp;AV7,'1CF1ZO'!$J$6:$J$2989,"&lt;="&amp;EOMONTH(AV7,0),'1CF1ZO'!$L$6:$L$2989,$B$25)+SUMIFS('1UK1BK'!$K$6:$K$2989,'1UK1BK'!$J$6:$J$2989,"&gt;="&amp;AV7,'1UK1BK'!$J$6:$J$2989,"&lt;="&amp;EOMONTH(AV7,0),'1UK1BK'!$L$6:$L$2989,$B$25)</f>
        <v>#REF!</v>
      </c>
      <c r="AW25" s="110" t="e">
        <f>SUMIFS('CEI565'!$K$6:$K$2990,'CEI565'!$J$6:$J$2990,"&gt;="&amp;AW7,'CEI565'!$J$6:$J$2990,"&lt;="&amp;EOMONTH(AW7,0),'CEI565'!$L$6:$L$2990,$B$25)+SUMIFS('1SM3VL'!$K$6:$K$2990,'1SM3VL'!$J$6:$J$2990,"&gt;="&amp;AW7,'1SM3VL'!$J$6:$J$2990,"&lt;="&amp;EOMONTH(AW7,0),'1SM3VL'!$L$6:$L$2990,$B$25)+SUMIFS('1QF4SM'!$K$6:$K$2989,'1QF4SM'!$J$6:$J$2989,"&gt;="&amp;AW7,'1QF4SM'!$J$6:$J$2989,"&lt;="&amp;EOMONTH(AW7,0),'1QF4SM'!$L$6:$L$2989,$B$25)+SUMIFS('1UV5KI'!$K$6:$K$2989,'1UV5KI'!$J$6:$J$2989,"&gt;="&amp;AW7,'1UV5KI'!$J$6:$J$2989,"&lt;="&amp;EOMONTH(AW7,0),'1UV5KI'!$L$6:$L$2989,$B$25)+SUMIFS(#REF!,#REF!,"&gt;="&amp;AW7,#REF!,"&lt;="&amp;EOMONTH(AW7,0),#REF!,$B$25)+SUMIFS('1UL9RY'!$K$6:$K$2990,'1UL9RY'!$J$6:$J$2990,"&gt;="&amp;AW7,'1UL9RY'!$J$6:$J$2990,"&lt;="&amp;EOMONTH(AW7,0),'1UL9RY'!$L$6:$L$2990,$B$25)+SUMIFS('1OZ7GT'!$K$6:$K$2989,'1OZ7GT'!$J$6:$J$2989,"&gt;="&amp;AW7,'1OZ7GT'!$J$6:$J$2989,"&lt;="&amp;EOMONTH(AW7,0),'1OZ7GT'!$L$6:$L$2989,$B$25)+SUMIFS('1CN8DD'!$K$6:$K$2989,'1CN8DD'!$J$6:$J$2989,"&gt;="&amp;AW7,'1CN8DD'!$J$6:$J$2989,"&lt;="&amp;EOMONTH(AW7,0),'1CN8DD'!$L$6:$L$2989,$B$25)+SUMIFS('1UT9BR'!$K$6:$K$2990,'1UT9BR'!$J$6:$J$2990,"&gt;="&amp;AW7,'1UT9BR'!$J$6:$J$2990,"&lt;="&amp;EOMONTH(AW7,0),'1UT9BR'!$L$6:$L$2990,$B$25)+SUMIFS('1MK4UR'!$K$6:$K$2990,'1MK4UR'!$J$6:$J$2990,"&gt;="&amp;AW7,'1MK4UR'!$J$6:$J$2990,"&lt;="&amp;EOMONTH(AW7,0),'1MK4UR'!$L$6:$L$2990,$B$25)+SUMIFS(#REF!,#REF!,"&gt;="&amp;AW7,#REF!,"&lt;="&amp;EOMONTH(AW7,0),#REF!,$B$25)+SUMIFS('1JI2UE'!$K$6:$K$2989,'1JI2UE'!$J$6:$J$2989,"&gt;="&amp;AW7,'1JI2UE'!$J$6:$J$2989,"&lt;="&amp;EOMONTH(AW7,0),'1JI2UE'!$L$6:$L$2989,$B$25)+SUMIFS(#REF!,#REF!,"&gt;="&amp;AW7,#REF!,"&lt;="&amp;EOMONTH(AW7,0),#REF!,$B$25)+SUMIFS('1SI9BW'!$K$6:$K$2989,'1SI9BW'!$J$6:$J$2989,"&gt;="&amp;AW7,'1SI9BW'!$J$6:$J$2989,"&lt;="&amp;EOMONTH(AW7,0),'1SI9BW'!$L$6:$L$2989,$B$25)+SUMIFS(Suzuki!$K$6:$K$2989,Suzuki!$J$6:$J$2989,"&gt;="&amp;AW7,Suzuki!$J$6:$J$2989,"&lt;="&amp;EOMONTH(AW7,0),Suzuki!$L$6:$L$2989,$B$25)+SUMIFS('1SK3DD'!$K$6:$K$2989,'1SK3DD'!$J$6:$J$2989,"&gt;="&amp;AW7,'1SK3DD'!$J$6:$J$2989,"&lt;="&amp;EOMONTH(AW7,0),'1SK3DD'!$L$6:$L$2989,$B$25)+SUMIFS('1SX5TQ'!$K$6:$K$2989,'1SX5TQ'!$J$6:$J$2989,"&gt;="&amp;AW7,'1SX5TQ'!$J$6:$J$2989,"&lt;="&amp;EOMONTH(AW7,0),'1SX5TQ'!$L$6:$L$2989,$B$25)+SUMIFS('BMM465'!$K$6:$K$2989,'BMM465'!$J$6:$J$2989,"&gt;="&amp;AW7,'BMM465'!$J$6:$J$2989,"&lt;="&amp;EOMONTH(AW7,0),'BMM465'!$L$6:$L$2989,$B$25)+SUMIFS('1CF1ZO'!$K$6:$K$2989,'1CF1ZO'!$J$6:$J$2989,"&gt;="&amp;AW7,'1CF1ZO'!$J$6:$J$2989,"&lt;="&amp;EOMONTH(AW7,0),'1CF1ZO'!$L$6:$L$2989,$B$25)+SUMIFS('1UK1BK'!$K$6:$K$2989,'1UK1BK'!$J$6:$J$2989,"&gt;="&amp;AW7,'1UK1BK'!$J$6:$J$2989,"&lt;="&amp;EOMONTH(AW7,0),'1UK1BK'!$L$6:$L$2989,$B$25)</f>
        <v>#REF!</v>
      </c>
      <c r="AX25" s="110" t="e">
        <f>SUMIFS('CEI565'!$K$6:$K$2990,'CEI565'!$J$6:$J$2990,"&gt;="&amp;AX7,'CEI565'!$J$6:$J$2990,"&lt;="&amp;EOMONTH(AX7,0),'CEI565'!$L$6:$L$2990,$B$25)+SUMIFS('1SM3VL'!$K$6:$K$2990,'1SM3VL'!$J$6:$J$2990,"&gt;="&amp;AX7,'1SM3VL'!$J$6:$J$2990,"&lt;="&amp;EOMONTH(AX7,0),'1SM3VL'!$L$6:$L$2990,$B$25)+SUMIFS('1QF4SM'!$K$6:$K$2989,'1QF4SM'!$J$6:$J$2989,"&gt;="&amp;AX7,'1QF4SM'!$J$6:$J$2989,"&lt;="&amp;EOMONTH(AX7,0),'1QF4SM'!$L$6:$L$2989,$B$25)+SUMIFS('1UV5KI'!$K$6:$K$2989,'1UV5KI'!$J$6:$J$2989,"&gt;="&amp;AX7,'1UV5KI'!$J$6:$J$2989,"&lt;="&amp;EOMONTH(AX7,0),'1UV5KI'!$L$6:$L$2989,$B$25)+SUMIFS(#REF!,#REF!,"&gt;="&amp;AX7,#REF!,"&lt;="&amp;EOMONTH(AX7,0),#REF!,$B$25)+SUMIFS('1UL9RY'!$K$6:$K$2990,'1UL9RY'!$J$6:$J$2990,"&gt;="&amp;AX7,'1UL9RY'!$J$6:$J$2990,"&lt;="&amp;EOMONTH(AX7,0),'1UL9RY'!$L$6:$L$2990,$B$25)+SUMIFS('1OZ7GT'!$K$6:$K$2989,'1OZ7GT'!$J$6:$J$2989,"&gt;="&amp;AX7,'1OZ7GT'!$J$6:$J$2989,"&lt;="&amp;EOMONTH(AX7,0),'1OZ7GT'!$L$6:$L$2989,$B$25)+SUMIFS('1CN8DD'!$K$6:$K$2989,'1CN8DD'!$J$6:$J$2989,"&gt;="&amp;AX7,'1CN8DD'!$J$6:$J$2989,"&lt;="&amp;EOMONTH(AX7,0),'1CN8DD'!$L$6:$L$2989,$B$25)+SUMIFS('1UT9BR'!$K$6:$K$2990,'1UT9BR'!$J$6:$J$2990,"&gt;="&amp;AX7,'1UT9BR'!$J$6:$J$2990,"&lt;="&amp;EOMONTH(AX7,0),'1UT9BR'!$L$6:$L$2990,$B$25)+SUMIFS('1MK4UR'!$K$6:$K$2990,'1MK4UR'!$J$6:$J$2990,"&gt;="&amp;AX7,'1MK4UR'!$J$6:$J$2990,"&lt;="&amp;EOMONTH(AX7,0),'1MK4UR'!$L$6:$L$2990,$B$25)+SUMIFS(#REF!,#REF!,"&gt;="&amp;AX7,#REF!,"&lt;="&amp;EOMONTH(AX7,0),#REF!,$B$25)+SUMIFS('1JI2UE'!$K$6:$K$2989,'1JI2UE'!$J$6:$J$2989,"&gt;="&amp;AX7,'1JI2UE'!$J$6:$J$2989,"&lt;="&amp;EOMONTH(AX7,0),'1JI2UE'!$L$6:$L$2989,$B$25)+SUMIFS(#REF!,#REF!,"&gt;="&amp;AX7,#REF!,"&lt;="&amp;EOMONTH(AX7,0),#REF!,$B$25)+SUMIFS('1SI9BW'!$K$6:$K$2989,'1SI9BW'!$J$6:$J$2989,"&gt;="&amp;AX7,'1SI9BW'!$J$6:$J$2989,"&lt;="&amp;EOMONTH(AX7,0),'1SI9BW'!$L$6:$L$2989,$B$25)+SUMIFS(Suzuki!$K$6:$K$2989,Suzuki!$J$6:$J$2989,"&gt;="&amp;AX7,Suzuki!$J$6:$J$2989,"&lt;="&amp;EOMONTH(AX7,0),Suzuki!$L$6:$L$2989,$B$25)+SUMIFS('1SK3DD'!$K$6:$K$2989,'1SK3DD'!$J$6:$J$2989,"&gt;="&amp;AX7,'1SK3DD'!$J$6:$J$2989,"&lt;="&amp;EOMONTH(AX7,0),'1SK3DD'!$L$6:$L$2989,$B$25)+SUMIFS('1SX5TQ'!$K$6:$K$2989,'1SX5TQ'!$J$6:$J$2989,"&gt;="&amp;AX7,'1SX5TQ'!$J$6:$J$2989,"&lt;="&amp;EOMONTH(AX7,0),'1SX5TQ'!$L$6:$L$2989,$B$25)+SUMIFS('BMM465'!$K$6:$K$2989,'BMM465'!$J$6:$J$2989,"&gt;="&amp;AX7,'BMM465'!$J$6:$J$2989,"&lt;="&amp;EOMONTH(AX7,0),'BMM465'!$L$6:$L$2989,$B$25)+SUMIFS('1CF1ZO'!$K$6:$K$2989,'1CF1ZO'!$J$6:$J$2989,"&gt;="&amp;AX7,'1CF1ZO'!$J$6:$J$2989,"&lt;="&amp;EOMONTH(AX7,0),'1CF1ZO'!$L$6:$L$2989,$B$25)+SUMIFS('1UK1BK'!$K$6:$K$2989,'1UK1BK'!$J$6:$J$2989,"&gt;="&amp;AX7,'1UK1BK'!$J$6:$J$2989,"&lt;="&amp;EOMONTH(AX7,0),'1UK1BK'!$L$6:$L$2989,$B$25)</f>
        <v>#REF!</v>
      </c>
      <c r="AY25" s="110" t="e">
        <f>SUMIFS('CEI565'!$K$6:$K$2990,'CEI565'!$J$6:$J$2990,"&gt;="&amp;AY7,'CEI565'!$J$6:$J$2990,"&lt;="&amp;EOMONTH(AY7,0),'CEI565'!$L$6:$L$2990,$B$25)+SUMIFS('1SM3VL'!$K$6:$K$2990,'1SM3VL'!$J$6:$J$2990,"&gt;="&amp;AY7,'1SM3VL'!$J$6:$J$2990,"&lt;="&amp;EOMONTH(AY7,0),'1SM3VL'!$L$6:$L$2990,$B$25)+SUMIFS('1QF4SM'!$K$6:$K$2989,'1QF4SM'!$J$6:$J$2989,"&gt;="&amp;AY7,'1QF4SM'!$J$6:$J$2989,"&lt;="&amp;EOMONTH(AY7,0),'1QF4SM'!$L$6:$L$2989,$B$25)+SUMIFS('1UV5KI'!$K$6:$K$2989,'1UV5KI'!$J$6:$J$2989,"&gt;="&amp;AY7,'1UV5KI'!$J$6:$J$2989,"&lt;="&amp;EOMONTH(AY7,0),'1UV5KI'!$L$6:$L$2989,$B$25)+SUMIFS(#REF!,#REF!,"&gt;="&amp;AY7,#REF!,"&lt;="&amp;EOMONTH(AY7,0),#REF!,$B$25)+SUMIFS('1UL9RY'!$K$6:$K$2990,'1UL9RY'!$J$6:$J$2990,"&gt;="&amp;AY7,'1UL9RY'!$J$6:$J$2990,"&lt;="&amp;EOMONTH(AY7,0),'1UL9RY'!$L$6:$L$2990,$B$25)+SUMIFS('1OZ7GT'!$K$6:$K$2989,'1OZ7GT'!$J$6:$J$2989,"&gt;="&amp;AY7,'1OZ7GT'!$J$6:$J$2989,"&lt;="&amp;EOMONTH(AY7,0),'1OZ7GT'!$L$6:$L$2989,$B$25)+SUMIFS('1CN8DD'!$K$6:$K$2989,'1CN8DD'!$J$6:$J$2989,"&gt;="&amp;AY7,'1CN8DD'!$J$6:$J$2989,"&lt;="&amp;EOMONTH(AY7,0),'1CN8DD'!$L$6:$L$2989,$B$25)+SUMIFS('1UT9BR'!$K$6:$K$2990,'1UT9BR'!$J$6:$J$2990,"&gt;="&amp;AY7,'1UT9BR'!$J$6:$J$2990,"&lt;="&amp;EOMONTH(AY7,0),'1UT9BR'!$L$6:$L$2990,$B$25)+SUMIFS('1MK4UR'!$K$6:$K$2990,'1MK4UR'!$J$6:$J$2990,"&gt;="&amp;AY7,'1MK4UR'!$J$6:$J$2990,"&lt;="&amp;EOMONTH(AY7,0),'1MK4UR'!$L$6:$L$2990,$B$25)+SUMIFS(#REF!,#REF!,"&gt;="&amp;AY7,#REF!,"&lt;="&amp;EOMONTH(AY7,0),#REF!,$B$25)+SUMIFS('1JI2UE'!$K$6:$K$2989,'1JI2UE'!$J$6:$J$2989,"&gt;="&amp;AY7,'1JI2UE'!$J$6:$J$2989,"&lt;="&amp;EOMONTH(AY7,0),'1JI2UE'!$L$6:$L$2989,$B$25)+SUMIFS(#REF!,#REF!,"&gt;="&amp;AY7,#REF!,"&lt;="&amp;EOMONTH(AY7,0),#REF!,$B$25)+SUMIFS('1SI9BW'!$K$6:$K$2989,'1SI9BW'!$J$6:$J$2989,"&gt;="&amp;AY7,'1SI9BW'!$J$6:$J$2989,"&lt;="&amp;EOMONTH(AY7,0),'1SI9BW'!$L$6:$L$2989,$B$25)+SUMIFS(Suzuki!$K$6:$K$2989,Suzuki!$J$6:$J$2989,"&gt;="&amp;AY7,Suzuki!$J$6:$J$2989,"&lt;="&amp;EOMONTH(AY7,0),Suzuki!$L$6:$L$2989,$B$25)+SUMIFS('1SK3DD'!$K$6:$K$2989,'1SK3DD'!$J$6:$J$2989,"&gt;="&amp;AY7,'1SK3DD'!$J$6:$J$2989,"&lt;="&amp;EOMONTH(AY7,0),'1SK3DD'!$L$6:$L$2989,$B$25)+SUMIFS('1SX5TQ'!$K$6:$K$2989,'1SX5TQ'!$J$6:$J$2989,"&gt;="&amp;AY7,'1SX5TQ'!$J$6:$J$2989,"&lt;="&amp;EOMONTH(AY7,0),'1SX5TQ'!$L$6:$L$2989,$B$25)+SUMIFS('BMM465'!$K$6:$K$2989,'BMM465'!$J$6:$J$2989,"&gt;="&amp;AY7,'BMM465'!$J$6:$J$2989,"&lt;="&amp;EOMONTH(AY7,0),'BMM465'!$L$6:$L$2989,$B$25)+SUMIFS('1CF1ZO'!$K$6:$K$2989,'1CF1ZO'!$J$6:$J$2989,"&gt;="&amp;AY7,'1CF1ZO'!$J$6:$J$2989,"&lt;="&amp;EOMONTH(AY7,0),'1CF1ZO'!$L$6:$L$2989,$B$25)+SUMIFS('1UK1BK'!$K$6:$K$2989,'1UK1BK'!$J$6:$J$2989,"&gt;="&amp;AY7,'1UK1BK'!$J$6:$J$2989,"&lt;="&amp;EOMONTH(AY7,0),'1UK1BK'!$L$6:$L$2989,$B$25)</f>
        <v>#REF!</v>
      </c>
      <c r="AZ25" s="110" t="e">
        <f>SUMIFS('CEI565'!$K$6:$K$2990,'CEI565'!$J$6:$J$2990,"&gt;="&amp;AZ7,'CEI565'!$J$6:$J$2990,"&lt;="&amp;EOMONTH(AZ7,0),'CEI565'!$L$6:$L$2990,$B$25)+SUMIFS('1SM3VL'!$K$6:$K$2990,'1SM3VL'!$J$6:$J$2990,"&gt;="&amp;AZ7,'1SM3VL'!$J$6:$J$2990,"&lt;="&amp;EOMONTH(AZ7,0),'1SM3VL'!$L$6:$L$2990,$B$25)+SUMIFS('1QF4SM'!$K$6:$K$2989,'1QF4SM'!$J$6:$J$2989,"&gt;="&amp;AZ7,'1QF4SM'!$J$6:$J$2989,"&lt;="&amp;EOMONTH(AZ7,0),'1QF4SM'!$L$6:$L$2989,$B$25)+SUMIFS('1UV5KI'!$K$6:$K$2989,'1UV5KI'!$J$6:$J$2989,"&gt;="&amp;AZ7,'1UV5KI'!$J$6:$J$2989,"&lt;="&amp;EOMONTH(AZ7,0),'1UV5KI'!$L$6:$L$2989,$B$25)+SUMIFS(#REF!,#REF!,"&gt;="&amp;AZ7,#REF!,"&lt;="&amp;EOMONTH(AZ7,0),#REF!,$B$25)+SUMIFS('1UL9RY'!$K$6:$K$2990,'1UL9RY'!$J$6:$J$2990,"&gt;="&amp;AZ7,'1UL9RY'!$J$6:$J$2990,"&lt;="&amp;EOMONTH(AZ7,0),'1UL9RY'!$L$6:$L$2990,$B$25)+SUMIFS('1OZ7GT'!$K$6:$K$2989,'1OZ7GT'!$J$6:$J$2989,"&gt;="&amp;AZ7,'1OZ7GT'!$J$6:$J$2989,"&lt;="&amp;EOMONTH(AZ7,0),'1OZ7GT'!$L$6:$L$2989,$B$25)+SUMIFS('1CN8DD'!$K$6:$K$2989,'1CN8DD'!$J$6:$J$2989,"&gt;="&amp;AZ7,'1CN8DD'!$J$6:$J$2989,"&lt;="&amp;EOMONTH(AZ7,0),'1CN8DD'!$L$6:$L$2989,$B$25)+SUMIFS('1UT9BR'!$K$6:$K$2990,'1UT9BR'!$J$6:$J$2990,"&gt;="&amp;AZ7,'1UT9BR'!$J$6:$J$2990,"&lt;="&amp;EOMONTH(AZ7,0),'1UT9BR'!$L$6:$L$2990,$B$25)+SUMIFS('1MK4UR'!$K$6:$K$2990,'1MK4UR'!$J$6:$J$2990,"&gt;="&amp;AZ7,'1MK4UR'!$J$6:$J$2990,"&lt;="&amp;EOMONTH(AZ7,0),'1MK4UR'!$L$6:$L$2990,$B$25)+SUMIFS(#REF!,#REF!,"&gt;="&amp;AZ7,#REF!,"&lt;="&amp;EOMONTH(AZ7,0),#REF!,$B$25)+SUMIFS('1JI2UE'!$K$6:$K$2989,'1JI2UE'!$J$6:$J$2989,"&gt;="&amp;AZ7,'1JI2UE'!$J$6:$J$2989,"&lt;="&amp;EOMONTH(AZ7,0),'1JI2UE'!$L$6:$L$2989,$B$25)+SUMIFS(#REF!,#REF!,"&gt;="&amp;AZ7,#REF!,"&lt;="&amp;EOMONTH(AZ7,0),#REF!,$B$25)+SUMIFS('1SI9BW'!$K$6:$K$2989,'1SI9BW'!$J$6:$J$2989,"&gt;="&amp;AZ7,'1SI9BW'!$J$6:$J$2989,"&lt;="&amp;EOMONTH(AZ7,0),'1SI9BW'!$L$6:$L$2989,$B$25)+SUMIFS(Suzuki!$K$6:$K$2989,Suzuki!$J$6:$J$2989,"&gt;="&amp;AZ7,Suzuki!$J$6:$J$2989,"&lt;="&amp;EOMONTH(AZ7,0),Suzuki!$L$6:$L$2989,$B$25)+SUMIFS('1SK3DD'!$K$6:$K$2989,'1SK3DD'!$J$6:$J$2989,"&gt;="&amp;AZ7,'1SK3DD'!$J$6:$J$2989,"&lt;="&amp;EOMONTH(AZ7,0),'1SK3DD'!$L$6:$L$2989,$B$25)+SUMIFS('1SX5TQ'!$K$6:$K$2989,'1SX5TQ'!$J$6:$J$2989,"&gt;="&amp;AZ7,'1SX5TQ'!$J$6:$J$2989,"&lt;="&amp;EOMONTH(AZ7,0),'1SX5TQ'!$L$6:$L$2989,$B$25)+SUMIFS('BMM465'!$K$6:$K$2989,'BMM465'!$J$6:$J$2989,"&gt;="&amp;AZ7,'BMM465'!$J$6:$J$2989,"&lt;="&amp;EOMONTH(AZ7,0),'BMM465'!$L$6:$L$2989,$B$25)+SUMIFS('1CF1ZO'!$K$6:$K$2989,'1CF1ZO'!$J$6:$J$2989,"&gt;="&amp;AZ7,'1CF1ZO'!$J$6:$J$2989,"&lt;="&amp;EOMONTH(AZ7,0),'1CF1ZO'!$L$6:$L$2989,$B$25)+SUMIFS('1UK1BK'!$K$6:$K$2989,'1UK1BK'!$J$6:$J$2989,"&gt;="&amp;AZ7,'1UK1BK'!$J$6:$J$2989,"&lt;="&amp;EOMONTH(AZ7,0),'1UK1BK'!$L$6:$L$2989,$B$25)</f>
        <v>#REF!</v>
      </c>
      <c r="BA25" s="110" t="e">
        <f>SUMIFS('CEI565'!$K$6:$K$2990,'CEI565'!$J$6:$J$2990,"&gt;="&amp;BA7,'CEI565'!$J$6:$J$2990,"&lt;="&amp;EOMONTH(BA7,0),'CEI565'!$L$6:$L$2990,$B$25)+SUMIFS('1SM3VL'!$K$6:$K$2990,'1SM3VL'!$J$6:$J$2990,"&gt;="&amp;BA7,'1SM3VL'!$J$6:$J$2990,"&lt;="&amp;EOMONTH(BA7,0),'1SM3VL'!$L$6:$L$2990,$B$25)+SUMIFS('1QF4SM'!$K$6:$K$2989,'1QF4SM'!$J$6:$J$2989,"&gt;="&amp;BA7,'1QF4SM'!$J$6:$J$2989,"&lt;="&amp;EOMONTH(BA7,0),'1QF4SM'!$L$6:$L$2989,$B$25)+SUMIFS('1UV5KI'!$K$6:$K$2989,'1UV5KI'!$J$6:$J$2989,"&gt;="&amp;BA7,'1UV5KI'!$J$6:$J$2989,"&lt;="&amp;EOMONTH(BA7,0),'1UV5KI'!$L$6:$L$2989,$B$25)+SUMIFS(#REF!,#REF!,"&gt;="&amp;BA7,#REF!,"&lt;="&amp;EOMONTH(BA7,0),#REF!,$B$25)+SUMIFS('1UL9RY'!$K$6:$K$2990,'1UL9RY'!$J$6:$J$2990,"&gt;="&amp;BA7,'1UL9RY'!$J$6:$J$2990,"&lt;="&amp;EOMONTH(BA7,0),'1UL9RY'!$L$6:$L$2990,$B$25)+SUMIFS('1OZ7GT'!$K$6:$K$2989,'1OZ7GT'!$J$6:$J$2989,"&gt;="&amp;BA7,'1OZ7GT'!$J$6:$J$2989,"&lt;="&amp;EOMONTH(BA7,0),'1OZ7GT'!$L$6:$L$2989,$B$25)+SUMIFS('1CN8DD'!$K$6:$K$2989,'1CN8DD'!$J$6:$J$2989,"&gt;="&amp;BA7,'1CN8DD'!$J$6:$J$2989,"&lt;="&amp;EOMONTH(BA7,0),'1CN8DD'!$L$6:$L$2989,$B$25)+SUMIFS('1UT9BR'!$K$6:$K$2990,'1UT9BR'!$J$6:$J$2990,"&gt;="&amp;BA7,'1UT9BR'!$J$6:$J$2990,"&lt;="&amp;EOMONTH(BA7,0),'1UT9BR'!$L$6:$L$2990,$B$25)+SUMIFS('1MK4UR'!$K$6:$K$2990,'1MK4UR'!$J$6:$J$2990,"&gt;="&amp;BA7,'1MK4UR'!$J$6:$J$2990,"&lt;="&amp;EOMONTH(BA7,0),'1MK4UR'!$L$6:$L$2990,$B$25)+SUMIFS(#REF!,#REF!,"&gt;="&amp;BA7,#REF!,"&lt;="&amp;EOMONTH(BA7,0),#REF!,$B$25)+SUMIFS('1JI2UE'!$K$6:$K$2989,'1JI2UE'!$J$6:$J$2989,"&gt;="&amp;BA7,'1JI2UE'!$J$6:$J$2989,"&lt;="&amp;EOMONTH(BA7,0),'1JI2UE'!$L$6:$L$2989,$B$25)+SUMIFS(#REF!,#REF!,"&gt;="&amp;BA7,#REF!,"&lt;="&amp;EOMONTH(BA7,0),#REF!,$B$25)+SUMIFS('1SI9BW'!$K$6:$K$2989,'1SI9BW'!$J$6:$J$2989,"&gt;="&amp;BA7,'1SI9BW'!$J$6:$J$2989,"&lt;="&amp;EOMONTH(BA7,0),'1SI9BW'!$L$6:$L$2989,$B$25)+SUMIFS(Suzuki!$K$6:$K$2989,Suzuki!$J$6:$J$2989,"&gt;="&amp;BA7,Suzuki!$J$6:$J$2989,"&lt;="&amp;EOMONTH(BA7,0),Suzuki!$L$6:$L$2989,$B$25)+SUMIFS('1SK3DD'!$K$6:$K$2989,'1SK3DD'!$J$6:$J$2989,"&gt;="&amp;BA7,'1SK3DD'!$J$6:$J$2989,"&lt;="&amp;EOMONTH(BA7,0),'1SK3DD'!$L$6:$L$2989,$B$25)+SUMIFS('1SX5TQ'!$K$6:$K$2989,'1SX5TQ'!$J$6:$J$2989,"&gt;="&amp;BA7,'1SX5TQ'!$J$6:$J$2989,"&lt;="&amp;EOMONTH(BA7,0),'1SX5TQ'!$L$6:$L$2989,$B$25)+SUMIFS('BMM465'!$K$6:$K$2989,'BMM465'!$J$6:$J$2989,"&gt;="&amp;BA7,'BMM465'!$J$6:$J$2989,"&lt;="&amp;EOMONTH(BA7,0),'BMM465'!$L$6:$L$2989,$B$25)+SUMIFS('1CF1ZO'!$K$6:$K$2989,'1CF1ZO'!$J$6:$J$2989,"&gt;="&amp;BA7,'1CF1ZO'!$J$6:$J$2989,"&lt;="&amp;EOMONTH(BA7,0),'1CF1ZO'!$L$6:$L$2989,$B$25)+SUMIFS('1UK1BK'!$K$6:$K$2989,'1UK1BK'!$J$6:$J$2989,"&gt;="&amp;BA7,'1UK1BK'!$J$6:$J$2989,"&lt;="&amp;EOMONTH(BA7,0),'1UK1BK'!$L$6:$L$2989,$B$25)</f>
        <v>#REF!</v>
      </c>
    </row>
    <row r="26" spans="1:53" x14ac:dyDescent="0.25">
      <c r="B26" s="5" t="s">
        <v>16</v>
      </c>
      <c r="C26" s="69" t="str">
        <f t="shared" si="13"/>
        <v/>
      </c>
      <c r="D26" s="109" t="e">
        <f t="shared" si="2"/>
        <v>#REF!</v>
      </c>
      <c r="E26" s="69" t="str">
        <f t="shared" si="14"/>
        <v/>
      </c>
      <c r="F26" s="109" t="e">
        <f t="shared" si="3"/>
        <v>#REF!</v>
      </c>
      <c r="G26" s="69" t="str">
        <f t="shared" si="15"/>
        <v/>
      </c>
      <c r="H26" s="109" t="e">
        <f t="shared" si="4"/>
        <v>#REF!</v>
      </c>
      <c r="I26" s="110" t="e">
        <f>SUMIFS('CEI565'!$K$6:$K$2990,'CEI565'!$J$6:$J$2990,"&gt;="&amp;I7,'CEI565'!$J$6:$J$2990,"&lt;="&amp;EOMONTH(I7,0),'CEI565'!$L$6:$L$2990,$B$26)+SUMIFS('1SM3VL'!$K$6:$K$2990,'1SM3VL'!$J$6:$J$2990,"&gt;="&amp;I7,'1SM3VL'!$J$6:$J$2990,"&lt;="&amp;EOMONTH(I7,0),'1SM3VL'!$L$6:$L$2990,$B$26)+SUMIFS('1QF4SM'!$K$6:$K$2989,'1QF4SM'!$J$6:$J$2989,"&gt;="&amp;I7,'1QF4SM'!$J$6:$J$2989,"&lt;="&amp;EOMONTH(I7,0),'1QF4SM'!$L$6:$L$2989,$B$26)+SUMIFS('1UV5KI'!$K$6:$K$2989,'1UV5KI'!$J$6:$J$2989,"&gt;="&amp;I7,'1UV5KI'!$J$6:$J$2989,"&lt;="&amp;EOMONTH(I7,0),'1UV5KI'!$L$6:$L$2989,$B$26)+SUMIFS(#REF!,#REF!,"&gt;="&amp;I7,#REF!,"&lt;="&amp;EOMONTH(I7,0),#REF!,$B$26)+SUMIFS('1UL9RY'!$K$6:$K$2990,'1UL9RY'!$J$6:$J$2990,"&gt;="&amp;I7,'1UL9RY'!$J$6:$J$2990,"&lt;="&amp;EOMONTH(I7,0),'1UL9RY'!$L$6:$L$2990,$B$26)+SUMIFS('1OZ7GT'!$K$6:$K$2989,'1OZ7GT'!$J$6:$J$2989,"&gt;="&amp;I7,'1OZ7GT'!$J$6:$J$2989,"&lt;="&amp;EOMONTH(I7,0),'1OZ7GT'!$L$6:$L$2989,$B$26)+SUMIFS('1CN8DD'!$K$6:$K$2989,'1CN8DD'!$J$6:$J$2989,"&gt;="&amp;I7,'1CN8DD'!$J$6:$J$2989,"&lt;="&amp;EOMONTH(I7,0),'1CN8DD'!$L$6:$L$2989,$B$26)+SUMIFS('1UT9BR'!$K$6:$K$2990,'1UT9BR'!$J$6:$J$2990,"&gt;="&amp;I7,'1UT9BR'!$J$6:$J$2990,"&lt;="&amp;EOMONTH(I7,0),'1UT9BR'!$L$6:$L$2990,$B$26)+SUMIFS('1MK4UR'!$K$6:$K$2990,'1MK4UR'!$J$6:$J$2990,"&gt;="&amp;I7,'1MK4UR'!$J$6:$J$2990,"&lt;="&amp;EOMONTH(I7,0),'1MK4UR'!$L$6:$L$2990,$B$26)+SUMIFS(#REF!,#REF!,"&gt;="&amp;I7,#REF!,"&lt;="&amp;EOMONTH(I7,0),#REF!,$B$26)+SUMIFS('1JI2UE'!$K$6:$K$2989,'1JI2UE'!$J$6:$J$2989,"&gt;="&amp;I7,'1JI2UE'!$J$6:$J$2989,"&lt;="&amp;EOMONTH(I7,0),'1JI2UE'!$L$6:$L$2989,$B$26)+SUMIFS(#REF!,#REF!,"&gt;="&amp;I7,#REF!,"&lt;="&amp;EOMONTH(I7,0),#REF!,$B$26)+SUMIFS('1SI9BW'!$K$6:$K$2989,'1SI9BW'!$J$6:$J$2989,"&gt;="&amp;I7,'1SI9BW'!$J$6:$J$2989,"&lt;="&amp;EOMONTH(I7,0),'1SI9BW'!$L$6:$L$2989,$B$26)+SUMIFS(Suzuki!$K$6:$K$2989,Suzuki!$J$6:$J$2989,"&gt;="&amp;I7,Suzuki!$J$6:$J$2989,"&lt;="&amp;EOMONTH(I7,0),Suzuki!$L$6:$L$2989,$B$26)+SUMIFS('1SK3DD'!$K$6:$K$2989,'1SK3DD'!$J$6:$J$2989,"&gt;="&amp;I7,'1SK3DD'!$J$6:$J$2989,"&lt;="&amp;EOMONTH(I7,0),'1SK3DD'!$L$6:$L$2989,$B$26)+SUMIFS('1SX5TQ'!$K$6:$K$2989,'1SX5TQ'!$J$6:$J$2989,"&gt;="&amp;I7,'1SX5TQ'!$J$6:$J$2989,"&lt;="&amp;EOMONTH(I7,0),'1SX5TQ'!$L$6:$L$2989,$B$26)+SUMIFS('BMM465'!$K$6:$K$2989,'BMM465'!$J$6:$J$2989,"&gt;="&amp;I7,'BMM465'!$J$6:$J$2989,"&lt;="&amp;EOMONTH(I7,0),'BMM465'!$L$6:$L$2989,$B$26)+SUMIFS('1CF1ZO'!$K$6:$K$2989,'1CF1ZO'!$J$6:$J$2989,"&gt;="&amp;I7,'1CF1ZO'!$J$6:$J$2989,"&lt;="&amp;EOMONTH(I7,0),'1CF1ZO'!$L$6:$L$2989,$B$26)+SUMIFS('1UK1BK'!$K$6:$K$2989,'1UK1BK'!$J$6:$J$2989,"&gt;="&amp;I7,'1UK1BK'!$J$6:$J$2989,"&lt;="&amp;EOMONTH(I7,0),'1UK1BK'!$L$6:$L$2989,$B$26)</f>
        <v>#REF!</v>
      </c>
      <c r="J26" s="110" t="e">
        <f>SUMIFS('CEI565'!$K$6:$K$2990,'CEI565'!$J$6:$J$2990,"&gt;="&amp;J7,'CEI565'!$J$6:$J$2990,"&lt;="&amp;EOMONTH(J7,0),'CEI565'!$L$6:$L$2990,$B$26)+SUMIFS('1SM3VL'!$K$6:$K$2990,'1SM3VL'!$J$6:$J$2990,"&gt;="&amp;J7,'1SM3VL'!$J$6:$J$2990,"&lt;="&amp;EOMONTH(J7,0),'1SM3VL'!$L$6:$L$2990,$B$26)+SUMIFS('1QF4SM'!$K$6:$K$2989,'1QF4SM'!$J$6:$J$2989,"&gt;="&amp;J7,'1QF4SM'!$J$6:$J$2989,"&lt;="&amp;EOMONTH(J7,0),'1QF4SM'!$L$6:$L$2989,$B$26)+SUMIFS('1UV5KI'!$K$6:$K$2989,'1UV5KI'!$J$6:$J$2989,"&gt;="&amp;J7,'1UV5KI'!$J$6:$J$2989,"&lt;="&amp;EOMONTH(J7,0),'1UV5KI'!$L$6:$L$2989,$B$26)+SUMIFS(#REF!,#REF!,"&gt;="&amp;J7,#REF!,"&lt;="&amp;EOMONTH(J7,0),#REF!,$B$26)+SUMIFS('1UL9RY'!$K$6:$K$2990,'1UL9RY'!$J$6:$J$2990,"&gt;="&amp;J7,'1UL9RY'!$J$6:$J$2990,"&lt;="&amp;EOMONTH(J7,0),'1UL9RY'!$L$6:$L$2990,$B$26)+SUMIFS('1OZ7GT'!$K$6:$K$2989,'1OZ7GT'!$J$6:$J$2989,"&gt;="&amp;J7,'1OZ7GT'!$J$6:$J$2989,"&lt;="&amp;EOMONTH(J7,0),'1OZ7GT'!$L$6:$L$2989,$B$26)+SUMIFS('1CN8DD'!$K$6:$K$2989,'1CN8DD'!$J$6:$J$2989,"&gt;="&amp;J7,'1CN8DD'!$J$6:$J$2989,"&lt;="&amp;EOMONTH(J7,0),'1CN8DD'!$L$6:$L$2989,$B$26)+SUMIFS('1UT9BR'!$K$6:$K$2990,'1UT9BR'!$J$6:$J$2990,"&gt;="&amp;J7,'1UT9BR'!$J$6:$J$2990,"&lt;="&amp;EOMONTH(J7,0),'1UT9BR'!$L$6:$L$2990,$B$26)+SUMIFS('1MK4UR'!$K$6:$K$2990,'1MK4UR'!$J$6:$J$2990,"&gt;="&amp;J7,'1MK4UR'!$J$6:$J$2990,"&lt;="&amp;EOMONTH(J7,0),'1MK4UR'!$L$6:$L$2990,$B$26)+SUMIFS(#REF!,#REF!,"&gt;="&amp;J7,#REF!,"&lt;="&amp;EOMONTH(J7,0),#REF!,$B$26)+SUMIFS('1JI2UE'!$K$6:$K$2989,'1JI2UE'!$J$6:$J$2989,"&gt;="&amp;J7,'1JI2UE'!$J$6:$J$2989,"&lt;="&amp;EOMONTH(J7,0),'1JI2UE'!$L$6:$L$2989,$B$26)+SUMIFS(#REF!,#REF!,"&gt;="&amp;J7,#REF!,"&lt;="&amp;EOMONTH(J7,0),#REF!,$B$26)+SUMIFS('1SI9BW'!$K$6:$K$2989,'1SI9BW'!$J$6:$J$2989,"&gt;="&amp;J7,'1SI9BW'!$J$6:$J$2989,"&lt;="&amp;EOMONTH(J7,0),'1SI9BW'!$L$6:$L$2989,$B$26)+SUMIFS(Suzuki!$K$6:$K$2989,Suzuki!$J$6:$J$2989,"&gt;="&amp;J7,Suzuki!$J$6:$J$2989,"&lt;="&amp;EOMONTH(J7,0),Suzuki!$L$6:$L$2989,$B$26)+SUMIFS('1SK3DD'!$K$6:$K$2989,'1SK3DD'!$J$6:$J$2989,"&gt;="&amp;J7,'1SK3DD'!$J$6:$J$2989,"&lt;="&amp;EOMONTH(J7,0),'1SK3DD'!$L$6:$L$2989,$B$26)+SUMIFS('1SX5TQ'!$K$6:$K$2989,'1SX5TQ'!$J$6:$J$2989,"&gt;="&amp;J7,'1SX5TQ'!$J$6:$J$2989,"&lt;="&amp;EOMONTH(J7,0),'1SX5TQ'!$L$6:$L$2989,$B$26)+SUMIFS('BMM465'!$K$6:$K$2989,'BMM465'!$J$6:$J$2989,"&gt;="&amp;J7,'BMM465'!$J$6:$J$2989,"&lt;="&amp;EOMONTH(J7,0),'BMM465'!$L$6:$L$2989,$B$26)+SUMIFS('1CF1ZO'!$K$6:$K$2989,'1CF1ZO'!$J$6:$J$2989,"&gt;="&amp;J7,'1CF1ZO'!$J$6:$J$2989,"&lt;="&amp;EOMONTH(J7,0),'1CF1ZO'!$L$6:$L$2989,$B$26)+SUMIFS('1UK1BK'!$K$6:$K$2989,'1UK1BK'!$J$6:$J$2989,"&gt;="&amp;J7,'1UK1BK'!$J$6:$J$2989,"&lt;="&amp;EOMONTH(J7,0),'1UK1BK'!$L$6:$L$2989,$B$26)</f>
        <v>#REF!</v>
      </c>
      <c r="K26" s="110" t="e">
        <f>SUMIFS('CEI565'!$K$6:$K$2990,'CEI565'!$J$6:$J$2990,"&gt;="&amp;K7,'CEI565'!$J$6:$J$2990,"&lt;="&amp;EOMONTH(K7,0),'CEI565'!$L$6:$L$2990,$B$26)+SUMIFS('1SM3VL'!$K$6:$K$2990,'1SM3VL'!$J$6:$J$2990,"&gt;="&amp;K7,'1SM3VL'!$J$6:$J$2990,"&lt;="&amp;EOMONTH(K7,0),'1SM3VL'!$L$6:$L$2990,$B$26)+SUMIFS('1QF4SM'!$K$6:$K$2989,'1QF4SM'!$J$6:$J$2989,"&gt;="&amp;K7,'1QF4SM'!$J$6:$J$2989,"&lt;="&amp;EOMONTH(K7,0),'1QF4SM'!$L$6:$L$2989,$B$26)+SUMIFS('1UV5KI'!$K$6:$K$2989,'1UV5KI'!$J$6:$J$2989,"&gt;="&amp;K7,'1UV5KI'!$J$6:$J$2989,"&lt;="&amp;EOMONTH(K7,0),'1UV5KI'!$L$6:$L$2989,$B$26)+SUMIFS(#REF!,#REF!,"&gt;="&amp;K7,#REF!,"&lt;="&amp;EOMONTH(K7,0),#REF!,$B$26)+SUMIFS('1UL9RY'!$K$6:$K$2990,'1UL9RY'!$J$6:$J$2990,"&gt;="&amp;K7,'1UL9RY'!$J$6:$J$2990,"&lt;="&amp;EOMONTH(K7,0),'1UL9RY'!$L$6:$L$2990,$B$26)+SUMIFS('1OZ7GT'!$K$6:$K$2989,'1OZ7GT'!$J$6:$J$2989,"&gt;="&amp;K7,'1OZ7GT'!$J$6:$J$2989,"&lt;="&amp;EOMONTH(K7,0),'1OZ7GT'!$L$6:$L$2989,$B$26)+SUMIFS('1CN8DD'!$K$6:$K$2989,'1CN8DD'!$J$6:$J$2989,"&gt;="&amp;K7,'1CN8DD'!$J$6:$J$2989,"&lt;="&amp;EOMONTH(K7,0),'1CN8DD'!$L$6:$L$2989,$B$26)+SUMIFS('1UT9BR'!$K$6:$K$2990,'1UT9BR'!$J$6:$J$2990,"&gt;="&amp;K7,'1UT9BR'!$J$6:$J$2990,"&lt;="&amp;EOMONTH(K7,0),'1UT9BR'!$L$6:$L$2990,$B$26)+SUMIFS('1MK4UR'!$K$6:$K$2990,'1MK4UR'!$J$6:$J$2990,"&gt;="&amp;K7,'1MK4UR'!$J$6:$J$2990,"&lt;="&amp;EOMONTH(K7,0),'1MK4UR'!$L$6:$L$2990,$B$26)+SUMIFS(#REF!,#REF!,"&gt;="&amp;K7,#REF!,"&lt;="&amp;EOMONTH(K7,0),#REF!,$B$26)+SUMIFS('1JI2UE'!$K$6:$K$2989,'1JI2UE'!$J$6:$J$2989,"&gt;="&amp;K7,'1JI2UE'!$J$6:$J$2989,"&lt;="&amp;EOMONTH(K7,0),'1JI2UE'!$L$6:$L$2989,$B$26)+SUMIFS(#REF!,#REF!,"&gt;="&amp;K7,#REF!,"&lt;="&amp;EOMONTH(K7,0),#REF!,$B$26)+SUMIFS('1SI9BW'!$K$6:$K$2989,'1SI9BW'!$J$6:$J$2989,"&gt;="&amp;K7,'1SI9BW'!$J$6:$J$2989,"&lt;="&amp;EOMONTH(K7,0),'1SI9BW'!$L$6:$L$2989,$B$26)+SUMIFS(Suzuki!$K$6:$K$2989,Suzuki!$J$6:$J$2989,"&gt;="&amp;K7,Suzuki!$J$6:$J$2989,"&lt;="&amp;EOMONTH(K7,0),Suzuki!$L$6:$L$2989,$B$26)+SUMIFS('1SK3DD'!$K$6:$K$2989,'1SK3DD'!$J$6:$J$2989,"&gt;="&amp;K7,'1SK3DD'!$J$6:$J$2989,"&lt;="&amp;EOMONTH(K7,0),'1SK3DD'!$L$6:$L$2989,$B$26)+SUMIFS('1SX5TQ'!$K$6:$K$2989,'1SX5TQ'!$J$6:$J$2989,"&gt;="&amp;K7,'1SX5TQ'!$J$6:$J$2989,"&lt;="&amp;EOMONTH(K7,0),'1SX5TQ'!$L$6:$L$2989,$B$26)+SUMIFS('BMM465'!$K$6:$K$2989,'BMM465'!$J$6:$J$2989,"&gt;="&amp;K7,'BMM465'!$J$6:$J$2989,"&lt;="&amp;EOMONTH(K7,0),'BMM465'!$L$6:$L$2989,$B$26)+SUMIFS('1CF1ZO'!$K$6:$K$2989,'1CF1ZO'!$J$6:$J$2989,"&gt;="&amp;K7,'1CF1ZO'!$J$6:$J$2989,"&lt;="&amp;EOMONTH(K7,0),'1CF1ZO'!$L$6:$L$2989,$B$26)+SUMIFS('1UK1BK'!$K$6:$K$2989,'1UK1BK'!$J$6:$J$2989,"&gt;="&amp;K7,'1UK1BK'!$J$6:$J$2989,"&lt;="&amp;EOMONTH(K7,0),'1UK1BK'!$L$6:$L$2989,$B$26)</f>
        <v>#REF!</v>
      </c>
      <c r="L26" s="110" t="e">
        <f>SUMIFS('CEI565'!$K$6:$K$2990,'CEI565'!$J$6:$J$2990,"&gt;="&amp;L7,'CEI565'!$J$6:$J$2990,"&lt;="&amp;EOMONTH(L7,0),'CEI565'!$L$6:$L$2990,$B$26)+SUMIFS('1SM3VL'!$K$6:$K$2990,'1SM3VL'!$J$6:$J$2990,"&gt;="&amp;L7,'1SM3VL'!$J$6:$J$2990,"&lt;="&amp;EOMONTH(L7,0),'1SM3VL'!$L$6:$L$2990,$B$26)+SUMIFS('1QF4SM'!$K$6:$K$2989,'1QF4SM'!$J$6:$J$2989,"&gt;="&amp;L7,'1QF4SM'!$J$6:$J$2989,"&lt;="&amp;EOMONTH(L7,0),'1QF4SM'!$L$6:$L$2989,$B$26)+SUMIFS('1UV5KI'!$K$6:$K$2989,'1UV5KI'!$J$6:$J$2989,"&gt;="&amp;L7,'1UV5KI'!$J$6:$J$2989,"&lt;="&amp;EOMONTH(L7,0),'1UV5KI'!$L$6:$L$2989,$B$26)+SUMIFS(#REF!,#REF!,"&gt;="&amp;L7,#REF!,"&lt;="&amp;EOMONTH(L7,0),#REF!,$B$26)+SUMIFS('1UL9RY'!$K$6:$K$2990,'1UL9RY'!$J$6:$J$2990,"&gt;="&amp;L7,'1UL9RY'!$J$6:$J$2990,"&lt;="&amp;EOMONTH(L7,0),'1UL9RY'!$L$6:$L$2990,$B$26)+SUMIFS('1OZ7GT'!$K$6:$K$2989,'1OZ7GT'!$J$6:$J$2989,"&gt;="&amp;L7,'1OZ7GT'!$J$6:$J$2989,"&lt;="&amp;EOMONTH(L7,0),'1OZ7GT'!$L$6:$L$2989,$B$26)+SUMIFS('1CN8DD'!$K$6:$K$2989,'1CN8DD'!$J$6:$J$2989,"&gt;="&amp;L7,'1CN8DD'!$J$6:$J$2989,"&lt;="&amp;EOMONTH(L7,0),'1CN8DD'!$L$6:$L$2989,$B$26)+SUMIFS('1UT9BR'!$K$6:$K$2990,'1UT9BR'!$J$6:$J$2990,"&gt;="&amp;L7,'1UT9BR'!$J$6:$J$2990,"&lt;="&amp;EOMONTH(L7,0),'1UT9BR'!$L$6:$L$2990,$B$26)+SUMIFS('1MK4UR'!$K$6:$K$2990,'1MK4UR'!$J$6:$J$2990,"&gt;="&amp;L7,'1MK4UR'!$J$6:$J$2990,"&lt;="&amp;EOMONTH(L7,0),'1MK4UR'!$L$6:$L$2990,$B$26)+SUMIFS(#REF!,#REF!,"&gt;="&amp;L7,#REF!,"&lt;="&amp;EOMONTH(L7,0),#REF!,$B$26)+SUMIFS('1JI2UE'!$K$6:$K$2989,'1JI2UE'!$J$6:$J$2989,"&gt;="&amp;L7,'1JI2UE'!$J$6:$J$2989,"&lt;="&amp;EOMONTH(L7,0),'1JI2UE'!$L$6:$L$2989,$B$26)+SUMIFS(#REF!,#REF!,"&gt;="&amp;L7,#REF!,"&lt;="&amp;EOMONTH(L7,0),#REF!,$B$26)+SUMIFS('1SI9BW'!$K$6:$K$2989,'1SI9BW'!$J$6:$J$2989,"&gt;="&amp;L7,'1SI9BW'!$J$6:$J$2989,"&lt;="&amp;EOMONTH(L7,0),'1SI9BW'!$L$6:$L$2989,$B$26)+SUMIFS(Suzuki!$K$6:$K$2989,Suzuki!$J$6:$J$2989,"&gt;="&amp;L7,Suzuki!$J$6:$J$2989,"&lt;="&amp;EOMONTH(L7,0),Suzuki!$L$6:$L$2989,$B$26)+SUMIFS('1SK3DD'!$K$6:$K$2989,'1SK3DD'!$J$6:$J$2989,"&gt;="&amp;L7,'1SK3DD'!$J$6:$J$2989,"&lt;="&amp;EOMONTH(L7,0),'1SK3DD'!$L$6:$L$2989,$B$26)+SUMIFS('1SX5TQ'!$K$6:$K$2989,'1SX5TQ'!$J$6:$J$2989,"&gt;="&amp;L7,'1SX5TQ'!$J$6:$J$2989,"&lt;="&amp;EOMONTH(L7,0),'1SX5TQ'!$L$6:$L$2989,$B$26)+SUMIFS('BMM465'!$K$6:$K$2989,'BMM465'!$J$6:$J$2989,"&gt;="&amp;L7,'BMM465'!$J$6:$J$2989,"&lt;="&amp;EOMONTH(L7,0),'BMM465'!$L$6:$L$2989,$B$26)+SUMIFS('1CF1ZO'!$K$6:$K$2989,'1CF1ZO'!$J$6:$J$2989,"&gt;="&amp;L7,'1CF1ZO'!$J$6:$J$2989,"&lt;="&amp;EOMONTH(L7,0),'1CF1ZO'!$L$6:$L$2989,$B$26)+SUMIFS('1UK1BK'!$K$6:$K$2989,'1UK1BK'!$J$6:$J$2989,"&gt;="&amp;L7,'1UK1BK'!$J$6:$J$2989,"&lt;="&amp;EOMONTH(L7,0),'1UK1BK'!$L$6:$L$2989,$B$26)</f>
        <v>#REF!</v>
      </c>
      <c r="M26" s="110" t="e">
        <f>SUMIFS('CEI565'!$K$6:$K$2990,'CEI565'!$J$6:$J$2990,"&gt;="&amp;M7,'CEI565'!$J$6:$J$2990,"&lt;="&amp;EOMONTH(M7,0),'CEI565'!$L$6:$L$2990,$B$26)+SUMIFS('1SM3VL'!$K$6:$K$2990,'1SM3VL'!$J$6:$J$2990,"&gt;="&amp;M7,'1SM3VL'!$J$6:$J$2990,"&lt;="&amp;EOMONTH(M7,0),'1SM3VL'!$L$6:$L$2990,$B$26)+SUMIFS('1QF4SM'!$K$6:$K$2989,'1QF4SM'!$J$6:$J$2989,"&gt;="&amp;M7,'1QF4SM'!$J$6:$J$2989,"&lt;="&amp;EOMONTH(M7,0),'1QF4SM'!$L$6:$L$2989,$B$26)+SUMIFS('1UV5KI'!$K$6:$K$2989,'1UV5KI'!$J$6:$J$2989,"&gt;="&amp;M7,'1UV5KI'!$J$6:$J$2989,"&lt;="&amp;EOMONTH(M7,0),'1UV5KI'!$L$6:$L$2989,$B$26)+SUMIFS(#REF!,#REF!,"&gt;="&amp;M7,#REF!,"&lt;="&amp;EOMONTH(M7,0),#REF!,$B$26)+SUMIFS('1UL9RY'!$K$6:$K$2990,'1UL9RY'!$J$6:$J$2990,"&gt;="&amp;M7,'1UL9RY'!$J$6:$J$2990,"&lt;="&amp;EOMONTH(M7,0),'1UL9RY'!$L$6:$L$2990,$B$26)+SUMIFS('1OZ7GT'!$K$6:$K$2989,'1OZ7GT'!$J$6:$J$2989,"&gt;="&amp;M7,'1OZ7GT'!$J$6:$J$2989,"&lt;="&amp;EOMONTH(M7,0),'1OZ7GT'!$L$6:$L$2989,$B$26)+SUMIFS('1CN8DD'!$K$6:$K$2989,'1CN8DD'!$J$6:$J$2989,"&gt;="&amp;M7,'1CN8DD'!$J$6:$J$2989,"&lt;="&amp;EOMONTH(M7,0),'1CN8DD'!$L$6:$L$2989,$B$26)+SUMIFS('1UT9BR'!$K$6:$K$2990,'1UT9BR'!$J$6:$J$2990,"&gt;="&amp;M7,'1UT9BR'!$J$6:$J$2990,"&lt;="&amp;EOMONTH(M7,0),'1UT9BR'!$L$6:$L$2990,$B$26)+SUMIFS('1MK4UR'!$K$6:$K$2990,'1MK4UR'!$J$6:$J$2990,"&gt;="&amp;M7,'1MK4UR'!$J$6:$J$2990,"&lt;="&amp;EOMONTH(M7,0),'1MK4UR'!$L$6:$L$2990,$B$26)+SUMIFS(#REF!,#REF!,"&gt;="&amp;M7,#REF!,"&lt;="&amp;EOMONTH(M7,0),#REF!,$B$26)+SUMIFS('1JI2UE'!$K$6:$K$2989,'1JI2UE'!$J$6:$J$2989,"&gt;="&amp;M7,'1JI2UE'!$J$6:$J$2989,"&lt;="&amp;EOMONTH(M7,0),'1JI2UE'!$L$6:$L$2989,$B$26)+SUMIFS(#REF!,#REF!,"&gt;="&amp;M7,#REF!,"&lt;="&amp;EOMONTH(M7,0),#REF!,$B$26)+SUMIFS('1SI9BW'!$K$6:$K$2989,'1SI9BW'!$J$6:$J$2989,"&gt;="&amp;M7,'1SI9BW'!$J$6:$J$2989,"&lt;="&amp;EOMONTH(M7,0),'1SI9BW'!$L$6:$L$2989,$B$26)+SUMIFS(Suzuki!$K$6:$K$2989,Suzuki!$J$6:$J$2989,"&gt;="&amp;M7,Suzuki!$J$6:$J$2989,"&lt;="&amp;EOMONTH(M7,0),Suzuki!$L$6:$L$2989,$B$26)+SUMIFS('1SK3DD'!$K$6:$K$2989,'1SK3DD'!$J$6:$J$2989,"&gt;="&amp;M7,'1SK3DD'!$J$6:$J$2989,"&lt;="&amp;EOMONTH(M7,0),'1SK3DD'!$L$6:$L$2989,$B$26)+SUMIFS('1SX5TQ'!$K$6:$K$2989,'1SX5TQ'!$J$6:$J$2989,"&gt;="&amp;M7,'1SX5TQ'!$J$6:$J$2989,"&lt;="&amp;EOMONTH(M7,0),'1SX5TQ'!$L$6:$L$2989,$B$26)+SUMIFS('BMM465'!$K$6:$K$2989,'BMM465'!$J$6:$J$2989,"&gt;="&amp;M7,'BMM465'!$J$6:$J$2989,"&lt;="&amp;EOMONTH(M7,0),'BMM465'!$L$6:$L$2989,$B$26)+SUMIFS('1CF1ZO'!$K$6:$K$2989,'1CF1ZO'!$J$6:$J$2989,"&gt;="&amp;M7,'1CF1ZO'!$J$6:$J$2989,"&lt;="&amp;EOMONTH(M7,0),'1CF1ZO'!$L$6:$L$2989,$B$26)+SUMIFS('1UK1BK'!$K$6:$K$2989,'1UK1BK'!$J$6:$J$2989,"&gt;="&amp;M7,'1UK1BK'!$J$6:$J$2989,"&lt;="&amp;EOMONTH(M7,0),'1UK1BK'!$L$6:$L$2989,$B$26)</f>
        <v>#REF!</v>
      </c>
      <c r="N26" s="110" t="e">
        <f>SUMIFS('CEI565'!$K$6:$K$2990,'CEI565'!$J$6:$J$2990,"&gt;="&amp;N7,'CEI565'!$J$6:$J$2990,"&lt;="&amp;EOMONTH(N7,0),'CEI565'!$L$6:$L$2990,$B$26)+SUMIFS('1SM3VL'!$K$6:$K$2990,'1SM3VL'!$J$6:$J$2990,"&gt;="&amp;N7,'1SM3VL'!$J$6:$J$2990,"&lt;="&amp;EOMONTH(N7,0),'1SM3VL'!$L$6:$L$2990,$B$26)+SUMIFS('1QF4SM'!$K$6:$K$2989,'1QF4SM'!$J$6:$J$2989,"&gt;="&amp;N7,'1QF4SM'!$J$6:$J$2989,"&lt;="&amp;EOMONTH(N7,0),'1QF4SM'!$L$6:$L$2989,$B$26)+SUMIFS('1UV5KI'!$K$6:$K$2989,'1UV5KI'!$J$6:$J$2989,"&gt;="&amp;N7,'1UV5KI'!$J$6:$J$2989,"&lt;="&amp;EOMONTH(N7,0),'1UV5KI'!$L$6:$L$2989,$B$26)+SUMIFS(#REF!,#REF!,"&gt;="&amp;N7,#REF!,"&lt;="&amp;EOMONTH(N7,0),#REF!,$B$26)+SUMIFS('1UL9RY'!$K$6:$K$2990,'1UL9RY'!$J$6:$J$2990,"&gt;="&amp;N7,'1UL9RY'!$J$6:$J$2990,"&lt;="&amp;EOMONTH(N7,0),'1UL9RY'!$L$6:$L$2990,$B$26)+SUMIFS('1OZ7GT'!$K$6:$K$2989,'1OZ7GT'!$J$6:$J$2989,"&gt;="&amp;N7,'1OZ7GT'!$J$6:$J$2989,"&lt;="&amp;EOMONTH(N7,0),'1OZ7GT'!$L$6:$L$2989,$B$26)+SUMIFS('1CN8DD'!$K$6:$K$2989,'1CN8DD'!$J$6:$J$2989,"&gt;="&amp;N7,'1CN8DD'!$J$6:$J$2989,"&lt;="&amp;EOMONTH(N7,0),'1CN8DD'!$L$6:$L$2989,$B$26)+SUMIFS('1UT9BR'!$K$6:$K$2990,'1UT9BR'!$J$6:$J$2990,"&gt;="&amp;N7,'1UT9BR'!$J$6:$J$2990,"&lt;="&amp;EOMONTH(N7,0),'1UT9BR'!$L$6:$L$2990,$B$26)+SUMIFS('1MK4UR'!$K$6:$K$2990,'1MK4UR'!$J$6:$J$2990,"&gt;="&amp;N7,'1MK4UR'!$J$6:$J$2990,"&lt;="&amp;EOMONTH(N7,0),'1MK4UR'!$L$6:$L$2990,$B$26)+SUMIFS(#REF!,#REF!,"&gt;="&amp;N7,#REF!,"&lt;="&amp;EOMONTH(N7,0),#REF!,$B$26)+SUMIFS('1JI2UE'!$K$6:$K$2989,'1JI2UE'!$J$6:$J$2989,"&gt;="&amp;N7,'1JI2UE'!$J$6:$J$2989,"&lt;="&amp;EOMONTH(N7,0),'1JI2UE'!$L$6:$L$2989,$B$26)+SUMIFS(#REF!,#REF!,"&gt;="&amp;N7,#REF!,"&lt;="&amp;EOMONTH(N7,0),#REF!,$B$26)+SUMIFS('1SI9BW'!$K$6:$K$2989,'1SI9BW'!$J$6:$J$2989,"&gt;="&amp;N7,'1SI9BW'!$J$6:$J$2989,"&lt;="&amp;EOMONTH(N7,0),'1SI9BW'!$L$6:$L$2989,$B$26)+SUMIFS(Suzuki!$K$6:$K$2989,Suzuki!$J$6:$J$2989,"&gt;="&amp;N7,Suzuki!$J$6:$J$2989,"&lt;="&amp;EOMONTH(N7,0),Suzuki!$L$6:$L$2989,$B$26)+SUMIFS('1SK3DD'!$K$6:$K$2989,'1SK3DD'!$J$6:$J$2989,"&gt;="&amp;N7,'1SK3DD'!$J$6:$J$2989,"&lt;="&amp;EOMONTH(N7,0),'1SK3DD'!$L$6:$L$2989,$B$26)+SUMIFS('1SX5TQ'!$K$6:$K$2989,'1SX5TQ'!$J$6:$J$2989,"&gt;="&amp;N7,'1SX5TQ'!$J$6:$J$2989,"&lt;="&amp;EOMONTH(N7,0),'1SX5TQ'!$L$6:$L$2989,$B$26)+SUMIFS('BMM465'!$K$6:$K$2989,'BMM465'!$J$6:$J$2989,"&gt;="&amp;N7,'BMM465'!$J$6:$J$2989,"&lt;="&amp;EOMONTH(N7,0),'BMM465'!$L$6:$L$2989,$B$26)+SUMIFS('1CF1ZO'!$K$6:$K$2989,'1CF1ZO'!$J$6:$J$2989,"&gt;="&amp;N7,'1CF1ZO'!$J$6:$J$2989,"&lt;="&amp;EOMONTH(N7,0),'1CF1ZO'!$L$6:$L$2989,$B$26)+SUMIFS('1UK1BK'!$K$6:$K$2989,'1UK1BK'!$J$6:$J$2989,"&gt;="&amp;N7,'1UK1BK'!$J$6:$J$2989,"&lt;="&amp;EOMONTH(N7,0),'1UK1BK'!$L$6:$L$2989,$B$26)</f>
        <v>#REF!</v>
      </c>
      <c r="O26" s="110" t="e">
        <f>SUMIFS('CEI565'!$K$6:$K$2990,'CEI565'!$J$6:$J$2990,"&gt;="&amp;O7,'CEI565'!$J$6:$J$2990,"&lt;="&amp;EOMONTH(O7,0),'CEI565'!$L$6:$L$2990,$B$26)+SUMIFS('1SM3VL'!$K$6:$K$2990,'1SM3VL'!$J$6:$J$2990,"&gt;="&amp;O7,'1SM3VL'!$J$6:$J$2990,"&lt;="&amp;EOMONTH(O7,0),'1SM3VL'!$L$6:$L$2990,$B$26)+SUMIFS('1QF4SM'!$K$6:$K$2989,'1QF4SM'!$J$6:$J$2989,"&gt;="&amp;O7,'1QF4SM'!$J$6:$J$2989,"&lt;="&amp;EOMONTH(O7,0),'1QF4SM'!$L$6:$L$2989,$B$26)+SUMIFS('1UV5KI'!$K$6:$K$2989,'1UV5KI'!$J$6:$J$2989,"&gt;="&amp;O7,'1UV5KI'!$J$6:$J$2989,"&lt;="&amp;EOMONTH(O7,0),'1UV5KI'!$L$6:$L$2989,$B$26)+SUMIFS(#REF!,#REF!,"&gt;="&amp;O7,#REF!,"&lt;="&amp;EOMONTH(O7,0),#REF!,$B$26)+SUMIFS('1UL9RY'!$K$6:$K$2990,'1UL9RY'!$J$6:$J$2990,"&gt;="&amp;O7,'1UL9RY'!$J$6:$J$2990,"&lt;="&amp;EOMONTH(O7,0),'1UL9RY'!$L$6:$L$2990,$B$26)+SUMIFS('1OZ7GT'!$K$6:$K$2989,'1OZ7GT'!$J$6:$J$2989,"&gt;="&amp;O7,'1OZ7GT'!$J$6:$J$2989,"&lt;="&amp;EOMONTH(O7,0),'1OZ7GT'!$L$6:$L$2989,$B$26)+SUMIFS('1CN8DD'!$K$6:$K$2989,'1CN8DD'!$J$6:$J$2989,"&gt;="&amp;O7,'1CN8DD'!$J$6:$J$2989,"&lt;="&amp;EOMONTH(O7,0),'1CN8DD'!$L$6:$L$2989,$B$26)+SUMIFS('1UT9BR'!$K$6:$K$2990,'1UT9BR'!$J$6:$J$2990,"&gt;="&amp;O7,'1UT9BR'!$J$6:$J$2990,"&lt;="&amp;EOMONTH(O7,0),'1UT9BR'!$L$6:$L$2990,$B$26)+SUMIFS('1MK4UR'!$K$6:$K$2990,'1MK4UR'!$J$6:$J$2990,"&gt;="&amp;O7,'1MK4UR'!$J$6:$J$2990,"&lt;="&amp;EOMONTH(O7,0),'1MK4UR'!$L$6:$L$2990,$B$26)+SUMIFS(#REF!,#REF!,"&gt;="&amp;O7,#REF!,"&lt;="&amp;EOMONTH(O7,0),#REF!,$B$26)+SUMIFS('1JI2UE'!$K$6:$K$2989,'1JI2UE'!$J$6:$J$2989,"&gt;="&amp;O7,'1JI2UE'!$J$6:$J$2989,"&lt;="&amp;EOMONTH(O7,0),'1JI2UE'!$L$6:$L$2989,$B$26)+SUMIFS(#REF!,#REF!,"&gt;="&amp;O7,#REF!,"&lt;="&amp;EOMONTH(O7,0),#REF!,$B$26)+SUMIFS('1SI9BW'!$K$6:$K$2989,'1SI9BW'!$J$6:$J$2989,"&gt;="&amp;O7,'1SI9BW'!$J$6:$J$2989,"&lt;="&amp;EOMONTH(O7,0),'1SI9BW'!$L$6:$L$2989,$B$26)+SUMIFS(Suzuki!$K$6:$K$2989,Suzuki!$J$6:$J$2989,"&gt;="&amp;O7,Suzuki!$J$6:$J$2989,"&lt;="&amp;EOMONTH(O7,0),Suzuki!$L$6:$L$2989,$B$26)+SUMIFS('1SK3DD'!$K$6:$K$2989,'1SK3DD'!$J$6:$J$2989,"&gt;="&amp;O7,'1SK3DD'!$J$6:$J$2989,"&lt;="&amp;EOMONTH(O7,0),'1SK3DD'!$L$6:$L$2989,$B$26)+SUMIFS('1SX5TQ'!$K$6:$K$2989,'1SX5TQ'!$J$6:$J$2989,"&gt;="&amp;O7,'1SX5TQ'!$J$6:$J$2989,"&lt;="&amp;EOMONTH(O7,0),'1SX5TQ'!$L$6:$L$2989,$B$26)+SUMIFS('BMM465'!$K$6:$K$2989,'BMM465'!$J$6:$J$2989,"&gt;="&amp;O7,'BMM465'!$J$6:$J$2989,"&lt;="&amp;EOMONTH(O7,0),'BMM465'!$L$6:$L$2989,$B$26)+SUMIFS('1CF1ZO'!$K$6:$K$2989,'1CF1ZO'!$J$6:$J$2989,"&gt;="&amp;O7,'1CF1ZO'!$J$6:$J$2989,"&lt;="&amp;EOMONTH(O7,0),'1CF1ZO'!$L$6:$L$2989,$B$26)+SUMIFS('1UK1BK'!$K$6:$K$2989,'1UK1BK'!$J$6:$J$2989,"&gt;="&amp;O7,'1UK1BK'!$J$6:$J$2989,"&lt;="&amp;EOMONTH(O7,0),'1UK1BK'!$L$6:$L$2989,$B$26)</f>
        <v>#REF!</v>
      </c>
      <c r="P26" s="110" t="e">
        <f>SUMIFS('CEI565'!$K$6:$K$2990,'CEI565'!$J$6:$J$2990,"&gt;="&amp;P7,'CEI565'!$J$6:$J$2990,"&lt;="&amp;EOMONTH(P7,0),'CEI565'!$L$6:$L$2990,$B$26)+SUMIFS('1SM3VL'!$K$6:$K$2990,'1SM3VL'!$J$6:$J$2990,"&gt;="&amp;P7,'1SM3VL'!$J$6:$J$2990,"&lt;="&amp;EOMONTH(P7,0),'1SM3VL'!$L$6:$L$2990,$B$26)+SUMIFS('1QF4SM'!$K$6:$K$2989,'1QF4SM'!$J$6:$J$2989,"&gt;="&amp;P7,'1QF4SM'!$J$6:$J$2989,"&lt;="&amp;EOMONTH(P7,0),'1QF4SM'!$L$6:$L$2989,$B$26)+SUMIFS('1UV5KI'!$K$6:$K$2989,'1UV5KI'!$J$6:$J$2989,"&gt;="&amp;P7,'1UV5KI'!$J$6:$J$2989,"&lt;="&amp;EOMONTH(P7,0),'1UV5KI'!$L$6:$L$2989,$B$26)+SUMIFS(#REF!,#REF!,"&gt;="&amp;P7,#REF!,"&lt;="&amp;EOMONTH(P7,0),#REF!,$B$26)+SUMIFS('1UL9RY'!$K$6:$K$2990,'1UL9RY'!$J$6:$J$2990,"&gt;="&amp;P7,'1UL9RY'!$J$6:$J$2990,"&lt;="&amp;EOMONTH(P7,0),'1UL9RY'!$L$6:$L$2990,$B$26)+SUMIFS('1OZ7GT'!$K$6:$K$2989,'1OZ7GT'!$J$6:$J$2989,"&gt;="&amp;P7,'1OZ7GT'!$J$6:$J$2989,"&lt;="&amp;EOMONTH(P7,0),'1OZ7GT'!$L$6:$L$2989,$B$26)+SUMIFS('1CN8DD'!$K$6:$K$2989,'1CN8DD'!$J$6:$J$2989,"&gt;="&amp;P7,'1CN8DD'!$J$6:$J$2989,"&lt;="&amp;EOMONTH(P7,0),'1CN8DD'!$L$6:$L$2989,$B$26)+SUMIFS('1UT9BR'!$K$6:$K$2990,'1UT9BR'!$J$6:$J$2990,"&gt;="&amp;P7,'1UT9BR'!$J$6:$J$2990,"&lt;="&amp;EOMONTH(P7,0),'1UT9BR'!$L$6:$L$2990,$B$26)+SUMIFS('1MK4UR'!$K$6:$K$2990,'1MK4UR'!$J$6:$J$2990,"&gt;="&amp;P7,'1MK4UR'!$J$6:$J$2990,"&lt;="&amp;EOMONTH(P7,0),'1MK4UR'!$L$6:$L$2990,$B$26)+SUMIFS(#REF!,#REF!,"&gt;="&amp;P7,#REF!,"&lt;="&amp;EOMONTH(P7,0),#REF!,$B$26)+SUMIFS('1JI2UE'!$K$6:$K$2989,'1JI2UE'!$J$6:$J$2989,"&gt;="&amp;P7,'1JI2UE'!$J$6:$J$2989,"&lt;="&amp;EOMONTH(P7,0),'1JI2UE'!$L$6:$L$2989,$B$26)+SUMIFS(#REF!,#REF!,"&gt;="&amp;P7,#REF!,"&lt;="&amp;EOMONTH(P7,0),#REF!,$B$26)+SUMIFS('1SI9BW'!$K$6:$K$2989,'1SI9BW'!$J$6:$J$2989,"&gt;="&amp;P7,'1SI9BW'!$J$6:$J$2989,"&lt;="&amp;EOMONTH(P7,0),'1SI9BW'!$L$6:$L$2989,$B$26)+SUMIFS(Suzuki!$K$6:$K$2989,Suzuki!$J$6:$J$2989,"&gt;="&amp;P7,Suzuki!$J$6:$J$2989,"&lt;="&amp;EOMONTH(P7,0),Suzuki!$L$6:$L$2989,$B$26)+SUMIFS('1SK3DD'!$K$6:$K$2989,'1SK3DD'!$J$6:$J$2989,"&gt;="&amp;P7,'1SK3DD'!$J$6:$J$2989,"&lt;="&amp;EOMONTH(P7,0),'1SK3DD'!$L$6:$L$2989,$B$26)+SUMIFS('1SX5TQ'!$K$6:$K$2989,'1SX5TQ'!$J$6:$J$2989,"&gt;="&amp;P7,'1SX5TQ'!$J$6:$J$2989,"&lt;="&amp;EOMONTH(P7,0),'1SX5TQ'!$L$6:$L$2989,$B$26)+SUMIFS('BMM465'!$K$6:$K$2989,'BMM465'!$J$6:$J$2989,"&gt;="&amp;P7,'BMM465'!$J$6:$J$2989,"&lt;="&amp;EOMONTH(P7,0),'BMM465'!$L$6:$L$2989,$B$26)+SUMIFS('1CF1ZO'!$K$6:$K$2989,'1CF1ZO'!$J$6:$J$2989,"&gt;="&amp;P7,'1CF1ZO'!$J$6:$J$2989,"&lt;="&amp;EOMONTH(P7,0),'1CF1ZO'!$L$6:$L$2989,$B$26)+SUMIFS('1UK1BK'!$K$6:$K$2989,'1UK1BK'!$J$6:$J$2989,"&gt;="&amp;P7,'1UK1BK'!$J$6:$J$2989,"&lt;="&amp;EOMONTH(P7,0),'1UK1BK'!$L$6:$L$2989,$B$26)</f>
        <v>#REF!</v>
      </c>
      <c r="Q26" s="110" t="e">
        <f>SUMIFS('CEI565'!$K$6:$K$2990,'CEI565'!$J$6:$J$2990,"&gt;="&amp;Q7,'CEI565'!$J$6:$J$2990,"&lt;="&amp;EOMONTH(Q7,0),'CEI565'!$L$6:$L$2990,$B$26)+SUMIFS('1SM3VL'!$K$6:$K$2990,'1SM3VL'!$J$6:$J$2990,"&gt;="&amp;Q7,'1SM3VL'!$J$6:$J$2990,"&lt;="&amp;EOMONTH(Q7,0),'1SM3VL'!$L$6:$L$2990,$B$26)+SUMIFS('1QF4SM'!$K$6:$K$2989,'1QF4SM'!$J$6:$J$2989,"&gt;="&amp;Q7,'1QF4SM'!$J$6:$J$2989,"&lt;="&amp;EOMONTH(Q7,0),'1QF4SM'!$L$6:$L$2989,$B$26)+SUMIFS('1UV5KI'!$K$6:$K$2989,'1UV5KI'!$J$6:$J$2989,"&gt;="&amp;Q7,'1UV5KI'!$J$6:$J$2989,"&lt;="&amp;EOMONTH(Q7,0),'1UV5KI'!$L$6:$L$2989,$B$26)+SUMIFS(#REF!,#REF!,"&gt;="&amp;Q7,#REF!,"&lt;="&amp;EOMONTH(Q7,0),#REF!,$B$26)+SUMIFS('1UL9RY'!$K$6:$K$2990,'1UL9RY'!$J$6:$J$2990,"&gt;="&amp;Q7,'1UL9RY'!$J$6:$J$2990,"&lt;="&amp;EOMONTH(Q7,0),'1UL9RY'!$L$6:$L$2990,$B$26)+SUMIFS('1OZ7GT'!$K$6:$K$2989,'1OZ7GT'!$J$6:$J$2989,"&gt;="&amp;Q7,'1OZ7GT'!$J$6:$J$2989,"&lt;="&amp;EOMONTH(Q7,0),'1OZ7GT'!$L$6:$L$2989,$B$26)+SUMIFS('1CN8DD'!$K$6:$K$2989,'1CN8DD'!$J$6:$J$2989,"&gt;="&amp;Q7,'1CN8DD'!$J$6:$J$2989,"&lt;="&amp;EOMONTH(Q7,0),'1CN8DD'!$L$6:$L$2989,$B$26)+SUMIFS('1UT9BR'!$K$6:$K$2990,'1UT9BR'!$J$6:$J$2990,"&gt;="&amp;Q7,'1UT9BR'!$J$6:$J$2990,"&lt;="&amp;EOMONTH(Q7,0),'1UT9BR'!$L$6:$L$2990,$B$26)+SUMIFS('1MK4UR'!$K$6:$K$2990,'1MK4UR'!$J$6:$J$2990,"&gt;="&amp;Q7,'1MK4UR'!$J$6:$J$2990,"&lt;="&amp;EOMONTH(Q7,0),'1MK4UR'!$L$6:$L$2990,$B$26)+SUMIFS(#REF!,#REF!,"&gt;="&amp;Q7,#REF!,"&lt;="&amp;EOMONTH(Q7,0),#REF!,$B$26)+SUMIFS('1JI2UE'!$K$6:$K$2989,'1JI2UE'!$J$6:$J$2989,"&gt;="&amp;Q7,'1JI2UE'!$J$6:$J$2989,"&lt;="&amp;EOMONTH(Q7,0),'1JI2UE'!$L$6:$L$2989,$B$26)+SUMIFS(#REF!,#REF!,"&gt;="&amp;Q7,#REF!,"&lt;="&amp;EOMONTH(Q7,0),#REF!,$B$26)+SUMIFS('1SI9BW'!$K$6:$K$2989,'1SI9BW'!$J$6:$J$2989,"&gt;="&amp;Q7,'1SI9BW'!$J$6:$J$2989,"&lt;="&amp;EOMONTH(Q7,0),'1SI9BW'!$L$6:$L$2989,$B$26)+SUMIFS(Suzuki!$K$6:$K$2989,Suzuki!$J$6:$J$2989,"&gt;="&amp;Q7,Suzuki!$J$6:$J$2989,"&lt;="&amp;EOMONTH(Q7,0),Suzuki!$L$6:$L$2989,$B$26)+SUMIFS('1SK3DD'!$K$6:$K$2989,'1SK3DD'!$J$6:$J$2989,"&gt;="&amp;Q7,'1SK3DD'!$J$6:$J$2989,"&lt;="&amp;EOMONTH(Q7,0),'1SK3DD'!$L$6:$L$2989,$B$26)+SUMIFS('1SX5TQ'!$K$6:$K$2989,'1SX5TQ'!$J$6:$J$2989,"&gt;="&amp;Q7,'1SX5TQ'!$J$6:$J$2989,"&lt;="&amp;EOMONTH(Q7,0),'1SX5TQ'!$L$6:$L$2989,$B$26)+SUMIFS('BMM465'!$K$6:$K$2989,'BMM465'!$J$6:$J$2989,"&gt;="&amp;Q7,'BMM465'!$J$6:$J$2989,"&lt;="&amp;EOMONTH(Q7,0),'BMM465'!$L$6:$L$2989,$B$26)+SUMIFS('1CF1ZO'!$K$6:$K$2989,'1CF1ZO'!$J$6:$J$2989,"&gt;="&amp;Q7,'1CF1ZO'!$J$6:$J$2989,"&lt;="&amp;EOMONTH(Q7,0),'1CF1ZO'!$L$6:$L$2989,$B$26)+SUMIFS('1UK1BK'!$K$6:$K$2989,'1UK1BK'!$J$6:$J$2989,"&gt;="&amp;Q7,'1UK1BK'!$J$6:$J$2989,"&lt;="&amp;EOMONTH(Q7,0),'1UK1BK'!$L$6:$L$2989,$B$26)</f>
        <v>#REF!</v>
      </c>
      <c r="R26" s="110" t="e">
        <f>SUMIFS('CEI565'!$K$6:$K$2990,'CEI565'!$J$6:$J$2990,"&gt;="&amp;R7,'CEI565'!$J$6:$J$2990,"&lt;="&amp;EOMONTH(R7,0),'CEI565'!$L$6:$L$2990,$B$26)+SUMIFS('1SM3VL'!$K$6:$K$2990,'1SM3VL'!$J$6:$J$2990,"&gt;="&amp;R7,'1SM3VL'!$J$6:$J$2990,"&lt;="&amp;EOMONTH(R7,0),'1SM3VL'!$L$6:$L$2990,$B$26)+SUMIFS('1QF4SM'!$K$6:$K$2989,'1QF4SM'!$J$6:$J$2989,"&gt;="&amp;R7,'1QF4SM'!$J$6:$J$2989,"&lt;="&amp;EOMONTH(R7,0),'1QF4SM'!$L$6:$L$2989,$B$26)+SUMIFS('1UV5KI'!$K$6:$K$2989,'1UV5KI'!$J$6:$J$2989,"&gt;="&amp;R7,'1UV5KI'!$J$6:$J$2989,"&lt;="&amp;EOMONTH(R7,0),'1UV5KI'!$L$6:$L$2989,$B$26)+SUMIFS(#REF!,#REF!,"&gt;="&amp;R7,#REF!,"&lt;="&amp;EOMONTH(R7,0),#REF!,$B$26)+SUMIFS('1UL9RY'!$K$6:$K$2990,'1UL9RY'!$J$6:$J$2990,"&gt;="&amp;R7,'1UL9RY'!$J$6:$J$2990,"&lt;="&amp;EOMONTH(R7,0),'1UL9RY'!$L$6:$L$2990,$B$26)+SUMIFS('1OZ7GT'!$K$6:$K$2989,'1OZ7GT'!$J$6:$J$2989,"&gt;="&amp;R7,'1OZ7GT'!$J$6:$J$2989,"&lt;="&amp;EOMONTH(R7,0),'1OZ7GT'!$L$6:$L$2989,$B$26)+SUMIFS('1CN8DD'!$K$6:$K$2989,'1CN8DD'!$J$6:$J$2989,"&gt;="&amp;R7,'1CN8DD'!$J$6:$J$2989,"&lt;="&amp;EOMONTH(R7,0),'1CN8DD'!$L$6:$L$2989,$B$26)+SUMIFS('1UT9BR'!$K$6:$K$2990,'1UT9BR'!$J$6:$J$2990,"&gt;="&amp;R7,'1UT9BR'!$J$6:$J$2990,"&lt;="&amp;EOMONTH(R7,0),'1UT9BR'!$L$6:$L$2990,$B$26)+SUMIFS('1MK4UR'!$K$6:$K$2990,'1MK4UR'!$J$6:$J$2990,"&gt;="&amp;R7,'1MK4UR'!$J$6:$J$2990,"&lt;="&amp;EOMONTH(R7,0),'1MK4UR'!$L$6:$L$2990,$B$26)+SUMIFS(#REF!,#REF!,"&gt;="&amp;R7,#REF!,"&lt;="&amp;EOMONTH(R7,0),#REF!,$B$26)+SUMIFS('1JI2UE'!$K$6:$K$2989,'1JI2UE'!$J$6:$J$2989,"&gt;="&amp;R7,'1JI2UE'!$J$6:$J$2989,"&lt;="&amp;EOMONTH(R7,0),'1JI2UE'!$L$6:$L$2989,$B$26)+SUMIFS(#REF!,#REF!,"&gt;="&amp;R7,#REF!,"&lt;="&amp;EOMONTH(R7,0),#REF!,$B$26)+SUMIFS('1SI9BW'!$K$6:$K$2989,'1SI9BW'!$J$6:$J$2989,"&gt;="&amp;R7,'1SI9BW'!$J$6:$J$2989,"&lt;="&amp;EOMONTH(R7,0),'1SI9BW'!$L$6:$L$2989,$B$26)+SUMIFS(Suzuki!$K$6:$K$2989,Suzuki!$J$6:$J$2989,"&gt;="&amp;R7,Suzuki!$J$6:$J$2989,"&lt;="&amp;EOMONTH(R7,0),Suzuki!$L$6:$L$2989,$B$26)+SUMIFS('1SK3DD'!$K$6:$K$2989,'1SK3DD'!$J$6:$J$2989,"&gt;="&amp;R7,'1SK3DD'!$J$6:$J$2989,"&lt;="&amp;EOMONTH(R7,0),'1SK3DD'!$L$6:$L$2989,$B$26)+SUMIFS('1SX5TQ'!$K$6:$K$2989,'1SX5TQ'!$J$6:$J$2989,"&gt;="&amp;R7,'1SX5TQ'!$J$6:$J$2989,"&lt;="&amp;EOMONTH(R7,0),'1SX5TQ'!$L$6:$L$2989,$B$26)+SUMIFS('BMM465'!$K$6:$K$2989,'BMM465'!$J$6:$J$2989,"&gt;="&amp;R7,'BMM465'!$J$6:$J$2989,"&lt;="&amp;EOMONTH(R7,0),'BMM465'!$L$6:$L$2989,$B$26)+SUMIFS('1CF1ZO'!$K$6:$K$2989,'1CF1ZO'!$J$6:$J$2989,"&gt;="&amp;R7,'1CF1ZO'!$J$6:$J$2989,"&lt;="&amp;EOMONTH(R7,0),'1CF1ZO'!$L$6:$L$2989,$B$26)+SUMIFS('1UK1BK'!$K$6:$K$2989,'1UK1BK'!$J$6:$J$2989,"&gt;="&amp;R7,'1UK1BK'!$J$6:$J$2989,"&lt;="&amp;EOMONTH(R7,0),'1UK1BK'!$L$6:$L$2989,$B$26)</f>
        <v>#REF!</v>
      </c>
      <c r="S26" s="110" t="e">
        <f>SUMIFS('CEI565'!$K$6:$K$2990,'CEI565'!$J$6:$J$2990,"&gt;="&amp;S7,'CEI565'!$J$6:$J$2990,"&lt;="&amp;EOMONTH(S7,0),'CEI565'!$L$6:$L$2990,$B$26)+SUMIFS('1SM3VL'!$K$6:$K$2990,'1SM3VL'!$J$6:$J$2990,"&gt;="&amp;S7,'1SM3VL'!$J$6:$J$2990,"&lt;="&amp;EOMONTH(S7,0),'1SM3VL'!$L$6:$L$2990,$B$26)+SUMIFS('1QF4SM'!$K$6:$K$2989,'1QF4SM'!$J$6:$J$2989,"&gt;="&amp;S7,'1QF4SM'!$J$6:$J$2989,"&lt;="&amp;EOMONTH(S7,0),'1QF4SM'!$L$6:$L$2989,$B$26)+SUMIFS('1UV5KI'!$K$6:$K$2989,'1UV5KI'!$J$6:$J$2989,"&gt;="&amp;S7,'1UV5KI'!$J$6:$J$2989,"&lt;="&amp;EOMONTH(S7,0),'1UV5KI'!$L$6:$L$2989,$B$26)+SUMIFS(#REF!,#REF!,"&gt;="&amp;S7,#REF!,"&lt;="&amp;EOMONTH(S7,0),#REF!,$B$26)+SUMIFS('1UL9RY'!$K$6:$K$2990,'1UL9RY'!$J$6:$J$2990,"&gt;="&amp;S7,'1UL9RY'!$J$6:$J$2990,"&lt;="&amp;EOMONTH(S7,0),'1UL9RY'!$L$6:$L$2990,$B$26)+SUMIFS('1OZ7GT'!$K$6:$K$2989,'1OZ7GT'!$J$6:$J$2989,"&gt;="&amp;S7,'1OZ7GT'!$J$6:$J$2989,"&lt;="&amp;EOMONTH(S7,0),'1OZ7GT'!$L$6:$L$2989,$B$26)+SUMIFS('1CN8DD'!$K$6:$K$2989,'1CN8DD'!$J$6:$J$2989,"&gt;="&amp;S7,'1CN8DD'!$J$6:$J$2989,"&lt;="&amp;EOMONTH(S7,0),'1CN8DD'!$L$6:$L$2989,$B$26)+SUMIFS('1UT9BR'!$K$6:$K$2990,'1UT9BR'!$J$6:$J$2990,"&gt;="&amp;S7,'1UT9BR'!$J$6:$J$2990,"&lt;="&amp;EOMONTH(S7,0),'1UT9BR'!$L$6:$L$2990,$B$26)+SUMIFS('1MK4UR'!$K$6:$K$2990,'1MK4UR'!$J$6:$J$2990,"&gt;="&amp;S7,'1MK4UR'!$J$6:$J$2990,"&lt;="&amp;EOMONTH(S7,0),'1MK4UR'!$L$6:$L$2990,$B$26)+SUMIFS(#REF!,#REF!,"&gt;="&amp;S7,#REF!,"&lt;="&amp;EOMONTH(S7,0),#REF!,$B$26)+SUMIFS('1JI2UE'!$K$6:$K$2989,'1JI2UE'!$J$6:$J$2989,"&gt;="&amp;S7,'1JI2UE'!$J$6:$J$2989,"&lt;="&amp;EOMONTH(S7,0),'1JI2UE'!$L$6:$L$2989,$B$26)+SUMIFS(#REF!,#REF!,"&gt;="&amp;S7,#REF!,"&lt;="&amp;EOMONTH(S7,0),#REF!,$B$26)+SUMIFS('1SI9BW'!$K$6:$K$2989,'1SI9BW'!$J$6:$J$2989,"&gt;="&amp;S7,'1SI9BW'!$J$6:$J$2989,"&lt;="&amp;EOMONTH(S7,0),'1SI9BW'!$L$6:$L$2989,$B$26)+SUMIFS(Suzuki!$K$6:$K$2989,Suzuki!$J$6:$J$2989,"&gt;="&amp;S7,Suzuki!$J$6:$J$2989,"&lt;="&amp;EOMONTH(S7,0),Suzuki!$L$6:$L$2989,$B$26)+SUMIFS('1SK3DD'!$K$6:$K$2989,'1SK3DD'!$J$6:$J$2989,"&gt;="&amp;S7,'1SK3DD'!$J$6:$J$2989,"&lt;="&amp;EOMONTH(S7,0),'1SK3DD'!$L$6:$L$2989,$B$26)+SUMIFS('1SX5TQ'!$K$6:$K$2989,'1SX5TQ'!$J$6:$J$2989,"&gt;="&amp;S7,'1SX5TQ'!$J$6:$J$2989,"&lt;="&amp;EOMONTH(S7,0),'1SX5TQ'!$L$6:$L$2989,$B$26)+SUMIFS('BMM465'!$K$6:$K$2989,'BMM465'!$J$6:$J$2989,"&gt;="&amp;S7,'BMM465'!$J$6:$J$2989,"&lt;="&amp;EOMONTH(S7,0),'BMM465'!$L$6:$L$2989,$B$26)+SUMIFS('1CF1ZO'!$K$6:$K$2989,'1CF1ZO'!$J$6:$J$2989,"&gt;="&amp;S7,'1CF1ZO'!$J$6:$J$2989,"&lt;="&amp;EOMONTH(S7,0),'1CF1ZO'!$L$6:$L$2989,$B$26)+SUMIFS('1UK1BK'!$K$6:$K$2989,'1UK1BK'!$J$6:$J$2989,"&gt;="&amp;S7,'1UK1BK'!$J$6:$J$2989,"&lt;="&amp;EOMONTH(S7,0),'1UK1BK'!$L$6:$L$2989,$B$26)</f>
        <v>#REF!</v>
      </c>
      <c r="T26" s="110" t="e">
        <f>SUMIFS('CEI565'!$K$6:$K$2990,'CEI565'!$J$6:$J$2990,"&gt;="&amp;T7,'CEI565'!$J$6:$J$2990,"&lt;="&amp;EOMONTH(T7,0),'CEI565'!$L$6:$L$2990,$B$26)+SUMIFS('1SM3VL'!$K$6:$K$2990,'1SM3VL'!$J$6:$J$2990,"&gt;="&amp;T7,'1SM3VL'!$J$6:$J$2990,"&lt;="&amp;EOMONTH(T7,0),'1SM3VL'!$L$6:$L$2990,$B$26)+SUMIFS('1QF4SM'!$K$6:$K$2989,'1QF4SM'!$J$6:$J$2989,"&gt;="&amp;T7,'1QF4SM'!$J$6:$J$2989,"&lt;="&amp;EOMONTH(T7,0),'1QF4SM'!$L$6:$L$2989,$B$26)+SUMIFS('1UV5KI'!$K$6:$K$2989,'1UV5KI'!$J$6:$J$2989,"&gt;="&amp;T7,'1UV5KI'!$J$6:$J$2989,"&lt;="&amp;EOMONTH(T7,0),'1UV5KI'!$L$6:$L$2989,$B$26)+SUMIFS(#REF!,#REF!,"&gt;="&amp;T7,#REF!,"&lt;="&amp;EOMONTH(T7,0),#REF!,$B$26)+SUMIFS('1UL9RY'!$K$6:$K$2990,'1UL9RY'!$J$6:$J$2990,"&gt;="&amp;T7,'1UL9RY'!$J$6:$J$2990,"&lt;="&amp;EOMONTH(T7,0),'1UL9RY'!$L$6:$L$2990,$B$26)+SUMIFS('1OZ7GT'!$K$6:$K$2989,'1OZ7GT'!$J$6:$J$2989,"&gt;="&amp;T7,'1OZ7GT'!$J$6:$J$2989,"&lt;="&amp;EOMONTH(T7,0),'1OZ7GT'!$L$6:$L$2989,$B$26)+SUMIFS('1CN8DD'!$K$6:$K$2989,'1CN8DD'!$J$6:$J$2989,"&gt;="&amp;T7,'1CN8DD'!$J$6:$J$2989,"&lt;="&amp;EOMONTH(T7,0),'1CN8DD'!$L$6:$L$2989,$B$26)+SUMIFS('1UT9BR'!$K$6:$K$2990,'1UT9BR'!$J$6:$J$2990,"&gt;="&amp;T7,'1UT9BR'!$J$6:$J$2990,"&lt;="&amp;EOMONTH(T7,0),'1UT9BR'!$L$6:$L$2990,$B$26)+SUMIFS('1MK4UR'!$K$6:$K$2990,'1MK4UR'!$J$6:$J$2990,"&gt;="&amp;T7,'1MK4UR'!$J$6:$J$2990,"&lt;="&amp;EOMONTH(T7,0),'1MK4UR'!$L$6:$L$2990,$B$26)+SUMIFS(#REF!,#REF!,"&gt;="&amp;T7,#REF!,"&lt;="&amp;EOMONTH(T7,0),#REF!,$B$26)+SUMIFS('1JI2UE'!$K$6:$K$2989,'1JI2UE'!$J$6:$J$2989,"&gt;="&amp;T7,'1JI2UE'!$J$6:$J$2989,"&lt;="&amp;EOMONTH(T7,0),'1JI2UE'!$L$6:$L$2989,$B$26)+SUMIFS(#REF!,#REF!,"&gt;="&amp;T7,#REF!,"&lt;="&amp;EOMONTH(T7,0),#REF!,$B$26)+SUMIFS('1SI9BW'!$K$6:$K$2989,'1SI9BW'!$J$6:$J$2989,"&gt;="&amp;T7,'1SI9BW'!$J$6:$J$2989,"&lt;="&amp;EOMONTH(T7,0),'1SI9BW'!$L$6:$L$2989,$B$26)+SUMIFS(Suzuki!$K$6:$K$2989,Suzuki!$J$6:$J$2989,"&gt;="&amp;T7,Suzuki!$J$6:$J$2989,"&lt;="&amp;EOMONTH(T7,0),Suzuki!$L$6:$L$2989,$B$26)+SUMIFS('1SK3DD'!$K$6:$K$2989,'1SK3DD'!$J$6:$J$2989,"&gt;="&amp;T7,'1SK3DD'!$J$6:$J$2989,"&lt;="&amp;EOMONTH(T7,0),'1SK3DD'!$L$6:$L$2989,$B$26)+SUMIFS('1SX5TQ'!$K$6:$K$2989,'1SX5TQ'!$J$6:$J$2989,"&gt;="&amp;T7,'1SX5TQ'!$J$6:$J$2989,"&lt;="&amp;EOMONTH(T7,0),'1SX5TQ'!$L$6:$L$2989,$B$26)+SUMIFS('BMM465'!$K$6:$K$2989,'BMM465'!$J$6:$J$2989,"&gt;="&amp;T7,'BMM465'!$J$6:$J$2989,"&lt;="&amp;EOMONTH(T7,0),'BMM465'!$L$6:$L$2989,$B$26)+SUMIFS('1CF1ZO'!$K$6:$K$2989,'1CF1ZO'!$J$6:$J$2989,"&gt;="&amp;T7,'1CF1ZO'!$J$6:$J$2989,"&lt;="&amp;EOMONTH(T7,0),'1CF1ZO'!$L$6:$L$2989,$B$26)+SUMIFS('1UK1BK'!$K$6:$K$2989,'1UK1BK'!$J$6:$J$2989,"&gt;="&amp;T7,'1UK1BK'!$J$6:$J$2989,"&lt;="&amp;EOMONTH(T7,0),'1UK1BK'!$L$6:$L$2989,$B$26)</f>
        <v>#REF!</v>
      </c>
      <c r="U26" s="110" t="e">
        <f>SUMIFS('CEI565'!$K$6:$K$2990,'CEI565'!$J$6:$J$2990,"&gt;="&amp;U7,'CEI565'!$J$6:$J$2990,"&lt;="&amp;EOMONTH(U7,0),'CEI565'!$L$6:$L$2990,$B$26)+SUMIFS('1SM3VL'!$K$6:$K$2990,'1SM3VL'!$J$6:$J$2990,"&gt;="&amp;U7,'1SM3VL'!$J$6:$J$2990,"&lt;="&amp;EOMONTH(U7,0),'1SM3VL'!$L$6:$L$2990,$B$26)+SUMIFS('1QF4SM'!$K$6:$K$2989,'1QF4SM'!$J$6:$J$2989,"&gt;="&amp;U7,'1QF4SM'!$J$6:$J$2989,"&lt;="&amp;EOMONTH(U7,0),'1QF4SM'!$L$6:$L$2989,$B$26)+SUMIFS('1UV5KI'!$K$6:$K$2989,'1UV5KI'!$J$6:$J$2989,"&gt;="&amp;U7,'1UV5KI'!$J$6:$J$2989,"&lt;="&amp;EOMONTH(U7,0),'1UV5KI'!$L$6:$L$2989,$B$26)+SUMIFS(#REF!,#REF!,"&gt;="&amp;U7,#REF!,"&lt;="&amp;EOMONTH(U7,0),#REF!,$B$26)+SUMIFS('1UL9RY'!$K$6:$K$2990,'1UL9RY'!$J$6:$J$2990,"&gt;="&amp;U7,'1UL9RY'!$J$6:$J$2990,"&lt;="&amp;EOMONTH(U7,0),'1UL9RY'!$L$6:$L$2990,$B$26)+SUMIFS('1OZ7GT'!$K$6:$K$2989,'1OZ7GT'!$J$6:$J$2989,"&gt;="&amp;U7,'1OZ7GT'!$J$6:$J$2989,"&lt;="&amp;EOMONTH(U7,0),'1OZ7GT'!$L$6:$L$2989,$B$26)+SUMIFS('1CN8DD'!$K$6:$K$2989,'1CN8DD'!$J$6:$J$2989,"&gt;="&amp;U7,'1CN8DD'!$J$6:$J$2989,"&lt;="&amp;EOMONTH(U7,0),'1CN8DD'!$L$6:$L$2989,$B$26)+SUMIFS('1UT9BR'!$K$6:$K$2990,'1UT9BR'!$J$6:$J$2990,"&gt;="&amp;U7,'1UT9BR'!$J$6:$J$2990,"&lt;="&amp;EOMONTH(U7,0),'1UT9BR'!$L$6:$L$2990,$B$26)+SUMIFS('1MK4UR'!$K$6:$K$2990,'1MK4UR'!$J$6:$J$2990,"&gt;="&amp;U7,'1MK4UR'!$J$6:$J$2990,"&lt;="&amp;EOMONTH(U7,0),'1MK4UR'!$L$6:$L$2990,$B$26)+SUMIFS(#REF!,#REF!,"&gt;="&amp;U7,#REF!,"&lt;="&amp;EOMONTH(U7,0),#REF!,$B$26)+SUMIFS('1JI2UE'!$K$6:$K$2989,'1JI2UE'!$J$6:$J$2989,"&gt;="&amp;U7,'1JI2UE'!$J$6:$J$2989,"&lt;="&amp;EOMONTH(U7,0),'1JI2UE'!$L$6:$L$2989,$B$26)+SUMIFS(#REF!,#REF!,"&gt;="&amp;U7,#REF!,"&lt;="&amp;EOMONTH(U7,0),#REF!,$B$26)+SUMIFS('1SI9BW'!$K$6:$K$2989,'1SI9BW'!$J$6:$J$2989,"&gt;="&amp;U7,'1SI9BW'!$J$6:$J$2989,"&lt;="&amp;EOMONTH(U7,0),'1SI9BW'!$L$6:$L$2989,$B$26)+SUMIFS(Suzuki!$K$6:$K$2989,Suzuki!$J$6:$J$2989,"&gt;="&amp;U7,Suzuki!$J$6:$J$2989,"&lt;="&amp;EOMONTH(U7,0),Suzuki!$L$6:$L$2989,$B$26)+SUMIFS('1SK3DD'!$K$6:$K$2989,'1SK3DD'!$J$6:$J$2989,"&gt;="&amp;U7,'1SK3DD'!$J$6:$J$2989,"&lt;="&amp;EOMONTH(U7,0),'1SK3DD'!$L$6:$L$2989,$B$26)+SUMIFS('1SX5TQ'!$K$6:$K$2989,'1SX5TQ'!$J$6:$J$2989,"&gt;="&amp;U7,'1SX5TQ'!$J$6:$J$2989,"&lt;="&amp;EOMONTH(U7,0),'1SX5TQ'!$L$6:$L$2989,$B$26)+SUMIFS('BMM465'!$K$6:$K$2989,'BMM465'!$J$6:$J$2989,"&gt;="&amp;U7,'BMM465'!$J$6:$J$2989,"&lt;="&amp;EOMONTH(U7,0),'BMM465'!$L$6:$L$2989,$B$26)+SUMIFS('1CF1ZO'!$K$6:$K$2989,'1CF1ZO'!$J$6:$J$2989,"&gt;="&amp;U7,'1CF1ZO'!$J$6:$J$2989,"&lt;="&amp;EOMONTH(U7,0),'1CF1ZO'!$L$6:$L$2989,$B$26)+SUMIFS('1UK1BK'!$K$6:$K$2989,'1UK1BK'!$J$6:$J$2989,"&gt;="&amp;U7,'1UK1BK'!$J$6:$J$2989,"&lt;="&amp;EOMONTH(U7,0),'1UK1BK'!$L$6:$L$2989,$B$26)</f>
        <v>#REF!</v>
      </c>
      <c r="V26" s="110" t="e">
        <f>SUMIFS('CEI565'!$K$6:$K$2990,'CEI565'!$J$6:$J$2990,"&gt;="&amp;V7,'CEI565'!$J$6:$J$2990,"&lt;="&amp;EOMONTH(V7,0),'CEI565'!$L$6:$L$2990,$B$26)+SUMIFS('1SM3VL'!$K$6:$K$2990,'1SM3VL'!$J$6:$J$2990,"&gt;="&amp;V7,'1SM3VL'!$J$6:$J$2990,"&lt;="&amp;EOMONTH(V7,0),'1SM3VL'!$L$6:$L$2990,$B$26)+SUMIFS('1QF4SM'!$K$6:$K$2989,'1QF4SM'!$J$6:$J$2989,"&gt;="&amp;V7,'1QF4SM'!$J$6:$J$2989,"&lt;="&amp;EOMONTH(V7,0),'1QF4SM'!$L$6:$L$2989,$B$26)+SUMIFS('1UV5KI'!$K$6:$K$2989,'1UV5KI'!$J$6:$J$2989,"&gt;="&amp;V7,'1UV5KI'!$J$6:$J$2989,"&lt;="&amp;EOMONTH(V7,0),'1UV5KI'!$L$6:$L$2989,$B$26)+SUMIFS(#REF!,#REF!,"&gt;="&amp;V7,#REF!,"&lt;="&amp;EOMONTH(V7,0),#REF!,$B$26)+SUMIFS('1UL9RY'!$K$6:$K$2990,'1UL9RY'!$J$6:$J$2990,"&gt;="&amp;V7,'1UL9RY'!$J$6:$J$2990,"&lt;="&amp;EOMONTH(V7,0),'1UL9RY'!$L$6:$L$2990,$B$26)+SUMIFS('1OZ7GT'!$K$6:$K$2989,'1OZ7GT'!$J$6:$J$2989,"&gt;="&amp;V7,'1OZ7GT'!$J$6:$J$2989,"&lt;="&amp;EOMONTH(V7,0),'1OZ7GT'!$L$6:$L$2989,$B$26)+SUMIFS('1CN8DD'!$K$6:$K$2989,'1CN8DD'!$J$6:$J$2989,"&gt;="&amp;V7,'1CN8DD'!$J$6:$J$2989,"&lt;="&amp;EOMONTH(V7,0),'1CN8DD'!$L$6:$L$2989,$B$26)+SUMIFS('1UT9BR'!$K$6:$K$2990,'1UT9BR'!$J$6:$J$2990,"&gt;="&amp;V7,'1UT9BR'!$J$6:$J$2990,"&lt;="&amp;EOMONTH(V7,0),'1UT9BR'!$L$6:$L$2990,$B$26)+SUMIFS('1MK4UR'!$K$6:$K$2990,'1MK4UR'!$J$6:$J$2990,"&gt;="&amp;V7,'1MK4UR'!$J$6:$J$2990,"&lt;="&amp;EOMONTH(V7,0),'1MK4UR'!$L$6:$L$2990,$B$26)+SUMIFS(#REF!,#REF!,"&gt;="&amp;V7,#REF!,"&lt;="&amp;EOMONTH(V7,0),#REF!,$B$26)+SUMIFS('1JI2UE'!$K$6:$K$2989,'1JI2UE'!$J$6:$J$2989,"&gt;="&amp;V7,'1JI2UE'!$J$6:$J$2989,"&lt;="&amp;EOMONTH(V7,0),'1JI2UE'!$L$6:$L$2989,$B$26)+SUMIFS(#REF!,#REF!,"&gt;="&amp;V7,#REF!,"&lt;="&amp;EOMONTH(V7,0),#REF!,$B$26)+SUMIFS('1SI9BW'!$K$6:$K$2989,'1SI9BW'!$J$6:$J$2989,"&gt;="&amp;V7,'1SI9BW'!$J$6:$J$2989,"&lt;="&amp;EOMONTH(V7,0),'1SI9BW'!$L$6:$L$2989,$B$26)+SUMIFS(Suzuki!$K$6:$K$2989,Suzuki!$J$6:$J$2989,"&gt;="&amp;V7,Suzuki!$J$6:$J$2989,"&lt;="&amp;EOMONTH(V7,0),Suzuki!$L$6:$L$2989,$B$26)+SUMIFS('1SK3DD'!$K$6:$K$2989,'1SK3DD'!$J$6:$J$2989,"&gt;="&amp;V7,'1SK3DD'!$J$6:$J$2989,"&lt;="&amp;EOMONTH(V7,0),'1SK3DD'!$L$6:$L$2989,$B$26)+SUMIFS('1SX5TQ'!$K$6:$K$2989,'1SX5TQ'!$J$6:$J$2989,"&gt;="&amp;V7,'1SX5TQ'!$J$6:$J$2989,"&lt;="&amp;EOMONTH(V7,0),'1SX5TQ'!$L$6:$L$2989,$B$26)+SUMIFS('BMM465'!$K$6:$K$2989,'BMM465'!$J$6:$J$2989,"&gt;="&amp;V7,'BMM465'!$J$6:$J$2989,"&lt;="&amp;EOMONTH(V7,0),'BMM465'!$L$6:$L$2989,$B$26)+SUMIFS('1CF1ZO'!$K$6:$K$2989,'1CF1ZO'!$J$6:$J$2989,"&gt;="&amp;V7,'1CF1ZO'!$J$6:$J$2989,"&lt;="&amp;EOMONTH(V7,0),'1CF1ZO'!$L$6:$L$2989,$B$26)+SUMIFS('1UK1BK'!$K$6:$K$2989,'1UK1BK'!$J$6:$J$2989,"&gt;="&amp;V7,'1UK1BK'!$J$6:$J$2989,"&lt;="&amp;EOMONTH(V7,0),'1UK1BK'!$L$6:$L$2989,$B$26)</f>
        <v>#REF!</v>
      </c>
      <c r="W26" s="110" t="e">
        <f>SUMIFS('CEI565'!$K$6:$K$2990,'CEI565'!$J$6:$J$2990,"&gt;="&amp;W7,'CEI565'!$J$6:$J$2990,"&lt;="&amp;EOMONTH(W7,0),'CEI565'!$L$6:$L$2990,$B$26)+SUMIFS('1SM3VL'!$K$6:$K$2990,'1SM3VL'!$J$6:$J$2990,"&gt;="&amp;W7,'1SM3VL'!$J$6:$J$2990,"&lt;="&amp;EOMONTH(W7,0),'1SM3VL'!$L$6:$L$2990,$B$26)+SUMIFS('1QF4SM'!$K$6:$K$2989,'1QF4SM'!$J$6:$J$2989,"&gt;="&amp;W7,'1QF4SM'!$J$6:$J$2989,"&lt;="&amp;EOMONTH(W7,0),'1QF4SM'!$L$6:$L$2989,$B$26)+SUMIFS('1UV5KI'!$K$6:$K$2989,'1UV5KI'!$J$6:$J$2989,"&gt;="&amp;W7,'1UV5KI'!$J$6:$J$2989,"&lt;="&amp;EOMONTH(W7,0),'1UV5KI'!$L$6:$L$2989,$B$26)+SUMIFS(#REF!,#REF!,"&gt;="&amp;W7,#REF!,"&lt;="&amp;EOMONTH(W7,0),#REF!,$B$26)+SUMIFS('1UL9RY'!$K$6:$K$2990,'1UL9RY'!$J$6:$J$2990,"&gt;="&amp;W7,'1UL9RY'!$J$6:$J$2990,"&lt;="&amp;EOMONTH(W7,0),'1UL9RY'!$L$6:$L$2990,$B$26)+SUMIFS('1OZ7GT'!$K$6:$K$2989,'1OZ7GT'!$J$6:$J$2989,"&gt;="&amp;W7,'1OZ7GT'!$J$6:$J$2989,"&lt;="&amp;EOMONTH(W7,0),'1OZ7GT'!$L$6:$L$2989,$B$26)+SUMIFS('1CN8DD'!$K$6:$K$2989,'1CN8DD'!$J$6:$J$2989,"&gt;="&amp;W7,'1CN8DD'!$J$6:$J$2989,"&lt;="&amp;EOMONTH(W7,0),'1CN8DD'!$L$6:$L$2989,$B$26)+SUMIFS('1UT9BR'!$K$6:$K$2990,'1UT9BR'!$J$6:$J$2990,"&gt;="&amp;W7,'1UT9BR'!$J$6:$J$2990,"&lt;="&amp;EOMONTH(W7,0),'1UT9BR'!$L$6:$L$2990,$B$26)+SUMIFS('1MK4UR'!$K$6:$K$2990,'1MK4UR'!$J$6:$J$2990,"&gt;="&amp;W7,'1MK4UR'!$J$6:$J$2990,"&lt;="&amp;EOMONTH(W7,0),'1MK4UR'!$L$6:$L$2990,$B$26)+SUMIFS(#REF!,#REF!,"&gt;="&amp;W7,#REF!,"&lt;="&amp;EOMONTH(W7,0),#REF!,$B$26)+SUMIFS('1JI2UE'!$K$6:$K$2989,'1JI2UE'!$J$6:$J$2989,"&gt;="&amp;W7,'1JI2UE'!$J$6:$J$2989,"&lt;="&amp;EOMONTH(W7,0),'1JI2UE'!$L$6:$L$2989,$B$26)+SUMIFS(#REF!,#REF!,"&gt;="&amp;W7,#REF!,"&lt;="&amp;EOMONTH(W7,0),#REF!,$B$26)+SUMIFS('1SI9BW'!$K$6:$K$2989,'1SI9BW'!$J$6:$J$2989,"&gt;="&amp;W7,'1SI9BW'!$J$6:$J$2989,"&lt;="&amp;EOMONTH(W7,0),'1SI9BW'!$L$6:$L$2989,$B$26)+SUMIFS(Suzuki!$K$6:$K$2989,Suzuki!$J$6:$J$2989,"&gt;="&amp;W7,Suzuki!$J$6:$J$2989,"&lt;="&amp;EOMONTH(W7,0),Suzuki!$L$6:$L$2989,$B$26)+SUMIFS('1SK3DD'!$K$6:$K$2989,'1SK3DD'!$J$6:$J$2989,"&gt;="&amp;W7,'1SK3DD'!$J$6:$J$2989,"&lt;="&amp;EOMONTH(W7,0),'1SK3DD'!$L$6:$L$2989,$B$26)+SUMIFS('1SX5TQ'!$K$6:$K$2989,'1SX5TQ'!$J$6:$J$2989,"&gt;="&amp;W7,'1SX5TQ'!$J$6:$J$2989,"&lt;="&amp;EOMONTH(W7,0),'1SX5TQ'!$L$6:$L$2989,$B$26)+SUMIFS('BMM465'!$K$6:$K$2989,'BMM465'!$J$6:$J$2989,"&gt;="&amp;W7,'BMM465'!$J$6:$J$2989,"&lt;="&amp;EOMONTH(W7,0),'BMM465'!$L$6:$L$2989,$B$26)+SUMIFS('1CF1ZO'!$K$6:$K$2989,'1CF1ZO'!$J$6:$J$2989,"&gt;="&amp;W7,'1CF1ZO'!$J$6:$J$2989,"&lt;="&amp;EOMONTH(W7,0),'1CF1ZO'!$L$6:$L$2989,$B$26)+SUMIFS('1UK1BK'!$K$6:$K$2989,'1UK1BK'!$J$6:$J$2989,"&gt;="&amp;W7,'1UK1BK'!$J$6:$J$2989,"&lt;="&amp;EOMONTH(W7,0),'1UK1BK'!$L$6:$L$2989,$B$26)</f>
        <v>#REF!</v>
      </c>
      <c r="X26" s="110" t="e">
        <f>SUMIFS('CEI565'!$K$6:$K$2990,'CEI565'!$J$6:$J$2990,"&gt;="&amp;X7,'CEI565'!$J$6:$J$2990,"&lt;="&amp;EOMONTH(X7,0),'CEI565'!$L$6:$L$2990,$B$26)+SUMIFS('1SM3VL'!$K$6:$K$2990,'1SM3VL'!$J$6:$J$2990,"&gt;="&amp;X7,'1SM3VL'!$J$6:$J$2990,"&lt;="&amp;EOMONTH(X7,0),'1SM3VL'!$L$6:$L$2990,$B$26)+SUMIFS('1QF4SM'!$K$6:$K$2989,'1QF4SM'!$J$6:$J$2989,"&gt;="&amp;X7,'1QF4SM'!$J$6:$J$2989,"&lt;="&amp;EOMONTH(X7,0),'1QF4SM'!$L$6:$L$2989,$B$26)+SUMIFS('1UV5KI'!$K$6:$K$2989,'1UV5KI'!$J$6:$J$2989,"&gt;="&amp;X7,'1UV5KI'!$J$6:$J$2989,"&lt;="&amp;EOMONTH(X7,0),'1UV5KI'!$L$6:$L$2989,$B$26)+SUMIFS(#REF!,#REF!,"&gt;="&amp;X7,#REF!,"&lt;="&amp;EOMONTH(X7,0),#REF!,$B$26)+SUMIFS('1UL9RY'!$K$6:$K$2990,'1UL9RY'!$J$6:$J$2990,"&gt;="&amp;X7,'1UL9RY'!$J$6:$J$2990,"&lt;="&amp;EOMONTH(X7,0),'1UL9RY'!$L$6:$L$2990,$B$26)+SUMIFS('1OZ7GT'!$K$6:$K$2989,'1OZ7GT'!$J$6:$J$2989,"&gt;="&amp;X7,'1OZ7GT'!$J$6:$J$2989,"&lt;="&amp;EOMONTH(X7,0),'1OZ7GT'!$L$6:$L$2989,$B$26)+SUMIFS('1CN8DD'!$K$6:$K$2989,'1CN8DD'!$J$6:$J$2989,"&gt;="&amp;X7,'1CN8DD'!$J$6:$J$2989,"&lt;="&amp;EOMONTH(X7,0),'1CN8DD'!$L$6:$L$2989,$B$26)+SUMIFS('1UT9BR'!$K$6:$K$2990,'1UT9BR'!$J$6:$J$2990,"&gt;="&amp;X7,'1UT9BR'!$J$6:$J$2990,"&lt;="&amp;EOMONTH(X7,0),'1UT9BR'!$L$6:$L$2990,$B$26)+SUMIFS('1MK4UR'!$K$6:$K$2990,'1MK4UR'!$J$6:$J$2990,"&gt;="&amp;X7,'1MK4UR'!$J$6:$J$2990,"&lt;="&amp;EOMONTH(X7,0),'1MK4UR'!$L$6:$L$2990,$B$26)+SUMIFS(#REF!,#REF!,"&gt;="&amp;X7,#REF!,"&lt;="&amp;EOMONTH(X7,0),#REF!,$B$26)+SUMIFS('1JI2UE'!$K$6:$K$2989,'1JI2UE'!$J$6:$J$2989,"&gt;="&amp;X7,'1JI2UE'!$J$6:$J$2989,"&lt;="&amp;EOMONTH(X7,0),'1JI2UE'!$L$6:$L$2989,$B$26)+SUMIFS(#REF!,#REF!,"&gt;="&amp;X7,#REF!,"&lt;="&amp;EOMONTH(X7,0),#REF!,$B$26)+SUMIFS('1SI9BW'!$K$6:$K$2989,'1SI9BW'!$J$6:$J$2989,"&gt;="&amp;X7,'1SI9BW'!$J$6:$J$2989,"&lt;="&amp;EOMONTH(X7,0),'1SI9BW'!$L$6:$L$2989,$B$26)+SUMIFS(Suzuki!$K$6:$K$2989,Suzuki!$J$6:$J$2989,"&gt;="&amp;X7,Suzuki!$J$6:$J$2989,"&lt;="&amp;EOMONTH(X7,0),Suzuki!$L$6:$L$2989,$B$26)+SUMIFS('1SK3DD'!$K$6:$K$2989,'1SK3DD'!$J$6:$J$2989,"&gt;="&amp;X7,'1SK3DD'!$J$6:$J$2989,"&lt;="&amp;EOMONTH(X7,0),'1SK3DD'!$L$6:$L$2989,$B$26)+SUMIFS('1SX5TQ'!$K$6:$K$2989,'1SX5TQ'!$J$6:$J$2989,"&gt;="&amp;X7,'1SX5TQ'!$J$6:$J$2989,"&lt;="&amp;EOMONTH(X7,0),'1SX5TQ'!$L$6:$L$2989,$B$26)+SUMIFS('BMM465'!$K$6:$K$2989,'BMM465'!$J$6:$J$2989,"&gt;="&amp;X7,'BMM465'!$J$6:$J$2989,"&lt;="&amp;EOMONTH(X7,0),'BMM465'!$L$6:$L$2989,$B$26)+SUMIFS('1CF1ZO'!$K$6:$K$2989,'1CF1ZO'!$J$6:$J$2989,"&gt;="&amp;X7,'1CF1ZO'!$J$6:$J$2989,"&lt;="&amp;EOMONTH(X7,0),'1CF1ZO'!$L$6:$L$2989,$B$26)+SUMIFS('1UK1BK'!$K$6:$K$2989,'1UK1BK'!$J$6:$J$2989,"&gt;="&amp;X7,'1UK1BK'!$J$6:$J$2989,"&lt;="&amp;EOMONTH(X7,0),'1UK1BK'!$L$6:$L$2989,$B$26)</f>
        <v>#REF!</v>
      </c>
      <c r="Y26" s="110" t="e">
        <f>SUMIFS('CEI565'!$K$6:$K$2990,'CEI565'!$J$6:$J$2990,"&gt;="&amp;Y7,'CEI565'!$J$6:$J$2990,"&lt;="&amp;EOMONTH(Y7,0),'CEI565'!$L$6:$L$2990,$B$26)+SUMIFS('1SM3VL'!$K$6:$K$2990,'1SM3VL'!$J$6:$J$2990,"&gt;="&amp;Y7,'1SM3VL'!$J$6:$J$2990,"&lt;="&amp;EOMONTH(Y7,0),'1SM3VL'!$L$6:$L$2990,$B$26)+SUMIFS('1QF4SM'!$K$6:$K$2989,'1QF4SM'!$J$6:$J$2989,"&gt;="&amp;Y7,'1QF4SM'!$J$6:$J$2989,"&lt;="&amp;EOMONTH(Y7,0),'1QF4SM'!$L$6:$L$2989,$B$26)+SUMIFS('1UV5KI'!$K$6:$K$2989,'1UV5KI'!$J$6:$J$2989,"&gt;="&amp;Y7,'1UV5KI'!$J$6:$J$2989,"&lt;="&amp;EOMONTH(Y7,0),'1UV5KI'!$L$6:$L$2989,$B$26)+SUMIFS(#REF!,#REF!,"&gt;="&amp;Y7,#REF!,"&lt;="&amp;EOMONTH(Y7,0),#REF!,$B$26)+SUMIFS('1UL9RY'!$K$6:$K$2990,'1UL9RY'!$J$6:$J$2990,"&gt;="&amp;Y7,'1UL9RY'!$J$6:$J$2990,"&lt;="&amp;EOMONTH(Y7,0),'1UL9RY'!$L$6:$L$2990,$B$26)+SUMIFS('1OZ7GT'!$K$6:$K$2989,'1OZ7GT'!$J$6:$J$2989,"&gt;="&amp;Y7,'1OZ7GT'!$J$6:$J$2989,"&lt;="&amp;EOMONTH(Y7,0),'1OZ7GT'!$L$6:$L$2989,$B$26)+SUMIFS('1CN8DD'!$K$6:$K$2989,'1CN8DD'!$J$6:$J$2989,"&gt;="&amp;Y7,'1CN8DD'!$J$6:$J$2989,"&lt;="&amp;EOMONTH(Y7,0),'1CN8DD'!$L$6:$L$2989,$B$26)+SUMIFS('1UT9BR'!$K$6:$K$2990,'1UT9BR'!$J$6:$J$2990,"&gt;="&amp;Y7,'1UT9BR'!$J$6:$J$2990,"&lt;="&amp;EOMONTH(Y7,0),'1UT9BR'!$L$6:$L$2990,$B$26)+SUMIFS('1MK4UR'!$K$6:$K$2990,'1MK4UR'!$J$6:$J$2990,"&gt;="&amp;Y7,'1MK4UR'!$J$6:$J$2990,"&lt;="&amp;EOMONTH(Y7,0),'1MK4UR'!$L$6:$L$2990,$B$26)+SUMIFS(#REF!,#REF!,"&gt;="&amp;Y7,#REF!,"&lt;="&amp;EOMONTH(Y7,0),#REF!,$B$26)+SUMIFS('1JI2UE'!$K$6:$K$2989,'1JI2UE'!$J$6:$J$2989,"&gt;="&amp;Y7,'1JI2UE'!$J$6:$J$2989,"&lt;="&amp;EOMONTH(Y7,0),'1JI2UE'!$L$6:$L$2989,$B$26)+SUMIFS(#REF!,#REF!,"&gt;="&amp;Y7,#REF!,"&lt;="&amp;EOMONTH(Y7,0),#REF!,$B$26)+SUMIFS('1SI9BW'!$K$6:$K$2989,'1SI9BW'!$J$6:$J$2989,"&gt;="&amp;Y7,'1SI9BW'!$J$6:$J$2989,"&lt;="&amp;EOMONTH(Y7,0),'1SI9BW'!$L$6:$L$2989,$B$26)+SUMIFS(Suzuki!$K$6:$K$2989,Suzuki!$J$6:$J$2989,"&gt;="&amp;Y7,Suzuki!$J$6:$J$2989,"&lt;="&amp;EOMONTH(Y7,0),Suzuki!$L$6:$L$2989,$B$26)+SUMIFS('1SK3DD'!$K$6:$K$2989,'1SK3DD'!$J$6:$J$2989,"&gt;="&amp;Y7,'1SK3DD'!$J$6:$J$2989,"&lt;="&amp;EOMONTH(Y7,0),'1SK3DD'!$L$6:$L$2989,$B$26)+SUMIFS('1SX5TQ'!$K$6:$K$2989,'1SX5TQ'!$J$6:$J$2989,"&gt;="&amp;Y7,'1SX5TQ'!$J$6:$J$2989,"&lt;="&amp;EOMONTH(Y7,0),'1SX5TQ'!$L$6:$L$2989,$B$26)+SUMIFS('BMM465'!$K$6:$K$2989,'BMM465'!$J$6:$J$2989,"&gt;="&amp;Y7,'BMM465'!$J$6:$J$2989,"&lt;="&amp;EOMONTH(Y7,0),'BMM465'!$L$6:$L$2989,$B$26)+SUMIFS('1CF1ZO'!$K$6:$K$2989,'1CF1ZO'!$J$6:$J$2989,"&gt;="&amp;Y7,'1CF1ZO'!$J$6:$J$2989,"&lt;="&amp;EOMONTH(Y7,0),'1CF1ZO'!$L$6:$L$2989,$B$26)+SUMIFS('1UK1BK'!$K$6:$K$2989,'1UK1BK'!$J$6:$J$2989,"&gt;="&amp;Y7,'1UK1BK'!$J$6:$J$2989,"&lt;="&amp;EOMONTH(Y7,0),'1UK1BK'!$L$6:$L$2989,$B$26)</f>
        <v>#REF!</v>
      </c>
      <c r="Z26" s="110" t="e">
        <f>SUMIFS('CEI565'!$K$6:$K$2990,'CEI565'!$J$6:$J$2990,"&gt;="&amp;Z7,'CEI565'!$J$6:$J$2990,"&lt;="&amp;EOMONTH(Z7,0),'CEI565'!$L$6:$L$2990,$B$26)+SUMIFS('1SM3VL'!$K$6:$K$2990,'1SM3VL'!$J$6:$J$2990,"&gt;="&amp;Z7,'1SM3VL'!$J$6:$J$2990,"&lt;="&amp;EOMONTH(Z7,0),'1SM3VL'!$L$6:$L$2990,$B$26)+SUMIFS('1QF4SM'!$K$6:$K$2989,'1QF4SM'!$J$6:$J$2989,"&gt;="&amp;Z7,'1QF4SM'!$J$6:$J$2989,"&lt;="&amp;EOMONTH(Z7,0),'1QF4SM'!$L$6:$L$2989,$B$26)+SUMIFS('1UV5KI'!$K$6:$K$2989,'1UV5KI'!$J$6:$J$2989,"&gt;="&amp;Z7,'1UV5KI'!$J$6:$J$2989,"&lt;="&amp;EOMONTH(Z7,0),'1UV5KI'!$L$6:$L$2989,$B$26)+SUMIFS(#REF!,#REF!,"&gt;="&amp;Z7,#REF!,"&lt;="&amp;EOMONTH(Z7,0),#REF!,$B$26)+SUMIFS('1UL9RY'!$K$6:$K$2990,'1UL9RY'!$J$6:$J$2990,"&gt;="&amp;Z7,'1UL9RY'!$J$6:$J$2990,"&lt;="&amp;EOMONTH(Z7,0),'1UL9RY'!$L$6:$L$2990,$B$26)+SUMIFS('1OZ7GT'!$K$6:$K$2989,'1OZ7GT'!$J$6:$J$2989,"&gt;="&amp;Z7,'1OZ7GT'!$J$6:$J$2989,"&lt;="&amp;EOMONTH(Z7,0),'1OZ7GT'!$L$6:$L$2989,$B$26)+SUMIFS('1CN8DD'!$K$6:$K$2989,'1CN8DD'!$J$6:$J$2989,"&gt;="&amp;Z7,'1CN8DD'!$J$6:$J$2989,"&lt;="&amp;EOMONTH(Z7,0),'1CN8DD'!$L$6:$L$2989,$B$26)+SUMIFS('1UT9BR'!$K$6:$K$2990,'1UT9BR'!$J$6:$J$2990,"&gt;="&amp;Z7,'1UT9BR'!$J$6:$J$2990,"&lt;="&amp;EOMONTH(Z7,0),'1UT9BR'!$L$6:$L$2990,$B$26)+SUMIFS('1MK4UR'!$K$6:$K$2990,'1MK4UR'!$J$6:$J$2990,"&gt;="&amp;Z7,'1MK4UR'!$J$6:$J$2990,"&lt;="&amp;EOMONTH(Z7,0),'1MK4UR'!$L$6:$L$2990,$B$26)+SUMIFS(#REF!,#REF!,"&gt;="&amp;Z7,#REF!,"&lt;="&amp;EOMONTH(Z7,0),#REF!,$B$26)+SUMIFS('1JI2UE'!$K$6:$K$2989,'1JI2UE'!$J$6:$J$2989,"&gt;="&amp;Z7,'1JI2UE'!$J$6:$J$2989,"&lt;="&amp;EOMONTH(Z7,0),'1JI2UE'!$L$6:$L$2989,$B$26)+SUMIFS(#REF!,#REF!,"&gt;="&amp;Z7,#REF!,"&lt;="&amp;EOMONTH(Z7,0),#REF!,$B$26)+SUMIFS('1SI9BW'!$K$6:$K$2989,'1SI9BW'!$J$6:$J$2989,"&gt;="&amp;Z7,'1SI9BW'!$J$6:$J$2989,"&lt;="&amp;EOMONTH(Z7,0),'1SI9BW'!$L$6:$L$2989,$B$26)+SUMIFS(Suzuki!$K$6:$K$2989,Suzuki!$J$6:$J$2989,"&gt;="&amp;Z7,Suzuki!$J$6:$J$2989,"&lt;="&amp;EOMONTH(Z7,0),Suzuki!$L$6:$L$2989,$B$26)+SUMIFS('1SK3DD'!$K$6:$K$2989,'1SK3DD'!$J$6:$J$2989,"&gt;="&amp;Z7,'1SK3DD'!$J$6:$J$2989,"&lt;="&amp;EOMONTH(Z7,0),'1SK3DD'!$L$6:$L$2989,$B$26)+SUMIFS('1SX5TQ'!$K$6:$K$2989,'1SX5TQ'!$J$6:$J$2989,"&gt;="&amp;Z7,'1SX5TQ'!$J$6:$J$2989,"&lt;="&amp;EOMONTH(Z7,0),'1SX5TQ'!$L$6:$L$2989,$B$26)+SUMIFS('BMM465'!$K$6:$K$2989,'BMM465'!$J$6:$J$2989,"&gt;="&amp;Z7,'BMM465'!$J$6:$J$2989,"&lt;="&amp;EOMONTH(Z7,0),'BMM465'!$L$6:$L$2989,$B$26)+SUMIFS('1CF1ZO'!$K$6:$K$2989,'1CF1ZO'!$J$6:$J$2989,"&gt;="&amp;Z7,'1CF1ZO'!$J$6:$J$2989,"&lt;="&amp;EOMONTH(Z7,0),'1CF1ZO'!$L$6:$L$2989,$B$26)+SUMIFS('1UK1BK'!$K$6:$K$2989,'1UK1BK'!$J$6:$J$2989,"&gt;="&amp;Z7,'1UK1BK'!$J$6:$J$2989,"&lt;="&amp;EOMONTH(Z7,0),'1UK1BK'!$L$6:$L$2989,$B$26)</f>
        <v>#REF!</v>
      </c>
      <c r="AA26" s="110" t="e">
        <f>SUMIFS('CEI565'!$K$6:$K$2990,'CEI565'!$J$6:$J$2990,"&gt;="&amp;AA7,'CEI565'!$J$6:$J$2990,"&lt;="&amp;EOMONTH(AA7,0),'CEI565'!$L$6:$L$2990,$B$26)+SUMIFS('1SM3VL'!$K$6:$K$2990,'1SM3VL'!$J$6:$J$2990,"&gt;="&amp;AA7,'1SM3VL'!$J$6:$J$2990,"&lt;="&amp;EOMONTH(AA7,0),'1SM3VL'!$L$6:$L$2990,$B$26)+SUMIFS('1QF4SM'!$K$6:$K$2989,'1QF4SM'!$J$6:$J$2989,"&gt;="&amp;AA7,'1QF4SM'!$J$6:$J$2989,"&lt;="&amp;EOMONTH(AA7,0),'1QF4SM'!$L$6:$L$2989,$B$26)+SUMIFS('1UV5KI'!$K$6:$K$2989,'1UV5KI'!$J$6:$J$2989,"&gt;="&amp;AA7,'1UV5KI'!$J$6:$J$2989,"&lt;="&amp;EOMONTH(AA7,0),'1UV5KI'!$L$6:$L$2989,$B$26)+SUMIFS(#REF!,#REF!,"&gt;="&amp;AA7,#REF!,"&lt;="&amp;EOMONTH(AA7,0),#REF!,$B$26)+SUMIFS('1UL9RY'!$K$6:$K$2990,'1UL9RY'!$J$6:$J$2990,"&gt;="&amp;AA7,'1UL9RY'!$J$6:$J$2990,"&lt;="&amp;EOMONTH(AA7,0),'1UL9RY'!$L$6:$L$2990,$B$26)+SUMIFS('1OZ7GT'!$K$6:$K$2989,'1OZ7GT'!$J$6:$J$2989,"&gt;="&amp;AA7,'1OZ7GT'!$J$6:$J$2989,"&lt;="&amp;EOMONTH(AA7,0),'1OZ7GT'!$L$6:$L$2989,$B$26)+SUMIFS('1CN8DD'!$K$6:$K$2989,'1CN8DD'!$J$6:$J$2989,"&gt;="&amp;AA7,'1CN8DD'!$J$6:$J$2989,"&lt;="&amp;EOMONTH(AA7,0),'1CN8DD'!$L$6:$L$2989,$B$26)+SUMIFS('1UT9BR'!$K$6:$K$2990,'1UT9BR'!$J$6:$J$2990,"&gt;="&amp;AA7,'1UT9BR'!$J$6:$J$2990,"&lt;="&amp;EOMONTH(AA7,0),'1UT9BR'!$L$6:$L$2990,$B$26)+SUMIFS('1MK4UR'!$K$6:$K$2990,'1MK4UR'!$J$6:$J$2990,"&gt;="&amp;AA7,'1MK4UR'!$J$6:$J$2990,"&lt;="&amp;EOMONTH(AA7,0),'1MK4UR'!$L$6:$L$2990,$B$26)+SUMIFS(#REF!,#REF!,"&gt;="&amp;AA7,#REF!,"&lt;="&amp;EOMONTH(AA7,0),#REF!,$B$26)+SUMIFS('1JI2UE'!$K$6:$K$2989,'1JI2UE'!$J$6:$J$2989,"&gt;="&amp;AA7,'1JI2UE'!$J$6:$J$2989,"&lt;="&amp;EOMONTH(AA7,0),'1JI2UE'!$L$6:$L$2989,$B$26)+SUMIFS(#REF!,#REF!,"&gt;="&amp;AA7,#REF!,"&lt;="&amp;EOMONTH(AA7,0),#REF!,$B$26)+SUMIFS('1SI9BW'!$K$6:$K$2989,'1SI9BW'!$J$6:$J$2989,"&gt;="&amp;AA7,'1SI9BW'!$J$6:$J$2989,"&lt;="&amp;EOMONTH(AA7,0),'1SI9BW'!$L$6:$L$2989,$B$26)+SUMIFS(Suzuki!$K$6:$K$2989,Suzuki!$J$6:$J$2989,"&gt;="&amp;AA7,Suzuki!$J$6:$J$2989,"&lt;="&amp;EOMONTH(AA7,0),Suzuki!$L$6:$L$2989,$B$26)+SUMIFS('1SK3DD'!$K$6:$K$2989,'1SK3DD'!$J$6:$J$2989,"&gt;="&amp;AA7,'1SK3DD'!$J$6:$J$2989,"&lt;="&amp;EOMONTH(AA7,0),'1SK3DD'!$L$6:$L$2989,$B$26)+SUMIFS('1SX5TQ'!$K$6:$K$2989,'1SX5TQ'!$J$6:$J$2989,"&gt;="&amp;AA7,'1SX5TQ'!$J$6:$J$2989,"&lt;="&amp;EOMONTH(AA7,0),'1SX5TQ'!$L$6:$L$2989,$B$26)+SUMIFS('BMM465'!$K$6:$K$2989,'BMM465'!$J$6:$J$2989,"&gt;="&amp;AA7,'BMM465'!$J$6:$J$2989,"&lt;="&amp;EOMONTH(AA7,0),'BMM465'!$L$6:$L$2989,$B$26)+SUMIFS('1CF1ZO'!$K$6:$K$2989,'1CF1ZO'!$J$6:$J$2989,"&gt;="&amp;AA7,'1CF1ZO'!$J$6:$J$2989,"&lt;="&amp;EOMONTH(AA7,0),'1CF1ZO'!$L$6:$L$2989,$B$26)+SUMIFS('1UK1BK'!$K$6:$K$2989,'1UK1BK'!$J$6:$J$2989,"&gt;="&amp;AA7,'1UK1BK'!$J$6:$J$2989,"&lt;="&amp;EOMONTH(AA7,0),'1UK1BK'!$L$6:$L$2989,$B$26)</f>
        <v>#REF!</v>
      </c>
      <c r="AB26" s="110" t="e">
        <f>SUMIFS('CEI565'!$K$6:$K$2990,'CEI565'!$J$6:$J$2990,"&gt;="&amp;AB7,'CEI565'!$J$6:$J$2990,"&lt;="&amp;EOMONTH(AB7,0),'CEI565'!$L$6:$L$2990,$B$26)+SUMIFS('1SM3VL'!$K$6:$K$2990,'1SM3VL'!$J$6:$J$2990,"&gt;="&amp;AB7,'1SM3VL'!$J$6:$J$2990,"&lt;="&amp;EOMONTH(AB7,0),'1SM3VL'!$L$6:$L$2990,$B$26)+SUMIFS('1QF4SM'!$K$6:$K$2989,'1QF4SM'!$J$6:$J$2989,"&gt;="&amp;AB7,'1QF4SM'!$J$6:$J$2989,"&lt;="&amp;EOMONTH(AB7,0),'1QF4SM'!$L$6:$L$2989,$B$26)+SUMIFS('1UV5KI'!$K$6:$K$2989,'1UV5KI'!$J$6:$J$2989,"&gt;="&amp;AB7,'1UV5KI'!$J$6:$J$2989,"&lt;="&amp;EOMONTH(AB7,0),'1UV5KI'!$L$6:$L$2989,$B$26)+SUMIFS(#REF!,#REF!,"&gt;="&amp;AB7,#REF!,"&lt;="&amp;EOMONTH(AB7,0),#REF!,$B$26)+SUMIFS('1UL9RY'!$K$6:$K$2990,'1UL9RY'!$J$6:$J$2990,"&gt;="&amp;AB7,'1UL9RY'!$J$6:$J$2990,"&lt;="&amp;EOMONTH(AB7,0),'1UL9RY'!$L$6:$L$2990,$B$26)+SUMIFS('1OZ7GT'!$K$6:$K$2989,'1OZ7GT'!$J$6:$J$2989,"&gt;="&amp;AB7,'1OZ7GT'!$J$6:$J$2989,"&lt;="&amp;EOMONTH(AB7,0),'1OZ7GT'!$L$6:$L$2989,$B$26)+SUMIFS('1CN8DD'!$K$6:$K$2989,'1CN8DD'!$J$6:$J$2989,"&gt;="&amp;AB7,'1CN8DD'!$J$6:$J$2989,"&lt;="&amp;EOMONTH(AB7,0),'1CN8DD'!$L$6:$L$2989,$B$26)+SUMIFS('1UT9BR'!$K$6:$K$2990,'1UT9BR'!$J$6:$J$2990,"&gt;="&amp;AB7,'1UT9BR'!$J$6:$J$2990,"&lt;="&amp;EOMONTH(AB7,0),'1UT9BR'!$L$6:$L$2990,$B$26)+SUMIFS('1MK4UR'!$K$6:$K$2990,'1MK4UR'!$J$6:$J$2990,"&gt;="&amp;AB7,'1MK4UR'!$J$6:$J$2990,"&lt;="&amp;EOMONTH(AB7,0),'1MK4UR'!$L$6:$L$2990,$B$26)+SUMIFS(#REF!,#REF!,"&gt;="&amp;AB7,#REF!,"&lt;="&amp;EOMONTH(AB7,0),#REF!,$B$26)+SUMIFS('1JI2UE'!$K$6:$K$2989,'1JI2UE'!$J$6:$J$2989,"&gt;="&amp;AB7,'1JI2UE'!$J$6:$J$2989,"&lt;="&amp;EOMONTH(AB7,0),'1JI2UE'!$L$6:$L$2989,$B$26)+SUMIFS(#REF!,#REF!,"&gt;="&amp;AB7,#REF!,"&lt;="&amp;EOMONTH(AB7,0),#REF!,$B$26)+SUMIFS('1SI9BW'!$K$6:$K$2989,'1SI9BW'!$J$6:$J$2989,"&gt;="&amp;AB7,'1SI9BW'!$J$6:$J$2989,"&lt;="&amp;EOMONTH(AB7,0),'1SI9BW'!$L$6:$L$2989,$B$26)+SUMIFS(Suzuki!$K$6:$K$2989,Suzuki!$J$6:$J$2989,"&gt;="&amp;AB7,Suzuki!$J$6:$J$2989,"&lt;="&amp;EOMONTH(AB7,0),Suzuki!$L$6:$L$2989,$B$26)+SUMIFS('1SK3DD'!$K$6:$K$2989,'1SK3DD'!$J$6:$J$2989,"&gt;="&amp;AB7,'1SK3DD'!$J$6:$J$2989,"&lt;="&amp;EOMONTH(AB7,0),'1SK3DD'!$L$6:$L$2989,$B$26)+SUMIFS('1SX5TQ'!$K$6:$K$2989,'1SX5TQ'!$J$6:$J$2989,"&gt;="&amp;AB7,'1SX5TQ'!$J$6:$J$2989,"&lt;="&amp;EOMONTH(AB7,0),'1SX5TQ'!$L$6:$L$2989,$B$26)+SUMIFS('BMM465'!$K$6:$K$2989,'BMM465'!$J$6:$J$2989,"&gt;="&amp;AB7,'BMM465'!$J$6:$J$2989,"&lt;="&amp;EOMONTH(AB7,0),'BMM465'!$L$6:$L$2989,$B$26)+SUMIFS('1CF1ZO'!$K$6:$K$2989,'1CF1ZO'!$J$6:$J$2989,"&gt;="&amp;AB7,'1CF1ZO'!$J$6:$J$2989,"&lt;="&amp;EOMONTH(AB7,0),'1CF1ZO'!$L$6:$L$2989,$B$26)+SUMIFS('1UK1BK'!$K$6:$K$2989,'1UK1BK'!$J$6:$J$2989,"&gt;="&amp;AB7,'1UK1BK'!$J$6:$J$2989,"&lt;="&amp;EOMONTH(AB7,0),'1UK1BK'!$L$6:$L$2989,$B$26)</f>
        <v>#REF!</v>
      </c>
      <c r="AC26" s="110" t="e">
        <f>SUMIFS('CEI565'!$K$6:$K$2990,'CEI565'!$J$6:$J$2990,"&gt;="&amp;AC7,'CEI565'!$J$6:$J$2990,"&lt;="&amp;EOMONTH(AC7,0),'CEI565'!$L$6:$L$2990,$B$26)+SUMIFS('1SM3VL'!$K$6:$K$2990,'1SM3VL'!$J$6:$J$2990,"&gt;="&amp;AC7,'1SM3VL'!$J$6:$J$2990,"&lt;="&amp;EOMONTH(AC7,0),'1SM3VL'!$L$6:$L$2990,$B$26)+SUMIFS('1QF4SM'!$K$6:$K$2989,'1QF4SM'!$J$6:$J$2989,"&gt;="&amp;AC7,'1QF4SM'!$J$6:$J$2989,"&lt;="&amp;EOMONTH(AC7,0),'1QF4SM'!$L$6:$L$2989,$B$26)+SUMIFS('1UV5KI'!$K$6:$K$2989,'1UV5KI'!$J$6:$J$2989,"&gt;="&amp;AC7,'1UV5KI'!$J$6:$J$2989,"&lt;="&amp;EOMONTH(AC7,0),'1UV5KI'!$L$6:$L$2989,$B$26)+SUMIFS(#REF!,#REF!,"&gt;="&amp;AC7,#REF!,"&lt;="&amp;EOMONTH(AC7,0),#REF!,$B$26)+SUMIFS('1UL9RY'!$K$6:$K$2990,'1UL9RY'!$J$6:$J$2990,"&gt;="&amp;AC7,'1UL9RY'!$J$6:$J$2990,"&lt;="&amp;EOMONTH(AC7,0),'1UL9RY'!$L$6:$L$2990,$B$26)+SUMIFS('1OZ7GT'!$K$6:$K$2989,'1OZ7GT'!$J$6:$J$2989,"&gt;="&amp;AC7,'1OZ7GT'!$J$6:$J$2989,"&lt;="&amp;EOMONTH(AC7,0),'1OZ7GT'!$L$6:$L$2989,$B$26)+SUMIFS('1CN8DD'!$K$6:$K$2989,'1CN8DD'!$J$6:$J$2989,"&gt;="&amp;AC7,'1CN8DD'!$J$6:$J$2989,"&lt;="&amp;EOMONTH(AC7,0),'1CN8DD'!$L$6:$L$2989,$B$26)+SUMIFS('1UT9BR'!$K$6:$K$2990,'1UT9BR'!$J$6:$J$2990,"&gt;="&amp;AC7,'1UT9BR'!$J$6:$J$2990,"&lt;="&amp;EOMONTH(AC7,0),'1UT9BR'!$L$6:$L$2990,$B$26)+SUMIFS('1MK4UR'!$K$6:$K$2990,'1MK4UR'!$J$6:$J$2990,"&gt;="&amp;AC7,'1MK4UR'!$J$6:$J$2990,"&lt;="&amp;EOMONTH(AC7,0),'1MK4UR'!$L$6:$L$2990,$B$26)+SUMIFS(#REF!,#REF!,"&gt;="&amp;AC7,#REF!,"&lt;="&amp;EOMONTH(AC7,0),#REF!,$B$26)+SUMIFS('1JI2UE'!$K$6:$K$2989,'1JI2UE'!$J$6:$J$2989,"&gt;="&amp;AC7,'1JI2UE'!$J$6:$J$2989,"&lt;="&amp;EOMONTH(AC7,0),'1JI2UE'!$L$6:$L$2989,$B$26)+SUMIFS(#REF!,#REF!,"&gt;="&amp;AC7,#REF!,"&lt;="&amp;EOMONTH(AC7,0),#REF!,$B$26)+SUMIFS('1SI9BW'!$K$6:$K$2989,'1SI9BW'!$J$6:$J$2989,"&gt;="&amp;AC7,'1SI9BW'!$J$6:$J$2989,"&lt;="&amp;EOMONTH(AC7,0),'1SI9BW'!$L$6:$L$2989,$B$26)+SUMIFS(Suzuki!$K$6:$K$2989,Suzuki!$J$6:$J$2989,"&gt;="&amp;AC7,Suzuki!$J$6:$J$2989,"&lt;="&amp;EOMONTH(AC7,0),Suzuki!$L$6:$L$2989,$B$26)+SUMIFS('1SK3DD'!$K$6:$K$2989,'1SK3DD'!$J$6:$J$2989,"&gt;="&amp;AC7,'1SK3DD'!$J$6:$J$2989,"&lt;="&amp;EOMONTH(AC7,0),'1SK3DD'!$L$6:$L$2989,$B$26)+SUMIFS('1SX5TQ'!$K$6:$K$2989,'1SX5TQ'!$J$6:$J$2989,"&gt;="&amp;AC7,'1SX5TQ'!$J$6:$J$2989,"&lt;="&amp;EOMONTH(AC7,0),'1SX5TQ'!$L$6:$L$2989,$B$26)+SUMIFS('BMM465'!$K$6:$K$2989,'BMM465'!$J$6:$J$2989,"&gt;="&amp;AC7,'BMM465'!$J$6:$J$2989,"&lt;="&amp;EOMONTH(AC7,0),'BMM465'!$L$6:$L$2989,$B$26)+SUMIFS('1CF1ZO'!$K$6:$K$2989,'1CF1ZO'!$J$6:$J$2989,"&gt;="&amp;AC7,'1CF1ZO'!$J$6:$J$2989,"&lt;="&amp;EOMONTH(AC7,0),'1CF1ZO'!$L$6:$L$2989,$B$26)+SUMIFS('1UK1BK'!$K$6:$K$2989,'1UK1BK'!$J$6:$J$2989,"&gt;="&amp;AC7,'1UK1BK'!$J$6:$J$2989,"&lt;="&amp;EOMONTH(AC7,0),'1UK1BK'!$L$6:$L$2989,$B$26)</f>
        <v>#REF!</v>
      </c>
      <c r="AD26" s="110" t="e">
        <f>SUMIFS('CEI565'!$K$6:$K$2990,'CEI565'!$J$6:$J$2990,"&gt;="&amp;AD7,'CEI565'!$J$6:$J$2990,"&lt;="&amp;EOMONTH(AD7,0),'CEI565'!$L$6:$L$2990,$B$26)+SUMIFS('1SM3VL'!$K$6:$K$2990,'1SM3VL'!$J$6:$J$2990,"&gt;="&amp;AD7,'1SM3VL'!$J$6:$J$2990,"&lt;="&amp;EOMONTH(AD7,0),'1SM3VL'!$L$6:$L$2990,$B$26)+SUMIFS('1QF4SM'!$K$6:$K$2989,'1QF4SM'!$J$6:$J$2989,"&gt;="&amp;AD7,'1QF4SM'!$J$6:$J$2989,"&lt;="&amp;EOMONTH(AD7,0),'1QF4SM'!$L$6:$L$2989,$B$26)+SUMIFS('1UV5KI'!$K$6:$K$2989,'1UV5KI'!$J$6:$J$2989,"&gt;="&amp;AD7,'1UV5KI'!$J$6:$J$2989,"&lt;="&amp;EOMONTH(AD7,0),'1UV5KI'!$L$6:$L$2989,$B$26)+SUMIFS(#REF!,#REF!,"&gt;="&amp;AD7,#REF!,"&lt;="&amp;EOMONTH(AD7,0),#REF!,$B$26)+SUMIFS('1UL9RY'!$K$6:$K$2990,'1UL9RY'!$J$6:$J$2990,"&gt;="&amp;AD7,'1UL9RY'!$J$6:$J$2990,"&lt;="&amp;EOMONTH(AD7,0),'1UL9RY'!$L$6:$L$2990,$B$26)+SUMIFS('1OZ7GT'!$K$6:$K$2989,'1OZ7GT'!$J$6:$J$2989,"&gt;="&amp;AD7,'1OZ7GT'!$J$6:$J$2989,"&lt;="&amp;EOMONTH(AD7,0),'1OZ7GT'!$L$6:$L$2989,$B$26)+SUMIFS('1CN8DD'!$K$6:$K$2989,'1CN8DD'!$J$6:$J$2989,"&gt;="&amp;AD7,'1CN8DD'!$J$6:$J$2989,"&lt;="&amp;EOMONTH(AD7,0),'1CN8DD'!$L$6:$L$2989,$B$26)+SUMIFS('1UT9BR'!$K$6:$K$2990,'1UT9BR'!$J$6:$J$2990,"&gt;="&amp;AD7,'1UT9BR'!$J$6:$J$2990,"&lt;="&amp;EOMONTH(AD7,0),'1UT9BR'!$L$6:$L$2990,$B$26)+SUMIFS('1MK4UR'!$K$6:$K$2990,'1MK4UR'!$J$6:$J$2990,"&gt;="&amp;AD7,'1MK4UR'!$J$6:$J$2990,"&lt;="&amp;EOMONTH(AD7,0),'1MK4UR'!$L$6:$L$2990,$B$26)+SUMIFS(#REF!,#REF!,"&gt;="&amp;AD7,#REF!,"&lt;="&amp;EOMONTH(AD7,0),#REF!,$B$26)+SUMIFS('1JI2UE'!$K$6:$K$2989,'1JI2UE'!$J$6:$J$2989,"&gt;="&amp;AD7,'1JI2UE'!$J$6:$J$2989,"&lt;="&amp;EOMONTH(AD7,0),'1JI2UE'!$L$6:$L$2989,$B$26)+SUMIFS(#REF!,#REF!,"&gt;="&amp;AD7,#REF!,"&lt;="&amp;EOMONTH(AD7,0),#REF!,$B$26)+SUMIFS('1SI9BW'!$K$6:$K$2989,'1SI9BW'!$J$6:$J$2989,"&gt;="&amp;AD7,'1SI9BW'!$J$6:$J$2989,"&lt;="&amp;EOMONTH(AD7,0),'1SI9BW'!$L$6:$L$2989,$B$26)+SUMIFS(Suzuki!$K$6:$K$2989,Suzuki!$J$6:$J$2989,"&gt;="&amp;AD7,Suzuki!$J$6:$J$2989,"&lt;="&amp;EOMONTH(AD7,0),Suzuki!$L$6:$L$2989,$B$26)+SUMIFS('1SK3DD'!$K$6:$K$2989,'1SK3DD'!$J$6:$J$2989,"&gt;="&amp;AD7,'1SK3DD'!$J$6:$J$2989,"&lt;="&amp;EOMONTH(AD7,0),'1SK3DD'!$L$6:$L$2989,$B$26)+SUMIFS('1SX5TQ'!$K$6:$K$2989,'1SX5TQ'!$J$6:$J$2989,"&gt;="&amp;AD7,'1SX5TQ'!$J$6:$J$2989,"&lt;="&amp;EOMONTH(AD7,0),'1SX5TQ'!$L$6:$L$2989,$B$26)+SUMIFS('BMM465'!$K$6:$K$2989,'BMM465'!$J$6:$J$2989,"&gt;="&amp;AD7,'BMM465'!$J$6:$J$2989,"&lt;="&amp;EOMONTH(AD7,0),'BMM465'!$L$6:$L$2989,$B$26)+SUMIFS('1CF1ZO'!$K$6:$K$2989,'1CF1ZO'!$J$6:$J$2989,"&gt;="&amp;AD7,'1CF1ZO'!$J$6:$J$2989,"&lt;="&amp;EOMONTH(AD7,0),'1CF1ZO'!$L$6:$L$2989,$B$26)+SUMIFS('1UK1BK'!$K$6:$K$2989,'1UK1BK'!$J$6:$J$2989,"&gt;="&amp;AD7,'1UK1BK'!$J$6:$J$2989,"&lt;="&amp;EOMONTH(AD7,0),'1UK1BK'!$L$6:$L$2989,$B$26)</f>
        <v>#REF!</v>
      </c>
      <c r="AE26" s="110" t="e">
        <f>SUMIFS('CEI565'!$K$6:$K$2990,'CEI565'!$J$6:$J$2990,"&gt;="&amp;AE7,'CEI565'!$J$6:$J$2990,"&lt;="&amp;EOMONTH(AE7,0),'CEI565'!$L$6:$L$2990,$B$26)+SUMIFS('1SM3VL'!$K$6:$K$2990,'1SM3VL'!$J$6:$J$2990,"&gt;="&amp;AE7,'1SM3VL'!$J$6:$J$2990,"&lt;="&amp;EOMONTH(AE7,0),'1SM3VL'!$L$6:$L$2990,$B$26)+SUMIFS('1QF4SM'!$K$6:$K$2989,'1QF4SM'!$J$6:$J$2989,"&gt;="&amp;AE7,'1QF4SM'!$J$6:$J$2989,"&lt;="&amp;EOMONTH(AE7,0),'1QF4SM'!$L$6:$L$2989,$B$26)+SUMIFS('1UV5KI'!$K$6:$K$2989,'1UV5KI'!$J$6:$J$2989,"&gt;="&amp;AE7,'1UV5KI'!$J$6:$J$2989,"&lt;="&amp;EOMONTH(AE7,0),'1UV5KI'!$L$6:$L$2989,$B$26)+SUMIFS(#REF!,#REF!,"&gt;="&amp;AE7,#REF!,"&lt;="&amp;EOMONTH(AE7,0),#REF!,$B$26)+SUMIFS('1UL9RY'!$K$6:$K$2990,'1UL9RY'!$J$6:$J$2990,"&gt;="&amp;AE7,'1UL9RY'!$J$6:$J$2990,"&lt;="&amp;EOMONTH(AE7,0),'1UL9RY'!$L$6:$L$2990,$B$26)+SUMIFS('1OZ7GT'!$K$6:$K$2989,'1OZ7GT'!$J$6:$J$2989,"&gt;="&amp;AE7,'1OZ7GT'!$J$6:$J$2989,"&lt;="&amp;EOMONTH(AE7,0),'1OZ7GT'!$L$6:$L$2989,$B$26)+SUMIFS('1CN8DD'!$K$6:$K$2989,'1CN8DD'!$J$6:$J$2989,"&gt;="&amp;AE7,'1CN8DD'!$J$6:$J$2989,"&lt;="&amp;EOMONTH(AE7,0),'1CN8DD'!$L$6:$L$2989,$B$26)+SUMIFS('1UT9BR'!$K$6:$K$2990,'1UT9BR'!$J$6:$J$2990,"&gt;="&amp;AE7,'1UT9BR'!$J$6:$J$2990,"&lt;="&amp;EOMONTH(AE7,0),'1UT9BR'!$L$6:$L$2990,$B$26)+SUMIFS('1MK4UR'!$K$6:$K$2990,'1MK4UR'!$J$6:$J$2990,"&gt;="&amp;AE7,'1MK4UR'!$J$6:$J$2990,"&lt;="&amp;EOMONTH(AE7,0),'1MK4UR'!$L$6:$L$2990,$B$26)+SUMIFS(#REF!,#REF!,"&gt;="&amp;AE7,#REF!,"&lt;="&amp;EOMONTH(AE7,0),#REF!,$B$26)+SUMIFS('1JI2UE'!$K$6:$K$2989,'1JI2UE'!$J$6:$J$2989,"&gt;="&amp;AE7,'1JI2UE'!$J$6:$J$2989,"&lt;="&amp;EOMONTH(AE7,0),'1JI2UE'!$L$6:$L$2989,$B$26)+SUMIFS(#REF!,#REF!,"&gt;="&amp;AE7,#REF!,"&lt;="&amp;EOMONTH(AE7,0),#REF!,$B$26)+SUMIFS('1SI9BW'!$K$6:$K$2989,'1SI9BW'!$J$6:$J$2989,"&gt;="&amp;AE7,'1SI9BW'!$J$6:$J$2989,"&lt;="&amp;EOMONTH(AE7,0),'1SI9BW'!$L$6:$L$2989,$B$26)+SUMIFS(Suzuki!$K$6:$K$2989,Suzuki!$J$6:$J$2989,"&gt;="&amp;AE7,Suzuki!$J$6:$J$2989,"&lt;="&amp;EOMONTH(AE7,0),Suzuki!$L$6:$L$2989,$B$26)+SUMIFS('1SK3DD'!$K$6:$K$2989,'1SK3DD'!$J$6:$J$2989,"&gt;="&amp;AE7,'1SK3DD'!$J$6:$J$2989,"&lt;="&amp;EOMONTH(AE7,0),'1SK3DD'!$L$6:$L$2989,$B$26)+SUMIFS('1SX5TQ'!$K$6:$K$2989,'1SX5TQ'!$J$6:$J$2989,"&gt;="&amp;AE7,'1SX5TQ'!$J$6:$J$2989,"&lt;="&amp;EOMONTH(AE7,0),'1SX5TQ'!$L$6:$L$2989,$B$26)+SUMIFS('BMM465'!$K$6:$K$2989,'BMM465'!$J$6:$J$2989,"&gt;="&amp;AE7,'BMM465'!$J$6:$J$2989,"&lt;="&amp;EOMONTH(AE7,0),'BMM465'!$L$6:$L$2989,$B$26)+SUMIFS('1CF1ZO'!$K$6:$K$2989,'1CF1ZO'!$J$6:$J$2989,"&gt;="&amp;AE7,'1CF1ZO'!$J$6:$J$2989,"&lt;="&amp;EOMONTH(AE7,0),'1CF1ZO'!$L$6:$L$2989,$B$26)+SUMIFS('1UK1BK'!$K$6:$K$2989,'1UK1BK'!$J$6:$J$2989,"&gt;="&amp;AE7,'1UK1BK'!$J$6:$J$2989,"&lt;="&amp;EOMONTH(AE7,0),'1UK1BK'!$L$6:$L$2989,$B$26)</f>
        <v>#REF!</v>
      </c>
      <c r="AF26" s="110" t="e">
        <f>SUMIFS('CEI565'!$K$6:$K$2990,'CEI565'!$J$6:$J$2990,"&gt;="&amp;AF7,'CEI565'!$J$6:$J$2990,"&lt;="&amp;EOMONTH(AF7,0),'CEI565'!$L$6:$L$2990,$B$26)+SUMIFS('1SM3VL'!$K$6:$K$2990,'1SM3VL'!$J$6:$J$2990,"&gt;="&amp;AF7,'1SM3VL'!$J$6:$J$2990,"&lt;="&amp;EOMONTH(AF7,0),'1SM3VL'!$L$6:$L$2990,$B$26)+SUMIFS('1QF4SM'!$K$6:$K$2989,'1QF4SM'!$J$6:$J$2989,"&gt;="&amp;AF7,'1QF4SM'!$J$6:$J$2989,"&lt;="&amp;EOMONTH(AF7,0),'1QF4SM'!$L$6:$L$2989,$B$26)+SUMIFS('1UV5KI'!$K$6:$K$2989,'1UV5KI'!$J$6:$J$2989,"&gt;="&amp;AF7,'1UV5KI'!$J$6:$J$2989,"&lt;="&amp;EOMONTH(AF7,0),'1UV5KI'!$L$6:$L$2989,$B$26)+SUMIFS(#REF!,#REF!,"&gt;="&amp;AF7,#REF!,"&lt;="&amp;EOMONTH(AF7,0),#REF!,$B$26)+SUMIFS('1UL9RY'!$K$6:$K$2990,'1UL9RY'!$J$6:$J$2990,"&gt;="&amp;AF7,'1UL9RY'!$J$6:$J$2990,"&lt;="&amp;EOMONTH(AF7,0),'1UL9RY'!$L$6:$L$2990,$B$26)+SUMIFS('1OZ7GT'!$K$6:$K$2989,'1OZ7GT'!$J$6:$J$2989,"&gt;="&amp;AF7,'1OZ7GT'!$J$6:$J$2989,"&lt;="&amp;EOMONTH(AF7,0),'1OZ7GT'!$L$6:$L$2989,$B$26)+SUMIFS('1CN8DD'!$K$6:$K$2989,'1CN8DD'!$J$6:$J$2989,"&gt;="&amp;AF7,'1CN8DD'!$J$6:$J$2989,"&lt;="&amp;EOMONTH(AF7,0),'1CN8DD'!$L$6:$L$2989,$B$26)+SUMIFS('1UT9BR'!$K$6:$K$2990,'1UT9BR'!$J$6:$J$2990,"&gt;="&amp;AF7,'1UT9BR'!$J$6:$J$2990,"&lt;="&amp;EOMONTH(AF7,0),'1UT9BR'!$L$6:$L$2990,$B$26)+SUMIFS('1MK4UR'!$K$6:$K$2990,'1MK4UR'!$J$6:$J$2990,"&gt;="&amp;AF7,'1MK4UR'!$J$6:$J$2990,"&lt;="&amp;EOMONTH(AF7,0),'1MK4UR'!$L$6:$L$2990,$B$26)+SUMIFS(#REF!,#REF!,"&gt;="&amp;AF7,#REF!,"&lt;="&amp;EOMONTH(AF7,0),#REF!,$B$26)+SUMIFS('1JI2UE'!$K$6:$K$2989,'1JI2UE'!$J$6:$J$2989,"&gt;="&amp;AF7,'1JI2UE'!$J$6:$J$2989,"&lt;="&amp;EOMONTH(AF7,0),'1JI2UE'!$L$6:$L$2989,$B$26)+SUMIFS(#REF!,#REF!,"&gt;="&amp;AF7,#REF!,"&lt;="&amp;EOMONTH(AF7,0),#REF!,$B$26)+SUMIFS('1SI9BW'!$K$6:$K$2989,'1SI9BW'!$J$6:$J$2989,"&gt;="&amp;AF7,'1SI9BW'!$J$6:$J$2989,"&lt;="&amp;EOMONTH(AF7,0),'1SI9BW'!$L$6:$L$2989,$B$26)+SUMIFS(Suzuki!$K$6:$K$2989,Suzuki!$J$6:$J$2989,"&gt;="&amp;AF7,Suzuki!$J$6:$J$2989,"&lt;="&amp;EOMONTH(AF7,0),Suzuki!$L$6:$L$2989,$B$26)+SUMIFS('1SK3DD'!$K$6:$K$2989,'1SK3DD'!$J$6:$J$2989,"&gt;="&amp;AF7,'1SK3DD'!$J$6:$J$2989,"&lt;="&amp;EOMONTH(AF7,0),'1SK3DD'!$L$6:$L$2989,$B$26)+SUMIFS('1SX5TQ'!$K$6:$K$2989,'1SX5TQ'!$J$6:$J$2989,"&gt;="&amp;AF7,'1SX5TQ'!$J$6:$J$2989,"&lt;="&amp;EOMONTH(AF7,0),'1SX5TQ'!$L$6:$L$2989,$B$26)+SUMIFS('BMM465'!$K$6:$K$2989,'BMM465'!$J$6:$J$2989,"&gt;="&amp;AF7,'BMM465'!$J$6:$J$2989,"&lt;="&amp;EOMONTH(AF7,0),'BMM465'!$L$6:$L$2989,$B$26)+SUMIFS('1CF1ZO'!$K$6:$K$2989,'1CF1ZO'!$J$6:$J$2989,"&gt;="&amp;AF7,'1CF1ZO'!$J$6:$J$2989,"&lt;="&amp;EOMONTH(AF7,0),'1CF1ZO'!$L$6:$L$2989,$B$26)+SUMIFS('1UK1BK'!$K$6:$K$2989,'1UK1BK'!$J$6:$J$2989,"&gt;="&amp;AF7,'1UK1BK'!$J$6:$J$2989,"&lt;="&amp;EOMONTH(AF7,0),'1UK1BK'!$L$6:$L$2989,$B$26)</f>
        <v>#REF!</v>
      </c>
      <c r="AG26" s="110" t="e">
        <f>SUMIFS('CEI565'!$K$6:$K$2990,'CEI565'!$J$6:$J$2990,"&gt;="&amp;AG7,'CEI565'!$J$6:$J$2990,"&lt;="&amp;EOMONTH(AG7,0),'CEI565'!$L$6:$L$2990,$B$26)+SUMIFS('1SM3VL'!$K$6:$K$2990,'1SM3VL'!$J$6:$J$2990,"&gt;="&amp;AG7,'1SM3VL'!$J$6:$J$2990,"&lt;="&amp;EOMONTH(AG7,0),'1SM3VL'!$L$6:$L$2990,$B$26)+SUMIFS('1QF4SM'!$K$6:$K$2989,'1QF4SM'!$J$6:$J$2989,"&gt;="&amp;AG7,'1QF4SM'!$J$6:$J$2989,"&lt;="&amp;EOMONTH(AG7,0),'1QF4SM'!$L$6:$L$2989,$B$26)+SUMIFS('1UV5KI'!$K$6:$K$2989,'1UV5KI'!$J$6:$J$2989,"&gt;="&amp;AG7,'1UV5KI'!$J$6:$J$2989,"&lt;="&amp;EOMONTH(AG7,0),'1UV5KI'!$L$6:$L$2989,$B$26)+SUMIFS(#REF!,#REF!,"&gt;="&amp;AG7,#REF!,"&lt;="&amp;EOMONTH(AG7,0),#REF!,$B$26)+SUMIFS('1UL9RY'!$K$6:$K$2990,'1UL9RY'!$J$6:$J$2990,"&gt;="&amp;AG7,'1UL9RY'!$J$6:$J$2990,"&lt;="&amp;EOMONTH(AG7,0),'1UL9RY'!$L$6:$L$2990,$B$26)+SUMIFS('1OZ7GT'!$K$6:$K$2989,'1OZ7GT'!$J$6:$J$2989,"&gt;="&amp;AG7,'1OZ7GT'!$J$6:$J$2989,"&lt;="&amp;EOMONTH(AG7,0),'1OZ7GT'!$L$6:$L$2989,$B$26)+SUMIFS('1CN8DD'!$K$6:$K$2989,'1CN8DD'!$J$6:$J$2989,"&gt;="&amp;AG7,'1CN8DD'!$J$6:$J$2989,"&lt;="&amp;EOMONTH(AG7,0),'1CN8DD'!$L$6:$L$2989,$B$26)+SUMIFS('1UT9BR'!$K$6:$K$2990,'1UT9BR'!$J$6:$J$2990,"&gt;="&amp;AG7,'1UT9BR'!$J$6:$J$2990,"&lt;="&amp;EOMONTH(AG7,0),'1UT9BR'!$L$6:$L$2990,$B$26)+SUMIFS('1MK4UR'!$K$6:$K$2990,'1MK4UR'!$J$6:$J$2990,"&gt;="&amp;AG7,'1MK4UR'!$J$6:$J$2990,"&lt;="&amp;EOMONTH(AG7,0),'1MK4UR'!$L$6:$L$2990,$B$26)+SUMIFS(#REF!,#REF!,"&gt;="&amp;AG7,#REF!,"&lt;="&amp;EOMONTH(AG7,0),#REF!,$B$26)+SUMIFS('1JI2UE'!$K$6:$K$2989,'1JI2UE'!$J$6:$J$2989,"&gt;="&amp;AG7,'1JI2UE'!$J$6:$J$2989,"&lt;="&amp;EOMONTH(AG7,0),'1JI2UE'!$L$6:$L$2989,$B$26)+SUMIFS(#REF!,#REF!,"&gt;="&amp;AG7,#REF!,"&lt;="&amp;EOMONTH(AG7,0),#REF!,$B$26)+SUMIFS('1SI9BW'!$K$6:$K$2989,'1SI9BW'!$J$6:$J$2989,"&gt;="&amp;AG7,'1SI9BW'!$J$6:$J$2989,"&lt;="&amp;EOMONTH(AG7,0),'1SI9BW'!$L$6:$L$2989,$B$26)+SUMIFS(Suzuki!$K$6:$K$2989,Suzuki!$J$6:$J$2989,"&gt;="&amp;AG7,Suzuki!$J$6:$J$2989,"&lt;="&amp;EOMONTH(AG7,0),Suzuki!$L$6:$L$2989,$B$26)+SUMIFS('1SK3DD'!$K$6:$K$2989,'1SK3DD'!$J$6:$J$2989,"&gt;="&amp;AG7,'1SK3DD'!$J$6:$J$2989,"&lt;="&amp;EOMONTH(AG7,0),'1SK3DD'!$L$6:$L$2989,$B$26)+SUMIFS('1SX5TQ'!$K$6:$K$2989,'1SX5TQ'!$J$6:$J$2989,"&gt;="&amp;AG7,'1SX5TQ'!$J$6:$J$2989,"&lt;="&amp;EOMONTH(AG7,0),'1SX5TQ'!$L$6:$L$2989,$B$26)+SUMIFS('BMM465'!$K$6:$K$2989,'BMM465'!$J$6:$J$2989,"&gt;="&amp;AG7,'BMM465'!$J$6:$J$2989,"&lt;="&amp;EOMONTH(AG7,0),'BMM465'!$L$6:$L$2989,$B$26)+SUMIFS('1CF1ZO'!$K$6:$K$2989,'1CF1ZO'!$J$6:$J$2989,"&gt;="&amp;AG7,'1CF1ZO'!$J$6:$J$2989,"&lt;="&amp;EOMONTH(AG7,0),'1CF1ZO'!$L$6:$L$2989,$B$26)+SUMIFS('1UK1BK'!$K$6:$K$2989,'1UK1BK'!$J$6:$J$2989,"&gt;="&amp;AG7,'1UK1BK'!$J$6:$J$2989,"&lt;="&amp;EOMONTH(AG7,0),'1UK1BK'!$L$6:$L$2989,$B$26)</f>
        <v>#REF!</v>
      </c>
      <c r="AH26" s="110" t="e">
        <f>SUMIFS('CEI565'!$K$6:$K$2990,'CEI565'!$J$6:$J$2990,"&gt;="&amp;AH7,'CEI565'!$J$6:$J$2990,"&lt;="&amp;EOMONTH(AH7,0),'CEI565'!$L$6:$L$2990,$B$26)+SUMIFS('1SM3VL'!$K$6:$K$2990,'1SM3VL'!$J$6:$J$2990,"&gt;="&amp;AH7,'1SM3VL'!$J$6:$J$2990,"&lt;="&amp;EOMONTH(AH7,0),'1SM3VL'!$L$6:$L$2990,$B$26)+SUMIFS('1QF4SM'!$K$6:$K$2989,'1QF4SM'!$J$6:$J$2989,"&gt;="&amp;AH7,'1QF4SM'!$J$6:$J$2989,"&lt;="&amp;EOMONTH(AH7,0),'1QF4SM'!$L$6:$L$2989,$B$26)+SUMIFS('1UV5KI'!$K$6:$K$2989,'1UV5KI'!$J$6:$J$2989,"&gt;="&amp;AH7,'1UV5KI'!$J$6:$J$2989,"&lt;="&amp;EOMONTH(AH7,0),'1UV5KI'!$L$6:$L$2989,$B$26)+SUMIFS(#REF!,#REF!,"&gt;="&amp;AH7,#REF!,"&lt;="&amp;EOMONTH(AH7,0),#REF!,$B$26)+SUMIFS('1UL9RY'!$K$6:$K$2990,'1UL9RY'!$J$6:$J$2990,"&gt;="&amp;AH7,'1UL9RY'!$J$6:$J$2990,"&lt;="&amp;EOMONTH(AH7,0),'1UL9RY'!$L$6:$L$2990,$B$26)+SUMIFS('1OZ7GT'!$K$6:$K$2989,'1OZ7GT'!$J$6:$J$2989,"&gt;="&amp;AH7,'1OZ7GT'!$J$6:$J$2989,"&lt;="&amp;EOMONTH(AH7,0),'1OZ7GT'!$L$6:$L$2989,$B$26)+SUMIFS('1CN8DD'!$K$6:$K$2989,'1CN8DD'!$J$6:$J$2989,"&gt;="&amp;AH7,'1CN8DD'!$J$6:$J$2989,"&lt;="&amp;EOMONTH(AH7,0),'1CN8DD'!$L$6:$L$2989,$B$26)+SUMIFS('1UT9BR'!$K$6:$K$2990,'1UT9BR'!$J$6:$J$2990,"&gt;="&amp;AH7,'1UT9BR'!$J$6:$J$2990,"&lt;="&amp;EOMONTH(AH7,0),'1UT9BR'!$L$6:$L$2990,$B$26)+SUMIFS('1MK4UR'!$K$6:$K$2990,'1MK4UR'!$J$6:$J$2990,"&gt;="&amp;AH7,'1MK4UR'!$J$6:$J$2990,"&lt;="&amp;EOMONTH(AH7,0),'1MK4UR'!$L$6:$L$2990,$B$26)+SUMIFS(#REF!,#REF!,"&gt;="&amp;AH7,#REF!,"&lt;="&amp;EOMONTH(AH7,0),#REF!,$B$26)+SUMIFS('1JI2UE'!$K$6:$K$2989,'1JI2UE'!$J$6:$J$2989,"&gt;="&amp;AH7,'1JI2UE'!$J$6:$J$2989,"&lt;="&amp;EOMONTH(AH7,0),'1JI2UE'!$L$6:$L$2989,$B$26)+SUMIFS(#REF!,#REF!,"&gt;="&amp;AH7,#REF!,"&lt;="&amp;EOMONTH(AH7,0),#REF!,$B$26)+SUMIFS('1SI9BW'!$K$6:$K$2989,'1SI9BW'!$J$6:$J$2989,"&gt;="&amp;AH7,'1SI9BW'!$J$6:$J$2989,"&lt;="&amp;EOMONTH(AH7,0),'1SI9BW'!$L$6:$L$2989,$B$26)+SUMIFS(Suzuki!$K$6:$K$2989,Suzuki!$J$6:$J$2989,"&gt;="&amp;AH7,Suzuki!$J$6:$J$2989,"&lt;="&amp;EOMONTH(AH7,0),Suzuki!$L$6:$L$2989,$B$26)+SUMIFS('1SK3DD'!$K$6:$K$2989,'1SK3DD'!$J$6:$J$2989,"&gt;="&amp;AH7,'1SK3DD'!$J$6:$J$2989,"&lt;="&amp;EOMONTH(AH7,0),'1SK3DD'!$L$6:$L$2989,$B$26)+SUMIFS('1SX5TQ'!$K$6:$K$2989,'1SX5TQ'!$J$6:$J$2989,"&gt;="&amp;AH7,'1SX5TQ'!$J$6:$J$2989,"&lt;="&amp;EOMONTH(AH7,0),'1SX5TQ'!$L$6:$L$2989,$B$26)+SUMIFS('BMM465'!$K$6:$K$2989,'BMM465'!$J$6:$J$2989,"&gt;="&amp;AH7,'BMM465'!$J$6:$J$2989,"&lt;="&amp;EOMONTH(AH7,0),'BMM465'!$L$6:$L$2989,$B$26)+SUMIFS('1CF1ZO'!$K$6:$K$2989,'1CF1ZO'!$J$6:$J$2989,"&gt;="&amp;AH7,'1CF1ZO'!$J$6:$J$2989,"&lt;="&amp;EOMONTH(AH7,0),'1CF1ZO'!$L$6:$L$2989,$B$26)+SUMIFS('1UK1BK'!$K$6:$K$2989,'1UK1BK'!$J$6:$J$2989,"&gt;="&amp;AH7,'1UK1BK'!$J$6:$J$2989,"&lt;="&amp;EOMONTH(AH7,0),'1UK1BK'!$L$6:$L$2989,$B$26)</f>
        <v>#REF!</v>
      </c>
      <c r="AI26" s="110" t="e">
        <f>SUMIFS('CEI565'!$K$6:$K$2990,'CEI565'!$J$6:$J$2990,"&gt;="&amp;AI7,'CEI565'!$J$6:$J$2990,"&lt;="&amp;EOMONTH(AI7,0),'CEI565'!$L$6:$L$2990,$B$26)+SUMIFS('1SM3VL'!$K$6:$K$2990,'1SM3VL'!$J$6:$J$2990,"&gt;="&amp;AI7,'1SM3VL'!$J$6:$J$2990,"&lt;="&amp;EOMONTH(AI7,0),'1SM3VL'!$L$6:$L$2990,$B$26)+SUMIFS('1QF4SM'!$K$6:$K$2989,'1QF4SM'!$J$6:$J$2989,"&gt;="&amp;AI7,'1QF4SM'!$J$6:$J$2989,"&lt;="&amp;EOMONTH(AI7,0),'1QF4SM'!$L$6:$L$2989,$B$26)+SUMIFS('1UV5KI'!$K$6:$K$2989,'1UV5KI'!$J$6:$J$2989,"&gt;="&amp;AI7,'1UV5KI'!$J$6:$J$2989,"&lt;="&amp;EOMONTH(AI7,0),'1UV5KI'!$L$6:$L$2989,$B$26)+SUMIFS(#REF!,#REF!,"&gt;="&amp;AI7,#REF!,"&lt;="&amp;EOMONTH(AI7,0),#REF!,$B$26)+SUMIFS('1UL9RY'!$K$6:$K$2990,'1UL9RY'!$J$6:$J$2990,"&gt;="&amp;AI7,'1UL9RY'!$J$6:$J$2990,"&lt;="&amp;EOMONTH(AI7,0),'1UL9RY'!$L$6:$L$2990,$B$26)+SUMIFS('1OZ7GT'!$K$6:$K$2989,'1OZ7GT'!$J$6:$J$2989,"&gt;="&amp;AI7,'1OZ7GT'!$J$6:$J$2989,"&lt;="&amp;EOMONTH(AI7,0),'1OZ7GT'!$L$6:$L$2989,$B$26)+SUMIFS('1CN8DD'!$K$6:$K$2989,'1CN8DD'!$J$6:$J$2989,"&gt;="&amp;AI7,'1CN8DD'!$J$6:$J$2989,"&lt;="&amp;EOMONTH(AI7,0),'1CN8DD'!$L$6:$L$2989,$B$26)+SUMIFS('1UT9BR'!$K$6:$K$2990,'1UT9BR'!$J$6:$J$2990,"&gt;="&amp;AI7,'1UT9BR'!$J$6:$J$2990,"&lt;="&amp;EOMONTH(AI7,0),'1UT9BR'!$L$6:$L$2990,$B$26)+SUMIFS('1MK4UR'!$K$6:$K$2990,'1MK4UR'!$J$6:$J$2990,"&gt;="&amp;AI7,'1MK4UR'!$J$6:$J$2990,"&lt;="&amp;EOMONTH(AI7,0),'1MK4UR'!$L$6:$L$2990,$B$26)+SUMIFS(#REF!,#REF!,"&gt;="&amp;AI7,#REF!,"&lt;="&amp;EOMONTH(AI7,0),#REF!,$B$26)+SUMIFS('1JI2UE'!$K$6:$K$2989,'1JI2UE'!$J$6:$J$2989,"&gt;="&amp;AI7,'1JI2UE'!$J$6:$J$2989,"&lt;="&amp;EOMONTH(AI7,0),'1JI2UE'!$L$6:$L$2989,$B$26)+SUMIFS(#REF!,#REF!,"&gt;="&amp;AI7,#REF!,"&lt;="&amp;EOMONTH(AI7,0),#REF!,$B$26)+SUMIFS('1SI9BW'!$K$6:$K$2989,'1SI9BW'!$J$6:$J$2989,"&gt;="&amp;AI7,'1SI9BW'!$J$6:$J$2989,"&lt;="&amp;EOMONTH(AI7,0),'1SI9BW'!$L$6:$L$2989,$B$26)+SUMIFS(Suzuki!$K$6:$K$2989,Suzuki!$J$6:$J$2989,"&gt;="&amp;AI7,Suzuki!$J$6:$J$2989,"&lt;="&amp;EOMONTH(AI7,0),Suzuki!$L$6:$L$2989,$B$26)+SUMIFS('1SK3DD'!$K$6:$K$2989,'1SK3DD'!$J$6:$J$2989,"&gt;="&amp;AI7,'1SK3DD'!$J$6:$J$2989,"&lt;="&amp;EOMONTH(AI7,0),'1SK3DD'!$L$6:$L$2989,$B$26)+SUMIFS('1SX5TQ'!$K$6:$K$2989,'1SX5TQ'!$J$6:$J$2989,"&gt;="&amp;AI7,'1SX5TQ'!$J$6:$J$2989,"&lt;="&amp;EOMONTH(AI7,0),'1SX5TQ'!$L$6:$L$2989,$B$26)+SUMIFS('BMM465'!$K$6:$K$2989,'BMM465'!$J$6:$J$2989,"&gt;="&amp;AI7,'BMM465'!$J$6:$J$2989,"&lt;="&amp;EOMONTH(AI7,0),'BMM465'!$L$6:$L$2989,$B$26)+SUMIFS('1CF1ZO'!$K$6:$K$2989,'1CF1ZO'!$J$6:$J$2989,"&gt;="&amp;AI7,'1CF1ZO'!$J$6:$J$2989,"&lt;="&amp;EOMONTH(AI7,0),'1CF1ZO'!$L$6:$L$2989,$B$26)+SUMIFS('1UK1BK'!$K$6:$K$2989,'1UK1BK'!$J$6:$J$2989,"&gt;="&amp;AI7,'1UK1BK'!$J$6:$J$2989,"&lt;="&amp;EOMONTH(AI7,0),'1UK1BK'!$L$6:$L$2989,$B$26)</f>
        <v>#REF!</v>
      </c>
      <c r="AJ26" s="110" t="e">
        <f>SUMIFS('CEI565'!$K$6:$K$2990,'CEI565'!$J$6:$J$2990,"&gt;="&amp;AJ7,'CEI565'!$J$6:$J$2990,"&lt;="&amp;EOMONTH(AJ7,0),'CEI565'!$L$6:$L$2990,$B$26)+SUMIFS('1SM3VL'!$K$6:$K$2990,'1SM3VL'!$J$6:$J$2990,"&gt;="&amp;AJ7,'1SM3VL'!$J$6:$J$2990,"&lt;="&amp;EOMONTH(AJ7,0),'1SM3VL'!$L$6:$L$2990,$B$26)+SUMIFS('1QF4SM'!$K$6:$K$2989,'1QF4SM'!$J$6:$J$2989,"&gt;="&amp;AJ7,'1QF4SM'!$J$6:$J$2989,"&lt;="&amp;EOMONTH(AJ7,0),'1QF4SM'!$L$6:$L$2989,$B$26)+SUMIFS('1UV5KI'!$K$6:$K$2989,'1UV5KI'!$J$6:$J$2989,"&gt;="&amp;AJ7,'1UV5KI'!$J$6:$J$2989,"&lt;="&amp;EOMONTH(AJ7,0),'1UV5KI'!$L$6:$L$2989,$B$26)+SUMIFS(#REF!,#REF!,"&gt;="&amp;AJ7,#REF!,"&lt;="&amp;EOMONTH(AJ7,0),#REF!,$B$26)+SUMIFS('1UL9RY'!$K$6:$K$2990,'1UL9RY'!$J$6:$J$2990,"&gt;="&amp;AJ7,'1UL9RY'!$J$6:$J$2990,"&lt;="&amp;EOMONTH(AJ7,0),'1UL9RY'!$L$6:$L$2990,$B$26)+SUMIFS('1OZ7GT'!$K$6:$K$2989,'1OZ7GT'!$J$6:$J$2989,"&gt;="&amp;AJ7,'1OZ7GT'!$J$6:$J$2989,"&lt;="&amp;EOMONTH(AJ7,0),'1OZ7GT'!$L$6:$L$2989,$B$26)+SUMIFS('1CN8DD'!$K$6:$K$2989,'1CN8DD'!$J$6:$J$2989,"&gt;="&amp;AJ7,'1CN8DD'!$J$6:$J$2989,"&lt;="&amp;EOMONTH(AJ7,0),'1CN8DD'!$L$6:$L$2989,$B$26)+SUMIFS('1UT9BR'!$K$6:$K$2990,'1UT9BR'!$J$6:$J$2990,"&gt;="&amp;AJ7,'1UT9BR'!$J$6:$J$2990,"&lt;="&amp;EOMONTH(AJ7,0),'1UT9BR'!$L$6:$L$2990,$B$26)+SUMIFS('1MK4UR'!$K$6:$K$2990,'1MK4UR'!$J$6:$J$2990,"&gt;="&amp;AJ7,'1MK4UR'!$J$6:$J$2990,"&lt;="&amp;EOMONTH(AJ7,0),'1MK4UR'!$L$6:$L$2990,$B$26)+SUMIFS(#REF!,#REF!,"&gt;="&amp;AJ7,#REF!,"&lt;="&amp;EOMONTH(AJ7,0),#REF!,$B$26)+SUMIFS('1JI2UE'!$K$6:$K$2989,'1JI2UE'!$J$6:$J$2989,"&gt;="&amp;AJ7,'1JI2UE'!$J$6:$J$2989,"&lt;="&amp;EOMONTH(AJ7,0),'1JI2UE'!$L$6:$L$2989,$B$26)+SUMIFS(#REF!,#REF!,"&gt;="&amp;AJ7,#REF!,"&lt;="&amp;EOMONTH(AJ7,0),#REF!,$B$26)+SUMIFS('1SI9BW'!$K$6:$K$2989,'1SI9BW'!$J$6:$J$2989,"&gt;="&amp;AJ7,'1SI9BW'!$J$6:$J$2989,"&lt;="&amp;EOMONTH(AJ7,0),'1SI9BW'!$L$6:$L$2989,$B$26)+SUMIFS(Suzuki!$K$6:$K$2989,Suzuki!$J$6:$J$2989,"&gt;="&amp;AJ7,Suzuki!$J$6:$J$2989,"&lt;="&amp;EOMONTH(AJ7,0),Suzuki!$L$6:$L$2989,$B$26)+SUMIFS('1SK3DD'!$K$6:$K$2989,'1SK3DD'!$J$6:$J$2989,"&gt;="&amp;AJ7,'1SK3DD'!$J$6:$J$2989,"&lt;="&amp;EOMONTH(AJ7,0),'1SK3DD'!$L$6:$L$2989,$B$26)+SUMIFS('1SX5TQ'!$K$6:$K$2989,'1SX5TQ'!$J$6:$J$2989,"&gt;="&amp;AJ7,'1SX5TQ'!$J$6:$J$2989,"&lt;="&amp;EOMONTH(AJ7,0),'1SX5TQ'!$L$6:$L$2989,$B$26)+SUMIFS('BMM465'!$K$6:$K$2989,'BMM465'!$J$6:$J$2989,"&gt;="&amp;AJ7,'BMM465'!$J$6:$J$2989,"&lt;="&amp;EOMONTH(AJ7,0),'BMM465'!$L$6:$L$2989,$B$26)+SUMIFS('1CF1ZO'!$K$6:$K$2989,'1CF1ZO'!$J$6:$J$2989,"&gt;="&amp;AJ7,'1CF1ZO'!$J$6:$J$2989,"&lt;="&amp;EOMONTH(AJ7,0),'1CF1ZO'!$L$6:$L$2989,$B$26)+SUMIFS('1UK1BK'!$K$6:$K$2989,'1UK1BK'!$J$6:$J$2989,"&gt;="&amp;AJ7,'1UK1BK'!$J$6:$J$2989,"&lt;="&amp;EOMONTH(AJ7,0),'1UK1BK'!$L$6:$L$2989,$B$26)</f>
        <v>#REF!</v>
      </c>
      <c r="AK26" s="110" t="e">
        <f>SUMIFS('CEI565'!$K$6:$K$2990,'CEI565'!$J$6:$J$2990,"&gt;="&amp;AK7,'CEI565'!$J$6:$J$2990,"&lt;="&amp;EOMONTH(AK7,0),'CEI565'!$L$6:$L$2990,$B$26)+SUMIFS('1SM3VL'!$K$6:$K$2990,'1SM3VL'!$J$6:$J$2990,"&gt;="&amp;AK7,'1SM3VL'!$J$6:$J$2990,"&lt;="&amp;EOMONTH(AK7,0),'1SM3VL'!$L$6:$L$2990,$B$26)+SUMIFS('1QF4SM'!$K$6:$K$2989,'1QF4SM'!$J$6:$J$2989,"&gt;="&amp;AK7,'1QF4SM'!$J$6:$J$2989,"&lt;="&amp;EOMONTH(AK7,0),'1QF4SM'!$L$6:$L$2989,$B$26)+SUMIFS('1UV5KI'!$K$6:$K$2989,'1UV5KI'!$J$6:$J$2989,"&gt;="&amp;AK7,'1UV5KI'!$J$6:$J$2989,"&lt;="&amp;EOMONTH(AK7,0),'1UV5KI'!$L$6:$L$2989,$B$26)+SUMIFS(#REF!,#REF!,"&gt;="&amp;AK7,#REF!,"&lt;="&amp;EOMONTH(AK7,0),#REF!,$B$26)+SUMIFS('1UL9RY'!$K$6:$K$2990,'1UL9RY'!$J$6:$J$2990,"&gt;="&amp;AK7,'1UL9RY'!$J$6:$J$2990,"&lt;="&amp;EOMONTH(AK7,0),'1UL9RY'!$L$6:$L$2990,$B$26)+SUMIFS('1OZ7GT'!$K$6:$K$2989,'1OZ7GT'!$J$6:$J$2989,"&gt;="&amp;AK7,'1OZ7GT'!$J$6:$J$2989,"&lt;="&amp;EOMONTH(AK7,0),'1OZ7GT'!$L$6:$L$2989,$B$26)+SUMIFS('1CN8DD'!$K$6:$K$2989,'1CN8DD'!$J$6:$J$2989,"&gt;="&amp;AK7,'1CN8DD'!$J$6:$J$2989,"&lt;="&amp;EOMONTH(AK7,0),'1CN8DD'!$L$6:$L$2989,$B$26)+SUMIFS('1UT9BR'!$K$6:$K$2990,'1UT9BR'!$J$6:$J$2990,"&gt;="&amp;AK7,'1UT9BR'!$J$6:$J$2990,"&lt;="&amp;EOMONTH(AK7,0),'1UT9BR'!$L$6:$L$2990,$B$26)+SUMIFS('1MK4UR'!$K$6:$K$2990,'1MK4UR'!$J$6:$J$2990,"&gt;="&amp;AK7,'1MK4UR'!$J$6:$J$2990,"&lt;="&amp;EOMONTH(AK7,0),'1MK4UR'!$L$6:$L$2990,$B$26)+SUMIFS(#REF!,#REF!,"&gt;="&amp;AK7,#REF!,"&lt;="&amp;EOMONTH(AK7,0),#REF!,$B$26)+SUMIFS('1JI2UE'!$K$6:$K$2989,'1JI2UE'!$J$6:$J$2989,"&gt;="&amp;AK7,'1JI2UE'!$J$6:$J$2989,"&lt;="&amp;EOMONTH(AK7,0),'1JI2UE'!$L$6:$L$2989,$B$26)+SUMIFS(#REF!,#REF!,"&gt;="&amp;AK7,#REF!,"&lt;="&amp;EOMONTH(AK7,0),#REF!,$B$26)+SUMIFS('1SI9BW'!$K$6:$K$2989,'1SI9BW'!$J$6:$J$2989,"&gt;="&amp;AK7,'1SI9BW'!$J$6:$J$2989,"&lt;="&amp;EOMONTH(AK7,0),'1SI9BW'!$L$6:$L$2989,$B$26)+SUMIFS(Suzuki!$K$6:$K$2989,Suzuki!$J$6:$J$2989,"&gt;="&amp;AK7,Suzuki!$J$6:$J$2989,"&lt;="&amp;EOMONTH(AK7,0),Suzuki!$L$6:$L$2989,$B$26)+SUMIFS('1SK3DD'!$K$6:$K$2989,'1SK3DD'!$J$6:$J$2989,"&gt;="&amp;AK7,'1SK3DD'!$J$6:$J$2989,"&lt;="&amp;EOMONTH(AK7,0),'1SK3DD'!$L$6:$L$2989,$B$26)+SUMIFS('1SX5TQ'!$K$6:$K$2989,'1SX5TQ'!$J$6:$J$2989,"&gt;="&amp;AK7,'1SX5TQ'!$J$6:$J$2989,"&lt;="&amp;EOMONTH(AK7,0),'1SX5TQ'!$L$6:$L$2989,$B$26)+SUMIFS('BMM465'!$K$6:$K$2989,'BMM465'!$J$6:$J$2989,"&gt;="&amp;AK7,'BMM465'!$J$6:$J$2989,"&lt;="&amp;EOMONTH(AK7,0),'BMM465'!$L$6:$L$2989,$B$26)+SUMIFS('1CF1ZO'!$K$6:$K$2989,'1CF1ZO'!$J$6:$J$2989,"&gt;="&amp;AK7,'1CF1ZO'!$J$6:$J$2989,"&lt;="&amp;EOMONTH(AK7,0),'1CF1ZO'!$L$6:$L$2989,$B$26)+SUMIFS('1UK1BK'!$K$6:$K$2989,'1UK1BK'!$J$6:$J$2989,"&gt;="&amp;AK7,'1UK1BK'!$J$6:$J$2989,"&lt;="&amp;EOMONTH(AK7,0),'1UK1BK'!$L$6:$L$2989,$B$26)</f>
        <v>#REF!</v>
      </c>
      <c r="AL26" s="110" t="e">
        <f>SUMIFS('CEI565'!$K$6:$K$2990,'CEI565'!$J$6:$J$2990,"&gt;="&amp;AL7,'CEI565'!$J$6:$J$2990,"&lt;="&amp;EOMONTH(AL7,0),'CEI565'!$L$6:$L$2990,$B$26)+SUMIFS('1SM3VL'!$K$6:$K$2990,'1SM3VL'!$J$6:$J$2990,"&gt;="&amp;AL7,'1SM3VL'!$J$6:$J$2990,"&lt;="&amp;EOMONTH(AL7,0),'1SM3VL'!$L$6:$L$2990,$B$26)+SUMIFS('1QF4SM'!$K$6:$K$2989,'1QF4SM'!$J$6:$J$2989,"&gt;="&amp;AL7,'1QF4SM'!$J$6:$J$2989,"&lt;="&amp;EOMONTH(AL7,0),'1QF4SM'!$L$6:$L$2989,$B$26)+SUMIFS('1UV5KI'!$K$6:$K$2989,'1UV5KI'!$J$6:$J$2989,"&gt;="&amp;AL7,'1UV5KI'!$J$6:$J$2989,"&lt;="&amp;EOMONTH(AL7,0),'1UV5KI'!$L$6:$L$2989,$B$26)+SUMIFS(#REF!,#REF!,"&gt;="&amp;AL7,#REF!,"&lt;="&amp;EOMONTH(AL7,0),#REF!,$B$26)+SUMIFS('1UL9RY'!$K$6:$K$2990,'1UL9RY'!$J$6:$J$2990,"&gt;="&amp;AL7,'1UL9RY'!$J$6:$J$2990,"&lt;="&amp;EOMONTH(AL7,0),'1UL9RY'!$L$6:$L$2990,$B$26)+SUMIFS('1OZ7GT'!$K$6:$K$2989,'1OZ7GT'!$J$6:$J$2989,"&gt;="&amp;AL7,'1OZ7GT'!$J$6:$J$2989,"&lt;="&amp;EOMONTH(AL7,0),'1OZ7GT'!$L$6:$L$2989,$B$26)+SUMIFS('1CN8DD'!$K$6:$K$2989,'1CN8DD'!$J$6:$J$2989,"&gt;="&amp;AL7,'1CN8DD'!$J$6:$J$2989,"&lt;="&amp;EOMONTH(AL7,0),'1CN8DD'!$L$6:$L$2989,$B$26)+SUMIFS('1UT9BR'!$K$6:$K$2990,'1UT9BR'!$J$6:$J$2990,"&gt;="&amp;AL7,'1UT9BR'!$J$6:$J$2990,"&lt;="&amp;EOMONTH(AL7,0),'1UT9BR'!$L$6:$L$2990,$B$26)+SUMIFS('1MK4UR'!$K$6:$K$2990,'1MK4UR'!$J$6:$J$2990,"&gt;="&amp;AL7,'1MK4UR'!$J$6:$J$2990,"&lt;="&amp;EOMONTH(AL7,0),'1MK4UR'!$L$6:$L$2990,$B$26)+SUMIFS(#REF!,#REF!,"&gt;="&amp;AL7,#REF!,"&lt;="&amp;EOMONTH(AL7,0),#REF!,$B$26)+SUMIFS('1JI2UE'!$K$6:$K$2989,'1JI2UE'!$J$6:$J$2989,"&gt;="&amp;AL7,'1JI2UE'!$J$6:$J$2989,"&lt;="&amp;EOMONTH(AL7,0),'1JI2UE'!$L$6:$L$2989,$B$26)+SUMIFS(#REF!,#REF!,"&gt;="&amp;AL7,#REF!,"&lt;="&amp;EOMONTH(AL7,0),#REF!,$B$26)+SUMIFS('1SI9BW'!$K$6:$K$2989,'1SI9BW'!$J$6:$J$2989,"&gt;="&amp;AL7,'1SI9BW'!$J$6:$J$2989,"&lt;="&amp;EOMONTH(AL7,0),'1SI9BW'!$L$6:$L$2989,$B$26)+SUMIFS(Suzuki!$K$6:$K$2989,Suzuki!$J$6:$J$2989,"&gt;="&amp;AL7,Suzuki!$J$6:$J$2989,"&lt;="&amp;EOMONTH(AL7,0),Suzuki!$L$6:$L$2989,$B$26)+SUMIFS('1SK3DD'!$K$6:$K$2989,'1SK3DD'!$J$6:$J$2989,"&gt;="&amp;AL7,'1SK3DD'!$J$6:$J$2989,"&lt;="&amp;EOMONTH(AL7,0),'1SK3DD'!$L$6:$L$2989,$B$26)+SUMIFS('1SX5TQ'!$K$6:$K$2989,'1SX5TQ'!$J$6:$J$2989,"&gt;="&amp;AL7,'1SX5TQ'!$J$6:$J$2989,"&lt;="&amp;EOMONTH(AL7,0),'1SX5TQ'!$L$6:$L$2989,$B$26)+SUMIFS('BMM465'!$K$6:$K$2989,'BMM465'!$J$6:$J$2989,"&gt;="&amp;AL7,'BMM465'!$J$6:$J$2989,"&lt;="&amp;EOMONTH(AL7,0),'BMM465'!$L$6:$L$2989,$B$26)+SUMIFS('1CF1ZO'!$K$6:$K$2989,'1CF1ZO'!$J$6:$J$2989,"&gt;="&amp;AL7,'1CF1ZO'!$J$6:$J$2989,"&lt;="&amp;EOMONTH(AL7,0),'1CF1ZO'!$L$6:$L$2989,$B$26)+SUMIFS('1UK1BK'!$K$6:$K$2989,'1UK1BK'!$J$6:$J$2989,"&gt;="&amp;AL7,'1UK1BK'!$J$6:$J$2989,"&lt;="&amp;EOMONTH(AL7,0),'1UK1BK'!$L$6:$L$2989,$B$26)</f>
        <v>#REF!</v>
      </c>
      <c r="AM26" s="110" t="e">
        <f>SUMIFS('CEI565'!$K$6:$K$2990,'CEI565'!$J$6:$J$2990,"&gt;="&amp;AM7,'CEI565'!$J$6:$J$2990,"&lt;="&amp;EOMONTH(AM7,0),'CEI565'!$L$6:$L$2990,$B$26)+SUMIFS('1SM3VL'!$K$6:$K$2990,'1SM3VL'!$J$6:$J$2990,"&gt;="&amp;AM7,'1SM3VL'!$J$6:$J$2990,"&lt;="&amp;EOMONTH(AM7,0),'1SM3VL'!$L$6:$L$2990,$B$26)+SUMIFS('1QF4SM'!$K$6:$K$2989,'1QF4SM'!$J$6:$J$2989,"&gt;="&amp;AM7,'1QF4SM'!$J$6:$J$2989,"&lt;="&amp;EOMONTH(AM7,0),'1QF4SM'!$L$6:$L$2989,$B$26)+SUMIFS('1UV5KI'!$K$6:$K$2989,'1UV5KI'!$J$6:$J$2989,"&gt;="&amp;AM7,'1UV5KI'!$J$6:$J$2989,"&lt;="&amp;EOMONTH(AM7,0),'1UV5KI'!$L$6:$L$2989,$B$26)+SUMIFS(#REF!,#REF!,"&gt;="&amp;AM7,#REF!,"&lt;="&amp;EOMONTH(AM7,0),#REF!,$B$26)+SUMIFS('1UL9RY'!$K$6:$K$2990,'1UL9RY'!$J$6:$J$2990,"&gt;="&amp;AM7,'1UL9RY'!$J$6:$J$2990,"&lt;="&amp;EOMONTH(AM7,0),'1UL9RY'!$L$6:$L$2990,$B$26)+SUMIFS('1OZ7GT'!$K$6:$K$2989,'1OZ7GT'!$J$6:$J$2989,"&gt;="&amp;AM7,'1OZ7GT'!$J$6:$J$2989,"&lt;="&amp;EOMONTH(AM7,0),'1OZ7GT'!$L$6:$L$2989,$B$26)+SUMIFS('1CN8DD'!$K$6:$K$2989,'1CN8DD'!$J$6:$J$2989,"&gt;="&amp;AM7,'1CN8DD'!$J$6:$J$2989,"&lt;="&amp;EOMONTH(AM7,0),'1CN8DD'!$L$6:$L$2989,$B$26)+SUMIFS('1UT9BR'!$K$6:$K$2990,'1UT9BR'!$J$6:$J$2990,"&gt;="&amp;AM7,'1UT9BR'!$J$6:$J$2990,"&lt;="&amp;EOMONTH(AM7,0),'1UT9BR'!$L$6:$L$2990,$B$26)+SUMIFS('1MK4UR'!$K$6:$K$2990,'1MK4UR'!$J$6:$J$2990,"&gt;="&amp;AM7,'1MK4UR'!$J$6:$J$2990,"&lt;="&amp;EOMONTH(AM7,0),'1MK4UR'!$L$6:$L$2990,$B$26)+SUMIFS(#REF!,#REF!,"&gt;="&amp;AM7,#REF!,"&lt;="&amp;EOMONTH(AM7,0),#REF!,$B$26)+SUMIFS('1JI2UE'!$K$6:$K$2989,'1JI2UE'!$J$6:$J$2989,"&gt;="&amp;AM7,'1JI2UE'!$J$6:$J$2989,"&lt;="&amp;EOMONTH(AM7,0),'1JI2UE'!$L$6:$L$2989,$B$26)+SUMIFS(#REF!,#REF!,"&gt;="&amp;AM7,#REF!,"&lt;="&amp;EOMONTH(AM7,0),#REF!,$B$26)+SUMIFS('1SI9BW'!$K$6:$K$2989,'1SI9BW'!$J$6:$J$2989,"&gt;="&amp;AM7,'1SI9BW'!$J$6:$J$2989,"&lt;="&amp;EOMONTH(AM7,0),'1SI9BW'!$L$6:$L$2989,$B$26)+SUMIFS(Suzuki!$K$6:$K$2989,Suzuki!$J$6:$J$2989,"&gt;="&amp;AM7,Suzuki!$J$6:$J$2989,"&lt;="&amp;EOMONTH(AM7,0),Suzuki!$L$6:$L$2989,$B$26)+SUMIFS('1SK3DD'!$K$6:$K$2989,'1SK3DD'!$J$6:$J$2989,"&gt;="&amp;AM7,'1SK3DD'!$J$6:$J$2989,"&lt;="&amp;EOMONTH(AM7,0),'1SK3DD'!$L$6:$L$2989,$B$26)+SUMIFS('1SX5TQ'!$K$6:$K$2989,'1SX5TQ'!$J$6:$J$2989,"&gt;="&amp;AM7,'1SX5TQ'!$J$6:$J$2989,"&lt;="&amp;EOMONTH(AM7,0),'1SX5TQ'!$L$6:$L$2989,$B$26)+SUMIFS('BMM465'!$K$6:$K$2989,'BMM465'!$J$6:$J$2989,"&gt;="&amp;AM7,'BMM465'!$J$6:$J$2989,"&lt;="&amp;EOMONTH(AM7,0),'BMM465'!$L$6:$L$2989,$B$26)+SUMIFS('1CF1ZO'!$K$6:$K$2989,'1CF1ZO'!$J$6:$J$2989,"&gt;="&amp;AM7,'1CF1ZO'!$J$6:$J$2989,"&lt;="&amp;EOMONTH(AM7,0),'1CF1ZO'!$L$6:$L$2989,$B$26)+SUMIFS('1UK1BK'!$K$6:$K$2989,'1UK1BK'!$J$6:$J$2989,"&gt;="&amp;AM7,'1UK1BK'!$J$6:$J$2989,"&lt;="&amp;EOMONTH(AM7,0),'1UK1BK'!$L$6:$L$2989,$B$26)</f>
        <v>#REF!</v>
      </c>
      <c r="AN26" s="110" t="e">
        <f>SUMIFS('CEI565'!$K$6:$K$2990,'CEI565'!$J$6:$J$2990,"&gt;="&amp;AN7,'CEI565'!$J$6:$J$2990,"&lt;="&amp;EOMONTH(AN7,0),'CEI565'!$L$6:$L$2990,$B$26)+SUMIFS('1SM3VL'!$K$6:$K$2990,'1SM3VL'!$J$6:$J$2990,"&gt;="&amp;AN7,'1SM3VL'!$J$6:$J$2990,"&lt;="&amp;EOMONTH(AN7,0),'1SM3VL'!$L$6:$L$2990,$B$26)+SUMIFS('1QF4SM'!$K$6:$K$2989,'1QF4SM'!$J$6:$J$2989,"&gt;="&amp;AN7,'1QF4SM'!$J$6:$J$2989,"&lt;="&amp;EOMONTH(AN7,0),'1QF4SM'!$L$6:$L$2989,$B$26)+SUMIFS('1UV5KI'!$K$6:$K$2989,'1UV5KI'!$J$6:$J$2989,"&gt;="&amp;AN7,'1UV5KI'!$J$6:$J$2989,"&lt;="&amp;EOMONTH(AN7,0),'1UV5KI'!$L$6:$L$2989,$B$26)+SUMIFS(#REF!,#REF!,"&gt;="&amp;AN7,#REF!,"&lt;="&amp;EOMONTH(AN7,0),#REF!,$B$26)+SUMIFS('1UL9RY'!$K$6:$K$2990,'1UL9RY'!$J$6:$J$2990,"&gt;="&amp;AN7,'1UL9RY'!$J$6:$J$2990,"&lt;="&amp;EOMONTH(AN7,0),'1UL9RY'!$L$6:$L$2990,$B$26)+SUMIFS('1OZ7GT'!$K$6:$K$2989,'1OZ7GT'!$J$6:$J$2989,"&gt;="&amp;AN7,'1OZ7GT'!$J$6:$J$2989,"&lt;="&amp;EOMONTH(AN7,0),'1OZ7GT'!$L$6:$L$2989,$B$26)+SUMIFS('1CN8DD'!$K$6:$K$2989,'1CN8DD'!$J$6:$J$2989,"&gt;="&amp;AN7,'1CN8DD'!$J$6:$J$2989,"&lt;="&amp;EOMONTH(AN7,0),'1CN8DD'!$L$6:$L$2989,$B$26)+SUMIFS('1UT9BR'!$K$6:$K$2990,'1UT9BR'!$J$6:$J$2990,"&gt;="&amp;AN7,'1UT9BR'!$J$6:$J$2990,"&lt;="&amp;EOMONTH(AN7,0),'1UT9BR'!$L$6:$L$2990,$B$26)+SUMIFS('1MK4UR'!$K$6:$K$2990,'1MK4UR'!$J$6:$J$2990,"&gt;="&amp;AN7,'1MK4UR'!$J$6:$J$2990,"&lt;="&amp;EOMONTH(AN7,0),'1MK4UR'!$L$6:$L$2990,$B$26)+SUMIFS(#REF!,#REF!,"&gt;="&amp;AN7,#REF!,"&lt;="&amp;EOMONTH(AN7,0),#REF!,$B$26)+SUMIFS('1JI2UE'!$K$6:$K$2989,'1JI2UE'!$J$6:$J$2989,"&gt;="&amp;AN7,'1JI2UE'!$J$6:$J$2989,"&lt;="&amp;EOMONTH(AN7,0),'1JI2UE'!$L$6:$L$2989,$B$26)+SUMIFS(#REF!,#REF!,"&gt;="&amp;AN7,#REF!,"&lt;="&amp;EOMONTH(AN7,0),#REF!,$B$26)+SUMIFS('1SI9BW'!$K$6:$K$2989,'1SI9BW'!$J$6:$J$2989,"&gt;="&amp;AN7,'1SI9BW'!$J$6:$J$2989,"&lt;="&amp;EOMONTH(AN7,0),'1SI9BW'!$L$6:$L$2989,$B$26)+SUMIFS(Suzuki!$K$6:$K$2989,Suzuki!$J$6:$J$2989,"&gt;="&amp;AN7,Suzuki!$J$6:$J$2989,"&lt;="&amp;EOMONTH(AN7,0),Suzuki!$L$6:$L$2989,$B$26)+SUMIFS('1SK3DD'!$K$6:$K$2989,'1SK3DD'!$J$6:$J$2989,"&gt;="&amp;AN7,'1SK3DD'!$J$6:$J$2989,"&lt;="&amp;EOMONTH(AN7,0),'1SK3DD'!$L$6:$L$2989,$B$26)+SUMIFS('1SX5TQ'!$K$6:$K$2989,'1SX5TQ'!$J$6:$J$2989,"&gt;="&amp;AN7,'1SX5TQ'!$J$6:$J$2989,"&lt;="&amp;EOMONTH(AN7,0),'1SX5TQ'!$L$6:$L$2989,$B$26)+SUMIFS('BMM465'!$K$6:$K$2989,'BMM465'!$J$6:$J$2989,"&gt;="&amp;AN7,'BMM465'!$J$6:$J$2989,"&lt;="&amp;EOMONTH(AN7,0),'BMM465'!$L$6:$L$2989,$B$26)+SUMIFS('1CF1ZO'!$K$6:$K$2989,'1CF1ZO'!$J$6:$J$2989,"&gt;="&amp;AN7,'1CF1ZO'!$J$6:$J$2989,"&lt;="&amp;EOMONTH(AN7,0),'1CF1ZO'!$L$6:$L$2989,$B$26)+SUMIFS('1UK1BK'!$K$6:$K$2989,'1UK1BK'!$J$6:$J$2989,"&gt;="&amp;AN7,'1UK1BK'!$J$6:$J$2989,"&lt;="&amp;EOMONTH(AN7,0),'1UK1BK'!$L$6:$L$2989,$B$26)</f>
        <v>#REF!</v>
      </c>
      <c r="AO26" s="110" t="e">
        <f>SUMIFS('CEI565'!$K$6:$K$2990,'CEI565'!$J$6:$J$2990,"&gt;="&amp;AO7,'CEI565'!$J$6:$J$2990,"&lt;="&amp;EOMONTH(AO7,0),'CEI565'!$L$6:$L$2990,$B$26)+SUMIFS('1SM3VL'!$K$6:$K$2990,'1SM3VL'!$J$6:$J$2990,"&gt;="&amp;AO7,'1SM3VL'!$J$6:$J$2990,"&lt;="&amp;EOMONTH(AO7,0),'1SM3VL'!$L$6:$L$2990,$B$26)+SUMIFS('1QF4SM'!$K$6:$K$2989,'1QF4SM'!$J$6:$J$2989,"&gt;="&amp;AO7,'1QF4SM'!$J$6:$J$2989,"&lt;="&amp;EOMONTH(AO7,0),'1QF4SM'!$L$6:$L$2989,$B$26)+SUMIFS('1UV5KI'!$K$6:$K$2989,'1UV5KI'!$J$6:$J$2989,"&gt;="&amp;AO7,'1UV5KI'!$J$6:$J$2989,"&lt;="&amp;EOMONTH(AO7,0),'1UV5KI'!$L$6:$L$2989,$B$26)+SUMIFS(#REF!,#REF!,"&gt;="&amp;AO7,#REF!,"&lt;="&amp;EOMONTH(AO7,0),#REF!,$B$26)+SUMIFS('1UL9RY'!$K$6:$K$2990,'1UL9RY'!$J$6:$J$2990,"&gt;="&amp;AO7,'1UL9RY'!$J$6:$J$2990,"&lt;="&amp;EOMONTH(AO7,0),'1UL9RY'!$L$6:$L$2990,$B$26)+SUMIFS('1OZ7GT'!$K$6:$K$2989,'1OZ7GT'!$J$6:$J$2989,"&gt;="&amp;AO7,'1OZ7GT'!$J$6:$J$2989,"&lt;="&amp;EOMONTH(AO7,0),'1OZ7GT'!$L$6:$L$2989,$B$26)+SUMIFS('1CN8DD'!$K$6:$K$2989,'1CN8DD'!$J$6:$J$2989,"&gt;="&amp;AO7,'1CN8DD'!$J$6:$J$2989,"&lt;="&amp;EOMONTH(AO7,0),'1CN8DD'!$L$6:$L$2989,$B$26)+SUMIFS('1UT9BR'!$K$6:$K$2990,'1UT9BR'!$J$6:$J$2990,"&gt;="&amp;AO7,'1UT9BR'!$J$6:$J$2990,"&lt;="&amp;EOMONTH(AO7,0),'1UT9BR'!$L$6:$L$2990,$B$26)+SUMIFS('1MK4UR'!$K$6:$K$2990,'1MK4UR'!$J$6:$J$2990,"&gt;="&amp;AO7,'1MK4UR'!$J$6:$J$2990,"&lt;="&amp;EOMONTH(AO7,0),'1MK4UR'!$L$6:$L$2990,$B$26)+SUMIFS(#REF!,#REF!,"&gt;="&amp;AO7,#REF!,"&lt;="&amp;EOMONTH(AO7,0),#REF!,$B$26)+SUMIFS('1JI2UE'!$K$6:$K$2989,'1JI2UE'!$J$6:$J$2989,"&gt;="&amp;AO7,'1JI2UE'!$J$6:$J$2989,"&lt;="&amp;EOMONTH(AO7,0),'1JI2UE'!$L$6:$L$2989,$B$26)+SUMIFS(#REF!,#REF!,"&gt;="&amp;AO7,#REF!,"&lt;="&amp;EOMONTH(AO7,0),#REF!,$B$26)+SUMIFS('1SI9BW'!$K$6:$K$2989,'1SI9BW'!$J$6:$J$2989,"&gt;="&amp;AO7,'1SI9BW'!$J$6:$J$2989,"&lt;="&amp;EOMONTH(AO7,0),'1SI9BW'!$L$6:$L$2989,$B$26)+SUMIFS(Suzuki!$K$6:$K$2989,Suzuki!$J$6:$J$2989,"&gt;="&amp;AO7,Suzuki!$J$6:$J$2989,"&lt;="&amp;EOMONTH(AO7,0),Suzuki!$L$6:$L$2989,$B$26)+SUMIFS('1SK3DD'!$K$6:$K$2989,'1SK3DD'!$J$6:$J$2989,"&gt;="&amp;AO7,'1SK3DD'!$J$6:$J$2989,"&lt;="&amp;EOMONTH(AO7,0),'1SK3DD'!$L$6:$L$2989,$B$26)+SUMIFS('1SX5TQ'!$K$6:$K$2989,'1SX5TQ'!$J$6:$J$2989,"&gt;="&amp;AO7,'1SX5TQ'!$J$6:$J$2989,"&lt;="&amp;EOMONTH(AO7,0),'1SX5TQ'!$L$6:$L$2989,$B$26)+SUMIFS('BMM465'!$K$6:$K$2989,'BMM465'!$J$6:$J$2989,"&gt;="&amp;AO7,'BMM465'!$J$6:$J$2989,"&lt;="&amp;EOMONTH(AO7,0),'BMM465'!$L$6:$L$2989,$B$26)+SUMIFS('1CF1ZO'!$K$6:$K$2989,'1CF1ZO'!$J$6:$J$2989,"&gt;="&amp;AO7,'1CF1ZO'!$J$6:$J$2989,"&lt;="&amp;EOMONTH(AO7,0),'1CF1ZO'!$L$6:$L$2989,$B$26)+SUMIFS('1UK1BK'!$K$6:$K$2989,'1UK1BK'!$J$6:$J$2989,"&gt;="&amp;AO7,'1UK1BK'!$J$6:$J$2989,"&lt;="&amp;EOMONTH(AO7,0),'1UK1BK'!$L$6:$L$2989,$B$26)</f>
        <v>#REF!</v>
      </c>
      <c r="AP26" s="110" t="e">
        <f>SUMIFS('CEI565'!$K$6:$K$2990,'CEI565'!$J$6:$J$2990,"&gt;="&amp;AP7,'CEI565'!$J$6:$J$2990,"&lt;="&amp;EOMONTH(AP7,0),'CEI565'!$L$6:$L$2990,$B$26)+SUMIFS('1SM3VL'!$K$6:$K$2990,'1SM3VL'!$J$6:$J$2990,"&gt;="&amp;AP7,'1SM3VL'!$J$6:$J$2990,"&lt;="&amp;EOMONTH(AP7,0),'1SM3VL'!$L$6:$L$2990,$B$26)+SUMIFS('1QF4SM'!$K$6:$K$2989,'1QF4SM'!$J$6:$J$2989,"&gt;="&amp;AP7,'1QF4SM'!$J$6:$J$2989,"&lt;="&amp;EOMONTH(AP7,0),'1QF4SM'!$L$6:$L$2989,$B$26)+SUMIFS('1UV5KI'!$K$6:$K$2989,'1UV5KI'!$J$6:$J$2989,"&gt;="&amp;AP7,'1UV5KI'!$J$6:$J$2989,"&lt;="&amp;EOMONTH(AP7,0),'1UV5KI'!$L$6:$L$2989,$B$26)+SUMIFS(#REF!,#REF!,"&gt;="&amp;AP7,#REF!,"&lt;="&amp;EOMONTH(AP7,0),#REF!,$B$26)+SUMIFS('1UL9RY'!$K$6:$K$2990,'1UL9RY'!$J$6:$J$2990,"&gt;="&amp;AP7,'1UL9RY'!$J$6:$J$2990,"&lt;="&amp;EOMONTH(AP7,0),'1UL9RY'!$L$6:$L$2990,$B$26)+SUMIFS('1OZ7GT'!$K$6:$K$2989,'1OZ7GT'!$J$6:$J$2989,"&gt;="&amp;AP7,'1OZ7GT'!$J$6:$J$2989,"&lt;="&amp;EOMONTH(AP7,0),'1OZ7GT'!$L$6:$L$2989,$B$26)+SUMIFS('1CN8DD'!$K$6:$K$2989,'1CN8DD'!$J$6:$J$2989,"&gt;="&amp;AP7,'1CN8DD'!$J$6:$J$2989,"&lt;="&amp;EOMONTH(AP7,0),'1CN8DD'!$L$6:$L$2989,$B$26)+SUMIFS('1UT9BR'!$K$6:$K$2990,'1UT9BR'!$J$6:$J$2990,"&gt;="&amp;AP7,'1UT9BR'!$J$6:$J$2990,"&lt;="&amp;EOMONTH(AP7,0),'1UT9BR'!$L$6:$L$2990,$B$26)+SUMIFS('1MK4UR'!$K$6:$K$2990,'1MK4UR'!$J$6:$J$2990,"&gt;="&amp;AP7,'1MK4UR'!$J$6:$J$2990,"&lt;="&amp;EOMONTH(AP7,0),'1MK4UR'!$L$6:$L$2990,$B$26)+SUMIFS(#REF!,#REF!,"&gt;="&amp;AP7,#REF!,"&lt;="&amp;EOMONTH(AP7,0),#REF!,$B$26)+SUMIFS('1JI2UE'!$K$6:$K$2989,'1JI2UE'!$J$6:$J$2989,"&gt;="&amp;AP7,'1JI2UE'!$J$6:$J$2989,"&lt;="&amp;EOMONTH(AP7,0),'1JI2UE'!$L$6:$L$2989,$B$26)+SUMIFS(#REF!,#REF!,"&gt;="&amp;AP7,#REF!,"&lt;="&amp;EOMONTH(AP7,0),#REF!,$B$26)+SUMIFS('1SI9BW'!$K$6:$K$2989,'1SI9BW'!$J$6:$J$2989,"&gt;="&amp;AP7,'1SI9BW'!$J$6:$J$2989,"&lt;="&amp;EOMONTH(AP7,0),'1SI9BW'!$L$6:$L$2989,$B$26)+SUMIFS(Suzuki!$K$6:$K$2989,Suzuki!$J$6:$J$2989,"&gt;="&amp;AP7,Suzuki!$J$6:$J$2989,"&lt;="&amp;EOMONTH(AP7,0),Suzuki!$L$6:$L$2989,$B$26)+SUMIFS('1SK3DD'!$K$6:$K$2989,'1SK3DD'!$J$6:$J$2989,"&gt;="&amp;AP7,'1SK3DD'!$J$6:$J$2989,"&lt;="&amp;EOMONTH(AP7,0),'1SK3DD'!$L$6:$L$2989,$B$26)+SUMIFS('1SX5TQ'!$K$6:$K$2989,'1SX5TQ'!$J$6:$J$2989,"&gt;="&amp;AP7,'1SX5TQ'!$J$6:$J$2989,"&lt;="&amp;EOMONTH(AP7,0),'1SX5TQ'!$L$6:$L$2989,$B$26)+SUMIFS('BMM465'!$K$6:$K$2989,'BMM465'!$J$6:$J$2989,"&gt;="&amp;AP7,'BMM465'!$J$6:$J$2989,"&lt;="&amp;EOMONTH(AP7,0),'BMM465'!$L$6:$L$2989,$B$26)+SUMIFS('1CF1ZO'!$K$6:$K$2989,'1CF1ZO'!$J$6:$J$2989,"&gt;="&amp;AP7,'1CF1ZO'!$J$6:$J$2989,"&lt;="&amp;EOMONTH(AP7,0),'1CF1ZO'!$L$6:$L$2989,$B$26)+SUMIFS('1UK1BK'!$K$6:$K$2989,'1UK1BK'!$J$6:$J$2989,"&gt;="&amp;AP7,'1UK1BK'!$J$6:$J$2989,"&lt;="&amp;EOMONTH(AP7,0),'1UK1BK'!$L$6:$L$2989,$B$26)</f>
        <v>#REF!</v>
      </c>
      <c r="AQ26" s="110" t="e">
        <f>SUMIFS('CEI565'!$K$6:$K$2990,'CEI565'!$J$6:$J$2990,"&gt;="&amp;AQ7,'CEI565'!$J$6:$J$2990,"&lt;="&amp;EOMONTH(AQ7,0),'CEI565'!$L$6:$L$2990,$B$26)+SUMIFS('1SM3VL'!$K$6:$K$2990,'1SM3VL'!$J$6:$J$2990,"&gt;="&amp;AQ7,'1SM3VL'!$J$6:$J$2990,"&lt;="&amp;EOMONTH(AQ7,0),'1SM3VL'!$L$6:$L$2990,$B$26)+SUMIFS('1QF4SM'!$K$6:$K$2989,'1QF4SM'!$J$6:$J$2989,"&gt;="&amp;AQ7,'1QF4SM'!$J$6:$J$2989,"&lt;="&amp;EOMONTH(AQ7,0),'1QF4SM'!$L$6:$L$2989,$B$26)+SUMIFS('1UV5KI'!$K$6:$K$2989,'1UV5KI'!$J$6:$J$2989,"&gt;="&amp;AQ7,'1UV5KI'!$J$6:$J$2989,"&lt;="&amp;EOMONTH(AQ7,0),'1UV5KI'!$L$6:$L$2989,$B$26)+SUMIFS(#REF!,#REF!,"&gt;="&amp;AQ7,#REF!,"&lt;="&amp;EOMONTH(AQ7,0),#REF!,$B$26)+SUMIFS('1UL9RY'!$K$6:$K$2990,'1UL9RY'!$J$6:$J$2990,"&gt;="&amp;AQ7,'1UL9RY'!$J$6:$J$2990,"&lt;="&amp;EOMONTH(AQ7,0),'1UL9RY'!$L$6:$L$2990,$B$26)+SUMIFS('1OZ7GT'!$K$6:$K$2989,'1OZ7GT'!$J$6:$J$2989,"&gt;="&amp;AQ7,'1OZ7GT'!$J$6:$J$2989,"&lt;="&amp;EOMONTH(AQ7,0),'1OZ7GT'!$L$6:$L$2989,$B$26)+SUMIFS('1CN8DD'!$K$6:$K$2989,'1CN8DD'!$J$6:$J$2989,"&gt;="&amp;AQ7,'1CN8DD'!$J$6:$J$2989,"&lt;="&amp;EOMONTH(AQ7,0),'1CN8DD'!$L$6:$L$2989,$B$26)+SUMIFS('1UT9BR'!$K$6:$K$2990,'1UT9BR'!$J$6:$J$2990,"&gt;="&amp;AQ7,'1UT9BR'!$J$6:$J$2990,"&lt;="&amp;EOMONTH(AQ7,0),'1UT9BR'!$L$6:$L$2990,$B$26)+SUMIFS('1MK4UR'!$K$6:$K$2990,'1MK4UR'!$J$6:$J$2990,"&gt;="&amp;AQ7,'1MK4UR'!$J$6:$J$2990,"&lt;="&amp;EOMONTH(AQ7,0),'1MK4UR'!$L$6:$L$2990,$B$26)+SUMIFS(#REF!,#REF!,"&gt;="&amp;AQ7,#REF!,"&lt;="&amp;EOMONTH(AQ7,0),#REF!,$B$26)+SUMIFS('1JI2UE'!$K$6:$K$2989,'1JI2UE'!$J$6:$J$2989,"&gt;="&amp;AQ7,'1JI2UE'!$J$6:$J$2989,"&lt;="&amp;EOMONTH(AQ7,0),'1JI2UE'!$L$6:$L$2989,$B$26)+SUMIFS(#REF!,#REF!,"&gt;="&amp;AQ7,#REF!,"&lt;="&amp;EOMONTH(AQ7,0),#REF!,$B$26)+SUMIFS('1SI9BW'!$K$6:$K$2989,'1SI9BW'!$J$6:$J$2989,"&gt;="&amp;AQ7,'1SI9BW'!$J$6:$J$2989,"&lt;="&amp;EOMONTH(AQ7,0),'1SI9BW'!$L$6:$L$2989,$B$26)+SUMIFS(Suzuki!$K$6:$K$2989,Suzuki!$J$6:$J$2989,"&gt;="&amp;AQ7,Suzuki!$J$6:$J$2989,"&lt;="&amp;EOMONTH(AQ7,0),Suzuki!$L$6:$L$2989,$B$26)+SUMIFS('1SK3DD'!$K$6:$K$2989,'1SK3DD'!$J$6:$J$2989,"&gt;="&amp;AQ7,'1SK3DD'!$J$6:$J$2989,"&lt;="&amp;EOMONTH(AQ7,0),'1SK3DD'!$L$6:$L$2989,$B$26)+SUMIFS('1SX5TQ'!$K$6:$K$2989,'1SX5TQ'!$J$6:$J$2989,"&gt;="&amp;AQ7,'1SX5TQ'!$J$6:$J$2989,"&lt;="&amp;EOMONTH(AQ7,0),'1SX5TQ'!$L$6:$L$2989,$B$26)+SUMIFS('BMM465'!$K$6:$K$2989,'BMM465'!$J$6:$J$2989,"&gt;="&amp;AQ7,'BMM465'!$J$6:$J$2989,"&lt;="&amp;EOMONTH(AQ7,0),'BMM465'!$L$6:$L$2989,$B$26)+SUMIFS('1CF1ZO'!$K$6:$K$2989,'1CF1ZO'!$J$6:$J$2989,"&gt;="&amp;AQ7,'1CF1ZO'!$J$6:$J$2989,"&lt;="&amp;EOMONTH(AQ7,0),'1CF1ZO'!$L$6:$L$2989,$B$26)+SUMIFS('1UK1BK'!$K$6:$K$2989,'1UK1BK'!$J$6:$J$2989,"&gt;="&amp;AQ7,'1UK1BK'!$J$6:$J$2989,"&lt;="&amp;EOMONTH(AQ7,0),'1UK1BK'!$L$6:$L$2989,$B$26)</f>
        <v>#REF!</v>
      </c>
      <c r="AR26" s="110" t="e">
        <f>SUMIFS('CEI565'!$K$6:$K$2990,'CEI565'!$J$6:$J$2990,"&gt;="&amp;AR7,'CEI565'!$J$6:$J$2990,"&lt;="&amp;EOMONTH(AR7,0),'CEI565'!$L$6:$L$2990,$B$26)+SUMIFS('1SM3VL'!$K$6:$K$2990,'1SM3VL'!$J$6:$J$2990,"&gt;="&amp;AR7,'1SM3VL'!$J$6:$J$2990,"&lt;="&amp;EOMONTH(AR7,0),'1SM3VL'!$L$6:$L$2990,$B$26)+SUMIFS('1QF4SM'!$K$6:$K$2989,'1QF4SM'!$J$6:$J$2989,"&gt;="&amp;AR7,'1QF4SM'!$J$6:$J$2989,"&lt;="&amp;EOMONTH(AR7,0),'1QF4SM'!$L$6:$L$2989,$B$26)+SUMIFS('1UV5KI'!$K$6:$K$2989,'1UV5KI'!$J$6:$J$2989,"&gt;="&amp;AR7,'1UV5KI'!$J$6:$J$2989,"&lt;="&amp;EOMONTH(AR7,0),'1UV5KI'!$L$6:$L$2989,$B$26)+SUMIFS(#REF!,#REF!,"&gt;="&amp;AR7,#REF!,"&lt;="&amp;EOMONTH(AR7,0),#REF!,$B$26)+SUMIFS('1UL9RY'!$K$6:$K$2990,'1UL9RY'!$J$6:$J$2990,"&gt;="&amp;AR7,'1UL9RY'!$J$6:$J$2990,"&lt;="&amp;EOMONTH(AR7,0),'1UL9RY'!$L$6:$L$2990,$B$26)+SUMIFS('1OZ7GT'!$K$6:$K$2989,'1OZ7GT'!$J$6:$J$2989,"&gt;="&amp;AR7,'1OZ7GT'!$J$6:$J$2989,"&lt;="&amp;EOMONTH(AR7,0),'1OZ7GT'!$L$6:$L$2989,$B$26)+SUMIFS('1CN8DD'!$K$6:$K$2989,'1CN8DD'!$J$6:$J$2989,"&gt;="&amp;AR7,'1CN8DD'!$J$6:$J$2989,"&lt;="&amp;EOMONTH(AR7,0),'1CN8DD'!$L$6:$L$2989,$B$26)+SUMIFS('1UT9BR'!$K$6:$K$2990,'1UT9BR'!$J$6:$J$2990,"&gt;="&amp;AR7,'1UT9BR'!$J$6:$J$2990,"&lt;="&amp;EOMONTH(AR7,0),'1UT9BR'!$L$6:$L$2990,$B$26)+SUMIFS('1MK4UR'!$K$6:$K$2990,'1MK4UR'!$J$6:$J$2990,"&gt;="&amp;AR7,'1MK4UR'!$J$6:$J$2990,"&lt;="&amp;EOMONTH(AR7,0),'1MK4UR'!$L$6:$L$2990,$B$26)+SUMIFS(#REF!,#REF!,"&gt;="&amp;AR7,#REF!,"&lt;="&amp;EOMONTH(AR7,0),#REF!,$B$26)+SUMIFS('1JI2UE'!$K$6:$K$2989,'1JI2UE'!$J$6:$J$2989,"&gt;="&amp;AR7,'1JI2UE'!$J$6:$J$2989,"&lt;="&amp;EOMONTH(AR7,0),'1JI2UE'!$L$6:$L$2989,$B$26)+SUMIFS(#REF!,#REF!,"&gt;="&amp;AR7,#REF!,"&lt;="&amp;EOMONTH(AR7,0),#REF!,$B$26)+SUMIFS('1SI9BW'!$K$6:$K$2989,'1SI9BW'!$J$6:$J$2989,"&gt;="&amp;AR7,'1SI9BW'!$J$6:$J$2989,"&lt;="&amp;EOMONTH(AR7,0),'1SI9BW'!$L$6:$L$2989,$B$26)+SUMIFS(Suzuki!$K$6:$K$2989,Suzuki!$J$6:$J$2989,"&gt;="&amp;AR7,Suzuki!$J$6:$J$2989,"&lt;="&amp;EOMONTH(AR7,0),Suzuki!$L$6:$L$2989,$B$26)+SUMIFS('1SK3DD'!$K$6:$K$2989,'1SK3DD'!$J$6:$J$2989,"&gt;="&amp;AR7,'1SK3DD'!$J$6:$J$2989,"&lt;="&amp;EOMONTH(AR7,0),'1SK3DD'!$L$6:$L$2989,$B$26)+SUMIFS('1SX5TQ'!$K$6:$K$2989,'1SX5TQ'!$J$6:$J$2989,"&gt;="&amp;AR7,'1SX5TQ'!$J$6:$J$2989,"&lt;="&amp;EOMONTH(AR7,0),'1SX5TQ'!$L$6:$L$2989,$B$26)+SUMIFS('BMM465'!$K$6:$K$2989,'BMM465'!$J$6:$J$2989,"&gt;="&amp;AR7,'BMM465'!$J$6:$J$2989,"&lt;="&amp;EOMONTH(AR7,0),'BMM465'!$L$6:$L$2989,$B$26)+SUMIFS('1CF1ZO'!$K$6:$K$2989,'1CF1ZO'!$J$6:$J$2989,"&gt;="&amp;AR7,'1CF1ZO'!$J$6:$J$2989,"&lt;="&amp;EOMONTH(AR7,0),'1CF1ZO'!$L$6:$L$2989,$B$26)+SUMIFS('1UK1BK'!$K$6:$K$2989,'1UK1BK'!$J$6:$J$2989,"&gt;="&amp;AR7,'1UK1BK'!$J$6:$J$2989,"&lt;="&amp;EOMONTH(AR7,0),'1UK1BK'!$L$6:$L$2989,$B$26)</f>
        <v>#REF!</v>
      </c>
      <c r="AS26" s="110" t="e">
        <f>SUMIFS('CEI565'!$K$6:$K$2990,'CEI565'!$J$6:$J$2990,"&gt;="&amp;AS7,'CEI565'!$J$6:$J$2990,"&lt;="&amp;EOMONTH(AS7,0),'CEI565'!$L$6:$L$2990,$B$26)+SUMIFS('1SM3VL'!$K$6:$K$2990,'1SM3VL'!$J$6:$J$2990,"&gt;="&amp;AS7,'1SM3VL'!$J$6:$J$2990,"&lt;="&amp;EOMONTH(AS7,0),'1SM3VL'!$L$6:$L$2990,$B$26)+SUMIFS('1QF4SM'!$K$6:$K$2989,'1QF4SM'!$J$6:$J$2989,"&gt;="&amp;AS7,'1QF4SM'!$J$6:$J$2989,"&lt;="&amp;EOMONTH(AS7,0),'1QF4SM'!$L$6:$L$2989,$B$26)+SUMIFS('1UV5KI'!$K$6:$K$2989,'1UV5KI'!$J$6:$J$2989,"&gt;="&amp;AS7,'1UV5KI'!$J$6:$J$2989,"&lt;="&amp;EOMONTH(AS7,0),'1UV5KI'!$L$6:$L$2989,$B$26)+SUMIFS(#REF!,#REF!,"&gt;="&amp;AS7,#REF!,"&lt;="&amp;EOMONTH(AS7,0),#REF!,$B$26)+SUMIFS('1UL9RY'!$K$6:$K$2990,'1UL9RY'!$J$6:$J$2990,"&gt;="&amp;AS7,'1UL9RY'!$J$6:$J$2990,"&lt;="&amp;EOMONTH(AS7,0),'1UL9RY'!$L$6:$L$2990,$B$26)+SUMIFS('1OZ7GT'!$K$6:$K$2989,'1OZ7GT'!$J$6:$J$2989,"&gt;="&amp;AS7,'1OZ7GT'!$J$6:$J$2989,"&lt;="&amp;EOMONTH(AS7,0),'1OZ7GT'!$L$6:$L$2989,$B$26)+SUMIFS('1CN8DD'!$K$6:$K$2989,'1CN8DD'!$J$6:$J$2989,"&gt;="&amp;AS7,'1CN8DD'!$J$6:$J$2989,"&lt;="&amp;EOMONTH(AS7,0),'1CN8DD'!$L$6:$L$2989,$B$26)+SUMIFS('1UT9BR'!$K$6:$K$2990,'1UT9BR'!$J$6:$J$2990,"&gt;="&amp;AS7,'1UT9BR'!$J$6:$J$2990,"&lt;="&amp;EOMONTH(AS7,0),'1UT9BR'!$L$6:$L$2990,$B$26)+SUMIFS('1MK4UR'!$K$6:$K$2990,'1MK4UR'!$J$6:$J$2990,"&gt;="&amp;AS7,'1MK4UR'!$J$6:$J$2990,"&lt;="&amp;EOMONTH(AS7,0),'1MK4UR'!$L$6:$L$2990,$B$26)+SUMIFS(#REF!,#REF!,"&gt;="&amp;AS7,#REF!,"&lt;="&amp;EOMONTH(AS7,0),#REF!,$B$26)+SUMIFS('1JI2UE'!$K$6:$K$2989,'1JI2UE'!$J$6:$J$2989,"&gt;="&amp;AS7,'1JI2UE'!$J$6:$J$2989,"&lt;="&amp;EOMONTH(AS7,0),'1JI2UE'!$L$6:$L$2989,$B$26)+SUMIFS(#REF!,#REF!,"&gt;="&amp;AS7,#REF!,"&lt;="&amp;EOMONTH(AS7,0),#REF!,$B$26)+SUMIFS('1SI9BW'!$K$6:$K$2989,'1SI9BW'!$J$6:$J$2989,"&gt;="&amp;AS7,'1SI9BW'!$J$6:$J$2989,"&lt;="&amp;EOMONTH(AS7,0),'1SI9BW'!$L$6:$L$2989,$B$26)+SUMIFS(Suzuki!$K$6:$K$2989,Suzuki!$J$6:$J$2989,"&gt;="&amp;AS7,Suzuki!$J$6:$J$2989,"&lt;="&amp;EOMONTH(AS7,0),Suzuki!$L$6:$L$2989,$B$26)+SUMIFS('1SK3DD'!$K$6:$K$2989,'1SK3DD'!$J$6:$J$2989,"&gt;="&amp;AS7,'1SK3DD'!$J$6:$J$2989,"&lt;="&amp;EOMONTH(AS7,0),'1SK3DD'!$L$6:$L$2989,$B$26)+SUMIFS('1SX5TQ'!$K$6:$K$2989,'1SX5TQ'!$J$6:$J$2989,"&gt;="&amp;AS7,'1SX5TQ'!$J$6:$J$2989,"&lt;="&amp;EOMONTH(AS7,0),'1SX5TQ'!$L$6:$L$2989,$B$26)+SUMIFS('BMM465'!$K$6:$K$2989,'BMM465'!$J$6:$J$2989,"&gt;="&amp;AS7,'BMM465'!$J$6:$J$2989,"&lt;="&amp;EOMONTH(AS7,0),'BMM465'!$L$6:$L$2989,$B$26)+SUMIFS('1CF1ZO'!$K$6:$K$2989,'1CF1ZO'!$J$6:$J$2989,"&gt;="&amp;AS7,'1CF1ZO'!$J$6:$J$2989,"&lt;="&amp;EOMONTH(AS7,0),'1CF1ZO'!$L$6:$L$2989,$B$26)+SUMIFS('1UK1BK'!$K$6:$K$2989,'1UK1BK'!$J$6:$J$2989,"&gt;="&amp;AS7,'1UK1BK'!$J$6:$J$2989,"&lt;="&amp;EOMONTH(AS7,0),'1UK1BK'!$L$6:$L$2989,$B$26)</f>
        <v>#REF!</v>
      </c>
      <c r="AT26" s="110" t="e">
        <f>SUMIFS('CEI565'!$K$6:$K$2990,'CEI565'!$J$6:$J$2990,"&gt;="&amp;AT7,'CEI565'!$J$6:$J$2990,"&lt;="&amp;EOMONTH(AT7,0),'CEI565'!$L$6:$L$2990,$B$26)+SUMIFS('1SM3VL'!$K$6:$K$2990,'1SM3VL'!$J$6:$J$2990,"&gt;="&amp;AT7,'1SM3VL'!$J$6:$J$2990,"&lt;="&amp;EOMONTH(AT7,0),'1SM3VL'!$L$6:$L$2990,$B$26)+SUMIFS('1QF4SM'!$K$6:$K$2989,'1QF4SM'!$J$6:$J$2989,"&gt;="&amp;AT7,'1QF4SM'!$J$6:$J$2989,"&lt;="&amp;EOMONTH(AT7,0),'1QF4SM'!$L$6:$L$2989,$B$26)+SUMIFS('1UV5KI'!$K$6:$K$2989,'1UV5KI'!$J$6:$J$2989,"&gt;="&amp;AT7,'1UV5KI'!$J$6:$J$2989,"&lt;="&amp;EOMONTH(AT7,0),'1UV5KI'!$L$6:$L$2989,$B$26)+SUMIFS(#REF!,#REF!,"&gt;="&amp;AT7,#REF!,"&lt;="&amp;EOMONTH(AT7,0),#REF!,$B$26)+SUMIFS('1UL9RY'!$K$6:$K$2990,'1UL9RY'!$J$6:$J$2990,"&gt;="&amp;AT7,'1UL9RY'!$J$6:$J$2990,"&lt;="&amp;EOMONTH(AT7,0),'1UL9RY'!$L$6:$L$2990,$B$26)+SUMIFS('1OZ7GT'!$K$6:$K$2989,'1OZ7GT'!$J$6:$J$2989,"&gt;="&amp;AT7,'1OZ7GT'!$J$6:$J$2989,"&lt;="&amp;EOMONTH(AT7,0),'1OZ7GT'!$L$6:$L$2989,$B$26)+SUMIFS('1CN8DD'!$K$6:$K$2989,'1CN8DD'!$J$6:$J$2989,"&gt;="&amp;AT7,'1CN8DD'!$J$6:$J$2989,"&lt;="&amp;EOMONTH(AT7,0),'1CN8DD'!$L$6:$L$2989,$B$26)+SUMIFS('1UT9BR'!$K$6:$K$2990,'1UT9BR'!$J$6:$J$2990,"&gt;="&amp;AT7,'1UT9BR'!$J$6:$J$2990,"&lt;="&amp;EOMONTH(AT7,0),'1UT9BR'!$L$6:$L$2990,$B$26)+SUMIFS('1MK4UR'!$K$6:$K$2990,'1MK4UR'!$J$6:$J$2990,"&gt;="&amp;AT7,'1MK4UR'!$J$6:$J$2990,"&lt;="&amp;EOMONTH(AT7,0),'1MK4UR'!$L$6:$L$2990,$B$26)+SUMIFS(#REF!,#REF!,"&gt;="&amp;AT7,#REF!,"&lt;="&amp;EOMONTH(AT7,0),#REF!,$B$26)+SUMIFS('1JI2UE'!$K$6:$K$2989,'1JI2UE'!$J$6:$J$2989,"&gt;="&amp;AT7,'1JI2UE'!$J$6:$J$2989,"&lt;="&amp;EOMONTH(AT7,0),'1JI2UE'!$L$6:$L$2989,$B$26)+SUMIFS(#REF!,#REF!,"&gt;="&amp;AT7,#REF!,"&lt;="&amp;EOMONTH(AT7,0),#REF!,$B$26)+SUMIFS('1SI9BW'!$K$6:$K$2989,'1SI9BW'!$J$6:$J$2989,"&gt;="&amp;AT7,'1SI9BW'!$J$6:$J$2989,"&lt;="&amp;EOMONTH(AT7,0),'1SI9BW'!$L$6:$L$2989,$B$26)+SUMIFS(Suzuki!$K$6:$K$2989,Suzuki!$J$6:$J$2989,"&gt;="&amp;AT7,Suzuki!$J$6:$J$2989,"&lt;="&amp;EOMONTH(AT7,0),Suzuki!$L$6:$L$2989,$B$26)+SUMIFS('1SK3DD'!$K$6:$K$2989,'1SK3DD'!$J$6:$J$2989,"&gt;="&amp;AT7,'1SK3DD'!$J$6:$J$2989,"&lt;="&amp;EOMONTH(AT7,0),'1SK3DD'!$L$6:$L$2989,$B$26)+SUMIFS('1SX5TQ'!$K$6:$K$2989,'1SX5TQ'!$J$6:$J$2989,"&gt;="&amp;AT7,'1SX5TQ'!$J$6:$J$2989,"&lt;="&amp;EOMONTH(AT7,0),'1SX5TQ'!$L$6:$L$2989,$B$26)+SUMIFS('BMM465'!$K$6:$K$2989,'BMM465'!$J$6:$J$2989,"&gt;="&amp;AT7,'BMM465'!$J$6:$J$2989,"&lt;="&amp;EOMONTH(AT7,0),'BMM465'!$L$6:$L$2989,$B$26)+SUMIFS('1CF1ZO'!$K$6:$K$2989,'1CF1ZO'!$J$6:$J$2989,"&gt;="&amp;AT7,'1CF1ZO'!$J$6:$J$2989,"&lt;="&amp;EOMONTH(AT7,0),'1CF1ZO'!$L$6:$L$2989,$B$26)+SUMIFS('1UK1BK'!$K$6:$K$2989,'1UK1BK'!$J$6:$J$2989,"&gt;="&amp;AT7,'1UK1BK'!$J$6:$J$2989,"&lt;="&amp;EOMONTH(AT7,0),'1UK1BK'!$L$6:$L$2989,$B$26)</f>
        <v>#REF!</v>
      </c>
      <c r="AU26" s="110" t="e">
        <f>SUMIFS('CEI565'!$K$6:$K$2990,'CEI565'!$J$6:$J$2990,"&gt;="&amp;AU7,'CEI565'!$J$6:$J$2990,"&lt;="&amp;EOMONTH(AU7,0),'CEI565'!$L$6:$L$2990,$B$26)+SUMIFS('1SM3VL'!$K$6:$K$2990,'1SM3VL'!$J$6:$J$2990,"&gt;="&amp;AU7,'1SM3VL'!$J$6:$J$2990,"&lt;="&amp;EOMONTH(AU7,0),'1SM3VL'!$L$6:$L$2990,$B$26)+SUMIFS('1QF4SM'!$K$6:$K$2989,'1QF4SM'!$J$6:$J$2989,"&gt;="&amp;AU7,'1QF4SM'!$J$6:$J$2989,"&lt;="&amp;EOMONTH(AU7,0),'1QF4SM'!$L$6:$L$2989,$B$26)+SUMIFS('1UV5KI'!$K$6:$K$2989,'1UV5KI'!$J$6:$J$2989,"&gt;="&amp;AU7,'1UV5KI'!$J$6:$J$2989,"&lt;="&amp;EOMONTH(AU7,0),'1UV5KI'!$L$6:$L$2989,$B$26)+SUMIFS(#REF!,#REF!,"&gt;="&amp;AU7,#REF!,"&lt;="&amp;EOMONTH(AU7,0),#REF!,$B$26)+SUMIFS('1UL9RY'!$K$6:$K$2990,'1UL9RY'!$J$6:$J$2990,"&gt;="&amp;AU7,'1UL9RY'!$J$6:$J$2990,"&lt;="&amp;EOMONTH(AU7,0),'1UL9RY'!$L$6:$L$2990,$B$26)+SUMIFS('1OZ7GT'!$K$6:$K$2989,'1OZ7GT'!$J$6:$J$2989,"&gt;="&amp;AU7,'1OZ7GT'!$J$6:$J$2989,"&lt;="&amp;EOMONTH(AU7,0),'1OZ7GT'!$L$6:$L$2989,$B$26)+SUMIFS('1CN8DD'!$K$6:$K$2989,'1CN8DD'!$J$6:$J$2989,"&gt;="&amp;AU7,'1CN8DD'!$J$6:$J$2989,"&lt;="&amp;EOMONTH(AU7,0),'1CN8DD'!$L$6:$L$2989,$B$26)+SUMIFS('1UT9BR'!$K$6:$K$2990,'1UT9BR'!$J$6:$J$2990,"&gt;="&amp;AU7,'1UT9BR'!$J$6:$J$2990,"&lt;="&amp;EOMONTH(AU7,0),'1UT9BR'!$L$6:$L$2990,$B$26)+SUMIFS('1MK4UR'!$K$6:$K$2990,'1MK4UR'!$J$6:$J$2990,"&gt;="&amp;AU7,'1MK4UR'!$J$6:$J$2990,"&lt;="&amp;EOMONTH(AU7,0),'1MK4UR'!$L$6:$L$2990,$B$26)+SUMIFS(#REF!,#REF!,"&gt;="&amp;AU7,#REF!,"&lt;="&amp;EOMONTH(AU7,0),#REF!,$B$26)+SUMIFS('1JI2UE'!$K$6:$K$2989,'1JI2UE'!$J$6:$J$2989,"&gt;="&amp;AU7,'1JI2UE'!$J$6:$J$2989,"&lt;="&amp;EOMONTH(AU7,0),'1JI2UE'!$L$6:$L$2989,$B$26)+SUMIFS(#REF!,#REF!,"&gt;="&amp;AU7,#REF!,"&lt;="&amp;EOMONTH(AU7,0),#REF!,$B$26)+SUMIFS('1SI9BW'!$K$6:$K$2989,'1SI9BW'!$J$6:$J$2989,"&gt;="&amp;AU7,'1SI9BW'!$J$6:$J$2989,"&lt;="&amp;EOMONTH(AU7,0),'1SI9BW'!$L$6:$L$2989,$B$26)+SUMIFS(Suzuki!$K$6:$K$2989,Suzuki!$J$6:$J$2989,"&gt;="&amp;AU7,Suzuki!$J$6:$J$2989,"&lt;="&amp;EOMONTH(AU7,0),Suzuki!$L$6:$L$2989,$B$26)+SUMIFS('1SK3DD'!$K$6:$K$2989,'1SK3DD'!$J$6:$J$2989,"&gt;="&amp;AU7,'1SK3DD'!$J$6:$J$2989,"&lt;="&amp;EOMONTH(AU7,0),'1SK3DD'!$L$6:$L$2989,$B$26)+SUMIFS('1SX5TQ'!$K$6:$K$2989,'1SX5TQ'!$J$6:$J$2989,"&gt;="&amp;AU7,'1SX5TQ'!$J$6:$J$2989,"&lt;="&amp;EOMONTH(AU7,0),'1SX5TQ'!$L$6:$L$2989,$B$26)+SUMIFS('BMM465'!$K$6:$K$2989,'BMM465'!$J$6:$J$2989,"&gt;="&amp;AU7,'BMM465'!$J$6:$J$2989,"&lt;="&amp;EOMONTH(AU7,0),'BMM465'!$L$6:$L$2989,$B$26)+SUMIFS('1CF1ZO'!$K$6:$K$2989,'1CF1ZO'!$J$6:$J$2989,"&gt;="&amp;AU7,'1CF1ZO'!$J$6:$J$2989,"&lt;="&amp;EOMONTH(AU7,0),'1CF1ZO'!$L$6:$L$2989,$B$26)+SUMIFS('1UK1BK'!$K$6:$K$2989,'1UK1BK'!$J$6:$J$2989,"&gt;="&amp;AU7,'1UK1BK'!$J$6:$J$2989,"&lt;="&amp;EOMONTH(AU7,0),'1UK1BK'!$L$6:$L$2989,$B$26)</f>
        <v>#REF!</v>
      </c>
      <c r="AV26" s="110" t="e">
        <f>SUMIFS('CEI565'!$K$6:$K$2990,'CEI565'!$J$6:$J$2990,"&gt;="&amp;AV7,'CEI565'!$J$6:$J$2990,"&lt;="&amp;EOMONTH(AV7,0),'CEI565'!$L$6:$L$2990,$B$26)+SUMIFS('1SM3VL'!$K$6:$K$2990,'1SM3VL'!$J$6:$J$2990,"&gt;="&amp;AV7,'1SM3VL'!$J$6:$J$2990,"&lt;="&amp;EOMONTH(AV7,0),'1SM3VL'!$L$6:$L$2990,$B$26)+SUMIFS('1QF4SM'!$K$6:$K$2989,'1QF4SM'!$J$6:$J$2989,"&gt;="&amp;AV7,'1QF4SM'!$J$6:$J$2989,"&lt;="&amp;EOMONTH(AV7,0),'1QF4SM'!$L$6:$L$2989,$B$26)+SUMIFS('1UV5KI'!$K$6:$K$2989,'1UV5KI'!$J$6:$J$2989,"&gt;="&amp;AV7,'1UV5KI'!$J$6:$J$2989,"&lt;="&amp;EOMONTH(AV7,0),'1UV5KI'!$L$6:$L$2989,$B$26)+SUMIFS(#REF!,#REF!,"&gt;="&amp;AV7,#REF!,"&lt;="&amp;EOMONTH(AV7,0),#REF!,$B$26)+SUMIFS('1UL9RY'!$K$6:$K$2990,'1UL9RY'!$J$6:$J$2990,"&gt;="&amp;AV7,'1UL9RY'!$J$6:$J$2990,"&lt;="&amp;EOMONTH(AV7,0),'1UL9RY'!$L$6:$L$2990,$B$26)+SUMIFS('1OZ7GT'!$K$6:$K$2989,'1OZ7GT'!$J$6:$J$2989,"&gt;="&amp;AV7,'1OZ7GT'!$J$6:$J$2989,"&lt;="&amp;EOMONTH(AV7,0),'1OZ7GT'!$L$6:$L$2989,$B$26)+SUMIFS('1CN8DD'!$K$6:$K$2989,'1CN8DD'!$J$6:$J$2989,"&gt;="&amp;AV7,'1CN8DD'!$J$6:$J$2989,"&lt;="&amp;EOMONTH(AV7,0),'1CN8DD'!$L$6:$L$2989,$B$26)+SUMIFS('1UT9BR'!$K$6:$K$2990,'1UT9BR'!$J$6:$J$2990,"&gt;="&amp;AV7,'1UT9BR'!$J$6:$J$2990,"&lt;="&amp;EOMONTH(AV7,0),'1UT9BR'!$L$6:$L$2990,$B$26)+SUMIFS('1MK4UR'!$K$6:$K$2990,'1MK4UR'!$J$6:$J$2990,"&gt;="&amp;AV7,'1MK4UR'!$J$6:$J$2990,"&lt;="&amp;EOMONTH(AV7,0),'1MK4UR'!$L$6:$L$2990,$B$26)+SUMIFS(#REF!,#REF!,"&gt;="&amp;AV7,#REF!,"&lt;="&amp;EOMONTH(AV7,0),#REF!,$B$26)+SUMIFS('1JI2UE'!$K$6:$K$2989,'1JI2UE'!$J$6:$J$2989,"&gt;="&amp;AV7,'1JI2UE'!$J$6:$J$2989,"&lt;="&amp;EOMONTH(AV7,0),'1JI2UE'!$L$6:$L$2989,$B$26)+SUMIFS(#REF!,#REF!,"&gt;="&amp;AV7,#REF!,"&lt;="&amp;EOMONTH(AV7,0),#REF!,$B$26)+SUMIFS('1SI9BW'!$K$6:$K$2989,'1SI9BW'!$J$6:$J$2989,"&gt;="&amp;AV7,'1SI9BW'!$J$6:$J$2989,"&lt;="&amp;EOMONTH(AV7,0),'1SI9BW'!$L$6:$L$2989,$B$26)+SUMIFS(Suzuki!$K$6:$K$2989,Suzuki!$J$6:$J$2989,"&gt;="&amp;AV7,Suzuki!$J$6:$J$2989,"&lt;="&amp;EOMONTH(AV7,0),Suzuki!$L$6:$L$2989,$B$26)+SUMIFS('1SK3DD'!$K$6:$K$2989,'1SK3DD'!$J$6:$J$2989,"&gt;="&amp;AV7,'1SK3DD'!$J$6:$J$2989,"&lt;="&amp;EOMONTH(AV7,0),'1SK3DD'!$L$6:$L$2989,$B$26)+SUMIFS('1SX5TQ'!$K$6:$K$2989,'1SX5TQ'!$J$6:$J$2989,"&gt;="&amp;AV7,'1SX5TQ'!$J$6:$J$2989,"&lt;="&amp;EOMONTH(AV7,0),'1SX5TQ'!$L$6:$L$2989,$B$26)+SUMIFS('BMM465'!$K$6:$K$2989,'BMM465'!$J$6:$J$2989,"&gt;="&amp;AV7,'BMM465'!$J$6:$J$2989,"&lt;="&amp;EOMONTH(AV7,0),'BMM465'!$L$6:$L$2989,$B$26)+SUMIFS('1CF1ZO'!$K$6:$K$2989,'1CF1ZO'!$J$6:$J$2989,"&gt;="&amp;AV7,'1CF1ZO'!$J$6:$J$2989,"&lt;="&amp;EOMONTH(AV7,0),'1CF1ZO'!$L$6:$L$2989,$B$26)+SUMIFS('1UK1BK'!$K$6:$K$2989,'1UK1BK'!$J$6:$J$2989,"&gt;="&amp;AV7,'1UK1BK'!$J$6:$J$2989,"&lt;="&amp;EOMONTH(AV7,0),'1UK1BK'!$L$6:$L$2989,$B$26)</f>
        <v>#REF!</v>
      </c>
      <c r="AW26" s="110" t="e">
        <f>SUMIFS('CEI565'!$K$6:$K$2990,'CEI565'!$J$6:$J$2990,"&gt;="&amp;AW7,'CEI565'!$J$6:$J$2990,"&lt;="&amp;EOMONTH(AW7,0),'CEI565'!$L$6:$L$2990,$B$26)+SUMIFS('1SM3VL'!$K$6:$K$2990,'1SM3VL'!$J$6:$J$2990,"&gt;="&amp;AW7,'1SM3VL'!$J$6:$J$2990,"&lt;="&amp;EOMONTH(AW7,0),'1SM3VL'!$L$6:$L$2990,$B$26)+SUMIFS('1QF4SM'!$K$6:$K$2989,'1QF4SM'!$J$6:$J$2989,"&gt;="&amp;AW7,'1QF4SM'!$J$6:$J$2989,"&lt;="&amp;EOMONTH(AW7,0),'1QF4SM'!$L$6:$L$2989,$B$26)+SUMIFS('1UV5KI'!$K$6:$K$2989,'1UV5KI'!$J$6:$J$2989,"&gt;="&amp;AW7,'1UV5KI'!$J$6:$J$2989,"&lt;="&amp;EOMONTH(AW7,0),'1UV5KI'!$L$6:$L$2989,$B$26)+SUMIFS(#REF!,#REF!,"&gt;="&amp;AW7,#REF!,"&lt;="&amp;EOMONTH(AW7,0),#REF!,$B$26)+SUMIFS('1UL9RY'!$K$6:$K$2990,'1UL9RY'!$J$6:$J$2990,"&gt;="&amp;AW7,'1UL9RY'!$J$6:$J$2990,"&lt;="&amp;EOMONTH(AW7,0),'1UL9RY'!$L$6:$L$2990,$B$26)+SUMIFS('1OZ7GT'!$K$6:$K$2989,'1OZ7GT'!$J$6:$J$2989,"&gt;="&amp;AW7,'1OZ7GT'!$J$6:$J$2989,"&lt;="&amp;EOMONTH(AW7,0),'1OZ7GT'!$L$6:$L$2989,$B$26)+SUMIFS('1CN8DD'!$K$6:$K$2989,'1CN8DD'!$J$6:$J$2989,"&gt;="&amp;AW7,'1CN8DD'!$J$6:$J$2989,"&lt;="&amp;EOMONTH(AW7,0),'1CN8DD'!$L$6:$L$2989,$B$26)+SUMIFS('1UT9BR'!$K$6:$K$2990,'1UT9BR'!$J$6:$J$2990,"&gt;="&amp;AW7,'1UT9BR'!$J$6:$J$2990,"&lt;="&amp;EOMONTH(AW7,0),'1UT9BR'!$L$6:$L$2990,$B$26)+SUMIFS('1MK4UR'!$K$6:$K$2990,'1MK4UR'!$J$6:$J$2990,"&gt;="&amp;AW7,'1MK4UR'!$J$6:$J$2990,"&lt;="&amp;EOMONTH(AW7,0),'1MK4UR'!$L$6:$L$2990,$B$26)+SUMIFS(#REF!,#REF!,"&gt;="&amp;AW7,#REF!,"&lt;="&amp;EOMONTH(AW7,0),#REF!,$B$26)+SUMIFS('1JI2UE'!$K$6:$K$2989,'1JI2UE'!$J$6:$J$2989,"&gt;="&amp;AW7,'1JI2UE'!$J$6:$J$2989,"&lt;="&amp;EOMONTH(AW7,0),'1JI2UE'!$L$6:$L$2989,$B$26)+SUMIFS(#REF!,#REF!,"&gt;="&amp;AW7,#REF!,"&lt;="&amp;EOMONTH(AW7,0),#REF!,$B$26)+SUMIFS('1SI9BW'!$K$6:$K$2989,'1SI9BW'!$J$6:$J$2989,"&gt;="&amp;AW7,'1SI9BW'!$J$6:$J$2989,"&lt;="&amp;EOMONTH(AW7,0),'1SI9BW'!$L$6:$L$2989,$B$26)+SUMIFS(Suzuki!$K$6:$K$2989,Suzuki!$J$6:$J$2989,"&gt;="&amp;AW7,Suzuki!$J$6:$J$2989,"&lt;="&amp;EOMONTH(AW7,0),Suzuki!$L$6:$L$2989,$B$26)+SUMIFS('1SK3DD'!$K$6:$K$2989,'1SK3DD'!$J$6:$J$2989,"&gt;="&amp;AW7,'1SK3DD'!$J$6:$J$2989,"&lt;="&amp;EOMONTH(AW7,0),'1SK3DD'!$L$6:$L$2989,$B$26)+SUMIFS('1SX5TQ'!$K$6:$K$2989,'1SX5TQ'!$J$6:$J$2989,"&gt;="&amp;AW7,'1SX5TQ'!$J$6:$J$2989,"&lt;="&amp;EOMONTH(AW7,0),'1SX5TQ'!$L$6:$L$2989,$B$26)+SUMIFS('BMM465'!$K$6:$K$2989,'BMM465'!$J$6:$J$2989,"&gt;="&amp;AW7,'BMM465'!$J$6:$J$2989,"&lt;="&amp;EOMONTH(AW7,0),'BMM465'!$L$6:$L$2989,$B$26)+SUMIFS('1CF1ZO'!$K$6:$K$2989,'1CF1ZO'!$J$6:$J$2989,"&gt;="&amp;AW7,'1CF1ZO'!$J$6:$J$2989,"&lt;="&amp;EOMONTH(AW7,0),'1CF1ZO'!$L$6:$L$2989,$B$26)+SUMIFS('1UK1BK'!$K$6:$K$2989,'1UK1BK'!$J$6:$J$2989,"&gt;="&amp;AW7,'1UK1BK'!$J$6:$J$2989,"&lt;="&amp;EOMONTH(AW7,0),'1UK1BK'!$L$6:$L$2989,$B$26)</f>
        <v>#REF!</v>
      </c>
      <c r="AX26" s="110" t="e">
        <f>SUMIFS('CEI565'!$K$6:$K$2990,'CEI565'!$J$6:$J$2990,"&gt;="&amp;AX7,'CEI565'!$J$6:$J$2990,"&lt;="&amp;EOMONTH(AX7,0),'CEI565'!$L$6:$L$2990,$B$26)+SUMIFS('1SM3VL'!$K$6:$K$2990,'1SM3VL'!$J$6:$J$2990,"&gt;="&amp;AX7,'1SM3VL'!$J$6:$J$2990,"&lt;="&amp;EOMONTH(AX7,0),'1SM3VL'!$L$6:$L$2990,$B$26)+SUMIFS('1QF4SM'!$K$6:$K$2989,'1QF4SM'!$J$6:$J$2989,"&gt;="&amp;AX7,'1QF4SM'!$J$6:$J$2989,"&lt;="&amp;EOMONTH(AX7,0),'1QF4SM'!$L$6:$L$2989,$B$26)+SUMIFS('1UV5KI'!$K$6:$K$2989,'1UV5KI'!$J$6:$J$2989,"&gt;="&amp;AX7,'1UV5KI'!$J$6:$J$2989,"&lt;="&amp;EOMONTH(AX7,0),'1UV5KI'!$L$6:$L$2989,$B$26)+SUMIFS(#REF!,#REF!,"&gt;="&amp;AX7,#REF!,"&lt;="&amp;EOMONTH(AX7,0),#REF!,$B$26)+SUMIFS('1UL9RY'!$K$6:$K$2990,'1UL9RY'!$J$6:$J$2990,"&gt;="&amp;AX7,'1UL9RY'!$J$6:$J$2990,"&lt;="&amp;EOMONTH(AX7,0),'1UL9RY'!$L$6:$L$2990,$B$26)+SUMIFS('1OZ7GT'!$K$6:$K$2989,'1OZ7GT'!$J$6:$J$2989,"&gt;="&amp;AX7,'1OZ7GT'!$J$6:$J$2989,"&lt;="&amp;EOMONTH(AX7,0),'1OZ7GT'!$L$6:$L$2989,$B$26)+SUMIFS('1CN8DD'!$K$6:$K$2989,'1CN8DD'!$J$6:$J$2989,"&gt;="&amp;AX7,'1CN8DD'!$J$6:$J$2989,"&lt;="&amp;EOMONTH(AX7,0),'1CN8DD'!$L$6:$L$2989,$B$26)+SUMIFS('1UT9BR'!$K$6:$K$2990,'1UT9BR'!$J$6:$J$2990,"&gt;="&amp;AX7,'1UT9BR'!$J$6:$J$2990,"&lt;="&amp;EOMONTH(AX7,0),'1UT9BR'!$L$6:$L$2990,$B$26)+SUMIFS('1MK4UR'!$K$6:$K$2990,'1MK4UR'!$J$6:$J$2990,"&gt;="&amp;AX7,'1MK4UR'!$J$6:$J$2990,"&lt;="&amp;EOMONTH(AX7,0),'1MK4UR'!$L$6:$L$2990,$B$26)+SUMIFS(#REF!,#REF!,"&gt;="&amp;AX7,#REF!,"&lt;="&amp;EOMONTH(AX7,0),#REF!,$B$26)+SUMIFS('1JI2UE'!$K$6:$K$2989,'1JI2UE'!$J$6:$J$2989,"&gt;="&amp;AX7,'1JI2UE'!$J$6:$J$2989,"&lt;="&amp;EOMONTH(AX7,0),'1JI2UE'!$L$6:$L$2989,$B$26)+SUMIFS(#REF!,#REF!,"&gt;="&amp;AX7,#REF!,"&lt;="&amp;EOMONTH(AX7,0),#REF!,$B$26)+SUMIFS('1SI9BW'!$K$6:$K$2989,'1SI9BW'!$J$6:$J$2989,"&gt;="&amp;AX7,'1SI9BW'!$J$6:$J$2989,"&lt;="&amp;EOMONTH(AX7,0),'1SI9BW'!$L$6:$L$2989,$B$26)+SUMIFS(Suzuki!$K$6:$K$2989,Suzuki!$J$6:$J$2989,"&gt;="&amp;AX7,Suzuki!$J$6:$J$2989,"&lt;="&amp;EOMONTH(AX7,0),Suzuki!$L$6:$L$2989,$B$26)+SUMIFS('1SK3DD'!$K$6:$K$2989,'1SK3DD'!$J$6:$J$2989,"&gt;="&amp;AX7,'1SK3DD'!$J$6:$J$2989,"&lt;="&amp;EOMONTH(AX7,0),'1SK3DD'!$L$6:$L$2989,$B$26)+SUMIFS('1SX5TQ'!$K$6:$K$2989,'1SX5TQ'!$J$6:$J$2989,"&gt;="&amp;AX7,'1SX5TQ'!$J$6:$J$2989,"&lt;="&amp;EOMONTH(AX7,0),'1SX5TQ'!$L$6:$L$2989,$B$26)+SUMIFS('BMM465'!$K$6:$K$2989,'BMM465'!$J$6:$J$2989,"&gt;="&amp;AX7,'BMM465'!$J$6:$J$2989,"&lt;="&amp;EOMONTH(AX7,0),'BMM465'!$L$6:$L$2989,$B$26)+SUMIFS('1CF1ZO'!$K$6:$K$2989,'1CF1ZO'!$J$6:$J$2989,"&gt;="&amp;AX7,'1CF1ZO'!$J$6:$J$2989,"&lt;="&amp;EOMONTH(AX7,0),'1CF1ZO'!$L$6:$L$2989,$B$26)+SUMIFS('1UK1BK'!$K$6:$K$2989,'1UK1BK'!$J$6:$J$2989,"&gt;="&amp;AX7,'1UK1BK'!$J$6:$J$2989,"&lt;="&amp;EOMONTH(AX7,0),'1UK1BK'!$L$6:$L$2989,$B$26)</f>
        <v>#REF!</v>
      </c>
      <c r="AY26" s="110" t="e">
        <f>SUMIFS('CEI565'!$K$6:$K$2990,'CEI565'!$J$6:$J$2990,"&gt;="&amp;AY7,'CEI565'!$J$6:$J$2990,"&lt;="&amp;EOMONTH(AY7,0),'CEI565'!$L$6:$L$2990,$B$26)+SUMIFS('1SM3VL'!$K$6:$K$2990,'1SM3VL'!$J$6:$J$2990,"&gt;="&amp;AY7,'1SM3VL'!$J$6:$J$2990,"&lt;="&amp;EOMONTH(AY7,0),'1SM3VL'!$L$6:$L$2990,$B$26)+SUMIFS('1QF4SM'!$K$6:$K$2989,'1QF4SM'!$J$6:$J$2989,"&gt;="&amp;AY7,'1QF4SM'!$J$6:$J$2989,"&lt;="&amp;EOMONTH(AY7,0),'1QF4SM'!$L$6:$L$2989,$B$26)+SUMIFS('1UV5KI'!$K$6:$K$2989,'1UV5KI'!$J$6:$J$2989,"&gt;="&amp;AY7,'1UV5KI'!$J$6:$J$2989,"&lt;="&amp;EOMONTH(AY7,0),'1UV5KI'!$L$6:$L$2989,$B$26)+SUMIFS(#REF!,#REF!,"&gt;="&amp;AY7,#REF!,"&lt;="&amp;EOMONTH(AY7,0),#REF!,$B$26)+SUMIFS('1UL9RY'!$K$6:$K$2990,'1UL9RY'!$J$6:$J$2990,"&gt;="&amp;AY7,'1UL9RY'!$J$6:$J$2990,"&lt;="&amp;EOMONTH(AY7,0),'1UL9RY'!$L$6:$L$2990,$B$26)+SUMIFS('1OZ7GT'!$K$6:$K$2989,'1OZ7GT'!$J$6:$J$2989,"&gt;="&amp;AY7,'1OZ7GT'!$J$6:$J$2989,"&lt;="&amp;EOMONTH(AY7,0),'1OZ7GT'!$L$6:$L$2989,$B$26)+SUMIFS('1CN8DD'!$K$6:$K$2989,'1CN8DD'!$J$6:$J$2989,"&gt;="&amp;AY7,'1CN8DD'!$J$6:$J$2989,"&lt;="&amp;EOMONTH(AY7,0),'1CN8DD'!$L$6:$L$2989,$B$26)+SUMIFS('1UT9BR'!$K$6:$K$2990,'1UT9BR'!$J$6:$J$2990,"&gt;="&amp;AY7,'1UT9BR'!$J$6:$J$2990,"&lt;="&amp;EOMONTH(AY7,0),'1UT9BR'!$L$6:$L$2990,$B$26)+SUMIFS('1MK4UR'!$K$6:$K$2990,'1MK4UR'!$J$6:$J$2990,"&gt;="&amp;AY7,'1MK4UR'!$J$6:$J$2990,"&lt;="&amp;EOMONTH(AY7,0),'1MK4UR'!$L$6:$L$2990,$B$26)+SUMIFS(#REF!,#REF!,"&gt;="&amp;AY7,#REF!,"&lt;="&amp;EOMONTH(AY7,0),#REF!,$B$26)+SUMIFS('1JI2UE'!$K$6:$K$2989,'1JI2UE'!$J$6:$J$2989,"&gt;="&amp;AY7,'1JI2UE'!$J$6:$J$2989,"&lt;="&amp;EOMONTH(AY7,0),'1JI2UE'!$L$6:$L$2989,$B$26)+SUMIFS(#REF!,#REF!,"&gt;="&amp;AY7,#REF!,"&lt;="&amp;EOMONTH(AY7,0),#REF!,$B$26)+SUMIFS('1SI9BW'!$K$6:$K$2989,'1SI9BW'!$J$6:$J$2989,"&gt;="&amp;AY7,'1SI9BW'!$J$6:$J$2989,"&lt;="&amp;EOMONTH(AY7,0),'1SI9BW'!$L$6:$L$2989,$B$26)+SUMIFS(Suzuki!$K$6:$K$2989,Suzuki!$J$6:$J$2989,"&gt;="&amp;AY7,Suzuki!$J$6:$J$2989,"&lt;="&amp;EOMONTH(AY7,0),Suzuki!$L$6:$L$2989,$B$26)+SUMIFS('1SK3DD'!$K$6:$K$2989,'1SK3DD'!$J$6:$J$2989,"&gt;="&amp;AY7,'1SK3DD'!$J$6:$J$2989,"&lt;="&amp;EOMONTH(AY7,0),'1SK3DD'!$L$6:$L$2989,$B$26)+SUMIFS('1SX5TQ'!$K$6:$K$2989,'1SX5TQ'!$J$6:$J$2989,"&gt;="&amp;AY7,'1SX5TQ'!$J$6:$J$2989,"&lt;="&amp;EOMONTH(AY7,0),'1SX5TQ'!$L$6:$L$2989,$B$26)+SUMIFS('BMM465'!$K$6:$K$2989,'BMM465'!$J$6:$J$2989,"&gt;="&amp;AY7,'BMM465'!$J$6:$J$2989,"&lt;="&amp;EOMONTH(AY7,0),'BMM465'!$L$6:$L$2989,$B$26)+SUMIFS('1CF1ZO'!$K$6:$K$2989,'1CF1ZO'!$J$6:$J$2989,"&gt;="&amp;AY7,'1CF1ZO'!$J$6:$J$2989,"&lt;="&amp;EOMONTH(AY7,0),'1CF1ZO'!$L$6:$L$2989,$B$26)+SUMIFS('1UK1BK'!$K$6:$K$2989,'1UK1BK'!$J$6:$J$2989,"&gt;="&amp;AY7,'1UK1BK'!$J$6:$J$2989,"&lt;="&amp;EOMONTH(AY7,0),'1UK1BK'!$L$6:$L$2989,$B$26)</f>
        <v>#REF!</v>
      </c>
      <c r="AZ26" s="110" t="e">
        <f>SUMIFS('CEI565'!$K$6:$K$2990,'CEI565'!$J$6:$J$2990,"&gt;="&amp;AZ7,'CEI565'!$J$6:$J$2990,"&lt;="&amp;EOMONTH(AZ7,0),'CEI565'!$L$6:$L$2990,$B$26)+SUMIFS('1SM3VL'!$K$6:$K$2990,'1SM3VL'!$J$6:$J$2990,"&gt;="&amp;AZ7,'1SM3VL'!$J$6:$J$2990,"&lt;="&amp;EOMONTH(AZ7,0),'1SM3VL'!$L$6:$L$2990,$B$26)+SUMIFS('1QF4SM'!$K$6:$K$2989,'1QF4SM'!$J$6:$J$2989,"&gt;="&amp;AZ7,'1QF4SM'!$J$6:$J$2989,"&lt;="&amp;EOMONTH(AZ7,0),'1QF4SM'!$L$6:$L$2989,$B$26)+SUMIFS('1UV5KI'!$K$6:$K$2989,'1UV5KI'!$J$6:$J$2989,"&gt;="&amp;AZ7,'1UV5KI'!$J$6:$J$2989,"&lt;="&amp;EOMONTH(AZ7,0),'1UV5KI'!$L$6:$L$2989,$B$26)+SUMIFS(#REF!,#REF!,"&gt;="&amp;AZ7,#REF!,"&lt;="&amp;EOMONTH(AZ7,0),#REF!,$B$26)+SUMIFS('1UL9RY'!$K$6:$K$2990,'1UL9RY'!$J$6:$J$2990,"&gt;="&amp;AZ7,'1UL9RY'!$J$6:$J$2990,"&lt;="&amp;EOMONTH(AZ7,0),'1UL9RY'!$L$6:$L$2990,$B$26)+SUMIFS('1OZ7GT'!$K$6:$K$2989,'1OZ7GT'!$J$6:$J$2989,"&gt;="&amp;AZ7,'1OZ7GT'!$J$6:$J$2989,"&lt;="&amp;EOMONTH(AZ7,0),'1OZ7GT'!$L$6:$L$2989,$B$26)+SUMIFS('1CN8DD'!$K$6:$K$2989,'1CN8DD'!$J$6:$J$2989,"&gt;="&amp;AZ7,'1CN8DD'!$J$6:$J$2989,"&lt;="&amp;EOMONTH(AZ7,0),'1CN8DD'!$L$6:$L$2989,$B$26)+SUMIFS('1UT9BR'!$K$6:$K$2990,'1UT9BR'!$J$6:$J$2990,"&gt;="&amp;AZ7,'1UT9BR'!$J$6:$J$2990,"&lt;="&amp;EOMONTH(AZ7,0),'1UT9BR'!$L$6:$L$2990,$B$26)+SUMIFS('1MK4UR'!$K$6:$K$2990,'1MK4UR'!$J$6:$J$2990,"&gt;="&amp;AZ7,'1MK4UR'!$J$6:$J$2990,"&lt;="&amp;EOMONTH(AZ7,0),'1MK4UR'!$L$6:$L$2990,$B$26)+SUMIFS(#REF!,#REF!,"&gt;="&amp;AZ7,#REF!,"&lt;="&amp;EOMONTH(AZ7,0),#REF!,$B$26)+SUMIFS('1JI2UE'!$K$6:$K$2989,'1JI2UE'!$J$6:$J$2989,"&gt;="&amp;AZ7,'1JI2UE'!$J$6:$J$2989,"&lt;="&amp;EOMONTH(AZ7,0),'1JI2UE'!$L$6:$L$2989,$B$26)+SUMIFS(#REF!,#REF!,"&gt;="&amp;AZ7,#REF!,"&lt;="&amp;EOMONTH(AZ7,0),#REF!,$B$26)+SUMIFS('1SI9BW'!$K$6:$K$2989,'1SI9BW'!$J$6:$J$2989,"&gt;="&amp;AZ7,'1SI9BW'!$J$6:$J$2989,"&lt;="&amp;EOMONTH(AZ7,0),'1SI9BW'!$L$6:$L$2989,$B$26)+SUMIFS(Suzuki!$K$6:$K$2989,Suzuki!$J$6:$J$2989,"&gt;="&amp;AZ7,Suzuki!$J$6:$J$2989,"&lt;="&amp;EOMONTH(AZ7,0),Suzuki!$L$6:$L$2989,$B$26)+SUMIFS('1SK3DD'!$K$6:$K$2989,'1SK3DD'!$J$6:$J$2989,"&gt;="&amp;AZ7,'1SK3DD'!$J$6:$J$2989,"&lt;="&amp;EOMONTH(AZ7,0),'1SK3DD'!$L$6:$L$2989,$B$26)+SUMIFS('1SX5TQ'!$K$6:$K$2989,'1SX5TQ'!$J$6:$J$2989,"&gt;="&amp;AZ7,'1SX5TQ'!$J$6:$J$2989,"&lt;="&amp;EOMONTH(AZ7,0),'1SX5TQ'!$L$6:$L$2989,$B$26)+SUMIFS('BMM465'!$K$6:$K$2989,'BMM465'!$J$6:$J$2989,"&gt;="&amp;AZ7,'BMM465'!$J$6:$J$2989,"&lt;="&amp;EOMONTH(AZ7,0),'BMM465'!$L$6:$L$2989,$B$26)+SUMIFS('1CF1ZO'!$K$6:$K$2989,'1CF1ZO'!$J$6:$J$2989,"&gt;="&amp;AZ7,'1CF1ZO'!$J$6:$J$2989,"&lt;="&amp;EOMONTH(AZ7,0),'1CF1ZO'!$L$6:$L$2989,$B$26)+SUMIFS('1UK1BK'!$K$6:$K$2989,'1UK1BK'!$J$6:$J$2989,"&gt;="&amp;AZ7,'1UK1BK'!$J$6:$J$2989,"&lt;="&amp;EOMONTH(AZ7,0),'1UK1BK'!$L$6:$L$2989,$B$26)</f>
        <v>#REF!</v>
      </c>
      <c r="BA26" s="110" t="e">
        <f>SUMIFS('CEI565'!$K$6:$K$2990,'CEI565'!$J$6:$J$2990,"&gt;="&amp;BA7,'CEI565'!$J$6:$J$2990,"&lt;="&amp;EOMONTH(BA7,0),'CEI565'!$L$6:$L$2990,$B$26)+SUMIFS('1SM3VL'!$K$6:$K$2990,'1SM3VL'!$J$6:$J$2990,"&gt;="&amp;BA7,'1SM3VL'!$J$6:$J$2990,"&lt;="&amp;EOMONTH(BA7,0),'1SM3VL'!$L$6:$L$2990,$B$26)+SUMIFS('1QF4SM'!$K$6:$K$2989,'1QF4SM'!$J$6:$J$2989,"&gt;="&amp;BA7,'1QF4SM'!$J$6:$J$2989,"&lt;="&amp;EOMONTH(BA7,0),'1QF4SM'!$L$6:$L$2989,$B$26)+SUMIFS('1UV5KI'!$K$6:$K$2989,'1UV5KI'!$J$6:$J$2989,"&gt;="&amp;BA7,'1UV5KI'!$J$6:$J$2989,"&lt;="&amp;EOMONTH(BA7,0),'1UV5KI'!$L$6:$L$2989,$B$26)+SUMIFS(#REF!,#REF!,"&gt;="&amp;BA7,#REF!,"&lt;="&amp;EOMONTH(BA7,0),#REF!,$B$26)+SUMIFS('1UL9RY'!$K$6:$K$2990,'1UL9RY'!$J$6:$J$2990,"&gt;="&amp;BA7,'1UL9RY'!$J$6:$J$2990,"&lt;="&amp;EOMONTH(BA7,0),'1UL9RY'!$L$6:$L$2990,$B$26)+SUMIFS('1OZ7GT'!$K$6:$K$2989,'1OZ7GT'!$J$6:$J$2989,"&gt;="&amp;BA7,'1OZ7GT'!$J$6:$J$2989,"&lt;="&amp;EOMONTH(BA7,0),'1OZ7GT'!$L$6:$L$2989,$B$26)+SUMIFS('1CN8DD'!$K$6:$K$2989,'1CN8DD'!$J$6:$J$2989,"&gt;="&amp;BA7,'1CN8DD'!$J$6:$J$2989,"&lt;="&amp;EOMONTH(BA7,0),'1CN8DD'!$L$6:$L$2989,$B$26)+SUMIFS('1UT9BR'!$K$6:$K$2990,'1UT9BR'!$J$6:$J$2990,"&gt;="&amp;BA7,'1UT9BR'!$J$6:$J$2990,"&lt;="&amp;EOMONTH(BA7,0),'1UT9BR'!$L$6:$L$2990,$B$26)+SUMIFS('1MK4UR'!$K$6:$K$2990,'1MK4UR'!$J$6:$J$2990,"&gt;="&amp;BA7,'1MK4UR'!$J$6:$J$2990,"&lt;="&amp;EOMONTH(BA7,0),'1MK4UR'!$L$6:$L$2990,$B$26)+SUMIFS(#REF!,#REF!,"&gt;="&amp;BA7,#REF!,"&lt;="&amp;EOMONTH(BA7,0),#REF!,$B$26)+SUMIFS('1JI2UE'!$K$6:$K$2989,'1JI2UE'!$J$6:$J$2989,"&gt;="&amp;BA7,'1JI2UE'!$J$6:$J$2989,"&lt;="&amp;EOMONTH(BA7,0),'1JI2UE'!$L$6:$L$2989,$B$26)+SUMIFS(#REF!,#REF!,"&gt;="&amp;BA7,#REF!,"&lt;="&amp;EOMONTH(BA7,0),#REF!,$B$26)+SUMIFS('1SI9BW'!$K$6:$K$2989,'1SI9BW'!$J$6:$J$2989,"&gt;="&amp;BA7,'1SI9BW'!$J$6:$J$2989,"&lt;="&amp;EOMONTH(BA7,0),'1SI9BW'!$L$6:$L$2989,$B$26)+SUMIFS(Suzuki!$K$6:$K$2989,Suzuki!$J$6:$J$2989,"&gt;="&amp;BA7,Suzuki!$J$6:$J$2989,"&lt;="&amp;EOMONTH(BA7,0),Suzuki!$L$6:$L$2989,$B$26)+SUMIFS('1SK3DD'!$K$6:$K$2989,'1SK3DD'!$J$6:$J$2989,"&gt;="&amp;BA7,'1SK3DD'!$J$6:$J$2989,"&lt;="&amp;EOMONTH(BA7,0),'1SK3DD'!$L$6:$L$2989,$B$26)+SUMIFS('1SX5TQ'!$K$6:$K$2989,'1SX5TQ'!$J$6:$J$2989,"&gt;="&amp;BA7,'1SX5TQ'!$J$6:$J$2989,"&lt;="&amp;EOMONTH(BA7,0),'1SX5TQ'!$L$6:$L$2989,$B$26)+SUMIFS('BMM465'!$K$6:$K$2989,'BMM465'!$J$6:$J$2989,"&gt;="&amp;BA7,'BMM465'!$J$6:$J$2989,"&lt;="&amp;EOMONTH(BA7,0),'BMM465'!$L$6:$L$2989,$B$26)+SUMIFS('1CF1ZO'!$K$6:$K$2989,'1CF1ZO'!$J$6:$J$2989,"&gt;="&amp;BA7,'1CF1ZO'!$J$6:$J$2989,"&lt;="&amp;EOMONTH(BA7,0),'1CF1ZO'!$L$6:$L$2989,$B$26)+SUMIFS('1UK1BK'!$K$6:$K$2989,'1UK1BK'!$J$6:$J$2989,"&gt;="&amp;BA7,'1UK1BK'!$J$6:$J$2989,"&lt;="&amp;EOMONTH(BA7,0),'1UK1BK'!$L$6:$L$2989,$B$26)</f>
        <v>#REF!</v>
      </c>
    </row>
    <row r="27" spans="1:53" x14ac:dyDescent="0.25">
      <c r="A27" t="s">
        <v>131</v>
      </c>
      <c r="B27" s="5" t="s">
        <v>121</v>
      </c>
      <c r="C27" s="69" t="str">
        <f t="shared" si="13"/>
        <v/>
      </c>
      <c r="D27" s="109">
        <f t="shared" si="2"/>
        <v>1283.1999999999998</v>
      </c>
      <c r="E27" s="69" t="str">
        <f t="shared" si="14"/>
        <v/>
      </c>
      <c r="F27" s="109">
        <f t="shared" si="3"/>
        <v>2053.1199999999994</v>
      </c>
      <c r="G27" s="69" t="str">
        <f t="shared" si="15"/>
        <v/>
      </c>
      <c r="H27" s="109">
        <f t="shared" si="4"/>
        <v>3336.3199999999988</v>
      </c>
      <c r="I27" s="110">
        <f>SUMIFS('Other Expense'!$G$8:$G$2966,'Other Expense'!$F$8:$F$2966,"&gt;="&amp;I7,'Other Expense'!$F$8:$F$2966,"&lt;="&amp;EOMONTH(I7,0),'Other Expense'!$H$8:$H$2966,$B$27)</f>
        <v>0</v>
      </c>
      <c r="J27" s="110">
        <f>SUMIFS('Other Expense'!$G$8:$G$2966,'Other Expense'!$F$8:$F$2966,"&gt;="&amp;J7,'Other Expense'!$F$8:$F$2966,"&lt;="&amp;EOMONTH(J7,0),'Other Expense'!$H$8:$H$2966,$B$27)</f>
        <v>0</v>
      </c>
      <c r="K27" s="110">
        <f>SUMIFS('Other Expense'!$G$8:$G$2966,'Other Expense'!$F$8:$F$2966,"&gt;="&amp;K7,'Other Expense'!$F$8:$F$2966,"&lt;="&amp;EOMONTH(K7,0),'Other Expense'!$H$8:$H$2966,$B$27)</f>
        <v>0</v>
      </c>
      <c r="L27" s="110">
        <f>SUMIFS('Other Expense'!$G$8:$G$2966,'Other Expense'!$F$8:$F$2966,"&gt;="&amp;L7,'Other Expense'!$F$8:$F$2966,"&lt;="&amp;EOMONTH(L7,0),'Other Expense'!$H$8:$H$2966,$B$27)</f>
        <v>0</v>
      </c>
      <c r="M27" s="110">
        <f>SUMIFS('Other Expense'!$G$8:$G$2966,'Other Expense'!$F$8:$F$2966,"&gt;="&amp;M7,'Other Expense'!$F$8:$F$2966,"&lt;="&amp;EOMONTH(M7,0),'Other Expense'!$H$8:$H$2966,$B$27)</f>
        <v>0</v>
      </c>
      <c r="N27" s="110">
        <f>SUMIFS('Other Expense'!$G$8:$G$2966,'Other Expense'!$F$8:$F$2966,"&gt;="&amp;N7,'Other Expense'!$F$8:$F$2966,"&lt;="&amp;EOMONTH(N7,0),'Other Expense'!$H$8:$H$2966,$B$27)</f>
        <v>256.64</v>
      </c>
      <c r="O27" s="110">
        <f>SUMIFS('Other Expense'!$G$8:$G$2966,'Other Expense'!$F$8:$F$2966,"&gt;="&amp;O7,'Other Expense'!$F$8:$F$2966,"&lt;="&amp;EOMONTH(O7,0),'Other Expense'!$H$8:$H$2966,$B$27)</f>
        <v>256.64</v>
      </c>
      <c r="P27" s="110">
        <f>SUMIFS('Other Expense'!$G$8:$G$2966,'Other Expense'!$F$8:$F$2966,"&gt;="&amp;P7,'Other Expense'!$F$8:$F$2966,"&lt;="&amp;EOMONTH(P7,0),'Other Expense'!$H$8:$H$2966,$B$27)</f>
        <v>256.64</v>
      </c>
      <c r="Q27" s="110">
        <f>SUMIFS('Other Expense'!$G$8:$G$2966,'Other Expense'!$F$8:$F$2966,"&gt;="&amp;Q7,'Other Expense'!$F$8:$F$2966,"&lt;="&amp;EOMONTH(Q7,0),'Other Expense'!$H$8:$H$2966,$B$27)</f>
        <v>256.64</v>
      </c>
      <c r="R27" s="110">
        <f>SUMIFS('Other Expense'!$G$8:$G$2966,'Other Expense'!$F$8:$F$2966,"&gt;="&amp;R7,'Other Expense'!$F$8:$F$2966,"&lt;="&amp;EOMONTH(R7,0),'Other Expense'!$H$8:$H$2966,$B$27)</f>
        <v>256.64</v>
      </c>
      <c r="S27" s="110">
        <f>SUMIFS('Other Expense'!$G$8:$G$2966,'Other Expense'!$F$8:$F$2966,"&gt;="&amp;S7,'Other Expense'!$F$8:$F$2966,"&lt;="&amp;EOMONTH(S7,0),'Other Expense'!$H$8:$H$2966,$B$27)</f>
        <v>256.64</v>
      </c>
      <c r="T27" s="110">
        <f>SUMIFS('Other Expense'!$G$8:$G$2966,'Other Expense'!$F$8:$F$2966,"&gt;="&amp;T7,'Other Expense'!$F$8:$F$2966,"&lt;="&amp;EOMONTH(T7,0),'Other Expense'!$H$8:$H$2966,$B$27)</f>
        <v>256.64</v>
      </c>
      <c r="U27" s="110">
        <f>SUMIFS('Other Expense'!$G$8:$G$2966,'Other Expense'!$F$8:$F$2966,"&gt;="&amp;U7,'Other Expense'!$F$8:$F$2966,"&lt;="&amp;EOMONTH(U7,0),'Other Expense'!$H$8:$H$2966,$B$27)</f>
        <v>256.64</v>
      </c>
      <c r="V27" s="110">
        <f>SUMIFS('Other Expense'!$G$8:$G$2966,'Other Expense'!$F$8:$F$2966,"&gt;="&amp;V7,'Other Expense'!$F$8:$F$2966,"&lt;="&amp;EOMONTH(V7,0),'Other Expense'!$H$8:$H$2966,$B$27)</f>
        <v>256.64</v>
      </c>
      <c r="W27" s="110">
        <f>SUMIFS('Other Expense'!$G$8:$G$2966,'Other Expense'!$F$8:$F$2966,"&gt;="&amp;W7,'Other Expense'!$F$8:$F$2966,"&lt;="&amp;EOMONTH(W7,0),'Other Expense'!$H$8:$H$2966,$B$27)</f>
        <v>256.64</v>
      </c>
      <c r="X27" s="110">
        <f>SUMIFS('Other Expense'!$G$8:$G$2966,'Other Expense'!$F$8:$F$2966,"&gt;="&amp;X7,'Other Expense'!$F$8:$F$2966,"&lt;="&amp;EOMONTH(X7,0),'Other Expense'!$H$8:$H$2966,$B$27)</f>
        <v>256.64</v>
      </c>
      <c r="Y27" s="110">
        <f>SUMIFS('Other Expense'!$G$8:$G$2966,'Other Expense'!$F$8:$F$2966,"&gt;="&amp;Y7,'Other Expense'!$F$8:$F$2966,"&lt;="&amp;EOMONTH(Y7,0),'Other Expense'!$H$8:$H$2966,$B$27)</f>
        <v>256.64</v>
      </c>
      <c r="Z27" s="110">
        <f>SUMIFS('Other Expense'!$G$8:$G$2966,'Other Expense'!$F$8:$F$2966,"&gt;="&amp;Z7,'Other Expense'!$F$8:$F$2966,"&lt;="&amp;EOMONTH(Z7,0),'Other Expense'!$H$8:$H$2966,$B$27)</f>
        <v>256.64</v>
      </c>
      <c r="AA27" s="110">
        <f>SUMIFS('Other Expense'!$G$8:$G$2966,'Other Expense'!$F$8:$F$2966,"&gt;="&amp;AA7,'Other Expense'!$F$8:$F$2966,"&lt;="&amp;EOMONTH(AA7,0),'Other Expense'!$H$8:$H$2966,$B$27)</f>
        <v>0</v>
      </c>
      <c r="AB27" s="110">
        <f>SUMIFS('Other Expense'!$G$8:$G$2966,'Other Expense'!$F$8:$F$2966,"&gt;="&amp;AB7,'Other Expense'!$F$8:$F$2966,"&lt;="&amp;EOMONTH(AB7,0),'Other Expense'!$H$8:$H$2966,$B$27)</f>
        <v>0</v>
      </c>
      <c r="AC27" s="110">
        <f>SUMIFS('Other Expense'!$G$8:$G$2966,'Other Expense'!$F$8:$F$2966,"&gt;="&amp;AC7,'Other Expense'!$F$8:$F$2966,"&lt;="&amp;EOMONTH(AC7,0),'Other Expense'!$H$8:$H$2966,$B$27)</f>
        <v>0</v>
      </c>
      <c r="AD27" s="110">
        <f>SUMIFS('Other Expense'!$G$8:$G$2966,'Other Expense'!$F$8:$F$2966,"&gt;="&amp;AD7,'Other Expense'!$F$8:$F$2966,"&lt;="&amp;EOMONTH(AD7,0),'Other Expense'!$H$8:$H$2966,$B$27)</f>
        <v>0</v>
      </c>
      <c r="AE27" s="110">
        <f>SUMIFS('Other Expense'!$G$8:$G$2966,'Other Expense'!$F$8:$F$2966,"&gt;="&amp;AE7,'Other Expense'!$F$8:$F$2966,"&lt;="&amp;EOMONTH(AE7,0),'Other Expense'!$H$8:$H$2966,$B$27)</f>
        <v>0</v>
      </c>
      <c r="AF27" s="110">
        <f>SUMIFS('Other Expense'!$G$8:$G$2966,'Other Expense'!$F$8:$F$2966,"&gt;="&amp;AF7,'Other Expense'!$F$8:$F$2966,"&lt;="&amp;EOMONTH(AF7,0),'Other Expense'!$H$8:$H$2966,$B$27)</f>
        <v>0</v>
      </c>
      <c r="AG27" s="110">
        <f>SUMIFS('Other Expense'!$G$8:$G$2966,'Other Expense'!$F$8:$F$2966,"&gt;="&amp;AG7,'Other Expense'!$F$8:$F$2966,"&lt;="&amp;EOMONTH(AG7,0),'Other Expense'!$H$8:$H$2966,$B$27)</f>
        <v>0</v>
      </c>
      <c r="AH27" s="110">
        <f>SUMIFS('Other Expense'!$G$8:$G$2966,'Other Expense'!$F$8:$F$2966,"&gt;="&amp;AH7,'Other Expense'!$F$8:$F$2966,"&lt;="&amp;EOMONTH(AH7,0),'Other Expense'!$H$8:$H$2966,$B$27)</f>
        <v>0</v>
      </c>
      <c r="AI27" s="110">
        <f>SUMIFS('Other Expense'!$G$8:$G$2966,'Other Expense'!$F$8:$F$2966,"&gt;="&amp;AI7,'Other Expense'!$F$8:$F$2966,"&lt;="&amp;EOMONTH(AI7,0),'Other Expense'!$H$8:$H$2966,$B$27)</f>
        <v>0</v>
      </c>
      <c r="AJ27" s="110">
        <f>SUMIFS('Other Expense'!$G$8:$G$2966,'Other Expense'!$F$8:$F$2966,"&gt;="&amp;AJ7,'Other Expense'!$F$8:$F$2966,"&lt;="&amp;EOMONTH(AJ7,0),'Other Expense'!$H$8:$H$2966,$B$27)</f>
        <v>0</v>
      </c>
      <c r="AK27" s="110">
        <f>SUMIFS('Other Expense'!$G$8:$G$2966,'Other Expense'!$F$8:$F$2966,"&gt;="&amp;AK7,'Other Expense'!$F$8:$F$2966,"&lt;="&amp;EOMONTH(AK7,0),'Other Expense'!$H$8:$H$2966,$B$27)</f>
        <v>0</v>
      </c>
      <c r="AL27" s="110">
        <f>SUMIFS('Other Expense'!$G$8:$G$2966,'Other Expense'!$F$8:$F$2966,"&gt;="&amp;AL7,'Other Expense'!$F$8:$F$2966,"&lt;="&amp;EOMONTH(AL7,0),'Other Expense'!$H$8:$H$2966,$B$27)</f>
        <v>0</v>
      </c>
      <c r="AM27" s="110">
        <f>SUMIFS('Other Expense'!$G$8:$G$2966,'Other Expense'!$F$8:$F$2966,"&gt;="&amp;AM7,'Other Expense'!$F$8:$F$2966,"&lt;="&amp;EOMONTH(AM7,0),'Other Expense'!$H$8:$H$2966,$B$27)</f>
        <v>0</v>
      </c>
      <c r="AN27" s="110">
        <f>SUMIFS('Other Expense'!$G$8:$G$2966,'Other Expense'!$F$8:$F$2966,"&gt;="&amp;AN7,'Other Expense'!$F$8:$F$2966,"&lt;="&amp;EOMONTH(AN7,0),'Other Expense'!$H$8:$H$2966,$B$27)</f>
        <v>0</v>
      </c>
      <c r="AO27" s="110">
        <f>SUMIFS('Other Expense'!$G$8:$G$2966,'Other Expense'!$F$8:$F$2966,"&gt;="&amp;AO7,'Other Expense'!$F$8:$F$2966,"&lt;="&amp;EOMONTH(AO7,0),'Other Expense'!$H$8:$H$2966,$B$27)</f>
        <v>0</v>
      </c>
      <c r="AP27" s="110">
        <f>SUMIFS('Other Expense'!$G$8:$G$2966,'Other Expense'!$F$8:$F$2966,"&gt;="&amp;AP7,'Other Expense'!$F$8:$F$2966,"&lt;="&amp;EOMONTH(AP7,0),'Other Expense'!$H$8:$H$2966,$B$27)</f>
        <v>0</v>
      </c>
      <c r="AQ27" s="110">
        <f>SUMIFS('Other Expense'!$G$8:$G$2966,'Other Expense'!$F$8:$F$2966,"&gt;="&amp;AQ7,'Other Expense'!$F$8:$F$2966,"&lt;="&amp;EOMONTH(AQ7,0),'Other Expense'!$H$8:$H$2966,$B$27)</f>
        <v>0</v>
      </c>
      <c r="AR27" s="110">
        <f>SUMIFS('Other Expense'!$G$8:$G$2966,'Other Expense'!$F$8:$F$2966,"&gt;="&amp;AR7,'Other Expense'!$F$8:$F$2966,"&lt;="&amp;EOMONTH(AR7,0),'Other Expense'!$H$8:$H$2966,$B$27)</f>
        <v>0</v>
      </c>
      <c r="AS27" s="110">
        <f>SUMIFS('Other Expense'!$G$8:$G$2966,'Other Expense'!$F$8:$F$2966,"&gt;="&amp;AS7,'Other Expense'!$F$8:$F$2966,"&lt;="&amp;EOMONTH(AS7,0),'Other Expense'!$H$8:$H$2966,$B$27)</f>
        <v>0</v>
      </c>
      <c r="AT27" s="110">
        <f>SUMIFS('Other Expense'!$G$8:$G$2966,'Other Expense'!$F$8:$F$2966,"&gt;="&amp;AT7,'Other Expense'!$F$8:$F$2966,"&lt;="&amp;EOMONTH(AT7,0),'Other Expense'!$H$8:$H$2966,$B$27)</f>
        <v>0</v>
      </c>
      <c r="AU27" s="110">
        <f>SUMIFS('Other Expense'!$G$8:$G$2966,'Other Expense'!$F$8:$F$2966,"&gt;="&amp;AU7,'Other Expense'!$F$8:$F$2966,"&lt;="&amp;EOMONTH(AU7,0),'Other Expense'!$H$8:$H$2966,$B$27)</f>
        <v>0</v>
      </c>
      <c r="AV27" s="110">
        <f>SUMIFS('Other Expense'!$G$8:$G$2966,'Other Expense'!$F$8:$F$2966,"&gt;="&amp;AV7,'Other Expense'!$F$8:$F$2966,"&lt;="&amp;EOMONTH(AV7,0),'Other Expense'!$H$8:$H$2966,$B$27)</f>
        <v>0</v>
      </c>
      <c r="AW27" s="110">
        <f>SUMIFS('Other Expense'!$G$8:$G$2966,'Other Expense'!$F$8:$F$2966,"&gt;="&amp;AW7,'Other Expense'!$F$8:$F$2966,"&lt;="&amp;EOMONTH(AW7,0),'Other Expense'!$H$8:$H$2966,$B$27)</f>
        <v>0</v>
      </c>
      <c r="AX27" s="110">
        <f>SUMIFS('Other Expense'!$G$8:$G$2966,'Other Expense'!$F$8:$F$2966,"&gt;="&amp;AX7,'Other Expense'!$F$8:$F$2966,"&lt;="&amp;EOMONTH(AX7,0),'Other Expense'!$H$8:$H$2966,$B$27)</f>
        <v>0</v>
      </c>
      <c r="AY27" s="110">
        <f>SUMIFS('Other Expense'!$G$8:$G$2966,'Other Expense'!$F$8:$F$2966,"&gt;="&amp;AY7,'Other Expense'!$F$8:$F$2966,"&lt;="&amp;EOMONTH(AY7,0),'Other Expense'!$H$8:$H$2966,$B$27)</f>
        <v>0</v>
      </c>
      <c r="AZ27" s="110">
        <f>SUMIFS('Other Expense'!$G$8:$G$2966,'Other Expense'!$F$8:$F$2966,"&gt;="&amp;AZ7,'Other Expense'!$F$8:$F$2966,"&lt;="&amp;EOMONTH(AZ7,0),'Other Expense'!$H$8:$H$2966,$B$27)</f>
        <v>0</v>
      </c>
      <c r="BA27" s="110">
        <f>SUMIFS('Other Expense'!$G$8:$G$2966,'Other Expense'!$F$8:$F$2966,"&gt;="&amp;BA7,'Other Expense'!$F$8:$F$2966,"&lt;="&amp;EOMONTH(BA7,0),'Other Expense'!$H$8:$H$2966,$B$27)</f>
        <v>0</v>
      </c>
    </row>
    <row r="28" spans="1:53" s="1" customFormat="1" x14ac:dyDescent="0.25">
      <c r="A28" t="s">
        <v>131</v>
      </c>
      <c r="B28" s="5" t="s">
        <v>40</v>
      </c>
      <c r="C28" s="69" t="str">
        <f t="shared" si="13"/>
        <v/>
      </c>
      <c r="D28" s="109">
        <f t="shared" si="2"/>
        <v>495</v>
      </c>
      <c r="E28" s="69" t="str">
        <f t="shared" si="14"/>
        <v/>
      </c>
      <c r="F28" s="109">
        <f t="shared" si="3"/>
        <v>1356</v>
      </c>
      <c r="G28" s="69" t="str">
        <f t="shared" si="15"/>
        <v/>
      </c>
      <c r="H28" s="109">
        <f t="shared" si="4"/>
        <v>2360</v>
      </c>
      <c r="I28" s="110">
        <f>SUMIFS('Other Expense'!$G$8:$G$2966,'Other Expense'!$F$8:$F$2966,"&gt;="&amp;I7,'Other Expense'!$F$8:$F$2966,"&lt;="&amp;EOMONTH(I7,0),'Other Expense'!$H$8:$H$2966,$B$28)</f>
        <v>0</v>
      </c>
      <c r="J28" s="110">
        <f>SUMIFS('Other Expense'!$G$8:$G$2966,'Other Expense'!$F$8:$F$2966,"&gt;="&amp;J7,'Other Expense'!$F$8:$F$2966,"&lt;="&amp;EOMONTH(J7,0),'Other Expense'!$H$8:$H$2966,$B$28)</f>
        <v>0</v>
      </c>
      <c r="K28" s="110">
        <f>SUMIFS('Other Expense'!$G$8:$G$2966,'Other Expense'!$F$8:$F$2966,"&gt;="&amp;K7,'Other Expense'!$F$8:$F$2966,"&lt;="&amp;EOMONTH(K7,0),'Other Expense'!$H$8:$H$2966,$B$28)</f>
        <v>0</v>
      </c>
      <c r="L28" s="110">
        <f>SUMIFS('Other Expense'!$G$8:$G$2966,'Other Expense'!$F$8:$F$2966,"&gt;="&amp;L7,'Other Expense'!$F$8:$F$2966,"&lt;="&amp;EOMONTH(L7,0),'Other Expense'!$H$8:$H$2966,$B$28)</f>
        <v>0</v>
      </c>
      <c r="M28" s="110">
        <f>SUMIFS('Other Expense'!$G$8:$G$2966,'Other Expense'!$F$8:$F$2966,"&gt;="&amp;M7,'Other Expense'!$F$8:$F$2966,"&lt;="&amp;EOMONTH(M7,0),'Other Expense'!$H$8:$H$2966,$B$28)</f>
        <v>495</v>
      </c>
      <c r="N28" s="110">
        <f>SUMIFS('Other Expense'!$G$8:$G$2966,'Other Expense'!$F$8:$F$2966,"&gt;="&amp;N7,'Other Expense'!$F$8:$F$2966,"&lt;="&amp;EOMONTH(N7,0),'Other Expense'!$H$8:$H$2966,$B$28)</f>
        <v>0</v>
      </c>
      <c r="O28" s="110">
        <f>SUMIFS('Other Expense'!$G$8:$G$2966,'Other Expense'!$F$8:$F$2966,"&gt;="&amp;O7,'Other Expense'!$F$8:$F$2966,"&lt;="&amp;EOMONTH(O7,0),'Other Expense'!$H$8:$H$2966,$B$28)</f>
        <v>0</v>
      </c>
      <c r="P28" s="110">
        <f>SUMIFS('Other Expense'!$G$8:$G$2966,'Other Expense'!$F$8:$F$2966,"&gt;="&amp;P7,'Other Expense'!$F$8:$F$2966,"&lt;="&amp;EOMONTH(P7,0),'Other Expense'!$H$8:$H$2966,$B$28)</f>
        <v>0</v>
      </c>
      <c r="Q28" s="110">
        <f>SUMIFS('Other Expense'!$G$8:$G$2966,'Other Expense'!$F$8:$F$2966,"&gt;="&amp;Q7,'Other Expense'!$F$8:$F$2966,"&lt;="&amp;EOMONTH(Q7,0),'Other Expense'!$H$8:$H$2966,$B$28)</f>
        <v>0</v>
      </c>
      <c r="R28" s="110">
        <f>SUMIFS('Other Expense'!$G$8:$G$2966,'Other Expense'!$F$8:$F$2966,"&gt;="&amp;R7,'Other Expense'!$F$8:$F$2966,"&lt;="&amp;EOMONTH(R7,0),'Other Expense'!$H$8:$H$2966,$B$28)</f>
        <v>0</v>
      </c>
      <c r="S28" s="110">
        <f>SUMIFS('Other Expense'!$G$8:$G$2966,'Other Expense'!$F$8:$F$2966,"&gt;="&amp;S7,'Other Expense'!$F$8:$F$2966,"&lt;="&amp;EOMONTH(S7,0),'Other Expense'!$H$8:$H$2966,$B$28)</f>
        <v>0</v>
      </c>
      <c r="T28" s="110">
        <f>SUMIFS('Other Expense'!$G$8:$G$2966,'Other Expense'!$F$8:$F$2966,"&gt;="&amp;T7,'Other Expense'!$F$8:$F$2966,"&lt;="&amp;EOMONTH(T7,0),'Other Expense'!$H$8:$H$2966,$B$28)</f>
        <v>0</v>
      </c>
      <c r="U28" s="110">
        <f>SUMIFS('Other Expense'!$G$8:$G$2966,'Other Expense'!$F$8:$F$2966,"&gt;="&amp;U7,'Other Expense'!$F$8:$F$2966,"&lt;="&amp;EOMONTH(U7,0),'Other Expense'!$H$8:$H$2966,$B$28)</f>
        <v>0</v>
      </c>
      <c r="V28" s="110">
        <f>SUMIFS('Other Expense'!$G$8:$G$2966,'Other Expense'!$F$8:$F$2966,"&gt;="&amp;V7,'Other Expense'!$F$8:$F$2966,"&lt;="&amp;EOMONTH(V7,0),'Other Expense'!$H$8:$H$2966,$B$28)</f>
        <v>0</v>
      </c>
      <c r="W28" s="110">
        <f>SUMIFS('Other Expense'!$G$8:$G$2966,'Other Expense'!$F$8:$F$2966,"&gt;="&amp;W7,'Other Expense'!$F$8:$F$2966,"&lt;="&amp;EOMONTH(W7,0),'Other Expense'!$H$8:$H$2966,$B$28)</f>
        <v>0</v>
      </c>
      <c r="X28" s="110">
        <f>SUMIFS('Other Expense'!$G$8:$G$2966,'Other Expense'!$F$8:$F$2966,"&gt;="&amp;X7,'Other Expense'!$F$8:$F$2966,"&lt;="&amp;EOMONTH(X7,0),'Other Expense'!$H$8:$H$2966,$B$28)</f>
        <v>0</v>
      </c>
      <c r="Y28" s="110">
        <f>SUMIFS('Other Expense'!$G$8:$G$2966,'Other Expense'!$F$8:$F$2966,"&gt;="&amp;Y7,'Other Expense'!$F$8:$F$2966,"&lt;="&amp;EOMONTH(Y7,0),'Other Expense'!$H$8:$H$2966,$B$28)</f>
        <v>0</v>
      </c>
      <c r="Z28" s="110">
        <f>SUMIFS('Other Expense'!$G$8:$G$2966,'Other Expense'!$F$8:$F$2966,"&gt;="&amp;Z7,'Other Expense'!$F$8:$F$2966,"&lt;="&amp;EOMONTH(Z7,0),'Other Expense'!$H$8:$H$2966,$B$28)</f>
        <v>880</v>
      </c>
      <c r="AA28" s="110">
        <f>SUMIFS('Other Expense'!$G$8:$G$2966,'Other Expense'!$F$8:$F$2966,"&gt;="&amp;AA7,'Other Expense'!$F$8:$F$2966,"&lt;="&amp;EOMONTH(AA7,0),'Other Expense'!$H$8:$H$2966,$B$28)</f>
        <v>273</v>
      </c>
      <c r="AB28" s="110">
        <f>SUMIFS('Other Expense'!$G$8:$G$2966,'Other Expense'!$F$8:$F$2966,"&gt;="&amp;AB7,'Other Expense'!$F$8:$F$2966,"&lt;="&amp;EOMONTH(AB7,0),'Other Expense'!$H$8:$H$2966,$B$28)</f>
        <v>164</v>
      </c>
      <c r="AC28" s="110">
        <f>SUMIFS('Other Expense'!$G$8:$G$2966,'Other Expense'!$F$8:$F$2966,"&gt;="&amp;AC7,'Other Expense'!$F$8:$F$2966,"&lt;="&amp;EOMONTH(AC7,0),'Other Expense'!$H$8:$H$2966,$B$28)</f>
        <v>0</v>
      </c>
      <c r="AD28" s="110">
        <f>SUMIFS('Other Expense'!$G$8:$G$2966,'Other Expense'!$F$8:$F$2966,"&gt;="&amp;AD7,'Other Expense'!$F$8:$F$2966,"&lt;="&amp;EOMONTH(AD7,0),'Other Expense'!$H$8:$H$2966,$B$28)</f>
        <v>39</v>
      </c>
      <c r="AE28" s="110">
        <f>SUMIFS('Other Expense'!$G$8:$G$2966,'Other Expense'!$F$8:$F$2966,"&gt;="&amp;AE7,'Other Expense'!$F$8:$F$2966,"&lt;="&amp;EOMONTH(AE7,0),'Other Expense'!$H$8:$H$2966,$B$28)</f>
        <v>0</v>
      </c>
      <c r="AF28" s="110">
        <f>SUMIFS('Other Expense'!$G$8:$G$2966,'Other Expense'!$F$8:$F$2966,"&gt;="&amp;AF7,'Other Expense'!$F$8:$F$2966,"&lt;="&amp;EOMONTH(AF7,0),'Other Expense'!$H$8:$H$2966,$B$28)</f>
        <v>0</v>
      </c>
      <c r="AG28" s="110">
        <f>SUMIFS('Other Expense'!$G$8:$G$2966,'Other Expense'!$F$8:$F$2966,"&gt;="&amp;AG7,'Other Expense'!$F$8:$F$2966,"&lt;="&amp;EOMONTH(AG7,0),'Other Expense'!$H$8:$H$2966,$B$28)</f>
        <v>0</v>
      </c>
      <c r="AH28" s="110">
        <f>SUMIFS('Other Expense'!$G$8:$G$2966,'Other Expense'!$F$8:$F$2966,"&gt;="&amp;AH7,'Other Expense'!$F$8:$F$2966,"&lt;="&amp;EOMONTH(AH7,0),'Other Expense'!$H$8:$H$2966,$B$28)</f>
        <v>0</v>
      </c>
      <c r="AI28" s="110">
        <f>SUMIFS('Other Expense'!$G$8:$G$2966,'Other Expense'!$F$8:$F$2966,"&gt;="&amp;AI7,'Other Expense'!$F$8:$F$2966,"&lt;="&amp;EOMONTH(AI7,0),'Other Expense'!$H$8:$H$2966,$B$28)</f>
        <v>88</v>
      </c>
      <c r="AJ28" s="110">
        <f>SUMIFS('Other Expense'!$G$8:$G$2966,'Other Expense'!$F$8:$F$2966,"&gt;="&amp;AJ7,'Other Expense'!$F$8:$F$2966,"&lt;="&amp;EOMONTH(AJ7,0),'Other Expense'!$H$8:$H$2966,$B$28)</f>
        <v>0</v>
      </c>
      <c r="AK28" s="110">
        <f>SUMIFS('Other Expense'!$G$8:$G$2966,'Other Expense'!$F$8:$F$2966,"&gt;="&amp;AK7,'Other Expense'!$F$8:$F$2966,"&lt;="&amp;EOMONTH(AK7,0),'Other Expense'!$H$8:$H$2966,$B$28)</f>
        <v>0</v>
      </c>
      <c r="AL28" s="110">
        <f>SUMIFS('Other Expense'!$G$8:$G$2966,'Other Expense'!$F$8:$F$2966,"&gt;="&amp;AL7,'Other Expense'!$F$8:$F$2966,"&lt;="&amp;EOMONTH(AL7,0),'Other Expense'!$H$8:$H$2966,$B$28)</f>
        <v>0</v>
      </c>
      <c r="AM28" s="110">
        <f>SUMIFS('Other Expense'!$G$8:$G$2966,'Other Expense'!$F$8:$F$2966,"&gt;="&amp;AM7,'Other Expense'!$F$8:$F$2966,"&lt;="&amp;EOMONTH(AM7,0),'Other Expense'!$H$8:$H$2966,$B$28)</f>
        <v>421</v>
      </c>
      <c r="AN28" s="110">
        <f>SUMIFS('Other Expense'!$G$8:$G$2966,'Other Expense'!$F$8:$F$2966,"&gt;="&amp;AN7,'Other Expense'!$F$8:$F$2966,"&lt;="&amp;EOMONTH(AN7,0),'Other Expense'!$H$8:$H$2966,$B$28)</f>
        <v>0</v>
      </c>
      <c r="AO28" s="110">
        <f>SUMIFS('Other Expense'!$G$8:$G$2966,'Other Expense'!$F$8:$F$2966,"&gt;="&amp;AO7,'Other Expense'!$F$8:$F$2966,"&lt;="&amp;EOMONTH(AO7,0),'Other Expense'!$H$8:$H$2966,$B$28)</f>
        <v>0</v>
      </c>
      <c r="AP28" s="110">
        <f>SUMIFS('Other Expense'!$G$8:$G$2966,'Other Expense'!$F$8:$F$2966,"&gt;="&amp;AP7,'Other Expense'!$F$8:$F$2966,"&lt;="&amp;EOMONTH(AP7,0),'Other Expense'!$H$8:$H$2966,$B$28)</f>
        <v>0</v>
      </c>
      <c r="AQ28" s="110">
        <f>SUMIFS('Other Expense'!$G$8:$G$2966,'Other Expense'!$F$8:$F$2966,"&gt;="&amp;AQ7,'Other Expense'!$F$8:$F$2966,"&lt;="&amp;EOMONTH(AQ7,0),'Other Expense'!$H$8:$H$2966,$B$28)</f>
        <v>0</v>
      </c>
      <c r="AR28" s="110">
        <f>SUMIFS('Other Expense'!$G$8:$G$2966,'Other Expense'!$F$8:$F$2966,"&gt;="&amp;AR7,'Other Expense'!$F$8:$F$2966,"&lt;="&amp;EOMONTH(AR7,0),'Other Expense'!$H$8:$H$2966,$B$28)</f>
        <v>0</v>
      </c>
      <c r="AS28" s="110">
        <f>SUMIFS('Other Expense'!$G$8:$G$2966,'Other Expense'!$F$8:$F$2966,"&gt;="&amp;AS7,'Other Expense'!$F$8:$F$2966,"&lt;="&amp;EOMONTH(AS7,0),'Other Expense'!$H$8:$H$2966,$B$28)</f>
        <v>0</v>
      </c>
      <c r="AT28" s="110">
        <f>SUMIFS('Other Expense'!$G$8:$G$2966,'Other Expense'!$F$8:$F$2966,"&gt;="&amp;AT7,'Other Expense'!$F$8:$F$2966,"&lt;="&amp;EOMONTH(AT7,0),'Other Expense'!$H$8:$H$2966,$B$28)</f>
        <v>0</v>
      </c>
      <c r="AU28" s="110">
        <f>SUMIFS('Other Expense'!$G$8:$G$2966,'Other Expense'!$F$8:$F$2966,"&gt;="&amp;AU7,'Other Expense'!$F$8:$F$2966,"&lt;="&amp;EOMONTH(AU7,0),'Other Expense'!$H$8:$H$2966,$B$28)</f>
        <v>0</v>
      </c>
      <c r="AV28" s="110">
        <f>SUMIFS('Other Expense'!$G$8:$G$2966,'Other Expense'!$F$8:$F$2966,"&gt;="&amp;AV7,'Other Expense'!$F$8:$F$2966,"&lt;="&amp;EOMONTH(AV7,0),'Other Expense'!$H$8:$H$2966,$B$28)</f>
        <v>0</v>
      </c>
      <c r="AW28" s="110">
        <f>SUMIFS('Other Expense'!$G$8:$G$2966,'Other Expense'!$F$8:$F$2966,"&gt;="&amp;AW7,'Other Expense'!$F$8:$F$2966,"&lt;="&amp;EOMONTH(AW7,0),'Other Expense'!$H$8:$H$2966,$B$28)</f>
        <v>0</v>
      </c>
      <c r="AX28" s="110">
        <f>SUMIFS('Other Expense'!$G$8:$G$2966,'Other Expense'!$F$8:$F$2966,"&gt;="&amp;AX7,'Other Expense'!$F$8:$F$2966,"&lt;="&amp;EOMONTH(AX7,0),'Other Expense'!$H$8:$H$2966,$B$28)</f>
        <v>0</v>
      </c>
      <c r="AY28" s="110">
        <f>SUMIFS('Other Expense'!$G$8:$G$2966,'Other Expense'!$F$8:$F$2966,"&gt;="&amp;AY7,'Other Expense'!$F$8:$F$2966,"&lt;="&amp;EOMONTH(AY7,0),'Other Expense'!$H$8:$H$2966,$B$28)</f>
        <v>0</v>
      </c>
      <c r="AZ28" s="110">
        <f>SUMIFS('Other Expense'!$G$8:$G$2966,'Other Expense'!$F$8:$F$2966,"&gt;="&amp;AZ7,'Other Expense'!$F$8:$F$2966,"&lt;="&amp;EOMONTH(AZ7,0),'Other Expense'!$H$8:$H$2966,$B$28)</f>
        <v>0</v>
      </c>
      <c r="BA28" s="110">
        <f>SUMIFS('Other Expense'!$G$8:$G$2966,'Other Expense'!$F$8:$F$2966,"&gt;="&amp;BA7,'Other Expense'!$F$8:$F$2966,"&lt;="&amp;EOMONTH(BA7,0),'Other Expense'!$H$8:$H$2966,$B$28)</f>
        <v>0</v>
      </c>
    </row>
    <row r="29" spans="1:53" x14ac:dyDescent="0.25">
      <c r="B29" s="5" t="s">
        <v>17</v>
      </c>
      <c r="C29" s="69" t="str">
        <f t="shared" si="13"/>
        <v/>
      </c>
      <c r="D29" s="109" t="e">
        <f t="shared" si="2"/>
        <v>#REF!</v>
      </c>
      <c r="E29" s="69" t="str">
        <f t="shared" si="14"/>
        <v/>
      </c>
      <c r="F29" s="109" t="e">
        <f t="shared" si="3"/>
        <v>#REF!</v>
      </c>
      <c r="G29" s="69" t="str">
        <f t="shared" ref="G29:G34" si="16">IFERROR(H29/$H$17,"")</f>
        <v/>
      </c>
      <c r="H29" s="109" t="e">
        <f t="shared" si="4"/>
        <v>#REF!</v>
      </c>
      <c r="I29" s="110" t="e">
        <f>SUMIFS('CEI565'!$K$6:$K$2990,'CEI565'!$J$6:$J$2990,"&gt;="&amp;I7,'CEI565'!$J$6:$J$2990,"&lt;="&amp;EOMONTH(I7,0),'CEI565'!$L$6:$L$2990,$B$29)+SUMIFS('1SM3VL'!$K$6:$K$2990,'1SM3VL'!$J$6:$J$2990,"&gt;="&amp;I7,'1SM3VL'!$J$6:$J$2990,"&lt;="&amp;EOMONTH(I7,0),'1SM3VL'!$L$6:$L$2990,$B$29)+SUMIFS('1QF4SM'!$K$6:$K$2989,'1QF4SM'!$J$6:$J$2989,"&gt;="&amp;I7,'1QF4SM'!$J$6:$J$2989,"&lt;="&amp;EOMONTH(I7,0),'1QF4SM'!$L$6:$L$2989,$B$29)+SUMIFS('1UV5KI'!$K$6:$K$2989,'1UV5KI'!$J$6:$J$2989,"&gt;="&amp;I7,'1UV5KI'!$J$6:$J$2989,"&lt;="&amp;EOMONTH(I7,0),'1UV5KI'!$L$6:$L$2989,$B$29)+SUMIFS(#REF!,#REF!,"&gt;="&amp;I7,#REF!,"&lt;="&amp;EOMONTH(I7,0),#REF!,$B$29)+SUMIFS('1UL9RY'!$K$6:$K$2990,'1UL9RY'!$J$6:$J$2990,"&gt;="&amp;I7,'1UL9RY'!$J$6:$J$2990,"&lt;="&amp;EOMONTH(I7,0),'1UL9RY'!$L$6:$L$2990,$B$29)+SUMIFS('1OZ7GT'!$K$6:$K$2989,'1OZ7GT'!$J$6:$J$2989,"&gt;="&amp;I7,'1OZ7GT'!$J$6:$J$2989,"&lt;="&amp;EOMONTH(I7,0),'1OZ7GT'!$L$6:$L$2989,$B$29)+SUMIFS('1CN8DD'!$K$6:$K$2989,'1CN8DD'!$J$6:$J$2989,"&gt;="&amp;I7,'1CN8DD'!$J$6:$J$2989,"&lt;="&amp;EOMONTH(I7,0),'1CN8DD'!$L$6:$L$2989,$B$29)+SUMIFS('1UT9BR'!$K$6:$K$2990,'1UT9BR'!$J$6:$J$2990,"&gt;="&amp;I7,'1UT9BR'!$J$6:$J$2990,"&lt;="&amp;EOMONTH(I7,0),'1UT9BR'!$L$6:$L$2990,$B$29)+SUMIFS('1MK4UR'!$K$6:$K$2990,'1MK4UR'!$J$6:$J$2990,"&gt;="&amp;I7,'1MK4UR'!$J$6:$J$2990,"&lt;="&amp;EOMONTH(I7,0),'1MK4UR'!$L$6:$L$2990,$B$29)+SUMIFS(#REF!,#REF!,"&gt;="&amp;I7,#REF!,"&lt;="&amp;EOMONTH(I7,0),#REF!,$B$29)+SUMIFS('1JI2UE'!$K$6:$K$2989,'1JI2UE'!$J$6:$J$2989,"&gt;="&amp;I7,'1JI2UE'!$J$6:$J$2989,"&lt;="&amp;EOMONTH(I7,0),'1JI2UE'!$L$6:$L$2989,$B$29)+SUMIFS(#REF!,#REF!,"&gt;="&amp;I7,#REF!,"&lt;="&amp;EOMONTH(I7,0),#REF!,$B$29)+SUMIFS('1SI9BW'!$K$6:$K$2989,'1SI9BW'!$J$6:$J$2989,"&gt;="&amp;I7,'1SI9BW'!$J$6:$J$2989,"&lt;="&amp;EOMONTH(I7,0),'1SI9BW'!$L$6:$L$2989,$B$29)+SUMIFS(Suzuki!$K$6:$K$2989,Suzuki!$J$6:$J$2989,"&gt;="&amp;I7,Suzuki!$J$6:$J$2989,"&lt;="&amp;EOMONTH(I7,0),Suzuki!$L$6:$L$2989,$B$29)+SUMIFS('1SK3DD'!$K$6:$K$2989,'1SK3DD'!$J$6:$J$2989,"&gt;="&amp;I7,'1SK3DD'!$J$6:$J$2989,"&lt;="&amp;EOMONTH(I7,0),'1SK3DD'!$L$6:$L$2989,$B$29)+SUMIFS('1SX5TQ'!$K$6:$K$2989,'1SX5TQ'!$J$6:$J$2989,"&gt;="&amp;I7,'1SX5TQ'!$J$6:$J$2989,"&lt;="&amp;EOMONTH(I7,0),'1SX5TQ'!$L$6:$L$2989,$B$29)+SUMIFS('BMM465'!$K$6:$K$2989,'BMM465'!$J$6:$J$2989,"&gt;="&amp;I7,'BMM465'!$J$6:$J$2989,"&lt;="&amp;EOMONTH(I7,0),'BMM465'!$L$6:$L$2989,$B$29)+SUMIFS('1CF1ZO'!$K$6:$K$2989,'1CF1ZO'!$J$6:$J$2989,"&gt;="&amp;I7,'1CF1ZO'!$J$6:$J$2989,"&lt;="&amp;EOMONTH(I7,0),'1CF1ZO'!$L$6:$L$2989,$B$29)+SUMIFS('1UK1BK'!$K$6:$K$2989,'1UK1BK'!$J$6:$J$2989,"&gt;="&amp;I7,'1UK1BK'!$J$6:$J$2989,"&lt;="&amp;EOMONTH(I7,0),'1UK1BK'!$L$6:$L$2989,$B$29)</f>
        <v>#REF!</v>
      </c>
      <c r="J29" s="110" t="e">
        <f>SUMIFS('CEI565'!$K$6:$K$2990,'CEI565'!$J$6:$J$2990,"&gt;="&amp;J7,'CEI565'!$J$6:$J$2990,"&lt;="&amp;EOMONTH(J7,0),'CEI565'!$L$6:$L$2990,$B$29)+SUMIFS('1SM3VL'!$K$6:$K$2990,'1SM3VL'!$J$6:$J$2990,"&gt;="&amp;J7,'1SM3VL'!$J$6:$J$2990,"&lt;="&amp;EOMONTH(J7,0),'1SM3VL'!$L$6:$L$2990,$B$29)+SUMIFS('1QF4SM'!$K$6:$K$2989,'1QF4SM'!$J$6:$J$2989,"&gt;="&amp;J7,'1QF4SM'!$J$6:$J$2989,"&lt;="&amp;EOMONTH(J7,0),'1QF4SM'!$L$6:$L$2989,$B$29)+SUMIFS('1UV5KI'!$K$6:$K$2989,'1UV5KI'!$J$6:$J$2989,"&gt;="&amp;J7,'1UV5KI'!$J$6:$J$2989,"&lt;="&amp;EOMONTH(J7,0),'1UV5KI'!$L$6:$L$2989,$B$29)+SUMIFS(#REF!,#REF!,"&gt;="&amp;J7,#REF!,"&lt;="&amp;EOMONTH(J7,0),#REF!,$B$29)+SUMIFS('1UL9RY'!$K$6:$K$2990,'1UL9RY'!$J$6:$J$2990,"&gt;="&amp;J7,'1UL9RY'!$J$6:$J$2990,"&lt;="&amp;EOMONTH(J7,0),'1UL9RY'!$L$6:$L$2990,$B$29)+SUMIFS('1OZ7GT'!$K$6:$K$2989,'1OZ7GT'!$J$6:$J$2989,"&gt;="&amp;J7,'1OZ7GT'!$J$6:$J$2989,"&lt;="&amp;EOMONTH(J7,0),'1OZ7GT'!$L$6:$L$2989,$B$29)+SUMIFS('1CN8DD'!$K$6:$K$2989,'1CN8DD'!$J$6:$J$2989,"&gt;="&amp;J7,'1CN8DD'!$J$6:$J$2989,"&lt;="&amp;EOMONTH(J7,0),'1CN8DD'!$L$6:$L$2989,$B$29)+SUMIFS('1UT9BR'!$K$6:$K$2990,'1UT9BR'!$J$6:$J$2990,"&gt;="&amp;J7,'1UT9BR'!$J$6:$J$2990,"&lt;="&amp;EOMONTH(J7,0),'1UT9BR'!$L$6:$L$2990,$B$29)+SUMIFS('1MK4UR'!$K$6:$K$2990,'1MK4UR'!$J$6:$J$2990,"&gt;="&amp;J7,'1MK4UR'!$J$6:$J$2990,"&lt;="&amp;EOMONTH(J7,0),'1MK4UR'!$L$6:$L$2990,$B$29)+SUMIFS(#REF!,#REF!,"&gt;="&amp;J7,#REF!,"&lt;="&amp;EOMONTH(J7,0),#REF!,$B$29)+SUMIFS('1JI2UE'!$K$6:$K$2989,'1JI2UE'!$J$6:$J$2989,"&gt;="&amp;J7,'1JI2UE'!$J$6:$J$2989,"&lt;="&amp;EOMONTH(J7,0),'1JI2UE'!$L$6:$L$2989,$B$29)+SUMIFS(#REF!,#REF!,"&gt;="&amp;J7,#REF!,"&lt;="&amp;EOMONTH(J7,0),#REF!,$B$29)+SUMIFS('1SI9BW'!$K$6:$K$2989,'1SI9BW'!$J$6:$J$2989,"&gt;="&amp;J7,'1SI9BW'!$J$6:$J$2989,"&lt;="&amp;EOMONTH(J7,0),'1SI9BW'!$L$6:$L$2989,$B$29)+SUMIFS(Suzuki!$K$6:$K$2989,Suzuki!$J$6:$J$2989,"&gt;="&amp;J7,Suzuki!$J$6:$J$2989,"&lt;="&amp;EOMONTH(J7,0),Suzuki!$L$6:$L$2989,$B$29)+SUMIFS('1SK3DD'!$K$6:$K$2989,'1SK3DD'!$J$6:$J$2989,"&gt;="&amp;J7,'1SK3DD'!$J$6:$J$2989,"&lt;="&amp;EOMONTH(J7,0),'1SK3DD'!$L$6:$L$2989,$B$29)+SUMIFS('1SX5TQ'!$K$6:$K$2989,'1SX5TQ'!$J$6:$J$2989,"&gt;="&amp;J7,'1SX5TQ'!$J$6:$J$2989,"&lt;="&amp;EOMONTH(J7,0),'1SX5TQ'!$L$6:$L$2989,$B$29)+SUMIFS('BMM465'!$K$6:$K$2989,'BMM465'!$J$6:$J$2989,"&gt;="&amp;J7,'BMM465'!$J$6:$J$2989,"&lt;="&amp;EOMONTH(J7,0),'BMM465'!$L$6:$L$2989,$B$29)+SUMIFS('1CF1ZO'!$K$6:$K$2989,'1CF1ZO'!$J$6:$J$2989,"&gt;="&amp;J7,'1CF1ZO'!$J$6:$J$2989,"&lt;="&amp;EOMONTH(J7,0),'1CF1ZO'!$L$6:$L$2989,$B$29)+SUMIFS('1UK1BK'!$K$6:$K$2989,'1UK1BK'!$J$6:$J$2989,"&gt;="&amp;J7,'1UK1BK'!$J$6:$J$2989,"&lt;="&amp;EOMONTH(J7,0),'1UK1BK'!$L$6:$L$2989,$B$29)</f>
        <v>#REF!</v>
      </c>
      <c r="K29" s="110" t="e">
        <f>SUMIFS('CEI565'!$K$6:$K$2990,'CEI565'!$J$6:$J$2990,"&gt;="&amp;K7,'CEI565'!$J$6:$J$2990,"&lt;="&amp;EOMONTH(K7,0),'CEI565'!$L$6:$L$2990,$B$29)+SUMIFS('1SM3VL'!$K$6:$K$2990,'1SM3VL'!$J$6:$J$2990,"&gt;="&amp;K7,'1SM3VL'!$J$6:$J$2990,"&lt;="&amp;EOMONTH(K7,0),'1SM3VL'!$L$6:$L$2990,$B$29)+SUMIFS('1QF4SM'!$K$6:$K$2989,'1QF4SM'!$J$6:$J$2989,"&gt;="&amp;K7,'1QF4SM'!$J$6:$J$2989,"&lt;="&amp;EOMONTH(K7,0),'1QF4SM'!$L$6:$L$2989,$B$29)+SUMIFS('1UV5KI'!$K$6:$K$2989,'1UV5KI'!$J$6:$J$2989,"&gt;="&amp;K7,'1UV5KI'!$J$6:$J$2989,"&lt;="&amp;EOMONTH(K7,0),'1UV5KI'!$L$6:$L$2989,$B$29)+SUMIFS(#REF!,#REF!,"&gt;="&amp;K7,#REF!,"&lt;="&amp;EOMONTH(K7,0),#REF!,$B$29)+SUMIFS('1UL9RY'!$K$6:$K$2990,'1UL9RY'!$J$6:$J$2990,"&gt;="&amp;K7,'1UL9RY'!$J$6:$J$2990,"&lt;="&amp;EOMONTH(K7,0),'1UL9RY'!$L$6:$L$2990,$B$29)+SUMIFS('1OZ7GT'!$K$6:$K$2989,'1OZ7GT'!$J$6:$J$2989,"&gt;="&amp;K7,'1OZ7GT'!$J$6:$J$2989,"&lt;="&amp;EOMONTH(K7,0),'1OZ7GT'!$L$6:$L$2989,$B$29)+SUMIFS('1CN8DD'!$K$6:$K$2989,'1CN8DD'!$J$6:$J$2989,"&gt;="&amp;K7,'1CN8DD'!$J$6:$J$2989,"&lt;="&amp;EOMONTH(K7,0),'1CN8DD'!$L$6:$L$2989,$B$29)+SUMIFS('1UT9BR'!$K$6:$K$2990,'1UT9BR'!$J$6:$J$2990,"&gt;="&amp;K7,'1UT9BR'!$J$6:$J$2990,"&lt;="&amp;EOMONTH(K7,0),'1UT9BR'!$L$6:$L$2990,$B$29)+SUMIFS('1MK4UR'!$K$6:$K$2990,'1MK4UR'!$J$6:$J$2990,"&gt;="&amp;K7,'1MK4UR'!$J$6:$J$2990,"&lt;="&amp;EOMONTH(K7,0),'1MK4UR'!$L$6:$L$2990,$B$29)+SUMIFS(#REF!,#REF!,"&gt;="&amp;K7,#REF!,"&lt;="&amp;EOMONTH(K7,0),#REF!,$B$29)+SUMIFS('1JI2UE'!$K$6:$K$2989,'1JI2UE'!$J$6:$J$2989,"&gt;="&amp;K7,'1JI2UE'!$J$6:$J$2989,"&lt;="&amp;EOMONTH(K7,0),'1JI2UE'!$L$6:$L$2989,$B$29)+SUMIFS(#REF!,#REF!,"&gt;="&amp;K7,#REF!,"&lt;="&amp;EOMONTH(K7,0),#REF!,$B$29)+SUMIFS('1SI9BW'!$K$6:$K$2989,'1SI9BW'!$J$6:$J$2989,"&gt;="&amp;K7,'1SI9BW'!$J$6:$J$2989,"&lt;="&amp;EOMONTH(K7,0),'1SI9BW'!$L$6:$L$2989,$B$29)+SUMIFS(Suzuki!$K$6:$K$2989,Suzuki!$J$6:$J$2989,"&gt;="&amp;K7,Suzuki!$J$6:$J$2989,"&lt;="&amp;EOMONTH(K7,0),Suzuki!$L$6:$L$2989,$B$29)+SUMIFS('1SK3DD'!$K$6:$K$2989,'1SK3DD'!$J$6:$J$2989,"&gt;="&amp;K7,'1SK3DD'!$J$6:$J$2989,"&lt;="&amp;EOMONTH(K7,0),'1SK3DD'!$L$6:$L$2989,$B$29)+SUMIFS('1SX5TQ'!$K$6:$K$2989,'1SX5TQ'!$J$6:$J$2989,"&gt;="&amp;K7,'1SX5TQ'!$J$6:$J$2989,"&lt;="&amp;EOMONTH(K7,0),'1SX5TQ'!$L$6:$L$2989,$B$29)+SUMIFS('BMM465'!$K$6:$K$2989,'BMM465'!$J$6:$J$2989,"&gt;="&amp;K7,'BMM465'!$J$6:$J$2989,"&lt;="&amp;EOMONTH(K7,0),'BMM465'!$L$6:$L$2989,$B$29)+SUMIFS('1CF1ZO'!$K$6:$K$2989,'1CF1ZO'!$J$6:$J$2989,"&gt;="&amp;K7,'1CF1ZO'!$J$6:$J$2989,"&lt;="&amp;EOMONTH(K7,0),'1CF1ZO'!$L$6:$L$2989,$B$29)+SUMIFS('1UK1BK'!$K$6:$K$2989,'1UK1BK'!$J$6:$J$2989,"&gt;="&amp;K7,'1UK1BK'!$J$6:$J$2989,"&lt;="&amp;EOMONTH(K7,0),'1UK1BK'!$L$6:$L$2989,$B$29)</f>
        <v>#REF!</v>
      </c>
      <c r="L29" s="110" t="e">
        <f>SUMIFS('CEI565'!$K$6:$K$2990,'CEI565'!$J$6:$J$2990,"&gt;="&amp;L7,'CEI565'!$J$6:$J$2990,"&lt;="&amp;EOMONTH(L7,0),'CEI565'!$L$6:$L$2990,$B$29)+SUMIFS('1SM3VL'!$K$6:$K$2990,'1SM3VL'!$J$6:$J$2990,"&gt;="&amp;L7,'1SM3VL'!$J$6:$J$2990,"&lt;="&amp;EOMONTH(L7,0),'1SM3VL'!$L$6:$L$2990,$B$29)+SUMIFS('1QF4SM'!$K$6:$K$2989,'1QF4SM'!$J$6:$J$2989,"&gt;="&amp;L7,'1QF4SM'!$J$6:$J$2989,"&lt;="&amp;EOMONTH(L7,0),'1QF4SM'!$L$6:$L$2989,$B$29)+SUMIFS('1UV5KI'!$K$6:$K$2989,'1UV5KI'!$J$6:$J$2989,"&gt;="&amp;L7,'1UV5KI'!$J$6:$J$2989,"&lt;="&amp;EOMONTH(L7,0),'1UV5KI'!$L$6:$L$2989,$B$29)+SUMIFS(#REF!,#REF!,"&gt;="&amp;L7,#REF!,"&lt;="&amp;EOMONTH(L7,0),#REF!,$B$29)+SUMIFS('1UL9RY'!$K$6:$K$2990,'1UL9RY'!$J$6:$J$2990,"&gt;="&amp;L7,'1UL9RY'!$J$6:$J$2990,"&lt;="&amp;EOMONTH(L7,0),'1UL9RY'!$L$6:$L$2990,$B$29)+SUMIFS('1OZ7GT'!$K$6:$K$2989,'1OZ7GT'!$J$6:$J$2989,"&gt;="&amp;L7,'1OZ7GT'!$J$6:$J$2989,"&lt;="&amp;EOMONTH(L7,0),'1OZ7GT'!$L$6:$L$2989,$B$29)+SUMIFS('1CN8DD'!$K$6:$K$2989,'1CN8DD'!$J$6:$J$2989,"&gt;="&amp;L7,'1CN8DD'!$J$6:$J$2989,"&lt;="&amp;EOMONTH(L7,0),'1CN8DD'!$L$6:$L$2989,$B$29)+SUMIFS('1UT9BR'!$K$6:$K$2990,'1UT9BR'!$J$6:$J$2990,"&gt;="&amp;L7,'1UT9BR'!$J$6:$J$2990,"&lt;="&amp;EOMONTH(L7,0),'1UT9BR'!$L$6:$L$2990,$B$29)+SUMIFS('1MK4UR'!$K$6:$K$2990,'1MK4UR'!$J$6:$J$2990,"&gt;="&amp;L7,'1MK4UR'!$J$6:$J$2990,"&lt;="&amp;EOMONTH(L7,0),'1MK4UR'!$L$6:$L$2990,$B$29)+SUMIFS(#REF!,#REF!,"&gt;="&amp;L7,#REF!,"&lt;="&amp;EOMONTH(L7,0),#REF!,$B$29)+SUMIFS('1JI2UE'!$K$6:$K$2989,'1JI2UE'!$J$6:$J$2989,"&gt;="&amp;L7,'1JI2UE'!$J$6:$J$2989,"&lt;="&amp;EOMONTH(L7,0),'1JI2UE'!$L$6:$L$2989,$B$29)+SUMIFS(#REF!,#REF!,"&gt;="&amp;L7,#REF!,"&lt;="&amp;EOMONTH(L7,0),#REF!,$B$29)+SUMIFS('1SI9BW'!$K$6:$K$2989,'1SI9BW'!$J$6:$J$2989,"&gt;="&amp;L7,'1SI9BW'!$J$6:$J$2989,"&lt;="&amp;EOMONTH(L7,0),'1SI9BW'!$L$6:$L$2989,$B$29)+SUMIFS(Suzuki!$K$6:$K$2989,Suzuki!$J$6:$J$2989,"&gt;="&amp;L7,Suzuki!$J$6:$J$2989,"&lt;="&amp;EOMONTH(L7,0),Suzuki!$L$6:$L$2989,$B$29)+SUMIFS('1SK3DD'!$K$6:$K$2989,'1SK3DD'!$J$6:$J$2989,"&gt;="&amp;L7,'1SK3DD'!$J$6:$J$2989,"&lt;="&amp;EOMONTH(L7,0),'1SK3DD'!$L$6:$L$2989,$B$29)+SUMIFS('1SX5TQ'!$K$6:$K$2989,'1SX5TQ'!$J$6:$J$2989,"&gt;="&amp;L7,'1SX5TQ'!$J$6:$J$2989,"&lt;="&amp;EOMONTH(L7,0),'1SX5TQ'!$L$6:$L$2989,$B$29)+SUMIFS('BMM465'!$K$6:$K$2989,'BMM465'!$J$6:$J$2989,"&gt;="&amp;L7,'BMM465'!$J$6:$J$2989,"&lt;="&amp;EOMONTH(L7,0),'BMM465'!$L$6:$L$2989,$B$29)+SUMIFS('1CF1ZO'!$K$6:$K$2989,'1CF1ZO'!$J$6:$J$2989,"&gt;="&amp;L7,'1CF1ZO'!$J$6:$J$2989,"&lt;="&amp;EOMONTH(L7,0),'1CF1ZO'!$L$6:$L$2989,$B$29)+SUMIFS('1UK1BK'!$K$6:$K$2989,'1UK1BK'!$J$6:$J$2989,"&gt;="&amp;L7,'1UK1BK'!$J$6:$J$2989,"&lt;="&amp;EOMONTH(L7,0),'1UK1BK'!$L$6:$L$2989,$B$29)</f>
        <v>#REF!</v>
      </c>
      <c r="M29" s="110" t="e">
        <f>SUMIFS('CEI565'!$K$6:$K$2990,'CEI565'!$J$6:$J$2990,"&gt;="&amp;M7,'CEI565'!$J$6:$J$2990,"&lt;="&amp;EOMONTH(M7,0),'CEI565'!$L$6:$L$2990,$B$29)+SUMIFS('1SM3VL'!$K$6:$K$2990,'1SM3VL'!$J$6:$J$2990,"&gt;="&amp;M7,'1SM3VL'!$J$6:$J$2990,"&lt;="&amp;EOMONTH(M7,0),'1SM3VL'!$L$6:$L$2990,$B$29)+SUMIFS('1QF4SM'!$K$6:$K$2989,'1QF4SM'!$J$6:$J$2989,"&gt;="&amp;M7,'1QF4SM'!$J$6:$J$2989,"&lt;="&amp;EOMONTH(M7,0),'1QF4SM'!$L$6:$L$2989,$B$29)+SUMIFS('1UV5KI'!$K$6:$K$2989,'1UV5KI'!$J$6:$J$2989,"&gt;="&amp;M7,'1UV5KI'!$J$6:$J$2989,"&lt;="&amp;EOMONTH(M7,0),'1UV5KI'!$L$6:$L$2989,$B$29)+SUMIFS(#REF!,#REF!,"&gt;="&amp;M7,#REF!,"&lt;="&amp;EOMONTH(M7,0),#REF!,$B$29)+SUMIFS('1UL9RY'!$K$6:$K$2990,'1UL9RY'!$J$6:$J$2990,"&gt;="&amp;M7,'1UL9RY'!$J$6:$J$2990,"&lt;="&amp;EOMONTH(M7,0),'1UL9RY'!$L$6:$L$2990,$B$29)+SUMIFS('1OZ7GT'!$K$6:$K$2989,'1OZ7GT'!$J$6:$J$2989,"&gt;="&amp;M7,'1OZ7GT'!$J$6:$J$2989,"&lt;="&amp;EOMONTH(M7,0),'1OZ7GT'!$L$6:$L$2989,$B$29)+SUMIFS('1CN8DD'!$K$6:$K$2989,'1CN8DD'!$J$6:$J$2989,"&gt;="&amp;M7,'1CN8DD'!$J$6:$J$2989,"&lt;="&amp;EOMONTH(M7,0),'1CN8DD'!$L$6:$L$2989,$B$29)+SUMIFS('1UT9BR'!$K$6:$K$2990,'1UT9BR'!$J$6:$J$2990,"&gt;="&amp;M7,'1UT9BR'!$J$6:$J$2990,"&lt;="&amp;EOMONTH(M7,0),'1UT9BR'!$L$6:$L$2990,$B$29)+SUMIFS('1MK4UR'!$K$6:$K$2990,'1MK4UR'!$J$6:$J$2990,"&gt;="&amp;M7,'1MK4UR'!$J$6:$J$2990,"&lt;="&amp;EOMONTH(M7,0),'1MK4UR'!$L$6:$L$2990,$B$29)+SUMIFS(#REF!,#REF!,"&gt;="&amp;M7,#REF!,"&lt;="&amp;EOMONTH(M7,0),#REF!,$B$29)+SUMIFS('1JI2UE'!$K$6:$K$2989,'1JI2UE'!$J$6:$J$2989,"&gt;="&amp;M7,'1JI2UE'!$J$6:$J$2989,"&lt;="&amp;EOMONTH(M7,0),'1JI2UE'!$L$6:$L$2989,$B$29)+SUMIFS(#REF!,#REF!,"&gt;="&amp;M7,#REF!,"&lt;="&amp;EOMONTH(M7,0),#REF!,$B$29)+SUMIFS('1SI9BW'!$K$6:$K$2989,'1SI9BW'!$J$6:$J$2989,"&gt;="&amp;M7,'1SI9BW'!$J$6:$J$2989,"&lt;="&amp;EOMONTH(M7,0),'1SI9BW'!$L$6:$L$2989,$B$29)+SUMIFS(Suzuki!$K$6:$K$2989,Suzuki!$J$6:$J$2989,"&gt;="&amp;M7,Suzuki!$J$6:$J$2989,"&lt;="&amp;EOMONTH(M7,0),Suzuki!$L$6:$L$2989,$B$29)+SUMIFS('1SK3DD'!$K$6:$K$2989,'1SK3DD'!$J$6:$J$2989,"&gt;="&amp;M7,'1SK3DD'!$J$6:$J$2989,"&lt;="&amp;EOMONTH(M7,0),'1SK3DD'!$L$6:$L$2989,$B$29)+SUMIFS('1SX5TQ'!$K$6:$K$2989,'1SX5TQ'!$J$6:$J$2989,"&gt;="&amp;M7,'1SX5TQ'!$J$6:$J$2989,"&lt;="&amp;EOMONTH(M7,0),'1SX5TQ'!$L$6:$L$2989,$B$29)+SUMIFS('BMM465'!$K$6:$K$2989,'BMM465'!$J$6:$J$2989,"&gt;="&amp;M7,'BMM465'!$J$6:$J$2989,"&lt;="&amp;EOMONTH(M7,0),'BMM465'!$L$6:$L$2989,$B$29)+SUMIFS('1CF1ZO'!$K$6:$K$2989,'1CF1ZO'!$J$6:$J$2989,"&gt;="&amp;M7,'1CF1ZO'!$J$6:$J$2989,"&lt;="&amp;EOMONTH(M7,0),'1CF1ZO'!$L$6:$L$2989,$B$29)+SUMIFS('1UK1BK'!$K$6:$K$2989,'1UK1BK'!$J$6:$J$2989,"&gt;="&amp;M7,'1UK1BK'!$J$6:$J$2989,"&lt;="&amp;EOMONTH(M7,0),'1UK1BK'!$L$6:$L$2989,$B$29)</f>
        <v>#REF!</v>
      </c>
      <c r="N29" s="110" t="e">
        <f>SUMIFS('CEI565'!$K$6:$K$2990,'CEI565'!$J$6:$J$2990,"&gt;="&amp;N7,'CEI565'!$J$6:$J$2990,"&lt;="&amp;EOMONTH(N7,0),'CEI565'!$L$6:$L$2990,$B$29)+SUMIFS('1SM3VL'!$K$6:$K$2990,'1SM3VL'!$J$6:$J$2990,"&gt;="&amp;N7,'1SM3VL'!$J$6:$J$2990,"&lt;="&amp;EOMONTH(N7,0),'1SM3VL'!$L$6:$L$2990,$B$29)+SUMIFS('1QF4SM'!$K$6:$K$2989,'1QF4SM'!$J$6:$J$2989,"&gt;="&amp;N7,'1QF4SM'!$J$6:$J$2989,"&lt;="&amp;EOMONTH(N7,0),'1QF4SM'!$L$6:$L$2989,$B$29)+SUMIFS('1UV5KI'!$K$6:$K$2989,'1UV5KI'!$J$6:$J$2989,"&gt;="&amp;N7,'1UV5KI'!$J$6:$J$2989,"&lt;="&amp;EOMONTH(N7,0),'1UV5KI'!$L$6:$L$2989,$B$29)+SUMIFS(#REF!,#REF!,"&gt;="&amp;N7,#REF!,"&lt;="&amp;EOMONTH(N7,0),#REF!,$B$29)+SUMIFS('1UL9RY'!$K$6:$K$2990,'1UL9RY'!$J$6:$J$2990,"&gt;="&amp;N7,'1UL9RY'!$J$6:$J$2990,"&lt;="&amp;EOMONTH(N7,0),'1UL9RY'!$L$6:$L$2990,$B$29)+SUMIFS('1OZ7GT'!$K$6:$K$2989,'1OZ7GT'!$J$6:$J$2989,"&gt;="&amp;N7,'1OZ7GT'!$J$6:$J$2989,"&lt;="&amp;EOMONTH(N7,0),'1OZ7GT'!$L$6:$L$2989,$B$29)+SUMIFS('1CN8DD'!$K$6:$K$2989,'1CN8DD'!$J$6:$J$2989,"&gt;="&amp;N7,'1CN8DD'!$J$6:$J$2989,"&lt;="&amp;EOMONTH(N7,0),'1CN8DD'!$L$6:$L$2989,$B$29)+SUMIFS('1UT9BR'!$K$6:$K$2990,'1UT9BR'!$J$6:$J$2990,"&gt;="&amp;N7,'1UT9BR'!$J$6:$J$2990,"&lt;="&amp;EOMONTH(N7,0),'1UT9BR'!$L$6:$L$2990,$B$29)+SUMIFS('1MK4UR'!$K$6:$K$2990,'1MK4UR'!$J$6:$J$2990,"&gt;="&amp;N7,'1MK4UR'!$J$6:$J$2990,"&lt;="&amp;EOMONTH(N7,0),'1MK4UR'!$L$6:$L$2990,$B$29)+SUMIFS(#REF!,#REF!,"&gt;="&amp;N7,#REF!,"&lt;="&amp;EOMONTH(N7,0),#REF!,$B$29)+SUMIFS('1JI2UE'!$K$6:$K$2989,'1JI2UE'!$J$6:$J$2989,"&gt;="&amp;N7,'1JI2UE'!$J$6:$J$2989,"&lt;="&amp;EOMONTH(N7,0),'1JI2UE'!$L$6:$L$2989,$B$29)+SUMIFS(#REF!,#REF!,"&gt;="&amp;N7,#REF!,"&lt;="&amp;EOMONTH(N7,0),#REF!,$B$29)+SUMIFS('1SI9BW'!$K$6:$K$2989,'1SI9BW'!$J$6:$J$2989,"&gt;="&amp;N7,'1SI9BW'!$J$6:$J$2989,"&lt;="&amp;EOMONTH(N7,0),'1SI9BW'!$L$6:$L$2989,$B$29)+SUMIFS(Suzuki!$K$6:$K$2989,Suzuki!$J$6:$J$2989,"&gt;="&amp;N7,Suzuki!$J$6:$J$2989,"&lt;="&amp;EOMONTH(N7,0),Suzuki!$L$6:$L$2989,$B$29)+SUMIFS('1SK3DD'!$K$6:$K$2989,'1SK3DD'!$J$6:$J$2989,"&gt;="&amp;N7,'1SK3DD'!$J$6:$J$2989,"&lt;="&amp;EOMONTH(N7,0),'1SK3DD'!$L$6:$L$2989,$B$29)+SUMIFS('1SX5TQ'!$K$6:$K$2989,'1SX5TQ'!$J$6:$J$2989,"&gt;="&amp;N7,'1SX5TQ'!$J$6:$J$2989,"&lt;="&amp;EOMONTH(N7,0),'1SX5TQ'!$L$6:$L$2989,$B$29)+SUMIFS('BMM465'!$K$6:$K$2989,'BMM465'!$J$6:$J$2989,"&gt;="&amp;N7,'BMM465'!$J$6:$J$2989,"&lt;="&amp;EOMONTH(N7,0),'BMM465'!$L$6:$L$2989,$B$29)+SUMIFS('1CF1ZO'!$K$6:$K$2989,'1CF1ZO'!$J$6:$J$2989,"&gt;="&amp;N7,'1CF1ZO'!$J$6:$J$2989,"&lt;="&amp;EOMONTH(N7,0),'1CF1ZO'!$L$6:$L$2989,$B$29)+SUMIFS('1UK1BK'!$K$6:$K$2989,'1UK1BK'!$J$6:$J$2989,"&gt;="&amp;N7,'1UK1BK'!$J$6:$J$2989,"&lt;="&amp;EOMONTH(N7,0),'1UK1BK'!$L$6:$L$2989,$B$29)</f>
        <v>#REF!</v>
      </c>
      <c r="O29" s="110" t="e">
        <f>SUMIFS('CEI565'!$K$6:$K$2990,'CEI565'!$J$6:$J$2990,"&gt;="&amp;O7,'CEI565'!$J$6:$J$2990,"&lt;="&amp;EOMONTH(O7,0),'CEI565'!$L$6:$L$2990,$B$29)+SUMIFS('1SM3VL'!$K$6:$K$2990,'1SM3VL'!$J$6:$J$2990,"&gt;="&amp;O7,'1SM3VL'!$J$6:$J$2990,"&lt;="&amp;EOMONTH(O7,0),'1SM3VL'!$L$6:$L$2990,$B$29)+SUMIFS('1QF4SM'!$K$6:$K$2989,'1QF4SM'!$J$6:$J$2989,"&gt;="&amp;O7,'1QF4SM'!$J$6:$J$2989,"&lt;="&amp;EOMONTH(O7,0),'1QF4SM'!$L$6:$L$2989,$B$29)+SUMIFS('1UV5KI'!$K$6:$K$2989,'1UV5KI'!$J$6:$J$2989,"&gt;="&amp;O7,'1UV5KI'!$J$6:$J$2989,"&lt;="&amp;EOMONTH(O7,0),'1UV5KI'!$L$6:$L$2989,$B$29)+SUMIFS(#REF!,#REF!,"&gt;="&amp;O7,#REF!,"&lt;="&amp;EOMONTH(O7,0),#REF!,$B$29)+SUMIFS('1UL9RY'!$K$6:$K$2990,'1UL9RY'!$J$6:$J$2990,"&gt;="&amp;O7,'1UL9RY'!$J$6:$J$2990,"&lt;="&amp;EOMONTH(O7,0),'1UL9RY'!$L$6:$L$2990,$B$29)+SUMIFS('1OZ7GT'!$K$6:$K$2989,'1OZ7GT'!$J$6:$J$2989,"&gt;="&amp;O7,'1OZ7GT'!$J$6:$J$2989,"&lt;="&amp;EOMONTH(O7,0),'1OZ7GT'!$L$6:$L$2989,$B$29)+SUMIFS('1CN8DD'!$K$6:$K$2989,'1CN8DD'!$J$6:$J$2989,"&gt;="&amp;O7,'1CN8DD'!$J$6:$J$2989,"&lt;="&amp;EOMONTH(O7,0),'1CN8DD'!$L$6:$L$2989,$B$29)+SUMIFS('1UT9BR'!$K$6:$K$2990,'1UT9BR'!$J$6:$J$2990,"&gt;="&amp;O7,'1UT9BR'!$J$6:$J$2990,"&lt;="&amp;EOMONTH(O7,0),'1UT9BR'!$L$6:$L$2990,$B$29)+SUMIFS('1MK4UR'!$K$6:$K$2990,'1MK4UR'!$J$6:$J$2990,"&gt;="&amp;O7,'1MK4UR'!$J$6:$J$2990,"&lt;="&amp;EOMONTH(O7,0),'1MK4UR'!$L$6:$L$2990,$B$29)+SUMIFS(#REF!,#REF!,"&gt;="&amp;O7,#REF!,"&lt;="&amp;EOMONTH(O7,0),#REF!,$B$29)+SUMIFS('1JI2UE'!$K$6:$K$2989,'1JI2UE'!$J$6:$J$2989,"&gt;="&amp;O7,'1JI2UE'!$J$6:$J$2989,"&lt;="&amp;EOMONTH(O7,0),'1JI2UE'!$L$6:$L$2989,$B$29)+SUMIFS(#REF!,#REF!,"&gt;="&amp;O7,#REF!,"&lt;="&amp;EOMONTH(O7,0),#REF!,$B$29)+SUMIFS('1SI9BW'!$K$6:$K$2989,'1SI9BW'!$J$6:$J$2989,"&gt;="&amp;O7,'1SI9BW'!$J$6:$J$2989,"&lt;="&amp;EOMONTH(O7,0),'1SI9BW'!$L$6:$L$2989,$B$29)+SUMIFS(Suzuki!$K$6:$K$2989,Suzuki!$J$6:$J$2989,"&gt;="&amp;O7,Suzuki!$J$6:$J$2989,"&lt;="&amp;EOMONTH(O7,0),Suzuki!$L$6:$L$2989,$B$29)+SUMIFS('1SK3DD'!$K$6:$K$2989,'1SK3DD'!$J$6:$J$2989,"&gt;="&amp;O7,'1SK3DD'!$J$6:$J$2989,"&lt;="&amp;EOMONTH(O7,0),'1SK3DD'!$L$6:$L$2989,$B$29)+SUMIFS('1SX5TQ'!$K$6:$K$2989,'1SX5TQ'!$J$6:$J$2989,"&gt;="&amp;O7,'1SX5TQ'!$J$6:$J$2989,"&lt;="&amp;EOMONTH(O7,0),'1SX5TQ'!$L$6:$L$2989,$B$29)+SUMIFS('BMM465'!$K$6:$K$2989,'BMM465'!$J$6:$J$2989,"&gt;="&amp;O7,'BMM465'!$J$6:$J$2989,"&lt;="&amp;EOMONTH(O7,0),'BMM465'!$L$6:$L$2989,$B$29)+SUMIFS('1CF1ZO'!$K$6:$K$2989,'1CF1ZO'!$J$6:$J$2989,"&gt;="&amp;O7,'1CF1ZO'!$J$6:$J$2989,"&lt;="&amp;EOMONTH(O7,0),'1CF1ZO'!$L$6:$L$2989,$B$29)+SUMIFS('1UK1BK'!$K$6:$K$2989,'1UK1BK'!$J$6:$J$2989,"&gt;="&amp;O7,'1UK1BK'!$J$6:$J$2989,"&lt;="&amp;EOMONTH(O7,0),'1UK1BK'!$L$6:$L$2989,$B$29)</f>
        <v>#REF!</v>
      </c>
      <c r="P29" s="110" t="e">
        <f>SUMIFS('CEI565'!$K$6:$K$2990,'CEI565'!$J$6:$J$2990,"&gt;="&amp;P7,'CEI565'!$J$6:$J$2990,"&lt;="&amp;EOMONTH(P7,0),'CEI565'!$L$6:$L$2990,$B$29)+SUMIFS('1SM3VL'!$K$6:$K$2990,'1SM3VL'!$J$6:$J$2990,"&gt;="&amp;P7,'1SM3VL'!$J$6:$J$2990,"&lt;="&amp;EOMONTH(P7,0),'1SM3VL'!$L$6:$L$2990,$B$29)+SUMIFS('1QF4SM'!$K$6:$K$2989,'1QF4SM'!$J$6:$J$2989,"&gt;="&amp;P7,'1QF4SM'!$J$6:$J$2989,"&lt;="&amp;EOMONTH(P7,0),'1QF4SM'!$L$6:$L$2989,$B$29)+SUMIFS('1UV5KI'!$K$6:$K$2989,'1UV5KI'!$J$6:$J$2989,"&gt;="&amp;P7,'1UV5KI'!$J$6:$J$2989,"&lt;="&amp;EOMONTH(P7,0),'1UV5KI'!$L$6:$L$2989,$B$29)+SUMIFS(#REF!,#REF!,"&gt;="&amp;P7,#REF!,"&lt;="&amp;EOMONTH(P7,0),#REF!,$B$29)+SUMIFS('1UL9RY'!$K$6:$K$2990,'1UL9RY'!$J$6:$J$2990,"&gt;="&amp;P7,'1UL9RY'!$J$6:$J$2990,"&lt;="&amp;EOMONTH(P7,0),'1UL9RY'!$L$6:$L$2990,$B$29)+SUMIFS('1OZ7GT'!$K$6:$K$2989,'1OZ7GT'!$J$6:$J$2989,"&gt;="&amp;P7,'1OZ7GT'!$J$6:$J$2989,"&lt;="&amp;EOMONTH(P7,0),'1OZ7GT'!$L$6:$L$2989,$B$29)+SUMIFS('1CN8DD'!$K$6:$K$2989,'1CN8DD'!$J$6:$J$2989,"&gt;="&amp;P7,'1CN8DD'!$J$6:$J$2989,"&lt;="&amp;EOMONTH(P7,0),'1CN8DD'!$L$6:$L$2989,$B$29)+SUMIFS('1UT9BR'!$K$6:$K$2990,'1UT9BR'!$J$6:$J$2990,"&gt;="&amp;P7,'1UT9BR'!$J$6:$J$2990,"&lt;="&amp;EOMONTH(P7,0),'1UT9BR'!$L$6:$L$2990,$B$29)+SUMIFS('1MK4UR'!$K$6:$K$2990,'1MK4UR'!$J$6:$J$2990,"&gt;="&amp;P7,'1MK4UR'!$J$6:$J$2990,"&lt;="&amp;EOMONTH(P7,0),'1MK4UR'!$L$6:$L$2990,$B$29)+SUMIFS(#REF!,#REF!,"&gt;="&amp;P7,#REF!,"&lt;="&amp;EOMONTH(P7,0),#REF!,$B$29)+SUMIFS('1JI2UE'!$K$6:$K$2989,'1JI2UE'!$J$6:$J$2989,"&gt;="&amp;P7,'1JI2UE'!$J$6:$J$2989,"&lt;="&amp;EOMONTH(P7,0),'1JI2UE'!$L$6:$L$2989,$B$29)+SUMIFS(#REF!,#REF!,"&gt;="&amp;P7,#REF!,"&lt;="&amp;EOMONTH(P7,0),#REF!,$B$29)+SUMIFS('1SI9BW'!$K$6:$K$2989,'1SI9BW'!$J$6:$J$2989,"&gt;="&amp;P7,'1SI9BW'!$J$6:$J$2989,"&lt;="&amp;EOMONTH(P7,0),'1SI9BW'!$L$6:$L$2989,$B$29)+SUMIFS(Suzuki!$K$6:$K$2989,Suzuki!$J$6:$J$2989,"&gt;="&amp;P7,Suzuki!$J$6:$J$2989,"&lt;="&amp;EOMONTH(P7,0),Suzuki!$L$6:$L$2989,$B$29)+SUMIFS('1SK3DD'!$K$6:$K$2989,'1SK3DD'!$J$6:$J$2989,"&gt;="&amp;P7,'1SK3DD'!$J$6:$J$2989,"&lt;="&amp;EOMONTH(P7,0),'1SK3DD'!$L$6:$L$2989,$B$29)+SUMIFS('1SX5TQ'!$K$6:$K$2989,'1SX5TQ'!$J$6:$J$2989,"&gt;="&amp;P7,'1SX5TQ'!$J$6:$J$2989,"&lt;="&amp;EOMONTH(P7,0),'1SX5TQ'!$L$6:$L$2989,$B$29)+SUMIFS('BMM465'!$K$6:$K$2989,'BMM465'!$J$6:$J$2989,"&gt;="&amp;P7,'BMM465'!$J$6:$J$2989,"&lt;="&amp;EOMONTH(P7,0),'BMM465'!$L$6:$L$2989,$B$29)+SUMIFS('1CF1ZO'!$K$6:$K$2989,'1CF1ZO'!$J$6:$J$2989,"&gt;="&amp;P7,'1CF1ZO'!$J$6:$J$2989,"&lt;="&amp;EOMONTH(P7,0),'1CF1ZO'!$L$6:$L$2989,$B$29)+SUMIFS('1UK1BK'!$K$6:$K$2989,'1UK1BK'!$J$6:$J$2989,"&gt;="&amp;P7,'1UK1BK'!$J$6:$J$2989,"&lt;="&amp;EOMONTH(P7,0),'1UK1BK'!$L$6:$L$2989,$B$29)</f>
        <v>#REF!</v>
      </c>
      <c r="Q29" s="110" t="e">
        <f>SUMIFS('CEI565'!$K$6:$K$2990,'CEI565'!$J$6:$J$2990,"&gt;="&amp;Q7,'CEI565'!$J$6:$J$2990,"&lt;="&amp;EOMONTH(Q7,0),'CEI565'!$L$6:$L$2990,$B$29)+SUMIFS('1SM3VL'!$K$6:$K$2990,'1SM3VL'!$J$6:$J$2990,"&gt;="&amp;Q7,'1SM3VL'!$J$6:$J$2990,"&lt;="&amp;EOMONTH(Q7,0),'1SM3VL'!$L$6:$L$2990,$B$29)+SUMIFS('1QF4SM'!$K$6:$K$2989,'1QF4SM'!$J$6:$J$2989,"&gt;="&amp;Q7,'1QF4SM'!$J$6:$J$2989,"&lt;="&amp;EOMONTH(Q7,0),'1QF4SM'!$L$6:$L$2989,$B$29)+SUMIFS('1UV5KI'!$K$6:$K$2989,'1UV5KI'!$J$6:$J$2989,"&gt;="&amp;Q7,'1UV5KI'!$J$6:$J$2989,"&lt;="&amp;EOMONTH(Q7,0),'1UV5KI'!$L$6:$L$2989,$B$29)+SUMIFS(#REF!,#REF!,"&gt;="&amp;Q7,#REF!,"&lt;="&amp;EOMONTH(Q7,0),#REF!,$B$29)+SUMIFS('1UL9RY'!$K$6:$K$2990,'1UL9RY'!$J$6:$J$2990,"&gt;="&amp;Q7,'1UL9RY'!$J$6:$J$2990,"&lt;="&amp;EOMONTH(Q7,0),'1UL9RY'!$L$6:$L$2990,$B$29)+SUMIFS('1OZ7GT'!$K$6:$K$2989,'1OZ7GT'!$J$6:$J$2989,"&gt;="&amp;Q7,'1OZ7GT'!$J$6:$J$2989,"&lt;="&amp;EOMONTH(Q7,0),'1OZ7GT'!$L$6:$L$2989,$B$29)+SUMIFS('1CN8DD'!$K$6:$K$2989,'1CN8DD'!$J$6:$J$2989,"&gt;="&amp;Q7,'1CN8DD'!$J$6:$J$2989,"&lt;="&amp;EOMONTH(Q7,0),'1CN8DD'!$L$6:$L$2989,$B$29)+SUMIFS('1UT9BR'!$K$6:$K$2990,'1UT9BR'!$J$6:$J$2990,"&gt;="&amp;Q7,'1UT9BR'!$J$6:$J$2990,"&lt;="&amp;EOMONTH(Q7,0),'1UT9BR'!$L$6:$L$2990,$B$29)+SUMIFS('1MK4UR'!$K$6:$K$2990,'1MK4UR'!$J$6:$J$2990,"&gt;="&amp;Q7,'1MK4UR'!$J$6:$J$2990,"&lt;="&amp;EOMONTH(Q7,0),'1MK4UR'!$L$6:$L$2990,$B$29)+SUMIFS(#REF!,#REF!,"&gt;="&amp;Q7,#REF!,"&lt;="&amp;EOMONTH(Q7,0),#REF!,$B$29)+SUMIFS('1JI2UE'!$K$6:$K$2989,'1JI2UE'!$J$6:$J$2989,"&gt;="&amp;Q7,'1JI2UE'!$J$6:$J$2989,"&lt;="&amp;EOMONTH(Q7,0),'1JI2UE'!$L$6:$L$2989,$B$29)+SUMIFS(#REF!,#REF!,"&gt;="&amp;Q7,#REF!,"&lt;="&amp;EOMONTH(Q7,0),#REF!,$B$29)+SUMIFS('1SI9BW'!$K$6:$K$2989,'1SI9BW'!$J$6:$J$2989,"&gt;="&amp;Q7,'1SI9BW'!$J$6:$J$2989,"&lt;="&amp;EOMONTH(Q7,0),'1SI9BW'!$L$6:$L$2989,$B$29)+SUMIFS(Suzuki!$K$6:$K$2989,Suzuki!$J$6:$J$2989,"&gt;="&amp;Q7,Suzuki!$J$6:$J$2989,"&lt;="&amp;EOMONTH(Q7,0),Suzuki!$L$6:$L$2989,$B$29)+SUMIFS('1SK3DD'!$K$6:$K$2989,'1SK3DD'!$J$6:$J$2989,"&gt;="&amp;Q7,'1SK3DD'!$J$6:$J$2989,"&lt;="&amp;EOMONTH(Q7,0),'1SK3DD'!$L$6:$L$2989,$B$29)+SUMIFS('1SX5TQ'!$K$6:$K$2989,'1SX5TQ'!$J$6:$J$2989,"&gt;="&amp;Q7,'1SX5TQ'!$J$6:$J$2989,"&lt;="&amp;EOMONTH(Q7,0),'1SX5TQ'!$L$6:$L$2989,$B$29)+SUMIFS('BMM465'!$K$6:$K$2989,'BMM465'!$J$6:$J$2989,"&gt;="&amp;Q7,'BMM465'!$J$6:$J$2989,"&lt;="&amp;EOMONTH(Q7,0),'BMM465'!$L$6:$L$2989,$B$29)+SUMIFS('1CF1ZO'!$K$6:$K$2989,'1CF1ZO'!$J$6:$J$2989,"&gt;="&amp;Q7,'1CF1ZO'!$J$6:$J$2989,"&lt;="&amp;EOMONTH(Q7,0),'1CF1ZO'!$L$6:$L$2989,$B$29)+SUMIFS('1UK1BK'!$K$6:$K$2989,'1UK1BK'!$J$6:$J$2989,"&gt;="&amp;Q7,'1UK1BK'!$J$6:$J$2989,"&lt;="&amp;EOMONTH(Q7,0),'1UK1BK'!$L$6:$L$2989,$B$29)</f>
        <v>#REF!</v>
      </c>
      <c r="R29" s="110" t="e">
        <f>SUMIFS('CEI565'!$K$6:$K$2990,'CEI565'!$J$6:$J$2990,"&gt;="&amp;R7,'CEI565'!$J$6:$J$2990,"&lt;="&amp;EOMONTH(R7,0),'CEI565'!$L$6:$L$2990,$B$29)+SUMIFS('1SM3VL'!$K$6:$K$2990,'1SM3VL'!$J$6:$J$2990,"&gt;="&amp;R7,'1SM3VL'!$J$6:$J$2990,"&lt;="&amp;EOMONTH(R7,0),'1SM3VL'!$L$6:$L$2990,$B$29)+SUMIFS('1QF4SM'!$K$6:$K$2989,'1QF4SM'!$J$6:$J$2989,"&gt;="&amp;R7,'1QF4SM'!$J$6:$J$2989,"&lt;="&amp;EOMONTH(R7,0),'1QF4SM'!$L$6:$L$2989,$B$29)+SUMIFS('1UV5KI'!$K$6:$K$2989,'1UV5KI'!$J$6:$J$2989,"&gt;="&amp;R7,'1UV5KI'!$J$6:$J$2989,"&lt;="&amp;EOMONTH(R7,0),'1UV5KI'!$L$6:$L$2989,$B$29)+SUMIFS(#REF!,#REF!,"&gt;="&amp;R7,#REF!,"&lt;="&amp;EOMONTH(R7,0),#REF!,$B$29)+SUMIFS('1UL9RY'!$K$6:$K$2990,'1UL9RY'!$J$6:$J$2990,"&gt;="&amp;R7,'1UL9RY'!$J$6:$J$2990,"&lt;="&amp;EOMONTH(R7,0),'1UL9RY'!$L$6:$L$2990,$B$29)+SUMIFS('1OZ7GT'!$K$6:$K$2989,'1OZ7GT'!$J$6:$J$2989,"&gt;="&amp;R7,'1OZ7GT'!$J$6:$J$2989,"&lt;="&amp;EOMONTH(R7,0),'1OZ7GT'!$L$6:$L$2989,$B$29)+SUMIFS('1CN8DD'!$K$6:$K$2989,'1CN8DD'!$J$6:$J$2989,"&gt;="&amp;R7,'1CN8DD'!$J$6:$J$2989,"&lt;="&amp;EOMONTH(R7,0),'1CN8DD'!$L$6:$L$2989,$B$29)+SUMIFS('1UT9BR'!$K$6:$K$2990,'1UT9BR'!$J$6:$J$2990,"&gt;="&amp;R7,'1UT9BR'!$J$6:$J$2990,"&lt;="&amp;EOMONTH(R7,0),'1UT9BR'!$L$6:$L$2990,$B$29)+SUMIFS('1MK4UR'!$K$6:$K$2990,'1MK4UR'!$J$6:$J$2990,"&gt;="&amp;R7,'1MK4UR'!$J$6:$J$2990,"&lt;="&amp;EOMONTH(R7,0),'1MK4UR'!$L$6:$L$2990,$B$29)+SUMIFS(#REF!,#REF!,"&gt;="&amp;R7,#REF!,"&lt;="&amp;EOMONTH(R7,0),#REF!,$B$29)+SUMIFS('1JI2UE'!$K$6:$K$2989,'1JI2UE'!$J$6:$J$2989,"&gt;="&amp;R7,'1JI2UE'!$J$6:$J$2989,"&lt;="&amp;EOMONTH(R7,0),'1JI2UE'!$L$6:$L$2989,$B$29)+SUMIFS(#REF!,#REF!,"&gt;="&amp;R7,#REF!,"&lt;="&amp;EOMONTH(R7,0),#REF!,$B$29)+SUMIFS('1SI9BW'!$K$6:$K$2989,'1SI9BW'!$J$6:$J$2989,"&gt;="&amp;R7,'1SI9BW'!$J$6:$J$2989,"&lt;="&amp;EOMONTH(R7,0),'1SI9BW'!$L$6:$L$2989,$B$29)+SUMIFS(Suzuki!$K$6:$K$2989,Suzuki!$J$6:$J$2989,"&gt;="&amp;R7,Suzuki!$J$6:$J$2989,"&lt;="&amp;EOMONTH(R7,0),Suzuki!$L$6:$L$2989,$B$29)+SUMIFS('1SK3DD'!$K$6:$K$2989,'1SK3DD'!$J$6:$J$2989,"&gt;="&amp;R7,'1SK3DD'!$J$6:$J$2989,"&lt;="&amp;EOMONTH(R7,0),'1SK3DD'!$L$6:$L$2989,$B$29)+SUMIFS('1SX5TQ'!$K$6:$K$2989,'1SX5TQ'!$J$6:$J$2989,"&gt;="&amp;R7,'1SX5TQ'!$J$6:$J$2989,"&lt;="&amp;EOMONTH(R7,0),'1SX5TQ'!$L$6:$L$2989,$B$29)+SUMIFS('BMM465'!$K$6:$K$2989,'BMM465'!$J$6:$J$2989,"&gt;="&amp;R7,'BMM465'!$J$6:$J$2989,"&lt;="&amp;EOMONTH(R7,0),'BMM465'!$L$6:$L$2989,$B$29)+SUMIFS('1CF1ZO'!$K$6:$K$2989,'1CF1ZO'!$J$6:$J$2989,"&gt;="&amp;R7,'1CF1ZO'!$J$6:$J$2989,"&lt;="&amp;EOMONTH(R7,0),'1CF1ZO'!$L$6:$L$2989,$B$29)+SUMIFS('1UK1BK'!$K$6:$K$2989,'1UK1BK'!$J$6:$J$2989,"&gt;="&amp;R7,'1UK1BK'!$J$6:$J$2989,"&lt;="&amp;EOMONTH(R7,0),'1UK1BK'!$L$6:$L$2989,$B$29)</f>
        <v>#REF!</v>
      </c>
      <c r="S29" s="110" t="e">
        <f>SUMIFS('CEI565'!$K$6:$K$2990,'CEI565'!$J$6:$J$2990,"&gt;="&amp;S7,'CEI565'!$J$6:$J$2990,"&lt;="&amp;EOMONTH(S7,0),'CEI565'!$L$6:$L$2990,$B$29)+SUMIFS('1SM3VL'!$K$6:$K$2990,'1SM3VL'!$J$6:$J$2990,"&gt;="&amp;S7,'1SM3VL'!$J$6:$J$2990,"&lt;="&amp;EOMONTH(S7,0),'1SM3VL'!$L$6:$L$2990,$B$29)+SUMIFS('1QF4SM'!$K$6:$K$2989,'1QF4SM'!$J$6:$J$2989,"&gt;="&amp;S7,'1QF4SM'!$J$6:$J$2989,"&lt;="&amp;EOMONTH(S7,0),'1QF4SM'!$L$6:$L$2989,$B$29)+SUMIFS('1UV5KI'!$K$6:$K$2989,'1UV5KI'!$J$6:$J$2989,"&gt;="&amp;S7,'1UV5KI'!$J$6:$J$2989,"&lt;="&amp;EOMONTH(S7,0),'1UV5KI'!$L$6:$L$2989,$B$29)+SUMIFS(#REF!,#REF!,"&gt;="&amp;S7,#REF!,"&lt;="&amp;EOMONTH(S7,0),#REF!,$B$29)+SUMIFS('1UL9RY'!$K$6:$K$2990,'1UL9RY'!$J$6:$J$2990,"&gt;="&amp;S7,'1UL9RY'!$J$6:$J$2990,"&lt;="&amp;EOMONTH(S7,0),'1UL9RY'!$L$6:$L$2990,$B$29)+SUMIFS('1OZ7GT'!$K$6:$K$2989,'1OZ7GT'!$J$6:$J$2989,"&gt;="&amp;S7,'1OZ7GT'!$J$6:$J$2989,"&lt;="&amp;EOMONTH(S7,0),'1OZ7GT'!$L$6:$L$2989,$B$29)+SUMIFS('1CN8DD'!$K$6:$K$2989,'1CN8DD'!$J$6:$J$2989,"&gt;="&amp;S7,'1CN8DD'!$J$6:$J$2989,"&lt;="&amp;EOMONTH(S7,0),'1CN8DD'!$L$6:$L$2989,$B$29)+SUMIFS('1UT9BR'!$K$6:$K$2990,'1UT9BR'!$J$6:$J$2990,"&gt;="&amp;S7,'1UT9BR'!$J$6:$J$2990,"&lt;="&amp;EOMONTH(S7,0),'1UT9BR'!$L$6:$L$2990,$B$29)+SUMIFS('1MK4UR'!$K$6:$K$2990,'1MK4UR'!$J$6:$J$2990,"&gt;="&amp;S7,'1MK4UR'!$J$6:$J$2990,"&lt;="&amp;EOMONTH(S7,0),'1MK4UR'!$L$6:$L$2990,$B$29)+SUMIFS(#REF!,#REF!,"&gt;="&amp;S7,#REF!,"&lt;="&amp;EOMONTH(S7,0),#REF!,$B$29)+SUMIFS('1JI2UE'!$K$6:$K$2989,'1JI2UE'!$J$6:$J$2989,"&gt;="&amp;S7,'1JI2UE'!$J$6:$J$2989,"&lt;="&amp;EOMONTH(S7,0),'1JI2UE'!$L$6:$L$2989,$B$29)+SUMIFS(#REF!,#REF!,"&gt;="&amp;S7,#REF!,"&lt;="&amp;EOMONTH(S7,0),#REF!,$B$29)+SUMIFS('1SI9BW'!$K$6:$K$2989,'1SI9BW'!$J$6:$J$2989,"&gt;="&amp;S7,'1SI9BW'!$J$6:$J$2989,"&lt;="&amp;EOMONTH(S7,0),'1SI9BW'!$L$6:$L$2989,$B$29)+SUMIFS(Suzuki!$K$6:$K$2989,Suzuki!$J$6:$J$2989,"&gt;="&amp;S7,Suzuki!$J$6:$J$2989,"&lt;="&amp;EOMONTH(S7,0),Suzuki!$L$6:$L$2989,$B$29)+SUMIFS('1SK3DD'!$K$6:$K$2989,'1SK3DD'!$J$6:$J$2989,"&gt;="&amp;S7,'1SK3DD'!$J$6:$J$2989,"&lt;="&amp;EOMONTH(S7,0),'1SK3DD'!$L$6:$L$2989,$B$29)+SUMIFS('1SX5TQ'!$K$6:$K$2989,'1SX5TQ'!$J$6:$J$2989,"&gt;="&amp;S7,'1SX5TQ'!$J$6:$J$2989,"&lt;="&amp;EOMONTH(S7,0),'1SX5TQ'!$L$6:$L$2989,$B$29)+SUMIFS('BMM465'!$K$6:$K$2989,'BMM465'!$J$6:$J$2989,"&gt;="&amp;S7,'BMM465'!$J$6:$J$2989,"&lt;="&amp;EOMONTH(S7,0),'BMM465'!$L$6:$L$2989,$B$29)+SUMIFS('1CF1ZO'!$K$6:$K$2989,'1CF1ZO'!$J$6:$J$2989,"&gt;="&amp;S7,'1CF1ZO'!$J$6:$J$2989,"&lt;="&amp;EOMONTH(S7,0),'1CF1ZO'!$L$6:$L$2989,$B$29)+SUMIFS('1UK1BK'!$K$6:$K$2989,'1UK1BK'!$J$6:$J$2989,"&gt;="&amp;S7,'1UK1BK'!$J$6:$J$2989,"&lt;="&amp;EOMONTH(S7,0),'1UK1BK'!$L$6:$L$2989,$B$29)</f>
        <v>#REF!</v>
      </c>
      <c r="T29" s="110" t="e">
        <f>SUMIFS('CEI565'!$K$6:$K$2990,'CEI565'!$J$6:$J$2990,"&gt;="&amp;T7,'CEI565'!$J$6:$J$2990,"&lt;="&amp;EOMONTH(T7,0),'CEI565'!$L$6:$L$2990,$B$29)+SUMIFS('1SM3VL'!$K$6:$K$2990,'1SM3VL'!$J$6:$J$2990,"&gt;="&amp;T7,'1SM3VL'!$J$6:$J$2990,"&lt;="&amp;EOMONTH(T7,0),'1SM3VL'!$L$6:$L$2990,$B$29)+SUMIFS('1QF4SM'!$K$6:$K$2989,'1QF4SM'!$J$6:$J$2989,"&gt;="&amp;T7,'1QF4SM'!$J$6:$J$2989,"&lt;="&amp;EOMONTH(T7,0),'1QF4SM'!$L$6:$L$2989,$B$29)+SUMIFS('1UV5KI'!$K$6:$K$2989,'1UV5KI'!$J$6:$J$2989,"&gt;="&amp;T7,'1UV5KI'!$J$6:$J$2989,"&lt;="&amp;EOMONTH(T7,0),'1UV5KI'!$L$6:$L$2989,$B$29)+SUMIFS(#REF!,#REF!,"&gt;="&amp;T7,#REF!,"&lt;="&amp;EOMONTH(T7,0),#REF!,$B$29)+SUMIFS('1UL9RY'!$K$6:$K$2990,'1UL9RY'!$J$6:$J$2990,"&gt;="&amp;T7,'1UL9RY'!$J$6:$J$2990,"&lt;="&amp;EOMONTH(T7,0),'1UL9RY'!$L$6:$L$2990,$B$29)+SUMIFS('1OZ7GT'!$K$6:$K$2989,'1OZ7GT'!$J$6:$J$2989,"&gt;="&amp;T7,'1OZ7GT'!$J$6:$J$2989,"&lt;="&amp;EOMONTH(T7,0),'1OZ7GT'!$L$6:$L$2989,$B$29)+SUMIFS('1CN8DD'!$K$6:$K$2989,'1CN8DD'!$J$6:$J$2989,"&gt;="&amp;T7,'1CN8DD'!$J$6:$J$2989,"&lt;="&amp;EOMONTH(T7,0),'1CN8DD'!$L$6:$L$2989,$B$29)+SUMIFS('1UT9BR'!$K$6:$K$2990,'1UT9BR'!$J$6:$J$2990,"&gt;="&amp;T7,'1UT9BR'!$J$6:$J$2990,"&lt;="&amp;EOMONTH(T7,0),'1UT9BR'!$L$6:$L$2990,$B$29)+SUMIFS('1MK4UR'!$K$6:$K$2990,'1MK4UR'!$J$6:$J$2990,"&gt;="&amp;T7,'1MK4UR'!$J$6:$J$2990,"&lt;="&amp;EOMONTH(T7,0),'1MK4UR'!$L$6:$L$2990,$B$29)+SUMIFS(#REF!,#REF!,"&gt;="&amp;T7,#REF!,"&lt;="&amp;EOMONTH(T7,0),#REF!,$B$29)+SUMIFS('1JI2UE'!$K$6:$K$2989,'1JI2UE'!$J$6:$J$2989,"&gt;="&amp;T7,'1JI2UE'!$J$6:$J$2989,"&lt;="&amp;EOMONTH(T7,0),'1JI2UE'!$L$6:$L$2989,$B$29)+SUMIFS(#REF!,#REF!,"&gt;="&amp;T7,#REF!,"&lt;="&amp;EOMONTH(T7,0),#REF!,$B$29)+SUMIFS('1SI9BW'!$K$6:$K$2989,'1SI9BW'!$J$6:$J$2989,"&gt;="&amp;T7,'1SI9BW'!$J$6:$J$2989,"&lt;="&amp;EOMONTH(T7,0),'1SI9BW'!$L$6:$L$2989,$B$29)+SUMIFS(Suzuki!$K$6:$K$2989,Suzuki!$J$6:$J$2989,"&gt;="&amp;T7,Suzuki!$J$6:$J$2989,"&lt;="&amp;EOMONTH(T7,0),Suzuki!$L$6:$L$2989,$B$29)+SUMIFS('1SK3DD'!$K$6:$K$2989,'1SK3DD'!$J$6:$J$2989,"&gt;="&amp;T7,'1SK3DD'!$J$6:$J$2989,"&lt;="&amp;EOMONTH(T7,0),'1SK3DD'!$L$6:$L$2989,$B$29)+SUMIFS('1SX5TQ'!$K$6:$K$2989,'1SX5TQ'!$J$6:$J$2989,"&gt;="&amp;T7,'1SX5TQ'!$J$6:$J$2989,"&lt;="&amp;EOMONTH(T7,0),'1SX5TQ'!$L$6:$L$2989,$B$29)+SUMIFS('BMM465'!$K$6:$K$2989,'BMM465'!$J$6:$J$2989,"&gt;="&amp;T7,'BMM465'!$J$6:$J$2989,"&lt;="&amp;EOMONTH(T7,0),'BMM465'!$L$6:$L$2989,$B$29)+SUMIFS('1CF1ZO'!$K$6:$K$2989,'1CF1ZO'!$J$6:$J$2989,"&gt;="&amp;T7,'1CF1ZO'!$J$6:$J$2989,"&lt;="&amp;EOMONTH(T7,0),'1CF1ZO'!$L$6:$L$2989,$B$29)+SUMIFS('1UK1BK'!$K$6:$K$2989,'1UK1BK'!$J$6:$J$2989,"&gt;="&amp;T7,'1UK1BK'!$J$6:$J$2989,"&lt;="&amp;EOMONTH(T7,0),'1UK1BK'!$L$6:$L$2989,$B$29)</f>
        <v>#REF!</v>
      </c>
      <c r="U29" s="110" t="e">
        <f>SUMIFS('CEI565'!$K$6:$K$2990,'CEI565'!$J$6:$J$2990,"&gt;="&amp;U7,'CEI565'!$J$6:$J$2990,"&lt;="&amp;EOMONTH(U7,0),'CEI565'!$L$6:$L$2990,$B$29)+SUMIFS('1SM3VL'!$K$6:$K$2990,'1SM3VL'!$J$6:$J$2990,"&gt;="&amp;U7,'1SM3VL'!$J$6:$J$2990,"&lt;="&amp;EOMONTH(U7,0),'1SM3VL'!$L$6:$L$2990,$B$29)+SUMIFS('1QF4SM'!$K$6:$K$2989,'1QF4SM'!$J$6:$J$2989,"&gt;="&amp;U7,'1QF4SM'!$J$6:$J$2989,"&lt;="&amp;EOMONTH(U7,0),'1QF4SM'!$L$6:$L$2989,$B$29)+SUMIFS('1UV5KI'!$K$6:$K$2989,'1UV5KI'!$J$6:$J$2989,"&gt;="&amp;U7,'1UV5KI'!$J$6:$J$2989,"&lt;="&amp;EOMONTH(U7,0),'1UV5KI'!$L$6:$L$2989,$B$29)+SUMIFS(#REF!,#REF!,"&gt;="&amp;U7,#REF!,"&lt;="&amp;EOMONTH(U7,0),#REF!,$B$29)+SUMIFS('1UL9RY'!$K$6:$K$2990,'1UL9RY'!$J$6:$J$2990,"&gt;="&amp;U7,'1UL9RY'!$J$6:$J$2990,"&lt;="&amp;EOMONTH(U7,0),'1UL9RY'!$L$6:$L$2990,$B$29)+SUMIFS('1OZ7GT'!$K$6:$K$2989,'1OZ7GT'!$J$6:$J$2989,"&gt;="&amp;U7,'1OZ7GT'!$J$6:$J$2989,"&lt;="&amp;EOMONTH(U7,0),'1OZ7GT'!$L$6:$L$2989,$B$29)+SUMIFS('1CN8DD'!$K$6:$K$2989,'1CN8DD'!$J$6:$J$2989,"&gt;="&amp;U7,'1CN8DD'!$J$6:$J$2989,"&lt;="&amp;EOMONTH(U7,0),'1CN8DD'!$L$6:$L$2989,$B$29)+SUMIFS('1UT9BR'!$K$6:$K$2990,'1UT9BR'!$J$6:$J$2990,"&gt;="&amp;U7,'1UT9BR'!$J$6:$J$2990,"&lt;="&amp;EOMONTH(U7,0),'1UT9BR'!$L$6:$L$2990,$B$29)+SUMIFS('1MK4UR'!$K$6:$K$2990,'1MK4UR'!$J$6:$J$2990,"&gt;="&amp;U7,'1MK4UR'!$J$6:$J$2990,"&lt;="&amp;EOMONTH(U7,0),'1MK4UR'!$L$6:$L$2990,$B$29)+SUMIFS(#REF!,#REF!,"&gt;="&amp;U7,#REF!,"&lt;="&amp;EOMONTH(U7,0),#REF!,$B$29)+SUMIFS('1JI2UE'!$K$6:$K$2989,'1JI2UE'!$J$6:$J$2989,"&gt;="&amp;U7,'1JI2UE'!$J$6:$J$2989,"&lt;="&amp;EOMONTH(U7,0),'1JI2UE'!$L$6:$L$2989,$B$29)+SUMIFS(#REF!,#REF!,"&gt;="&amp;U7,#REF!,"&lt;="&amp;EOMONTH(U7,0),#REF!,$B$29)+SUMIFS('1SI9BW'!$K$6:$K$2989,'1SI9BW'!$J$6:$J$2989,"&gt;="&amp;U7,'1SI9BW'!$J$6:$J$2989,"&lt;="&amp;EOMONTH(U7,0),'1SI9BW'!$L$6:$L$2989,$B$29)+SUMIFS(Suzuki!$K$6:$K$2989,Suzuki!$J$6:$J$2989,"&gt;="&amp;U7,Suzuki!$J$6:$J$2989,"&lt;="&amp;EOMONTH(U7,0),Suzuki!$L$6:$L$2989,$B$29)+SUMIFS('1SK3DD'!$K$6:$K$2989,'1SK3DD'!$J$6:$J$2989,"&gt;="&amp;U7,'1SK3DD'!$J$6:$J$2989,"&lt;="&amp;EOMONTH(U7,0),'1SK3DD'!$L$6:$L$2989,$B$29)+SUMIFS('1SX5TQ'!$K$6:$K$2989,'1SX5TQ'!$J$6:$J$2989,"&gt;="&amp;U7,'1SX5TQ'!$J$6:$J$2989,"&lt;="&amp;EOMONTH(U7,0),'1SX5TQ'!$L$6:$L$2989,$B$29)+SUMIFS('BMM465'!$K$6:$K$2989,'BMM465'!$J$6:$J$2989,"&gt;="&amp;U7,'BMM465'!$J$6:$J$2989,"&lt;="&amp;EOMONTH(U7,0),'BMM465'!$L$6:$L$2989,$B$29)+SUMIFS('1CF1ZO'!$K$6:$K$2989,'1CF1ZO'!$J$6:$J$2989,"&gt;="&amp;U7,'1CF1ZO'!$J$6:$J$2989,"&lt;="&amp;EOMONTH(U7,0),'1CF1ZO'!$L$6:$L$2989,$B$29)+SUMIFS('1UK1BK'!$K$6:$K$2989,'1UK1BK'!$J$6:$J$2989,"&gt;="&amp;U7,'1UK1BK'!$J$6:$J$2989,"&lt;="&amp;EOMONTH(U7,0),'1UK1BK'!$L$6:$L$2989,$B$29)</f>
        <v>#REF!</v>
      </c>
      <c r="V29" s="110" t="e">
        <f>SUMIFS('CEI565'!$K$6:$K$2990,'CEI565'!$J$6:$J$2990,"&gt;="&amp;V7,'CEI565'!$J$6:$J$2990,"&lt;="&amp;EOMONTH(V7,0),'CEI565'!$L$6:$L$2990,$B$29)+SUMIFS('1SM3VL'!$K$6:$K$2990,'1SM3VL'!$J$6:$J$2990,"&gt;="&amp;V7,'1SM3VL'!$J$6:$J$2990,"&lt;="&amp;EOMONTH(V7,0),'1SM3VL'!$L$6:$L$2990,$B$29)+SUMIFS('1QF4SM'!$K$6:$K$2989,'1QF4SM'!$J$6:$J$2989,"&gt;="&amp;V7,'1QF4SM'!$J$6:$J$2989,"&lt;="&amp;EOMONTH(V7,0),'1QF4SM'!$L$6:$L$2989,$B$29)+SUMIFS('1UV5KI'!$K$6:$K$2989,'1UV5KI'!$J$6:$J$2989,"&gt;="&amp;V7,'1UV5KI'!$J$6:$J$2989,"&lt;="&amp;EOMONTH(V7,0),'1UV5KI'!$L$6:$L$2989,$B$29)+SUMIFS(#REF!,#REF!,"&gt;="&amp;V7,#REF!,"&lt;="&amp;EOMONTH(V7,0),#REF!,$B$29)+SUMIFS('1UL9RY'!$K$6:$K$2990,'1UL9RY'!$J$6:$J$2990,"&gt;="&amp;V7,'1UL9RY'!$J$6:$J$2990,"&lt;="&amp;EOMONTH(V7,0),'1UL9RY'!$L$6:$L$2990,$B$29)+SUMIFS('1OZ7GT'!$K$6:$K$2989,'1OZ7GT'!$J$6:$J$2989,"&gt;="&amp;V7,'1OZ7GT'!$J$6:$J$2989,"&lt;="&amp;EOMONTH(V7,0),'1OZ7GT'!$L$6:$L$2989,$B$29)+SUMIFS('1CN8DD'!$K$6:$K$2989,'1CN8DD'!$J$6:$J$2989,"&gt;="&amp;V7,'1CN8DD'!$J$6:$J$2989,"&lt;="&amp;EOMONTH(V7,0),'1CN8DD'!$L$6:$L$2989,$B$29)+SUMIFS('1UT9BR'!$K$6:$K$2990,'1UT9BR'!$J$6:$J$2990,"&gt;="&amp;V7,'1UT9BR'!$J$6:$J$2990,"&lt;="&amp;EOMONTH(V7,0),'1UT9BR'!$L$6:$L$2990,$B$29)+SUMIFS('1MK4UR'!$K$6:$K$2990,'1MK4UR'!$J$6:$J$2990,"&gt;="&amp;V7,'1MK4UR'!$J$6:$J$2990,"&lt;="&amp;EOMONTH(V7,0),'1MK4UR'!$L$6:$L$2990,$B$29)+SUMIFS(#REF!,#REF!,"&gt;="&amp;V7,#REF!,"&lt;="&amp;EOMONTH(V7,0),#REF!,$B$29)+SUMIFS('1JI2UE'!$K$6:$K$2989,'1JI2UE'!$J$6:$J$2989,"&gt;="&amp;V7,'1JI2UE'!$J$6:$J$2989,"&lt;="&amp;EOMONTH(V7,0),'1JI2UE'!$L$6:$L$2989,$B$29)+SUMIFS(#REF!,#REF!,"&gt;="&amp;V7,#REF!,"&lt;="&amp;EOMONTH(V7,0),#REF!,$B$29)+SUMIFS('1SI9BW'!$K$6:$K$2989,'1SI9BW'!$J$6:$J$2989,"&gt;="&amp;V7,'1SI9BW'!$J$6:$J$2989,"&lt;="&amp;EOMONTH(V7,0),'1SI9BW'!$L$6:$L$2989,$B$29)+SUMIFS(Suzuki!$K$6:$K$2989,Suzuki!$J$6:$J$2989,"&gt;="&amp;V7,Suzuki!$J$6:$J$2989,"&lt;="&amp;EOMONTH(V7,0),Suzuki!$L$6:$L$2989,$B$29)+SUMIFS('1SK3DD'!$K$6:$K$2989,'1SK3DD'!$J$6:$J$2989,"&gt;="&amp;V7,'1SK3DD'!$J$6:$J$2989,"&lt;="&amp;EOMONTH(V7,0),'1SK3DD'!$L$6:$L$2989,$B$29)+SUMIFS('1SX5TQ'!$K$6:$K$2989,'1SX5TQ'!$J$6:$J$2989,"&gt;="&amp;V7,'1SX5TQ'!$J$6:$J$2989,"&lt;="&amp;EOMONTH(V7,0),'1SX5TQ'!$L$6:$L$2989,$B$29)+SUMIFS('BMM465'!$K$6:$K$2989,'BMM465'!$J$6:$J$2989,"&gt;="&amp;V7,'BMM465'!$J$6:$J$2989,"&lt;="&amp;EOMONTH(V7,0),'BMM465'!$L$6:$L$2989,$B$29)+SUMIFS('1CF1ZO'!$K$6:$K$2989,'1CF1ZO'!$J$6:$J$2989,"&gt;="&amp;V7,'1CF1ZO'!$J$6:$J$2989,"&lt;="&amp;EOMONTH(V7,0),'1CF1ZO'!$L$6:$L$2989,$B$29)+SUMIFS('1UK1BK'!$K$6:$K$2989,'1UK1BK'!$J$6:$J$2989,"&gt;="&amp;V7,'1UK1BK'!$J$6:$J$2989,"&lt;="&amp;EOMONTH(V7,0),'1UK1BK'!$L$6:$L$2989,$B$29)</f>
        <v>#REF!</v>
      </c>
      <c r="W29" s="110" t="e">
        <f>SUMIFS('CEI565'!$K$6:$K$2990,'CEI565'!$J$6:$J$2990,"&gt;="&amp;W7,'CEI565'!$J$6:$J$2990,"&lt;="&amp;EOMONTH(W7,0),'CEI565'!$L$6:$L$2990,$B$29)+SUMIFS('1SM3VL'!$K$6:$K$2990,'1SM3VL'!$J$6:$J$2990,"&gt;="&amp;W7,'1SM3VL'!$J$6:$J$2990,"&lt;="&amp;EOMONTH(W7,0),'1SM3VL'!$L$6:$L$2990,$B$29)+SUMIFS('1QF4SM'!$K$6:$K$2989,'1QF4SM'!$J$6:$J$2989,"&gt;="&amp;W7,'1QF4SM'!$J$6:$J$2989,"&lt;="&amp;EOMONTH(W7,0),'1QF4SM'!$L$6:$L$2989,$B$29)+SUMIFS('1UV5KI'!$K$6:$K$2989,'1UV5KI'!$J$6:$J$2989,"&gt;="&amp;W7,'1UV5KI'!$J$6:$J$2989,"&lt;="&amp;EOMONTH(W7,0),'1UV5KI'!$L$6:$L$2989,$B$29)+SUMIFS(#REF!,#REF!,"&gt;="&amp;W7,#REF!,"&lt;="&amp;EOMONTH(W7,0),#REF!,$B$29)+SUMIFS('1UL9RY'!$K$6:$K$2990,'1UL9RY'!$J$6:$J$2990,"&gt;="&amp;W7,'1UL9RY'!$J$6:$J$2990,"&lt;="&amp;EOMONTH(W7,0),'1UL9RY'!$L$6:$L$2990,$B$29)+SUMIFS('1OZ7GT'!$K$6:$K$2989,'1OZ7GT'!$J$6:$J$2989,"&gt;="&amp;W7,'1OZ7GT'!$J$6:$J$2989,"&lt;="&amp;EOMONTH(W7,0),'1OZ7GT'!$L$6:$L$2989,$B$29)+SUMIFS('1CN8DD'!$K$6:$K$2989,'1CN8DD'!$J$6:$J$2989,"&gt;="&amp;W7,'1CN8DD'!$J$6:$J$2989,"&lt;="&amp;EOMONTH(W7,0),'1CN8DD'!$L$6:$L$2989,$B$29)+SUMIFS('1UT9BR'!$K$6:$K$2990,'1UT9BR'!$J$6:$J$2990,"&gt;="&amp;W7,'1UT9BR'!$J$6:$J$2990,"&lt;="&amp;EOMONTH(W7,0),'1UT9BR'!$L$6:$L$2990,$B$29)+SUMIFS('1MK4UR'!$K$6:$K$2990,'1MK4UR'!$J$6:$J$2990,"&gt;="&amp;W7,'1MK4UR'!$J$6:$J$2990,"&lt;="&amp;EOMONTH(W7,0),'1MK4UR'!$L$6:$L$2990,$B$29)+SUMIFS(#REF!,#REF!,"&gt;="&amp;W7,#REF!,"&lt;="&amp;EOMONTH(W7,0),#REF!,$B$29)+SUMIFS('1JI2UE'!$K$6:$K$2989,'1JI2UE'!$J$6:$J$2989,"&gt;="&amp;W7,'1JI2UE'!$J$6:$J$2989,"&lt;="&amp;EOMONTH(W7,0),'1JI2UE'!$L$6:$L$2989,$B$29)+SUMIFS(#REF!,#REF!,"&gt;="&amp;W7,#REF!,"&lt;="&amp;EOMONTH(W7,0),#REF!,$B$29)+SUMIFS('1SI9BW'!$K$6:$K$2989,'1SI9BW'!$J$6:$J$2989,"&gt;="&amp;W7,'1SI9BW'!$J$6:$J$2989,"&lt;="&amp;EOMONTH(W7,0),'1SI9BW'!$L$6:$L$2989,$B$29)+SUMIFS(Suzuki!$K$6:$K$2989,Suzuki!$J$6:$J$2989,"&gt;="&amp;W7,Suzuki!$J$6:$J$2989,"&lt;="&amp;EOMONTH(W7,0),Suzuki!$L$6:$L$2989,$B$29)+SUMIFS('1SK3DD'!$K$6:$K$2989,'1SK3DD'!$J$6:$J$2989,"&gt;="&amp;W7,'1SK3DD'!$J$6:$J$2989,"&lt;="&amp;EOMONTH(W7,0),'1SK3DD'!$L$6:$L$2989,$B$29)+SUMIFS('1SX5TQ'!$K$6:$K$2989,'1SX5TQ'!$J$6:$J$2989,"&gt;="&amp;W7,'1SX5TQ'!$J$6:$J$2989,"&lt;="&amp;EOMONTH(W7,0),'1SX5TQ'!$L$6:$L$2989,$B$29)+SUMIFS('BMM465'!$K$6:$K$2989,'BMM465'!$J$6:$J$2989,"&gt;="&amp;W7,'BMM465'!$J$6:$J$2989,"&lt;="&amp;EOMONTH(W7,0),'BMM465'!$L$6:$L$2989,$B$29)+SUMIFS('1CF1ZO'!$K$6:$K$2989,'1CF1ZO'!$J$6:$J$2989,"&gt;="&amp;W7,'1CF1ZO'!$J$6:$J$2989,"&lt;="&amp;EOMONTH(W7,0),'1CF1ZO'!$L$6:$L$2989,$B$29)+SUMIFS('1UK1BK'!$K$6:$K$2989,'1UK1BK'!$J$6:$J$2989,"&gt;="&amp;W7,'1UK1BK'!$J$6:$J$2989,"&lt;="&amp;EOMONTH(W7,0),'1UK1BK'!$L$6:$L$2989,$B$29)</f>
        <v>#REF!</v>
      </c>
      <c r="X29" s="110" t="e">
        <f>SUMIFS('CEI565'!$K$6:$K$2990,'CEI565'!$J$6:$J$2990,"&gt;="&amp;X7,'CEI565'!$J$6:$J$2990,"&lt;="&amp;EOMONTH(X7,0),'CEI565'!$L$6:$L$2990,$B$29)+SUMIFS('1SM3VL'!$K$6:$K$2990,'1SM3VL'!$J$6:$J$2990,"&gt;="&amp;X7,'1SM3VL'!$J$6:$J$2990,"&lt;="&amp;EOMONTH(X7,0),'1SM3VL'!$L$6:$L$2990,$B$29)+SUMIFS('1QF4SM'!$K$6:$K$2989,'1QF4SM'!$J$6:$J$2989,"&gt;="&amp;X7,'1QF4SM'!$J$6:$J$2989,"&lt;="&amp;EOMONTH(X7,0),'1QF4SM'!$L$6:$L$2989,$B$29)+SUMIFS('1UV5KI'!$K$6:$K$2989,'1UV5KI'!$J$6:$J$2989,"&gt;="&amp;X7,'1UV5KI'!$J$6:$J$2989,"&lt;="&amp;EOMONTH(X7,0),'1UV5KI'!$L$6:$L$2989,$B$29)+SUMIFS(#REF!,#REF!,"&gt;="&amp;X7,#REF!,"&lt;="&amp;EOMONTH(X7,0),#REF!,$B$29)+SUMIFS('1UL9RY'!$K$6:$K$2990,'1UL9RY'!$J$6:$J$2990,"&gt;="&amp;X7,'1UL9RY'!$J$6:$J$2990,"&lt;="&amp;EOMONTH(X7,0),'1UL9RY'!$L$6:$L$2990,$B$29)+SUMIFS('1OZ7GT'!$K$6:$K$2989,'1OZ7GT'!$J$6:$J$2989,"&gt;="&amp;X7,'1OZ7GT'!$J$6:$J$2989,"&lt;="&amp;EOMONTH(X7,0),'1OZ7GT'!$L$6:$L$2989,$B$29)+SUMIFS('1CN8DD'!$K$6:$K$2989,'1CN8DD'!$J$6:$J$2989,"&gt;="&amp;X7,'1CN8DD'!$J$6:$J$2989,"&lt;="&amp;EOMONTH(X7,0),'1CN8DD'!$L$6:$L$2989,$B$29)+SUMIFS('1UT9BR'!$K$6:$K$2990,'1UT9BR'!$J$6:$J$2990,"&gt;="&amp;X7,'1UT9BR'!$J$6:$J$2990,"&lt;="&amp;EOMONTH(X7,0),'1UT9BR'!$L$6:$L$2990,$B$29)+SUMIFS('1MK4UR'!$K$6:$K$2990,'1MK4UR'!$J$6:$J$2990,"&gt;="&amp;X7,'1MK4UR'!$J$6:$J$2990,"&lt;="&amp;EOMONTH(X7,0),'1MK4UR'!$L$6:$L$2990,$B$29)+SUMIFS(#REF!,#REF!,"&gt;="&amp;X7,#REF!,"&lt;="&amp;EOMONTH(X7,0),#REF!,$B$29)+SUMIFS('1JI2UE'!$K$6:$K$2989,'1JI2UE'!$J$6:$J$2989,"&gt;="&amp;X7,'1JI2UE'!$J$6:$J$2989,"&lt;="&amp;EOMONTH(X7,0),'1JI2UE'!$L$6:$L$2989,$B$29)+SUMIFS(#REF!,#REF!,"&gt;="&amp;X7,#REF!,"&lt;="&amp;EOMONTH(X7,0),#REF!,$B$29)+SUMIFS('1SI9BW'!$K$6:$K$2989,'1SI9BW'!$J$6:$J$2989,"&gt;="&amp;X7,'1SI9BW'!$J$6:$J$2989,"&lt;="&amp;EOMONTH(X7,0),'1SI9BW'!$L$6:$L$2989,$B$29)+SUMIFS(Suzuki!$K$6:$K$2989,Suzuki!$J$6:$J$2989,"&gt;="&amp;X7,Suzuki!$J$6:$J$2989,"&lt;="&amp;EOMONTH(X7,0),Suzuki!$L$6:$L$2989,$B$29)+SUMIFS('1SK3DD'!$K$6:$K$2989,'1SK3DD'!$J$6:$J$2989,"&gt;="&amp;X7,'1SK3DD'!$J$6:$J$2989,"&lt;="&amp;EOMONTH(X7,0),'1SK3DD'!$L$6:$L$2989,$B$29)+SUMIFS('1SX5TQ'!$K$6:$K$2989,'1SX5TQ'!$J$6:$J$2989,"&gt;="&amp;X7,'1SX5TQ'!$J$6:$J$2989,"&lt;="&amp;EOMONTH(X7,0),'1SX5TQ'!$L$6:$L$2989,$B$29)+SUMIFS('BMM465'!$K$6:$K$2989,'BMM465'!$J$6:$J$2989,"&gt;="&amp;X7,'BMM465'!$J$6:$J$2989,"&lt;="&amp;EOMONTH(X7,0),'BMM465'!$L$6:$L$2989,$B$29)+SUMIFS('1CF1ZO'!$K$6:$K$2989,'1CF1ZO'!$J$6:$J$2989,"&gt;="&amp;X7,'1CF1ZO'!$J$6:$J$2989,"&lt;="&amp;EOMONTH(X7,0),'1CF1ZO'!$L$6:$L$2989,$B$29)+SUMIFS('1UK1BK'!$K$6:$K$2989,'1UK1BK'!$J$6:$J$2989,"&gt;="&amp;X7,'1UK1BK'!$J$6:$J$2989,"&lt;="&amp;EOMONTH(X7,0),'1UK1BK'!$L$6:$L$2989,$B$29)</f>
        <v>#REF!</v>
      </c>
      <c r="Y29" s="110" t="e">
        <f>SUMIFS('CEI565'!$K$6:$K$2990,'CEI565'!$J$6:$J$2990,"&gt;="&amp;Y7,'CEI565'!$J$6:$J$2990,"&lt;="&amp;EOMONTH(Y7,0),'CEI565'!$L$6:$L$2990,$B$29)+SUMIFS('1SM3VL'!$K$6:$K$2990,'1SM3VL'!$J$6:$J$2990,"&gt;="&amp;Y7,'1SM3VL'!$J$6:$J$2990,"&lt;="&amp;EOMONTH(Y7,0),'1SM3VL'!$L$6:$L$2990,$B$29)+SUMIFS('1QF4SM'!$K$6:$K$2989,'1QF4SM'!$J$6:$J$2989,"&gt;="&amp;Y7,'1QF4SM'!$J$6:$J$2989,"&lt;="&amp;EOMONTH(Y7,0),'1QF4SM'!$L$6:$L$2989,$B$29)+SUMIFS('1UV5KI'!$K$6:$K$2989,'1UV5KI'!$J$6:$J$2989,"&gt;="&amp;Y7,'1UV5KI'!$J$6:$J$2989,"&lt;="&amp;EOMONTH(Y7,0),'1UV5KI'!$L$6:$L$2989,$B$29)+SUMIFS(#REF!,#REF!,"&gt;="&amp;Y7,#REF!,"&lt;="&amp;EOMONTH(Y7,0),#REF!,$B$29)+SUMIFS('1UL9RY'!$K$6:$K$2990,'1UL9RY'!$J$6:$J$2990,"&gt;="&amp;Y7,'1UL9RY'!$J$6:$J$2990,"&lt;="&amp;EOMONTH(Y7,0),'1UL9RY'!$L$6:$L$2990,$B$29)+SUMIFS('1OZ7GT'!$K$6:$K$2989,'1OZ7GT'!$J$6:$J$2989,"&gt;="&amp;Y7,'1OZ7GT'!$J$6:$J$2989,"&lt;="&amp;EOMONTH(Y7,0),'1OZ7GT'!$L$6:$L$2989,$B$29)+SUMIFS('1CN8DD'!$K$6:$K$2989,'1CN8DD'!$J$6:$J$2989,"&gt;="&amp;Y7,'1CN8DD'!$J$6:$J$2989,"&lt;="&amp;EOMONTH(Y7,0),'1CN8DD'!$L$6:$L$2989,$B$29)+SUMIFS('1UT9BR'!$K$6:$K$2990,'1UT9BR'!$J$6:$J$2990,"&gt;="&amp;Y7,'1UT9BR'!$J$6:$J$2990,"&lt;="&amp;EOMONTH(Y7,0),'1UT9BR'!$L$6:$L$2990,$B$29)+SUMIFS('1MK4UR'!$K$6:$K$2990,'1MK4UR'!$J$6:$J$2990,"&gt;="&amp;Y7,'1MK4UR'!$J$6:$J$2990,"&lt;="&amp;EOMONTH(Y7,0),'1MK4UR'!$L$6:$L$2990,$B$29)+SUMIFS(#REF!,#REF!,"&gt;="&amp;Y7,#REF!,"&lt;="&amp;EOMONTH(Y7,0),#REF!,$B$29)+SUMIFS('1JI2UE'!$K$6:$K$2989,'1JI2UE'!$J$6:$J$2989,"&gt;="&amp;Y7,'1JI2UE'!$J$6:$J$2989,"&lt;="&amp;EOMONTH(Y7,0),'1JI2UE'!$L$6:$L$2989,$B$29)+SUMIFS(#REF!,#REF!,"&gt;="&amp;Y7,#REF!,"&lt;="&amp;EOMONTH(Y7,0),#REF!,$B$29)+SUMIFS('1SI9BW'!$K$6:$K$2989,'1SI9BW'!$J$6:$J$2989,"&gt;="&amp;Y7,'1SI9BW'!$J$6:$J$2989,"&lt;="&amp;EOMONTH(Y7,0),'1SI9BW'!$L$6:$L$2989,$B$29)+SUMIFS(Suzuki!$K$6:$K$2989,Suzuki!$J$6:$J$2989,"&gt;="&amp;Y7,Suzuki!$J$6:$J$2989,"&lt;="&amp;EOMONTH(Y7,0),Suzuki!$L$6:$L$2989,$B$29)+SUMIFS('1SK3DD'!$K$6:$K$2989,'1SK3DD'!$J$6:$J$2989,"&gt;="&amp;Y7,'1SK3DD'!$J$6:$J$2989,"&lt;="&amp;EOMONTH(Y7,0),'1SK3DD'!$L$6:$L$2989,$B$29)+SUMIFS('1SX5TQ'!$K$6:$K$2989,'1SX5TQ'!$J$6:$J$2989,"&gt;="&amp;Y7,'1SX5TQ'!$J$6:$J$2989,"&lt;="&amp;EOMONTH(Y7,0),'1SX5TQ'!$L$6:$L$2989,$B$29)+SUMIFS('BMM465'!$K$6:$K$2989,'BMM465'!$J$6:$J$2989,"&gt;="&amp;Y7,'BMM465'!$J$6:$J$2989,"&lt;="&amp;EOMONTH(Y7,0),'BMM465'!$L$6:$L$2989,$B$29)+SUMIFS('1CF1ZO'!$K$6:$K$2989,'1CF1ZO'!$J$6:$J$2989,"&gt;="&amp;Y7,'1CF1ZO'!$J$6:$J$2989,"&lt;="&amp;EOMONTH(Y7,0),'1CF1ZO'!$L$6:$L$2989,$B$29)+SUMIFS('1UK1BK'!$K$6:$K$2989,'1UK1BK'!$J$6:$J$2989,"&gt;="&amp;Y7,'1UK1BK'!$J$6:$J$2989,"&lt;="&amp;EOMONTH(Y7,0),'1UK1BK'!$L$6:$L$2989,$B$29)</f>
        <v>#REF!</v>
      </c>
      <c r="Z29" s="110" t="e">
        <f>SUMIFS('CEI565'!$K$6:$K$2990,'CEI565'!$J$6:$J$2990,"&gt;="&amp;Z7,'CEI565'!$J$6:$J$2990,"&lt;="&amp;EOMONTH(Z7,0),'CEI565'!$L$6:$L$2990,$B$29)+SUMIFS('1SM3VL'!$K$6:$K$2990,'1SM3VL'!$J$6:$J$2990,"&gt;="&amp;Z7,'1SM3VL'!$J$6:$J$2990,"&lt;="&amp;EOMONTH(Z7,0),'1SM3VL'!$L$6:$L$2990,$B$29)+SUMIFS('1QF4SM'!$K$6:$K$2989,'1QF4SM'!$J$6:$J$2989,"&gt;="&amp;Z7,'1QF4SM'!$J$6:$J$2989,"&lt;="&amp;EOMONTH(Z7,0),'1QF4SM'!$L$6:$L$2989,$B$29)+SUMIFS('1UV5KI'!$K$6:$K$2989,'1UV5KI'!$J$6:$J$2989,"&gt;="&amp;Z7,'1UV5KI'!$J$6:$J$2989,"&lt;="&amp;EOMONTH(Z7,0),'1UV5KI'!$L$6:$L$2989,$B$29)+SUMIFS(#REF!,#REF!,"&gt;="&amp;Z7,#REF!,"&lt;="&amp;EOMONTH(Z7,0),#REF!,$B$29)+SUMIFS('1UL9RY'!$K$6:$K$2990,'1UL9RY'!$J$6:$J$2990,"&gt;="&amp;Z7,'1UL9RY'!$J$6:$J$2990,"&lt;="&amp;EOMONTH(Z7,0),'1UL9RY'!$L$6:$L$2990,$B$29)+SUMIFS('1OZ7GT'!$K$6:$K$2989,'1OZ7GT'!$J$6:$J$2989,"&gt;="&amp;Z7,'1OZ7GT'!$J$6:$J$2989,"&lt;="&amp;EOMONTH(Z7,0),'1OZ7GT'!$L$6:$L$2989,$B$29)+SUMIFS('1CN8DD'!$K$6:$K$2989,'1CN8DD'!$J$6:$J$2989,"&gt;="&amp;Z7,'1CN8DD'!$J$6:$J$2989,"&lt;="&amp;EOMONTH(Z7,0),'1CN8DD'!$L$6:$L$2989,$B$29)+SUMIFS('1UT9BR'!$K$6:$K$2990,'1UT9BR'!$J$6:$J$2990,"&gt;="&amp;Z7,'1UT9BR'!$J$6:$J$2990,"&lt;="&amp;EOMONTH(Z7,0),'1UT9BR'!$L$6:$L$2990,$B$29)+SUMIFS('1MK4UR'!$K$6:$K$2990,'1MK4UR'!$J$6:$J$2990,"&gt;="&amp;Z7,'1MK4UR'!$J$6:$J$2990,"&lt;="&amp;EOMONTH(Z7,0),'1MK4UR'!$L$6:$L$2990,$B$29)+SUMIFS(#REF!,#REF!,"&gt;="&amp;Z7,#REF!,"&lt;="&amp;EOMONTH(Z7,0),#REF!,$B$29)+SUMIFS('1JI2UE'!$K$6:$K$2989,'1JI2UE'!$J$6:$J$2989,"&gt;="&amp;Z7,'1JI2UE'!$J$6:$J$2989,"&lt;="&amp;EOMONTH(Z7,0),'1JI2UE'!$L$6:$L$2989,$B$29)+SUMIFS(#REF!,#REF!,"&gt;="&amp;Z7,#REF!,"&lt;="&amp;EOMONTH(Z7,0),#REF!,$B$29)+SUMIFS('1SI9BW'!$K$6:$K$2989,'1SI9BW'!$J$6:$J$2989,"&gt;="&amp;Z7,'1SI9BW'!$J$6:$J$2989,"&lt;="&amp;EOMONTH(Z7,0),'1SI9BW'!$L$6:$L$2989,$B$29)+SUMIFS(Suzuki!$K$6:$K$2989,Suzuki!$J$6:$J$2989,"&gt;="&amp;Z7,Suzuki!$J$6:$J$2989,"&lt;="&amp;EOMONTH(Z7,0),Suzuki!$L$6:$L$2989,$B$29)+SUMIFS('1SK3DD'!$K$6:$K$2989,'1SK3DD'!$J$6:$J$2989,"&gt;="&amp;Z7,'1SK3DD'!$J$6:$J$2989,"&lt;="&amp;EOMONTH(Z7,0),'1SK3DD'!$L$6:$L$2989,$B$29)+SUMIFS('1SX5TQ'!$K$6:$K$2989,'1SX5TQ'!$J$6:$J$2989,"&gt;="&amp;Z7,'1SX5TQ'!$J$6:$J$2989,"&lt;="&amp;EOMONTH(Z7,0),'1SX5TQ'!$L$6:$L$2989,$B$29)+SUMIFS('BMM465'!$K$6:$K$2989,'BMM465'!$J$6:$J$2989,"&gt;="&amp;Z7,'BMM465'!$J$6:$J$2989,"&lt;="&amp;EOMONTH(Z7,0),'BMM465'!$L$6:$L$2989,$B$29)+SUMIFS('1CF1ZO'!$K$6:$K$2989,'1CF1ZO'!$J$6:$J$2989,"&gt;="&amp;Z7,'1CF1ZO'!$J$6:$J$2989,"&lt;="&amp;EOMONTH(Z7,0),'1CF1ZO'!$L$6:$L$2989,$B$29)+SUMIFS('1UK1BK'!$K$6:$K$2989,'1UK1BK'!$J$6:$J$2989,"&gt;="&amp;Z7,'1UK1BK'!$J$6:$J$2989,"&lt;="&amp;EOMONTH(Z7,0),'1UK1BK'!$L$6:$L$2989,$B$29)</f>
        <v>#REF!</v>
      </c>
      <c r="AA29" s="110" t="e">
        <f>SUMIFS('CEI565'!$K$6:$K$2990,'CEI565'!$J$6:$J$2990,"&gt;="&amp;AA7,'CEI565'!$J$6:$J$2990,"&lt;="&amp;EOMONTH(AA7,0),'CEI565'!$L$6:$L$2990,$B$29)+SUMIFS('1SM3VL'!$K$6:$K$2990,'1SM3VL'!$J$6:$J$2990,"&gt;="&amp;AA7,'1SM3VL'!$J$6:$J$2990,"&lt;="&amp;EOMONTH(AA7,0),'1SM3VL'!$L$6:$L$2990,$B$29)+SUMIFS('1QF4SM'!$K$6:$K$2989,'1QF4SM'!$J$6:$J$2989,"&gt;="&amp;AA7,'1QF4SM'!$J$6:$J$2989,"&lt;="&amp;EOMONTH(AA7,0),'1QF4SM'!$L$6:$L$2989,$B$29)+SUMIFS('1UV5KI'!$K$6:$K$2989,'1UV5KI'!$J$6:$J$2989,"&gt;="&amp;AA7,'1UV5KI'!$J$6:$J$2989,"&lt;="&amp;EOMONTH(AA7,0),'1UV5KI'!$L$6:$L$2989,$B$29)+SUMIFS(#REF!,#REF!,"&gt;="&amp;AA7,#REF!,"&lt;="&amp;EOMONTH(AA7,0),#REF!,$B$29)+SUMIFS('1UL9RY'!$K$6:$K$2990,'1UL9RY'!$J$6:$J$2990,"&gt;="&amp;AA7,'1UL9RY'!$J$6:$J$2990,"&lt;="&amp;EOMONTH(AA7,0),'1UL9RY'!$L$6:$L$2990,$B$29)+SUMIFS('1OZ7GT'!$K$6:$K$2989,'1OZ7GT'!$J$6:$J$2989,"&gt;="&amp;AA7,'1OZ7GT'!$J$6:$J$2989,"&lt;="&amp;EOMONTH(AA7,0),'1OZ7GT'!$L$6:$L$2989,$B$29)+SUMIFS('1CN8DD'!$K$6:$K$2989,'1CN8DD'!$J$6:$J$2989,"&gt;="&amp;AA7,'1CN8DD'!$J$6:$J$2989,"&lt;="&amp;EOMONTH(AA7,0),'1CN8DD'!$L$6:$L$2989,$B$29)+SUMIFS('1UT9BR'!$K$6:$K$2990,'1UT9BR'!$J$6:$J$2990,"&gt;="&amp;AA7,'1UT9BR'!$J$6:$J$2990,"&lt;="&amp;EOMONTH(AA7,0),'1UT9BR'!$L$6:$L$2990,$B$29)+SUMIFS('1MK4UR'!$K$6:$K$2990,'1MK4UR'!$J$6:$J$2990,"&gt;="&amp;AA7,'1MK4UR'!$J$6:$J$2990,"&lt;="&amp;EOMONTH(AA7,0),'1MK4UR'!$L$6:$L$2990,$B$29)+SUMIFS(#REF!,#REF!,"&gt;="&amp;AA7,#REF!,"&lt;="&amp;EOMONTH(AA7,0),#REF!,$B$29)+SUMIFS('1JI2UE'!$K$6:$K$2989,'1JI2UE'!$J$6:$J$2989,"&gt;="&amp;AA7,'1JI2UE'!$J$6:$J$2989,"&lt;="&amp;EOMONTH(AA7,0),'1JI2UE'!$L$6:$L$2989,$B$29)+SUMIFS(#REF!,#REF!,"&gt;="&amp;AA7,#REF!,"&lt;="&amp;EOMONTH(AA7,0),#REF!,$B$29)+SUMIFS('1SI9BW'!$K$6:$K$2989,'1SI9BW'!$J$6:$J$2989,"&gt;="&amp;AA7,'1SI9BW'!$J$6:$J$2989,"&lt;="&amp;EOMONTH(AA7,0),'1SI9BW'!$L$6:$L$2989,$B$29)+SUMIFS(Suzuki!$K$6:$K$2989,Suzuki!$J$6:$J$2989,"&gt;="&amp;AA7,Suzuki!$J$6:$J$2989,"&lt;="&amp;EOMONTH(AA7,0),Suzuki!$L$6:$L$2989,$B$29)+SUMIFS('1SK3DD'!$K$6:$K$2989,'1SK3DD'!$J$6:$J$2989,"&gt;="&amp;AA7,'1SK3DD'!$J$6:$J$2989,"&lt;="&amp;EOMONTH(AA7,0),'1SK3DD'!$L$6:$L$2989,$B$29)+SUMIFS('1SX5TQ'!$K$6:$K$2989,'1SX5TQ'!$J$6:$J$2989,"&gt;="&amp;AA7,'1SX5TQ'!$J$6:$J$2989,"&lt;="&amp;EOMONTH(AA7,0),'1SX5TQ'!$L$6:$L$2989,$B$29)+SUMIFS('BMM465'!$K$6:$K$2989,'BMM465'!$J$6:$J$2989,"&gt;="&amp;AA7,'BMM465'!$J$6:$J$2989,"&lt;="&amp;EOMONTH(AA7,0),'BMM465'!$L$6:$L$2989,$B$29)+SUMIFS('1CF1ZO'!$K$6:$K$2989,'1CF1ZO'!$J$6:$J$2989,"&gt;="&amp;AA7,'1CF1ZO'!$J$6:$J$2989,"&lt;="&amp;EOMONTH(AA7,0),'1CF1ZO'!$L$6:$L$2989,$B$29)+SUMIFS('1UK1BK'!$K$6:$K$2989,'1UK1BK'!$J$6:$J$2989,"&gt;="&amp;AA7,'1UK1BK'!$J$6:$J$2989,"&lt;="&amp;EOMONTH(AA7,0),'1UK1BK'!$L$6:$L$2989,$B$29)</f>
        <v>#REF!</v>
      </c>
      <c r="AB29" s="110" t="e">
        <f>SUMIFS('CEI565'!$K$6:$K$2990,'CEI565'!$J$6:$J$2990,"&gt;="&amp;AB7,'CEI565'!$J$6:$J$2990,"&lt;="&amp;EOMONTH(AB7,0),'CEI565'!$L$6:$L$2990,$B$29)+SUMIFS('1SM3VL'!$K$6:$K$2990,'1SM3VL'!$J$6:$J$2990,"&gt;="&amp;AB7,'1SM3VL'!$J$6:$J$2990,"&lt;="&amp;EOMONTH(AB7,0),'1SM3VL'!$L$6:$L$2990,$B$29)+SUMIFS('1QF4SM'!$K$6:$K$2989,'1QF4SM'!$J$6:$J$2989,"&gt;="&amp;AB7,'1QF4SM'!$J$6:$J$2989,"&lt;="&amp;EOMONTH(AB7,0),'1QF4SM'!$L$6:$L$2989,$B$29)+SUMIFS('1UV5KI'!$K$6:$K$2989,'1UV5KI'!$J$6:$J$2989,"&gt;="&amp;AB7,'1UV5KI'!$J$6:$J$2989,"&lt;="&amp;EOMONTH(AB7,0),'1UV5KI'!$L$6:$L$2989,$B$29)+SUMIFS(#REF!,#REF!,"&gt;="&amp;AB7,#REF!,"&lt;="&amp;EOMONTH(AB7,0),#REF!,$B$29)+SUMIFS('1UL9RY'!$K$6:$K$2990,'1UL9RY'!$J$6:$J$2990,"&gt;="&amp;AB7,'1UL9RY'!$J$6:$J$2990,"&lt;="&amp;EOMONTH(AB7,0),'1UL9RY'!$L$6:$L$2990,$B$29)+SUMIFS('1OZ7GT'!$K$6:$K$2989,'1OZ7GT'!$J$6:$J$2989,"&gt;="&amp;AB7,'1OZ7GT'!$J$6:$J$2989,"&lt;="&amp;EOMONTH(AB7,0),'1OZ7GT'!$L$6:$L$2989,$B$29)+SUMIFS('1CN8DD'!$K$6:$K$2989,'1CN8DD'!$J$6:$J$2989,"&gt;="&amp;AB7,'1CN8DD'!$J$6:$J$2989,"&lt;="&amp;EOMONTH(AB7,0),'1CN8DD'!$L$6:$L$2989,$B$29)+SUMIFS('1UT9BR'!$K$6:$K$2990,'1UT9BR'!$J$6:$J$2990,"&gt;="&amp;AB7,'1UT9BR'!$J$6:$J$2990,"&lt;="&amp;EOMONTH(AB7,0),'1UT9BR'!$L$6:$L$2990,$B$29)+SUMIFS('1MK4UR'!$K$6:$K$2990,'1MK4UR'!$J$6:$J$2990,"&gt;="&amp;AB7,'1MK4UR'!$J$6:$J$2990,"&lt;="&amp;EOMONTH(AB7,0),'1MK4UR'!$L$6:$L$2990,$B$29)+SUMIFS(#REF!,#REF!,"&gt;="&amp;AB7,#REF!,"&lt;="&amp;EOMONTH(AB7,0),#REF!,$B$29)+SUMIFS('1JI2UE'!$K$6:$K$2989,'1JI2UE'!$J$6:$J$2989,"&gt;="&amp;AB7,'1JI2UE'!$J$6:$J$2989,"&lt;="&amp;EOMONTH(AB7,0),'1JI2UE'!$L$6:$L$2989,$B$29)+SUMIFS(#REF!,#REF!,"&gt;="&amp;AB7,#REF!,"&lt;="&amp;EOMONTH(AB7,0),#REF!,$B$29)+SUMIFS('1SI9BW'!$K$6:$K$2989,'1SI9BW'!$J$6:$J$2989,"&gt;="&amp;AB7,'1SI9BW'!$J$6:$J$2989,"&lt;="&amp;EOMONTH(AB7,0),'1SI9BW'!$L$6:$L$2989,$B$29)+SUMIFS(Suzuki!$K$6:$K$2989,Suzuki!$J$6:$J$2989,"&gt;="&amp;AB7,Suzuki!$J$6:$J$2989,"&lt;="&amp;EOMONTH(AB7,0),Suzuki!$L$6:$L$2989,$B$29)+SUMIFS('1SK3DD'!$K$6:$K$2989,'1SK3DD'!$J$6:$J$2989,"&gt;="&amp;AB7,'1SK3DD'!$J$6:$J$2989,"&lt;="&amp;EOMONTH(AB7,0),'1SK3DD'!$L$6:$L$2989,$B$29)+SUMIFS('1SX5TQ'!$K$6:$K$2989,'1SX5TQ'!$J$6:$J$2989,"&gt;="&amp;AB7,'1SX5TQ'!$J$6:$J$2989,"&lt;="&amp;EOMONTH(AB7,0),'1SX5TQ'!$L$6:$L$2989,$B$29)+SUMIFS('BMM465'!$K$6:$K$2989,'BMM465'!$J$6:$J$2989,"&gt;="&amp;AB7,'BMM465'!$J$6:$J$2989,"&lt;="&amp;EOMONTH(AB7,0),'BMM465'!$L$6:$L$2989,$B$29)+SUMIFS('1CF1ZO'!$K$6:$K$2989,'1CF1ZO'!$J$6:$J$2989,"&gt;="&amp;AB7,'1CF1ZO'!$J$6:$J$2989,"&lt;="&amp;EOMONTH(AB7,0),'1CF1ZO'!$L$6:$L$2989,$B$29)+SUMIFS('1UK1BK'!$K$6:$K$2989,'1UK1BK'!$J$6:$J$2989,"&gt;="&amp;AB7,'1UK1BK'!$J$6:$J$2989,"&lt;="&amp;EOMONTH(AB7,0),'1UK1BK'!$L$6:$L$2989,$B$29)</f>
        <v>#REF!</v>
      </c>
      <c r="AC29" s="110" t="e">
        <f>SUMIFS('CEI565'!$K$6:$K$2990,'CEI565'!$J$6:$J$2990,"&gt;="&amp;AC7,'CEI565'!$J$6:$J$2990,"&lt;="&amp;EOMONTH(AC7,0),'CEI565'!$L$6:$L$2990,$B$29)+SUMIFS('1SM3VL'!$K$6:$K$2990,'1SM3VL'!$J$6:$J$2990,"&gt;="&amp;AC7,'1SM3VL'!$J$6:$J$2990,"&lt;="&amp;EOMONTH(AC7,0),'1SM3VL'!$L$6:$L$2990,$B$29)+SUMIFS('1QF4SM'!$K$6:$K$2989,'1QF4SM'!$J$6:$J$2989,"&gt;="&amp;AC7,'1QF4SM'!$J$6:$J$2989,"&lt;="&amp;EOMONTH(AC7,0),'1QF4SM'!$L$6:$L$2989,$B$29)+SUMIFS('1UV5KI'!$K$6:$K$2989,'1UV5KI'!$J$6:$J$2989,"&gt;="&amp;AC7,'1UV5KI'!$J$6:$J$2989,"&lt;="&amp;EOMONTH(AC7,0),'1UV5KI'!$L$6:$L$2989,$B$29)+SUMIFS(#REF!,#REF!,"&gt;="&amp;AC7,#REF!,"&lt;="&amp;EOMONTH(AC7,0),#REF!,$B$29)+SUMIFS('1UL9RY'!$K$6:$K$2990,'1UL9RY'!$J$6:$J$2990,"&gt;="&amp;AC7,'1UL9RY'!$J$6:$J$2990,"&lt;="&amp;EOMONTH(AC7,0),'1UL9RY'!$L$6:$L$2990,$B$29)+SUMIFS('1OZ7GT'!$K$6:$K$2989,'1OZ7GT'!$J$6:$J$2989,"&gt;="&amp;AC7,'1OZ7GT'!$J$6:$J$2989,"&lt;="&amp;EOMONTH(AC7,0),'1OZ7GT'!$L$6:$L$2989,$B$29)+SUMIFS('1CN8DD'!$K$6:$K$2989,'1CN8DD'!$J$6:$J$2989,"&gt;="&amp;AC7,'1CN8DD'!$J$6:$J$2989,"&lt;="&amp;EOMONTH(AC7,0),'1CN8DD'!$L$6:$L$2989,$B$29)+SUMIFS('1UT9BR'!$K$6:$K$2990,'1UT9BR'!$J$6:$J$2990,"&gt;="&amp;AC7,'1UT9BR'!$J$6:$J$2990,"&lt;="&amp;EOMONTH(AC7,0),'1UT9BR'!$L$6:$L$2990,$B$29)+SUMIFS('1MK4UR'!$K$6:$K$2990,'1MK4UR'!$J$6:$J$2990,"&gt;="&amp;AC7,'1MK4UR'!$J$6:$J$2990,"&lt;="&amp;EOMONTH(AC7,0),'1MK4UR'!$L$6:$L$2990,$B$29)+SUMIFS(#REF!,#REF!,"&gt;="&amp;AC7,#REF!,"&lt;="&amp;EOMONTH(AC7,0),#REF!,$B$29)+SUMIFS('1JI2UE'!$K$6:$K$2989,'1JI2UE'!$J$6:$J$2989,"&gt;="&amp;AC7,'1JI2UE'!$J$6:$J$2989,"&lt;="&amp;EOMONTH(AC7,0),'1JI2UE'!$L$6:$L$2989,$B$29)+SUMIFS(#REF!,#REF!,"&gt;="&amp;AC7,#REF!,"&lt;="&amp;EOMONTH(AC7,0),#REF!,$B$29)+SUMIFS('1SI9BW'!$K$6:$K$2989,'1SI9BW'!$J$6:$J$2989,"&gt;="&amp;AC7,'1SI9BW'!$J$6:$J$2989,"&lt;="&amp;EOMONTH(AC7,0),'1SI9BW'!$L$6:$L$2989,$B$29)+SUMIFS(Suzuki!$K$6:$K$2989,Suzuki!$J$6:$J$2989,"&gt;="&amp;AC7,Suzuki!$J$6:$J$2989,"&lt;="&amp;EOMONTH(AC7,0),Suzuki!$L$6:$L$2989,$B$29)+SUMIFS('1SK3DD'!$K$6:$K$2989,'1SK3DD'!$J$6:$J$2989,"&gt;="&amp;AC7,'1SK3DD'!$J$6:$J$2989,"&lt;="&amp;EOMONTH(AC7,0),'1SK3DD'!$L$6:$L$2989,$B$29)+SUMIFS('1SX5TQ'!$K$6:$K$2989,'1SX5TQ'!$J$6:$J$2989,"&gt;="&amp;AC7,'1SX5TQ'!$J$6:$J$2989,"&lt;="&amp;EOMONTH(AC7,0),'1SX5TQ'!$L$6:$L$2989,$B$29)+SUMIFS('BMM465'!$K$6:$K$2989,'BMM465'!$J$6:$J$2989,"&gt;="&amp;AC7,'BMM465'!$J$6:$J$2989,"&lt;="&amp;EOMONTH(AC7,0),'BMM465'!$L$6:$L$2989,$B$29)+SUMIFS('1CF1ZO'!$K$6:$K$2989,'1CF1ZO'!$J$6:$J$2989,"&gt;="&amp;AC7,'1CF1ZO'!$J$6:$J$2989,"&lt;="&amp;EOMONTH(AC7,0),'1CF1ZO'!$L$6:$L$2989,$B$29)+SUMIFS('1UK1BK'!$K$6:$K$2989,'1UK1BK'!$J$6:$J$2989,"&gt;="&amp;AC7,'1UK1BK'!$J$6:$J$2989,"&lt;="&amp;EOMONTH(AC7,0),'1UK1BK'!$L$6:$L$2989,$B$29)</f>
        <v>#REF!</v>
      </c>
      <c r="AD29" s="110" t="e">
        <f>SUMIFS('CEI565'!$K$6:$K$2990,'CEI565'!$J$6:$J$2990,"&gt;="&amp;AD7,'CEI565'!$J$6:$J$2990,"&lt;="&amp;EOMONTH(AD7,0),'CEI565'!$L$6:$L$2990,$B$29)+SUMIFS('1SM3VL'!$K$6:$K$2990,'1SM3VL'!$J$6:$J$2990,"&gt;="&amp;AD7,'1SM3VL'!$J$6:$J$2990,"&lt;="&amp;EOMONTH(AD7,0),'1SM3VL'!$L$6:$L$2990,$B$29)+SUMIFS('1QF4SM'!$K$6:$K$2989,'1QF4SM'!$J$6:$J$2989,"&gt;="&amp;AD7,'1QF4SM'!$J$6:$J$2989,"&lt;="&amp;EOMONTH(AD7,0),'1QF4SM'!$L$6:$L$2989,$B$29)+SUMIFS('1UV5KI'!$K$6:$K$2989,'1UV5KI'!$J$6:$J$2989,"&gt;="&amp;AD7,'1UV5KI'!$J$6:$J$2989,"&lt;="&amp;EOMONTH(AD7,0),'1UV5KI'!$L$6:$L$2989,$B$29)+SUMIFS(#REF!,#REF!,"&gt;="&amp;AD7,#REF!,"&lt;="&amp;EOMONTH(AD7,0),#REF!,$B$29)+SUMIFS('1UL9RY'!$K$6:$K$2990,'1UL9RY'!$J$6:$J$2990,"&gt;="&amp;AD7,'1UL9RY'!$J$6:$J$2990,"&lt;="&amp;EOMONTH(AD7,0),'1UL9RY'!$L$6:$L$2990,$B$29)+SUMIFS('1OZ7GT'!$K$6:$K$2989,'1OZ7GT'!$J$6:$J$2989,"&gt;="&amp;AD7,'1OZ7GT'!$J$6:$J$2989,"&lt;="&amp;EOMONTH(AD7,0),'1OZ7GT'!$L$6:$L$2989,$B$29)+SUMIFS('1CN8DD'!$K$6:$K$2989,'1CN8DD'!$J$6:$J$2989,"&gt;="&amp;AD7,'1CN8DD'!$J$6:$J$2989,"&lt;="&amp;EOMONTH(AD7,0),'1CN8DD'!$L$6:$L$2989,$B$29)+SUMIFS('1UT9BR'!$K$6:$K$2990,'1UT9BR'!$J$6:$J$2990,"&gt;="&amp;AD7,'1UT9BR'!$J$6:$J$2990,"&lt;="&amp;EOMONTH(AD7,0),'1UT9BR'!$L$6:$L$2990,$B$29)+SUMIFS('1MK4UR'!$K$6:$K$2990,'1MK4UR'!$J$6:$J$2990,"&gt;="&amp;AD7,'1MK4UR'!$J$6:$J$2990,"&lt;="&amp;EOMONTH(AD7,0),'1MK4UR'!$L$6:$L$2990,$B$29)+SUMIFS(#REF!,#REF!,"&gt;="&amp;AD7,#REF!,"&lt;="&amp;EOMONTH(AD7,0),#REF!,$B$29)+SUMIFS('1JI2UE'!$K$6:$K$2989,'1JI2UE'!$J$6:$J$2989,"&gt;="&amp;AD7,'1JI2UE'!$J$6:$J$2989,"&lt;="&amp;EOMONTH(AD7,0),'1JI2UE'!$L$6:$L$2989,$B$29)+SUMIFS(#REF!,#REF!,"&gt;="&amp;AD7,#REF!,"&lt;="&amp;EOMONTH(AD7,0),#REF!,$B$29)+SUMIFS('1SI9BW'!$K$6:$K$2989,'1SI9BW'!$J$6:$J$2989,"&gt;="&amp;AD7,'1SI9BW'!$J$6:$J$2989,"&lt;="&amp;EOMONTH(AD7,0),'1SI9BW'!$L$6:$L$2989,$B$29)+SUMIFS(Suzuki!$K$6:$K$2989,Suzuki!$J$6:$J$2989,"&gt;="&amp;AD7,Suzuki!$J$6:$J$2989,"&lt;="&amp;EOMONTH(AD7,0),Suzuki!$L$6:$L$2989,$B$29)+SUMIFS('1SK3DD'!$K$6:$K$2989,'1SK3DD'!$J$6:$J$2989,"&gt;="&amp;AD7,'1SK3DD'!$J$6:$J$2989,"&lt;="&amp;EOMONTH(AD7,0),'1SK3DD'!$L$6:$L$2989,$B$29)+SUMIFS('1SX5TQ'!$K$6:$K$2989,'1SX5TQ'!$J$6:$J$2989,"&gt;="&amp;AD7,'1SX5TQ'!$J$6:$J$2989,"&lt;="&amp;EOMONTH(AD7,0),'1SX5TQ'!$L$6:$L$2989,$B$29)+SUMIFS('BMM465'!$K$6:$K$2989,'BMM465'!$J$6:$J$2989,"&gt;="&amp;AD7,'BMM465'!$J$6:$J$2989,"&lt;="&amp;EOMONTH(AD7,0),'BMM465'!$L$6:$L$2989,$B$29)+SUMIFS('1CF1ZO'!$K$6:$K$2989,'1CF1ZO'!$J$6:$J$2989,"&gt;="&amp;AD7,'1CF1ZO'!$J$6:$J$2989,"&lt;="&amp;EOMONTH(AD7,0),'1CF1ZO'!$L$6:$L$2989,$B$29)+SUMIFS('1UK1BK'!$K$6:$K$2989,'1UK1BK'!$J$6:$J$2989,"&gt;="&amp;AD7,'1UK1BK'!$J$6:$J$2989,"&lt;="&amp;EOMONTH(AD7,0),'1UK1BK'!$L$6:$L$2989,$B$29)</f>
        <v>#REF!</v>
      </c>
      <c r="AE29" s="110" t="e">
        <f>SUMIFS('CEI565'!$K$6:$K$2990,'CEI565'!$J$6:$J$2990,"&gt;="&amp;AE7,'CEI565'!$J$6:$J$2990,"&lt;="&amp;EOMONTH(AE7,0),'CEI565'!$L$6:$L$2990,$B$29)+SUMIFS('1SM3VL'!$K$6:$K$2990,'1SM3VL'!$J$6:$J$2990,"&gt;="&amp;AE7,'1SM3VL'!$J$6:$J$2990,"&lt;="&amp;EOMONTH(AE7,0),'1SM3VL'!$L$6:$L$2990,$B$29)+SUMIFS('1QF4SM'!$K$6:$K$2989,'1QF4SM'!$J$6:$J$2989,"&gt;="&amp;AE7,'1QF4SM'!$J$6:$J$2989,"&lt;="&amp;EOMONTH(AE7,0),'1QF4SM'!$L$6:$L$2989,$B$29)+SUMIFS('1UV5KI'!$K$6:$K$2989,'1UV5KI'!$J$6:$J$2989,"&gt;="&amp;AE7,'1UV5KI'!$J$6:$J$2989,"&lt;="&amp;EOMONTH(AE7,0),'1UV5KI'!$L$6:$L$2989,$B$29)+SUMIFS(#REF!,#REF!,"&gt;="&amp;AE7,#REF!,"&lt;="&amp;EOMONTH(AE7,0),#REF!,$B$29)+SUMIFS('1UL9RY'!$K$6:$K$2990,'1UL9RY'!$J$6:$J$2990,"&gt;="&amp;AE7,'1UL9RY'!$J$6:$J$2990,"&lt;="&amp;EOMONTH(AE7,0),'1UL9RY'!$L$6:$L$2990,$B$29)+SUMIFS('1OZ7GT'!$K$6:$K$2989,'1OZ7GT'!$J$6:$J$2989,"&gt;="&amp;AE7,'1OZ7GT'!$J$6:$J$2989,"&lt;="&amp;EOMONTH(AE7,0),'1OZ7GT'!$L$6:$L$2989,$B$29)+SUMIFS('1CN8DD'!$K$6:$K$2989,'1CN8DD'!$J$6:$J$2989,"&gt;="&amp;AE7,'1CN8DD'!$J$6:$J$2989,"&lt;="&amp;EOMONTH(AE7,0),'1CN8DD'!$L$6:$L$2989,$B$29)+SUMIFS('1UT9BR'!$K$6:$K$2990,'1UT9BR'!$J$6:$J$2990,"&gt;="&amp;AE7,'1UT9BR'!$J$6:$J$2990,"&lt;="&amp;EOMONTH(AE7,0),'1UT9BR'!$L$6:$L$2990,$B$29)+SUMIFS('1MK4UR'!$K$6:$K$2990,'1MK4UR'!$J$6:$J$2990,"&gt;="&amp;AE7,'1MK4UR'!$J$6:$J$2990,"&lt;="&amp;EOMONTH(AE7,0),'1MK4UR'!$L$6:$L$2990,$B$29)+SUMIFS(#REF!,#REF!,"&gt;="&amp;AE7,#REF!,"&lt;="&amp;EOMONTH(AE7,0),#REF!,$B$29)+SUMIFS('1JI2UE'!$K$6:$K$2989,'1JI2UE'!$J$6:$J$2989,"&gt;="&amp;AE7,'1JI2UE'!$J$6:$J$2989,"&lt;="&amp;EOMONTH(AE7,0),'1JI2UE'!$L$6:$L$2989,$B$29)+SUMIFS(#REF!,#REF!,"&gt;="&amp;AE7,#REF!,"&lt;="&amp;EOMONTH(AE7,0),#REF!,$B$29)+SUMIFS('1SI9BW'!$K$6:$K$2989,'1SI9BW'!$J$6:$J$2989,"&gt;="&amp;AE7,'1SI9BW'!$J$6:$J$2989,"&lt;="&amp;EOMONTH(AE7,0),'1SI9BW'!$L$6:$L$2989,$B$29)+SUMIFS(Suzuki!$K$6:$K$2989,Suzuki!$J$6:$J$2989,"&gt;="&amp;AE7,Suzuki!$J$6:$J$2989,"&lt;="&amp;EOMONTH(AE7,0),Suzuki!$L$6:$L$2989,$B$29)+SUMIFS('1SK3DD'!$K$6:$K$2989,'1SK3DD'!$J$6:$J$2989,"&gt;="&amp;AE7,'1SK3DD'!$J$6:$J$2989,"&lt;="&amp;EOMONTH(AE7,0),'1SK3DD'!$L$6:$L$2989,$B$29)+SUMIFS('1SX5TQ'!$K$6:$K$2989,'1SX5TQ'!$J$6:$J$2989,"&gt;="&amp;AE7,'1SX5TQ'!$J$6:$J$2989,"&lt;="&amp;EOMONTH(AE7,0),'1SX5TQ'!$L$6:$L$2989,$B$29)+SUMIFS('BMM465'!$K$6:$K$2989,'BMM465'!$J$6:$J$2989,"&gt;="&amp;AE7,'BMM465'!$J$6:$J$2989,"&lt;="&amp;EOMONTH(AE7,0),'BMM465'!$L$6:$L$2989,$B$29)+SUMIFS('1CF1ZO'!$K$6:$K$2989,'1CF1ZO'!$J$6:$J$2989,"&gt;="&amp;AE7,'1CF1ZO'!$J$6:$J$2989,"&lt;="&amp;EOMONTH(AE7,0),'1CF1ZO'!$L$6:$L$2989,$B$29)+SUMIFS('1UK1BK'!$K$6:$K$2989,'1UK1BK'!$J$6:$J$2989,"&gt;="&amp;AE7,'1UK1BK'!$J$6:$J$2989,"&lt;="&amp;EOMONTH(AE7,0),'1UK1BK'!$L$6:$L$2989,$B$29)</f>
        <v>#REF!</v>
      </c>
      <c r="AF29" s="110" t="e">
        <f>SUMIFS('CEI565'!$K$6:$K$2990,'CEI565'!$J$6:$J$2990,"&gt;="&amp;AF7,'CEI565'!$J$6:$J$2990,"&lt;="&amp;EOMONTH(AF7,0),'CEI565'!$L$6:$L$2990,$B$29)+SUMIFS('1SM3VL'!$K$6:$K$2990,'1SM3VL'!$J$6:$J$2990,"&gt;="&amp;AF7,'1SM3VL'!$J$6:$J$2990,"&lt;="&amp;EOMONTH(AF7,0),'1SM3VL'!$L$6:$L$2990,$B$29)+SUMIFS('1QF4SM'!$K$6:$K$2989,'1QF4SM'!$J$6:$J$2989,"&gt;="&amp;AF7,'1QF4SM'!$J$6:$J$2989,"&lt;="&amp;EOMONTH(AF7,0),'1QF4SM'!$L$6:$L$2989,$B$29)+SUMIFS('1UV5KI'!$K$6:$K$2989,'1UV5KI'!$J$6:$J$2989,"&gt;="&amp;AF7,'1UV5KI'!$J$6:$J$2989,"&lt;="&amp;EOMONTH(AF7,0),'1UV5KI'!$L$6:$L$2989,$B$29)+SUMIFS(#REF!,#REF!,"&gt;="&amp;AF7,#REF!,"&lt;="&amp;EOMONTH(AF7,0),#REF!,$B$29)+SUMIFS('1UL9RY'!$K$6:$K$2990,'1UL9RY'!$J$6:$J$2990,"&gt;="&amp;AF7,'1UL9RY'!$J$6:$J$2990,"&lt;="&amp;EOMONTH(AF7,0),'1UL9RY'!$L$6:$L$2990,$B$29)+SUMIFS('1OZ7GT'!$K$6:$K$2989,'1OZ7GT'!$J$6:$J$2989,"&gt;="&amp;AF7,'1OZ7GT'!$J$6:$J$2989,"&lt;="&amp;EOMONTH(AF7,0),'1OZ7GT'!$L$6:$L$2989,$B$29)+SUMIFS('1CN8DD'!$K$6:$K$2989,'1CN8DD'!$J$6:$J$2989,"&gt;="&amp;AF7,'1CN8DD'!$J$6:$J$2989,"&lt;="&amp;EOMONTH(AF7,0),'1CN8DD'!$L$6:$L$2989,$B$29)+SUMIFS('1UT9BR'!$K$6:$K$2990,'1UT9BR'!$J$6:$J$2990,"&gt;="&amp;AF7,'1UT9BR'!$J$6:$J$2990,"&lt;="&amp;EOMONTH(AF7,0),'1UT9BR'!$L$6:$L$2990,$B$29)+SUMIFS('1MK4UR'!$K$6:$K$2990,'1MK4UR'!$J$6:$J$2990,"&gt;="&amp;AF7,'1MK4UR'!$J$6:$J$2990,"&lt;="&amp;EOMONTH(AF7,0),'1MK4UR'!$L$6:$L$2990,$B$29)+SUMIFS(#REF!,#REF!,"&gt;="&amp;AF7,#REF!,"&lt;="&amp;EOMONTH(AF7,0),#REF!,$B$29)+SUMIFS('1JI2UE'!$K$6:$K$2989,'1JI2UE'!$J$6:$J$2989,"&gt;="&amp;AF7,'1JI2UE'!$J$6:$J$2989,"&lt;="&amp;EOMONTH(AF7,0),'1JI2UE'!$L$6:$L$2989,$B$29)+SUMIFS(#REF!,#REF!,"&gt;="&amp;AF7,#REF!,"&lt;="&amp;EOMONTH(AF7,0),#REF!,$B$29)+SUMIFS('1SI9BW'!$K$6:$K$2989,'1SI9BW'!$J$6:$J$2989,"&gt;="&amp;AF7,'1SI9BW'!$J$6:$J$2989,"&lt;="&amp;EOMONTH(AF7,0),'1SI9BW'!$L$6:$L$2989,$B$29)+SUMIFS(Suzuki!$K$6:$K$2989,Suzuki!$J$6:$J$2989,"&gt;="&amp;AF7,Suzuki!$J$6:$J$2989,"&lt;="&amp;EOMONTH(AF7,0),Suzuki!$L$6:$L$2989,$B$29)+SUMIFS('1SK3DD'!$K$6:$K$2989,'1SK3DD'!$J$6:$J$2989,"&gt;="&amp;AF7,'1SK3DD'!$J$6:$J$2989,"&lt;="&amp;EOMONTH(AF7,0),'1SK3DD'!$L$6:$L$2989,$B$29)+SUMIFS('1SX5TQ'!$K$6:$K$2989,'1SX5TQ'!$J$6:$J$2989,"&gt;="&amp;AF7,'1SX5TQ'!$J$6:$J$2989,"&lt;="&amp;EOMONTH(AF7,0),'1SX5TQ'!$L$6:$L$2989,$B$29)+SUMIFS('BMM465'!$K$6:$K$2989,'BMM465'!$J$6:$J$2989,"&gt;="&amp;AF7,'BMM465'!$J$6:$J$2989,"&lt;="&amp;EOMONTH(AF7,0),'BMM465'!$L$6:$L$2989,$B$29)+SUMIFS('1CF1ZO'!$K$6:$K$2989,'1CF1ZO'!$J$6:$J$2989,"&gt;="&amp;AF7,'1CF1ZO'!$J$6:$J$2989,"&lt;="&amp;EOMONTH(AF7,0),'1CF1ZO'!$L$6:$L$2989,$B$29)+SUMIFS('1UK1BK'!$K$6:$K$2989,'1UK1BK'!$J$6:$J$2989,"&gt;="&amp;AF7,'1UK1BK'!$J$6:$J$2989,"&lt;="&amp;EOMONTH(AF7,0),'1UK1BK'!$L$6:$L$2989,$B$29)</f>
        <v>#REF!</v>
      </c>
      <c r="AG29" s="110" t="e">
        <f>SUMIFS('CEI565'!$K$6:$K$2990,'CEI565'!$J$6:$J$2990,"&gt;="&amp;AG7,'CEI565'!$J$6:$J$2990,"&lt;="&amp;EOMONTH(AG7,0),'CEI565'!$L$6:$L$2990,$B$29)+SUMIFS('1SM3VL'!$K$6:$K$2990,'1SM3VL'!$J$6:$J$2990,"&gt;="&amp;AG7,'1SM3VL'!$J$6:$J$2990,"&lt;="&amp;EOMONTH(AG7,0),'1SM3VL'!$L$6:$L$2990,$B$29)+SUMIFS('1QF4SM'!$K$6:$K$2989,'1QF4SM'!$J$6:$J$2989,"&gt;="&amp;AG7,'1QF4SM'!$J$6:$J$2989,"&lt;="&amp;EOMONTH(AG7,0),'1QF4SM'!$L$6:$L$2989,$B$29)+SUMIFS('1UV5KI'!$K$6:$K$2989,'1UV5KI'!$J$6:$J$2989,"&gt;="&amp;AG7,'1UV5KI'!$J$6:$J$2989,"&lt;="&amp;EOMONTH(AG7,0),'1UV5KI'!$L$6:$L$2989,$B$29)+SUMIFS(#REF!,#REF!,"&gt;="&amp;AG7,#REF!,"&lt;="&amp;EOMONTH(AG7,0),#REF!,$B$29)+SUMIFS('1UL9RY'!$K$6:$K$2990,'1UL9RY'!$J$6:$J$2990,"&gt;="&amp;AG7,'1UL9RY'!$J$6:$J$2990,"&lt;="&amp;EOMONTH(AG7,0),'1UL9RY'!$L$6:$L$2990,$B$29)+SUMIFS('1OZ7GT'!$K$6:$K$2989,'1OZ7GT'!$J$6:$J$2989,"&gt;="&amp;AG7,'1OZ7GT'!$J$6:$J$2989,"&lt;="&amp;EOMONTH(AG7,0),'1OZ7GT'!$L$6:$L$2989,$B$29)+SUMIFS('1CN8DD'!$K$6:$K$2989,'1CN8DD'!$J$6:$J$2989,"&gt;="&amp;AG7,'1CN8DD'!$J$6:$J$2989,"&lt;="&amp;EOMONTH(AG7,0),'1CN8DD'!$L$6:$L$2989,$B$29)+SUMIFS('1UT9BR'!$K$6:$K$2990,'1UT9BR'!$J$6:$J$2990,"&gt;="&amp;AG7,'1UT9BR'!$J$6:$J$2990,"&lt;="&amp;EOMONTH(AG7,0),'1UT9BR'!$L$6:$L$2990,$B$29)+SUMIFS('1MK4UR'!$K$6:$K$2990,'1MK4UR'!$J$6:$J$2990,"&gt;="&amp;AG7,'1MK4UR'!$J$6:$J$2990,"&lt;="&amp;EOMONTH(AG7,0),'1MK4UR'!$L$6:$L$2990,$B$29)+SUMIFS(#REF!,#REF!,"&gt;="&amp;AG7,#REF!,"&lt;="&amp;EOMONTH(AG7,0),#REF!,$B$29)+SUMIFS('1JI2UE'!$K$6:$K$2989,'1JI2UE'!$J$6:$J$2989,"&gt;="&amp;AG7,'1JI2UE'!$J$6:$J$2989,"&lt;="&amp;EOMONTH(AG7,0),'1JI2UE'!$L$6:$L$2989,$B$29)+SUMIFS(#REF!,#REF!,"&gt;="&amp;AG7,#REF!,"&lt;="&amp;EOMONTH(AG7,0),#REF!,$B$29)+SUMIFS('1SI9BW'!$K$6:$K$2989,'1SI9BW'!$J$6:$J$2989,"&gt;="&amp;AG7,'1SI9BW'!$J$6:$J$2989,"&lt;="&amp;EOMONTH(AG7,0),'1SI9BW'!$L$6:$L$2989,$B$29)+SUMIFS(Suzuki!$K$6:$K$2989,Suzuki!$J$6:$J$2989,"&gt;="&amp;AG7,Suzuki!$J$6:$J$2989,"&lt;="&amp;EOMONTH(AG7,0),Suzuki!$L$6:$L$2989,$B$29)+SUMIFS('1SK3DD'!$K$6:$K$2989,'1SK3DD'!$J$6:$J$2989,"&gt;="&amp;AG7,'1SK3DD'!$J$6:$J$2989,"&lt;="&amp;EOMONTH(AG7,0),'1SK3DD'!$L$6:$L$2989,$B$29)+SUMIFS('1SX5TQ'!$K$6:$K$2989,'1SX5TQ'!$J$6:$J$2989,"&gt;="&amp;AG7,'1SX5TQ'!$J$6:$J$2989,"&lt;="&amp;EOMONTH(AG7,0),'1SX5TQ'!$L$6:$L$2989,$B$29)+SUMIFS('BMM465'!$K$6:$K$2989,'BMM465'!$J$6:$J$2989,"&gt;="&amp;AG7,'BMM465'!$J$6:$J$2989,"&lt;="&amp;EOMONTH(AG7,0),'BMM465'!$L$6:$L$2989,$B$29)+SUMIFS('1CF1ZO'!$K$6:$K$2989,'1CF1ZO'!$J$6:$J$2989,"&gt;="&amp;AG7,'1CF1ZO'!$J$6:$J$2989,"&lt;="&amp;EOMONTH(AG7,0),'1CF1ZO'!$L$6:$L$2989,$B$29)+SUMIFS('1UK1BK'!$K$6:$K$2989,'1UK1BK'!$J$6:$J$2989,"&gt;="&amp;AG7,'1UK1BK'!$J$6:$J$2989,"&lt;="&amp;EOMONTH(AG7,0),'1UK1BK'!$L$6:$L$2989,$B$29)</f>
        <v>#REF!</v>
      </c>
      <c r="AH29" s="110" t="e">
        <f>SUMIFS('CEI565'!$K$6:$K$2990,'CEI565'!$J$6:$J$2990,"&gt;="&amp;AH7,'CEI565'!$J$6:$J$2990,"&lt;="&amp;EOMONTH(AH7,0),'CEI565'!$L$6:$L$2990,$B$29)+SUMIFS('1SM3VL'!$K$6:$K$2990,'1SM3VL'!$J$6:$J$2990,"&gt;="&amp;AH7,'1SM3VL'!$J$6:$J$2990,"&lt;="&amp;EOMONTH(AH7,0),'1SM3VL'!$L$6:$L$2990,$B$29)+SUMIFS('1QF4SM'!$K$6:$K$2989,'1QF4SM'!$J$6:$J$2989,"&gt;="&amp;AH7,'1QF4SM'!$J$6:$J$2989,"&lt;="&amp;EOMONTH(AH7,0),'1QF4SM'!$L$6:$L$2989,$B$29)+SUMIFS('1UV5KI'!$K$6:$K$2989,'1UV5KI'!$J$6:$J$2989,"&gt;="&amp;AH7,'1UV5KI'!$J$6:$J$2989,"&lt;="&amp;EOMONTH(AH7,0),'1UV5KI'!$L$6:$L$2989,$B$29)+SUMIFS(#REF!,#REF!,"&gt;="&amp;AH7,#REF!,"&lt;="&amp;EOMONTH(AH7,0),#REF!,$B$29)+SUMIFS('1UL9RY'!$K$6:$K$2990,'1UL9RY'!$J$6:$J$2990,"&gt;="&amp;AH7,'1UL9RY'!$J$6:$J$2990,"&lt;="&amp;EOMONTH(AH7,0),'1UL9RY'!$L$6:$L$2990,$B$29)+SUMIFS('1OZ7GT'!$K$6:$K$2989,'1OZ7GT'!$J$6:$J$2989,"&gt;="&amp;AH7,'1OZ7GT'!$J$6:$J$2989,"&lt;="&amp;EOMONTH(AH7,0),'1OZ7GT'!$L$6:$L$2989,$B$29)+SUMIFS('1CN8DD'!$K$6:$K$2989,'1CN8DD'!$J$6:$J$2989,"&gt;="&amp;AH7,'1CN8DD'!$J$6:$J$2989,"&lt;="&amp;EOMONTH(AH7,0),'1CN8DD'!$L$6:$L$2989,$B$29)+SUMIFS('1UT9BR'!$K$6:$K$2990,'1UT9BR'!$J$6:$J$2990,"&gt;="&amp;AH7,'1UT9BR'!$J$6:$J$2990,"&lt;="&amp;EOMONTH(AH7,0),'1UT9BR'!$L$6:$L$2990,$B$29)+SUMIFS('1MK4UR'!$K$6:$K$2990,'1MK4UR'!$J$6:$J$2990,"&gt;="&amp;AH7,'1MK4UR'!$J$6:$J$2990,"&lt;="&amp;EOMONTH(AH7,0),'1MK4UR'!$L$6:$L$2990,$B$29)+SUMIFS(#REF!,#REF!,"&gt;="&amp;AH7,#REF!,"&lt;="&amp;EOMONTH(AH7,0),#REF!,$B$29)+SUMIFS('1JI2UE'!$K$6:$K$2989,'1JI2UE'!$J$6:$J$2989,"&gt;="&amp;AH7,'1JI2UE'!$J$6:$J$2989,"&lt;="&amp;EOMONTH(AH7,0),'1JI2UE'!$L$6:$L$2989,$B$29)+SUMIFS(#REF!,#REF!,"&gt;="&amp;AH7,#REF!,"&lt;="&amp;EOMONTH(AH7,0),#REF!,$B$29)+SUMIFS('1SI9BW'!$K$6:$K$2989,'1SI9BW'!$J$6:$J$2989,"&gt;="&amp;AH7,'1SI9BW'!$J$6:$J$2989,"&lt;="&amp;EOMONTH(AH7,0),'1SI9BW'!$L$6:$L$2989,$B$29)+SUMIFS(Suzuki!$K$6:$K$2989,Suzuki!$J$6:$J$2989,"&gt;="&amp;AH7,Suzuki!$J$6:$J$2989,"&lt;="&amp;EOMONTH(AH7,0),Suzuki!$L$6:$L$2989,$B$29)+SUMIFS('1SK3DD'!$K$6:$K$2989,'1SK3DD'!$J$6:$J$2989,"&gt;="&amp;AH7,'1SK3DD'!$J$6:$J$2989,"&lt;="&amp;EOMONTH(AH7,0),'1SK3DD'!$L$6:$L$2989,$B$29)+SUMIFS('1SX5TQ'!$K$6:$K$2989,'1SX5TQ'!$J$6:$J$2989,"&gt;="&amp;AH7,'1SX5TQ'!$J$6:$J$2989,"&lt;="&amp;EOMONTH(AH7,0),'1SX5TQ'!$L$6:$L$2989,$B$29)+SUMIFS('BMM465'!$K$6:$K$2989,'BMM465'!$J$6:$J$2989,"&gt;="&amp;AH7,'BMM465'!$J$6:$J$2989,"&lt;="&amp;EOMONTH(AH7,0),'BMM465'!$L$6:$L$2989,$B$29)+SUMIFS('1CF1ZO'!$K$6:$K$2989,'1CF1ZO'!$J$6:$J$2989,"&gt;="&amp;AH7,'1CF1ZO'!$J$6:$J$2989,"&lt;="&amp;EOMONTH(AH7,0),'1CF1ZO'!$L$6:$L$2989,$B$29)+SUMIFS('1UK1BK'!$K$6:$K$2989,'1UK1BK'!$J$6:$J$2989,"&gt;="&amp;AH7,'1UK1BK'!$J$6:$J$2989,"&lt;="&amp;EOMONTH(AH7,0),'1UK1BK'!$L$6:$L$2989,$B$29)</f>
        <v>#REF!</v>
      </c>
      <c r="AI29" s="110" t="e">
        <f>SUMIFS('CEI565'!$K$6:$K$2990,'CEI565'!$J$6:$J$2990,"&gt;="&amp;AI7,'CEI565'!$J$6:$J$2990,"&lt;="&amp;EOMONTH(AI7,0),'CEI565'!$L$6:$L$2990,$B$29)+SUMIFS('1SM3VL'!$K$6:$K$2990,'1SM3VL'!$J$6:$J$2990,"&gt;="&amp;AI7,'1SM3VL'!$J$6:$J$2990,"&lt;="&amp;EOMONTH(AI7,0),'1SM3VL'!$L$6:$L$2990,$B$29)+SUMIFS('1QF4SM'!$K$6:$K$2989,'1QF4SM'!$J$6:$J$2989,"&gt;="&amp;AI7,'1QF4SM'!$J$6:$J$2989,"&lt;="&amp;EOMONTH(AI7,0),'1QF4SM'!$L$6:$L$2989,$B$29)+SUMIFS('1UV5KI'!$K$6:$K$2989,'1UV5KI'!$J$6:$J$2989,"&gt;="&amp;AI7,'1UV5KI'!$J$6:$J$2989,"&lt;="&amp;EOMONTH(AI7,0),'1UV5KI'!$L$6:$L$2989,$B$29)+SUMIFS(#REF!,#REF!,"&gt;="&amp;AI7,#REF!,"&lt;="&amp;EOMONTH(AI7,0),#REF!,$B$29)+SUMIFS('1UL9RY'!$K$6:$K$2990,'1UL9RY'!$J$6:$J$2990,"&gt;="&amp;AI7,'1UL9RY'!$J$6:$J$2990,"&lt;="&amp;EOMONTH(AI7,0),'1UL9RY'!$L$6:$L$2990,$B$29)+SUMIFS('1OZ7GT'!$K$6:$K$2989,'1OZ7GT'!$J$6:$J$2989,"&gt;="&amp;AI7,'1OZ7GT'!$J$6:$J$2989,"&lt;="&amp;EOMONTH(AI7,0),'1OZ7GT'!$L$6:$L$2989,$B$29)+SUMIFS('1CN8DD'!$K$6:$K$2989,'1CN8DD'!$J$6:$J$2989,"&gt;="&amp;AI7,'1CN8DD'!$J$6:$J$2989,"&lt;="&amp;EOMONTH(AI7,0),'1CN8DD'!$L$6:$L$2989,$B$29)+SUMIFS('1UT9BR'!$K$6:$K$2990,'1UT9BR'!$J$6:$J$2990,"&gt;="&amp;AI7,'1UT9BR'!$J$6:$J$2990,"&lt;="&amp;EOMONTH(AI7,0),'1UT9BR'!$L$6:$L$2990,$B$29)+SUMIFS('1MK4UR'!$K$6:$K$2990,'1MK4UR'!$J$6:$J$2990,"&gt;="&amp;AI7,'1MK4UR'!$J$6:$J$2990,"&lt;="&amp;EOMONTH(AI7,0),'1MK4UR'!$L$6:$L$2990,$B$29)+SUMIFS(#REF!,#REF!,"&gt;="&amp;AI7,#REF!,"&lt;="&amp;EOMONTH(AI7,0),#REF!,$B$29)+SUMIFS('1JI2UE'!$K$6:$K$2989,'1JI2UE'!$J$6:$J$2989,"&gt;="&amp;AI7,'1JI2UE'!$J$6:$J$2989,"&lt;="&amp;EOMONTH(AI7,0),'1JI2UE'!$L$6:$L$2989,$B$29)+SUMIFS(#REF!,#REF!,"&gt;="&amp;AI7,#REF!,"&lt;="&amp;EOMONTH(AI7,0),#REF!,$B$29)+SUMIFS('1SI9BW'!$K$6:$K$2989,'1SI9BW'!$J$6:$J$2989,"&gt;="&amp;AI7,'1SI9BW'!$J$6:$J$2989,"&lt;="&amp;EOMONTH(AI7,0),'1SI9BW'!$L$6:$L$2989,$B$29)+SUMIFS(Suzuki!$K$6:$K$2989,Suzuki!$J$6:$J$2989,"&gt;="&amp;AI7,Suzuki!$J$6:$J$2989,"&lt;="&amp;EOMONTH(AI7,0),Suzuki!$L$6:$L$2989,$B$29)+SUMIFS('1SK3DD'!$K$6:$K$2989,'1SK3DD'!$J$6:$J$2989,"&gt;="&amp;AI7,'1SK3DD'!$J$6:$J$2989,"&lt;="&amp;EOMONTH(AI7,0),'1SK3DD'!$L$6:$L$2989,$B$29)+SUMIFS('1SX5TQ'!$K$6:$K$2989,'1SX5TQ'!$J$6:$J$2989,"&gt;="&amp;AI7,'1SX5TQ'!$J$6:$J$2989,"&lt;="&amp;EOMONTH(AI7,0),'1SX5TQ'!$L$6:$L$2989,$B$29)+SUMIFS('BMM465'!$K$6:$K$2989,'BMM465'!$J$6:$J$2989,"&gt;="&amp;AI7,'BMM465'!$J$6:$J$2989,"&lt;="&amp;EOMONTH(AI7,0),'BMM465'!$L$6:$L$2989,$B$29)+SUMIFS('1CF1ZO'!$K$6:$K$2989,'1CF1ZO'!$J$6:$J$2989,"&gt;="&amp;AI7,'1CF1ZO'!$J$6:$J$2989,"&lt;="&amp;EOMONTH(AI7,0),'1CF1ZO'!$L$6:$L$2989,$B$29)+SUMIFS('1UK1BK'!$K$6:$K$2989,'1UK1BK'!$J$6:$J$2989,"&gt;="&amp;AI7,'1UK1BK'!$J$6:$J$2989,"&lt;="&amp;EOMONTH(AI7,0),'1UK1BK'!$L$6:$L$2989,$B$29)</f>
        <v>#REF!</v>
      </c>
      <c r="AJ29" s="110" t="e">
        <f>SUMIFS('CEI565'!$K$6:$K$2990,'CEI565'!$J$6:$J$2990,"&gt;="&amp;AJ7,'CEI565'!$J$6:$J$2990,"&lt;="&amp;EOMONTH(AJ7,0),'CEI565'!$L$6:$L$2990,$B$29)+SUMIFS('1SM3VL'!$K$6:$K$2990,'1SM3VL'!$J$6:$J$2990,"&gt;="&amp;AJ7,'1SM3VL'!$J$6:$J$2990,"&lt;="&amp;EOMONTH(AJ7,0),'1SM3VL'!$L$6:$L$2990,$B$29)+SUMIFS('1QF4SM'!$K$6:$K$2989,'1QF4SM'!$J$6:$J$2989,"&gt;="&amp;AJ7,'1QF4SM'!$J$6:$J$2989,"&lt;="&amp;EOMONTH(AJ7,0),'1QF4SM'!$L$6:$L$2989,$B$29)+SUMIFS('1UV5KI'!$K$6:$K$2989,'1UV5KI'!$J$6:$J$2989,"&gt;="&amp;AJ7,'1UV5KI'!$J$6:$J$2989,"&lt;="&amp;EOMONTH(AJ7,0),'1UV5KI'!$L$6:$L$2989,$B$29)+SUMIFS(#REF!,#REF!,"&gt;="&amp;AJ7,#REF!,"&lt;="&amp;EOMONTH(AJ7,0),#REF!,$B$29)+SUMIFS('1UL9RY'!$K$6:$K$2990,'1UL9RY'!$J$6:$J$2990,"&gt;="&amp;AJ7,'1UL9RY'!$J$6:$J$2990,"&lt;="&amp;EOMONTH(AJ7,0),'1UL9RY'!$L$6:$L$2990,$B$29)+SUMIFS('1OZ7GT'!$K$6:$K$2989,'1OZ7GT'!$J$6:$J$2989,"&gt;="&amp;AJ7,'1OZ7GT'!$J$6:$J$2989,"&lt;="&amp;EOMONTH(AJ7,0),'1OZ7GT'!$L$6:$L$2989,$B$29)+SUMIFS('1CN8DD'!$K$6:$K$2989,'1CN8DD'!$J$6:$J$2989,"&gt;="&amp;AJ7,'1CN8DD'!$J$6:$J$2989,"&lt;="&amp;EOMONTH(AJ7,0),'1CN8DD'!$L$6:$L$2989,$B$29)+SUMIFS('1UT9BR'!$K$6:$K$2990,'1UT9BR'!$J$6:$J$2990,"&gt;="&amp;AJ7,'1UT9BR'!$J$6:$J$2990,"&lt;="&amp;EOMONTH(AJ7,0),'1UT9BR'!$L$6:$L$2990,$B$29)+SUMIFS('1MK4UR'!$K$6:$K$2990,'1MK4UR'!$J$6:$J$2990,"&gt;="&amp;AJ7,'1MK4UR'!$J$6:$J$2990,"&lt;="&amp;EOMONTH(AJ7,0),'1MK4UR'!$L$6:$L$2990,$B$29)+SUMIFS(#REF!,#REF!,"&gt;="&amp;AJ7,#REF!,"&lt;="&amp;EOMONTH(AJ7,0),#REF!,$B$29)+SUMIFS('1JI2UE'!$K$6:$K$2989,'1JI2UE'!$J$6:$J$2989,"&gt;="&amp;AJ7,'1JI2UE'!$J$6:$J$2989,"&lt;="&amp;EOMONTH(AJ7,0),'1JI2UE'!$L$6:$L$2989,$B$29)+SUMIFS(#REF!,#REF!,"&gt;="&amp;AJ7,#REF!,"&lt;="&amp;EOMONTH(AJ7,0),#REF!,$B$29)+SUMIFS('1SI9BW'!$K$6:$K$2989,'1SI9BW'!$J$6:$J$2989,"&gt;="&amp;AJ7,'1SI9BW'!$J$6:$J$2989,"&lt;="&amp;EOMONTH(AJ7,0),'1SI9BW'!$L$6:$L$2989,$B$29)+SUMIFS(Suzuki!$K$6:$K$2989,Suzuki!$J$6:$J$2989,"&gt;="&amp;AJ7,Suzuki!$J$6:$J$2989,"&lt;="&amp;EOMONTH(AJ7,0),Suzuki!$L$6:$L$2989,$B$29)+SUMIFS('1SK3DD'!$K$6:$K$2989,'1SK3DD'!$J$6:$J$2989,"&gt;="&amp;AJ7,'1SK3DD'!$J$6:$J$2989,"&lt;="&amp;EOMONTH(AJ7,0),'1SK3DD'!$L$6:$L$2989,$B$29)+SUMIFS('1SX5TQ'!$K$6:$K$2989,'1SX5TQ'!$J$6:$J$2989,"&gt;="&amp;AJ7,'1SX5TQ'!$J$6:$J$2989,"&lt;="&amp;EOMONTH(AJ7,0),'1SX5TQ'!$L$6:$L$2989,$B$29)+SUMIFS('BMM465'!$K$6:$K$2989,'BMM465'!$J$6:$J$2989,"&gt;="&amp;AJ7,'BMM465'!$J$6:$J$2989,"&lt;="&amp;EOMONTH(AJ7,0),'BMM465'!$L$6:$L$2989,$B$29)+SUMIFS('1CF1ZO'!$K$6:$K$2989,'1CF1ZO'!$J$6:$J$2989,"&gt;="&amp;AJ7,'1CF1ZO'!$J$6:$J$2989,"&lt;="&amp;EOMONTH(AJ7,0),'1CF1ZO'!$L$6:$L$2989,$B$29)+SUMIFS('1UK1BK'!$K$6:$K$2989,'1UK1BK'!$J$6:$J$2989,"&gt;="&amp;AJ7,'1UK1BK'!$J$6:$J$2989,"&lt;="&amp;EOMONTH(AJ7,0),'1UK1BK'!$L$6:$L$2989,$B$29)</f>
        <v>#REF!</v>
      </c>
      <c r="AK29" s="110" t="e">
        <f>SUMIFS('CEI565'!$K$6:$K$2990,'CEI565'!$J$6:$J$2990,"&gt;="&amp;AK7,'CEI565'!$J$6:$J$2990,"&lt;="&amp;EOMONTH(AK7,0),'CEI565'!$L$6:$L$2990,$B$29)+SUMIFS('1SM3VL'!$K$6:$K$2990,'1SM3VL'!$J$6:$J$2990,"&gt;="&amp;AK7,'1SM3VL'!$J$6:$J$2990,"&lt;="&amp;EOMONTH(AK7,0),'1SM3VL'!$L$6:$L$2990,$B$29)+SUMIFS('1QF4SM'!$K$6:$K$2989,'1QF4SM'!$J$6:$J$2989,"&gt;="&amp;AK7,'1QF4SM'!$J$6:$J$2989,"&lt;="&amp;EOMONTH(AK7,0),'1QF4SM'!$L$6:$L$2989,$B$29)+SUMIFS('1UV5KI'!$K$6:$K$2989,'1UV5KI'!$J$6:$J$2989,"&gt;="&amp;AK7,'1UV5KI'!$J$6:$J$2989,"&lt;="&amp;EOMONTH(AK7,0),'1UV5KI'!$L$6:$L$2989,$B$29)+SUMIFS(#REF!,#REF!,"&gt;="&amp;AK7,#REF!,"&lt;="&amp;EOMONTH(AK7,0),#REF!,$B$29)+SUMIFS('1UL9RY'!$K$6:$K$2990,'1UL9RY'!$J$6:$J$2990,"&gt;="&amp;AK7,'1UL9RY'!$J$6:$J$2990,"&lt;="&amp;EOMONTH(AK7,0),'1UL9RY'!$L$6:$L$2990,$B$29)+SUMIFS('1OZ7GT'!$K$6:$K$2989,'1OZ7GT'!$J$6:$J$2989,"&gt;="&amp;AK7,'1OZ7GT'!$J$6:$J$2989,"&lt;="&amp;EOMONTH(AK7,0),'1OZ7GT'!$L$6:$L$2989,$B$29)+SUMIFS('1CN8DD'!$K$6:$K$2989,'1CN8DD'!$J$6:$J$2989,"&gt;="&amp;AK7,'1CN8DD'!$J$6:$J$2989,"&lt;="&amp;EOMONTH(AK7,0),'1CN8DD'!$L$6:$L$2989,$B$29)+SUMIFS('1UT9BR'!$K$6:$K$2990,'1UT9BR'!$J$6:$J$2990,"&gt;="&amp;AK7,'1UT9BR'!$J$6:$J$2990,"&lt;="&amp;EOMONTH(AK7,0),'1UT9BR'!$L$6:$L$2990,$B$29)+SUMIFS('1MK4UR'!$K$6:$K$2990,'1MK4UR'!$J$6:$J$2990,"&gt;="&amp;AK7,'1MK4UR'!$J$6:$J$2990,"&lt;="&amp;EOMONTH(AK7,0),'1MK4UR'!$L$6:$L$2990,$B$29)+SUMIFS(#REF!,#REF!,"&gt;="&amp;AK7,#REF!,"&lt;="&amp;EOMONTH(AK7,0),#REF!,$B$29)+SUMIFS('1JI2UE'!$K$6:$K$2989,'1JI2UE'!$J$6:$J$2989,"&gt;="&amp;AK7,'1JI2UE'!$J$6:$J$2989,"&lt;="&amp;EOMONTH(AK7,0),'1JI2UE'!$L$6:$L$2989,$B$29)+SUMIFS(#REF!,#REF!,"&gt;="&amp;AK7,#REF!,"&lt;="&amp;EOMONTH(AK7,0),#REF!,$B$29)+SUMIFS('1SI9BW'!$K$6:$K$2989,'1SI9BW'!$J$6:$J$2989,"&gt;="&amp;AK7,'1SI9BW'!$J$6:$J$2989,"&lt;="&amp;EOMONTH(AK7,0),'1SI9BW'!$L$6:$L$2989,$B$29)+SUMIFS(Suzuki!$K$6:$K$2989,Suzuki!$J$6:$J$2989,"&gt;="&amp;AK7,Suzuki!$J$6:$J$2989,"&lt;="&amp;EOMONTH(AK7,0),Suzuki!$L$6:$L$2989,$B$29)+SUMIFS('1SK3DD'!$K$6:$K$2989,'1SK3DD'!$J$6:$J$2989,"&gt;="&amp;AK7,'1SK3DD'!$J$6:$J$2989,"&lt;="&amp;EOMONTH(AK7,0),'1SK3DD'!$L$6:$L$2989,$B$29)+SUMIFS('1SX5TQ'!$K$6:$K$2989,'1SX5TQ'!$J$6:$J$2989,"&gt;="&amp;AK7,'1SX5TQ'!$J$6:$J$2989,"&lt;="&amp;EOMONTH(AK7,0),'1SX5TQ'!$L$6:$L$2989,$B$29)+SUMIFS('BMM465'!$K$6:$K$2989,'BMM465'!$J$6:$J$2989,"&gt;="&amp;AK7,'BMM465'!$J$6:$J$2989,"&lt;="&amp;EOMONTH(AK7,0),'BMM465'!$L$6:$L$2989,$B$29)+SUMIFS('1CF1ZO'!$K$6:$K$2989,'1CF1ZO'!$J$6:$J$2989,"&gt;="&amp;AK7,'1CF1ZO'!$J$6:$J$2989,"&lt;="&amp;EOMONTH(AK7,0),'1CF1ZO'!$L$6:$L$2989,$B$29)+SUMIFS('1UK1BK'!$K$6:$K$2989,'1UK1BK'!$J$6:$J$2989,"&gt;="&amp;AK7,'1UK1BK'!$J$6:$J$2989,"&lt;="&amp;EOMONTH(AK7,0),'1UK1BK'!$L$6:$L$2989,$B$29)</f>
        <v>#REF!</v>
      </c>
      <c r="AL29" s="110" t="e">
        <f>SUMIFS('CEI565'!$K$6:$K$2990,'CEI565'!$J$6:$J$2990,"&gt;="&amp;AL7,'CEI565'!$J$6:$J$2990,"&lt;="&amp;EOMONTH(AL7,0),'CEI565'!$L$6:$L$2990,$B$29)+SUMIFS('1SM3VL'!$K$6:$K$2990,'1SM3VL'!$J$6:$J$2990,"&gt;="&amp;AL7,'1SM3VL'!$J$6:$J$2990,"&lt;="&amp;EOMONTH(AL7,0),'1SM3VL'!$L$6:$L$2990,$B$29)+SUMIFS('1QF4SM'!$K$6:$K$2989,'1QF4SM'!$J$6:$J$2989,"&gt;="&amp;AL7,'1QF4SM'!$J$6:$J$2989,"&lt;="&amp;EOMONTH(AL7,0),'1QF4SM'!$L$6:$L$2989,$B$29)+SUMIFS('1UV5KI'!$K$6:$K$2989,'1UV5KI'!$J$6:$J$2989,"&gt;="&amp;AL7,'1UV5KI'!$J$6:$J$2989,"&lt;="&amp;EOMONTH(AL7,0),'1UV5KI'!$L$6:$L$2989,$B$29)+SUMIFS(#REF!,#REF!,"&gt;="&amp;AL7,#REF!,"&lt;="&amp;EOMONTH(AL7,0),#REF!,$B$29)+SUMIFS('1UL9RY'!$K$6:$K$2990,'1UL9RY'!$J$6:$J$2990,"&gt;="&amp;AL7,'1UL9RY'!$J$6:$J$2990,"&lt;="&amp;EOMONTH(AL7,0),'1UL9RY'!$L$6:$L$2990,$B$29)+SUMIFS('1OZ7GT'!$K$6:$K$2989,'1OZ7GT'!$J$6:$J$2989,"&gt;="&amp;AL7,'1OZ7GT'!$J$6:$J$2989,"&lt;="&amp;EOMONTH(AL7,0),'1OZ7GT'!$L$6:$L$2989,$B$29)+SUMIFS('1CN8DD'!$K$6:$K$2989,'1CN8DD'!$J$6:$J$2989,"&gt;="&amp;AL7,'1CN8DD'!$J$6:$J$2989,"&lt;="&amp;EOMONTH(AL7,0),'1CN8DD'!$L$6:$L$2989,$B$29)+SUMIFS('1UT9BR'!$K$6:$K$2990,'1UT9BR'!$J$6:$J$2990,"&gt;="&amp;AL7,'1UT9BR'!$J$6:$J$2990,"&lt;="&amp;EOMONTH(AL7,0),'1UT9BR'!$L$6:$L$2990,$B$29)+SUMIFS('1MK4UR'!$K$6:$K$2990,'1MK4UR'!$J$6:$J$2990,"&gt;="&amp;AL7,'1MK4UR'!$J$6:$J$2990,"&lt;="&amp;EOMONTH(AL7,0),'1MK4UR'!$L$6:$L$2990,$B$29)+SUMIFS(#REF!,#REF!,"&gt;="&amp;AL7,#REF!,"&lt;="&amp;EOMONTH(AL7,0),#REF!,$B$29)+SUMIFS('1JI2UE'!$K$6:$K$2989,'1JI2UE'!$J$6:$J$2989,"&gt;="&amp;AL7,'1JI2UE'!$J$6:$J$2989,"&lt;="&amp;EOMONTH(AL7,0),'1JI2UE'!$L$6:$L$2989,$B$29)+SUMIFS(#REF!,#REF!,"&gt;="&amp;AL7,#REF!,"&lt;="&amp;EOMONTH(AL7,0),#REF!,$B$29)+SUMIFS('1SI9BW'!$K$6:$K$2989,'1SI9BW'!$J$6:$J$2989,"&gt;="&amp;AL7,'1SI9BW'!$J$6:$J$2989,"&lt;="&amp;EOMONTH(AL7,0),'1SI9BW'!$L$6:$L$2989,$B$29)+SUMIFS(Suzuki!$K$6:$K$2989,Suzuki!$J$6:$J$2989,"&gt;="&amp;AL7,Suzuki!$J$6:$J$2989,"&lt;="&amp;EOMONTH(AL7,0),Suzuki!$L$6:$L$2989,$B$29)+SUMIFS('1SK3DD'!$K$6:$K$2989,'1SK3DD'!$J$6:$J$2989,"&gt;="&amp;AL7,'1SK3DD'!$J$6:$J$2989,"&lt;="&amp;EOMONTH(AL7,0),'1SK3DD'!$L$6:$L$2989,$B$29)+SUMIFS('1SX5TQ'!$K$6:$K$2989,'1SX5TQ'!$J$6:$J$2989,"&gt;="&amp;AL7,'1SX5TQ'!$J$6:$J$2989,"&lt;="&amp;EOMONTH(AL7,0),'1SX5TQ'!$L$6:$L$2989,$B$29)+SUMIFS('BMM465'!$K$6:$K$2989,'BMM465'!$J$6:$J$2989,"&gt;="&amp;AL7,'BMM465'!$J$6:$J$2989,"&lt;="&amp;EOMONTH(AL7,0),'BMM465'!$L$6:$L$2989,$B$29)+SUMIFS('1CF1ZO'!$K$6:$K$2989,'1CF1ZO'!$J$6:$J$2989,"&gt;="&amp;AL7,'1CF1ZO'!$J$6:$J$2989,"&lt;="&amp;EOMONTH(AL7,0),'1CF1ZO'!$L$6:$L$2989,$B$29)+SUMIFS('1UK1BK'!$K$6:$K$2989,'1UK1BK'!$J$6:$J$2989,"&gt;="&amp;AL7,'1UK1BK'!$J$6:$J$2989,"&lt;="&amp;EOMONTH(AL7,0),'1UK1BK'!$L$6:$L$2989,$B$29)</f>
        <v>#REF!</v>
      </c>
      <c r="AM29" s="110" t="e">
        <f>SUMIFS('CEI565'!$K$6:$K$2990,'CEI565'!$J$6:$J$2990,"&gt;="&amp;AM7,'CEI565'!$J$6:$J$2990,"&lt;="&amp;EOMONTH(AM7,0),'CEI565'!$L$6:$L$2990,$B$29)+SUMIFS('1SM3VL'!$K$6:$K$2990,'1SM3VL'!$J$6:$J$2990,"&gt;="&amp;AM7,'1SM3VL'!$J$6:$J$2990,"&lt;="&amp;EOMONTH(AM7,0),'1SM3VL'!$L$6:$L$2990,$B$29)+SUMIFS('1QF4SM'!$K$6:$K$2989,'1QF4SM'!$J$6:$J$2989,"&gt;="&amp;AM7,'1QF4SM'!$J$6:$J$2989,"&lt;="&amp;EOMONTH(AM7,0),'1QF4SM'!$L$6:$L$2989,$B$29)+SUMIFS('1UV5KI'!$K$6:$K$2989,'1UV5KI'!$J$6:$J$2989,"&gt;="&amp;AM7,'1UV5KI'!$J$6:$J$2989,"&lt;="&amp;EOMONTH(AM7,0),'1UV5KI'!$L$6:$L$2989,$B$29)+SUMIFS(#REF!,#REF!,"&gt;="&amp;AM7,#REF!,"&lt;="&amp;EOMONTH(AM7,0),#REF!,$B$29)+SUMIFS('1UL9RY'!$K$6:$K$2990,'1UL9RY'!$J$6:$J$2990,"&gt;="&amp;AM7,'1UL9RY'!$J$6:$J$2990,"&lt;="&amp;EOMONTH(AM7,0),'1UL9RY'!$L$6:$L$2990,$B$29)+SUMIFS('1OZ7GT'!$K$6:$K$2989,'1OZ7GT'!$J$6:$J$2989,"&gt;="&amp;AM7,'1OZ7GT'!$J$6:$J$2989,"&lt;="&amp;EOMONTH(AM7,0),'1OZ7GT'!$L$6:$L$2989,$B$29)+SUMIFS('1CN8DD'!$K$6:$K$2989,'1CN8DD'!$J$6:$J$2989,"&gt;="&amp;AM7,'1CN8DD'!$J$6:$J$2989,"&lt;="&amp;EOMONTH(AM7,0),'1CN8DD'!$L$6:$L$2989,$B$29)+SUMIFS('1UT9BR'!$K$6:$K$2990,'1UT9BR'!$J$6:$J$2990,"&gt;="&amp;AM7,'1UT9BR'!$J$6:$J$2990,"&lt;="&amp;EOMONTH(AM7,0),'1UT9BR'!$L$6:$L$2990,$B$29)+SUMIFS('1MK4UR'!$K$6:$K$2990,'1MK4UR'!$J$6:$J$2990,"&gt;="&amp;AM7,'1MK4UR'!$J$6:$J$2990,"&lt;="&amp;EOMONTH(AM7,0),'1MK4UR'!$L$6:$L$2990,$B$29)+SUMIFS(#REF!,#REF!,"&gt;="&amp;AM7,#REF!,"&lt;="&amp;EOMONTH(AM7,0),#REF!,$B$29)+SUMIFS('1JI2UE'!$K$6:$K$2989,'1JI2UE'!$J$6:$J$2989,"&gt;="&amp;AM7,'1JI2UE'!$J$6:$J$2989,"&lt;="&amp;EOMONTH(AM7,0),'1JI2UE'!$L$6:$L$2989,$B$29)+SUMIFS(#REF!,#REF!,"&gt;="&amp;AM7,#REF!,"&lt;="&amp;EOMONTH(AM7,0),#REF!,$B$29)+SUMIFS('1SI9BW'!$K$6:$K$2989,'1SI9BW'!$J$6:$J$2989,"&gt;="&amp;AM7,'1SI9BW'!$J$6:$J$2989,"&lt;="&amp;EOMONTH(AM7,0),'1SI9BW'!$L$6:$L$2989,$B$29)+SUMIFS(Suzuki!$K$6:$K$2989,Suzuki!$J$6:$J$2989,"&gt;="&amp;AM7,Suzuki!$J$6:$J$2989,"&lt;="&amp;EOMONTH(AM7,0),Suzuki!$L$6:$L$2989,$B$29)+SUMIFS('1SK3DD'!$K$6:$K$2989,'1SK3DD'!$J$6:$J$2989,"&gt;="&amp;AM7,'1SK3DD'!$J$6:$J$2989,"&lt;="&amp;EOMONTH(AM7,0),'1SK3DD'!$L$6:$L$2989,$B$29)+SUMIFS('1SX5TQ'!$K$6:$K$2989,'1SX5TQ'!$J$6:$J$2989,"&gt;="&amp;AM7,'1SX5TQ'!$J$6:$J$2989,"&lt;="&amp;EOMONTH(AM7,0),'1SX5TQ'!$L$6:$L$2989,$B$29)+SUMIFS('BMM465'!$K$6:$K$2989,'BMM465'!$J$6:$J$2989,"&gt;="&amp;AM7,'BMM465'!$J$6:$J$2989,"&lt;="&amp;EOMONTH(AM7,0),'BMM465'!$L$6:$L$2989,$B$29)+SUMIFS('1CF1ZO'!$K$6:$K$2989,'1CF1ZO'!$J$6:$J$2989,"&gt;="&amp;AM7,'1CF1ZO'!$J$6:$J$2989,"&lt;="&amp;EOMONTH(AM7,0),'1CF1ZO'!$L$6:$L$2989,$B$29)+SUMIFS('1UK1BK'!$K$6:$K$2989,'1UK1BK'!$J$6:$J$2989,"&gt;="&amp;AM7,'1UK1BK'!$J$6:$J$2989,"&lt;="&amp;EOMONTH(AM7,0),'1UK1BK'!$L$6:$L$2989,$B$29)</f>
        <v>#REF!</v>
      </c>
      <c r="AN29" s="110" t="e">
        <f>SUMIFS('CEI565'!$K$6:$K$2990,'CEI565'!$J$6:$J$2990,"&gt;="&amp;AN7,'CEI565'!$J$6:$J$2990,"&lt;="&amp;EOMONTH(AN7,0),'CEI565'!$L$6:$L$2990,$B$29)+SUMIFS('1SM3VL'!$K$6:$K$2990,'1SM3VL'!$J$6:$J$2990,"&gt;="&amp;AN7,'1SM3VL'!$J$6:$J$2990,"&lt;="&amp;EOMONTH(AN7,0),'1SM3VL'!$L$6:$L$2990,$B$29)+SUMIFS('1QF4SM'!$K$6:$K$2989,'1QF4SM'!$J$6:$J$2989,"&gt;="&amp;AN7,'1QF4SM'!$J$6:$J$2989,"&lt;="&amp;EOMONTH(AN7,0),'1QF4SM'!$L$6:$L$2989,$B$29)+SUMIFS('1UV5KI'!$K$6:$K$2989,'1UV5KI'!$J$6:$J$2989,"&gt;="&amp;AN7,'1UV5KI'!$J$6:$J$2989,"&lt;="&amp;EOMONTH(AN7,0),'1UV5KI'!$L$6:$L$2989,$B$29)+SUMIFS(#REF!,#REF!,"&gt;="&amp;AN7,#REF!,"&lt;="&amp;EOMONTH(AN7,0),#REF!,$B$29)+SUMIFS('1UL9RY'!$K$6:$K$2990,'1UL9RY'!$J$6:$J$2990,"&gt;="&amp;AN7,'1UL9RY'!$J$6:$J$2990,"&lt;="&amp;EOMONTH(AN7,0),'1UL9RY'!$L$6:$L$2990,$B$29)+SUMIFS('1OZ7GT'!$K$6:$K$2989,'1OZ7GT'!$J$6:$J$2989,"&gt;="&amp;AN7,'1OZ7GT'!$J$6:$J$2989,"&lt;="&amp;EOMONTH(AN7,0),'1OZ7GT'!$L$6:$L$2989,$B$29)+SUMIFS('1CN8DD'!$K$6:$K$2989,'1CN8DD'!$J$6:$J$2989,"&gt;="&amp;AN7,'1CN8DD'!$J$6:$J$2989,"&lt;="&amp;EOMONTH(AN7,0),'1CN8DD'!$L$6:$L$2989,$B$29)+SUMIFS('1UT9BR'!$K$6:$K$2990,'1UT9BR'!$J$6:$J$2990,"&gt;="&amp;AN7,'1UT9BR'!$J$6:$J$2990,"&lt;="&amp;EOMONTH(AN7,0),'1UT9BR'!$L$6:$L$2990,$B$29)+SUMIFS('1MK4UR'!$K$6:$K$2990,'1MK4UR'!$J$6:$J$2990,"&gt;="&amp;AN7,'1MK4UR'!$J$6:$J$2990,"&lt;="&amp;EOMONTH(AN7,0),'1MK4UR'!$L$6:$L$2990,$B$29)+SUMIFS(#REF!,#REF!,"&gt;="&amp;AN7,#REF!,"&lt;="&amp;EOMONTH(AN7,0),#REF!,$B$29)+SUMIFS('1JI2UE'!$K$6:$K$2989,'1JI2UE'!$J$6:$J$2989,"&gt;="&amp;AN7,'1JI2UE'!$J$6:$J$2989,"&lt;="&amp;EOMONTH(AN7,0),'1JI2UE'!$L$6:$L$2989,$B$29)+SUMIFS(#REF!,#REF!,"&gt;="&amp;AN7,#REF!,"&lt;="&amp;EOMONTH(AN7,0),#REF!,$B$29)+SUMIFS('1SI9BW'!$K$6:$K$2989,'1SI9BW'!$J$6:$J$2989,"&gt;="&amp;AN7,'1SI9BW'!$J$6:$J$2989,"&lt;="&amp;EOMONTH(AN7,0),'1SI9BW'!$L$6:$L$2989,$B$29)+SUMIFS(Suzuki!$K$6:$K$2989,Suzuki!$J$6:$J$2989,"&gt;="&amp;AN7,Suzuki!$J$6:$J$2989,"&lt;="&amp;EOMONTH(AN7,0),Suzuki!$L$6:$L$2989,$B$29)+SUMIFS('1SK3DD'!$K$6:$K$2989,'1SK3DD'!$J$6:$J$2989,"&gt;="&amp;AN7,'1SK3DD'!$J$6:$J$2989,"&lt;="&amp;EOMONTH(AN7,0),'1SK3DD'!$L$6:$L$2989,$B$29)+SUMIFS('1SX5TQ'!$K$6:$K$2989,'1SX5TQ'!$J$6:$J$2989,"&gt;="&amp;AN7,'1SX5TQ'!$J$6:$J$2989,"&lt;="&amp;EOMONTH(AN7,0),'1SX5TQ'!$L$6:$L$2989,$B$29)+SUMIFS('BMM465'!$K$6:$K$2989,'BMM465'!$J$6:$J$2989,"&gt;="&amp;AN7,'BMM465'!$J$6:$J$2989,"&lt;="&amp;EOMONTH(AN7,0),'BMM465'!$L$6:$L$2989,$B$29)+SUMIFS('1CF1ZO'!$K$6:$K$2989,'1CF1ZO'!$J$6:$J$2989,"&gt;="&amp;AN7,'1CF1ZO'!$J$6:$J$2989,"&lt;="&amp;EOMONTH(AN7,0),'1CF1ZO'!$L$6:$L$2989,$B$29)+SUMIFS('1UK1BK'!$K$6:$K$2989,'1UK1BK'!$J$6:$J$2989,"&gt;="&amp;AN7,'1UK1BK'!$J$6:$J$2989,"&lt;="&amp;EOMONTH(AN7,0),'1UK1BK'!$L$6:$L$2989,$B$29)</f>
        <v>#REF!</v>
      </c>
      <c r="AO29" s="110" t="e">
        <f>SUMIFS('CEI565'!$K$6:$K$2990,'CEI565'!$J$6:$J$2990,"&gt;="&amp;AO7,'CEI565'!$J$6:$J$2990,"&lt;="&amp;EOMONTH(AO7,0),'CEI565'!$L$6:$L$2990,$B$29)+SUMIFS('1SM3VL'!$K$6:$K$2990,'1SM3VL'!$J$6:$J$2990,"&gt;="&amp;AO7,'1SM3VL'!$J$6:$J$2990,"&lt;="&amp;EOMONTH(AO7,0),'1SM3VL'!$L$6:$L$2990,$B$29)+SUMIFS('1QF4SM'!$K$6:$K$2989,'1QF4SM'!$J$6:$J$2989,"&gt;="&amp;AO7,'1QF4SM'!$J$6:$J$2989,"&lt;="&amp;EOMONTH(AO7,0),'1QF4SM'!$L$6:$L$2989,$B$29)+SUMIFS('1UV5KI'!$K$6:$K$2989,'1UV5KI'!$J$6:$J$2989,"&gt;="&amp;AO7,'1UV5KI'!$J$6:$J$2989,"&lt;="&amp;EOMONTH(AO7,0),'1UV5KI'!$L$6:$L$2989,$B$29)+SUMIFS(#REF!,#REF!,"&gt;="&amp;AO7,#REF!,"&lt;="&amp;EOMONTH(AO7,0),#REF!,$B$29)+SUMIFS('1UL9RY'!$K$6:$K$2990,'1UL9RY'!$J$6:$J$2990,"&gt;="&amp;AO7,'1UL9RY'!$J$6:$J$2990,"&lt;="&amp;EOMONTH(AO7,0),'1UL9RY'!$L$6:$L$2990,$B$29)+SUMIFS('1OZ7GT'!$K$6:$K$2989,'1OZ7GT'!$J$6:$J$2989,"&gt;="&amp;AO7,'1OZ7GT'!$J$6:$J$2989,"&lt;="&amp;EOMONTH(AO7,0),'1OZ7GT'!$L$6:$L$2989,$B$29)+SUMIFS('1CN8DD'!$K$6:$K$2989,'1CN8DD'!$J$6:$J$2989,"&gt;="&amp;AO7,'1CN8DD'!$J$6:$J$2989,"&lt;="&amp;EOMONTH(AO7,0),'1CN8DD'!$L$6:$L$2989,$B$29)+SUMIFS('1UT9BR'!$K$6:$K$2990,'1UT9BR'!$J$6:$J$2990,"&gt;="&amp;AO7,'1UT9BR'!$J$6:$J$2990,"&lt;="&amp;EOMONTH(AO7,0),'1UT9BR'!$L$6:$L$2990,$B$29)+SUMIFS('1MK4UR'!$K$6:$K$2990,'1MK4UR'!$J$6:$J$2990,"&gt;="&amp;AO7,'1MK4UR'!$J$6:$J$2990,"&lt;="&amp;EOMONTH(AO7,0),'1MK4UR'!$L$6:$L$2990,$B$29)+SUMIFS(#REF!,#REF!,"&gt;="&amp;AO7,#REF!,"&lt;="&amp;EOMONTH(AO7,0),#REF!,$B$29)+SUMIFS('1JI2UE'!$K$6:$K$2989,'1JI2UE'!$J$6:$J$2989,"&gt;="&amp;AO7,'1JI2UE'!$J$6:$J$2989,"&lt;="&amp;EOMONTH(AO7,0),'1JI2UE'!$L$6:$L$2989,$B$29)+SUMIFS(#REF!,#REF!,"&gt;="&amp;AO7,#REF!,"&lt;="&amp;EOMONTH(AO7,0),#REF!,$B$29)+SUMIFS('1SI9BW'!$K$6:$K$2989,'1SI9BW'!$J$6:$J$2989,"&gt;="&amp;AO7,'1SI9BW'!$J$6:$J$2989,"&lt;="&amp;EOMONTH(AO7,0),'1SI9BW'!$L$6:$L$2989,$B$29)+SUMIFS(Suzuki!$K$6:$K$2989,Suzuki!$J$6:$J$2989,"&gt;="&amp;AO7,Suzuki!$J$6:$J$2989,"&lt;="&amp;EOMONTH(AO7,0),Suzuki!$L$6:$L$2989,$B$29)+SUMIFS('1SK3DD'!$K$6:$K$2989,'1SK3DD'!$J$6:$J$2989,"&gt;="&amp;AO7,'1SK3DD'!$J$6:$J$2989,"&lt;="&amp;EOMONTH(AO7,0),'1SK3DD'!$L$6:$L$2989,$B$29)+SUMIFS('1SX5TQ'!$K$6:$K$2989,'1SX5TQ'!$J$6:$J$2989,"&gt;="&amp;AO7,'1SX5TQ'!$J$6:$J$2989,"&lt;="&amp;EOMONTH(AO7,0),'1SX5TQ'!$L$6:$L$2989,$B$29)+SUMIFS('BMM465'!$K$6:$K$2989,'BMM465'!$J$6:$J$2989,"&gt;="&amp;AO7,'BMM465'!$J$6:$J$2989,"&lt;="&amp;EOMONTH(AO7,0),'BMM465'!$L$6:$L$2989,$B$29)+SUMIFS('1CF1ZO'!$K$6:$K$2989,'1CF1ZO'!$J$6:$J$2989,"&gt;="&amp;AO7,'1CF1ZO'!$J$6:$J$2989,"&lt;="&amp;EOMONTH(AO7,0),'1CF1ZO'!$L$6:$L$2989,$B$29)+SUMIFS('1UK1BK'!$K$6:$K$2989,'1UK1BK'!$J$6:$J$2989,"&gt;="&amp;AO7,'1UK1BK'!$J$6:$J$2989,"&lt;="&amp;EOMONTH(AO7,0),'1UK1BK'!$L$6:$L$2989,$B$29)</f>
        <v>#REF!</v>
      </c>
      <c r="AP29" s="110" t="e">
        <f>SUMIFS('CEI565'!$K$6:$K$2990,'CEI565'!$J$6:$J$2990,"&gt;="&amp;AP7,'CEI565'!$J$6:$J$2990,"&lt;="&amp;EOMONTH(AP7,0),'CEI565'!$L$6:$L$2990,$B$29)+SUMIFS('1SM3VL'!$K$6:$K$2990,'1SM3VL'!$J$6:$J$2990,"&gt;="&amp;AP7,'1SM3VL'!$J$6:$J$2990,"&lt;="&amp;EOMONTH(AP7,0),'1SM3VL'!$L$6:$L$2990,$B$29)+SUMIFS('1QF4SM'!$K$6:$K$2989,'1QF4SM'!$J$6:$J$2989,"&gt;="&amp;AP7,'1QF4SM'!$J$6:$J$2989,"&lt;="&amp;EOMONTH(AP7,0),'1QF4SM'!$L$6:$L$2989,$B$29)+SUMIFS('1UV5KI'!$K$6:$K$2989,'1UV5KI'!$J$6:$J$2989,"&gt;="&amp;AP7,'1UV5KI'!$J$6:$J$2989,"&lt;="&amp;EOMONTH(AP7,0),'1UV5KI'!$L$6:$L$2989,$B$29)+SUMIFS(#REF!,#REF!,"&gt;="&amp;AP7,#REF!,"&lt;="&amp;EOMONTH(AP7,0),#REF!,$B$29)+SUMIFS('1UL9RY'!$K$6:$K$2990,'1UL9RY'!$J$6:$J$2990,"&gt;="&amp;AP7,'1UL9RY'!$J$6:$J$2990,"&lt;="&amp;EOMONTH(AP7,0),'1UL9RY'!$L$6:$L$2990,$B$29)+SUMIFS('1OZ7GT'!$K$6:$K$2989,'1OZ7GT'!$J$6:$J$2989,"&gt;="&amp;AP7,'1OZ7GT'!$J$6:$J$2989,"&lt;="&amp;EOMONTH(AP7,0),'1OZ7GT'!$L$6:$L$2989,$B$29)+SUMIFS('1CN8DD'!$K$6:$K$2989,'1CN8DD'!$J$6:$J$2989,"&gt;="&amp;AP7,'1CN8DD'!$J$6:$J$2989,"&lt;="&amp;EOMONTH(AP7,0),'1CN8DD'!$L$6:$L$2989,$B$29)+SUMIFS('1UT9BR'!$K$6:$K$2990,'1UT9BR'!$J$6:$J$2990,"&gt;="&amp;AP7,'1UT9BR'!$J$6:$J$2990,"&lt;="&amp;EOMONTH(AP7,0),'1UT9BR'!$L$6:$L$2990,$B$29)+SUMIFS('1MK4UR'!$K$6:$K$2990,'1MK4UR'!$J$6:$J$2990,"&gt;="&amp;AP7,'1MK4UR'!$J$6:$J$2990,"&lt;="&amp;EOMONTH(AP7,0),'1MK4UR'!$L$6:$L$2990,$B$29)+SUMIFS(#REF!,#REF!,"&gt;="&amp;AP7,#REF!,"&lt;="&amp;EOMONTH(AP7,0),#REF!,$B$29)+SUMIFS('1JI2UE'!$K$6:$K$2989,'1JI2UE'!$J$6:$J$2989,"&gt;="&amp;AP7,'1JI2UE'!$J$6:$J$2989,"&lt;="&amp;EOMONTH(AP7,0),'1JI2UE'!$L$6:$L$2989,$B$29)+SUMIFS(#REF!,#REF!,"&gt;="&amp;AP7,#REF!,"&lt;="&amp;EOMONTH(AP7,0),#REF!,$B$29)+SUMIFS('1SI9BW'!$K$6:$K$2989,'1SI9BW'!$J$6:$J$2989,"&gt;="&amp;AP7,'1SI9BW'!$J$6:$J$2989,"&lt;="&amp;EOMONTH(AP7,0),'1SI9BW'!$L$6:$L$2989,$B$29)+SUMIFS(Suzuki!$K$6:$K$2989,Suzuki!$J$6:$J$2989,"&gt;="&amp;AP7,Suzuki!$J$6:$J$2989,"&lt;="&amp;EOMONTH(AP7,0),Suzuki!$L$6:$L$2989,$B$29)+SUMIFS('1SK3DD'!$K$6:$K$2989,'1SK3DD'!$J$6:$J$2989,"&gt;="&amp;AP7,'1SK3DD'!$J$6:$J$2989,"&lt;="&amp;EOMONTH(AP7,0),'1SK3DD'!$L$6:$L$2989,$B$29)+SUMIFS('1SX5TQ'!$K$6:$K$2989,'1SX5TQ'!$J$6:$J$2989,"&gt;="&amp;AP7,'1SX5TQ'!$J$6:$J$2989,"&lt;="&amp;EOMONTH(AP7,0),'1SX5TQ'!$L$6:$L$2989,$B$29)+SUMIFS('BMM465'!$K$6:$K$2989,'BMM465'!$J$6:$J$2989,"&gt;="&amp;AP7,'BMM465'!$J$6:$J$2989,"&lt;="&amp;EOMONTH(AP7,0),'BMM465'!$L$6:$L$2989,$B$29)+SUMIFS('1CF1ZO'!$K$6:$K$2989,'1CF1ZO'!$J$6:$J$2989,"&gt;="&amp;AP7,'1CF1ZO'!$J$6:$J$2989,"&lt;="&amp;EOMONTH(AP7,0),'1CF1ZO'!$L$6:$L$2989,$B$29)+SUMIFS('1UK1BK'!$K$6:$K$2989,'1UK1BK'!$J$6:$J$2989,"&gt;="&amp;AP7,'1UK1BK'!$J$6:$J$2989,"&lt;="&amp;EOMONTH(AP7,0),'1UK1BK'!$L$6:$L$2989,$B$29)</f>
        <v>#REF!</v>
      </c>
      <c r="AQ29" s="110" t="e">
        <f>SUMIFS('CEI565'!$K$6:$K$2990,'CEI565'!$J$6:$J$2990,"&gt;="&amp;AQ7,'CEI565'!$J$6:$J$2990,"&lt;="&amp;EOMONTH(AQ7,0),'CEI565'!$L$6:$L$2990,$B$29)+SUMIFS('1SM3VL'!$K$6:$K$2990,'1SM3VL'!$J$6:$J$2990,"&gt;="&amp;AQ7,'1SM3VL'!$J$6:$J$2990,"&lt;="&amp;EOMONTH(AQ7,0),'1SM3VL'!$L$6:$L$2990,$B$29)+SUMIFS('1QF4SM'!$K$6:$K$2989,'1QF4SM'!$J$6:$J$2989,"&gt;="&amp;AQ7,'1QF4SM'!$J$6:$J$2989,"&lt;="&amp;EOMONTH(AQ7,0),'1QF4SM'!$L$6:$L$2989,$B$29)+SUMIFS('1UV5KI'!$K$6:$K$2989,'1UV5KI'!$J$6:$J$2989,"&gt;="&amp;AQ7,'1UV5KI'!$J$6:$J$2989,"&lt;="&amp;EOMONTH(AQ7,0),'1UV5KI'!$L$6:$L$2989,$B$29)+SUMIFS(#REF!,#REF!,"&gt;="&amp;AQ7,#REF!,"&lt;="&amp;EOMONTH(AQ7,0),#REF!,$B$29)+SUMIFS('1UL9RY'!$K$6:$K$2990,'1UL9RY'!$J$6:$J$2990,"&gt;="&amp;AQ7,'1UL9RY'!$J$6:$J$2990,"&lt;="&amp;EOMONTH(AQ7,0),'1UL9RY'!$L$6:$L$2990,$B$29)+SUMIFS('1OZ7GT'!$K$6:$K$2989,'1OZ7GT'!$J$6:$J$2989,"&gt;="&amp;AQ7,'1OZ7GT'!$J$6:$J$2989,"&lt;="&amp;EOMONTH(AQ7,0),'1OZ7GT'!$L$6:$L$2989,$B$29)+SUMIFS('1CN8DD'!$K$6:$K$2989,'1CN8DD'!$J$6:$J$2989,"&gt;="&amp;AQ7,'1CN8DD'!$J$6:$J$2989,"&lt;="&amp;EOMONTH(AQ7,0),'1CN8DD'!$L$6:$L$2989,$B$29)+SUMIFS('1UT9BR'!$K$6:$K$2990,'1UT9BR'!$J$6:$J$2990,"&gt;="&amp;AQ7,'1UT9BR'!$J$6:$J$2990,"&lt;="&amp;EOMONTH(AQ7,0),'1UT9BR'!$L$6:$L$2990,$B$29)+SUMIFS('1MK4UR'!$K$6:$K$2990,'1MK4UR'!$J$6:$J$2990,"&gt;="&amp;AQ7,'1MK4UR'!$J$6:$J$2990,"&lt;="&amp;EOMONTH(AQ7,0),'1MK4UR'!$L$6:$L$2990,$B$29)+SUMIFS(#REF!,#REF!,"&gt;="&amp;AQ7,#REF!,"&lt;="&amp;EOMONTH(AQ7,0),#REF!,$B$29)+SUMIFS('1JI2UE'!$K$6:$K$2989,'1JI2UE'!$J$6:$J$2989,"&gt;="&amp;AQ7,'1JI2UE'!$J$6:$J$2989,"&lt;="&amp;EOMONTH(AQ7,0),'1JI2UE'!$L$6:$L$2989,$B$29)+SUMIFS(#REF!,#REF!,"&gt;="&amp;AQ7,#REF!,"&lt;="&amp;EOMONTH(AQ7,0),#REF!,$B$29)+SUMIFS('1SI9BW'!$K$6:$K$2989,'1SI9BW'!$J$6:$J$2989,"&gt;="&amp;AQ7,'1SI9BW'!$J$6:$J$2989,"&lt;="&amp;EOMONTH(AQ7,0),'1SI9BW'!$L$6:$L$2989,$B$29)+SUMIFS(Suzuki!$K$6:$K$2989,Suzuki!$J$6:$J$2989,"&gt;="&amp;AQ7,Suzuki!$J$6:$J$2989,"&lt;="&amp;EOMONTH(AQ7,0),Suzuki!$L$6:$L$2989,$B$29)+SUMIFS('1SK3DD'!$K$6:$K$2989,'1SK3DD'!$J$6:$J$2989,"&gt;="&amp;AQ7,'1SK3DD'!$J$6:$J$2989,"&lt;="&amp;EOMONTH(AQ7,0),'1SK3DD'!$L$6:$L$2989,$B$29)+SUMIFS('1SX5TQ'!$K$6:$K$2989,'1SX5TQ'!$J$6:$J$2989,"&gt;="&amp;AQ7,'1SX5TQ'!$J$6:$J$2989,"&lt;="&amp;EOMONTH(AQ7,0),'1SX5TQ'!$L$6:$L$2989,$B$29)+SUMIFS('BMM465'!$K$6:$K$2989,'BMM465'!$J$6:$J$2989,"&gt;="&amp;AQ7,'BMM465'!$J$6:$J$2989,"&lt;="&amp;EOMONTH(AQ7,0),'BMM465'!$L$6:$L$2989,$B$29)+SUMIFS('1CF1ZO'!$K$6:$K$2989,'1CF1ZO'!$J$6:$J$2989,"&gt;="&amp;AQ7,'1CF1ZO'!$J$6:$J$2989,"&lt;="&amp;EOMONTH(AQ7,0),'1CF1ZO'!$L$6:$L$2989,$B$29)+SUMIFS('1UK1BK'!$K$6:$K$2989,'1UK1BK'!$J$6:$J$2989,"&gt;="&amp;AQ7,'1UK1BK'!$J$6:$J$2989,"&lt;="&amp;EOMONTH(AQ7,0),'1UK1BK'!$L$6:$L$2989,$B$29)</f>
        <v>#REF!</v>
      </c>
      <c r="AR29" s="110" t="e">
        <f>SUMIFS('CEI565'!$K$6:$K$2990,'CEI565'!$J$6:$J$2990,"&gt;="&amp;AR7,'CEI565'!$J$6:$J$2990,"&lt;="&amp;EOMONTH(AR7,0),'CEI565'!$L$6:$L$2990,$B$29)+SUMIFS('1SM3VL'!$K$6:$K$2990,'1SM3VL'!$J$6:$J$2990,"&gt;="&amp;AR7,'1SM3VL'!$J$6:$J$2990,"&lt;="&amp;EOMONTH(AR7,0),'1SM3VL'!$L$6:$L$2990,$B$29)+SUMIFS('1QF4SM'!$K$6:$K$2989,'1QF4SM'!$J$6:$J$2989,"&gt;="&amp;AR7,'1QF4SM'!$J$6:$J$2989,"&lt;="&amp;EOMONTH(AR7,0),'1QF4SM'!$L$6:$L$2989,$B$29)+SUMIFS('1UV5KI'!$K$6:$K$2989,'1UV5KI'!$J$6:$J$2989,"&gt;="&amp;AR7,'1UV5KI'!$J$6:$J$2989,"&lt;="&amp;EOMONTH(AR7,0),'1UV5KI'!$L$6:$L$2989,$B$29)+SUMIFS(#REF!,#REF!,"&gt;="&amp;AR7,#REF!,"&lt;="&amp;EOMONTH(AR7,0),#REF!,$B$29)+SUMIFS('1UL9RY'!$K$6:$K$2990,'1UL9RY'!$J$6:$J$2990,"&gt;="&amp;AR7,'1UL9RY'!$J$6:$J$2990,"&lt;="&amp;EOMONTH(AR7,0),'1UL9RY'!$L$6:$L$2990,$B$29)+SUMIFS('1OZ7GT'!$K$6:$K$2989,'1OZ7GT'!$J$6:$J$2989,"&gt;="&amp;AR7,'1OZ7GT'!$J$6:$J$2989,"&lt;="&amp;EOMONTH(AR7,0),'1OZ7GT'!$L$6:$L$2989,$B$29)+SUMIFS('1CN8DD'!$K$6:$K$2989,'1CN8DD'!$J$6:$J$2989,"&gt;="&amp;AR7,'1CN8DD'!$J$6:$J$2989,"&lt;="&amp;EOMONTH(AR7,0),'1CN8DD'!$L$6:$L$2989,$B$29)+SUMIFS('1UT9BR'!$K$6:$K$2990,'1UT9BR'!$J$6:$J$2990,"&gt;="&amp;AR7,'1UT9BR'!$J$6:$J$2990,"&lt;="&amp;EOMONTH(AR7,0),'1UT9BR'!$L$6:$L$2990,$B$29)+SUMIFS('1MK4UR'!$K$6:$K$2990,'1MK4UR'!$J$6:$J$2990,"&gt;="&amp;AR7,'1MK4UR'!$J$6:$J$2990,"&lt;="&amp;EOMONTH(AR7,0),'1MK4UR'!$L$6:$L$2990,$B$29)+SUMIFS(#REF!,#REF!,"&gt;="&amp;AR7,#REF!,"&lt;="&amp;EOMONTH(AR7,0),#REF!,$B$29)+SUMIFS('1JI2UE'!$K$6:$K$2989,'1JI2UE'!$J$6:$J$2989,"&gt;="&amp;AR7,'1JI2UE'!$J$6:$J$2989,"&lt;="&amp;EOMONTH(AR7,0),'1JI2UE'!$L$6:$L$2989,$B$29)+SUMIFS(#REF!,#REF!,"&gt;="&amp;AR7,#REF!,"&lt;="&amp;EOMONTH(AR7,0),#REF!,$B$29)+SUMIFS('1SI9BW'!$K$6:$K$2989,'1SI9BW'!$J$6:$J$2989,"&gt;="&amp;AR7,'1SI9BW'!$J$6:$J$2989,"&lt;="&amp;EOMONTH(AR7,0),'1SI9BW'!$L$6:$L$2989,$B$29)+SUMIFS(Suzuki!$K$6:$K$2989,Suzuki!$J$6:$J$2989,"&gt;="&amp;AR7,Suzuki!$J$6:$J$2989,"&lt;="&amp;EOMONTH(AR7,0),Suzuki!$L$6:$L$2989,$B$29)+SUMIFS('1SK3DD'!$K$6:$K$2989,'1SK3DD'!$J$6:$J$2989,"&gt;="&amp;AR7,'1SK3DD'!$J$6:$J$2989,"&lt;="&amp;EOMONTH(AR7,0),'1SK3DD'!$L$6:$L$2989,$B$29)+SUMIFS('1SX5TQ'!$K$6:$K$2989,'1SX5TQ'!$J$6:$J$2989,"&gt;="&amp;AR7,'1SX5TQ'!$J$6:$J$2989,"&lt;="&amp;EOMONTH(AR7,0),'1SX5TQ'!$L$6:$L$2989,$B$29)+SUMIFS('BMM465'!$K$6:$K$2989,'BMM465'!$J$6:$J$2989,"&gt;="&amp;AR7,'BMM465'!$J$6:$J$2989,"&lt;="&amp;EOMONTH(AR7,0),'BMM465'!$L$6:$L$2989,$B$29)+SUMIFS('1CF1ZO'!$K$6:$K$2989,'1CF1ZO'!$J$6:$J$2989,"&gt;="&amp;AR7,'1CF1ZO'!$J$6:$J$2989,"&lt;="&amp;EOMONTH(AR7,0),'1CF1ZO'!$L$6:$L$2989,$B$29)+SUMIFS('1UK1BK'!$K$6:$K$2989,'1UK1BK'!$J$6:$J$2989,"&gt;="&amp;AR7,'1UK1BK'!$J$6:$J$2989,"&lt;="&amp;EOMONTH(AR7,0),'1UK1BK'!$L$6:$L$2989,$B$29)</f>
        <v>#REF!</v>
      </c>
      <c r="AS29" s="110" t="e">
        <f>SUMIFS('CEI565'!$K$6:$K$2990,'CEI565'!$J$6:$J$2990,"&gt;="&amp;AS7,'CEI565'!$J$6:$J$2990,"&lt;="&amp;EOMONTH(AS7,0),'CEI565'!$L$6:$L$2990,$B$29)+SUMIFS('1SM3VL'!$K$6:$K$2990,'1SM3VL'!$J$6:$J$2990,"&gt;="&amp;AS7,'1SM3VL'!$J$6:$J$2990,"&lt;="&amp;EOMONTH(AS7,0),'1SM3VL'!$L$6:$L$2990,$B$29)+SUMIFS('1QF4SM'!$K$6:$K$2989,'1QF4SM'!$J$6:$J$2989,"&gt;="&amp;AS7,'1QF4SM'!$J$6:$J$2989,"&lt;="&amp;EOMONTH(AS7,0),'1QF4SM'!$L$6:$L$2989,$B$29)+SUMIFS('1UV5KI'!$K$6:$K$2989,'1UV5KI'!$J$6:$J$2989,"&gt;="&amp;AS7,'1UV5KI'!$J$6:$J$2989,"&lt;="&amp;EOMONTH(AS7,0),'1UV5KI'!$L$6:$L$2989,$B$29)+SUMIFS(#REF!,#REF!,"&gt;="&amp;AS7,#REF!,"&lt;="&amp;EOMONTH(AS7,0),#REF!,$B$29)+SUMIFS('1UL9RY'!$K$6:$K$2990,'1UL9RY'!$J$6:$J$2990,"&gt;="&amp;AS7,'1UL9RY'!$J$6:$J$2990,"&lt;="&amp;EOMONTH(AS7,0),'1UL9RY'!$L$6:$L$2990,$B$29)+SUMIFS('1OZ7GT'!$K$6:$K$2989,'1OZ7GT'!$J$6:$J$2989,"&gt;="&amp;AS7,'1OZ7GT'!$J$6:$J$2989,"&lt;="&amp;EOMONTH(AS7,0),'1OZ7GT'!$L$6:$L$2989,$B$29)+SUMIFS('1CN8DD'!$K$6:$K$2989,'1CN8DD'!$J$6:$J$2989,"&gt;="&amp;AS7,'1CN8DD'!$J$6:$J$2989,"&lt;="&amp;EOMONTH(AS7,0),'1CN8DD'!$L$6:$L$2989,$B$29)+SUMIFS('1UT9BR'!$K$6:$K$2990,'1UT9BR'!$J$6:$J$2990,"&gt;="&amp;AS7,'1UT9BR'!$J$6:$J$2990,"&lt;="&amp;EOMONTH(AS7,0),'1UT9BR'!$L$6:$L$2990,$B$29)+SUMIFS('1MK4UR'!$K$6:$K$2990,'1MK4UR'!$J$6:$J$2990,"&gt;="&amp;AS7,'1MK4UR'!$J$6:$J$2990,"&lt;="&amp;EOMONTH(AS7,0),'1MK4UR'!$L$6:$L$2990,$B$29)+SUMIFS(#REF!,#REF!,"&gt;="&amp;AS7,#REF!,"&lt;="&amp;EOMONTH(AS7,0),#REF!,$B$29)+SUMIFS('1JI2UE'!$K$6:$K$2989,'1JI2UE'!$J$6:$J$2989,"&gt;="&amp;AS7,'1JI2UE'!$J$6:$J$2989,"&lt;="&amp;EOMONTH(AS7,0),'1JI2UE'!$L$6:$L$2989,$B$29)+SUMIFS(#REF!,#REF!,"&gt;="&amp;AS7,#REF!,"&lt;="&amp;EOMONTH(AS7,0),#REF!,$B$29)+SUMIFS('1SI9BW'!$K$6:$K$2989,'1SI9BW'!$J$6:$J$2989,"&gt;="&amp;AS7,'1SI9BW'!$J$6:$J$2989,"&lt;="&amp;EOMONTH(AS7,0),'1SI9BW'!$L$6:$L$2989,$B$29)+SUMIFS(Suzuki!$K$6:$K$2989,Suzuki!$J$6:$J$2989,"&gt;="&amp;AS7,Suzuki!$J$6:$J$2989,"&lt;="&amp;EOMONTH(AS7,0),Suzuki!$L$6:$L$2989,$B$29)+SUMIFS('1SK3DD'!$K$6:$K$2989,'1SK3DD'!$J$6:$J$2989,"&gt;="&amp;AS7,'1SK3DD'!$J$6:$J$2989,"&lt;="&amp;EOMONTH(AS7,0),'1SK3DD'!$L$6:$L$2989,$B$29)+SUMIFS('1SX5TQ'!$K$6:$K$2989,'1SX5TQ'!$J$6:$J$2989,"&gt;="&amp;AS7,'1SX5TQ'!$J$6:$J$2989,"&lt;="&amp;EOMONTH(AS7,0),'1SX5TQ'!$L$6:$L$2989,$B$29)+SUMIFS('BMM465'!$K$6:$K$2989,'BMM465'!$J$6:$J$2989,"&gt;="&amp;AS7,'BMM465'!$J$6:$J$2989,"&lt;="&amp;EOMONTH(AS7,0),'BMM465'!$L$6:$L$2989,$B$29)+SUMIFS('1CF1ZO'!$K$6:$K$2989,'1CF1ZO'!$J$6:$J$2989,"&gt;="&amp;AS7,'1CF1ZO'!$J$6:$J$2989,"&lt;="&amp;EOMONTH(AS7,0),'1CF1ZO'!$L$6:$L$2989,$B$29)+SUMIFS('1UK1BK'!$K$6:$K$2989,'1UK1BK'!$J$6:$J$2989,"&gt;="&amp;AS7,'1UK1BK'!$J$6:$J$2989,"&lt;="&amp;EOMONTH(AS7,0),'1UK1BK'!$L$6:$L$2989,$B$29)</f>
        <v>#REF!</v>
      </c>
      <c r="AT29" s="110" t="e">
        <f>SUMIFS('CEI565'!$K$6:$K$2990,'CEI565'!$J$6:$J$2990,"&gt;="&amp;AT7,'CEI565'!$J$6:$J$2990,"&lt;="&amp;EOMONTH(AT7,0),'CEI565'!$L$6:$L$2990,$B$29)+SUMIFS('1SM3VL'!$K$6:$K$2990,'1SM3VL'!$J$6:$J$2990,"&gt;="&amp;AT7,'1SM3VL'!$J$6:$J$2990,"&lt;="&amp;EOMONTH(AT7,0),'1SM3VL'!$L$6:$L$2990,$B$29)+SUMIFS('1QF4SM'!$K$6:$K$2989,'1QF4SM'!$J$6:$J$2989,"&gt;="&amp;AT7,'1QF4SM'!$J$6:$J$2989,"&lt;="&amp;EOMONTH(AT7,0),'1QF4SM'!$L$6:$L$2989,$B$29)+SUMIFS('1UV5KI'!$K$6:$K$2989,'1UV5KI'!$J$6:$J$2989,"&gt;="&amp;AT7,'1UV5KI'!$J$6:$J$2989,"&lt;="&amp;EOMONTH(AT7,0),'1UV5KI'!$L$6:$L$2989,$B$29)+SUMIFS(#REF!,#REF!,"&gt;="&amp;AT7,#REF!,"&lt;="&amp;EOMONTH(AT7,0),#REF!,$B$29)+SUMIFS('1UL9RY'!$K$6:$K$2990,'1UL9RY'!$J$6:$J$2990,"&gt;="&amp;AT7,'1UL9RY'!$J$6:$J$2990,"&lt;="&amp;EOMONTH(AT7,0),'1UL9RY'!$L$6:$L$2990,$B$29)+SUMIFS('1OZ7GT'!$K$6:$K$2989,'1OZ7GT'!$J$6:$J$2989,"&gt;="&amp;AT7,'1OZ7GT'!$J$6:$J$2989,"&lt;="&amp;EOMONTH(AT7,0),'1OZ7GT'!$L$6:$L$2989,$B$29)+SUMIFS('1CN8DD'!$K$6:$K$2989,'1CN8DD'!$J$6:$J$2989,"&gt;="&amp;AT7,'1CN8DD'!$J$6:$J$2989,"&lt;="&amp;EOMONTH(AT7,0),'1CN8DD'!$L$6:$L$2989,$B$29)+SUMIFS('1UT9BR'!$K$6:$K$2990,'1UT9BR'!$J$6:$J$2990,"&gt;="&amp;AT7,'1UT9BR'!$J$6:$J$2990,"&lt;="&amp;EOMONTH(AT7,0),'1UT9BR'!$L$6:$L$2990,$B$29)+SUMIFS('1MK4UR'!$K$6:$K$2990,'1MK4UR'!$J$6:$J$2990,"&gt;="&amp;AT7,'1MK4UR'!$J$6:$J$2990,"&lt;="&amp;EOMONTH(AT7,0),'1MK4UR'!$L$6:$L$2990,$B$29)+SUMIFS(#REF!,#REF!,"&gt;="&amp;AT7,#REF!,"&lt;="&amp;EOMONTH(AT7,0),#REF!,$B$29)+SUMIFS('1JI2UE'!$K$6:$K$2989,'1JI2UE'!$J$6:$J$2989,"&gt;="&amp;AT7,'1JI2UE'!$J$6:$J$2989,"&lt;="&amp;EOMONTH(AT7,0),'1JI2UE'!$L$6:$L$2989,$B$29)+SUMIFS(#REF!,#REF!,"&gt;="&amp;AT7,#REF!,"&lt;="&amp;EOMONTH(AT7,0),#REF!,$B$29)+SUMIFS('1SI9BW'!$K$6:$K$2989,'1SI9BW'!$J$6:$J$2989,"&gt;="&amp;AT7,'1SI9BW'!$J$6:$J$2989,"&lt;="&amp;EOMONTH(AT7,0),'1SI9BW'!$L$6:$L$2989,$B$29)+SUMIFS(Suzuki!$K$6:$K$2989,Suzuki!$J$6:$J$2989,"&gt;="&amp;AT7,Suzuki!$J$6:$J$2989,"&lt;="&amp;EOMONTH(AT7,0),Suzuki!$L$6:$L$2989,$B$29)+SUMIFS('1SK3DD'!$K$6:$K$2989,'1SK3DD'!$J$6:$J$2989,"&gt;="&amp;AT7,'1SK3DD'!$J$6:$J$2989,"&lt;="&amp;EOMONTH(AT7,0),'1SK3DD'!$L$6:$L$2989,$B$29)+SUMIFS('1SX5TQ'!$K$6:$K$2989,'1SX5TQ'!$J$6:$J$2989,"&gt;="&amp;AT7,'1SX5TQ'!$J$6:$J$2989,"&lt;="&amp;EOMONTH(AT7,0),'1SX5TQ'!$L$6:$L$2989,$B$29)+SUMIFS('BMM465'!$K$6:$K$2989,'BMM465'!$J$6:$J$2989,"&gt;="&amp;AT7,'BMM465'!$J$6:$J$2989,"&lt;="&amp;EOMONTH(AT7,0),'BMM465'!$L$6:$L$2989,$B$29)+SUMIFS('1CF1ZO'!$K$6:$K$2989,'1CF1ZO'!$J$6:$J$2989,"&gt;="&amp;AT7,'1CF1ZO'!$J$6:$J$2989,"&lt;="&amp;EOMONTH(AT7,0),'1CF1ZO'!$L$6:$L$2989,$B$29)+SUMIFS('1UK1BK'!$K$6:$K$2989,'1UK1BK'!$J$6:$J$2989,"&gt;="&amp;AT7,'1UK1BK'!$J$6:$J$2989,"&lt;="&amp;EOMONTH(AT7,0),'1UK1BK'!$L$6:$L$2989,$B$29)</f>
        <v>#REF!</v>
      </c>
      <c r="AU29" s="110" t="e">
        <f>SUMIFS('CEI565'!$K$6:$K$2990,'CEI565'!$J$6:$J$2990,"&gt;="&amp;AU7,'CEI565'!$J$6:$J$2990,"&lt;="&amp;EOMONTH(AU7,0),'CEI565'!$L$6:$L$2990,$B$29)+SUMIFS('1SM3VL'!$K$6:$K$2990,'1SM3VL'!$J$6:$J$2990,"&gt;="&amp;AU7,'1SM3VL'!$J$6:$J$2990,"&lt;="&amp;EOMONTH(AU7,0),'1SM3VL'!$L$6:$L$2990,$B$29)+SUMIFS('1QF4SM'!$K$6:$K$2989,'1QF4SM'!$J$6:$J$2989,"&gt;="&amp;AU7,'1QF4SM'!$J$6:$J$2989,"&lt;="&amp;EOMONTH(AU7,0),'1QF4SM'!$L$6:$L$2989,$B$29)+SUMIFS('1UV5KI'!$K$6:$K$2989,'1UV5KI'!$J$6:$J$2989,"&gt;="&amp;AU7,'1UV5KI'!$J$6:$J$2989,"&lt;="&amp;EOMONTH(AU7,0),'1UV5KI'!$L$6:$L$2989,$B$29)+SUMIFS(#REF!,#REF!,"&gt;="&amp;AU7,#REF!,"&lt;="&amp;EOMONTH(AU7,0),#REF!,$B$29)+SUMIFS('1UL9RY'!$K$6:$K$2990,'1UL9RY'!$J$6:$J$2990,"&gt;="&amp;AU7,'1UL9RY'!$J$6:$J$2990,"&lt;="&amp;EOMONTH(AU7,0),'1UL9RY'!$L$6:$L$2990,$B$29)+SUMIFS('1OZ7GT'!$K$6:$K$2989,'1OZ7GT'!$J$6:$J$2989,"&gt;="&amp;AU7,'1OZ7GT'!$J$6:$J$2989,"&lt;="&amp;EOMONTH(AU7,0),'1OZ7GT'!$L$6:$L$2989,$B$29)+SUMIFS('1CN8DD'!$K$6:$K$2989,'1CN8DD'!$J$6:$J$2989,"&gt;="&amp;AU7,'1CN8DD'!$J$6:$J$2989,"&lt;="&amp;EOMONTH(AU7,0),'1CN8DD'!$L$6:$L$2989,$B$29)+SUMIFS('1UT9BR'!$K$6:$K$2990,'1UT9BR'!$J$6:$J$2990,"&gt;="&amp;AU7,'1UT9BR'!$J$6:$J$2990,"&lt;="&amp;EOMONTH(AU7,0),'1UT9BR'!$L$6:$L$2990,$B$29)+SUMIFS('1MK4UR'!$K$6:$K$2990,'1MK4UR'!$J$6:$J$2990,"&gt;="&amp;AU7,'1MK4UR'!$J$6:$J$2990,"&lt;="&amp;EOMONTH(AU7,0),'1MK4UR'!$L$6:$L$2990,$B$29)+SUMIFS(#REF!,#REF!,"&gt;="&amp;AU7,#REF!,"&lt;="&amp;EOMONTH(AU7,0),#REF!,$B$29)+SUMIFS('1JI2UE'!$K$6:$K$2989,'1JI2UE'!$J$6:$J$2989,"&gt;="&amp;AU7,'1JI2UE'!$J$6:$J$2989,"&lt;="&amp;EOMONTH(AU7,0),'1JI2UE'!$L$6:$L$2989,$B$29)+SUMIFS(#REF!,#REF!,"&gt;="&amp;AU7,#REF!,"&lt;="&amp;EOMONTH(AU7,0),#REF!,$B$29)+SUMIFS('1SI9BW'!$K$6:$K$2989,'1SI9BW'!$J$6:$J$2989,"&gt;="&amp;AU7,'1SI9BW'!$J$6:$J$2989,"&lt;="&amp;EOMONTH(AU7,0),'1SI9BW'!$L$6:$L$2989,$B$29)+SUMIFS(Suzuki!$K$6:$K$2989,Suzuki!$J$6:$J$2989,"&gt;="&amp;AU7,Suzuki!$J$6:$J$2989,"&lt;="&amp;EOMONTH(AU7,0),Suzuki!$L$6:$L$2989,$B$29)+SUMIFS('1SK3DD'!$K$6:$K$2989,'1SK3DD'!$J$6:$J$2989,"&gt;="&amp;AU7,'1SK3DD'!$J$6:$J$2989,"&lt;="&amp;EOMONTH(AU7,0),'1SK3DD'!$L$6:$L$2989,$B$29)+SUMIFS('1SX5TQ'!$K$6:$K$2989,'1SX5TQ'!$J$6:$J$2989,"&gt;="&amp;AU7,'1SX5TQ'!$J$6:$J$2989,"&lt;="&amp;EOMONTH(AU7,0),'1SX5TQ'!$L$6:$L$2989,$B$29)+SUMIFS('BMM465'!$K$6:$K$2989,'BMM465'!$J$6:$J$2989,"&gt;="&amp;AU7,'BMM465'!$J$6:$J$2989,"&lt;="&amp;EOMONTH(AU7,0),'BMM465'!$L$6:$L$2989,$B$29)+SUMIFS('1CF1ZO'!$K$6:$K$2989,'1CF1ZO'!$J$6:$J$2989,"&gt;="&amp;AU7,'1CF1ZO'!$J$6:$J$2989,"&lt;="&amp;EOMONTH(AU7,0),'1CF1ZO'!$L$6:$L$2989,$B$29)+SUMIFS('1UK1BK'!$K$6:$K$2989,'1UK1BK'!$J$6:$J$2989,"&gt;="&amp;AU7,'1UK1BK'!$J$6:$J$2989,"&lt;="&amp;EOMONTH(AU7,0),'1UK1BK'!$L$6:$L$2989,$B$29)</f>
        <v>#REF!</v>
      </c>
      <c r="AV29" s="110" t="e">
        <f>SUMIFS('CEI565'!$K$6:$K$2990,'CEI565'!$J$6:$J$2990,"&gt;="&amp;AV7,'CEI565'!$J$6:$J$2990,"&lt;="&amp;EOMONTH(AV7,0),'CEI565'!$L$6:$L$2990,$B$29)+SUMIFS('1SM3VL'!$K$6:$K$2990,'1SM3VL'!$J$6:$J$2990,"&gt;="&amp;AV7,'1SM3VL'!$J$6:$J$2990,"&lt;="&amp;EOMONTH(AV7,0),'1SM3VL'!$L$6:$L$2990,$B$29)+SUMIFS('1QF4SM'!$K$6:$K$2989,'1QF4SM'!$J$6:$J$2989,"&gt;="&amp;AV7,'1QF4SM'!$J$6:$J$2989,"&lt;="&amp;EOMONTH(AV7,0),'1QF4SM'!$L$6:$L$2989,$B$29)+SUMIFS('1UV5KI'!$K$6:$K$2989,'1UV5KI'!$J$6:$J$2989,"&gt;="&amp;AV7,'1UV5KI'!$J$6:$J$2989,"&lt;="&amp;EOMONTH(AV7,0),'1UV5KI'!$L$6:$L$2989,$B$29)+SUMIFS(#REF!,#REF!,"&gt;="&amp;AV7,#REF!,"&lt;="&amp;EOMONTH(AV7,0),#REF!,$B$29)+SUMIFS('1UL9RY'!$K$6:$K$2990,'1UL9RY'!$J$6:$J$2990,"&gt;="&amp;AV7,'1UL9RY'!$J$6:$J$2990,"&lt;="&amp;EOMONTH(AV7,0),'1UL9RY'!$L$6:$L$2990,$B$29)+SUMIFS('1OZ7GT'!$K$6:$K$2989,'1OZ7GT'!$J$6:$J$2989,"&gt;="&amp;AV7,'1OZ7GT'!$J$6:$J$2989,"&lt;="&amp;EOMONTH(AV7,0),'1OZ7GT'!$L$6:$L$2989,$B$29)+SUMIFS('1CN8DD'!$K$6:$K$2989,'1CN8DD'!$J$6:$J$2989,"&gt;="&amp;AV7,'1CN8DD'!$J$6:$J$2989,"&lt;="&amp;EOMONTH(AV7,0),'1CN8DD'!$L$6:$L$2989,$B$29)+SUMIFS('1UT9BR'!$K$6:$K$2990,'1UT9BR'!$J$6:$J$2990,"&gt;="&amp;AV7,'1UT9BR'!$J$6:$J$2990,"&lt;="&amp;EOMONTH(AV7,0),'1UT9BR'!$L$6:$L$2990,$B$29)+SUMIFS('1MK4UR'!$K$6:$K$2990,'1MK4UR'!$J$6:$J$2990,"&gt;="&amp;AV7,'1MK4UR'!$J$6:$J$2990,"&lt;="&amp;EOMONTH(AV7,0),'1MK4UR'!$L$6:$L$2990,$B$29)+SUMIFS(#REF!,#REF!,"&gt;="&amp;AV7,#REF!,"&lt;="&amp;EOMONTH(AV7,0),#REF!,$B$29)+SUMIFS('1JI2UE'!$K$6:$K$2989,'1JI2UE'!$J$6:$J$2989,"&gt;="&amp;AV7,'1JI2UE'!$J$6:$J$2989,"&lt;="&amp;EOMONTH(AV7,0),'1JI2UE'!$L$6:$L$2989,$B$29)+SUMIFS(#REF!,#REF!,"&gt;="&amp;AV7,#REF!,"&lt;="&amp;EOMONTH(AV7,0),#REF!,$B$29)+SUMIFS('1SI9BW'!$K$6:$K$2989,'1SI9BW'!$J$6:$J$2989,"&gt;="&amp;AV7,'1SI9BW'!$J$6:$J$2989,"&lt;="&amp;EOMONTH(AV7,0),'1SI9BW'!$L$6:$L$2989,$B$29)+SUMIFS(Suzuki!$K$6:$K$2989,Suzuki!$J$6:$J$2989,"&gt;="&amp;AV7,Suzuki!$J$6:$J$2989,"&lt;="&amp;EOMONTH(AV7,0),Suzuki!$L$6:$L$2989,$B$29)+SUMIFS('1SK3DD'!$K$6:$K$2989,'1SK3DD'!$J$6:$J$2989,"&gt;="&amp;AV7,'1SK3DD'!$J$6:$J$2989,"&lt;="&amp;EOMONTH(AV7,0),'1SK3DD'!$L$6:$L$2989,$B$29)+SUMIFS('1SX5TQ'!$K$6:$K$2989,'1SX5TQ'!$J$6:$J$2989,"&gt;="&amp;AV7,'1SX5TQ'!$J$6:$J$2989,"&lt;="&amp;EOMONTH(AV7,0),'1SX5TQ'!$L$6:$L$2989,$B$29)+SUMIFS('BMM465'!$K$6:$K$2989,'BMM465'!$J$6:$J$2989,"&gt;="&amp;AV7,'BMM465'!$J$6:$J$2989,"&lt;="&amp;EOMONTH(AV7,0),'BMM465'!$L$6:$L$2989,$B$29)+SUMIFS('1CF1ZO'!$K$6:$K$2989,'1CF1ZO'!$J$6:$J$2989,"&gt;="&amp;AV7,'1CF1ZO'!$J$6:$J$2989,"&lt;="&amp;EOMONTH(AV7,0),'1CF1ZO'!$L$6:$L$2989,$B$29)+SUMIFS('1UK1BK'!$K$6:$K$2989,'1UK1BK'!$J$6:$J$2989,"&gt;="&amp;AV7,'1UK1BK'!$J$6:$J$2989,"&lt;="&amp;EOMONTH(AV7,0),'1UK1BK'!$L$6:$L$2989,$B$29)</f>
        <v>#REF!</v>
      </c>
      <c r="AW29" s="110" t="e">
        <f>SUMIFS('CEI565'!$K$6:$K$2990,'CEI565'!$J$6:$J$2990,"&gt;="&amp;AW7,'CEI565'!$J$6:$J$2990,"&lt;="&amp;EOMONTH(AW7,0),'CEI565'!$L$6:$L$2990,$B$29)+SUMIFS('1SM3VL'!$K$6:$K$2990,'1SM3VL'!$J$6:$J$2990,"&gt;="&amp;AW7,'1SM3VL'!$J$6:$J$2990,"&lt;="&amp;EOMONTH(AW7,0),'1SM3VL'!$L$6:$L$2990,$B$29)+SUMIFS('1QF4SM'!$K$6:$K$2989,'1QF4SM'!$J$6:$J$2989,"&gt;="&amp;AW7,'1QF4SM'!$J$6:$J$2989,"&lt;="&amp;EOMONTH(AW7,0),'1QF4SM'!$L$6:$L$2989,$B$29)+SUMIFS('1UV5KI'!$K$6:$K$2989,'1UV5KI'!$J$6:$J$2989,"&gt;="&amp;AW7,'1UV5KI'!$J$6:$J$2989,"&lt;="&amp;EOMONTH(AW7,0),'1UV5KI'!$L$6:$L$2989,$B$29)+SUMIFS(#REF!,#REF!,"&gt;="&amp;AW7,#REF!,"&lt;="&amp;EOMONTH(AW7,0),#REF!,$B$29)+SUMIFS('1UL9RY'!$K$6:$K$2990,'1UL9RY'!$J$6:$J$2990,"&gt;="&amp;AW7,'1UL9RY'!$J$6:$J$2990,"&lt;="&amp;EOMONTH(AW7,0),'1UL9RY'!$L$6:$L$2990,$B$29)+SUMIFS('1OZ7GT'!$K$6:$K$2989,'1OZ7GT'!$J$6:$J$2989,"&gt;="&amp;AW7,'1OZ7GT'!$J$6:$J$2989,"&lt;="&amp;EOMONTH(AW7,0),'1OZ7GT'!$L$6:$L$2989,$B$29)+SUMIFS('1CN8DD'!$K$6:$K$2989,'1CN8DD'!$J$6:$J$2989,"&gt;="&amp;AW7,'1CN8DD'!$J$6:$J$2989,"&lt;="&amp;EOMONTH(AW7,0),'1CN8DD'!$L$6:$L$2989,$B$29)+SUMIFS('1UT9BR'!$K$6:$K$2990,'1UT9BR'!$J$6:$J$2990,"&gt;="&amp;AW7,'1UT9BR'!$J$6:$J$2990,"&lt;="&amp;EOMONTH(AW7,0),'1UT9BR'!$L$6:$L$2990,$B$29)+SUMIFS('1MK4UR'!$K$6:$K$2990,'1MK4UR'!$J$6:$J$2990,"&gt;="&amp;AW7,'1MK4UR'!$J$6:$J$2990,"&lt;="&amp;EOMONTH(AW7,0),'1MK4UR'!$L$6:$L$2990,$B$29)+SUMIFS(#REF!,#REF!,"&gt;="&amp;AW7,#REF!,"&lt;="&amp;EOMONTH(AW7,0),#REF!,$B$29)+SUMIFS('1JI2UE'!$K$6:$K$2989,'1JI2UE'!$J$6:$J$2989,"&gt;="&amp;AW7,'1JI2UE'!$J$6:$J$2989,"&lt;="&amp;EOMONTH(AW7,0),'1JI2UE'!$L$6:$L$2989,$B$29)+SUMIFS(#REF!,#REF!,"&gt;="&amp;AW7,#REF!,"&lt;="&amp;EOMONTH(AW7,0),#REF!,$B$29)+SUMIFS('1SI9BW'!$K$6:$K$2989,'1SI9BW'!$J$6:$J$2989,"&gt;="&amp;AW7,'1SI9BW'!$J$6:$J$2989,"&lt;="&amp;EOMONTH(AW7,0),'1SI9BW'!$L$6:$L$2989,$B$29)+SUMIFS(Suzuki!$K$6:$K$2989,Suzuki!$J$6:$J$2989,"&gt;="&amp;AW7,Suzuki!$J$6:$J$2989,"&lt;="&amp;EOMONTH(AW7,0),Suzuki!$L$6:$L$2989,$B$29)+SUMIFS('1SK3DD'!$K$6:$K$2989,'1SK3DD'!$J$6:$J$2989,"&gt;="&amp;AW7,'1SK3DD'!$J$6:$J$2989,"&lt;="&amp;EOMONTH(AW7,0),'1SK3DD'!$L$6:$L$2989,$B$29)+SUMIFS('1SX5TQ'!$K$6:$K$2989,'1SX5TQ'!$J$6:$J$2989,"&gt;="&amp;AW7,'1SX5TQ'!$J$6:$J$2989,"&lt;="&amp;EOMONTH(AW7,0),'1SX5TQ'!$L$6:$L$2989,$B$29)+SUMIFS('BMM465'!$K$6:$K$2989,'BMM465'!$J$6:$J$2989,"&gt;="&amp;AW7,'BMM465'!$J$6:$J$2989,"&lt;="&amp;EOMONTH(AW7,0),'BMM465'!$L$6:$L$2989,$B$29)+SUMIFS('1CF1ZO'!$K$6:$K$2989,'1CF1ZO'!$J$6:$J$2989,"&gt;="&amp;AW7,'1CF1ZO'!$J$6:$J$2989,"&lt;="&amp;EOMONTH(AW7,0),'1CF1ZO'!$L$6:$L$2989,$B$29)+SUMIFS('1UK1BK'!$K$6:$K$2989,'1UK1BK'!$J$6:$J$2989,"&gt;="&amp;AW7,'1UK1BK'!$J$6:$J$2989,"&lt;="&amp;EOMONTH(AW7,0),'1UK1BK'!$L$6:$L$2989,$B$29)</f>
        <v>#REF!</v>
      </c>
      <c r="AX29" s="110" t="e">
        <f>SUMIFS('CEI565'!$K$6:$K$2990,'CEI565'!$J$6:$J$2990,"&gt;="&amp;AX7,'CEI565'!$J$6:$J$2990,"&lt;="&amp;EOMONTH(AX7,0),'CEI565'!$L$6:$L$2990,$B$29)+SUMIFS('1SM3VL'!$K$6:$K$2990,'1SM3VL'!$J$6:$J$2990,"&gt;="&amp;AX7,'1SM3VL'!$J$6:$J$2990,"&lt;="&amp;EOMONTH(AX7,0),'1SM3VL'!$L$6:$L$2990,$B$29)+SUMIFS('1QF4SM'!$K$6:$K$2989,'1QF4SM'!$J$6:$J$2989,"&gt;="&amp;AX7,'1QF4SM'!$J$6:$J$2989,"&lt;="&amp;EOMONTH(AX7,0),'1QF4SM'!$L$6:$L$2989,$B$29)+SUMIFS('1UV5KI'!$K$6:$K$2989,'1UV5KI'!$J$6:$J$2989,"&gt;="&amp;AX7,'1UV5KI'!$J$6:$J$2989,"&lt;="&amp;EOMONTH(AX7,0),'1UV5KI'!$L$6:$L$2989,$B$29)+SUMIFS(#REF!,#REF!,"&gt;="&amp;AX7,#REF!,"&lt;="&amp;EOMONTH(AX7,0),#REF!,$B$29)+SUMIFS('1UL9RY'!$K$6:$K$2990,'1UL9RY'!$J$6:$J$2990,"&gt;="&amp;AX7,'1UL9RY'!$J$6:$J$2990,"&lt;="&amp;EOMONTH(AX7,0),'1UL9RY'!$L$6:$L$2990,$B$29)+SUMIFS('1OZ7GT'!$K$6:$K$2989,'1OZ7GT'!$J$6:$J$2989,"&gt;="&amp;AX7,'1OZ7GT'!$J$6:$J$2989,"&lt;="&amp;EOMONTH(AX7,0),'1OZ7GT'!$L$6:$L$2989,$B$29)+SUMIFS('1CN8DD'!$K$6:$K$2989,'1CN8DD'!$J$6:$J$2989,"&gt;="&amp;AX7,'1CN8DD'!$J$6:$J$2989,"&lt;="&amp;EOMONTH(AX7,0),'1CN8DD'!$L$6:$L$2989,$B$29)+SUMIFS('1UT9BR'!$K$6:$K$2990,'1UT9BR'!$J$6:$J$2990,"&gt;="&amp;AX7,'1UT9BR'!$J$6:$J$2990,"&lt;="&amp;EOMONTH(AX7,0),'1UT9BR'!$L$6:$L$2990,$B$29)+SUMIFS('1MK4UR'!$K$6:$K$2990,'1MK4UR'!$J$6:$J$2990,"&gt;="&amp;AX7,'1MK4UR'!$J$6:$J$2990,"&lt;="&amp;EOMONTH(AX7,0),'1MK4UR'!$L$6:$L$2990,$B$29)+SUMIFS(#REF!,#REF!,"&gt;="&amp;AX7,#REF!,"&lt;="&amp;EOMONTH(AX7,0),#REF!,$B$29)+SUMIFS('1JI2UE'!$K$6:$K$2989,'1JI2UE'!$J$6:$J$2989,"&gt;="&amp;AX7,'1JI2UE'!$J$6:$J$2989,"&lt;="&amp;EOMONTH(AX7,0),'1JI2UE'!$L$6:$L$2989,$B$29)+SUMIFS(#REF!,#REF!,"&gt;="&amp;AX7,#REF!,"&lt;="&amp;EOMONTH(AX7,0),#REF!,$B$29)+SUMIFS('1SI9BW'!$K$6:$K$2989,'1SI9BW'!$J$6:$J$2989,"&gt;="&amp;AX7,'1SI9BW'!$J$6:$J$2989,"&lt;="&amp;EOMONTH(AX7,0),'1SI9BW'!$L$6:$L$2989,$B$29)+SUMIFS(Suzuki!$K$6:$K$2989,Suzuki!$J$6:$J$2989,"&gt;="&amp;AX7,Suzuki!$J$6:$J$2989,"&lt;="&amp;EOMONTH(AX7,0),Suzuki!$L$6:$L$2989,$B$29)+SUMIFS('1SK3DD'!$K$6:$K$2989,'1SK3DD'!$J$6:$J$2989,"&gt;="&amp;AX7,'1SK3DD'!$J$6:$J$2989,"&lt;="&amp;EOMONTH(AX7,0),'1SK3DD'!$L$6:$L$2989,$B$29)+SUMIFS('1SX5TQ'!$K$6:$K$2989,'1SX5TQ'!$J$6:$J$2989,"&gt;="&amp;AX7,'1SX5TQ'!$J$6:$J$2989,"&lt;="&amp;EOMONTH(AX7,0),'1SX5TQ'!$L$6:$L$2989,$B$29)+SUMIFS('BMM465'!$K$6:$K$2989,'BMM465'!$J$6:$J$2989,"&gt;="&amp;AX7,'BMM465'!$J$6:$J$2989,"&lt;="&amp;EOMONTH(AX7,0),'BMM465'!$L$6:$L$2989,$B$29)+SUMIFS('1CF1ZO'!$K$6:$K$2989,'1CF1ZO'!$J$6:$J$2989,"&gt;="&amp;AX7,'1CF1ZO'!$J$6:$J$2989,"&lt;="&amp;EOMONTH(AX7,0),'1CF1ZO'!$L$6:$L$2989,$B$29)+SUMIFS('1UK1BK'!$K$6:$K$2989,'1UK1BK'!$J$6:$J$2989,"&gt;="&amp;AX7,'1UK1BK'!$J$6:$J$2989,"&lt;="&amp;EOMONTH(AX7,0),'1UK1BK'!$L$6:$L$2989,$B$29)</f>
        <v>#REF!</v>
      </c>
      <c r="AY29" s="110" t="e">
        <f>SUMIFS('CEI565'!$K$6:$K$2990,'CEI565'!$J$6:$J$2990,"&gt;="&amp;AY7,'CEI565'!$J$6:$J$2990,"&lt;="&amp;EOMONTH(AY7,0),'CEI565'!$L$6:$L$2990,$B$29)+SUMIFS('1SM3VL'!$K$6:$K$2990,'1SM3VL'!$J$6:$J$2990,"&gt;="&amp;AY7,'1SM3VL'!$J$6:$J$2990,"&lt;="&amp;EOMONTH(AY7,0),'1SM3VL'!$L$6:$L$2990,$B$29)+SUMIFS('1QF4SM'!$K$6:$K$2989,'1QF4SM'!$J$6:$J$2989,"&gt;="&amp;AY7,'1QF4SM'!$J$6:$J$2989,"&lt;="&amp;EOMONTH(AY7,0),'1QF4SM'!$L$6:$L$2989,$B$29)+SUMIFS('1UV5KI'!$K$6:$K$2989,'1UV5KI'!$J$6:$J$2989,"&gt;="&amp;AY7,'1UV5KI'!$J$6:$J$2989,"&lt;="&amp;EOMONTH(AY7,0),'1UV5KI'!$L$6:$L$2989,$B$29)+SUMIFS(#REF!,#REF!,"&gt;="&amp;AY7,#REF!,"&lt;="&amp;EOMONTH(AY7,0),#REF!,$B$29)+SUMIFS('1UL9RY'!$K$6:$K$2990,'1UL9RY'!$J$6:$J$2990,"&gt;="&amp;AY7,'1UL9RY'!$J$6:$J$2990,"&lt;="&amp;EOMONTH(AY7,0),'1UL9RY'!$L$6:$L$2990,$B$29)+SUMIFS('1OZ7GT'!$K$6:$K$2989,'1OZ7GT'!$J$6:$J$2989,"&gt;="&amp;AY7,'1OZ7GT'!$J$6:$J$2989,"&lt;="&amp;EOMONTH(AY7,0),'1OZ7GT'!$L$6:$L$2989,$B$29)+SUMIFS('1CN8DD'!$K$6:$K$2989,'1CN8DD'!$J$6:$J$2989,"&gt;="&amp;AY7,'1CN8DD'!$J$6:$J$2989,"&lt;="&amp;EOMONTH(AY7,0),'1CN8DD'!$L$6:$L$2989,$B$29)+SUMIFS('1UT9BR'!$K$6:$K$2990,'1UT9BR'!$J$6:$J$2990,"&gt;="&amp;AY7,'1UT9BR'!$J$6:$J$2990,"&lt;="&amp;EOMONTH(AY7,0),'1UT9BR'!$L$6:$L$2990,$B$29)+SUMIFS('1MK4UR'!$K$6:$K$2990,'1MK4UR'!$J$6:$J$2990,"&gt;="&amp;AY7,'1MK4UR'!$J$6:$J$2990,"&lt;="&amp;EOMONTH(AY7,0),'1MK4UR'!$L$6:$L$2990,$B$29)+SUMIFS(#REF!,#REF!,"&gt;="&amp;AY7,#REF!,"&lt;="&amp;EOMONTH(AY7,0),#REF!,$B$29)+SUMIFS('1JI2UE'!$K$6:$K$2989,'1JI2UE'!$J$6:$J$2989,"&gt;="&amp;AY7,'1JI2UE'!$J$6:$J$2989,"&lt;="&amp;EOMONTH(AY7,0),'1JI2UE'!$L$6:$L$2989,$B$29)+SUMIFS(#REF!,#REF!,"&gt;="&amp;AY7,#REF!,"&lt;="&amp;EOMONTH(AY7,0),#REF!,$B$29)+SUMIFS('1SI9BW'!$K$6:$K$2989,'1SI9BW'!$J$6:$J$2989,"&gt;="&amp;AY7,'1SI9BW'!$J$6:$J$2989,"&lt;="&amp;EOMONTH(AY7,0),'1SI9BW'!$L$6:$L$2989,$B$29)+SUMIFS(Suzuki!$K$6:$K$2989,Suzuki!$J$6:$J$2989,"&gt;="&amp;AY7,Suzuki!$J$6:$J$2989,"&lt;="&amp;EOMONTH(AY7,0),Suzuki!$L$6:$L$2989,$B$29)+SUMIFS('1SK3DD'!$K$6:$K$2989,'1SK3DD'!$J$6:$J$2989,"&gt;="&amp;AY7,'1SK3DD'!$J$6:$J$2989,"&lt;="&amp;EOMONTH(AY7,0),'1SK3DD'!$L$6:$L$2989,$B$29)+SUMIFS('1SX5TQ'!$K$6:$K$2989,'1SX5TQ'!$J$6:$J$2989,"&gt;="&amp;AY7,'1SX5TQ'!$J$6:$J$2989,"&lt;="&amp;EOMONTH(AY7,0),'1SX5TQ'!$L$6:$L$2989,$B$29)+SUMIFS('BMM465'!$K$6:$K$2989,'BMM465'!$J$6:$J$2989,"&gt;="&amp;AY7,'BMM465'!$J$6:$J$2989,"&lt;="&amp;EOMONTH(AY7,0),'BMM465'!$L$6:$L$2989,$B$29)+SUMIFS('1CF1ZO'!$K$6:$K$2989,'1CF1ZO'!$J$6:$J$2989,"&gt;="&amp;AY7,'1CF1ZO'!$J$6:$J$2989,"&lt;="&amp;EOMONTH(AY7,0),'1CF1ZO'!$L$6:$L$2989,$B$29)+SUMIFS('1UK1BK'!$K$6:$K$2989,'1UK1BK'!$J$6:$J$2989,"&gt;="&amp;AY7,'1UK1BK'!$J$6:$J$2989,"&lt;="&amp;EOMONTH(AY7,0),'1UK1BK'!$L$6:$L$2989,$B$29)</f>
        <v>#REF!</v>
      </c>
      <c r="AZ29" s="110" t="e">
        <f>SUMIFS('CEI565'!$K$6:$K$2990,'CEI565'!$J$6:$J$2990,"&gt;="&amp;AZ7,'CEI565'!$J$6:$J$2990,"&lt;="&amp;EOMONTH(AZ7,0),'CEI565'!$L$6:$L$2990,$B$29)+SUMIFS('1SM3VL'!$K$6:$K$2990,'1SM3VL'!$J$6:$J$2990,"&gt;="&amp;AZ7,'1SM3VL'!$J$6:$J$2990,"&lt;="&amp;EOMONTH(AZ7,0),'1SM3VL'!$L$6:$L$2990,$B$29)+SUMIFS('1QF4SM'!$K$6:$K$2989,'1QF4SM'!$J$6:$J$2989,"&gt;="&amp;AZ7,'1QF4SM'!$J$6:$J$2989,"&lt;="&amp;EOMONTH(AZ7,0),'1QF4SM'!$L$6:$L$2989,$B$29)+SUMIFS('1UV5KI'!$K$6:$K$2989,'1UV5KI'!$J$6:$J$2989,"&gt;="&amp;AZ7,'1UV5KI'!$J$6:$J$2989,"&lt;="&amp;EOMONTH(AZ7,0),'1UV5KI'!$L$6:$L$2989,$B$29)+SUMIFS(#REF!,#REF!,"&gt;="&amp;AZ7,#REF!,"&lt;="&amp;EOMONTH(AZ7,0),#REF!,$B$29)+SUMIFS('1UL9RY'!$K$6:$K$2990,'1UL9RY'!$J$6:$J$2990,"&gt;="&amp;AZ7,'1UL9RY'!$J$6:$J$2990,"&lt;="&amp;EOMONTH(AZ7,0),'1UL9RY'!$L$6:$L$2990,$B$29)+SUMIFS('1OZ7GT'!$K$6:$K$2989,'1OZ7GT'!$J$6:$J$2989,"&gt;="&amp;AZ7,'1OZ7GT'!$J$6:$J$2989,"&lt;="&amp;EOMONTH(AZ7,0),'1OZ7GT'!$L$6:$L$2989,$B$29)+SUMIFS('1CN8DD'!$K$6:$K$2989,'1CN8DD'!$J$6:$J$2989,"&gt;="&amp;AZ7,'1CN8DD'!$J$6:$J$2989,"&lt;="&amp;EOMONTH(AZ7,0),'1CN8DD'!$L$6:$L$2989,$B$29)+SUMIFS('1UT9BR'!$K$6:$K$2990,'1UT9BR'!$J$6:$J$2990,"&gt;="&amp;AZ7,'1UT9BR'!$J$6:$J$2990,"&lt;="&amp;EOMONTH(AZ7,0),'1UT9BR'!$L$6:$L$2990,$B$29)+SUMIFS('1MK4UR'!$K$6:$K$2990,'1MK4UR'!$J$6:$J$2990,"&gt;="&amp;AZ7,'1MK4UR'!$J$6:$J$2990,"&lt;="&amp;EOMONTH(AZ7,0),'1MK4UR'!$L$6:$L$2990,$B$29)+SUMIFS(#REF!,#REF!,"&gt;="&amp;AZ7,#REF!,"&lt;="&amp;EOMONTH(AZ7,0),#REF!,$B$29)+SUMIFS('1JI2UE'!$K$6:$K$2989,'1JI2UE'!$J$6:$J$2989,"&gt;="&amp;AZ7,'1JI2UE'!$J$6:$J$2989,"&lt;="&amp;EOMONTH(AZ7,0),'1JI2UE'!$L$6:$L$2989,$B$29)+SUMIFS(#REF!,#REF!,"&gt;="&amp;AZ7,#REF!,"&lt;="&amp;EOMONTH(AZ7,0),#REF!,$B$29)+SUMIFS('1SI9BW'!$K$6:$K$2989,'1SI9BW'!$J$6:$J$2989,"&gt;="&amp;AZ7,'1SI9BW'!$J$6:$J$2989,"&lt;="&amp;EOMONTH(AZ7,0),'1SI9BW'!$L$6:$L$2989,$B$29)+SUMIFS(Suzuki!$K$6:$K$2989,Suzuki!$J$6:$J$2989,"&gt;="&amp;AZ7,Suzuki!$J$6:$J$2989,"&lt;="&amp;EOMONTH(AZ7,0),Suzuki!$L$6:$L$2989,$B$29)+SUMIFS('1SK3DD'!$K$6:$K$2989,'1SK3DD'!$J$6:$J$2989,"&gt;="&amp;AZ7,'1SK3DD'!$J$6:$J$2989,"&lt;="&amp;EOMONTH(AZ7,0),'1SK3DD'!$L$6:$L$2989,$B$29)+SUMIFS('1SX5TQ'!$K$6:$K$2989,'1SX5TQ'!$J$6:$J$2989,"&gt;="&amp;AZ7,'1SX5TQ'!$J$6:$J$2989,"&lt;="&amp;EOMONTH(AZ7,0),'1SX5TQ'!$L$6:$L$2989,$B$29)+SUMIFS('BMM465'!$K$6:$K$2989,'BMM465'!$J$6:$J$2989,"&gt;="&amp;AZ7,'BMM465'!$J$6:$J$2989,"&lt;="&amp;EOMONTH(AZ7,0),'BMM465'!$L$6:$L$2989,$B$29)+SUMIFS('1CF1ZO'!$K$6:$K$2989,'1CF1ZO'!$J$6:$J$2989,"&gt;="&amp;AZ7,'1CF1ZO'!$J$6:$J$2989,"&lt;="&amp;EOMONTH(AZ7,0),'1CF1ZO'!$L$6:$L$2989,$B$29)+SUMIFS('1UK1BK'!$K$6:$K$2989,'1UK1BK'!$J$6:$J$2989,"&gt;="&amp;AZ7,'1UK1BK'!$J$6:$J$2989,"&lt;="&amp;EOMONTH(AZ7,0),'1UK1BK'!$L$6:$L$2989,$B$29)</f>
        <v>#REF!</v>
      </c>
      <c r="BA29" s="110" t="e">
        <f>SUMIFS('CEI565'!$K$6:$K$2990,'CEI565'!$J$6:$J$2990,"&gt;="&amp;BA7,'CEI565'!$J$6:$J$2990,"&lt;="&amp;EOMONTH(BA7,0),'CEI565'!$L$6:$L$2990,$B$29)+SUMIFS('1SM3VL'!$K$6:$K$2990,'1SM3VL'!$J$6:$J$2990,"&gt;="&amp;BA7,'1SM3VL'!$J$6:$J$2990,"&lt;="&amp;EOMONTH(BA7,0),'1SM3VL'!$L$6:$L$2990,$B$29)+SUMIFS('1QF4SM'!$K$6:$K$2989,'1QF4SM'!$J$6:$J$2989,"&gt;="&amp;BA7,'1QF4SM'!$J$6:$J$2989,"&lt;="&amp;EOMONTH(BA7,0),'1QF4SM'!$L$6:$L$2989,$B$29)+SUMIFS('1UV5KI'!$K$6:$K$2989,'1UV5KI'!$J$6:$J$2989,"&gt;="&amp;BA7,'1UV5KI'!$J$6:$J$2989,"&lt;="&amp;EOMONTH(BA7,0),'1UV5KI'!$L$6:$L$2989,$B$29)+SUMIFS(#REF!,#REF!,"&gt;="&amp;BA7,#REF!,"&lt;="&amp;EOMONTH(BA7,0),#REF!,$B$29)+SUMIFS('1UL9RY'!$K$6:$K$2990,'1UL9RY'!$J$6:$J$2990,"&gt;="&amp;BA7,'1UL9RY'!$J$6:$J$2990,"&lt;="&amp;EOMONTH(BA7,0),'1UL9RY'!$L$6:$L$2990,$B$29)+SUMIFS('1OZ7GT'!$K$6:$K$2989,'1OZ7GT'!$J$6:$J$2989,"&gt;="&amp;BA7,'1OZ7GT'!$J$6:$J$2989,"&lt;="&amp;EOMONTH(BA7,0),'1OZ7GT'!$L$6:$L$2989,$B$29)+SUMIFS('1CN8DD'!$K$6:$K$2989,'1CN8DD'!$J$6:$J$2989,"&gt;="&amp;BA7,'1CN8DD'!$J$6:$J$2989,"&lt;="&amp;EOMONTH(BA7,0),'1CN8DD'!$L$6:$L$2989,$B$29)+SUMIFS('1UT9BR'!$K$6:$K$2990,'1UT9BR'!$J$6:$J$2990,"&gt;="&amp;BA7,'1UT9BR'!$J$6:$J$2990,"&lt;="&amp;EOMONTH(BA7,0),'1UT9BR'!$L$6:$L$2990,$B$29)+SUMIFS('1MK4UR'!$K$6:$K$2990,'1MK4UR'!$J$6:$J$2990,"&gt;="&amp;BA7,'1MK4UR'!$J$6:$J$2990,"&lt;="&amp;EOMONTH(BA7,0),'1MK4UR'!$L$6:$L$2990,$B$29)+SUMIFS(#REF!,#REF!,"&gt;="&amp;BA7,#REF!,"&lt;="&amp;EOMONTH(BA7,0),#REF!,$B$29)+SUMIFS('1JI2UE'!$K$6:$K$2989,'1JI2UE'!$J$6:$J$2989,"&gt;="&amp;BA7,'1JI2UE'!$J$6:$J$2989,"&lt;="&amp;EOMONTH(BA7,0),'1JI2UE'!$L$6:$L$2989,$B$29)+SUMIFS(#REF!,#REF!,"&gt;="&amp;BA7,#REF!,"&lt;="&amp;EOMONTH(BA7,0),#REF!,$B$29)+SUMIFS('1SI9BW'!$K$6:$K$2989,'1SI9BW'!$J$6:$J$2989,"&gt;="&amp;BA7,'1SI9BW'!$J$6:$J$2989,"&lt;="&amp;EOMONTH(BA7,0),'1SI9BW'!$L$6:$L$2989,$B$29)+SUMIFS(Suzuki!$K$6:$K$2989,Suzuki!$J$6:$J$2989,"&gt;="&amp;BA7,Suzuki!$J$6:$J$2989,"&lt;="&amp;EOMONTH(BA7,0),Suzuki!$L$6:$L$2989,$B$29)+SUMIFS('1SK3DD'!$K$6:$K$2989,'1SK3DD'!$J$6:$J$2989,"&gt;="&amp;BA7,'1SK3DD'!$J$6:$J$2989,"&lt;="&amp;EOMONTH(BA7,0),'1SK3DD'!$L$6:$L$2989,$B$29)+SUMIFS('1SX5TQ'!$K$6:$K$2989,'1SX5TQ'!$J$6:$J$2989,"&gt;="&amp;BA7,'1SX5TQ'!$J$6:$J$2989,"&lt;="&amp;EOMONTH(BA7,0),'1SX5TQ'!$L$6:$L$2989,$B$29)+SUMIFS('BMM465'!$K$6:$K$2989,'BMM465'!$J$6:$J$2989,"&gt;="&amp;BA7,'BMM465'!$J$6:$J$2989,"&lt;="&amp;EOMONTH(BA7,0),'BMM465'!$L$6:$L$2989,$B$29)+SUMIFS('1CF1ZO'!$K$6:$K$2989,'1CF1ZO'!$J$6:$J$2989,"&gt;="&amp;BA7,'1CF1ZO'!$J$6:$J$2989,"&lt;="&amp;EOMONTH(BA7,0),'1CF1ZO'!$L$6:$L$2989,$B$29)+SUMIFS('1UK1BK'!$K$6:$K$2989,'1UK1BK'!$J$6:$J$2989,"&gt;="&amp;BA7,'1UK1BK'!$J$6:$J$2989,"&lt;="&amp;EOMONTH(BA7,0),'1UK1BK'!$L$6:$L$2989,$B$29)</f>
        <v>#REF!</v>
      </c>
    </row>
    <row r="30" spans="1:53" x14ac:dyDescent="0.25">
      <c r="B30" s="5" t="s">
        <v>46</v>
      </c>
      <c r="C30" s="69" t="str">
        <f t="shared" si="13"/>
        <v/>
      </c>
      <c r="D30" s="109">
        <f t="shared" si="2"/>
        <v>26.950000000000003</v>
      </c>
      <c r="E30" s="69" t="str">
        <f t="shared" si="14"/>
        <v/>
      </c>
      <c r="F30" s="109">
        <f t="shared" si="3"/>
        <v>151.86999999999995</v>
      </c>
      <c r="G30" s="69" t="str">
        <f t="shared" si="16"/>
        <v/>
      </c>
      <c r="H30" s="109">
        <f t="shared" si="4"/>
        <v>375.66000000000008</v>
      </c>
      <c r="I30" s="110">
        <f>SUMIFS('Other Expense'!$G$8:$G$2966,'Other Expense'!$F$8:$F$2966,"&gt;="&amp;I7,'Other Expense'!$F$8:$F$2966,"&lt;="&amp;EOMONTH(I7,0),'Other Expense'!$H$8:$H$2966,$B$30)</f>
        <v>0</v>
      </c>
      <c r="J30" s="110">
        <f>SUMIFS('Other Expense'!$G$8:$G$2966,'Other Expense'!$F$8:$F$2966,"&gt;="&amp;J7,'Other Expense'!$F$8:$F$2966,"&lt;="&amp;EOMONTH(J7,0),'Other Expense'!$H$8:$H$2966,$B$30)</f>
        <v>0</v>
      </c>
      <c r="K30" s="110">
        <f>SUMIFS('Other Expense'!$G$8:$G$2966,'Other Expense'!$F$8:$F$2966,"&gt;="&amp;K7,'Other Expense'!$F$8:$F$2966,"&lt;="&amp;EOMONTH(K7,0),'Other Expense'!$H$8:$H$2966,$B$30)</f>
        <v>0</v>
      </c>
      <c r="L30" s="110">
        <f>SUMIFS('Other Expense'!$G$8:$G$2966,'Other Expense'!$F$8:$F$2966,"&gt;="&amp;L7,'Other Expense'!$F$8:$F$2966,"&lt;="&amp;EOMONTH(L7,0),'Other Expense'!$H$8:$H$2966,$B$30)</f>
        <v>0</v>
      </c>
      <c r="M30" s="110">
        <f>SUMIFS('Other Expense'!$G$8:$G$2966,'Other Expense'!$F$8:$F$2966,"&gt;="&amp;M7,'Other Expense'!$F$8:$F$2966,"&lt;="&amp;EOMONTH(M7,0),'Other Expense'!$H$8:$H$2966,$B$30)</f>
        <v>5.99</v>
      </c>
      <c r="N30" s="110">
        <f>SUMIFS('Other Expense'!$G$8:$G$2966,'Other Expense'!$F$8:$F$2966,"&gt;="&amp;N7,'Other Expense'!$F$8:$F$2966,"&lt;="&amp;EOMONTH(N7,0),'Other Expense'!$H$8:$H$2966,$B$30)</f>
        <v>5.99</v>
      </c>
      <c r="O30" s="110">
        <f>SUMIFS('Other Expense'!$G$8:$G$2966,'Other Expense'!$F$8:$F$2966,"&gt;="&amp;O7,'Other Expense'!$F$8:$F$2966,"&lt;="&amp;EOMONTH(O7,0),'Other Expense'!$H$8:$H$2966,$B$30)</f>
        <v>4.99</v>
      </c>
      <c r="P30" s="110">
        <f>SUMIFS('Other Expense'!$G$8:$G$2966,'Other Expense'!$F$8:$F$2966,"&gt;="&amp;P7,'Other Expense'!$F$8:$F$2966,"&lt;="&amp;EOMONTH(P7,0),'Other Expense'!$H$8:$H$2966,$B$30)</f>
        <v>4.99</v>
      </c>
      <c r="Q30" s="110">
        <f>SUMIFS('Other Expense'!$G$8:$G$2966,'Other Expense'!$F$8:$F$2966,"&gt;="&amp;Q7,'Other Expense'!$F$8:$F$2966,"&lt;="&amp;EOMONTH(Q7,0),'Other Expense'!$H$8:$H$2966,$B$30)</f>
        <v>0</v>
      </c>
      <c r="R30" s="110">
        <f>SUMIFS('Other Expense'!$G$8:$G$2966,'Other Expense'!$F$8:$F$2966,"&gt;="&amp;R7,'Other Expense'!$F$8:$F$2966,"&lt;="&amp;EOMONTH(R7,0),'Other Expense'!$H$8:$H$2966,$B$30)</f>
        <v>4.99</v>
      </c>
      <c r="S30" s="110">
        <f>SUMIFS('Other Expense'!$G$8:$G$2966,'Other Expense'!$F$8:$F$2966,"&gt;="&amp;S7,'Other Expense'!$F$8:$F$2966,"&lt;="&amp;EOMONTH(S7,0),'Other Expense'!$H$8:$H$2966,$B$30)</f>
        <v>4.99</v>
      </c>
      <c r="T30" s="110">
        <f>SUMIFS('Other Expense'!$G$8:$G$2966,'Other Expense'!$F$8:$F$2966,"&gt;="&amp;T7,'Other Expense'!$F$8:$F$2966,"&lt;="&amp;EOMONTH(T7,0),'Other Expense'!$H$8:$H$2966,$B$30)</f>
        <v>10.98</v>
      </c>
      <c r="U30" s="110">
        <f>SUMIFS('Other Expense'!$G$8:$G$2966,'Other Expense'!$F$8:$F$2966,"&gt;="&amp;U7,'Other Expense'!$F$8:$F$2966,"&lt;="&amp;EOMONTH(U7,0),'Other Expense'!$H$8:$H$2966,$B$30)</f>
        <v>0</v>
      </c>
      <c r="V30" s="110">
        <f>SUMIFS('Other Expense'!$G$8:$G$2966,'Other Expense'!$F$8:$F$2966,"&gt;="&amp;V7,'Other Expense'!$F$8:$F$2966,"&lt;="&amp;EOMONTH(V7,0),'Other Expense'!$H$8:$H$2966,$B$30)</f>
        <v>70.989999999999995</v>
      </c>
      <c r="W30" s="110">
        <f>SUMIFS('Other Expense'!$G$8:$G$2966,'Other Expense'!$F$8:$F$2966,"&gt;="&amp;W7,'Other Expense'!$F$8:$F$2966,"&lt;="&amp;EOMONTH(W7,0),'Other Expense'!$H$8:$H$2966,$B$30)</f>
        <v>4.99</v>
      </c>
      <c r="X30" s="110">
        <f>SUMIFS('Other Expense'!$G$8:$G$2966,'Other Expense'!$F$8:$F$2966,"&gt;="&amp;X7,'Other Expense'!$F$8:$F$2966,"&lt;="&amp;EOMONTH(X7,0),'Other Expense'!$H$8:$H$2966,$B$30)</f>
        <v>0</v>
      </c>
      <c r="Y30" s="110">
        <f>SUMIFS('Other Expense'!$G$8:$G$2966,'Other Expense'!$F$8:$F$2966,"&gt;="&amp;Y7,'Other Expense'!$F$8:$F$2966,"&lt;="&amp;EOMONTH(Y7,0),'Other Expense'!$H$8:$H$2966,$B$30)</f>
        <v>4.99</v>
      </c>
      <c r="Z30" s="110">
        <f>SUMIFS('Other Expense'!$G$8:$G$2966,'Other Expense'!$F$8:$F$2966,"&gt;="&amp;Z7,'Other Expense'!$F$8:$F$2966,"&lt;="&amp;EOMONTH(Z7,0),'Other Expense'!$H$8:$H$2966,$B$30)</f>
        <v>24.990000000000002</v>
      </c>
      <c r="AA30" s="110">
        <f>SUMIFS('Other Expense'!$G$8:$G$2966,'Other Expense'!$F$8:$F$2966,"&gt;="&amp;AA7,'Other Expense'!$F$8:$F$2966,"&lt;="&amp;EOMONTH(AA7,0),'Other Expense'!$H$8:$H$2966,$B$30)</f>
        <v>0</v>
      </c>
      <c r="AB30" s="110">
        <f>SUMIFS('Other Expense'!$G$8:$G$2966,'Other Expense'!$F$8:$F$2966,"&gt;="&amp;AB7,'Other Expense'!$F$8:$F$2966,"&lt;="&amp;EOMONTH(AB7,0),'Other Expense'!$H$8:$H$2966,$B$30)</f>
        <v>9.98</v>
      </c>
      <c r="AC30" s="110">
        <f>SUMIFS('Other Expense'!$G$8:$G$2966,'Other Expense'!$F$8:$F$2966,"&gt;="&amp;AC7,'Other Expense'!$F$8:$F$2966,"&lt;="&amp;EOMONTH(AC7,0),'Other Expense'!$H$8:$H$2966,$B$30)</f>
        <v>9.98</v>
      </c>
      <c r="AD30" s="110">
        <f>SUMIFS('Other Expense'!$G$8:$G$2966,'Other Expense'!$F$8:$F$2966,"&gt;="&amp;AD7,'Other Expense'!$F$8:$F$2966,"&lt;="&amp;EOMONTH(AD7,0),'Other Expense'!$H$8:$H$2966,$B$30)</f>
        <v>9.98</v>
      </c>
      <c r="AE30" s="110">
        <f>SUMIFS('Other Expense'!$G$8:$G$2966,'Other Expense'!$F$8:$F$2966,"&gt;="&amp;AE7,'Other Expense'!$F$8:$F$2966,"&lt;="&amp;EOMONTH(AE7,0),'Other Expense'!$H$8:$H$2966,$B$30)</f>
        <v>55.980000000000004</v>
      </c>
      <c r="AF30" s="110">
        <f>SUMIFS('Other Expense'!$G$8:$G$2966,'Other Expense'!$F$8:$F$2966,"&gt;="&amp;AF7,'Other Expense'!$F$8:$F$2966,"&lt;="&amp;EOMONTH(AF7,0),'Other Expense'!$H$8:$H$2966,$B$30)</f>
        <v>50.99</v>
      </c>
      <c r="AG30" s="110">
        <f>SUMIFS('Other Expense'!$G$8:$G$2966,'Other Expense'!$F$8:$F$2966,"&gt;="&amp;AG7,'Other Expense'!$F$8:$F$2966,"&lt;="&amp;EOMONTH(AG7,0),'Other Expense'!$H$8:$H$2966,$B$30)</f>
        <v>34.980000000000004</v>
      </c>
      <c r="AH30" s="110">
        <f>SUMIFS('Other Expense'!$G$8:$G$2966,'Other Expense'!$F$8:$F$2966,"&gt;="&amp;AH7,'Other Expense'!$F$8:$F$2966,"&lt;="&amp;EOMONTH(AH7,0),'Other Expense'!$H$8:$H$2966,$B$30)</f>
        <v>9.98</v>
      </c>
      <c r="AI30" s="110">
        <f>SUMIFS('Other Expense'!$G$8:$G$2966,'Other Expense'!$F$8:$F$2966,"&gt;="&amp;AI7,'Other Expense'!$F$8:$F$2966,"&lt;="&amp;EOMONTH(AI7,0),'Other Expense'!$H$8:$H$2966,$B$30)</f>
        <v>9.98</v>
      </c>
      <c r="AJ30" s="110">
        <f>SUMIFS('Other Expense'!$G$8:$G$2966,'Other Expense'!$F$8:$F$2966,"&gt;="&amp;AJ7,'Other Expense'!$F$8:$F$2966,"&lt;="&amp;EOMONTH(AJ7,0),'Other Expense'!$H$8:$H$2966,$B$30)</f>
        <v>4.99</v>
      </c>
      <c r="AK30" s="110">
        <f>SUMIFS('Other Expense'!$G$8:$G$2966,'Other Expense'!$F$8:$F$2966,"&gt;="&amp;AK7,'Other Expense'!$F$8:$F$2966,"&lt;="&amp;EOMONTH(AK7,0),'Other Expense'!$H$8:$H$2966,$B$30)</f>
        <v>0</v>
      </c>
      <c r="AL30" s="110">
        <f>SUMIFS('Other Expense'!$G$8:$G$2966,'Other Expense'!$F$8:$F$2966,"&gt;="&amp;AL7,'Other Expense'!$F$8:$F$2966,"&lt;="&amp;EOMONTH(AL7,0),'Other Expense'!$H$8:$H$2966,$B$30)</f>
        <v>0</v>
      </c>
      <c r="AM30" s="110">
        <f>SUMIFS('Other Expense'!$G$8:$G$2966,'Other Expense'!$F$8:$F$2966,"&gt;="&amp;AM7,'Other Expense'!$F$8:$F$2966,"&lt;="&amp;EOMONTH(AM7,0),'Other Expense'!$H$8:$H$2966,$B$30)</f>
        <v>4.99</v>
      </c>
      <c r="AN30" s="110">
        <f>SUMIFS('Other Expense'!$G$8:$G$2966,'Other Expense'!$F$8:$F$2966,"&gt;="&amp;AN7,'Other Expense'!$F$8:$F$2966,"&lt;="&amp;EOMONTH(AN7,0),'Other Expense'!$H$8:$H$2966,$B$30)</f>
        <v>0</v>
      </c>
      <c r="AO30" s="110">
        <f>SUMIFS('Other Expense'!$G$8:$G$2966,'Other Expense'!$F$8:$F$2966,"&gt;="&amp;AO7,'Other Expense'!$F$8:$F$2966,"&lt;="&amp;EOMONTH(AO7,0),'Other Expense'!$H$8:$H$2966,$B$30)</f>
        <v>0</v>
      </c>
      <c r="AP30" s="110">
        <f>SUMIFS('Other Expense'!$G$8:$G$2966,'Other Expense'!$F$8:$F$2966,"&gt;="&amp;AP7,'Other Expense'!$F$8:$F$2966,"&lt;="&amp;EOMONTH(AP7,0),'Other Expense'!$H$8:$H$2966,$B$30)</f>
        <v>0</v>
      </c>
      <c r="AQ30" s="110">
        <f>SUMIFS('Other Expense'!$G$8:$G$2966,'Other Expense'!$F$8:$F$2966,"&gt;="&amp;AQ7,'Other Expense'!$F$8:$F$2966,"&lt;="&amp;EOMONTH(AQ7,0),'Other Expense'!$H$8:$H$2966,$B$30)</f>
        <v>0</v>
      </c>
      <c r="AR30" s="110">
        <f>SUMIFS('Other Expense'!$G$8:$G$2966,'Other Expense'!$F$8:$F$2966,"&gt;="&amp;AR7,'Other Expense'!$F$8:$F$2966,"&lt;="&amp;EOMONTH(AR7,0),'Other Expense'!$H$8:$H$2966,$B$30)</f>
        <v>4.99</v>
      </c>
      <c r="AS30" s="110">
        <f>SUMIFS('Other Expense'!$G$8:$G$2966,'Other Expense'!$F$8:$F$2966,"&gt;="&amp;AS7,'Other Expense'!$F$8:$F$2966,"&lt;="&amp;EOMONTH(AS7,0),'Other Expense'!$H$8:$H$2966,$B$30)</f>
        <v>0</v>
      </c>
      <c r="AT30" s="110">
        <f>SUMIFS('Other Expense'!$G$8:$G$2966,'Other Expense'!$F$8:$F$2966,"&gt;="&amp;AT7,'Other Expense'!$F$8:$F$2966,"&lt;="&amp;EOMONTH(AT7,0),'Other Expense'!$H$8:$H$2966,$B$30)</f>
        <v>0</v>
      </c>
      <c r="AU30" s="110">
        <f>SUMIFS('Other Expense'!$G$8:$G$2966,'Other Expense'!$F$8:$F$2966,"&gt;="&amp;AU7,'Other Expense'!$F$8:$F$2966,"&lt;="&amp;EOMONTH(AU7,0),'Other Expense'!$H$8:$H$2966,$B$30)</f>
        <v>4.99</v>
      </c>
      <c r="AV30" s="110">
        <f>SUMIFS('Other Expense'!$G$8:$G$2966,'Other Expense'!$F$8:$F$2966,"&gt;="&amp;AV7,'Other Expense'!$F$8:$F$2966,"&lt;="&amp;EOMONTH(AV7,0),'Other Expense'!$H$8:$H$2966,$B$30)</f>
        <v>9.98</v>
      </c>
      <c r="AW30" s="110">
        <f>SUMIFS('Other Expense'!$G$8:$G$2966,'Other Expense'!$F$8:$F$2966,"&gt;="&amp;AW7,'Other Expense'!$F$8:$F$2966,"&lt;="&amp;EOMONTH(AW7,0),'Other Expense'!$H$8:$H$2966,$B$30)</f>
        <v>4.99</v>
      </c>
      <c r="AX30" s="110">
        <f>SUMIFS('Other Expense'!$G$8:$G$2966,'Other Expense'!$F$8:$F$2966,"&gt;="&amp;AX7,'Other Expense'!$F$8:$F$2966,"&lt;="&amp;EOMONTH(AX7,0),'Other Expense'!$H$8:$H$2966,$B$30)</f>
        <v>0</v>
      </c>
      <c r="AY30" s="110">
        <f>SUMIFS('Other Expense'!$G$8:$G$2966,'Other Expense'!$F$8:$F$2966,"&gt;="&amp;AY7,'Other Expense'!$F$8:$F$2966,"&lt;="&amp;EOMONTH(AY7,0),'Other Expense'!$H$8:$H$2966,$B$30)</f>
        <v>0</v>
      </c>
      <c r="AZ30" s="110">
        <f>SUMIFS('Other Expense'!$G$8:$G$2966,'Other Expense'!$F$8:$F$2966,"&gt;="&amp;AZ7,'Other Expense'!$F$8:$F$2966,"&lt;="&amp;EOMONTH(AZ7,0),'Other Expense'!$H$8:$H$2966,$B$30)</f>
        <v>0</v>
      </c>
      <c r="BA30" s="110">
        <f>SUMIFS('Other Expense'!$G$8:$G$2966,'Other Expense'!$F$8:$F$2966,"&gt;="&amp;BA7,'Other Expense'!$F$8:$F$2966,"&lt;="&amp;EOMONTH(BA7,0),'Other Expense'!$H$8:$H$2966,$B$30)</f>
        <v>0</v>
      </c>
    </row>
    <row r="31" spans="1:53" x14ac:dyDescent="0.25">
      <c r="B31" s="5" t="s">
        <v>120</v>
      </c>
      <c r="C31" s="69" t="str">
        <f t="shared" si="13"/>
        <v/>
      </c>
      <c r="D31" s="109">
        <f t="shared" si="2"/>
        <v>0</v>
      </c>
      <c r="E31" s="69" t="str">
        <f t="shared" si="14"/>
        <v/>
      </c>
      <c r="F31" s="109">
        <f t="shared" si="3"/>
        <v>258.66999999999996</v>
      </c>
      <c r="G31" s="69" t="str">
        <f t="shared" si="16"/>
        <v/>
      </c>
      <c r="H31" s="109">
        <f t="shared" si="4"/>
        <v>3749.81</v>
      </c>
      <c r="I31" s="110">
        <f>SUMIFS('Other Expense'!$G$8:$G$2966,'Other Expense'!$F$8:$F$2966,"&gt;="&amp;I7,'Other Expense'!$F$8:$F$2966,"&lt;="&amp;EOMONTH(I7,0),'Other Expense'!$H$8:$H$2966,$B$31)</f>
        <v>0</v>
      </c>
      <c r="J31" s="110">
        <f>SUMIFS('Other Expense'!$G$8:$G$2966,'Other Expense'!$F$8:$F$2966,"&gt;="&amp;J7,'Other Expense'!$F$8:$F$2966,"&lt;="&amp;EOMONTH(J7,0),'Other Expense'!$H$8:$H$2966,$B$31)</f>
        <v>0</v>
      </c>
      <c r="K31" s="110">
        <f>SUMIFS('Other Expense'!$G$8:$G$2966,'Other Expense'!$F$8:$F$2966,"&gt;="&amp;K7,'Other Expense'!$F$8:$F$2966,"&lt;="&amp;EOMONTH(K7,0),'Other Expense'!$H$8:$H$2966,$B$31)</f>
        <v>0</v>
      </c>
      <c r="L31" s="110">
        <f>SUMIFS('Other Expense'!$G$8:$G$2966,'Other Expense'!$F$8:$F$2966,"&gt;="&amp;L7,'Other Expense'!$F$8:$F$2966,"&lt;="&amp;EOMONTH(L7,0),'Other Expense'!$H$8:$H$2966,$B$31)</f>
        <v>0</v>
      </c>
      <c r="M31" s="110">
        <f>SUMIFS('Other Expense'!$G$8:$G$2966,'Other Expense'!$F$8:$F$2966,"&gt;="&amp;M7,'Other Expense'!$F$8:$F$2966,"&lt;="&amp;EOMONTH(M7,0),'Other Expense'!$H$8:$H$2966,$B$31)</f>
        <v>0</v>
      </c>
      <c r="N31" s="110">
        <f>SUMIFS('Other Expense'!$G$8:$G$2966,'Other Expense'!$F$8:$F$2966,"&gt;="&amp;N7,'Other Expense'!$F$8:$F$2966,"&lt;="&amp;EOMONTH(N7,0),'Other Expense'!$H$8:$H$2966,$B$31)</f>
        <v>0</v>
      </c>
      <c r="O31" s="110">
        <f>SUMIFS('Other Expense'!$G$8:$G$2966,'Other Expense'!$F$8:$F$2966,"&gt;="&amp;O7,'Other Expense'!$F$8:$F$2966,"&lt;="&amp;EOMONTH(O7,0),'Other Expense'!$H$8:$H$2966,$B$31)</f>
        <v>0</v>
      </c>
      <c r="P31" s="110">
        <f>SUMIFS('Other Expense'!$G$8:$G$2966,'Other Expense'!$F$8:$F$2966,"&gt;="&amp;P7,'Other Expense'!$F$8:$F$2966,"&lt;="&amp;EOMONTH(P7,0),'Other Expense'!$H$8:$H$2966,$B$31)</f>
        <v>0</v>
      </c>
      <c r="Q31" s="110">
        <f>SUMIFS('Other Expense'!$G$8:$G$2966,'Other Expense'!$F$8:$F$2966,"&gt;="&amp;Q7,'Other Expense'!$F$8:$F$2966,"&lt;="&amp;EOMONTH(Q7,0),'Other Expense'!$H$8:$H$2966,$B$31)</f>
        <v>0</v>
      </c>
      <c r="R31" s="110">
        <f>SUMIFS('Other Expense'!$G$8:$G$2966,'Other Expense'!$F$8:$F$2966,"&gt;="&amp;R7,'Other Expense'!$F$8:$F$2966,"&lt;="&amp;EOMONTH(R7,0),'Other Expense'!$H$8:$H$2966,$B$31)</f>
        <v>0</v>
      </c>
      <c r="S31" s="110">
        <f>SUMIFS('Other Expense'!$G$8:$G$2966,'Other Expense'!$F$8:$F$2966,"&gt;="&amp;S7,'Other Expense'!$F$8:$F$2966,"&lt;="&amp;EOMONTH(S7,0),'Other Expense'!$H$8:$H$2966,$B$31)</f>
        <v>0</v>
      </c>
      <c r="T31" s="110">
        <f>SUMIFS('Other Expense'!$G$8:$G$2966,'Other Expense'!$F$8:$F$2966,"&gt;="&amp;T7,'Other Expense'!$F$8:$F$2966,"&lt;="&amp;EOMONTH(T7,0),'Other Expense'!$H$8:$H$2966,$B$31)</f>
        <v>0</v>
      </c>
      <c r="U31" s="110">
        <f>SUMIFS('Other Expense'!$G$8:$G$2966,'Other Expense'!$F$8:$F$2966,"&gt;="&amp;U7,'Other Expense'!$F$8:$F$2966,"&lt;="&amp;EOMONTH(U7,0),'Other Expense'!$H$8:$H$2966,$B$31)</f>
        <v>0</v>
      </c>
      <c r="V31" s="110">
        <f>SUMIFS('Other Expense'!$G$8:$G$2966,'Other Expense'!$F$8:$F$2966,"&gt;="&amp;V7,'Other Expense'!$F$8:$F$2966,"&lt;="&amp;EOMONTH(V7,0),'Other Expense'!$H$8:$H$2966,$B$31)</f>
        <v>0</v>
      </c>
      <c r="W31" s="110">
        <f>SUMIFS('Other Expense'!$G$8:$G$2966,'Other Expense'!$F$8:$F$2966,"&gt;="&amp;W7,'Other Expense'!$F$8:$F$2966,"&lt;="&amp;EOMONTH(W7,0),'Other Expense'!$H$8:$H$2966,$B$31)</f>
        <v>0</v>
      </c>
      <c r="X31" s="110">
        <f>SUMIFS('Other Expense'!$G$8:$G$2966,'Other Expense'!$F$8:$F$2966,"&gt;="&amp;X7,'Other Expense'!$F$8:$F$2966,"&lt;="&amp;EOMONTH(X7,0),'Other Expense'!$H$8:$H$2966,$B$31)</f>
        <v>0</v>
      </c>
      <c r="Y31" s="110">
        <f>SUMIFS('Other Expense'!$G$8:$G$2966,'Other Expense'!$F$8:$F$2966,"&gt;="&amp;Y7,'Other Expense'!$F$8:$F$2966,"&lt;="&amp;EOMONTH(Y7,0),'Other Expense'!$H$8:$H$2966,$B$31)</f>
        <v>0</v>
      </c>
      <c r="Z31" s="110">
        <f>SUMIFS('Other Expense'!$G$8:$G$2966,'Other Expense'!$F$8:$F$2966,"&gt;="&amp;Z7,'Other Expense'!$F$8:$F$2966,"&lt;="&amp;EOMONTH(Z7,0),'Other Expense'!$H$8:$H$2966,$B$31)</f>
        <v>5.93</v>
      </c>
      <c r="AA31" s="110">
        <f>SUMIFS('Other Expense'!$G$8:$G$2966,'Other Expense'!$F$8:$F$2966,"&gt;="&amp;AA7,'Other Expense'!$F$8:$F$2966,"&lt;="&amp;EOMONTH(AA7,0),'Other Expense'!$H$8:$H$2966,$B$31)</f>
        <v>197.89</v>
      </c>
      <c r="AB31" s="110">
        <f>SUMIFS('Other Expense'!$G$8:$G$2966,'Other Expense'!$F$8:$F$2966,"&gt;="&amp;AB7,'Other Expense'!$F$8:$F$2966,"&lt;="&amp;EOMONTH(AB7,0),'Other Expense'!$H$8:$H$2966,$B$31)</f>
        <v>0</v>
      </c>
      <c r="AC31" s="110">
        <f>SUMIFS('Other Expense'!$G$8:$G$2966,'Other Expense'!$F$8:$F$2966,"&gt;="&amp;AC7,'Other Expense'!$F$8:$F$2966,"&lt;="&amp;EOMONTH(AC7,0),'Other Expense'!$H$8:$H$2966,$B$31)</f>
        <v>0</v>
      </c>
      <c r="AD31" s="110">
        <f>SUMIFS('Other Expense'!$G$8:$G$2966,'Other Expense'!$F$8:$F$2966,"&gt;="&amp;AD7,'Other Expense'!$F$8:$F$2966,"&lt;="&amp;EOMONTH(AD7,0),'Other Expense'!$H$8:$H$2966,$B$31)</f>
        <v>54.849999999999994</v>
      </c>
      <c r="AE31" s="110">
        <f>SUMIFS('Other Expense'!$G$8:$G$2966,'Other Expense'!$F$8:$F$2966,"&gt;="&amp;AE7,'Other Expense'!$F$8:$F$2966,"&lt;="&amp;EOMONTH(AE7,0),'Other Expense'!$H$8:$H$2966,$B$31)</f>
        <v>105.48</v>
      </c>
      <c r="AF31" s="110">
        <f>SUMIFS('Other Expense'!$G$8:$G$2966,'Other Expense'!$F$8:$F$2966,"&gt;="&amp;AF7,'Other Expense'!$F$8:$F$2966,"&lt;="&amp;EOMONTH(AF7,0),'Other Expense'!$H$8:$H$2966,$B$31)</f>
        <v>177.9</v>
      </c>
      <c r="AG31" s="110">
        <f>SUMIFS('Other Expense'!$G$8:$G$2966,'Other Expense'!$F$8:$F$2966,"&gt;="&amp;AG7,'Other Expense'!$F$8:$F$2966,"&lt;="&amp;EOMONTH(AG7,0),'Other Expense'!$H$8:$H$2966,$B$31)</f>
        <v>651</v>
      </c>
      <c r="AH31" s="110">
        <f>SUMIFS('Other Expense'!$G$8:$G$2966,'Other Expense'!$F$8:$F$2966,"&gt;="&amp;AH7,'Other Expense'!$F$8:$F$2966,"&lt;="&amp;EOMONTH(AH7,0),'Other Expense'!$H$8:$H$2966,$B$31)</f>
        <v>30</v>
      </c>
      <c r="AI31" s="110">
        <f>SUMIFS('Other Expense'!$G$8:$G$2966,'Other Expense'!$F$8:$F$2966,"&gt;="&amp;AI7,'Other Expense'!$F$8:$F$2966,"&lt;="&amp;EOMONTH(AI7,0),'Other Expense'!$H$8:$H$2966,$B$31)</f>
        <v>18.5</v>
      </c>
      <c r="AJ31" s="110">
        <f>SUMIFS('Other Expense'!$G$8:$G$2966,'Other Expense'!$F$8:$F$2966,"&gt;="&amp;AJ7,'Other Expense'!$F$8:$F$2966,"&lt;="&amp;EOMONTH(AJ7,0),'Other Expense'!$H$8:$H$2966,$B$31)</f>
        <v>0</v>
      </c>
      <c r="AK31" s="110">
        <f>SUMIFS('Other Expense'!$G$8:$G$2966,'Other Expense'!$F$8:$F$2966,"&gt;="&amp;AK7,'Other Expense'!$F$8:$F$2966,"&lt;="&amp;EOMONTH(AK7,0),'Other Expense'!$H$8:$H$2966,$B$31)</f>
        <v>88</v>
      </c>
      <c r="AL31" s="110">
        <f>SUMIFS('Other Expense'!$G$8:$G$2966,'Other Expense'!$F$8:$F$2966,"&gt;="&amp;AL7,'Other Expense'!$F$8:$F$2966,"&lt;="&amp;EOMONTH(AL7,0),'Other Expense'!$H$8:$H$2966,$B$31)</f>
        <v>0</v>
      </c>
      <c r="AM31" s="110">
        <f>SUMIFS('Other Expense'!$G$8:$G$2966,'Other Expense'!$F$8:$F$2966,"&gt;="&amp;AM7,'Other Expense'!$F$8:$F$2966,"&lt;="&amp;EOMONTH(AM7,0),'Other Expense'!$H$8:$H$2966,$B$31)</f>
        <v>0</v>
      </c>
      <c r="AN31" s="110">
        <f>SUMIFS('Other Expense'!$G$8:$G$2966,'Other Expense'!$F$8:$F$2966,"&gt;="&amp;AN7,'Other Expense'!$F$8:$F$2966,"&lt;="&amp;EOMONTH(AN7,0),'Other Expense'!$H$8:$H$2966,$B$31)</f>
        <v>0</v>
      </c>
      <c r="AO31" s="110">
        <f>SUMIFS('Other Expense'!$G$8:$G$2966,'Other Expense'!$F$8:$F$2966,"&gt;="&amp;AO7,'Other Expense'!$F$8:$F$2966,"&lt;="&amp;EOMONTH(AO7,0),'Other Expense'!$H$8:$H$2966,$B$31)</f>
        <v>68</v>
      </c>
      <c r="AP31" s="110">
        <f>SUMIFS('Other Expense'!$G$8:$G$2966,'Other Expense'!$F$8:$F$2966,"&gt;="&amp;AP7,'Other Expense'!$F$8:$F$2966,"&lt;="&amp;EOMONTH(AP7,0),'Other Expense'!$H$8:$H$2966,$B$31)</f>
        <v>35.99</v>
      </c>
      <c r="AQ31" s="110">
        <f>SUMIFS('Other Expense'!$G$8:$G$2966,'Other Expense'!$F$8:$F$2966,"&gt;="&amp;AQ7,'Other Expense'!$F$8:$F$2966,"&lt;="&amp;EOMONTH(AQ7,0),'Other Expense'!$H$8:$H$2966,$B$31)</f>
        <v>12.61</v>
      </c>
      <c r="AR31" s="110">
        <f>SUMIFS('Other Expense'!$G$8:$G$2966,'Other Expense'!$F$8:$F$2966,"&gt;="&amp;AR7,'Other Expense'!$F$8:$F$2966,"&lt;="&amp;EOMONTH(AR7,0),'Other Expense'!$H$8:$H$2966,$B$31)</f>
        <v>41.14</v>
      </c>
      <c r="AS31" s="110">
        <f>SUMIFS('Other Expense'!$G$8:$G$2966,'Other Expense'!$F$8:$F$2966,"&gt;="&amp;AS7,'Other Expense'!$F$8:$F$2966,"&lt;="&amp;EOMONTH(AS7,0),'Other Expense'!$H$8:$H$2966,$B$31)</f>
        <v>8.56</v>
      </c>
      <c r="AT31" s="110">
        <f>SUMIFS('Other Expense'!$G$8:$G$2966,'Other Expense'!$F$8:$F$2966,"&gt;="&amp;AT7,'Other Expense'!$F$8:$F$2966,"&lt;="&amp;EOMONTH(AT7,0),'Other Expense'!$H$8:$H$2966,$B$31)</f>
        <v>658.21</v>
      </c>
      <c r="AU31" s="110">
        <f>SUMIFS('Other Expense'!$G$8:$G$2966,'Other Expense'!$F$8:$F$2966,"&gt;="&amp;AU7,'Other Expense'!$F$8:$F$2966,"&lt;="&amp;EOMONTH(AU7,0),'Other Expense'!$H$8:$H$2966,$B$31)</f>
        <v>717.35</v>
      </c>
      <c r="AV31" s="110">
        <f>SUMIFS('Other Expense'!$G$8:$G$2966,'Other Expense'!$F$8:$F$2966,"&gt;="&amp;AV7,'Other Expense'!$F$8:$F$2966,"&lt;="&amp;EOMONTH(AV7,0),'Other Expense'!$H$8:$H$2966,$B$31)</f>
        <v>671.32</v>
      </c>
      <c r="AW31" s="110">
        <f>SUMIFS('Other Expense'!$G$8:$G$2966,'Other Expense'!$F$8:$F$2966,"&gt;="&amp;AW7,'Other Expense'!$F$8:$F$2966,"&lt;="&amp;EOMONTH(AW7,0),'Other Expense'!$H$8:$H$2966,$B$31)</f>
        <v>153.53</v>
      </c>
      <c r="AX31" s="110">
        <f>SUMIFS('Other Expense'!$G$8:$G$2966,'Other Expense'!$F$8:$F$2966,"&gt;="&amp;AX7,'Other Expense'!$F$8:$F$2966,"&lt;="&amp;EOMONTH(AX7,0),'Other Expense'!$H$8:$H$2966,$B$31)</f>
        <v>46.56</v>
      </c>
      <c r="AY31" s="110">
        <f>SUMIFS('Other Expense'!$G$8:$G$2966,'Other Expense'!$F$8:$F$2966,"&gt;="&amp;AY7,'Other Expense'!$F$8:$F$2966,"&lt;="&amp;EOMONTH(AY7,0),'Other Expense'!$H$8:$H$2966,$B$31)</f>
        <v>0</v>
      </c>
      <c r="AZ31" s="110">
        <f>SUMIFS('Other Expense'!$G$8:$G$2966,'Other Expense'!$F$8:$F$2966,"&gt;="&amp;AZ7,'Other Expense'!$F$8:$F$2966,"&lt;="&amp;EOMONTH(AZ7,0),'Other Expense'!$H$8:$H$2966,$B$31)</f>
        <v>0</v>
      </c>
      <c r="BA31" s="110">
        <f>SUMIFS('Other Expense'!$G$8:$G$2966,'Other Expense'!$F$8:$F$2966,"&gt;="&amp;BA7,'Other Expense'!$F$8:$F$2966,"&lt;="&amp;EOMONTH(BA7,0),'Other Expense'!$H$8:$H$2966,$B$31)</f>
        <v>6.99</v>
      </c>
    </row>
    <row r="32" spans="1:53" x14ac:dyDescent="0.25">
      <c r="B32" s="5" t="s">
        <v>43</v>
      </c>
      <c r="C32" s="69" t="str">
        <f t="shared" si="13"/>
        <v/>
      </c>
      <c r="D32" s="109" t="e">
        <f t="shared" si="2"/>
        <v>#REF!</v>
      </c>
      <c r="E32" s="69" t="str">
        <f t="shared" si="14"/>
        <v/>
      </c>
      <c r="F32" s="109" t="e">
        <f t="shared" si="3"/>
        <v>#REF!</v>
      </c>
      <c r="G32" s="69" t="str">
        <f t="shared" si="16"/>
        <v/>
      </c>
      <c r="H32" s="109" t="e">
        <f t="shared" si="4"/>
        <v>#REF!</v>
      </c>
      <c r="I32" s="110" t="e">
        <f>SUMIFS('Other Expense'!$G$8:$G$2966,'Other Expense'!$F$8:$F$2966,"&gt;="&amp;I7,'Other Expense'!$F$8:$F$2966,"&lt;="&amp;EOMONTH(I7,0),'Other Expense'!$H$8:$H$2966,$B$32)+SUMIFS('CEI565'!$K$6:$K$2990,'CEI565'!$J$6:$J$2990,"&gt;="&amp;I7,'CEI565'!$J$6:$J$2990,"&lt;="&amp;EOMONTH(I7,0),'CEI565'!$L$6:$L$2990,$B$32)+SUMIFS('1SM3VL'!$K$6:$K$2990,'1SM3VL'!$J$6:$J$2990,"&gt;="&amp;I7,'1SM3VL'!$J$6:$J$2990,"&lt;="&amp;EOMONTH(I7,0),'1SM3VL'!$L$6:$L$2990,$B$32)+SUMIFS('1QF4SM'!$K$6:$K$2989,'1QF4SM'!$J$6:$J$2989,"&gt;="&amp;I7,'1QF4SM'!$J$6:$J$2989,"&lt;="&amp;EOMONTH(I7,0),'1QF4SM'!$L$6:$L$2989,$B$32)+SUMIFS('1UV5KI'!$K$6:$K$2989,'1UV5KI'!$J$6:$J$2989,"&gt;="&amp;I7,'1UV5KI'!$J$6:$J$2989,"&lt;="&amp;EOMONTH(I7,0),'1UV5KI'!$L$6:$L$2989,$B$32)+SUMIFS(#REF!,#REF!,"&gt;="&amp;I7,#REF!,"&lt;="&amp;EOMONTH(I7,0),#REF!,$B$32)+SUMIFS('1UL9RY'!$K$6:$K$2990,'1UL9RY'!$J$6:$J$2990,"&gt;="&amp;I7,'1UL9RY'!$J$6:$J$2990,"&lt;="&amp;EOMONTH(I7,0),'1UL9RY'!$L$6:$L$2990,$B$32)+SUMIFS('1OZ7GT'!$K$6:$K$2989,'1OZ7GT'!$J$6:$J$2989,"&gt;="&amp;I7,'1OZ7GT'!$J$6:$J$2989,"&lt;="&amp;EOMONTH(I7,0),'1OZ7GT'!$L$6:$L$2989,$B$32)+SUMIFS('1CN8DD'!$K$6:$K$2989,'1CN8DD'!$J$6:$J$2989,"&gt;="&amp;I7,'1CN8DD'!$J$6:$J$2989,"&lt;="&amp;EOMONTH(I7,0),'1CN8DD'!$L$6:$L$2989,$B$32)+SUMIFS('1UT9BR'!$K$6:$K$2990,'1UT9BR'!$J$6:$J$2990,"&gt;="&amp;I7,'1UT9BR'!$J$6:$J$2990,"&lt;="&amp;EOMONTH(I7,0),'1UT9BR'!$L$6:$L$2990,$B$32)+SUMIFS('1MK4UR'!$K$6:$K$2990,'1MK4UR'!$J$6:$J$2990,"&gt;="&amp;I7,'1MK4UR'!$J$6:$J$2990,"&lt;="&amp;EOMONTH(I7,0),'1MK4UR'!$L$6:$L$2990,$B$32)+SUMIFS(#REF!,#REF!,"&gt;="&amp;I7,#REF!,"&lt;="&amp;EOMONTH(I7,0),#REF!,$B$32)+SUMIFS('1JI2UE'!$K$6:$K$2989,'1JI2UE'!$J$6:$J$2989,"&gt;="&amp;I7,'1JI2UE'!$J$6:$J$2989,"&lt;="&amp;EOMONTH(I7,0),'1JI2UE'!$L$6:$L$2989,$B$32)+SUMIFS(#REF!,#REF!,"&gt;="&amp;I7,#REF!,"&lt;="&amp;EOMONTH(I7,0),#REF!,$B$32)+SUMIFS('1SI9BW'!$K$6:$K$2989,'1SI9BW'!$J$6:$J$2989,"&gt;="&amp;I7,'1SI9BW'!$J$6:$J$2989,"&lt;="&amp;EOMONTH(I7,0),'1SI9BW'!$L$6:$L$2989,$B$32)+SUMIFS(Suzuki!$K$6:$K$2989,Suzuki!$J$6:$J$2989,"&gt;="&amp;I7,Suzuki!$J$6:$J$2989,"&lt;="&amp;EOMONTH(I7,0),Suzuki!$L$6:$L$2989,$B$32)+SUMIFS('1SK3DD'!$K$6:$K$2989,'1SK3DD'!$J$6:$J$2989,"&gt;="&amp;I7,'1SK3DD'!$J$6:$J$2989,"&lt;="&amp;EOMONTH(I7,0),'1SK3DD'!$L$6:$L$2989,$B$32)+SUMIFS('1SX5TQ'!$K$6:$K$2989,'1SX5TQ'!$J$6:$J$2989,"&gt;="&amp;I7,'1SX5TQ'!$J$6:$J$2989,"&lt;="&amp;EOMONTH(I7,0),'1SX5TQ'!$L$6:$L$2989,$B$32)+SUMIFS('BMM465'!$K$6:$K$2989,'BMM465'!$J$6:$J$2989,"&gt;="&amp;I7,'BMM465'!$J$6:$J$2989,"&lt;="&amp;EOMONTH(I7,0),'BMM465'!$L$6:$L$2989,$B$32)+SUMIFS('1CF1ZO'!$K$6:$K$2989,'1CF1ZO'!$J$6:$J$2989,"&gt;="&amp;I7,'1CF1ZO'!$J$6:$J$2989,"&lt;="&amp;EOMONTH(I7,0),'1CF1ZO'!$L$6:$L$2989,$B$32)+SUMIFS('1UK1BK'!$K$6:$K$2989,'1UK1BK'!$J$6:$J$2989,"&gt;="&amp;I7,'1UK1BK'!$J$6:$J$2989,"&lt;="&amp;EOMONTH(I7,0),'1UK1BK'!$L$6:$L$2989,$B$32)</f>
        <v>#REF!</v>
      </c>
      <c r="J32" s="110" t="e">
        <f>SUMIFS('Other Expense'!$G$8:$G$2966,'Other Expense'!$F$8:$F$2966,"&gt;="&amp;J7,'Other Expense'!$F$8:$F$2966,"&lt;="&amp;EOMONTH(J7,0),'Other Expense'!$H$8:$H$2966,$B$32)+SUMIFS('CEI565'!$K$6:$K$2990,'CEI565'!$J$6:$J$2990,"&gt;="&amp;J7,'CEI565'!$J$6:$J$2990,"&lt;="&amp;EOMONTH(J7,0),'CEI565'!$L$6:$L$2990,$B$32)+SUMIFS('1SM3VL'!$K$6:$K$2990,'1SM3VL'!$J$6:$J$2990,"&gt;="&amp;J7,'1SM3VL'!$J$6:$J$2990,"&lt;="&amp;EOMONTH(J7,0),'1SM3VL'!$L$6:$L$2990,$B$32)+SUMIFS('1QF4SM'!$K$6:$K$2989,'1QF4SM'!$J$6:$J$2989,"&gt;="&amp;J7,'1QF4SM'!$J$6:$J$2989,"&lt;="&amp;EOMONTH(J7,0),'1QF4SM'!$L$6:$L$2989,$B$32)+SUMIFS('1UV5KI'!$K$6:$K$2989,'1UV5KI'!$J$6:$J$2989,"&gt;="&amp;J7,'1UV5KI'!$J$6:$J$2989,"&lt;="&amp;EOMONTH(J7,0),'1UV5KI'!$L$6:$L$2989,$B$32)+SUMIFS(#REF!,#REF!,"&gt;="&amp;J7,#REF!,"&lt;="&amp;EOMONTH(J7,0),#REF!,$B$32)+SUMIFS('1UL9RY'!$K$6:$K$2990,'1UL9RY'!$J$6:$J$2990,"&gt;="&amp;J7,'1UL9RY'!$J$6:$J$2990,"&lt;="&amp;EOMONTH(J7,0),'1UL9RY'!$L$6:$L$2990,$B$32)+SUMIFS('1OZ7GT'!$K$6:$K$2989,'1OZ7GT'!$J$6:$J$2989,"&gt;="&amp;J7,'1OZ7GT'!$J$6:$J$2989,"&lt;="&amp;EOMONTH(J7,0),'1OZ7GT'!$L$6:$L$2989,$B$32)+SUMIFS('1CN8DD'!$K$6:$K$2989,'1CN8DD'!$J$6:$J$2989,"&gt;="&amp;J7,'1CN8DD'!$J$6:$J$2989,"&lt;="&amp;EOMONTH(J7,0),'1CN8DD'!$L$6:$L$2989,$B$32)+SUMIFS('1UT9BR'!$K$6:$K$2990,'1UT9BR'!$J$6:$J$2990,"&gt;="&amp;J7,'1UT9BR'!$J$6:$J$2990,"&lt;="&amp;EOMONTH(J7,0),'1UT9BR'!$L$6:$L$2990,$B$32)+SUMIFS('1MK4UR'!$K$6:$K$2990,'1MK4UR'!$J$6:$J$2990,"&gt;="&amp;J7,'1MK4UR'!$J$6:$J$2990,"&lt;="&amp;EOMONTH(J7,0),'1MK4UR'!$L$6:$L$2990,$B$32)+SUMIFS(#REF!,#REF!,"&gt;="&amp;J7,#REF!,"&lt;="&amp;EOMONTH(J7,0),#REF!,$B$32)+SUMIFS('1JI2UE'!$K$6:$K$2989,'1JI2UE'!$J$6:$J$2989,"&gt;="&amp;J7,'1JI2UE'!$J$6:$J$2989,"&lt;="&amp;EOMONTH(J7,0),'1JI2UE'!$L$6:$L$2989,$B$32)+SUMIFS(#REF!,#REF!,"&gt;="&amp;J7,#REF!,"&lt;="&amp;EOMONTH(J7,0),#REF!,$B$32)+SUMIFS('1SI9BW'!$K$6:$K$2989,'1SI9BW'!$J$6:$J$2989,"&gt;="&amp;J7,'1SI9BW'!$J$6:$J$2989,"&lt;="&amp;EOMONTH(J7,0),'1SI9BW'!$L$6:$L$2989,$B$32)+SUMIFS(Suzuki!$K$6:$K$2989,Suzuki!$J$6:$J$2989,"&gt;="&amp;J7,Suzuki!$J$6:$J$2989,"&lt;="&amp;EOMONTH(J7,0),Suzuki!$L$6:$L$2989,$B$32)+SUMIFS('1SK3DD'!$K$6:$K$2989,'1SK3DD'!$J$6:$J$2989,"&gt;="&amp;J7,'1SK3DD'!$J$6:$J$2989,"&lt;="&amp;EOMONTH(J7,0),'1SK3DD'!$L$6:$L$2989,$B$32)+SUMIFS('1SX5TQ'!$K$6:$K$2989,'1SX5TQ'!$J$6:$J$2989,"&gt;="&amp;J7,'1SX5TQ'!$J$6:$J$2989,"&lt;="&amp;EOMONTH(J7,0),'1SX5TQ'!$L$6:$L$2989,$B$32)+SUMIFS('BMM465'!$K$6:$K$2989,'BMM465'!$J$6:$J$2989,"&gt;="&amp;J7,'BMM465'!$J$6:$J$2989,"&lt;="&amp;EOMONTH(J7,0),'BMM465'!$L$6:$L$2989,$B$32)+SUMIFS('1CF1ZO'!$K$6:$K$2989,'1CF1ZO'!$J$6:$J$2989,"&gt;="&amp;J7,'1CF1ZO'!$J$6:$J$2989,"&lt;="&amp;EOMONTH(J7,0),'1CF1ZO'!$L$6:$L$2989,$B$32)+SUMIFS('1UK1BK'!$K$6:$K$2989,'1UK1BK'!$J$6:$J$2989,"&gt;="&amp;J7,'1UK1BK'!$J$6:$J$2989,"&lt;="&amp;EOMONTH(J7,0),'1UK1BK'!$L$6:$L$2989,$B$32)</f>
        <v>#REF!</v>
      </c>
      <c r="K32" s="110" t="e">
        <f>SUMIFS('Other Expense'!$G$8:$G$2966,'Other Expense'!$F$8:$F$2966,"&gt;="&amp;K7,'Other Expense'!$F$8:$F$2966,"&lt;="&amp;EOMONTH(K7,0),'Other Expense'!$H$8:$H$2966,$B$32)+SUMIFS('CEI565'!$K$6:$K$2990,'CEI565'!$J$6:$J$2990,"&gt;="&amp;K7,'CEI565'!$J$6:$J$2990,"&lt;="&amp;EOMONTH(K7,0),'CEI565'!$L$6:$L$2990,$B$32)+SUMIFS('1SM3VL'!$K$6:$K$2990,'1SM3VL'!$J$6:$J$2990,"&gt;="&amp;K7,'1SM3VL'!$J$6:$J$2990,"&lt;="&amp;EOMONTH(K7,0),'1SM3VL'!$L$6:$L$2990,$B$32)+SUMIFS('1QF4SM'!$K$6:$K$2989,'1QF4SM'!$J$6:$J$2989,"&gt;="&amp;K7,'1QF4SM'!$J$6:$J$2989,"&lt;="&amp;EOMONTH(K7,0),'1QF4SM'!$L$6:$L$2989,$B$32)+SUMIFS('1UV5KI'!$K$6:$K$2989,'1UV5KI'!$J$6:$J$2989,"&gt;="&amp;K7,'1UV5KI'!$J$6:$J$2989,"&lt;="&amp;EOMONTH(K7,0),'1UV5KI'!$L$6:$L$2989,$B$32)+SUMIFS(#REF!,#REF!,"&gt;="&amp;K7,#REF!,"&lt;="&amp;EOMONTH(K7,0),#REF!,$B$32)+SUMIFS('1UL9RY'!$K$6:$K$2990,'1UL9RY'!$J$6:$J$2990,"&gt;="&amp;K7,'1UL9RY'!$J$6:$J$2990,"&lt;="&amp;EOMONTH(K7,0),'1UL9RY'!$L$6:$L$2990,$B$32)+SUMIFS('1OZ7GT'!$K$6:$K$2989,'1OZ7GT'!$J$6:$J$2989,"&gt;="&amp;K7,'1OZ7GT'!$J$6:$J$2989,"&lt;="&amp;EOMONTH(K7,0),'1OZ7GT'!$L$6:$L$2989,$B$32)+SUMIFS('1CN8DD'!$K$6:$K$2989,'1CN8DD'!$J$6:$J$2989,"&gt;="&amp;K7,'1CN8DD'!$J$6:$J$2989,"&lt;="&amp;EOMONTH(K7,0),'1CN8DD'!$L$6:$L$2989,$B$32)+SUMIFS('1UT9BR'!$K$6:$K$2990,'1UT9BR'!$J$6:$J$2990,"&gt;="&amp;K7,'1UT9BR'!$J$6:$J$2990,"&lt;="&amp;EOMONTH(K7,0),'1UT9BR'!$L$6:$L$2990,$B$32)+SUMIFS('1MK4UR'!$K$6:$K$2990,'1MK4UR'!$J$6:$J$2990,"&gt;="&amp;K7,'1MK4UR'!$J$6:$J$2990,"&lt;="&amp;EOMONTH(K7,0),'1MK4UR'!$L$6:$L$2990,$B$32)+SUMIFS(#REF!,#REF!,"&gt;="&amp;K7,#REF!,"&lt;="&amp;EOMONTH(K7,0),#REF!,$B$32)+SUMIFS('1JI2UE'!$K$6:$K$2989,'1JI2UE'!$J$6:$J$2989,"&gt;="&amp;K7,'1JI2UE'!$J$6:$J$2989,"&lt;="&amp;EOMONTH(K7,0),'1JI2UE'!$L$6:$L$2989,$B$32)+SUMIFS(#REF!,#REF!,"&gt;="&amp;K7,#REF!,"&lt;="&amp;EOMONTH(K7,0),#REF!,$B$32)+SUMIFS('1SI9BW'!$K$6:$K$2989,'1SI9BW'!$J$6:$J$2989,"&gt;="&amp;K7,'1SI9BW'!$J$6:$J$2989,"&lt;="&amp;EOMONTH(K7,0),'1SI9BW'!$L$6:$L$2989,$B$32)+SUMIFS(Suzuki!$K$6:$K$2989,Suzuki!$J$6:$J$2989,"&gt;="&amp;K7,Suzuki!$J$6:$J$2989,"&lt;="&amp;EOMONTH(K7,0),Suzuki!$L$6:$L$2989,$B$32)+SUMIFS('1SK3DD'!$K$6:$K$2989,'1SK3DD'!$J$6:$J$2989,"&gt;="&amp;K7,'1SK3DD'!$J$6:$J$2989,"&lt;="&amp;EOMONTH(K7,0),'1SK3DD'!$L$6:$L$2989,$B$32)+SUMIFS('1SX5TQ'!$K$6:$K$2989,'1SX5TQ'!$J$6:$J$2989,"&gt;="&amp;K7,'1SX5TQ'!$J$6:$J$2989,"&lt;="&amp;EOMONTH(K7,0),'1SX5TQ'!$L$6:$L$2989,$B$32)+SUMIFS('BMM465'!$K$6:$K$2989,'BMM465'!$J$6:$J$2989,"&gt;="&amp;K7,'BMM465'!$J$6:$J$2989,"&lt;="&amp;EOMONTH(K7,0),'BMM465'!$L$6:$L$2989,$B$32)+SUMIFS('1CF1ZO'!$K$6:$K$2989,'1CF1ZO'!$J$6:$J$2989,"&gt;="&amp;K7,'1CF1ZO'!$J$6:$J$2989,"&lt;="&amp;EOMONTH(K7,0),'1CF1ZO'!$L$6:$L$2989,$B$32)+SUMIFS('1UK1BK'!$K$6:$K$2989,'1UK1BK'!$J$6:$J$2989,"&gt;="&amp;K7,'1UK1BK'!$J$6:$J$2989,"&lt;="&amp;EOMONTH(K7,0),'1UK1BK'!$L$6:$L$2989,$B$32)</f>
        <v>#REF!</v>
      </c>
      <c r="L32" s="110" t="e">
        <f>SUMIFS('Other Expense'!$G$8:$G$2966,'Other Expense'!$F$8:$F$2966,"&gt;="&amp;L7,'Other Expense'!$F$8:$F$2966,"&lt;="&amp;EOMONTH(L7,0),'Other Expense'!$H$8:$H$2966,$B$32)+SUMIFS('CEI565'!$K$6:$K$2990,'CEI565'!$J$6:$J$2990,"&gt;="&amp;L7,'CEI565'!$J$6:$J$2990,"&lt;="&amp;EOMONTH(L7,0),'CEI565'!$L$6:$L$2990,$B$32)+SUMIFS('1SM3VL'!$K$6:$K$2990,'1SM3VL'!$J$6:$J$2990,"&gt;="&amp;L7,'1SM3VL'!$J$6:$J$2990,"&lt;="&amp;EOMONTH(L7,0),'1SM3VL'!$L$6:$L$2990,$B$32)+SUMIFS('1QF4SM'!$K$6:$K$2989,'1QF4SM'!$J$6:$J$2989,"&gt;="&amp;L7,'1QF4SM'!$J$6:$J$2989,"&lt;="&amp;EOMONTH(L7,0),'1QF4SM'!$L$6:$L$2989,$B$32)+SUMIFS('1UV5KI'!$K$6:$K$2989,'1UV5KI'!$J$6:$J$2989,"&gt;="&amp;L7,'1UV5KI'!$J$6:$J$2989,"&lt;="&amp;EOMONTH(L7,0),'1UV5KI'!$L$6:$L$2989,$B$32)+SUMIFS(#REF!,#REF!,"&gt;="&amp;L7,#REF!,"&lt;="&amp;EOMONTH(L7,0),#REF!,$B$32)+SUMIFS('1UL9RY'!$K$6:$K$2990,'1UL9RY'!$J$6:$J$2990,"&gt;="&amp;L7,'1UL9RY'!$J$6:$J$2990,"&lt;="&amp;EOMONTH(L7,0),'1UL9RY'!$L$6:$L$2990,$B$32)+SUMIFS('1OZ7GT'!$K$6:$K$2989,'1OZ7GT'!$J$6:$J$2989,"&gt;="&amp;L7,'1OZ7GT'!$J$6:$J$2989,"&lt;="&amp;EOMONTH(L7,0),'1OZ7GT'!$L$6:$L$2989,$B$32)+SUMIFS('1CN8DD'!$K$6:$K$2989,'1CN8DD'!$J$6:$J$2989,"&gt;="&amp;L7,'1CN8DD'!$J$6:$J$2989,"&lt;="&amp;EOMONTH(L7,0),'1CN8DD'!$L$6:$L$2989,$B$32)+SUMIFS('1UT9BR'!$K$6:$K$2990,'1UT9BR'!$J$6:$J$2990,"&gt;="&amp;L7,'1UT9BR'!$J$6:$J$2990,"&lt;="&amp;EOMONTH(L7,0),'1UT9BR'!$L$6:$L$2990,$B$32)+SUMIFS('1MK4UR'!$K$6:$K$2990,'1MK4UR'!$J$6:$J$2990,"&gt;="&amp;L7,'1MK4UR'!$J$6:$J$2990,"&lt;="&amp;EOMONTH(L7,0),'1MK4UR'!$L$6:$L$2990,$B$32)+SUMIFS(#REF!,#REF!,"&gt;="&amp;L7,#REF!,"&lt;="&amp;EOMONTH(L7,0),#REF!,$B$32)+SUMIFS('1JI2UE'!$K$6:$K$2989,'1JI2UE'!$J$6:$J$2989,"&gt;="&amp;L7,'1JI2UE'!$J$6:$J$2989,"&lt;="&amp;EOMONTH(L7,0),'1JI2UE'!$L$6:$L$2989,$B$32)+SUMIFS(#REF!,#REF!,"&gt;="&amp;L7,#REF!,"&lt;="&amp;EOMONTH(L7,0),#REF!,$B$32)+SUMIFS('1SI9BW'!$K$6:$K$2989,'1SI9BW'!$J$6:$J$2989,"&gt;="&amp;L7,'1SI9BW'!$J$6:$J$2989,"&lt;="&amp;EOMONTH(L7,0),'1SI9BW'!$L$6:$L$2989,$B$32)+SUMIFS(Suzuki!$K$6:$K$2989,Suzuki!$J$6:$J$2989,"&gt;="&amp;L7,Suzuki!$J$6:$J$2989,"&lt;="&amp;EOMONTH(L7,0),Suzuki!$L$6:$L$2989,$B$32)+SUMIFS('1SK3DD'!$K$6:$K$2989,'1SK3DD'!$J$6:$J$2989,"&gt;="&amp;L7,'1SK3DD'!$J$6:$J$2989,"&lt;="&amp;EOMONTH(L7,0),'1SK3DD'!$L$6:$L$2989,$B$32)+SUMIFS('1SX5TQ'!$K$6:$K$2989,'1SX5TQ'!$J$6:$J$2989,"&gt;="&amp;L7,'1SX5TQ'!$J$6:$J$2989,"&lt;="&amp;EOMONTH(L7,0),'1SX5TQ'!$L$6:$L$2989,$B$32)+SUMIFS('BMM465'!$K$6:$K$2989,'BMM465'!$J$6:$J$2989,"&gt;="&amp;L7,'BMM465'!$J$6:$J$2989,"&lt;="&amp;EOMONTH(L7,0),'BMM465'!$L$6:$L$2989,$B$32)+SUMIFS('1CF1ZO'!$K$6:$K$2989,'1CF1ZO'!$J$6:$J$2989,"&gt;="&amp;L7,'1CF1ZO'!$J$6:$J$2989,"&lt;="&amp;EOMONTH(L7,0),'1CF1ZO'!$L$6:$L$2989,$B$32)+SUMIFS('1UK1BK'!$K$6:$K$2989,'1UK1BK'!$J$6:$J$2989,"&gt;="&amp;L7,'1UK1BK'!$J$6:$J$2989,"&lt;="&amp;EOMONTH(L7,0),'1UK1BK'!$L$6:$L$2989,$B$32)</f>
        <v>#REF!</v>
      </c>
      <c r="M32" s="110" t="e">
        <f>SUMIFS('Other Expense'!$G$8:$G$2966,'Other Expense'!$F$8:$F$2966,"&gt;="&amp;M7,'Other Expense'!$F$8:$F$2966,"&lt;="&amp;EOMONTH(M7,0),'Other Expense'!$H$8:$H$2966,$B$32)+SUMIFS('CEI565'!$K$6:$K$2990,'CEI565'!$J$6:$J$2990,"&gt;="&amp;M7,'CEI565'!$J$6:$J$2990,"&lt;="&amp;EOMONTH(M7,0),'CEI565'!$L$6:$L$2990,$B$32)+SUMIFS('1SM3VL'!$K$6:$K$2990,'1SM3VL'!$J$6:$J$2990,"&gt;="&amp;M7,'1SM3VL'!$J$6:$J$2990,"&lt;="&amp;EOMONTH(M7,0),'1SM3VL'!$L$6:$L$2990,$B$32)+SUMIFS('1QF4SM'!$K$6:$K$2989,'1QF4SM'!$J$6:$J$2989,"&gt;="&amp;M7,'1QF4SM'!$J$6:$J$2989,"&lt;="&amp;EOMONTH(M7,0),'1QF4SM'!$L$6:$L$2989,$B$32)+SUMIFS('1UV5KI'!$K$6:$K$2989,'1UV5KI'!$J$6:$J$2989,"&gt;="&amp;M7,'1UV5KI'!$J$6:$J$2989,"&lt;="&amp;EOMONTH(M7,0),'1UV5KI'!$L$6:$L$2989,$B$32)+SUMIFS(#REF!,#REF!,"&gt;="&amp;M7,#REF!,"&lt;="&amp;EOMONTH(M7,0),#REF!,$B$32)+SUMIFS('1UL9RY'!$K$6:$K$2990,'1UL9RY'!$J$6:$J$2990,"&gt;="&amp;M7,'1UL9RY'!$J$6:$J$2990,"&lt;="&amp;EOMONTH(M7,0),'1UL9RY'!$L$6:$L$2990,$B$32)+SUMIFS('1OZ7GT'!$K$6:$K$2989,'1OZ7GT'!$J$6:$J$2989,"&gt;="&amp;M7,'1OZ7GT'!$J$6:$J$2989,"&lt;="&amp;EOMONTH(M7,0),'1OZ7GT'!$L$6:$L$2989,$B$32)+SUMIFS('1CN8DD'!$K$6:$K$2989,'1CN8DD'!$J$6:$J$2989,"&gt;="&amp;M7,'1CN8DD'!$J$6:$J$2989,"&lt;="&amp;EOMONTH(M7,0),'1CN8DD'!$L$6:$L$2989,$B$32)+SUMIFS('1UT9BR'!$K$6:$K$2990,'1UT9BR'!$J$6:$J$2990,"&gt;="&amp;M7,'1UT9BR'!$J$6:$J$2990,"&lt;="&amp;EOMONTH(M7,0),'1UT9BR'!$L$6:$L$2990,$B$32)+SUMIFS('1MK4UR'!$K$6:$K$2990,'1MK4UR'!$J$6:$J$2990,"&gt;="&amp;M7,'1MK4UR'!$J$6:$J$2990,"&lt;="&amp;EOMONTH(M7,0),'1MK4UR'!$L$6:$L$2990,$B$32)+SUMIFS(#REF!,#REF!,"&gt;="&amp;M7,#REF!,"&lt;="&amp;EOMONTH(M7,0),#REF!,$B$32)+SUMIFS('1JI2UE'!$K$6:$K$2989,'1JI2UE'!$J$6:$J$2989,"&gt;="&amp;M7,'1JI2UE'!$J$6:$J$2989,"&lt;="&amp;EOMONTH(M7,0),'1JI2UE'!$L$6:$L$2989,$B$32)+SUMIFS(#REF!,#REF!,"&gt;="&amp;M7,#REF!,"&lt;="&amp;EOMONTH(M7,0),#REF!,$B$32)+SUMIFS('1SI9BW'!$K$6:$K$2989,'1SI9BW'!$J$6:$J$2989,"&gt;="&amp;M7,'1SI9BW'!$J$6:$J$2989,"&lt;="&amp;EOMONTH(M7,0),'1SI9BW'!$L$6:$L$2989,$B$32)+SUMIFS(Suzuki!$K$6:$K$2989,Suzuki!$J$6:$J$2989,"&gt;="&amp;M7,Suzuki!$J$6:$J$2989,"&lt;="&amp;EOMONTH(M7,0),Suzuki!$L$6:$L$2989,$B$32)+SUMIFS('1SK3DD'!$K$6:$K$2989,'1SK3DD'!$J$6:$J$2989,"&gt;="&amp;M7,'1SK3DD'!$J$6:$J$2989,"&lt;="&amp;EOMONTH(M7,0),'1SK3DD'!$L$6:$L$2989,$B$32)+SUMIFS('1SX5TQ'!$K$6:$K$2989,'1SX5TQ'!$J$6:$J$2989,"&gt;="&amp;M7,'1SX5TQ'!$J$6:$J$2989,"&lt;="&amp;EOMONTH(M7,0),'1SX5TQ'!$L$6:$L$2989,$B$32)+SUMIFS('BMM465'!$K$6:$K$2989,'BMM465'!$J$6:$J$2989,"&gt;="&amp;M7,'BMM465'!$J$6:$J$2989,"&lt;="&amp;EOMONTH(M7,0),'BMM465'!$L$6:$L$2989,$B$32)+SUMIFS('1CF1ZO'!$K$6:$K$2989,'1CF1ZO'!$J$6:$J$2989,"&gt;="&amp;M7,'1CF1ZO'!$J$6:$J$2989,"&lt;="&amp;EOMONTH(M7,0),'1CF1ZO'!$L$6:$L$2989,$B$32)+SUMIFS('1UK1BK'!$K$6:$K$2989,'1UK1BK'!$J$6:$J$2989,"&gt;="&amp;M7,'1UK1BK'!$J$6:$J$2989,"&lt;="&amp;EOMONTH(M7,0),'1UK1BK'!$L$6:$L$2989,$B$32)</f>
        <v>#REF!</v>
      </c>
      <c r="N32" s="110" t="e">
        <f>SUMIFS('Other Expense'!$G$8:$G$2966,'Other Expense'!$F$8:$F$2966,"&gt;="&amp;N7,'Other Expense'!$F$8:$F$2966,"&lt;="&amp;EOMONTH(N7,0),'Other Expense'!$H$8:$H$2966,$B$32)+SUMIFS('CEI565'!$K$6:$K$2990,'CEI565'!$J$6:$J$2990,"&gt;="&amp;N7,'CEI565'!$J$6:$J$2990,"&lt;="&amp;EOMONTH(N7,0),'CEI565'!$L$6:$L$2990,$B$32)+SUMIFS('1SM3VL'!$K$6:$K$2990,'1SM3VL'!$J$6:$J$2990,"&gt;="&amp;N7,'1SM3VL'!$J$6:$J$2990,"&lt;="&amp;EOMONTH(N7,0),'1SM3VL'!$L$6:$L$2990,$B$32)+SUMIFS('1QF4SM'!$K$6:$K$2989,'1QF4SM'!$J$6:$J$2989,"&gt;="&amp;N7,'1QF4SM'!$J$6:$J$2989,"&lt;="&amp;EOMONTH(N7,0),'1QF4SM'!$L$6:$L$2989,$B$32)+SUMIFS('1UV5KI'!$K$6:$K$2989,'1UV5KI'!$J$6:$J$2989,"&gt;="&amp;N7,'1UV5KI'!$J$6:$J$2989,"&lt;="&amp;EOMONTH(N7,0),'1UV5KI'!$L$6:$L$2989,$B$32)+SUMIFS(#REF!,#REF!,"&gt;="&amp;N7,#REF!,"&lt;="&amp;EOMONTH(N7,0),#REF!,$B$32)+SUMIFS('1UL9RY'!$K$6:$K$2990,'1UL9RY'!$J$6:$J$2990,"&gt;="&amp;N7,'1UL9RY'!$J$6:$J$2990,"&lt;="&amp;EOMONTH(N7,0),'1UL9RY'!$L$6:$L$2990,$B$32)+SUMIFS('1OZ7GT'!$K$6:$K$2989,'1OZ7GT'!$J$6:$J$2989,"&gt;="&amp;N7,'1OZ7GT'!$J$6:$J$2989,"&lt;="&amp;EOMONTH(N7,0),'1OZ7GT'!$L$6:$L$2989,$B$32)+SUMIFS('1CN8DD'!$K$6:$K$2989,'1CN8DD'!$J$6:$J$2989,"&gt;="&amp;N7,'1CN8DD'!$J$6:$J$2989,"&lt;="&amp;EOMONTH(N7,0),'1CN8DD'!$L$6:$L$2989,$B$32)+SUMIFS('1UT9BR'!$K$6:$K$2990,'1UT9BR'!$J$6:$J$2990,"&gt;="&amp;N7,'1UT9BR'!$J$6:$J$2990,"&lt;="&amp;EOMONTH(N7,0),'1UT9BR'!$L$6:$L$2990,$B$32)+SUMIFS('1MK4UR'!$K$6:$K$2990,'1MK4UR'!$J$6:$J$2990,"&gt;="&amp;N7,'1MK4UR'!$J$6:$J$2990,"&lt;="&amp;EOMONTH(N7,0),'1MK4UR'!$L$6:$L$2990,$B$32)+SUMIFS(#REF!,#REF!,"&gt;="&amp;N7,#REF!,"&lt;="&amp;EOMONTH(N7,0),#REF!,$B$32)+SUMIFS('1JI2UE'!$K$6:$K$2989,'1JI2UE'!$J$6:$J$2989,"&gt;="&amp;N7,'1JI2UE'!$J$6:$J$2989,"&lt;="&amp;EOMONTH(N7,0),'1JI2UE'!$L$6:$L$2989,$B$32)+SUMIFS(#REF!,#REF!,"&gt;="&amp;N7,#REF!,"&lt;="&amp;EOMONTH(N7,0),#REF!,$B$32)+SUMIFS('1SI9BW'!$K$6:$K$2989,'1SI9BW'!$J$6:$J$2989,"&gt;="&amp;N7,'1SI9BW'!$J$6:$J$2989,"&lt;="&amp;EOMONTH(N7,0),'1SI9BW'!$L$6:$L$2989,$B$32)+SUMIFS(Suzuki!$K$6:$K$2989,Suzuki!$J$6:$J$2989,"&gt;="&amp;N7,Suzuki!$J$6:$J$2989,"&lt;="&amp;EOMONTH(N7,0),Suzuki!$L$6:$L$2989,$B$32)+SUMIFS('1SK3DD'!$K$6:$K$2989,'1SK3DD'!$J$6:$J$2989,"&gt;="&amp;N7,'1SK3DD'!$J$6:$J$2989,"&lt;="&amp;EOMONTH(N7,0),'1SK3DD'!$L$6:$L$2989,$B$32)+SUMIFS('1SX5TQ'!$K$6:$K$2989,'1SX5TQ'!$J$6:$J$2989,"&gt;="&amp;N7,'1SX5TQ'!$J$6:$J$2989,"&lt;="&amp;EOMONTH(N7,0),'1SX5TQ'!$L$6:$L$2989,$B$32)+SUMIFS('BMM465'!$K$6:$K$2989,'BMM465'!$J$6:$J$2989,"&gt;="&amp;N7,'BMM465'!$J$6:$J$2989,"&lt;="&amp;EOMONTH(N7,0),'BMM465'!$L$6:$L$2989,$B$32)+SUMIFS('1CF1ZO'!$K$6:$K$2989,'1CF1ZO'!$J$6:$J$2989,"&gt;="&amp;N7,'1CF1ZO'!$J$6:$J$2989,"&lt;="&amp;EOMONTH(N7,0),'1CF1ZO'!$L$6:$L$2989,$B$32)+SUMIFS('1UK1BK'!$K$6:$K$2989,'1UK1BK'!$J$6:$J$2989,"&gt;="&amp;N7,'1UK1BK'!$J$6:$J$2989,"&lt;="&amp;EOMONTH(N7,0),'1UK1BK'!$L$6:$L$2989,$B$32)</f>
        <v>#REF!</v>
      </c>
      <c r="O32" s="110" t="e">
        <f>SUMIFS('Other Expense'!$G$8:$G$2966,'Other Expense'!$F$8:$F$2966,"&gt;="&amp;O7,'Other Expense'!$F$8:$F$2966,"&lt;="&amp;EOMONTH(O7,0),'Other Expense'!$H$8:$H$2966,$B$32)+SUMIFS('CEI565'!$K$6:$K$2990,'CEI565'!$J$6:$J$2990,"&gt;="&amp;O7,'CEI565'!$J$6:$J$2990,"&lt;="&amp;EOMONTH(O7,0),'CEI565'!$L$6:$L$2990,$B$32)+SUMIFS('1SM3VL'!$K$6:$K$2990,'1SM3VL'!$J$6:$J$2990,"&gt;="&amp;O7,'1SM3VL'!$J$6:$J$2990,"&lt;="&amp;EOMONTH(O7,0),'1SM3VL'!$L$6:$L$2990,$B$32)+SUMIFS('1QF4SM'!$K$6:$K$2989,'1QF4SM'!$J$6:$J$2989,"&gt;="&amp;O7,'1QF4SM'!$J$6:$J$2989,"&lt;="&amp;EOMONTH(O7,0),'1QF4SM'!$L$6:$L$2989,$B$32)+SUMIFS('1UV5KI'!$K$6:$K$2989,'1UV5KI'!$J$6:$J$2989,"&gt;="&amp;O7,'1UV5KI'!$J$6:$J$2989,"&lt;="&amp;EOMONTH(O7,0),'1UV5KI'!$L$6:$L$2989,$B$32)+SUMIFS(#REF!,#REF!,"&gt;="&amp;O7,#REF!,"&lt;="&amp;EOMONTH(O7,0),#REF!,$B$32)+SUMIFS('1UL9RY'!$K$6:$K$2990,'1UL9RY'!$J$6:$J$2990,"&gt;="&amp;O7,'1UL9RY'!$J$6:$J$2990,"&lt;="&amp;EOMONTH(O7,0),'1UL9RY'!$L$6:$L$2990,$B$32)+SUMIFS('1OZ7GT'!$K$6:$K$2989,'1OZ7GT'!$J$6:$J$2989,"&gt;="&amp;O7,'1OZ7GT'!$J$6:$J$2989,"&lt;="&amp;EOMONTH(O7,0),'1OZ7GT'!$L$6:$L$2989,$B$32)+SUMIFS('1CN8DD'!$K$6:$K$2989,'1CN8DD'!$J$6:$J$2989,"&gt;="&amp;O7,'1CN8DD'!$J$6:$J$2989,"&lt;="&amp;EOMONTH(O7,0),'1CN8DD'!$L$6:$L$2989,$B$32)+SUMIFS('1UT9BR'!$K$6:$K$2990,'1UT9BR'!$J$6:$J$2990,"&gt;="&amp;O7,'1UT9BR'!$J$6:$J$2990,"&lt;="&amp;EOMONTH(O7,0),'1UT9BR'!$L$6:$L$2990,$B$32)+SUMIFS('1MK4UR'!$K$6:$K$2990,'1MK4UR'!$J$6:$J$2990,"&gt;="&amp;O7,'1MK4UR'!$J$6:$J$2990,"&lt;="&amp;EOMONTH(O7,0),'1MK4UR'!$L$6:$L$2990,$B$32)+SUMIFS(#REF!,#REF!,"&gt;="&amp;O7,#REF!,"&lt;="&amp;EOMONTH(O7,0),#REF!,$B$32)+SUMIFS('1JI2UE'!$K$6:$K$2989,'1JI2UE'!$J$6:$J$2989,"&gt;="&amp;O7,'1JI2UE'!$J$6:$J$2989,"&lt;="&amp;EOMONTH(O7,0),'1JI2UE'!$L$6:$L$2989,$B$32)+SUMIFS(#REF!,#REF!,"&gt;="&amp;O7,#REF!,"&lt;="&amp;EOMONTH(O7,0),#REF!,$B$32)+SUMIFS('1SI9BW'!$K$6:$K$2989,'1SI9BW'!$J$6:$J$2989,"&gt;="&amp;O7,'1SI9BW'!$J$6:$J$2989,"&lt;="&amp;EOMONTH(O7,0),'1SI9BW'!$L$6:$L$2989,$B$32)+SUMIFS(Suzuki!$K$6:$K$2989,Suzuki!$J$6:$J$2989,"&gt;="&amp;O7,Suzuki!$J$6:$J$2989,"&lt;="&amp;EOMONTH(O7,0),Suzuki!$L$6:$L$2989,$B$32)+SUMIFS('1SK3DD'!$K$6:$K$2989,'1SK3DD'!$J$6:$J$2989,"&gt;="&amp;O7,'1SK3DD'!$J$6:$J$2989,"&lt;="&amp;EOMONTH(O7,0),'1SK3DD'!$L$6:$L$2989,$B$32)+SUMIFS('1SX5TQ'!$K$6:$K$2989,'1SX5TQ'!$J$6:$J$2989,"&gt;="&amp;O7,'1SX5TQ'!$J$6:$J$2989,"&lt;="&amp;EOMONTH(O7,0),'1SX5TQ'!$L$6:$L$2989,$B$32)+SUMIFS('BMM465'!$K$6:$K$2989,'BMM465'!$J$6:$J$2989,"&gt;="&amp;O7,'BMM465'!$J$6:$J$2989,"&lt;="&amp;EOMONTH(O7,0),'BMM465'!$L$6:$L$2989,$B$32)+SUMIFS('1CF1ZO'!$K$6:$K$2989,'1CF1ZO'!$J$6:$J$2989,"&gt;="&amp;O7,'1CF1ZO'!$J$6:$J$2989,"&lt;="&amp;EOMONTH(O7,0),'1CF1ZO'!$L$6:$L$2989,$B$32)+SUMIFS('1UK1BK'!$K$6:$K$2989,'1UK1BK'!$J$6:$J$2989,"&gt;="&amp;O7,'1UK1BK'!$J$6:$J$2989,"&lt;="&amp;EOMONTH(O7,0),'1UK1BK'!$L$6:$L$2989,$B$32)</f>
        <v>#REF!</v>
      </c>
      <c r="P32" s="110" t="e">
        <f>SUMIFS('Other Expense'!$G$8:$G$2966,'Other Expense'!$F$8:$F$2966,"&gt;="&amp;P7,'Other Expense'!$F$8:$F$2966,"&lt;="&amp;EOMONTH(P7,0),'Other Expense'!$H$8:$H$2966,$B$32)+SUMIFS('CEI565'!$K$6:$K$2990,'CEI565'!$J$6:$J$2990,"&gt;="&amp;P7,'CEI565'!$J$6:$J$2990,"&lt;="&amp;EOMONTH(P7,0),'CEI565'!$L$6:$L$2990,$B$32)+SUMIFS('1SM3VL'!$K$6:$K$2990,'1SM3VL'!$J$6:$J$2990,"&gt;="&amp;P7,'1SM3VL'!$J$6:$J$2990,"&lt;="&amp;EOMONTH(P7,0),'1SM3VL'!$L$6:$L$2990,$B$32)+SUMIFS('1QF4SM'!$K$6:$K$2989,'1QF4SM'!$J$6:$J$2989,"&gt;="&amp;P7,'1QF4SM'!$J$6:$J$2989,"&lt;="&amp;EOMONTH(P7,0),'1QF4SM'!$L$6:$L$2989,$B$32)+SUMIFS('1UV5KI'!$K$6:$K$2989,'1UV5KI'!$J$6:$J$2989,"&gt;="&amp;P7,'1UV5KI'!$J$6:$J$2989,"&lt;="&amp;EOMONTH(P7,0),'1UV5KI'!$L$6:$L$2989,$B$32)+SUMIFS(#REF!,#REF!,"&gt;="&amp;P7,#REF!,"&lt;="&amp;EOMONTH(P7,0),#REF!,$B$32)+SUMIFS('1UL9RY'!$K$6:$K$2990,'1UL9RY'!$J$6:$J$2990,"&gt;="&amp;P7,'1UL9RY'!$J$6:$J$2990,"&lt;="&amp;EOMONTH(P7,0),'1UL9RY'!$L$6:$L$2990,$B$32)+SUMIFS('1OZ7GT'!$K$6:$K$2989,'1OZ7GT'!$J$6:$J$2989,"&gt;="&amp;P7,'1OZ7GT'!$J$6:$J$2989,"&lt;="&amp;EOMONTH(P7,0),'1OZ7GT'!$L$6:$L$2989,$B$32)+SUMIFS('1CN8DD'!$K$6:$K$2989,'1CN8DD'!$J$6:$J$2989,"&gt;="&amp;P7,'1CN8DD'!$J$6:$J$2989,"&lt;="&amp;EOMONTH(P7,0),'1CN8DD'!$L$6:$L$2989,$B$32)+SUMIFS('1UT9BR'!$K$6:$K$2990,'1UT9BR'!$J$6:$J$2990,"&gt;="&amp;P7,'1UT9BR'!$J$6:$J$2990,"&lt;="&amp;EOMONTH(P7,0),'1UT9BR'!$L$6:$L$2990,$B$32)+SUMIFS('1MK4UR'!$K$6:$K$2990,'1MK4UR'!$J$6:$J$2990,"&gt;="&amp;P7,'1MK4UR'!$J$6:$J$2990,"&lt;="&amp;EOMONTH(P7,0),'1MK4UR'!$L$6:$L$2990,$B$32)+SUMIFS(#REF!,#REF!,"&gt;="&amp;P7,#REF!,"&lt;="&amp;EOMONTH(P7,0),#REF!,$B$32)+SUMIFS('1JI2UE'!$K$6:$K$2989,'1JI2UE'!$J$6:$J$2989,"&gt;="&amp;P7,'1JI2UE'!$J$6:$J$2989,"&lt;="&amp;EOMONTH(P7,0),'1JI2UE'!$L$6:$L$2989,$B$32)+SUMIFS(#REF!,#REF!,"&gt;="&amp;P7,#REF!,"&lt;="&amp;EOMONTH(P7,0),#REF!,$B$32)+SUMIFS('1SI9BW'!$K$6:$K$2989,'1SI9BW'!$J$6:$J$2989,"&gt;="&amp;P7,'1SI9BW'!$J$6:$J$2989,"&lt;="&amp;EOMONTH(P7,0),'1SI9BW'!$L$6:$L$2989,$B$32)+SUMIFS(Suzuki!$K$6:$K$2989,Suzuki!$J$6:$J$2989,"&gt;="&amp;P7,Suzuki!$J$6:$J$2989,"&lt;="&amp;EOMONTH(P7,0),Suzuki!$L$6:$L$2989,$B$32)+SUMIFS('1SK3DD'!$K$6:$K$2989,'1SK3DD'!$J$6:$J$2989,"&gt;="&amp;P7,'1SK3DD'!$J$6:$J$2989,"&lt;="&amp;EOMONTH(P7,0),'1SK3DD'!$L$6:$L$2989,$B$32)+SUMIFS('1SX5TQ'!$K$6:$K$2989,'1SX5TQ'!$J$6:$J$2989,"&gt;="&amp;P7,'1SX5TQ'!$J$6:$J$2989,"&lt;="&amp;EOMONTH(P7,0),'1SX5TQ'!$L$6:$L$2989,$B$32)+SUMIFS('BMM465'!$K$6:$K$2989,'BMM465'!$J$6:$J$2989,"&gt;="&amp;P7,'BMM465'!$J$6:$J$2989,"&lt;="&amp;EOMONTH(P7,0),'BMM465'!$L$6:$L$2989,$B$32)+SUMIFS('1CF1ZO'!$K$6:$K$2989,'1CF1ZO'!$J$6:$J$2989,"&gt;="&amp;P7,'1CF1ZO'!$J$6:$J$2989,"&lt;="&amp;EOMONTH(P7,0),'1CF1ZO'!$L$6:$L$2989,$B$32)+SUMIFS('1UK1BK'!$K$6:$K$2989,'1UK1BK'!$J$6:$J$2989,"&gt;="&amp;P7,'1UK1BK'!$J$6:$J$2989,"&lt;="&amp;EOMONTH(P7,0),'1UK1BK'!$L$6:$L$2989,$B$32)</f>
        <v>#REF!</v>
      </c>
      <c r="Q32" s="110" t="e">
        <f>SUMIFS('Other Expense'!$G$8:$G$2966,'Other Expense'!$F$8:$F$2966,"&gt;="&amp;Q7,'Other Expense'!$F$8:$F$2966,"&lt;="&amp;EOMONTH(Q7,0),'Other Expense'!$H$8:$H$2966,$B$32)+SUMIFS('CEI565'!$K$6:$K$2990,'CEI565'!$J$6:$J$2990,"&gt;="&amp;Q7,'CEI565'!$J$6:$J$2990,"&lt;="&amp;EOMONTH(Q7,0),'CEI565'!$L$6:$L$2990,$B$32)+SUMIFS('1SM3VL'!$K$6:$K$2990,'1SM3VL'!$J$6:$J$2990,"&gt;="&amp;Q7,'1SM3VL'!$J$6:$J$2990,"&lt;="&amp;EOMONTH(Q7,0),'1SM3VL'!$L$6:$L$2990,$B$32)+SUMIFS('1QF4SM'!$K$6:$K$2989,'1QF4SM'!$J$6:$J$2989,"&gt;="&amp;Q7,'1QF4SM'!$J$6:$J$2989,"&lt;="&amp;EOMONTH(Q7,0),'1QF4SM'!$L$6:$L$2989,$B$32)+SUMIFS('1UV5KI'!$K$6:$K$2989,'1UV5KI'!$J$6:$J$2989,"&gt;="&amp;Q7,'1UV5KI'!$J$6:$J$2989,"&lt;="&amp;EOMONTH(Q7,0),'1UV5KI'!$L$6:$L$2989,$B$32)+SUMIFS(#REF!,#REF!,"&gt;="&amp;Q7,#REF!,"&lt;="&amp;EOMONTH(Q7,0),#REF!,$B$32)+SUMIFS('1UL9RY'!$K$6:$K$2990,'1UL9RY'!$J$6:$J$2990,"&gt;="&amp;Q7,'1UL9RY'!$J$6:$J$2990,"&lt;="&amp;EOMONTH(Q7,0),'1UL9RY'!$L$6:$L$2990,$B$32)+SUMIFS('1OZ7GT'!$K$6:$K$2989,'1OZ7GT'!$J$6:$J$2989,"&gt;="&amp;Q7,'1OZ7GT'!$J$6:$J$2989,"&lt;="&amp;EOMONTH(Q7,0),'1OZ7GT'!$L$6:$L$2989,$B$32)+SUMIFS('1CN8DD'!$K$6:$K$2989,'1CN8DD'!$J$6:$J$2989,"&gt;="&amp;Q7,'1CN8DD'!$J$6:$J$2989,"&lt;="&amp;EOMONTH(Q7,0),'1CN8DD'!$L$6:$L$2989,$B$32)+SUMIFS('1UT9BR'!$K$6:$K$2990,'1UT9BR'!$J$6:$J$2990,"&gt;="&amp;Q7,'1UT9BR'!$J$6:$J$2990,"&lt;="&amp;EOMONTH(Q7,0),'1UT9BR'!$L$6:$L$2990,$B$32)+SUMIFS('1MK4UR'!$K$6:$K$2990,'1MK4UR'!$J$6:$J$2990,"&gt;="&amp;Q7,'1MK4UR'!$J$6:$J$2990,"&lt;="&amp;EOMONTH(Q7,0),'1MK4UR'!$L$6:$L$2990,$B$32)+SUMIFS(#REF!,#REF!,"&gt;="&amp;Q7,#REF!,"&lt;="&amp;EOMONTH(Q7,0),#REF!,$B$32)+SUMIFS('1JI2UE'!$K$6:$K$2989,'1JI2UE'!$J$6:$J$2989,"&gt;="&amp;Q7,'1JI2UE'!$J$6:$J$2989,"&lt;="&amp;EOMONTH(Q7,0),'1JI2UE'!$L$6:$L$2989,$B$32)+SUMIFS(#REF!,#REF!,"&gt;="&amp;Q7,#REF!,"&lt;="&amp;EOMONTH(Q7,0),#REF!,$B$32)+SUMIFS('1SI9BW'!$K$6:$K$2989,'1SI9BW'!$J$6:$J$2989,"&gt;="&amp;Q7,'1SI9BW'!$J$6:$J$2989,"&lt;="&amp;EOMONTH(Q7,0),'1SI9BW'!$L$6:$L$2989,$B$32)+SUMIFS(Suzuki!$K$6:$K$2989,Suzuki!$J$6:$J$2989,"&gt;="&amp;Q7,Suzuki!$J$6:$J$2989,"&lt;="&amp;EOMONTH(Q7,0),Suzuki!$L$6:$L$2989,$B$32)+SUMIFS('1SK3DD'!$K$6:$K$2989,'1SK3DD'!$J$6:$J$2989,"&gt;="&amp;Q7,'1SK3DD'!$J$6:$J$2989,"&lt;="&amp;EOMONTH(Q7,0),'1SK3DD'!$L$6:$L$2989,$B$32)+SUMIFS('1SX5TQ'!$K$6:$K$2989,'1SX5TQ'!$J$6:$J$2989,"&gt;="&amp;Q7,'1SX5TQ'!$J$6:$J$2989,"&lt;="&amp;EOMONTH(Q7,0),'1SX5TQ'!$L$6:$L$2989,$B$32)+SUMIFS('BMM465'!$K$6:$K$2989,'BMM465'!$J$6:$J$2989,"&gt;="&amp;Q7,'BMM465'!$J$6:$J$2989,"&lt;="&amp;EOMONTH(Q7,0),'BMM465'!$L$6:$L$2989,$B$32)+SUMIFS('1CF1ZO'!$K$6:$K$2989,'1CF1ZO'!$J$6:$J$2989,"&gt;="&amp;Q7,'1CF1ZO'!$J$6:$J$2989,"&lt;="&amp;EOMONTH(Q7,0),'1CF1ZO'!$L$6:$L$2989,$B$32)+SUMIFS('1UK1BK'!$K$6:$K$2989,'1UK1BK'!$J$6:$J$2989,"&gt;="&amp;Q7,'1UK1BK'!$J$6:$J$2989,"&lt;="&amp;EOMONTH(Q7,0),'1UK1BK'!$L$6:$L$2989,$B$32)</f>
        <v>#REF!</v>
      </c>
      <c r="R32" s="110" t="e">
        <f>SUMIFS('Other Expense'!$G$8:$G$2966,'Other Expense'!$F$8:$F$2966,"&gt;="&amp;R7,'Other Expense'!$F$8:$F$2966,"&lt;="&amp;EOMONTH(R7,0),'Other Expense'!$H$8:$H$2966,$B$32)+SUMIFS('CEI565'!$K$6:$K$2990,'CEI565'!$J$6:$J$2990,"&gt;="&amp;R7,'CEI565'!$J$6:$J$2990,"&lt;="&amp;EOMONTH(R7,0),'CEI565'!$L$6:$L$2990,$B$32)+SUMIFS('1SM3VL'!$K$6:$K$2990,'1SM3VL'!$J$6:$J$2990,"&gt;="&amp;R7,'1SM3VL'!$J$6:$J$2990,"&lt;="&amp;EOMONTH(R7,0),'1SM3VL'!$L$6:$L$2990,$B$32)+SUMIFS('1QF4SM'!$K$6:$K$2989,'1QF4SM'!$J$6:$J$2989,"&gt;="&amp;R7,'1QF4SM'!$J$6:$J$2989,"&lt;="&amp;EOMONTH(R7,0),'1QF4SM'!$L$6:$L$2989,$B$32)+SUMIFS('1UV5KI'!$K$6:$K$2989,'1UV5KI'!$J$6:$J$2989,"&gt;="&amp;R7,'1UV5KI'!$J$6:$J$2989,"&lt;="&amp;EOMONTH(R7,0),'1UV5KI'!$L$6:$L$2989,$B$32)+SUMIFS(#REF!,#REF!,"&gt;="&amp;R7,#REF!,"&lt;="&amp;EOMONTH(R7,0),#REF!,$B$32)+SUMIFS('1UL9RY'!$K$6:$K$2990,'1UL9RY'!$J$6:$J$2990,"&gt;="&amp;R7,'1UL9RY'!$J$6:$J$2990,"&lt;="&amp;EOMONTH(R7,0),'1UL9RY'!$L$6:$L$2990,$B$32)+SUMIFS('1OZ7GT'!$K$6:$K$2989,'1OZ7GT'!$J$6:$J$2989,"&gt;="&amp;R7,'1OZ7GT'!$J$6:$J$2989,"&lt;="&amp;EOMONTH(R7,0),'1OZ7GT'!$L$6:$L$2989,$B$32)+SUMIFS('1CN8DD'!$K$6:$K$2989,'1CN8DD'!$J$6:$J$2989,"&gt;="&amp;R7,'1CN8DD'!$J$6:$J$2989,"&lt;="&amp;EOMONTH(R7,0),'1CN8DD'!$L$6:$L$2989,$B$32)+SUMIFS('1UT9BR'!$K$6:$K$2990,'1UT9BR'!$J$6:$J$2990,"&gt;="&amp;R7,'1UT9BR'!$J$6:$J$2990,"&lt;="&amp;EOMONTH(R7,0),'1UT9BR'!$L$6:$L$2990,$B$32)+SUMIFS('1MK4UR'!$K$6:$K$2990,'1MK4UR'!$J$6:$J$2990,"&gt;="&amp;R7,'1MK4UR'!$J$6:$J$2990,"&lt;="&amp;EOMONTH(R7,0),'1MK4UR'!$L$6:$L$2990,$B$32)+SUMIFS(#REF!,#REF!,"&gt;="&amp;R7,#REF!,"&lt;="&amp;EOMONTH(R7,0),#REF!,$B$32)+SUMIFS('1JI2UE'!$K$6:$K$2989,'1JI2UE'!$J$6:$J$2989,"&gt;="&amp;R7,'1JI2UE'!$J$6:$J$2989,"&lt;="&amp;EOMONTH(R7,0),'1JI2UE'!$L$6:$L$2989,$B$32)+SUMIFS(#REF!,#REF!,"&gt;="&amp;R7,#REF!,"&lt;="&amp;EOMONTH(R7,0),#REF!,$B$32)+SUMIFS('1SI9BW'!$K$6:$K$2989,'1SI9BW'!$J$6:$J$2989,"&gt;="&amp;R7,'1SI9BW'!$J$6:$J$2989,"&lt;="&amp;EOMONTH(R7,0),'1SI9BW'!$L$6:$L$2989,$B$32)+SUMIFS(Suzuki!$K$6:$K$2989,Suzuki!$J$6:$J$2989,"&gt;="&amp;R7,Suzuki!$J$6:$J$2989,"&lt;="&amp;EOMONTH(R7,0),Suzuki!$L$6:$L$2989,$B$32)+SUMIFS('1SK3DD'!$K$6:$K$2989,'1SK3DD'!$J$6:$J$2989,"&gt;="&amp;R7,'1SK3DD'!$J$6:$J$2989,"&lt;="&amp;EOMONTH(R7,0),'1SK3DD'!$L$6:$L$2989,$B$32)+SUMIFS('1SX5TQ'!$K$6:$K$2989,'1SX5TQ'!$J$6:$J$2989,"&gt;="&amp;R7,'1SX5TQ'!$J$6:$J$2989,"&lt;="&amp;EOMONTH(R7,0),'1SX5TQ'!$L$6:$L$2989,$B$32)+SUMIFS('BMM465'!$K$6:$K$2989,'BMM465'!$J$6:$J$2989,"&gt;="&amp;R7,'BMM465'!$J$6:$J$2989,"&lt;="&amp;EOMONTH(R7,0),'BMM465'!$L$6:$L$2989,$B$32)+SUMIFS('1CF1ZO'!$K$6:$K$2989,'1CF1ZO'!$J$6:$J$2989,"&gt;="&amp;R7,'1CF1ZO'!$J$6:$J$2989,"&lt;="&amp;EOMONTH(R7,0),'1CF1ZO'!$L$6:$L$2989,$B$32)+SUMIFS('1UK1BK'!$K$6:$K$2989,'1UK1BK'!$J$6:$J$2989,"&gt;="&amp;R7,'1UK1BK'!$J$6:$J$2989,"&lt;="&amp;EOMONTH(R7,0),'1UK1BK'!$L$6:$L$2989,$B$32)</f>
        <v>#REF!</v>
      </c>
      <c r="S32" s="110" t="e">
        <f>SUMIFS('Other Expense'!$G$8:$G$2966,'Other Expense'!$F$8:$F$2966,"&gt;="&amp;S7,'Other Expense'!$F$8:$F$2966,"&lt;="&amp;EOMONTH(S7,0),'Other Expense'!$H$8:$H$2966,$B$32)+SUMIFS('CEI565'!$K$6:$K$2990,'CEI565'!$J$6:$J$2990,"&gt;="&amp;S7,'CEI565'!$J$6:$J$2990,"&lt;="&amp;EOMONTH(S7,0),'CEI565'!$L$6:$L$2990,$B$32)+SUMIFS('1SM3VL'!$K$6:$K$2990,'1SM3VL'!$J$6:$J$2990,"&gt;="&amp;S7,'1SM3VL'!$J$6:$J$2990,"&lt;="&amp;EOMONTH(S7,0),'1SM3VL'!$L$6:$L$2990,$B$32)+SUMIFS('1QF4SM'!$K$6:$K$2989,'1QF4SM'!$J$6:$J$2989,"&gt;="&amp;S7,'1QF4SM'!$J$6:$J$2989,"&lt;="&amp;EOMONTH(S7,0),'1QF4SM'!$L$6:$L$2989,$B$32)+SUMIFS('1UV5KI'!$K$6:$K$2989,'1UV5KI'!$J$6:$J$2989,"&gt;="&amp;S7,'1UV5KI'!$J$6:$J$2989,"&lt;="&amp;EOMONTH(S7,0),'1UV5KI'!$L$6:$L$2989,$B$32)+SUMIFS(#REF!,#REF!,"&gt;="&amp;S7,#REF!,"&lt;="&amp;EOMONTH(S7,0),#REF!,$B$32)+SUMIFS('1UL9RY'!$K$6:$K$2990,'1UL9RY'!$J$6:$J$2990,"&gt;="&amp;S7,'1UL9RY'!$J$6:$J$2990,"&lt;="&amp;EOMONTH(S7,0),'1UL9RY'!$L$6:$L$2990,$B$32)+SUMIFS('1OZ7GT'!$K$6:$K$2989,'1OZ7GT'!$J$6:$J$2989,"&gt;="&amp;S7,'1OZ7GT'!$J$6:$J$2989,"&lt;="&amp;EOMONTH(S7,0),'1OZ7GT'!$L$6:$L$2989,$B$32)+SUMIFS('1CN8DD'!$K$6:$K$2989,'1CN8DD'!$J$6:$J$2989,"&gt;="&amp;S7,'1CN8DD'!$J$6:$J$2989,"&lt;="&amp;EOMONTH(S7,0),'1CN8DD'!$L$6:$L$2989,$B$32)+SUMIFS('1UT9BR'!$K$6:$K$2990,'1UT9BR'!$J$6:$J$2990,"&gt;="&amp;S7,'1UT9BR'!$J$6:$J$2990,"&lt;="&amp;EOMONTH(S7,0),'1UT9BR'!$L$6:$L$2990,$B$32)+SUMIFS('1MK4UR'!$K$6:$K$2990,'1MK4UR'!$J$6:$J$2990,"&gt;="&amp;S7,'1MK4UR'!$J$6:$J$2990,"&lt;="&amp;EOMONTH(S7,0),'1MK4UR'!$L$6:$L$2990,$B$32)+SUMIFS(#REF!,#REF!,"&gt;="&amp;S7,#REF!,"&lt;="&amp;EOMONTH(S7,0),#REF!,$B$32)+SUMIFS('1JI2UE'!$K$6:$K$2989,'1JI2UE'!$J$6:$J$2989,"&gt;="&amp;S7,'1JI2UE'!$J$6:$J$2989,"&lt;="&amp;EOMONTH(S7,0),'1JI2UE'!$L$6:$L$2989,$B$32)+SUMIFS(#REF!,#REF!,"&gt;="&amp;S7,#REF!,"&lt;="&amp;EOMONTH(S7,0),#REF!,$B$32)+SUMIFS('1SI9BW'!$K$6:$K$2989,'1SI9BW'!$J$6:$J$2989,"&gt;="&amp;S7,'1SI9BW'!$J$6:$J$2989,"&lt;="&amp;EOMONTH(S7,0),'1SI9BW'!$L$6:$L$2989,$B$32)+SUMIFS(Suzuki!$K$6:$K$2989,Suzuki!$J$6:$J$2989,"&gt;="&amp;S7,Suzuki!$J$6:$J$2989,"&lt;="&amp;EOMONTH(S7,0),Suzuki!$L$6:$L$2989,$B$32)+SUMIFS('1SK3DD'!$K$6:$K$2989,'1SK3DD'!$J$6:$J$2989,"&gt;="&amp;S7,'1SK3DD'!$J$6:$J$2989,"&lt;="&amp;EOMONTH(S7,0),'1SK3DD'!$L$6:$L$2989,$B$32)+SUMIFS('1SX5TQ'!$K$6:$K$2989,'1SX5TQ'!$J$6:$J$2989,"&gt;="&amp;S7,'1SX5TQ'!$J$6:$J$2989,"&lt;="&amp;EOMONTH(S7,0),'1SX5TQ'!$L$6:$L$2989,$B$32)+SUMIFS('BMM465'!$K$6:$K$2989,'BMM465'!$J$6:$J$2989,"&gt;="&amp;S7,'BMM465'!$J$6:$J$2989,"&lt;="&amp;EOMONTH(S7,0),'BMM465'!$L$6:$L$2989,$B$32)+SUMIFS('1CF1ZO'!$K$6:$K$2989,'1CF1ZO'!$J$6:$J$2989,"&gt;="&amp;S7,'1CF1ZO'!$J$6:$J$2989,"&lt;="&amp;EOMONTH(S7,0),'1CF1ZO'!$L$6:$L$2989,$B$32)+SUMIFS('1UK1BK'!$K$6:$K$2989,'1UK1BK'!$J$6:$J$2989,"&gt;="&amp;S7,'1UK1BK'!$J$6:$J$2989,"&lt;="&amp;EOMONTH(S7,0),'1UK1BK'!$L$6:$L$2989,$B$32)</f>
        <v>#REF!</v>
      </c>
      <c r="T32" s="110" t="e">
        <f>SUMIFS('Other Expense'!$G$8:$G$2966,'Other Expense'!$F$8:$F$2966,"&gt;="&amp;T7,'Other Expense'!$F$8:$F$2966,"&lt;="&amp;EOMONTH(T7,0),'Other Expense'!$H$8:$H$2966,$B$32)+SUMIFS('CEI565'!$K$6:$K$2990,'CEI565'!$J$6:$J$2990,"&gt;="&amp;T7,'CEI565'!$J$6:$J$2990,"&lt;="&amp;EOMONTH(T7,0),'CEI565'!$L$6:$L$2990,$B$32)+SUMIFS('1SM3VL'!$K$6:$K$2990,'1SM3VL'!$J$6:$J$2990,"&gt;="&amp;T7,'1SM3VL'!$J$6:$J$2990,"&lt;="&amp;EOMONTH(T7,0),'1SM3VL'!$L$6:$L$2990,$B$32)+SUMIFS('1QF4SM'!$K$6:$K$2989,'1QF4SM'!$J$6:$J$2989,"&gt;="&amp;T7,'1QF4SM'!$J$6:$J$2989,"&lt;="&amp;EOMONTH(T7,0),'1QF4SM'!$L$6:$L$2989,$B$32)+SUMIFS('1UV5KI'!$K$6:$K$2989,'1UV5KI'!$J$6:$J$2989,"&gt;="&amp;T7,'1UV5KI'!$J$6:$J$2989,"&lt;="&amp;EOMONTH(T7,0),'1UV5KI'!$L$6:$L$2989,$B$32)+SUMIFS(#REF!,#REF!,"&gt;="&amp;T7,#REF!,"&lt;="&amp;EOMONTH(T7,0),#REF!,$B$32)+SUMIFS('1UL9RY'!$K$6:$K$2990,'1UL9RY'!$J$6:$J$2990,"&gt;="&amp;T7,'1UL9RY'!$J$6:$J$2990,"&lt;="&amp;EOMONTH(T7,0),'1UL9RY'!$L$6:$L$2990,$B$32)+SUMIFS('1OZ7GT'!$K$6:$K$2989,'1OZ7GT'!$J$6:$J$2989,"&gt;="&amp;T7,'1OZ7GT'!$J$6:$J$2989,"&lt;="&amp;EOMONTH(T7,0),'1OZ7GT'!$L$6:$L$2989,$B$32)+SUMIFS('1CN8DD'!$K$6:$K$2989,'1CN8DD'!$J$6:$J$2989,"&gt;="&amp;T7,'1CN8DD'!$J$6:$J$2989,"&lt;="&amp;EOMONTH(T7,0),'1CN8DD'!$L$6:$L$2989,$B$32)+SUMIFS('1UT9BR'!$K$6:$K$2990,'1UT9BR'!$J$6:$J$2990,"&gt;="&amp;T7,'1UT9BR'!$J$6:$J$2990,"&lt;="&amp;EOMONTH(T7,0),'1UT9BR'!$L$6:$L$2990,$B$32)+SUMIFS('1MK4UR'!$K$6:$K$2990,'1MK4UR'!$J$6:$J$2990,"&gt;="&amp;T7,'1MK4UR'!$J$6:$J$2990,"&lt;="&amp;EOMONTH(T7,0),'1MK4UR'!$L$6:$L$2990,$B$32)+SUMIFS(#REF!,#REF!,"&gt;="&amp;T7,#REF!,"&lt;="&amp;EOMONTH(T7,0),#REF!,$B$32)+SUMIFS('1JI2UE'!$K$6:$K$2989,'1JI2UE'!$J$6:$J$2989,"&gt;="&amp;T7,'1JI2UE'!$J$6:$J$2989,"&lt;="&amp;EOMONTH(T7,0),'1JI2UE'!$L$6:$L$2989,$B$32)+SUMIFS(#REF!,#REF!,"&gt;="&amp;T7,#REF!,"&lt;="&amp;EOMONTH(T7,0),#REF!,$B$32)+SUMIFS('1SI9BW'!$K$6:$K$2989,'1SI9BW'!$J$6:$J$2989,"&gt;="&amp;T7,'1SI9BW'!$J$6:$J$2989,"&lt;="&amp;EOMONTH(T7,0),'1SI9BW'!$L$6:$L$2989,$B$32)+SUMIFS(Suzuki!$K$6:$K$2989,Suzuki!$J$6:$J$2989,"&gt;="&amp;T7,Suzuki!$J$6:$J$2989,"&lt;="&amp;EOMONTH(T7,0),Suzuki!$L$6:$L$2989,$B$32)+SUMIFS('1SK3DD'!$K$6:$K$2989,'1SK3DD'!$J$6:$J$2989,"&gt;="&amp;T7,'1SK3DD'!$J$6:$J$2989,"&lt;="&amp;EOMONTH(T7,0),'1SK3DD'!$L$6:$L$2989,$B$32)+SUMIFS('1SX5TQ'!$K$6:$K$2989,'1SX5TQ'!$J$6:$J$2989,"&gt;="&amp;T7,'1SX5TQ'!$J$6:$J$2989,"&lt;="&amp;EOMONTH(T7,0),'1SX5TQ'!$L$6:$L$2989,$B$32)+SUMIFS('BMM465'!$K$6:$K$2989,'BMM465'!$J$6:$J$2989,"&gt;="&amp;T7,'BMM465'!$J$6:$J$2989,"&lt;="&amp;EOMONTH(T7,0),'BMM465'!$L$6:$L$2989,$B$32)+SUMIFS('1CF1ZO'!$K$6:$K$2989,'1CF1ZO'!$J$6:$J$2989,"&gt;="&amp;T7,'1CF1ZO'!$J$6:$J$2989,"&lt;="&amp;EOMONTH(T7,0),'1CF1ZO'!$L$6:$L$2989,$B$32)+SUMIFS('1UK1BK'!$K$6:$K$2989,'1UK1BK'!$J$6:$J$2989,"&gt;="&amp;T7,'1UK1BK'!$J$6:$J$2989,"&lt;="&amp;EOMONTH(T7,0),'1UK1BK'!$L$6:$L$2989,$B$32)</f>
        <v>#REF!</v>
      </c>
      <c r="U32" s="110" t="e">
        <f>SUMIFS('Other Expense'!$G$8:$G$2966,'Other Expense'!$F$8:$F$2966,"&gt;="&amp;U7,'Other Expense'!$F$8:$F$2966,"&lt;="&amp;EOMONTH(U7,0),'Other Expense'!$H$8:$H$2966,$B$32)+SUMIFS('CEI565'!$K$6:$K$2990,'CEI565'!$J$6:$J$2990,"&gt;="&amp;U7,'CEI565'!$J$6:$J$2990,"&lt;="&amp;EOMONTH(U7,0),'CEI565'!$L$6:$L$2990,$B$32)+SUMIFS('1SM3VL'!$K$6:$K$2990,'1SM3VL'!$J$6:$J$2990,"&gt;="&amp;U7,'1SM3VL'!$J$6:$J$2990,"&lt;="&amp;EOMONTH(U7,0),'1SM3VL'!$L$6:$L$2990,$B$32)+SUMIFS('1QF4SM'!$K$6:$K$2989,'1QF4SM'!$J$6:$J$2989,"&gt;="&amp;U7,'1QF4SM'!$J$6:$J$2989,"&lt;="&amp;EOMONTH(U7,0),'1QF4SM'!$L$6:$L$2989,$B$32)+SUMIFS('1UV5KI'!$K$6:$K$2989,'1UV5KI'!$J$6:$J$2989,"&gt;="&amp;U7,'1UV5KI'!$J$6:$J$2989,"&lt;="&amp;EOMONTH(U7,0),'1UV5KI'!$L$6:$L$2989,$B$32)+SUMIFS(#REF!,#REF!,"&gt;="&amp;U7,#REF!,"&lt;="&amp;EOMONTH(U7,0),#REF!,$B$32)+SUMIFS('1UL9RY'!$K$6:$K$2990,'1UL9RY'!$J$6:$J$2990,"&gt;="&amp;U7,'1UL9RY'!$J$6:$J$2990,"&lt;="&amp;EOMONTH(U7,0),'1UL9RY'!$L$6:$L$2990,$B$32)+SUMIFS('1OZ7GT'!$K$6:$K$2989,'1OZ7GT'!$J$6:$J$2989,"&gt;="&amp;U7,'1OZ7GT'!$J$6:$J$2989,"&lt;="&amp;EOMONTH(U7,0),'1OZ7GT'!$L$6:$L$2989,$B$32)+SUMIFS('1CN8DD'!$K$6:$K$2989,'1CN8DD'!$J$6:$J$2989,"&gt;="&amp;U7,'1CN8DD'!$J$6:$J$2989,"&lt;="&amp;EOMONTH(U7,0),'1CN8DD'!$L$6:$L$2989,$B$32)+SUMIFS('1UT9BR'!$K$6:$K$2990,'1UT9BR'!$J$6:$J$2990,"&gt;="&amp;U7,'1UT9BR'!$J$6:$J$2990,"&lt;="&amp;EOMONTH(U7,0),'1UT9BR'!$L$6:$L$2990,$B$32)+SUMIFS('1MK4UR'!$K$6:$K$2990,'1MK4UR'!$J$6:$J$2990,"&gt;="&amp;U7,'1MK4UR'!$J$6:$J$2990,"&lt;="&amp;EOMONTH(U7,0),'1MK4UR'!$L$6:$L$2990,$B$32)+SUMIFS(#REF!,#REF!,"&gt;="&amp;U7,#REF!,"&lt;="&amp;EOMONTH(U7,0),#REF!,$B$32)+SUMIFS('1JI2UE'!$K$6:$K$2989,'1JI2UE'!$J$6:$J$2989,"&gt;="&amp;U7,'1JI2UE'!$J$6:$J$2989,"&lt;="&amp;EOMONTH(U7,0),'1JI2UE'!$L$6:$L$2989,$B$32)+SUMIFS(#REF!,#REF!,"&gt;="&amp;U7,#REF!,"&lt;="&amp;EOMONTH(U7,0),#REF!,$B$32)+SUMIFS('1SI9BW'!$K$6:$K$2989,'1SI9BW'!$J$6:$J$2989,"&gt;="&amp;U7,'1SI9BW'!$J$6:$J$2989,"&lt;="&amp;EOMONTH(U7,0),'1SI9BW'!$L$6:$L$2989,$B$32)+SUMIFS(Suzuki!$K$6:$K$2989,Suzuki!$J$6:$J$2989,"&gt;="&amp;U7,Suzuki!$J$6:$J$2989,"&lt;="&amp;EOMONTH(U7,0),Suzuki!$L$6:$L$2989,$B$32)+SUMIFS('1SK3DD'!$K$6:$K$2989,'1SK3DD'!$J$6:$J$2989,"&gt;="&amp;U7,'1SK3DD'!$J$6:$J$2989,"&lt;="&amp;EOMONTH(U7,0),'1SK3DD'!$L$6:$L$2989,$B$32)+SUMIFS('1SX5TQ'!$K$6:$K$2989,'1SX5TQ'!$J$6:$J$2989,"&gt;="&amp;U7,'1SX5TQ'!$J$6:$J$2989,"&lt;="&amp;EOMONTH(U7,0),'1SX5TQ'!$L$6:$L$2989,$B$32)+SUMIFS('BMM465'!$K$6:$K$2989,'BMM465'!$J$6:$J$2989,"&gt;="&amp;U7,'BMM465'!$J$6:$J$2989,"&lt;="&amp;EOMONTH(U7,0),'BMM465'!$L$6:$L$2989,$B$32)+SUMIFS('1CF1ZO'!$K$6:$K$2989,'1CF1ZO'!$J$6:$J$2989,"&gt;="&amp;U7,'1CF1ZO'!$J$6:$J$2989,"&lt;="&amp;EOMONTH(U7,0),'1CF1ZO'!$L$6:$L$2989,$B$32)+SUMIFS('1UK1BK'!$K$6:$K$2989,'1UK1BK'!$J$6:$J$2989,"&gt;="&amp;U7,'1UK1BK'!$J$6:$J$2989,"&lt;="&amp;EOMONTH(U7,0),'1UK1BK'!$L$6:$L$2989,$B$32)</f>
        <v>#REF!</v>
      </c>
      <c r="V32" s="110" t="e">
        <f>SUMIFS('Other Expense'!$G$8:$G$2966,'Other Expense'!$F$8:$F$2966,"&gt;="&amp;V7,'Other Expense'!$F$8:$F$2966,"&lt;="&amp;EOMONTH(V7,0),'Other Expense'!$H$8:$H$2966,$B$32)+SUMIFS('CEI565'!$K$6:$K$2990,'CEI565'!$J$6:$J$2990,"&gt;="&amp;V7,'CEI565'!$J$6:$J$2990,"&lt;="&amp;EOMONTH(V7,0),'CEI565'!$L$6:$L$2990,$B$32)+SUMIFS('1SM3VL'!$K$6:$K$2990,'1SM3VL'!$J$6:$J$2990,"&gt;="&amp;V7,'1SM3VL'!$J$6:$J$2990,"&lt;="&amp;EOMONTH(V7,0),'1SM3VL'!$L$6:$L$2990,$B$32)+SUMIFS('1QF4SM'!$K$6:$K$2989,'1QF4SM'!$J$6:$J$2989,"&gt;="&amp;V7,'1QF4SM'!$J$6:$J$2989,"&lt;="&amp;EOMONTH(V7,0),'1QF4SM'!$L$6:$L$2989,$B$32)+SUMIFS('1UV5KI'!$K$6:$K$2989,'1UV5KI'!$J$6:$J$2989,"&gt;="&amp;V7,'1UV5KI'!$J$6:$J$2989,"&lt;="&amp;EOMONTH(V7,0),'1UV5KI'!$L$6:$L$2989,$B$32)+SUMIFS(#REF!,#REF!,"&gt;="&amp;V7,#REF!,"&lt;="&amp;EOMONTH(V7,0),#REF!,$B$32)+SUMIFS('1UL9RY'!$K$6:$K$2990,'1UL9RY'!$J$6:$J$2990,"&gt;="&amp;V7,'1UL9RY'!$J$6:$J$2990,"&lt;="&amp;EOMONTH(V7,0),'1UL9RY'!$L$6:$L$2990,$B$32)+SUMIFS('1OZ7GT'!$K$6:$K$2989,'1OZ7GT'!$J$6:$J$2989,"&gt;="&amp;V7,'1OZ7GT'!$J$6:$J$2989,"&lt;="&amp;EOMONTH(V7,0),'1OZ7GT'!$L$6:$L$2989,$B$32)+SUMIFS('1CN8DD'!$K$6:$K$2989,'1CN8DD'!$J$6:$J$2989,"&gt;="&amp;V7,'1CN8DD'!$J$6:$J$2989,"&lt;="&amp;EOMONTH(V7,0),'1CN8DD'!$L$6:$L$2989,$B$32)+SUMIFS('1UT9BR'!$K$6:$K$2990,'1UT9BR'!$J$6:$J$2990,"&gt;="&amp;V7,'1UT9BR'!$J$6:$J$2990,"&lt;="&amp;EOMONTH(V7,0),'1UT9BR'!$L$6:$L$2990,$B$32)+SUMIFS('1MK4UR'!$K$6:$K$2990,'1MK4UR'!$J$6:$J$2990,"&gt;="&amp;V7,'1MK4UR'!$J$6:$J$2990,"&lt;="&amp;EOMONTH(V7,0),'1MK4UR'!$L$6:$L$2990,$B$32)+SUMIFS(#REF!,#REF!,"&gt;="&amp;V7,#REF!,"&lt;="&amp;EOMONTH(V7,0),#REF!,$B$32)+SUMIFS('1JI2UE'!$K$6:$K$2989,'1JI2UE'!$J$6:$J$2989,"&gt;="&amp;V7,'1JI2UE'!$J$6:$J$2989,"&lt;="&amp;EOMONTH(V7,0),'1JI2UE'!$L$6:$L$2989,$B$32)+SUMIFS(#REF!,#REF!,"&gt;="&amp;V7,#REF!,"&lt;="&amp;EOMONTH(V7,0),#REF!,$B$32)+SUMIFS('1SI9BW'!$K$6:$K$2989,'1SI9BW'!$J$6:$J$2989,"&gt;="&amp;V7,'1SI9BW'!$J$6:$J$2989,"&lt;="&amp;EOMONTH(V7,0),'1SI9BW'!$L$6:$L$2989,$B$32)+SUMIFS(Suzuki!$K$6:$K$2989,Suzuki!$J$6:$J$2989,"&gt;="&amp;V7,Suzuki!$J$6:$J$2989,"&lt;="&amp;EOMONTH(V7,0),Suzuki!$L$6:$L$2989,$B$32)+SUMIFS('1SK3DD'!$K$6:$K$2989,'1SK3DD'!$J$6:$J$2989,"&gt;="&amp;V7,'1SK3DD'!$J$6:$J$2989,"&lt;="&amp;EOMONTH(V7,0),'1SK3DD'!$L$6:$L$2989,$B$32)+SUMIFS('1SX5TQ'!$K$6:$K$2989,'1SX5TQ'!$J$6:$J$2989,"&gt;="&amp;V7,'1SX5TQ'!$J$6:$J$2989,"&lt;="&amp;EOMONTH(V7,0),'1SX5TQ'!$L$6:$L$2989,$B$32)+SUMIFS('BMM465'!$K$6:$K$2989,'BMM465'!$J$6:$J$2989,"&gt;="&amp;V7,'BMM465'!$J$6:$J$2989,"&lt;="&amp;EOMONTH(V7,0),'BMM465'!$L$6:$L$2989,$B$32)+SUMIFS('1CF1ZO'!$K$6:$K$2989,'1CF1ZO'!$J$6:$J$2989,"&gt;="&amp;V7,'1CF1ZO'!$J$6:$J$2989,"&lt;="&amp;EOMONTH(V7,0),'1CF1ZO'!$L$6:$L$2989,$B$32)+SUMIFS('1UK1BK'!$K$6:$K$2989,'1UK1BK'!$J$6:$J$2989,"&gt;="&amp;V7,'1UK1BK'!$J$6:$J$2989,"&lt;="&amp;EOMONTH(V7,0),'1UK1BK'!$L$6:$L$2989,$B$32)</f>
        <v>#REF!</v>
      </c>
      <c r="W32" s="110" t="e">
        <f>SUMIFS('Other Expense'!$G$8:$G$2966,'Other Expense'!$F$8:$F$2966,"&gt;="&amp;W7,'Other Expense'!$F$8:$F$2966,"&lt;="&amp;EOMONTH(W7,0),'Other Expense'!$H$8:$H$2966,$B$32)+SUMIFS('CEI565'!$K$6:$K$2990,'CEI565'!$J$6:$J$2990,"&gt;="&amp;W7,'CEI565'!$J$6:$J$2990,"&lt;="&amp;EOMONTH(W7,0),'CEI565'!$L$6:$L$2990,$B$32)+SUMIFS('1SM3VL'!$K$6:$K$2990,'1SM3VL'!$J$6:$J$2990,"&gt;="&amp;W7,'1SM3VL'!$J$6:$J$2990,"&lt;="&amp;EOMONTH(W7,0),'1SM3VL'!$L$6:$L$2990,$B$32)+SUMIFS('1QF4SM'!$K$6:$K$2989,'1QF4SM'!$J$6:$J$2989,"&gt;="&amp;W7,'1QF4SM'!$J$6:$J$2989,"&lt;="&amp;EOMONTH(W7,0),'1QF4SM'!$L$6:$L$2989,$B$32)+SUMIFS('1UV5KI'!$K$6:$K$2989,'1UV5KI'!$J$6:$J$2989,"&gt;="&amp;W7,'1UV5KI'!$J$6:$J$2989,"&lt;="&amp;EOMONTH(W7,0),'1UV5KI'!$L$6:$L$2989,$B$32)+SUMIFS(#REF!,#REF!,"&gt;="&amp;W7,#REF!,"&lt;="&amp;EOMONTH(W7,0),#REF!,$B$32)+SUMIFS('1UL9RY'!$K$6:$K$2990,'1UL9RY'!$J$6:$J$2990,"&gt;="&amp;W7,'1UL9RY'!$J$6:$J$2990,"&lt;="&amp;EOMONTH(W7,0),'1UL9RY'!$L$6:$L$2990,$B$32)+SUMIFS('1OZ7GT'!$K$6:$K$2989,'1OZ7GT'!$J$6:$J$2989,"&gt;="&amp;W7,'1OZ7GT'!$J$6:$J$2989,"&lt;="&amp;EOMONTH(W7,0),'1OZ7GT'!$L$6:$L$2989,$B$32)+SUMIFS('1CN8DD'!$K$6:$K$2989,'1CN8DD'!$J$6:$J$2989,"&gt;="&amp;W7,'1CN8DD'!$J$6:$J$2989,"&lt;="&amp;EOMONTH(W7,0),'1CN8DD'!$L$6:$L$2989,$B$32)+SUMIFS('1UT9BR'!$K$6:$K$2990,'1UT9BR'!$J$6:$J$2990,"&gt;="&amp;W7,'1UT9BR'!$J$6:$J$2990,"&lt;="&amp;EOMONTH(W7,0),'1UT9BR'!$L$6:$L$2990,$B$32)+SUMIFS('1MK4UR'!$K$6:$K$2990,'1MK4UR'!$J$6:$J$2990,"&gt;="&amp;W7,'1MK4UR'!$J$6:$J$2990,"&lt;="&amp;EOMONTH(W7,0),'1MK4UR'!$L$6:$L$2990,$B$32)+SUMIFS(#REF!,#REF!,"&gt;="&amp;W7,#REF!,"&lt;="&amp;EOMONTH(W7,0),#REF!,$B$32)+SUMIFS('1JI2UE'!$K$6:$K$2989,'1JI2UE'!$J$6:$J$2989,"&gt;="&amp;W7,'1JI2UE'!$J$6:$J$2989,"&lt;="&amp;EOMONTH(W7,0),'1JI2UE'!$L$6:$L$2989,$B$32)+SUMIFS(#REF!,#REF!,"&gt;="&amp;W7,#REF!,"&lt;="&amp;EOMONTH(W7,0),#REF!,$B$32)+SUMIFS('1SI9BW'!$K$6:$K$2989,'1SI9BW'!$J$6:$J$2989,"&gt;="&amp;W7,'1SI9BW'!$J$6:$J$2989,"&lt;="&amp;EOMONTH(W7,0),'1SI9BW'!$L$6:$L$2989,$B$32)+SUMIFS(Suzuki!$K$6:$K$2989,Suzuki!$J$6:$J$2989,"&gt;="&amp;W7,Suzuki!$J$6:$J$2989,"&lt;="&amp;EOMONTH(W7,0),Suzuki!$L$6:$L$2989,$B$32)+SUMIFS('1SK3DD'!$K$6:$K$2989,'1SK3DD'!$J$6:$J$2989,"&gt;="&amp;W7,'1SK3DD'!$J$6:$J$2989,"&lt;="&amp;EOMONTH(W7,0),'1SK3DD'!$L$6:$L$2989,$B$32)+SUMIFS('1SX5TQ'!$K$6:$K$2989,'1SX5TQ'!$J$6:$J$2989,"&gt;="&amp;W7,'1SX5TQ'!$J$6:$J$2989,"&lt;="&amp;EOMONTH(W7,0),'1SX5TQ'!$L$6:$L$2989,$B$32)+SUMIFS('BMM465'!$K$6:$K$2989,'BMM465'!$J$6:$J$2989,"&gt;="&amp;W7,'BMM465'!$J$6:$J$2989,"&lt;="&amp;EOMONTH(W7,0),'BMM465'!$L$6:$L$2989,$B$32)+SUMIFS('1CF1ZO'!$K$6:$K$2989,'1CF1ZO'!$J$6:$J$2989,"&gt;="&amp;W7,'1CF1ZO'!$J$6:$J$2989,"&lt;="&amp;EOMONTH(W7,0),'1CF1ZO'!$L$6:$L$2989,$B$32)+SUMIFS('1UK1BK'!$K$6:$K$2989,'1UK1BK'!$J$6:$J$2989,"&gt;="&amp;W7,'1UK1BK'!$J$6:$J$2989,"&lt;="&amp;EOMONTH(W7,0),'1UK1BK'!$L$6:$L$2989,$B$32)</f>
        <v>#REF!</v>
      </c>
      <c r="X32" s="110" t="e">
        <f>SUMIFS('Other Expense'!$G$8:$G$2966,'Other Expense'!$F$8:$F$2966,"&gt;="&amp;X7,'Other Expense'!$F$8:$F$2966,"&lt;="&amp;EOMONTH(X7,0),'Other Expense'!$H$8:$H$2966,$B$32)+SUMIFS('CEI565'!$K$6:$K$2990,'CEI565'!$J$6:$J$2990,"&gt;="&amp;X7,'CEI565'!$J$6:$J$2990,"&lt;="&amp;EOMONTH(X7,0),'CEI565'!$L$6:$L$2990,$B$32)+SUMIFS('1SM3VL'!$K$6:$K$2990,'1SM3VL'!$J$6:$J$2990,"&gt;="&amp;X7,'1SM3VL'!$J$6:$J$2990,"&lt;="&amp;EOMONTH(X7,0),'1SM3VL'!$L$6:$L$2990,$B$32)+SUMIFS('1QF4SM'!$K$6:$K$2989,'1QF4SM'!$J$6:$J$2989,"&gt;="&amp;X7,'1QF4SM'!$J$6:$J$2989,"&lt;="&amp;EOMONTH(X7,0),'1QF4SM'!$L$6:$L$2989,$B$32)+SUMIFS('1UV5KI'!$K$6:$K$2989,'1UV5KI'!$J$6:$J$2989,"&gt;="&amp;X7,'1UV5KI'!$J$6:$J$2989,"&lt;="&amp;EOMONTH(X7,0),'1UV5KI'!$L$6:$L$2989,$B$32)+SUMIFS(#REF!,#REF!,"&gt;="&amp;X7,#REF!,"&lt;="&amp;EOMONTH(X7,0),#REF!,$B$32)+SUMIFS('1UL9RY'!$K$6:$K$2990,'1UL9RY'!$J$6:$J$2990,"&gt;="&amp;X7,'1UL9RY'!$J$6:$J$2990,"&lt;="&amp;EOMONTH(X7,0),'1UL9RY'!$L$6:$L$2990,$B$32)+SUMIFS('1OZ7GT'!$K$6:$K$2989,'1OZ7GT'!$J$6:$J$2989,"&gt;="&amp;X7,'1OZ7GT'!$J$6:$J$2989,"&lt;="&amp;EOMONTH(X7,0),'1OZ7GT'!$L$6:$L$2989,$B$32)+SUMIFS('1CN8DD'!$K$6:$K$2989,'1CN8DD'!$J$6:$J$2989,"&gt;="&amp;X7,'1CN8DD'!$J$6:$J$2989,"&lt;="&amp;EOMONTH(X7,0),'1CN8DD'!$L$6:$L$2989,$B$32)+SUMIFS('1UT9BR'!$K$6:$K$2990,'1UT9BR'!$J$6:$J$2990,"&gt;="&amp;X7,'1UT9BR'!$J$6:$J$2990,"&lt;="&amp;EOMONTH(X7,0),'1UT9BR'!$L$6:$L$2990,$B$32)+SUMIFS('1MK4UR'!$K$6:$K$2990,'1MK4UR'!$J$6:$J$2990,"&gt;="&amp;X7,'1MK4UR'!$J$6:$J$2990,"&lt;="&amp;EOMONTH(X7,0),'1MK4UR'!$L$6:$L$2990,$B$32)+SUMIFS(#REF!,#REF!,"&gt;="&amp;X7,#REF!,"&lt;="&amp;EOMONTH(X7,0),#REF!,$B$32)+SUMIFS('1JI2UE'!$K$6:$K$2989,'1JI2UE'!$J$6:$J$2989,"&gt;="&amp;X7,'1JI2UE'!$J$6:$J$2989,"&lt;="&amp;EOMONTH(X7,0),'1JI2UE'!$L$6:$L$2989,$B$32)+SUMIFS(#REF!,#REF!,"&gt;="&amp;X7,#REF!,"&lt;="&amp;EOMONTH(X7,0),#REF!,$B$32)+SUMIFS('1SI9BW'!$K$6:$K$2989,'1SI9BW'!$J$6:$J$2989,"&gt;="&amp;X7,'1SI9BW'!$J$6:$J$2989,"&lt;="&amp;EOMONTH(X7,0),'1SI9BW'!$L$6:$L$2989,$B$32)+SUMIFS(Suzuki!$K$6:$K$2989,Suzuki!$J$6:$J$2989,"&gt;="&amp;X7,Suzuki!$J$6:$J$2989,"&lt;="&amp;EOMONTH(X7,0),Suzuki!$L$6:$L$2989,$B$32)+SUMIFS('1SK3DD'!$K$6:$K$2989,'1SK3DD'!$J$6:$J$2989,"&gt;="&amp;X7,'1SK3DD'!$J$6:$J$2989,"&lt;="&amp;EOMONTH(X7,0),'1SK3DD'!$L$6:$L$2989,$B$32)+SUMIFS('1SX5TQ'!$K$6:$K$2989,'1SX5TQ'!$J$6:$J$2989,"&gt;="&amp;X7,'1SX5TQ'!$J$6:$J$2989,"&lt;="&amp;EOMONTH(X7,0),'1SX5TQ'!$L$6:$L$2989,$B$32)+SUMIFS('BMM465'!$K$6:$K$2989,'BMM465'!$J$6:$J$2989,"&gt;="&amp;X7,'BMM465'!$J$6:$J$2989,"&lt;="&amp;EOMONTH(X7,0),'BMM465'!$L$6:$L$2989,$B$32)+SUMIFS('1CF1ZO'!$K$6:$K$2989,'1CF1ZO'!$J$6:$J$2989,"&gt;="&amp;X7,'1CF1ZO'!$J$6:$J$2989,"&lt;="&amp;EOMONTH(X7,0),'1CF1ZO'!$L$6:$L$2989,$B$32)+SUMIFS('1UK1BK'!$K$6:$K$2989,'1UK1BK'!$J$6:$J$2989,"&gt;="&amp;X7,'1UK1BK'!$J$6:$J$2989,"&lt;="&amp;EOMONTH(X7,0),'1UK1BK'!$L$6:$L$2989,$B$32)</f>
        <v>#REF!</v>
      </c>
      <c r="Y32" s="110" t="e">
        <f>SUMIFS('Other Expense'!$G$8:$G$2966,'Other Expense'!$F$8:$F$2966,"&gt;="&amp;Y7,'Other Expense'!$F$8:$F$2966,"&lt;="&amp;EOMONTH(Y7,0),'Other Expense'!$H$8:$H$2966,$B$32)+SUMIFS('CEI565'!$K$6:$K$2990,'CEI565'!$J$6:$J$2990,"&gt;="&amp;Y7,'CEI565'!$J$6:$J$2990,"&lt;="&amp;EOMONTH(Y7,0),'CEI565'!$L$6:$L$2990,$B$32)+SUMIFS('1SM3VL'!$K$6:$K$2990,'1SM3VL'!$J$6:$J$2990,"&gt;="&amp;Y7,'1SM3VL'!$J$6:$J$2990,"&lt;="&amp;EOMONTH(Y7,0),'1SM3VL'!$L$6:$L$2990,$B$32)+SUMIFS('1QF4SM'!$K$6:$K$2989,'1QF4SM'!$J$6:$J$2989,"&gt;="&amp;Y7,'1QF4SM'!$J$6:$J$2989,"&lt;="&amp;EOMONTH(Y7,0),'1QF4SM'!$L$6:$L$2989,$B$32)+SUMIFS('1UV5KI'!$K$6:$K$2989,'1UV5KI'!$J$6:$J$2989,"&gt;="&amp;Y7,'1UV5KI'!$J$6:$J$2989,"&lt;="&amp;EOMONTH(Y7,0),'1UV5KI'!$L$6:$L$2989,$B$32)+SUMIFS(#REF!,#REF!,"&gt;="&amp;Y7,#REF!,"&lt;="&amp;EOMONTH(Y7,0),#REF!,$B$32)+SUMIFS('1UL9RY'!$K$6:$K$2990,'1UL9RY'!$J$6:$J$2990,"&gt;="&amp;Y7,'1UL9RY'!$J$6:$J$2990,"&lt;="&amp;EOMONTH(Y7,0),'1UL9RY'!$L$6:$L$2990,$B$32)+SUMIFS('1OZ7GT'!$K$6:$K$2989,'1OZ7GT'!$J$6:$J$2989,"&gt;="&amp;Y7,'1OZ7GT'!$J$6:$J$2989,"&lt;="&amp;EOMONTH(Y7,0),'1OZ7GT'!$L$6:$L$2989,$B$32)+SUMIFS('1CN8DD'!$K$6:$K$2989,'1CN8DD'!$J$6:$J$2989,"&gt;="&amp;Y7,'1CN8DD'!$J$6:$J$2989,"&lt;="&amp;EOMONTH(Y7,0),'1CN8DD'!$L$6:$L$2989,$B$32)+SUMIFS('1UT9BR'!$K$6:$K$2990,'1UT9BR'!$J$6:$J$2990,"&gt;="&amp;Y7,'1UT9BR'!$J$6:$J$2990,"&lt;="&amp;EOMONTH(Y7,0),'1UT9BR'!$L$6:$L$2990,$B$32)+SUMIFS('1MK4UR'!$K$6:$K$2990,'1MK4UR'!$J$6:$J$2990,"&gt;="&amp;Y7,'1MK4UR'!$J$6:$J$2990,"&lt;="&amp;EOMONTH(Y7,0),'1MK4UR'!$L$6:$L$2990,$B$32)+SUMIFS(#REF!,#REF!,"&gt;="&amp;Y7,#REF!,"&lt;="&amp;EOMONTH(Y7,0),#REF!,$B$32)+SUMIFS('1JI2UE'!$K$6:$K$2989,'1JI2UE'!$J$6:$J$2989,"&gt;="&amp;Y7,'1JI2UE'!$J$6:$J$2989,"&lt;="&amp;EOMONTH(Y7,0),'1JI2UE'!$L$6:$L$2989,$B$32)+SUMIFS(#REF!,#REF!,"&gt;="&amp;Y7,#REF!,"&lt;="&amp;EOMONTH(Y7,0),#REF!,$B$32)+SUMIFS('1SI9BW'!$K$6:$K$2989,'1SI9BW'!$J$6:$J$2989,"&gt;="&amp;Y7,'1SI9BW'!$J$6:$J$2989,"&lt;="&amp;EOMONTH(Y7,0),'1SI9BW'!$L$6:$L$2989,$B$32)+SUMIFS(Suzuki!$K$6:$K$2989,Suzuki!$J$6:$J$2989,"&gt;="&amp;Y7,Suzuki!$J$6:$J$2989,"&lt;="&amp;EOMONTH(Y7,0),Suzuki!$L$6:$L$2989,$B$32)+SUMIFS('1SK3DD'!$K$6:$K$2989,'1SK3DD'!$J$6:$J$2989,"&gt;="&amp;Y7,'1SK3DD'!$J$6:$J$2989,"&lt;="&amp;EOMONTH(Y7,0),'1SK3DD'!$L$6:$L$2989,$B$32)+SUMIFS('1SX5TQ'!$K$6:$K$2989,'1SX5TQ'!$J$6:$J$2989,"&gt;="&amp;Y7,'1SX5TQ'!$J$6:$J$2989,"&lt;="&amp;EOMONTH(Y7,0),'1SX5TQ'!$L$6:$L$2989,$B$32)+SUMIFS('BMM465'!$K$6:$K$2989,'BMM465'!$J$6:$J$2989,"&gt;="&amp;Y7,'BMM465'!$J$6:$J$2989,"&lt;="&amp;EOMONTH(Y7,0),'BMM465'!$L$6:$L$2989,$B$32)+SUMIFS('1CF1ZO'!$K$6:$K$2989,'1CF1ZO'!$J$6:$J$2989,"&gt;="&amp;Y7,'1CF1ZO'!$J$6:$J$2989,"&lt;="&amp;EOMONTH(Y7,0),'1CF1ZO'!$L$6:$L$2989,$B$32)+SUMIFS('1UK1BK'!$K$6:$K$2989,'1UK1BK'!$J$6:$J$2989,"&gt;="&amp;Y7,'1UK1BK'!$J$6:$J$2989,"&lt;="&amp;EOMONTH(Y7,0),'1UK1BK'!$L$6:$L$2989,$B$32)</f>
        <v>#REF!</v>
      </c>
      <c r="Z32" s="110" t="e">
        <f>SUMIFS('Other Expense'!$G$8:$G$2966,'Other Expense'!$F$8:$F$2966,"&gt;="&amp;Z7,'Other Expense'!$F$8:$F$2966,"&lt;="&amp;EOMONTH(Z7,0),'Other Expense'!$H$8:$H$2966,$B$32)+SUMIFS('CEI565'!$K$6:$K$2990,'CEI565'!$J$6:$J$2990,"&gt;="&amp;Z7,'CEI565'!$J$6:$J$2990,"&lt;="&amp;EOMONTH(Z7,0),'CEI565'!$L$6:$L$2990,$B$32)+SUMIFS('1SM3VL'!$K$6:$K$2990,'1SM3VL'!$J$6:$J$2990,"&gt;="&amp;Z7,'1SM3VL'!$J$6:$J$2990,"&lt;="&amp;EOMONTH(Z7,0),'1SM3VL'!$L$6:$L$2990,$B$32)+SUMIFS('1QF4SM'!$K$6:$K$2989,'1QF4SM'!$J$6:$J$2989,"&gt;="&amp;Z7,'1QF4SM'!$J$6:$J$2989,"&lt;="&amp;EOMONTH(Z7,0),'1QF4SM'!$L$6:$L$2989,$B$32)+SUMIFS('1UV5KI'!$K$6:$K$2989,'1UV5KI'!$J$6:$J$2989,"&gt;="&amp;Z7,'1UV5KI'!$J$6:$J$2989,"&lt;="&amp;EOMONTH(Z7,0),'1UV5KI'!$L$6:$L$2989,$B$32)+SUMIFS(#REF!,#REF!,"&gt;="&amp;Z7,#REF!,"&lt;="&amp;EOMONTH(Z7,0),#REF!,$B$32)+SUMIFS('1UL9RY'!$K$6:$K$2990,'1UL9RY'!$J$6:$J$2990,"&gt;="&amp;Z7,'1UL9RY'!$J$6:$J$2990,"&lt;="&amp;EOMONTH(Z7,0),'1UL9RY'!$L$6:$L$2990,$B$32)+SUMIFS('1OZ7GT'!$K$6:$K$2989,'1OZ7GT'!$J$6:$J$2989,"&gt;="&amp;Z7,'1OZ7GT'!$J$6:$J$2989,"&lt;="&amp;EOMONTH(Z7,0),'1OZ7GT'!$L$6:$L$2989,$B$32)+SUMIFS('1CN8DD'!$K$6:$K$2989,'1CN8DD'!$J$6:$J$2989,"&gt;="&amp;Z7,'1CN8DD'!$J$6:$J$2989,"&lt;="&amp;EOMONTH(Z7,0),'1CN8DD'!$L$6:$L$2989,$B$32)+SUMIFS('1UT9BR'!$K$6:$K$2990,'1UT9BR'!$J$6:$J$2990,"&gt;="&amp;Z7,'1UT9BR'!$J$6:$J$2990,"&lt;="&amp;EOMONTH(Z7,0),'1UT9BR'!$L$6:$L$2990,$B$32)+SUMIFS('1MK4UR'!$K$6:$K$2990,'1MK4UR'!$J$6:$J$2990,"&gt;="&amp;Z7,'1MK4UR'!$J$6:$J$2990,"&lt;="&amp;EOMONTH(Z7,0),'1MK4UR'!$L$6:$L$2990,$B$32)+SUMIFS(#REF!,#REF!,"&gt;="&amp;Z7,#REF!,"&lt;="&amp;EOMONTH(Z7,0),#REF!,$B$32)+SUMIFS('1JI2UE'!$K$6:$K$2989,'1JI2UE'!$J$6:$J$2989,"&gt;="&amp;Z7,'1JI2UE'!$J$6:$J$2989,"&lt;="&amp;EOMONTH(Z7,0),'1JI2UE'!$L$6:$L$2989,$B$32)+SUMIFS(#REF!,#REF!,"&gt;="&amp;Z7,#REF!,"&lt;="&amp;EOMONTH(Z7,0),#REF!,$B$32)+SUMIFS('1SI9BW'!$K$6:$K$2989,'1SI9BW'!$J$6:$J$2989,"&gt;="&amp;Z7,'1SI9BW'!$J$6:$J$2989,"&lt;="&amp;EOMONTH(Z7,0),'1SI9BW'!$L$6:$L$2989,$B$32)+SUMIFS(Suzuki!$K$6:$K$2989,Suzuki!$J$6:$J$2989,"&gt;="&amp;Z7,Suzuki!$J$6:$J$2989,"&lt;="&amp;EOMONTH(Z7,0),Suzuki!$L$6:$L$2989,$B$32)+SUMIFS('1SK3DD'!$K$6:$K$2989,'1SK3DD'!$J$6:$J$2989,"&gt;="&amp;Z7,'1SK3DD'!$J$6:$J$2989,"&lt;="&amp;EOMONTH(Z7,0),'1SK3DD'!$L$6:$L$2989,$B$32)+SUMIFS('1SX5TQ'!$K$6:$K$2989,'1SX5TQ'!$J$6:$J$2989,"&gt;="&amp;Z7,'1SX5TQ'!$J$6:$J$2989,"&lt;="&amp;EOMONTH(Z7,0),'1SX5TQ'!$L$6:$L$2989,$B$32)+SUMIFS('BMM465'!$K$6:$K$2989,'BMM465'!$J$6:$J$2989,"&gt;="&amp;Z7,'BMM465'!$J$6:$J$2989,"&lt;="&amp;EOMONTH(Z7,0),'BMM465'!$L$6:$L$2989,$B$32)+SUMIFS('1CF1ZO'!$K$6:$K$2989,'1CF1ZO'!$J$6:$J$2989,"&gt;="&amp;Z7,'1CF1ZO'!$J$6:$J$2989,"&lt;="&amp;EOMONTH(Z7,0),'1CF1ZO'!$L$6:$L$2989,$B$32)+SUMIFS('1UK1BK'!$K$6:$K$2989,'1UK1BK'!$J$6:$J$2989,"&gt;="&amp;Z7,'1UK1BK'!$J$6:$J$2989,"&lt;="&amp;EOMONTH(Z7,0),'1UK1BK'!$L$6:$L$2989,$B$32)</f>
        <v>#REF!</v>
      </c>
      <c r="AA32" s="110" t="e">
        <f>SUMIFS('Other Expense'!$G$8:$G$2966,'Other Expense'!$F$8:$F$2966,"&gt;="&amp;AA7,'Other Expense'!$F$8:$F$2966,"&lt;="&amp;EOMONTH(AA7,0),'Other Expense'!$H$8:$H$2966,$B$32)+SUMIFS('CEI565'!$K$6:$K$2990,'CEI565'!$J$6:$J$2990,"&gt;="&amp;AA7,'CEI565'!$J$6:$J$2990,"&lt;="&amp;EOMONTH(AA7,0),'CEI565'!$L$6:$L$2990,$B$32)+SUMIFS('1SM3VL'!$K$6:$K$2990,'1SM3VL'!$J$6:$J$2990,"&gt;="&amp;AA7,'1SM3VL'!$J$6:$J$2990,"&lt;="&amp;EOMONTH(AA7,0),'1SM3VL'!$L$6:$L$2990,$B$32)+SUMIFS('1QF4SM'!$K$6:$K$2989,'1QF4SM'!$J$6:$J$2989,"&gt;="&amp;AA7,'1QF4SM'!$J$6:$J$2989,"&lt;="&amp;EOMONTH(AA7,0),'1QF4SM'!$L$6:$L$2989,$B$32)+SUMIFS('1UV5KI'!$K$6:$K$2989,'1UV5KI'!$J$6:$J$2989,"&gt;="&amp;AA7,'1UV5KI'!$J$6:$J$2989,"&lt;="&amp;EOMONTH(AA7,0),'1UV5KI'!$L$6:$L$2989,$B$32)+SUMIFS(#REF!,#REF!,"&gt;="&amp;AA7,#REF!,"&lt;="&amp;EOMONTH(AA7,0),#REF!,$B$32)+SUMIFS('1UL9RY'!$K$6:$K$2990,'1UL9RY'!$J$6:$J$2990,"&gt;="&amp;AA7,'1UL9RY'!$J$6:$J$2990,"&lt;="&amp;EOMONTH(AA7,0),'1UL9RY'!$L$6:$L$2990,$B$32)+SUMIFS('1OZ7GT'!$K$6:$K$2989,'1OZ7GT'!$J$6:$J$2989,"&gt;="&amp;AA7,'1OZ7GT'!$J$6:$J$2989,"&lt;="&amp;EOMONTH(AA7,0),'1OZ7GT'!$L$6:$L$2989,$B$32)+SUMIFS('1CN8DD'!$K$6:$K$2989,'1CN8DD'!$J$6:$J$2989,"&gt;="&amp;AA7,'1CN8DD'!$J$6:$J$2989,"&lt;="&amp;EOMONTH(AA7,0),'1CN8DD'!$L$6:$L$2989,$B$32)+SUMIFS('1UT9BR'!$K$6:$K$2990,'1UT9BR'!$J$6:$J$2990,"&gt;="&amp;AA7,'1UT9BR'!$J$6:$J$2990,"&lt;="&amp;EOMONTH(AA7,0),'1UT9BR'!$L$6:$L$2990,$B$32)+SUMIFS('1MK4UR'!$K$6:$K$2990,'1MK4UR'!$J$6:$J$2990,"&gt;="&amp;AA7,'1MK4UR'!$J$6:$J$2990,"&lt;="&amp;EOMONTH(AA7,0),'1MK4UR'!$L$6:$L$2990,$B$32)+SUMIFS(#REF!,#REF!,"&gt;="&amp;AA7,#REF!,"&lt;="&amp;EOMONTH(AA7,0),#REF!,$B$32)+SUMIFS('1JI2UE'!$K$6:$K$2989,'1JI2UE'!$J$6:$J$2989,"&gt;="&amp;AA7,'1JI2UE'!$J$6:$J$2989,"&lt;="&amp;EOMONTH(AA7,0),'1JI2UE'!$L$6:$L$2989,$B$32)+SUMIFS(#REF!,#REF!,"&gt;="&amp;AA7,#REF!,"&lt;="&amp;EOMONTH(AA7,0),#REF!,$B$32)+SUMIFS('1SI9BW'!$K$6:$K$2989,'1SI9BW'!$J$6:$J$2989,"&gt;="&amp;AA7,'1SI9BW'!$J$6:$J$2989,"&lt;="&amp;EOMONTH(AA7,0),'1SI9BW'!$L$6:$L$2989,$B$32)+SUMIFS(Suzuki!$K$6:$K$2989,Suzuki!$J$6:$J$2989,"&gt;="&amp;AA7,Suzuki!$J$6:$J$2989,"&lt;="&amp;EOMONTH(AA7,0),Suzuki!$L$6:$L$2989,$B$32)+SUMIFS('1SK3DD'!$K$6:$K$2989,'1SK3DD'!$J$6:$J$2989,"&gt;="&amp;AA7,'1SK3DD'!$J$6:$J$2989,"&lt;="&amp;EOMONTH(AA7,0),'1SK3DD'!$L$6:$L$2989,$B$32)+SUMIFS('1SX5TQ'!$K$6:$K$2989,'1SX5TQ'!$J$6:$J$2989,"&gt;="&amp;AA7,'1SX5TQ'!$J$6:$J$2989,"&lt;="&amp;EOMONTH(AA7,0),'1SX5TQ'!$L$6:$L$2989,$B$32)+SUMIFS('BMM465'!$K$6:$K$2989,'BMM465'!$J$6:$J$2989,"&gt;="&amp;AA7,'BMM465'!$J$6:$J$2989,"&lt;="&amp;EOMONTH(AA7,0),'BMM465'!$L$6:$L$2989,$B$32)+SUMIFS('1CF1ZO'!$K$6:$K$2989,'1CF1ZO'!$J$6:$J$2989,"&gt;="&amp;AA7,'1CF1ZO'!$J$6:$J$2989,"&lt;="&amp;EOMONTH(AA7,0),'1CF1ZO'!$L$6:$L$2989,$B$32)+SUMIFS('1UK1BK'!$K$6:$K$2989,'1UK1BK'!$J$6:$J$2989,"&gt;="&amp;AA7,'1UK1BK'!$J$6:$J$2989,"&lt;="&amp;EOMONTH(AA7,0),'1UK1BK'!$L$6:$L$2989,$B$32)</f>
        <v>#REF!</v>
      </c>
      <c r="AB32" s="110" t="e">
        <f>SUMIFS('Other Expense'!$G$8:$G$2966,'Other Expense'!$F$8:$F$2966,"&gt;="&amp;AB7,'Other Expense'!$F$8:$F$2966,"&lt;="&amp;EOMONTH(AB7,0),'Other Expense'!$H$8:$H$2966,$B$32)+SUMIFS('CEI565'!$K$6:$K$2990,'CEI565'!$J$6:$J$2990,"&gt;="&amp;AB7,'CEI565'!$J$6:$J$2990,"&lt;="&amp;EOMONTH(AB7,0),'CEI565'!$L$6:$L$2990,$B$32)+SUMIFS('1SM3VL'!$K$6:$K$2990,'1SM3VL'!$J$6:$J$2990,"&gt;="&amp;AB7,'1SM3VL'!$J$6:$J$2990,"&lt;="&amp;EOMONTH(AB7,0),'1SM3VL'!$L$6:$L$2990,$B$32)+SUMIFS('1QF4SM'!$K$6:$K$2989,'1QF4SM'!$J$6:$J$2989,"&gt;="&amp;AB7,'1QF4SM'!$J$6:$J$2989,"&lt;="&amp;EOMONTH(AB7,0),'1QF4SM'!$L$6:$L$2989,$B$32)+SUMIFS('1UV5KI'!$K$6:$K$2989,'1UV5KI'!$J$6:$J$2989,"&gt;="&amp;AB7,'1UV5KI'!$J$6:$J$2989,"&lt;="&amp;EOMONTH(AB7,0),'1UV5KI'!$L$6:$L$2989,$B$32)+SUMIFS(#REF!,#REF!,"&gt;="&amp;AB7,#REF!,"&lt;="&amp;EOMONTH(AB7,0),#REF!,$B$32)+SUMIFS('1UL9RY'!$K$6:$K$2990,'1UL9RY'!$J$6:$J$2990,"&gt;="&amp;AB7,'1UL9RY'!$J$6:$J$2990,"&lt;="&amp;EOMONTH(AB7,0),'1UL9RY'!$L$6:$L$2990,$B$32)+SUMIFS('1OZ7GT'!$K$6:$K$2989,'1OZ7GT'!$J$6:$J$2989,"&gt;="&amp;AB7,'1OZ7GT'!$J$6:$J$2989,"&lt;="&amp;EOMONTH(AB7,0),'1OZ7GT'!$L$6:$L$2989,$B$32)+SUMIFS('1CN8DD'!$K$6:$K$2989,'1CN8DD'!$J$6:$J$2989,"&gt;="&amp;AB7,'1CN8DD'!$J$6:$J$2989,"&lt;="&amp;EOMONTH(AB7,0),'1CN8DD'!$L$6:$L$2989,$B$32)+SUMIFS('1UT9BR'!$K$6:$K$2990,'1UT9BR'!$J$6:$J$2990,"&gt;="&amp;AB7,'1UT9BR'!$J$6:$J$2990,"&lt;="&amp;EOMONTH(AB7,0),'1UT9BR'!$L$6:$L$2990,$B$32)+SUMIFS('1MK4UR'!$K$6:$K$2990,'1MK4UR'!$J$6:$J$2990,"&gt;="&amp;AB7,'1MK4UR'!$J$6:$J$2990,"&lt;="&amp;EOMONTH(AB7,0),'1MK4UR'!$L$6:$L$2990,$B$32)+SUMIFS(#REF!,#REF!,"&gt;="&amp;AB7,#REF!,"&lt;="&amp;EOMONTH(AB7,0),#REF!,$B$32)+SUMIFS('1JI2UE'!$K$6:$K$2989,'1JI2UE'!$J$6:$J$2989,"&gt;="&amp;AB7,'1JI2UE'!$J$6:$J$2989,"&lt;="&amp;EOMONTH(AB7,0),'1JI2UE'!$L$6:$L$2989,$B$32)+SUMIFS(#REF!,#REF!,"&gt;="&amp;AB7,#REF!,"&lt;="&amp;EOMONTH(AB7,0),#REF!,$B$32)+SUMIFS('1SI9BW'!$K$6:$K$2989,'1SI9BW'!$J$6:$J$2989,"&gt;="&amp;AB7,'1SI9BW'!$J$6:$J$2989,"&lt;="&amp;EOMONTH(AB7,0),'1SI9BW'!$L$6:$L$2989,$B$32)+SUMIFS(Suzuki!$K$6:$K$2989,Suzuki!$J$6:$J$2989,"&gt;="&amp;AB7,Suzuki!$J$6:$J$2989,"&lt;="&amp;EOMONTH(AB7,0),Suzuki!$L$6:$L$2989,$B$32)+SUMIFS('1SK3DD'!$K$6:$K$2989,'1SK3DD'!$J$6:$J$2989,"&gt;="&amp;AB7,'1SK3DD'!$J$6:$J$2989,"&lt;="&amp;EOMONTH(AB7,0),'1SK3DD'!$L$6:$L$2989,$B$32)+SUMIFS('1SX5TQ'!$K$6:$K$2989,'1SX5TQ'!$J$6:$J$2989,"&gt;="&amp;AB7,'1SX5TQ'!$J$6:$J$2989,"&lt;="&amp;EOMONTH(AB7,0),'1SX5TQ'!$L$6:$L$2989,$B$32)+SUMIFS('BMM465'!$K$6:$K$2989,'BMM465'!$J$6:$J$2989,"&gt;="&amp;AB7,'BMM465'!$J$6:$J$2989,"&lt;="&amp;EOMONTH(AB7,0),'BMM465'!$L$6:$L$2989,$B$32)+SUMIFS('1CF1ZO'!$K$6:$K$2989,'1CF1ZO'!$J$6:$J$2989,"&gt;="&amp;AB7,'1CF1ZO'!$J$6:$J$2989,"&lt;="&amp;EOMONTH(AB7,0),'1CF1ZO'!$L$6:$L$2989,$B$32)+SUMIFS('1UK1BK'!$K$6:$K$2989,'1UK1BK'!$J$6:$J$2989,"&gt;="&amp;AB7,'1UK1BK'!$J$6:$J$2989,"&lt;="&amp;EOMONTH(AB7,0),'1UK1BK'!$L$6:$L$2989,$B$32)</f>
        <v>#REF!</v>
      </c>
      <c r="AC32" s="110" t="e">
        <f>SUMIFS('Other Expense'!$G$8:$G$2966,'Other Expense'!$F$8:$F$2966,"&gt;="&amp;AC7,'Other Expense'!$F$8:$F$2966,"&lt;="&amp;EOMONTH(AC7,0),'Other Expense'!$H$8:$H$2966,$B$32)+SUMIFS('CEI565'!$K$6:$K$2990,'CEI565'!$J$6:$J$2990,"&gt;="&amp;AC7,'CEI565'!$J$6:$J$2990,"&lt;="&amp;EOMONTH(AC7,0),'CEI565'!$L$6:$L$2990,$B$32)+SUMIFS('1SM3VL'!$K$6:$K$2990,'1SM3VL'!$J$6:$J$2990,"&gt;="&amp;AC7,'1SM3VL'!$J$6:$J$2990,"&lt;="&amp;EOMONTH(AC7,0),'1SM3VL'!$L$6:$L$2990,$B$32)+SUMIFS('1QF4SM'!$K$6:$K$2989,'1QF4SM'!$J$6:$J$2989,"&gt;="&amp;AC7,'1QF4SM'!$J$6:$J$2989,"&lt;="&amp;EOMONTH(AC7,0),'1QF4SM'!$L$6:$L$2989,$B$32)+SUMIFS('1UV5KI'!$K$6:$K$2989,'1UV5KI'!$J$6:$J$2989,"&gt;="&amp;AC7,'1UV5KI'!$J$6:$J$2989,"&lt;="&amp;EOMONTH(AC7,0),'1UV5KI'!$L$6:$L$2989,$B$32)+SUMIFS(#REF!,#REF!,"&gt;="&amp;AC7,#REF!,"&lt;="&amp;EOMONTH(AC7,0),#REF!,$B$32)+SUMIFS('1UL9RY'!$K$6:$K$2990,'1UL9RY'!$J$6:$J$2990,"&gt;="&amp;AC7,'1UL9RY'!$J$6:$J$2990,"&lt;="&amp;EOMONTH(AC7,0),'1UL9RY'!$L$6:$L$2990,$B$32)+SUMIFS('1OZ7GT'!$K$6:$K$2989,'1OZ7GT'!$J$6:$J$2989,"&gt;="&amp;AC7,'1OZ7GT'!$J$6:$J$2989,"&lt;="&amp;EOMONTH(AC7,0),'1OZ7GT'!$L$6:$L$2989,$B$32)+SUMIFS('1CN8DD'!$K$6:$K$2989,'1CN8DD'!$J$6:$J$2989,"&gt;="&amp;AC7,'1CN8DD'!$J$6:$J$2989,"&lt;="&amp;EOMONTH(AC7,0),'1CN8DD'!$L$6:$L$2989,$B$32)+SUMIFS('1UT9BR'!$K$6:$K$2990,'1UT9BR'!$J$6:$J$2990,"&gt;="&amp;AC7,'1UT9BR'!$J$6:$J$2990,"&lt;="&amp;EOMONTH(AC7,0),'1UT9BR'!$L$6:$L$2990,$B$32)+SUMIFS('1MK4UR'!$K$6:$K$2990,'1MK4UR'!$J$6:$J$2990,"&gt;="&amp;AC7,'1MK4UR'!$J$6:$J$2990,"&lt;="&amp;EOMONTH(AC7,0),'1MK4UR'!$L$6:$L$2990,$B$32)+SUMIFS(#REF!,#REF!,"&gt;="&amp;AC7,#REF!,"&lt;="&amp;EOMONTH(AC7,0),#REF!,$B$32)+SUMIFS('1JI2UE'!$K$6:$K$2989,'1JI2UE'!$J$6:$J$2989,"&gt;="&amp;AC7,'1JI2UE'!$J$6:$J$2989,"&lt;="&amp;EOMONTH(AC7,0),'1JI2UE'!$L$6:$L$2989,$B$32)+SUMIFS(#REF!,#REF!,"&gt;="&amp;AC7,#REF!,"&lt;="&amp;EOMONTH(AC7,0),#REF!,$B$32)+SUMIFS('1SI9BW'!$K$6:$K$2989,'1SI9BW'!$J$6:$J$2989,"&gt;="&amp;AC7,'1SI9BW'!$J$6:$J$2989,"&lt;="&amp;EOMONTH(AC7,0),'1SI9BW'!$L$6:$L$2989,$B$32)+SUMIFS(Suzuki!$K$6:$K$2989,Suzuki!$J$6:$J$2989,"&gt;="&amp;AC7,Suzuki!$J$6:$J$2989,"&lt;="&amp;EOMONTH(AC7,0),Suzuki!$L$6:$L$2989,$B$32)+SUMIFS('1SK3DD'!$K$6:$K$2989,'1SK3DD'!$J$6:$J$2989,"&gt;="&amp;AC7,'1SK3DD'!$J$6:$J$2989,"&lt;="&amp;EOMONTH(AC7,0),'1SK3DD'!$L$6:$L$2989,$B$32)+SUMIFS('1SX5TQ'!$K$6:$K$2989,'1SX5TQ'!$J$6:$J$2989,"&gt;="&amp;AC7,'1SX5TQ'!$J$6:$J$2989,"&lt;="&amp;EOMONTH(AC7,0),'1SX5TQ'!$L$6:$L$2989,$B$32)+SUMIFS('BMM465'!$K$6:$K$2989,'BMM465'!$J$6:$J$2989,"&gt;="&amp;AC7,'BMM465'!$J$6:$J$2989,"&lt;="&amp;EOMONTH(AC7,0),'BMM465'!$L$6:$L$2989,$B$32)+SUMIFS('1CF1ZO'!$K$6:$K$2989,'1CF1ZO'!$J$6:$J$2989,"&gt;="&amp;AC7,'1CF1ZO'!$J$6:$J$2989,"&lt;="&amp;EOMONTH(AC7,0),'1CF1ZO'!$L$6:$L$2989,$B$32)+SUMIFS('1UK1BK'!$K$6:$K$2989,'1UK1BK'!$J$6:$J$2989,"&gt;="&amp;AC7,'1UK1BK'!$J$6:$J$2989,"&lt;="&amp;EOMONTH(AC7,0),'1UK1BK'!$L$6:$L$2989,$B$32)</f>
        <v>#REF!</v>
      </c>
      <c r="AD32" s="110" t="e">
        <f>SUMIFS('Other Expense'!$G$8:$G$2966,'Other Expense'!$F$8:$F$2966,"&gt;="&amp;AD7,'Other Expense'!$F$8:$F$2966,"&lt;="&amp;EOMONTH(AD7,0),'Other Expense'!$H$8:$H$2966,$B$32)+SUMIFS('CEI565'!$K$6:$K$2990,'CEI565'!$J$6:$J$2990,"&gt;="&amp;AD7,'CEI565'!$J$6:$J$2990,"&lt;="&amp;EOMONTH(AD7,0),'CEI565'!$L$6:$L$2990,$B$32)+SUMIFS('1SM3VL'!$K$6:$K$2990,'1SM3VL'!$J$6:$J$2990,"&gt;="&amp;AD7,'1SM3VL'!$J$6:$J$2990,"&lt;="&amp;EOMONTH(AD7,0),'1SM3VL'!$L$6:$L$2990,$B$32)+SUMIFS('1QF4SM'!$K$6:$K$2989,'1QF4SM'!$J$6:$J$2989,"&gt;="&amp;AD7,'1QF4SM'!$J$6:$J$2989,"&lt;="&amp;EOMONTH(AD7,0),'1QF4SM'!$L$6:$L$2989,$B$32)+SUMIFS('1UV5KI'!$K$6:$K$2989,'1UV5KI'!$J$6:$J$2989,"&gt;="&amp;AD7,'1UV5KI'!$J$6:$J$2989,"&lt;="&amp;EOMONTH(AD7,0),'1UV5KI'!$L$6:$L$2989,$B$32)+SUMIFS(#REF!,#REF!,"&gt;="&amp;AD7,#REF!,"&lt;="&amp;EOMONTH(AD7,0),#REF!,$B$32)+SUMIFS('1UL9RY'!$K$6:$K$2990,'1UL9RY'!$J$6:$J$2990,"&gt;="&amp;AD7,'1UL9RY'!$J$6:$J$2990,"&lt;="&amp;EOMONTH(AD7,0),'1UL9RY'!$L$6:$L$2990,$B$32)+SUMIFS('1OZ7GT'!$K$6:$K$2989,'1OZ7GT'!$J$6:$J$2989,"&gt;="&amp;AD7,'1OZ7GT'!$J$6:$J$2989,"&lt;="&amp;EOMONTH(AD7,0),'1OZ7GT'!$L$6:$L$2989,$B$32)+SUMIFS('1CN8DD'!$K$6:$K$2989,'1CN8DD'!$J$6:$J$2989,"&gt;="&amp;AD7,'1CN8DD'!$J$6:$J$2989,"&lt;="&amp;EOMONTH(AD7,0),'1CN8DD'!$L$6:$L$2989,$B$32)+SUMIFS('1UT9BR'!$K$6:$K$2990,'1UT9BR'!$J$6:$J$2990,"&gt;="&amp;AD7,'1UT9BR'!$J$6:$J$2990,"&lt;="&amp;EOMONTH(AD7,0),'1UT9BR'!$L$6:$L$2990,$B$32)+SUMIFS('1MK4UR'!$K$6:$K$2990,'1MK4UR'!$J$6:$J$2990,"&gt;="&amp;AD7,'1MK4UR'!$J$6:$J$2990,"&lt;="&amp;EOMONTH(AD7,0),'1MK4UR'!$L$6:$L$2990,$B$32)+SUMIFS(#REF!,#REF!,"&gt;="&amp;AD7,#REF!,"&lt;="&amp;EOMONTH(AD7,0),#REF!,$B$32)+SUMIFS('1JI2UE'!$K$6:$K$2989,'1JI2UE'!$J$6:$J$2989,"&gt;="&amp;AD7,'1JI2UE'!$J$6:$J$2989,"&lt;="&amp;EOMONTH(AD7,0),'1JI2UE'!$L$6:$L$2989,$B$32)+SUMIFS(#REF!,#REF!,"&gt;="&amp;AD7,#REF!,"&lt;="&amp;EOMONTH(AD7,0),#REF!,$B$32)+SUMIFS('1SI9BW'!$K$6:$K$2989,'1SI9BW'!$J$6:$J$2989,"&gt;="&amp;AD7,'1SI9BW'!$J$6:$J$2989,"&lt;="&amp;EOMONTH(AD7,0),'1SI9BW'!$L$6:$L$2989,$B$32)+SUMIFS(Suzuki!$K$6:$K$2989,Suzuki!$J$6:$J$2989,"&gt;="&amp;AD7,Suzuki!$J$6:$J$2989,"&lt;="&amp;EOMONTH(AD7,0),Suzuki!$L$6:$L$2989,$B$32)+SUMIFS('1SK3DD'!$K$6:$K$2989,'1SK3DD'!$J$6:$J$2989,"&gt;="&amp;AD7,'1SK3DD'!$J$6:$J$2989,"&lt;="&amp;EOMONTH(AD7,0),'1SK3DD'!$L$6:$L$2989,$B$32)+SUMIFS('1SX5TQ'!$K$6:$K$2989,'1SX5TQ'!$J$6:$J$2989,"&gt;="&amp;AD7,'1SX5TQ'!$J$6:$J$2989,"&lt;="&amp;EOMONTH(AD7,0),'1SX5TQ'!$L$6:$L$2989,$B$32)+SUMIFS('BMM465'!$K$6:$K$2989,'BMM465'!$J$6:$J$2989,"&gt;="&amp;AD7,'BMM465'!$J$6:$J$2989,"&lt;="&amp;EOMONTH(AD7,0),'BMM465'!$L$6:$L$2989,$B$32)+SUMIFS('1CF1ZO'!$K$6:$K$2989,'1CF1ZO'!$J$6:$J$2989,"&gt;="&amp;AD7,'1CF1ZO'!$J$6:$J$2989,"&lt;="&amp;EOMONTH(AD7,0),'1CF1ZO'!$L$6:$L$2989,$B$32)+SUMIFS('1UK1BK'!$K$6:$K$2989,'1UK1BK'!$J$6:$J$2989,"&gt;="&amp;AD7,'1UK1BK'!$J$6:$J$2989,"&lt;="&amp;EOMONTH(AD7,0),'1UK1BK'!$L$6:$L$2989,$B$32)</f>
        <v>#REF!</v>
      </c>
      <c r="AE32" s="110" t="e">
        <f>SUMIFS('Other Expense'!$G$8:$G$2966,'Other Expense'!$F$8:$F$2966,"&gt;="&amp;AE7,'Other Expense'!$F$8:$F$2966,"&lt;="&amp;EOMONTH(AE7,0),'Other Expense'!$H$8:$H$2966,$B$32)+SUMIFS('CEI565'!$K$6:$K$2990,'CEI565'!$J$6:$J$2990,"&gt;="&amp;AE7,'CEI565'!$J$6:$J$2990,"&lt;="&amp;EOMONTH(AE7,0),'CEI565'!$L$6:$L$2990,$B$32)+SUMIFS('1SM3VL'!$K$6:$K$2990,'1SM3VL'!$J$6:$J$2990,"&gt;="&amp;AE7,'1SM3VL'!$J$6:$J$2990,"&lt;="&amp;EOMONTH(AE7,0),'1SM3VL'!$L$6:$L$2990,$B$32)+SUMIFS('1QF4SM'!$K$6:$K$2989,'1QF4SM'!$J$6:$J$2989,"&gt;="&amp;AE7,'1QF4SM'!$J$6:$J$2989,"&lt;="&amp;EOMONTH(AE7,0),'1QF4SM'!$L$6:$L$2989,$B$32)+SUMIFS('1UV5KI'!$K$6:$K$2989,'1UV5KI'!$J$6:$J$2989,"&gt;="&amp;AE7,'1UV5KI'!$J$6:$J$2989,"&lt;="&amp;EOMONTH(AE7,0),'1UV5KI'!$L$6:$L$2989,$B$32)+SUMIFS(#REF!,#REF!,"&gt;="&amp;AE7,#REF!,"&lt;="&amp;EOMONTH(AE7,0),#REF!,$B$32)+SUMIFS('1UL9RY'!$K$6:$K$2990,'1UL9RY'!$J$6:$J$2990,"&gt;="&amp;AE7,'1UL9RY'!$J$6:$J$2990,"&lt;="&amp;EOMONTH(AE7,0),'1UL9RY'!$L$6:$L$2990,$B$32)+SUMIFS('1OZ7GT'!$K$6:$K$2989,'1OZ7GT'!$J$6:$J$2989,"&gt;="&amp;AE7,'1OZ7GT'!$J$6:$J$2989,"&lt;="&amp;EOMONTH(AE7,0),'1OZ7GT'!$L$6:$L$2989,$B$32)+SUMIFS('1CN8DD'!$K$6:$K$2989,'1CN8DD'!$J$6:$J$2989,"&gt;="&amp;AE7,'1CN8DD'!$J$6:$J$2989,"&lt;="&amp;EOMONTH(AE7,0),'1CN8DD'!$L$6:$L$2989,$B$32)+SUMIFS('1UT9BR'!$K$6:$K$2990,'1UT9BR'!$J$6:$J$2990,"&gt;="&amp;AE7,'1UT9BR'!$J$6:$J$2990,"&lt;="&amp;EOMONTH(AE7,0),'1UT9BR'!$L$6:$L$2990,$B$32)+SUMIFS('1MK4UR'!$K$6:$K$2990,'1MK4UR'!$J$6:$J$2990,"&gt;="&amp;AE7,'1MK4UR'!$J$6:$J$2990,"&lt;="&amp;EOMONTH(AE7,0),'1MK4UR'!$L$6:$L$2990,$B$32)+SUMIFS(#REF!,#REF!,"&gt;="&amp;AE7,#REF!,"&lt;="&amp;EOMONTH(AE7,0),#REF!,$B$32)+SUMIFS('1JI2UE'!$K$6:$K$2989,'1JI2UE'!$J$6:$J$2989,"&gt;="&amp;AE7,'1JI2UE'!$J$6:$J$2989,"&lt;="&amp;EOMONTH(AE7,0),'1JI2UE'!$L$6:$L$2989,$B$32)+SUMIFS(#REF!,#REF!,"&gt;="&amp;AE7,#REF!,"&lt;="&amp;EOMONTH(AE7,0),#REF!,$B$32)+SUMIFS('1SI9BW'!$K$6:$K$2989,'1SI9BW'!$J$6:$J$2989,"&gt;="&amp;AE7,'1SI9BW'!$J$6:$J$2989,"&lt;="&amp;EOMONTH(AE7,0),'1SI9BW'!$L$6:$L$2989,$B$32)+SUMIFS(Suzuki!$K$6:$K$2989,Suzuki!$J$6:$J$2989,"&gt;="&amp;AE7,Suzuki!$J$6:$J$2989,"&lt;="&amp;EOMONTH(AE7,0),Suzuki!$L$6:$L$2989,$B$32)+SUMIFS('1SK3DD'!$K$6:$K$2989,'1SK3DD'!$J$6:$J$2989,"&gt;="&amp;AE7,'1SK3DD'!$J$6:$J$2989,"&lt;="&amp;EOMONTH(AE7,0),'1SK3DD'!$L$6:$L$2989,$B$32)+SUMIFS('1SX5TQ'!$K$6:$K$2989,'1SX5TQ'!$J$6:$J$2989,"&gt;="&amp;AE7,'1SX5TQ'!$J$6:$J$2989,"&lt;="&amp;EOMONTH(AE7,0),'1SX5TQ'!$L$6:$L$2989,$B$32)+SUMIFS('BMM465'!$K$6:$K$2989,'BMM465'!$J$6:$J$2989,"&gt;="&amp;AE7,'BMM465'!$J$6:$J$2989,"&lt;="&amp;EOMONTH(AE7,0),'BMM465'!$L$6:$L$2989,$B$32)+SUMIFS('1CF1ZO'!$K$6:$K$2989,'1CF1ZO'!$J$6:$J$2989,"&gt;="&amp;AE7,'1CF1ZO'!$J$6:$J$2989,"&lt;="&amp;EOMONTH(AE7,0),'1CF1ZO'!$L$6:$L$2989,$B$32)+SUMIFS('1UK1BK'!$K$6:$K$2989,'1UK1BK'!$J$6:$J$2989,"&gt;="&amp;AE7,'1UK1BK'!$J$6:$J$2989,"&lt;="&amp;EOMONTH(AE7,0),'1UK1BK'!$L$6:$L$2989,$B$32)</f>
        <v>#REF!</v>
      </c>
      <c r="AF32" s="110" t="e">
        <f>SUMIFS('Other Expense'!$G$8:$G$2966,'Other Expense'!$F$8:$F$2966,"&gt;="&amp;AF7,'Other Expense'!$F$8:$F$2966,"&lt;="&amp;EOMONTH(AF7,0),'Other Expense'!$H$8:$H$2966,$B$32)+SUMIFS('CEI565'!$K$6:$K$2990,'CEI565'!$J$6:$J$2990,"&gt;="&amp;AF7,'CEI565'!$J$6:$J$2990,"&lt;="&amp;EOMONTH(AF7,0),'CEI565'!$L$6:$L$2990,$B$32)+SUMIFS('1SM3VL'!$K$6:$K$2990,'1SM3VL'!$J$6:$J$2990,"&gt;="&amp;AF7,'1SM3VL'!$J$6:$J$2990,"&lt;="&amp;EOMONTH(AF7,0),'1SM3VL'!$L$6:$L$2990,$B$32)+SUMIFS('1QF4SM'!$K$6:$K$2989,'1QF4SM'!$J$6:$J$2989,"&gt;="&amp;AF7,'1QF4SM'!$J$6:$J$2989,"&lt;="&amp;EOMONTH(AF7,0),'1QF4SM'!$L$6:$L$2989,$B$32)+SUMIFS('1UV5KI'!$K$6:$K$2989,'1UV5KI'!$J$6:$J$2989,"&gt;="&amp;AF7,'1UV5KI'!$J$6:$J$2989,"&lt;="&amp;EOMONTH(AF7,0),'1UV5KI'!$L$6:$L$2989,$B$32)+SUMIFS(#REF!,#REF!,"&gt;="&amp;AF7,#REF!,"&lt;="&amp;EOMONTH(AF7,0),#REF!,$B$32)+SUMIFS('1UL9RY'!$K$6:$K$2990,'1UL9RY'!$J$6:$J$2990,"&gt;="&amp;AF7,'1UL9RY'!$J$6:$J$2990,"&lt;="&amp;EOMONTH(AF7,0),'1UL9RY'!$L$6:$L$2990,$B$32)+SUMIFS('1OZ7GT'!$K$6:$K$2989,'1OZ7GT'!$J$6:$J$2989,"&gt;="&amp;AF7,'1OZ7GT'!$J$6:$J$2989,"&lt;="&amp;EOMONTH(AF7,0),'1OZ7GT'!$L$6:$L$2989,$B$32)+SUMIFS('1CN8DD'!$K$6:$K$2989,'1CN8DD'!$J$6:$J$2989,"&gt;="&amp;AF7,'1CN8DD'!$J$6:$J$2989,"&lt;="&amp;EOMONTH(AF7,0),'1CN8DD'!$L$6:$L$2989,$B$32)+SUMIFS('1UT9BR'!$K$6:$K$2990,'1UT9BR'!$J$6:$J$2990,"&gt;="&amp;AF7,'1UT9BR'!$J$6:$J$2990,"&lt;="&amp;EOMONTH(AF7,0),'1UT9BR'!$L$6:$L$2990,$B$32)+SUMIFS('1MK4UR'!$K$6:$K$2990,'1MK4UR'!$J$6:$J$2990,"&gt;="&amp;AF7,'1MK4UR'!$J$6:$J$2990,"&lt;="&amp;EOMONTH(AF7,0),'1MK4UR'!$L$6:$L$2990,$B$32)+SUMIFS(#REF!,#REF!,"&gt;="&amp;AF7,#REF!,"&lt;="&amp;EOMONTH(AF7,0),#REF!,$B$32)+SUMIFS('1JI2UE'!$K$6:$K$2989,'1JI2UE'!$J$6:$J$2989,"&gt;="&amp;AF7,'1JI2UE'!$J$6:$J$2989,"&lt;="&amp;EOMONTH(AF7,0),'1JI2UE'!$L$6:$L$2989,$B$32)+SUMIFS(#REF!,#REF!,"&gt;="&amp;AF7,#REF!,"&lt;="&amp;EOMONTH(AF7,0),#REF!,$B$32)+SUMIFS('1SI9BW'!$K$6:$K$2989,'1SI9BW'!$J$6:$J$2989,"&gt;="&amp;AF7,'1SI9BW'!$J$6:$J$2989,"&lt;="&amp;EOMONTH(AF7,0),'1SI9BW'!$L$6:$L$2989,$B$32)+SUMIFS(Suzuki!$K$6:$K$2989,Suzuki!$J$6:$J$2989,"&gt;="&amp;AF7,Suzuki!$J$6:$J$2989,"&lt;="&amp;EOMONTH(AF7,0),Suzuki!$L$6:$L$2989,$B$32)+SUMIFS('1SK3DD'!$K$6:$K$2989,'1SK3DD'!$J$6:$J$2989,"&gt;="&amp;AF7,'1SK3DD'!$J$6:$J$2989,"&lt;="&amp;EOMONTH(AF7,0),'1SK3DD'!$L$6:$L$2989,$B$32)+SUMIFS('1SX5TQ'!$K$6:$K$2989,'1SX5TQ'!$J$6:$J$2989,"&gt;="&amp;AF7,'1SX5TQ'!$J$6:$J$2989,"&lt;="&amp;EOMONTH(AF7,0),'1SX5TQ'!$L$6:$L$2989,$B$32)+SUMIFS('BMM465'!$K$6:$K$2989,'BMM465'!$J$6:$J$2989,"&gt;="&amp;AF7,'BMM465'!$J$6:$J$2989,"&lt;="&amp;EOMONTH(AF7,0),'BMM465'!$L$6:$L$2989,$B$32)+SUMIFS('1CF1ZO'!$K$6:$K$2989,'1CF1ZO'!$J$6:$J$2989,"&gt;="&amp;AF7,'1CF1ZO'!$J$6:$J$2989,"&lt;="&amp;EOMONTH(AF7,0),'1CF1ZO'!$L$6:$L$2989,$B$32)+SUMIFS('1UK1BK'!$K$6:$K$2989,'1UK1BK'!$J$6:$J$2989,"&gt;="&amp;AF7,'1UK1BK'!$J$6:$J$2989,"&lt;="&amp;EOMONTH(AF7,0),'1UK1BK'!$L$6:$L$2989,$B$32)</f>
        <v>#REF!</v>
      </c>
      <c r="AG32" s="110" t="e">
        <f>SUMIFS('Other Expense'!$G$8:$G$2966,'Other Expense'!$F$8:$F$2966,"&gt;="&amp;AG7,'Other Expense'!$F$8:$F$2966,"&lt;="&amp;EOMONTH(AG7,0),'Other Expense'!$H$8:$H$2966,$B$32)+SUMIFS('CEI565'!$K$6:$K$2990,'CEI565'!$J$6:$J$2990,"&gt;="&amp;AG7,'CEI565'!$J$6:$J$2990,"&lt;="&amp;EOMONTH(AG7,0),'CEI565'!$L$6:$L$2990,$B$32)+SUMIFS('1SM3VL'!$K$6:$K$2990,'1SM3VL'!$J$6:$J$2990,"&gt;="&amp;AG7,'1SM3VL'!$J$6:$J$2990,"&lt;="&amp;EOMONTH(AG7,0),'1SM3VL'!$L$6:$L$2990,$B$32)+SUMIFS('1QF4SM'!$K$6:$K$2989,'1QF4SM'!$J$6:$J$2989,"&gt;="&amp;AG7,'1QF4SM'!$J$6:$J$2989,"&lt;="&amp;EOMONTH(AG7,0),'1QF4SM'!$L$6:$L$2989,$B$32)+SUMIFS('1UV5KI'!$K$6:$K$2989,'1UV5KI'!$J$6:$J$2989,"&gt;="&amp;AG7,'1UV5KI'!$J$6:$J$2989,"&lt;="&amp;EOMONTH(AG7,0),'1UV5KI'!$L$6:$L$2989,$B$32)+SUMIFS(#REF!,#REF!,"&gt;="&amp;AG7,#REF!,"&lt;="&amp;EOMONTH(AG7,0),#REF!,$B$32)+SUMIFS('1UL9RY'!$K$6:$K$2990,'1UL9RY'!$J$6:$J$2990,"&gt;="&amp;AG7,'1UL9RY'!$J$6:$J$2990,"&lt;="&amp;EOMONTH(AG7,0),'1UL9RY'!$L$6:$L$2990,$B$32)+SUMIFS('1OZ7GT'!$K$6:$K$2989,'1OZ7GT'!$J$6:$J$2989,"&gt;="&amp;AG7,'1OZ7GT'!$J$6:$J$2989,"&lt;="&amp;EOMONTH(AG7,0),'1OZ7GT'!$L$6:$L$2989,$B$32)+SUMIFS('1CN8DD'!$K$6:$K$2989,'1CN8DD'!$J$6:$J$2989,"&gt;="&amp;AG7,'1CN8DD'!$J$6:$J$2989,"&lt;="&amp;EOMONTH(AG7,0),'1CN8DD'!$L$6:$L$2989,$B$32)+SUMIFS('1UT9BR'!$K$6:$K$2990,'1UT9BR'!$J$6:$J$2990,"&gt;="&amp;AG7,'1UT9BR'!$J$6:$J$2990,"&lt;="&amp;EOMONTH(AG7,0),'1UT9BR'!$L$6:$L$2990,$B$32)+SUMIFS('1MK4UR'!$K$6:$K$2990,'1MK4UR'!$J$6:$J$2990,"&gt;="&amp;AG7,'1MK4UR'!$J$6:$J$2990,"&lt;="&amp;EOMONTH(AG7,0),'1MK4UR'!$L$6:$L$2990,$B$32)+SUMIFS(#REF!,#REF!,"&gt;="&amp;AG7,#REF!,"&lt;="&amp;EOMONTH(AG7,0),#REF!,$B$32)+SUMIFS('1JI2UE'!$K$6:$K$2989,'1JI2UE'!$J$6:$J$2989,"&gt;="&amp;AG7,'1JI2UE'!$J$6:$J$2989,"&lt;="&amp;EOMONTH(AG7,0),'1JI2UE'!$L$6:$L$2989,$B$32)+SUMIFS(#REF!,#REF!,"&gt;="&amp;AG7,#REF!,"&lt;="&amp;EOMONTH(AG7,0),#REF!,$B$32)+SUMIFS('1SI9BW'!$K$6:$K$2989,'1SI9BW'!$J$6:$J$2989,"&gt;="&amp;AG7,'1SI9BW'!$J$6:$J$2989,"&lt;="&amp;EOMONTH(AG7,0),'1SI9BW'!$L$6:$L$2989,$B$32)+SUMIFS(Suzuki!$K$6:$K$2989,Suzuki!$J$6:$J$2989,"&gt;="&amp;AG7,Suzuki!$J$6:$J$2989,"&lt;="&amp;EOMONTH(AG7,0),Suzuki!$L$6:$L$2989,$B$32)+SUMIFS('1SK3DD'!$K$6:$K$2989,'1SK3DD'!$J$6:$J$2989,"&gt;="&amp;AG7,'1SK3DD'!$J$6:$J$2989,"&lt;="&amp;EOMONTH(AG7,0),'1SK3DD'!$L$6:$L$2989,$B$32)+SUMIFS('1SX5TQ'!$K$6:$K$2989,'1SX5TQ'!$J$6:$J$2989,"&gt;="&amp;AG7,'1SX5TQ'!$J$6:$J$2989,"&lt;="&amp;EOMONTH(AG7,0),'1SX5TQ'!$L$6:$L$2989,$B$32)+SUMIFS('BMM465'!$K$6:$K$2989,'BMM465'!$J$6:$J$2989,"&gt;="&amp;AG7,'BMM465'!$J$6:$J$2989,"&lt;="&amp;EOMONTH(AG7,0),'BMM465'!$L$6:$L$2989,$B$32)+SUMIFS('1CF1ZO'!$K$6:$K$2989,'1CF1ZO'!$J$6:$J$2989,"&gt;="&amp;AG7,'1CF1ZO'!$J$6:$J$2989,"&lt;="&amp;EOMONTH(AG7,0),'1CF1ZO'!$L$6:$L$2989,$B$32)+SUMIFS('1UK1BK'!$K$6:$K$2989,'1UK1BK'!$J$6:$J$2989,"&gt;="&amp;AG7,'1UK1BK'!$J$6:$J$2989,"&lt;="&amp;EOMONTH(AG7,0),'1UK1BK'!$L$6:$L$2989,$B$32)</f>
        <v>#REF!</v>
      </c>
      <c r="AH32" s="110" t="e">
        <f>SUMIFS('Other Expense'!$G$8:$G$2966,'Other Expense'!$F$8:$F$2966,"&gt;="&amp;AH7,'Other Expense'!$F$8:$F$2966,"&lt;="&amp;EOMONTH(AH7,0),'Other Expense'!$H$8:$H$2966,$B$32)+SUMIFS('CEI565'!$K$6:$K$2990,'CEI565'!$J$6:$J$2990,"&gt;="&amp;AH7,'CEI565'!$J$6:$J$2990,"&lt;="&amp;EOMONTH(AH7,0),'CEI565'!$L$6:$L$2990,$B$32)+SUMIFS('1SM3VL'!$K$6:$K$2990,'1SM3VL'!$J$6:$J$2990,"&gt;="&amp;AH7,'1SM3VL'!$J$6:$J$2990,"&lt;="&amp;EOMONTH(AH7,0),'1SM3VL'!$L$6:$L$2990,$B$32)+SUMIFS('1QF4SM'!$K$6:$K$2989,'1QF4SM'!$J$6:$J$2989,"&gt;="&amp;AH7,'1QF4SM'!$J$6:$J$2989,"&lt;="&amp;EOMONTH(AH7,0),'1QF4SM'!$L$6:$L$2989,$B$32)+SUMIFS('1UV5KI'!$K$6:$K$2989,'1UV5KI'!$J$6:$J$2989,"&gt;="&amp;AH7,'1UV5KI'!$J$6:$J$2989,"&lt;="&amp;EOMONTH(AH7,0),'1UV5KI'!$L$6:$L$2989,$B$32)+SUMIFS(#REF!,#REF!,"&gt;="&amp;AH7,#REF!,"&lt;="&amp;EOMONTH(AH7,0),#REF!,$B$32)+SUMIFS('1UL9RY'!$K$6:$K$2990,'1UL9RY'!$J$6:$J$2990,"&gt;="&amp;AH7,'1UL9RY'!$J$6:$J$2990,"&lt;="&amp;EOMONTH(AH7,0),'1UL9RY'!$L$6:$L$2990,$B$32)+SUMIFS('1OZ7GT'!$K$6:$K$2989,'1OZ7GT'!$J$6:$J$2989,"&gt;="&amp;AH7,'1OZ7GT'!$J$6:$J$2989,"&lt;="&amp;EOMONTH(AH7,0),'1OZ7GT'!$L$6:$L$2989,$B$32)+SUMIFS('1CN8DD'!$K$6:$K$2989,'1CN8DD'!$J$6:$J$2989,"&gt;="&amp;AH7,'1CN8DD'!$J$6:$J$2989,"&lt;="&amp;EOMONTH(AH7,0),'1CN8DD'!$L$6:$L$2989,$B$32)+SUMIFS('1UT9BR'!$K$6:$K$2990,'1UT9BR'!$J$6:$J$2990,"&gt;="&amp;AH7,'1UT9BR'!$J$6:$J$2990,"&lt;="&amp;EOMONTH(AH7,0),'1UT9BR'!$L$6:$L$2990,$B$32)+SUMIFS('1MK4UR'!$K$6:$K$2990,'1MK4UR'!$J$6:$J$2990,"&gt;="&amp;AH7,'1MK4UR'!$J$6:$J$2990,"&lt;="&amp;EOMONTH(AH7,0),'1MK4UR'!$L$6:$L$2990,$B$32)+SUMIFS(#REF!,#REF!,"&gt;="&amp;AH7,#REF!,"&lt;="&amp;EOMONTH(AH7,0),#REF!,$B$32)+SUMIFS('1JI2UE'!$K$6:$K$2989,'1JI2UE'!$J$6:$J$2989,"&gt;="&amp;AH7,'1JI2UE'!$J$6:$J$2989,"&lt;="&amp;EOMONTH(AH7,0),'1JI2UE'!$L$6:$L$2989,$B$32)+SUMIFS(#REF!,#REF!,"&gt;="&amp;AH7,#REF!,"&lt;="&amp;EOMONTH(AH7,0),#REF!,$B$32)+SUMIFS('1SI9BW'!$K$6:$K$2989,'1SI9BW'!$J$6:$J$2989,"&gt;="&amp;AH7,'1SI9BW'!$J$6:$J$2989,"&lt;="&amp;EOMONTH(AH7,0),'1SI9BW'!$L$6:$L$2989,$B$32)+SUMIFS(Suzuki!$K$6:$K$2989,Suzuki!$J$6:$J$2989,"&gt;="&amp;AH7,Suzuki!$J$6:$J$2989,"&lt;="&amp;EOMONTH(AH7,0),Suzuki!$L$6:$L$2989,$B$32)+SUMIFS('1SK3DD'!$K$6:$K$2989,'1SK3DD'!$J$6:$J$2989,"&gt;="&amp;AH7,'1SK3DD'!$J$6:$J$2989,"&lt;="&amp;EOMONTH(AH7,0),'1SK3DD'!$L$6:$L$2989,$B$32)+SUMIFS('1SX5TQ'!$K$6:$K$2989,'1SX5TQ'!$J$6:$J$2989,"&gt;="&amp;AH7,'1SX5TQ'!$J$6:$J$2989,"&lt;="&amp;EOMONTH(AH7,0),'1SX5TQ'!$L$6:$L$2989,$B$32)+SUMIFS('BMM465'!$K$6:$K$2989,'BMM465'!$J$6:$J$2989,"&gt;="&amp;AH7,'BMM465'!$J$6:$J$2989,"&lt;="&amp;EOMONTH(AH7,0),'BMM465'!$L$6:$L$2989,$B$32)+SUMIFS('1CF1ZO'!$K$6:$K$2989,'1CF1ZO'!$J$6:$J$2989,"&gt;="&amp;AH7,'1CF1ZO'!$J$6:$J$2989,"&lt;="&amp;EOMONTH(AH7,0),'1CF1ZO'!$L$6:$L$2989,$B$32)+SUMIFS('1UK1BK'!$K$6:$K$2989,'1UK1BK'!$J$6:$J$2989,"&gt;="&amp;AH7,'1UK1BK'!$J$6:$J$2989,"&lt;="&amp;EOMONTH(AH7,0),'1UK1BK'!$L$6:$L$2989,$B$32)</f>
        <v>#REF!</v>
      </c>
      <c r="AI32" s="110" t="e">
        <f>SUMIFS('Other Expense'!$G$8:$G$2966,'Other Expense'!$F$8:$F$2966,"&gt;="&amp;AI7,'Other Expense'!$F$8:$F$2966,"&lt;="&amp;EOMONTH(AI7,0),'Other Expense'!$H$8:$H$2966,$B$32)+SUMIFS('CEI565'!$K$6:$K$2990,'CEI565'!$J$6:$J$2990,"&gt;="&amp;AI7,'CEI565'!$J$6:$J$2990,"&lt;="&amp;EOMONTH(AI7,0),'CEI565'!$L$6:$L$2990,$B$32)+SUMIFS('1SM3VL'!$K$6:$K$2990,'1SM3VL'!$J$6:$J$2990,"&gt;="&amp;AI7,'1SM3VL'!$J$6:$J$2990,"&lt;="&amp;EOMONTH(AI7,0),'1SM3VL'!$L$6:$L$2990,$B$32)+SUMIFS('1QF4SM'!$K$6:$K$2989,'1QF4SM'!$J$6:$J$2989,"&gt;="&amp;AI7,'1QF4SM'!$J$6:$J$2989,"&lt;="&amp;EOMONTH(AI7,0),'1QF4SM'!$L$6:$L$2989,$B$32)+SUMIFS('1UV5KI'!$K$6:$K$2989,'1UV5KI'!$J$6:$J$2989,"&gt;="&amp;AI7,'1UV5KI'!$J$6:$J$2989,"&lt;="&amp;EOMONTH(AI7,0),'1UV5KI'!$L$6:$L$2989,$B$32)+SUMIFS(#REF!,#REF!,"&gt;="&amp;AI7,#REF!,"&lt;="&amp;EOMONTH(AI7,0),#REF!,$B$32)+SUMIFS('1UL9RY'!$K$6:$K$2990,'1UL9RY'!$J$6:$J$2990,"&gt;="&amp;AI7,'1UL9RY'!$J$6:$J$2990,"&lt;="&amp;EOMONTH(AI7,0),'1UL9RY'!$L$6:$L$2990,$B$32)+SUMIFS('1OZ7GT'!$K$6:$K$2989,'1OZ7GT'!$J$6:$J$2989,"&gt;="&amp;AI7,'1OZ7GT'!$J$6:$J$2989,"&lt;="&amp;EOMONTH(AI7,0),'1OZ7GT'!$L$6:$L$2989,$B$32)+SUMIFS('1CN8DD'!$K$6:$K$2989,'1CN8DD'!$J$6:$J$2989,"&gt;="&amp;AI7,'1CN8DD'!$J$6:$J$2989,"&lt;="&amp;EOMONTH(AI7,0),'1CN8DD'!$L$6:$L$2989,$B$32)+SUMIFS('1UT9BR'!$K$6:$K$2990,'1UT9BR'!$J$6:$J$2990,"&gt;="&amp;AI7,'1UT9BR'!$J$6:$J$2990,"&lt;="&amp;EOMONTH(AI7,0),'1UT9BR'!$L$6:$L$2990,$B$32)+SUMIFS('1MK4UR'!$K$6:$K$2990,'1MK4UR'!$J$6:$J$2990,"&gt;="&amp;AI7,'1MK4UR'!$J$6:$J$2990,"&lt;="&amp;EOMONTH(AI7,0),'1MK4UR'!$L$6:$L$2990,$B$32)+SUMIFS(#REF!,#REF!,"&gt;="&amp;AI7,#REF!,"&lt;="&amp;EOMONTH(AI7,0),#REF!,$B$32)+SUMIFS('1JI2UE'!$K$6:$K$2989,'1JI2UE'!$J$6:$J$2989,"&gt;="&amp;AI7,'1JI2UE'!$J$6:$J$2989,"&lt;="&amp;EOMONTH(AI7,0),'1JI2UE'!$L$6:$L$2989,$B$32)+SUMIFS(#REF!,#REF!,"&gt;="&amp;AI7,#REF!,"&lt;="&amp;EOMONTH(AI7,0),#REF!,$B$32)+SUMIFS('1SI9BW'!$K$6:$K$2989,'1SI9BW'!$J$6:$J$2989,"&gt;="&amp;AI7,'1SI9BW'!$J$6:$J$2989,"&lt;="&amp;EOMONTH(AI7,0),'1SI9BW'!$L$6:$L$2989,$B$32)+SUMIFS(Suzuki!$K$6:$K$2989,Suzuki!$J$6:$J$2989,"&gt;="&amp;AI7,Suzuki!$J$6:$J$2989,"&lt;="&amp;EOMONTH(AI7,0),Suzuki!$L$6:$L$2989,$B$32)+SUMIFS('1SK3DD'!$K$6:$K$2989,'1SK3DD'!$J$6:$J$2989,"&gt;="&amp;AI7,'1SK3DD'!$J$6:$J$2989,"&lt;="&amp;EOMONTH(AI7,0),'1SK3DD'!$L$6:$L$2989,$B$32)+SUMIFS('1SX5TQ'!$K$6:$K$2989,'1SX5TQ'!$J$6:$J$2989,"&gt;="&amp;AI7,'1SX5TQ'!$J$6:$J$2989,"&lt;="&amp;EOMONTH(AI7,0),'1SX5TQ'!$L$6:$L$2989,$B$32)+SUMIFS('BMM465'!$K$6:$K$2989,'BMM465'!$J$6:$J$2989,"&gt;="&amp;AI7,'BMM465'!$J$6:$J$2989,"&lt;="&amp;EOMONTH(AI7,0),'BMM465'!$L$6:$L$2989,$B$32)+SUMIFS('1CF1ZO'!$K$6:$K$2989,'1CF1ZO'!$J$6:$J$2989,"&gt;="&amp;AI7,'1CF1ZO'!$J$6:$J$2989,"&lt;="&amp;EOMONTH(AI7,0),'1CF1ZO'!$L$6:$L$2989,$B$32)+SUMIFS('1UK1BK'!$K$6:$K$2989,'1UK1BK'!$J$6:$J$2989,"&gt;="&amp;AI7,'1UK1BK'!$J$6:$J$2989,"&lt;="&amp;EOMONTH(AI7,0),'1UK1BK'!$L$6:$L$2989,$B$32)</f>
        <v>#REF!</v>
      </c>
      <c r="AJ32" s="110" t="e">
        <f>SUMIFS('Other Expense'!$G$8:$G$2966,'Other Expense'!$F$8:$F$2966,"&gt;="&amp;AJ7,'Other Expense'!$F$8:$F$2966,"&lt;="&amp;EOMONTH(AJ7,0),'Other Expense'!$H$8:$H$2966,$B$32)+SUMIFS('CEI565'!$K$6:$K$2990,'CEI565'!$J$6:$J$2990,"&gt;="&amp;AJ7,'CEI565'!$J$6:$J$2990,"&lt;="&amp;EOMONTH(AJ7,0),'CEI565'!$L$6:$L$2990,$B$32)+SUMIFS('1SM3VL'!$K$6:$K$2990,'1SM3VL'!$J$6:$J$2990,"&gt;="&amp;AJ7,'1SM3VL'!$J$6:$J$2990,"&lt;="&amp;EOMONTH(AJ7,0),'1SM3VL'!$L$6:$L$2990,$B$32)+SUMIFS('1QF4SM'!$K$6:$K$2989,'1QF4SM'!$J$6:$J$2989,"&gt;="&amp;AJ7,'1QF4SM'!$J$6:$J$2989,"&lt;="&amp;EOMONTH(AJ7,0),'1QF4SM'!$L$6:$L$2989,$B$32)+SUMIFS('1UV5KI'!$K$6:$K$2989,'1UV5KI'!$J$6:$J$2989,"&gt;="&amp;AJ7,'1UV5KI'!$J$6:$J$2989,"&lt;="&amp;EOMONTH(AJ7,0),'1UV5KI'!$L$6:$L$2989,$B$32)+SUMIFS(#REF!,#REF!,"&gt;="&amp;AJ7,#REF!,"&lt;="&amp;EOMONTH(AJ7,0),#REF!,$B$32)+SUMIFS('1UL9RY'!$K$6:$K$2990,'1UL9RY'!$J$6:$J$2990,"&gt;="&amp;AJ7,'1UL9RY'!$J$6:$J$2990,"&lt;="&amp;EOMONTH(AJ7,0),'1UL9RY'!$L$6:$L$2990,$B$32)+SUMIFS('1OZ7GT'!$K$6:$K$2989,'1OZ7GT'!$J$6:$J$2989,"&gt;="&amp;AJ7,'1OZ7GT'!$J$6:$J$2989,"&lt;="&amp;EOMONTH(AJ7,0),'1OZ7GT'!$L$6:$L$2989,$B$32)+SUMIFS('1CN8DD'!$K$6:$K$2989,'1CN8DD'!$J$6:$J$2989,"&gt;="&amp;AJ7,'1CN8DD'!$J$6:$J$2989,"&lt;="&amp;EOMONTH(AJ7,0),'1CN8DD'!$L$6:$L$2989,$B$32)+SUMIFS('1UT9BR'!$K$6:$K$2990,'1UT9BR'!$J$6:$J$2990,"&gt;="&amp;AJ7,'1UT9BR'!$J$6:$J$2990,"&lt;="&amp;EOMONTH(AJ7,0),'1UT9BR'!$L$6:$L$2990,$B$32)+SUMIFS('1MK4UR'!$K$6:$K$2990,'1MK4UR'!$J$6:$J$2990,"&gt;="&amp;AJ7,'1MK4UR'!$J$6:$J$2990,"&lt;="&amp;EOMONTH(AJ7,0),'1MK4UR'!$L$6:$L$2990,$B$32)+SUMIFS(#REF!,#REF!,"&gt;="&amp;AJ7,#REF!,"&lt;="&amp;EOMONTH(AJ7,0),#REF!,$B$32)+SUMIFS('1JI2UE'!$K$6:$K$2989,'1JI2UE'!$J$6:$J$2989,"&gt;="&amp;AJ7,'1JI2UE'!$J$6:$J$2989,"&lt;="&amp;EOMONTH(AJ7,0),'1JI2UE'!$L$6:$L$2989,$B$32)+SUMIFS(#REF!,#REF!,"&gt;="&amp;AJ7,#REF!,"&lt;="&amp;EOMONTH(AJ7,0),#REF!,$B$32)+SUMIFS('1SI9BW'!$K$6:$K$2989,'1SI9BW'!$J$6:$J$2989,"&gt;="&amp;AJ7,'1SI9BW'!$J$6:$J$2989,"&lt;="&amp;EOMONTH(AJ7,0),'1SI9BW'!$L$6:$L$2989,$B$32)+SUMIFS(Suzuki!$K$6:$K$2989,Suzuki!$J$6:$J$2989,"&gt;="&amp;AJ7,Suzuki!$J$6:$J$2989,"&lt;="&amp;EOMONTH(AJ7,0),Suzuki!$L$6:$L$2989,$B$32)+SUMIFS('1SK3DD'!$K$6:$K$2989,'1SK3DD'!$J$6:$J$2989,"&gt;="&amp;AJ7,'1SK3DD'!$J$6:$J$2989,"&lt;="&amp;EOMONTH(AJ7,0),'1SK3DD'!$L$6:$L$2989,$B$32)+SUMIFS('1SX5TQ'!$K$6:$K$2989,'1SX5TQ'!$J$6:$J$2989,"&gt;="&amp;AJ7,'1SX5TQ'!$J$6:$J$2989,"&lt;="&amp;EOMONTH(AJ7,0),'1SX5TQ'!$L$6:$L$2989,$B$32)+SUMIFS('BMM465'!$K$6:$K$2989,'BMM465'!$J$6:$J$2989,"&gt;="&amp;AJ7,'BMM465'!$J$6:$J$2989,"&lt;="&amp;EOMONTH(AJ7,0),'BMM465'!$L$6:$L$2989,$B$32)+SUMIFS('1CF1ZO'!$K$6:$K$2989,'1CF1ZO'!$J$6:$J$2989,"&gt;="&amp;AJ7,'1CF1ZO'!$J$6:$J$2989,"&lt;="&amp;EOMONTH(AJ7,0),'1CF1ZO'!$L$6:$L$2989,$B$32)+SUMIFS('1UK1BK'!$K$6:$K$2989,'1UK1BK'!$J$6:$J$2989,"&gt;="&amp;AJ7,'1UK1BK'!$J$6:$J$2989,"&lt;="&amp;EOMONTH(AJ7,0),'1UK1BK'!$L$6:$L$2989,$B$32)</f>
        <v>#REF!</v>
      </c>
      <c r="AK32" s="110" t="e">
        <f>SUMIFS('Other Expense'!$G$8:$G$2966,'Other Expense'!$F$8:$F$2966,"&gt;="&amp;AK7,'Other Expense'!$F$8:$F$2966,"&lt;="&amp;EOMONTH(AK7,0),'Other Expense'!$H$8:$H$2966,$B$32)+SUMIFS('CEI565'!$K$6:$K$2990,'CEI565'!$J$6:$J$2990,"&gt;="&amp;AK7,'CEI565'!$J$6:$J$2990,"&lt;="&amp;EOMONTH(AK7,0),'CEI565'!$L$6:$L$2990,$B$32)+SUMIFS('1SM3VL'!$K$6:$K$2990,'1SM3VL'!$J$6:$J$2990,"&gt;="&amp;AK7,'1SM3VL'!$J$6:$J$2990,"&lt;="&amp;EOMONTH(AK7,0),'1SM3VL'!$L$6:$L$2990,$B$32)+SUMIFS('1QF4SM'!$K$6:$K$2989,'1QF4SM'!$J$6:$J$2989,"&gt;="&amp;AK7,'1QF4SM'!$J$6:$J$2989,"&lt;="&amp;EOMONTH(AK7,0),'1QF4SM'!$L$6:$L$2989,$B$32)+SUMIFS('1UV5KI'!$K$6:$K$2989,'1UV5KI'!$J$6:$J$2989,"&gt;="&amp;AK7,'1UV5KI'!$J$6:$J$2989,"&lt;="&amp;EOMONTH(AK7,0),'1UV5KI'!$L$6:$L$2989,$B$32)+SUMIFS(#REF!,#REF!,"&gt;="&amp;AK7,#REF!,"&lt;="&amp;EOMONTH(AK7,0),#REF!,$B$32)+SUMIFS('1UL9RY'!$K$6:$K$2990,'1UL9RY'!$J$6:$J$2990,"&gt;="&amp;AK7,'1UL9RY'!$J$6:$J$2990,"&lt;="&amp;EOMONTH(AK7,0),'1UL9RY'!$L$6:$L$2990,$B$32)+SUMIFS('1OZ7GT'!$K$6:$K$2989,'1OZ7GT'!$J$6:$J$2989,"&gt;="&amp;AK7,'1OZ7GT'!$J$6:$J$2989,"&lt;="&amp;EOMONTH(AK7,0),'1OZ7GT'!$L$6:$L$2989,$B$32)+SUMIFS('1CN8DD'!$K$6:$K$2989,'1CN8DD'!$J$6:$J$2989,"&gt;="&amp;AK7,'1CN8DD'!$J$6:$J$2989,"&lt;="&amp;EOMONTH(AK7,0),'1CN8DD'!$L$6:$L$2989,$B$32)+SUMIFS('1UT9BR'!$K$6:$K$2990,'1UT9BR'!$J$6:$J$2990,"&gt;="&amp;AK7,'1UT9BR'!$J$6:$J$2990,"&lt;="&amp;EOMONTH(AK7,0),'1UT9BR'!$L$6:$L$2990,$B$32)+SUMIFS('1MK4UR'!$K$6:$K$2990,'1MK4UR'!$J$6:$J$2990,"&gt;="&amp;AK7,'1MK4UR'!$J$6:$J$2990,"&lt;="&amp;EOMONTH(AK7,0),'1MK4UR'!$L$6:$L$2990,$B$32)+SUMIFS(#REF!,#REF!,"&gt;="&amp;AK7,#REF!,"&lt;="&amp;EOMONTH(AK7,0),#REF!,$B$32)+SUMIFS('1JI2UE'!$K$6:$K$2989,'1JI2UE'!$J$6:$J$2989,"&gt;="&amp;AK7,'1JI2UE'!$J$6:$J$2989,"&lt;="&amp;EOMONTH(AK7,0),'1JI2UE'!$L$6:$L$2989,$B$32)+SUMIFS(#REF!,#REF!,"&gt;="&amp;AK7,#REF!,"&lt;="&amp;EOMONTH(AK7,0),#REF!,$B$32)+SUMIFS('1SI9BW'!$K$6:$K$2989,'1SI9BW'!$J$6:$J$2989,"&gt;="&amp;AK7,'1SI9BW'!$J$6:$J$2989,"&lt;="&amp;EOMONTH(AK7,0),'1SI9BW'!$L$6:$L$2989,$B$32)+SUMIFS(Suzuki!$K$6:$K$2989,Suzuki!$J$6:$J$2989,"&gt;="&amp;AK7,Suzuki!$J$6:$J$2989,"&lt;="&amp;EOMONTH(AK7,0),Suzuki!$L$6:$L$2989,$B$32)+SUMIFS('1SK3DD'!$K$6:$K$2989,'1SK3DD'!$J$6:$J$2989,"&gt;="&amp;AK7,'1SK3DD'!$J$6:$J$2989,"&lt;="&amp;EOMONTH(AK7,0),'1SK3DD'!$L$6:$L$2989,$B$32)+SUMIFS('1SX5TQ'!$K$6:$K$2989,'1SX5TQ'!$J$6:$J$2989,"&gt;="&amp;AK7,'1SX5TQ'!$J$6:$J$2989,"&lt;="&amp;EOMONTH(AK7,0),'1SX5TQ'!$L$6:$L$2989,$B$32)+SUMIFS('BMM465'!$K$6:$K$2989,'BMM465'!$J$6:$J$2989,"&gt;="&amp;AK7,'BMM465'!$J$6:$J$2989,"&lt;="&amp;EOMONTH(AK7,0),'BMM465'!$L$6:$L$2989,$B$32)+SUMIFS('1CF1ZO'!$K$6:$K$2989,'1CF1ZO'!$J$6:$J$2989,"&gt;="&amp;AK7,'1CF1ZO'!$J$6:$J$2989,"&lt;="&amp;EOMONTH(AK7,0),'1CF1ZO'!$L$6:$L$2989,$B$32)+SUMIFS('1UK1BK'!$K$6:$K$2989,'1UK1BK'!$J$6:$J$2989,"&gt;="&amp;AK7,'1UK1BK'!$J$6:$J$2989,"&lt;="&amp;EOMONTH(AK7,0),'1UK1BK'!$L$6:$L$2989,$B$32)</f>
        <v>#REF!</v>
      </c>
      <c r="AL32" s="110" t="e">
        <f>SUMIFS('Other Expense'!$G$8:$G$2966,'Other Expense'!$F$8:$F$2966,"&gt;="&amp;AL7,'Other Expense'!$F$8:$F$2966,"&lt;="&amp;EOMONTH(AL7,0),'Other Expense'!$H$8:$H$2966,$B$32)+SUMIFS('CEI565'!$K$6:$K$2990,'CEI565'!$J$6:$J$2990,"&gt;="&amp;AL7,'CEI565'!$J$6:$J$2990,"&lt;="&amp;EOMONTH(AL7,0),'CEI565'!$L$6:$L$2990,$B$32)+SUMIFS('1SM3VL'!$K$6:$K$2990,'1SM3VL'!$J$6:$J$2990,"&gt;="&amp;AL7,'1SM3VL'!$J$6:$J$2990,"&lt;="&amp;EOMONTH(AL7,0),'1SM3VL'!$L$6:$L$2990,$B$32)+SUMIFS('1QF4SM'!$K$6:$K$2989,'1QF4SM'!$J$6:$J$2989,"&gt;="&amp;AL7,'1QF4SM'!$J$6:$J$2989,"&lt;="&amp;EOMONTH(AL7,0),'1QF4SM'!$L$6:$L$2989,$B$32)+SUMIFS('1UV5KI'!$K$6:$K$2989,'1UV5KI'!$J$6:$J$2989,"&gt;="&amp;AL7,'1UV5KI'!$J$6:$J$2989,"&lt;="&amp;EOMONTH(AL7,0),'1UV5KI'!$L$6:$L$2989,$B$32)+SUMIFS(#REF!,#REF!,"&gt;="&amp;AL7,#REF!,"&lt;="&amp;EOMONTH(AL7,0),#REF!,$B$32)+SUMIFS('1UL9RY'!$K$6:$K$2990,'1UL9RY'!$J$6:$J$2990,"&gt;="&amp;AL7,'1UL9RY'!$J$6:$J$2990,"&lt;="&amp;EOMONTH(AL7,0),'1UL9RY'!$L$6:$L$2990,$B$32)+SUMIFS('1OZ7GT'!$K$6:$K$2989,'1OZ7GT'!$J$6:$J$2989,"&gt;="&amp;AL7,'1OZ7GT'!$J$6:$J$2989,"&lt;="&amp;EOMONTH(AL7,0),'1OZ7GT'!$L$6:$L$2989,$B$32)+SUMIFS('1CN8DD'!$K$6:$K$2989,'1CN8DD'!$J$6:$J$2989,"&gt;="&amp;AL7,'1CN8DD'!$J$6:$J$2989,"&lt;="&amp;EOMONTH(AL7,0),'1CN8DD'!$L$6:$L$2989,$B$32)+SUMIFS('1UT9BR'!$K$6:$K$2990,'1UT9BR'!$J$6:$J$2990,"&gt;="&amp;AL7,'1UT9BR'!$J$6:$J$2990,"&lt;="&amp;EOMONTH(AL7,0),'1UT9BR'!$L$6:$L$2990,$B$32)+SUMIFS('1MK4UR'!$K$6:$K$2990,'1MK4UR'!$J$6:$J$2990,"&gt;="&amp;AL7,'1MK4UR'!$J$6:$J$2990,"&lt;="&amp;EOMONTH(AL7,0),'1MK4UR'!$L$6:$L$2990,$B$32)+SUMIFS(#REF!,#REF!,"&gt;="&amp;AL7,#REF!,"&lt;="&amp;EOMONTH(AL7,0),#REF!,$B$32)+SUMIFS('1JI2UE'!$K$6:$K$2989,'1JI2UE'!$J$6:$J$2989,"&gt;="&amp;AL7,'1JI2UE'!$J$6:$J$2989,"&lt;="&amp;EOMONTH(AL7,0),'1JI2UE'!$L$6:$L$2989,$B$32)+SUMIFS(#REF!,#REF!,"&gt;="&amp;AL7,#REF!,"&lt;="&amp;EOMONTH(AL7,0),#REF!,$B$32)+SUMIFS('1SI9BW'!$K$6:$K$2989,'1SI9BW'!$J$6:$J$2989,"&gt;="&amp;AL7,'1SI9BW'!$J$6:$J$2989,"&lt;="&amp;EOMONTH(AL7,0),'1SI9BW'!$L$6:$L$2989,$B$32)+SUMIFS(Suzuki!$K$6:$K$2989,Suzuki!$J$6:$J$2989,"&gt;="&amp;AL7,Suzuki!$J$6:$J$2989,"&lt;="&amp;EOMONTH(AL7,0),Suzuki!$L$6:$L$2989,$B$32)+SUMIFS('1SK3DD'!$K$6:$K$2989,'1SK3DD'!$J$6:$J$2989,"&gt;="&amp;AL7,'1SK3DD'!$J$6:$J$2989,"&lt;="&amp;EOMONTH(AL7,0),'1SK3DD'!$L$6:$L$2989,$B$32)+SUMIFS('1SX5TQ'!$K$6:$K$2989,'1SX5TQ'!$J$6:$J$2989,"&gt;="&amp;AL7,'1SX5TQ'!$J$6:$J$2989,"&lt;="&amp;EOMONTH(AL7,0),'1SX5TQ'!$L$6:$L$2989,$B$32)+SUMIFS('BMM465'!$K$6:$K$2989,'BMM465'!$J$6:$J$2989,"&gt;="&amp;AL7,'BMM465'!$J$6:$J$2989,"&lt;="&amp;EOMONTH(AL7,0),'BMM465'!$L$6:$L$2989,$B$32)+SUMIFS('1CF1ZO'!$K$6:$K$2989,'1CF1ZO'!$J$6:$J$2989,"&gt;="&amp;AL7,'1CF1ZO'!$J$6:$J$2989,"&lt;="&amp;EOMONTH(AL7,0),'1CF1ZO'!$L$6:$L$2989,$B$32)+SUMIFS('1UK1BK'!$K$6:$K$2989,'1UK1BK'!$J$6:$J$2989,"&gt;="&amp;AL7,'1UK1BK'!$J$6:$J$2989,"&lt;="&amp;EOMONTH(AL7,0),'1UK1BK'!$L$6:$L$2989,$B$32)</f>
        <v>#REF!</v>
      </c>
      <c r="AM32" s="110" t="e">
        <f>SUMIFS('Other Expense'!$G$8:$G$2966,'Other Expense'!$F$8:$F$2966,"&gt;="&amp;AM7,'Other Expense'!$F$8:$F$2966,"&lt;="&amp;EOMONTH(AM7,0),'Other Expense'!$H$8:$H$2966,$B$32)+SUMIFS('CEI565'!$K$6:$K$2990,'CEI565'!$J$6:$J$2990,"&gt;="&amp;AM7,'CEI565'!$J$6:$J$2990,"&lt;="&amp;EOMONTH(AM7,0),'CEI565'!$L$6:$L$2990,$B$32)+SUMIFS('1SM3VL'!$K$6:$K$2990,'1SM3VL'!$J$6:$J$2990,"&gt;="&amp;AM7,'1SM3VL'!$J$6:$J$2990,"&lt;="&amp;EOMONTH(AM7,0),'1SM3VL'!$L$6:$L$2990,$B$32)+SUMIFS('1QF4SM'!$K$6:$K$2989,'1QF4SM'!$J$6:$J$2989,"&gt;="&amp;AM7,'1QF4SM'!$J$6:$J$2989,"&lt;="&amp;EOMONTH(AM7,0),'1QF4SM'!$L$6:$L$2989,$B$32)+SUMIFS('1UV5KI'!$K$6:$K$2989,'1UV5KI'!$J$6:$J$2989,"&gt;="&amp;AM7,'1UV5KI'!$J$6:$J$2989,"&lt;="&amp;EOMONTH(AM7,0),'1UV5KI'!$L$6:$L$2989,$B$32)+SUMIFS(#REF!,#REF!,"&gt;="&amp;AM7,#REF!,"&lt;="&amp;EOMONTH(AM7,0),#REF!,$B$32)+SUMIFS('1UL9RY'!$K$6:$K$2990,'1UL9RY'!$J$6:$J$2990,"&gt;="&amp;AM7,'1UL9RY'!$J$6:$J$2990,"&lt;="&amp;EOMONTH(AM7,0),'1UL9RY'!$L$6:$L$2990,$B$32)+SUMIFS('1OZ7GT'!$K$6:$K$2989,'1OZ7GT'!$J$6:$J$2989,"&gt;="&amp;AM7,'1OZ7GT'!$J$6:$J$2989,"&lt;="&amp;EOMONTH(AM7,0),'1OZ7GT'!$L$6:$L$2989,$B$32)+SUMIFS('1CN8DD'!$K$6:$K$2989,'1CN8DD'!$J$6:$J$2989,"&gt;="&amp;AM7,'1CN8DD'!$J$6:$J$2989,"&lt;="&amp;EOMONTH(AM7,0),'1CN8DD'!$L$6:$L$2989,$B$32)+SUMIFS('1UT9BR'!$K$6:$K$2990,'1UT9BR'!$J$6:$J$2990,"&gt;="&amp;AM7,'1UT9BR'!$J$6:$J$2990,"&lt;="&amp;EOMONTH(AM7,0),'1UT9BR'!$L$6:$L$2990,$B$32)+SUMIFS('1MK4UR'!$K$6:$K$2990,'1MK4UR'!$J$6:$J$2990,"&gt;="&amp;AM7,'1MK4UR'!$J$6:$J$2990,"&lt;="&amp;EOMONTH(AM7,0),'1MK4UR'!$L$6:$L$2990,$B$32)+SUMIFS(#REF!,#REF!,"&gt;="&amp;AM7,#REF!,"&lt;="&amp;EOMONTH(AM7,0),#REF!,$B$32)+SUMIFS('1JI2UE'!$K$6:$K$2989,'1JI2UE'!$J$6:$J$2989,"&gt;="&amp;AM7,'1JI2UE'!$J$6:$J$2989,"&lt;="&amp;EOMONTH(AM7,0),'1JI2UE'!$L$6:$L$2989,$B$32)+SUMIFS(#REF!,#REF!,"&gt;="&amp;AM7,#REF!,"&lt;="&amp;EOMONTH(AM7,0),#REF!,$B$32)+SUMIFS('1SI9BW'!$K$6:$K$2989,'1SI9BW'!$J$6:$J$2989,"&gt;="&amp;AM7,'1SI9BW'!$J$6:$J$2989,"&lt;="&amp;EOMONTH(AM7,0),'1SI9BW'!$L$6:$L$2989,$B$32)+SUMIFS(Suzuki!$K$6:$K$2989,Suzuki!$J$6:$J$2989,"&gt;="&amp;AM7,Suzuki!$J$6:$J$2989,"&lt;="&amp;EOMONTH(AM7,0),Suzuki!$L$6:$L$2989,$B$32)+SUMIFS('1SK3DD'!$K$6:$K$2989,'1SK3DD'!$J$6:$J$2989,"&gt;="&amp;AM7,'1SK3DD'!$J$6:$J$2989,"&lt;="&amp;EOMONTH(AM7,0),'1SK3DD'!$L$6:$L$2989,$B$32)+SUMIFS('1SX5TQ'!$K$6:$K$2989,'1SX5TQ'!$J$6:$J$2989,"&gt;="&amp;AM7,'1SX5TQ'!$J$6:$J$2989,"&lt;="&amp;EOMONTH(AM7,0),'1SX5TQ'!$L$6:$L$2989,$B$32)+SUMIFS('BMM465'!$K$6:$K$2989,'BMM465'!$J$6:$J$2989,"&gt;="&amp;AM7,'BMM465'!$J$6:$J$2989,"&lt;="&amp;EOMONTH(AM7,0),'BMM465'!$L$6:$L$2989,$B$32)+SUMIFS('1CF1ZO'!$K$6:$K$2989,'1CF1ZO'!$J$6:$J$2989,"&gt;="&amp;AM7,'1CF1ZO'!$J$6:$J$2989,"&lt;="&amp;EOMONTH(AM7,0),'1CF1ZO'!$L$6:$L$2989,$B$32)+SUMIFS('1UK1BK'!$K$6:$K$2989,'1UK1BK'!$J$6:$J$2989,"&gt;="&amp;AM7,'1UK1BK'!$J$6:$J$2989,"&lt;="&amp;EOMONTH(AM7,0),'1UK1BK'!$L$6:$L$2989,$B$32)</f>
        <v>#REF!</v>
      </c>
      <c r="AN32" s="110" t="e">
        <f>SUMIFS('Other Expense'!$G$8:$G$2966,'Other Expense'!$F$8:$F$2966,"&gt;="&amp;AN7,'Other Expense'!$F$8:$F$2966,"&lt;="&amp;EOMONTH(AN7,0),'Other Expense'!$H$8:$H$2966,$B$32)+SUMIFS('CEI565'!$K$6:$K$2990,'CEI565'!$J$6:$J$2990,"&gt;="&amp;AN7,'CEI565'!$J$6:$J$2990,"&lt;="&amp;EOMONTH(AN7,0),'CEI565'!$L$6:$L$2990,$B$32)+SUMIFS('1SM3VL'!$K$6:$K$2990,'1SM3VL'!$J$6:$J$2990,"&gt;="&amp;AN7,'1SM3VL'!$J$6:$J$2990,"&lt;="&amp;EOMONTH(AN7,0),'1SM3VL'!$L$6:$L$2990,$B$32)+SUMIFS('1QF4SM'!$K$6:$K$2989,'1QF4SM'!$J$6:$J$2989,"&gt;="&amp;AN7,'1QF4SM'!$J$6:$J$2989,"&lt;="&amp;EOMONTH(AN7,0),'1QF4SM'!$L$6:$L$2989,$B$32)+SUMIFS('1UV5KI'!$K$6:$K$2989,'1UV5KI'!$J$6:$J$2989,"&gt;="&amp;AN7,'1UV5KI'!$J$6:$J$2989,"&lt;="&amp;EOMONTH(AN7,0),'1UV5KI'!$L$6:$L$2989,$B$32)+SUMIFS(#REF!,#REF!,"&gt;="&amp;AN7,#REF!,"&lt;="&amp;EOMONTH(AN7,0),#REF!,$B$32)+SUMIFS('1UL9RY'!$K$6:$K$2990,'1UL9RY'!$J$6:$J$2990,"&gt;="&amp;AN7,'1UL9RY'!$J$6:$J$2990,"&lt;="&amp;EOMONTH(AN7,0),'1UL9RY'!$L$6:$L$2990,$B$32)+SUMIFS('1OZ7GT'!$K$6:$K$2989,'1OZ7GT'!$J$6:$J$2989,"&gt;="&amp;AN7,'1OZ7GT'!$J$6:$J$2989,"&lt;="&amp;EOMONTH(AN7,0),'1OZ7GT'!$L$6:$L$2989,$B$32)+SUMIFS('1CN8DD'!$K$6:$K$2989,'1CN8DD'!$J$6:$J$2989,"&gt;="&amp;AN7,'1CN8DD'!$J$6:$J$2989,"&lt;="&amp;EOMONTH(AN7,0),'1CN8DD'!$L$6:$L$2989,$B$32)+SUMIFS('1UT9BR'!$K$6:$K$2990,'1UT9BR'!$J$6:$J$2990,"&gt;="&amp;AN7,'1UT9BR'!$J$6:$J$2990,"&lt;="&amp;EOMONTH(AN7,0),'1UT9BR'!$L$6:$L$2990,$B$32)+SUMIFS('1MK4UR'!$K$6:$K$2990,'1MK4UR'!$J$6:$J$2990,"&gt;="&amp;AN7,'1MK4UR'!$J$6:$J$2990,"&lt;="&amp;EOMONTH(AN7,0),'1MK4UR'!$L$6:$L$2990,$B$32)+SUMIFS(#REF!,#REF!,"&gt;="&amp;AN7,#REF!,"&lt;="&amp;EOMONTH(AN7,0),#REF!,$B$32)+SUMIFS('1JI2UE'!$K$6:$K$2989,'1JI2UE'!$J$6:$J$2989,"&gt;="&amp;AN7,'1JI2UE'!$J$6:$J$2989,"&lt;="&amp;EOMONTH(AN7,0),'1JI2UE'!$L$6:$L$2989,$B$32)+SUMIFS(#REF!,#REF!,"&gt;="&amp;AN7,#REF!,"&lt;="&amp;EOMONTH(AN7,0),#REF!,$B$32)+SUMIFS('1SI9BW'!$K$6:$K$2989,'1SI9BW'!$J$6:$J$2989,"&gt;="&amp;AN7,'1SI9BW'!$J$6:$J$2989,"&lt;="&amp;EOMONTH(AN7,0),'1SI9BW'!$L$6:$L$2989,$B$32)+SUMIFS(Suzuki!$K$6:$K$2989,Suzuki!$J$6:$J$2989,"&gt;="&amp;AN7,Suzuki!$J$6:$J$2989,"&lt;="&amp;EOMONTH(AN7,0),Suzuki!$L$6:$L$2989,$B$32)+SUMIFS('1SK3DD'!$K$6:$K$2989,'1SK3DD'!$J$6:$J$2989,"&gt;="&amp;AN7,'1SK3DD'!$J$6:$J$2989,"&lt;="&amp;EOMONTH(AN7,0),'1SK3DD'!$L$6:$L$2989,$B$32)+SUMIFS('1SX5TQ'!$K$6:$K$2989,'1SX5TQ'!$J$6:$J$2989,"&gt;="&amp;AN7,'1SX5TQ'!$J$6:$J$2989,"&lt;="&amp;EOMONTH(AN7,0),'1SX5TQ'!$L$6:$L$2989,$B$32)+SUMIFS('BMM465'!$K$6:$K$2989,'BMM465'!$J$6:$J$2989,"&gt;="&amp;AN7,'BMM465'!$J$6:$J$2989,"&lt;="&amp;EOMONTH(AN7,0),'BMM465'!$L$6:$L$2989,$B$32)+SUMIFS('1CF1ZO'!$K$6:$K$2989,'1CF1ZO'!$J$6:$J$2989,"&gt;="&amp;AN7,'1CF1ZO'!$J$6:$J$2989,"&lt;="&amp;EOMONTH(AN7,0),'1CF1ZO'!$L$6:$L$2989,$B$32)+SUMIFS('1UK1BK'!$K$6:$K$2989,'1UK1BK'!$J$6:$J$2989,"&gt;="&amp;AN7,'1UK1BK'!$J$6:$J$2989,"&lt;="&amp;EOMONTH(AN7,0),'1UK1BK'!$L$6:$L$2989,$B$32)</f>
        <v>#REF!</v>
      </c>
      <c r="AO32" s="110" t="e">
        <f>SUMIFS('Other Expense'!$G$8:$G$2966,'Other Expense'!$F$8:$F$2966,"&gt;="&amp;AO7,'Other Expense'!$F$8:$F$2966,"&lt;="&amp;EOMONTH(AO7,0),'Other Expense'!$H$8:$H$2966,$B$32)+SUMIFS('CEI565'!$K$6:$K$2990,'CEI565'!$J$6:$J$2990,"&gt;="&amp;AO7,'CEI565'!$J$6:$J$2990,"&lt;="&amp;EOMONTH(AO7,0),'CEI565'!$L$6:$L$2990,$B$32)+SUMIFS('1SM3VL'!$K$6:$K$2990,'1SM3VL'!$J$6:$J$2990,"&gt;="&amp;AO7,'1SM3VL'!$J$6:$J$2990,"&lt;="&amp;EOMONTH(AO7,0),'1SM3VL'!$L$6:$L$2990,$B$32)+SUMIFS('1QF4SM'!$K$6:$K$2989,'1QF4SM'!$J$6:$J$2989,"&gt;="&amp;AO7,'1QF4SM'!$J$6:$J$2989,"&lt;="&amp;EOMONTH(AO7,0),'1QF4SM'!$L$6:$L$2989,$B$32)+SUMIFS('1UV5KI'!$K$6:$K$2989,'1UV5KI'!$J$6:$J$2989,"&gt;="&amp;AO7,'1UV5KI'!$J$6:$J$2989,"&lt;="&amp;EOMONTH(AO7,0),'1UV5KI'!$L$6:$L$2989,$B$32)+SUMIFS(#REF!,#REF!,"&gt;="&amp;AO7,#REF!,"&lt;="&amp;EOMONTH(AO7,0),#REF!,$B$32)+SUMIFS('1UL9RY'!$K$6:$K$2990,'1UL9RY'!$J$6:$J$2990,"&gt;="&amp;AO7,'1UL9RY'!$J$6:$J$2990,"&lt;="&amp;EOMONTH(AO7,0),'1UL9RY'!$L$6:$L$2990,$B$32)+SUMIFS('1OZ7GT'!$K$6:$K$2989,'1OZ7GT'!$J$6:$J$2989,"&gt;="&amp;AO7,'1OZ7GT'!$J$6:$J$2989,"&lt;="&amp;EOMONTH(AO7,0),'1OZ7GT'!$L$6:$L$2989,$B$32)+SUMIFS('1CN8DD'!$K$6:$K$2989,'1CN8DD'!$J$6:$J$2989,"&gt;="&amp;AO7,'1CN8DD'!$J$6:$J$2989,"&lt;="&amp;EOMONTH(AO7,0),'1CN8DD'!$L$6:$L$2989,$B$32)+SUMIFS('1UT9BR'!$K$6:$K$2990,'1UT9BR'!$J$6:$J$2990,"&gt;="&amp;AO7,'1UT9BR'!$J$6:$J$2990,"&lt;="&amp;EOMONTH(AO7,0),'1UT9BR'!$L$6:$L$2990,$B$32)+SUMIFS('1MK4UR'!$K$6:$K$2990,'1MK4UR'!$J$6:$J$2990,"&gt;="&amp;AO7,'1MK4UR'!$J$6:$J$2990,"&lt;="&amp;EOMONTH(AO7,0),'1MK4UR'!$L$6:$L$2990,$B$32)+SUMIFS(#REF!,#REF!,"&gt;="&amp;AO7,#REF!,"&lt;="&amp;EOMONTH(AO7,0),#REF!,$B$32)+SUMIFS('1JI2UE'!$K$6:$K$2989,'1JI2UE'!$J$6:$J$2989,"&gt;="&amp;AO7,'1JI2UE'!$J$6:$J$2989,"&lt;="&amp;EOMONTH(AO7,0),'1JI2UE'!$L$6:$L$2989,$B$32)+SUMIFS(#REF!,#REF!,"&gt;="&amp;AO7,#REF!,"&lt;="&amp;EOMONTH(AO7,0),#REF!,$B$32)+SUMIFS('1SI9BW'!$K$6:$K$2989,'1SI9BW'!$J$6:$J$2989,"&gt;="&amp;AO7,'1SI9BW'!$J$6:$J$2989,"&lt;="&amp;EOMONTH(AO7,0),'1SI9BW'!$L$6:$L$2989,$B$32)+SUMIFS(Suzuki!$K$6:$K$2989,Suzuki!$J$6:$J$2989,"&gt;="&amp;AO7,Suzuki!$J$6:$J$2989,"&lt;="&amp;EOMONTH(AO7,0),Suzuki!$L$6:$L$2989,$B$32)+SUMIFS('1SK3DD'!$K$6:$K$2989,'1SK3DD'!$J$6:$J$2989,"&gt;="&amp;AO7,'1SK3DD'!$J$6:$J$2989,"&lt;="&amp;EOMONTH(AO7,0),'1SK3DD'!$L$6:$L$2989,$B$32)+SUMIFS('1SX5TQ'!$K$6:$K$2989,'1SX5TQ'!$J$6:$J$2989,"&gt;="&amp;AO7,'1SX5TQ'!$J$6:$J$2989,"&lt;="&amp;EOMONTH(AO7,0),'1SX5TQ'!$L$6:$L$2989,$B$32)+SUMIFS('BMM465'!$K$6:$K$2989,'BMM465'!$J$6:$J$2989,"&gt;="&amp;AO7,'BMM465'!$J$6:$J$2989,"&lt;="&amp;EOMONTH(AO7,0),'BMM465'!$L$6:$L$2989,$B$32)+SUMIFS('1CF1ZO'!$K$6:$K$2989,'1CF1ZO'!$J$6:$J$2989,"&gt;="&amp;AO7,'1CF1ZO'!$J$6:$J$2989,"&lt;="&amp;EOMONTH(AO7,0),'1CF1ZO'!$L$6:$L$2989,$B$32)+SUMIFS('1UK1BK'!$K$6:$K$2989,'1UK1BK'!$J$6:$J$2989,"&gt;="&amp;AO7,'1UK1BK'!$J$6:$J$2989,"&lt;="&amp;EOMONTH(AO7,0),'1UK1BK'!$L$6:$L$2989,$B$32)</f>
        <v>#REF!</v>
      </c>
      <c r="AP32" s="110" t="e">
        <f>SUMIFS('Other Expense'!$G$8:$G$2966,'Other Expense'!$F$8:$F$2966,"&gt;="&amp;AP7,'Other Expense'!$F$8:$F$2966,"&lt;="&amp;EOMONTH(AP7,0),'Other Expense'!$H$8:$H$2966,$B$32)+SUMIFS('CEI565'!$K$6:$K$2990,'CEI565'!$J$6:$J$2990,"&gt;="&amp;AP7,'CEI565'!$J$6:$J$2990,"&lt;="&amp;EOMONTH(AP7,0),'CEI565'!$L$6:$L$2990,$B$32)+SUMIFS('1SM3VL'!$K$6:$K$2990,'1SM3VL'!$J$6:$J$2990,"&gt;="&amp;AP7,'1SM3VL'!$J$6:$J$2990,"&lt;="&amp;EOMONTH(AP7,0),'1SM3VL'!$L$6:$L$2990,$B$32)+SUMIFS('1QF4SM'!$K$6:$K$2989,'1QF4SM'!$J$6:$J$2989,"&gt;="&amp;AP7,'1QF4SM'!$J$6:$J$2989,"&lt;="&amp;EOMONTH(AP7,0),'1QF4SM'!$L$6:$L$2989,$B$32)+SUMIFS('1UV5KI'!$K$6:$K$2989,'1UV5KI'!$J$6:$J$2989,"&gt;="&amp;AP7,'1UV5KI'!$J$6:$J$2989,"&lt;="&amp;EOMONTH(AP7,0),'1UV5KI'!$L$6:$L$2989,$B$32)+SUMIFS(#REF!,#REF!,"&gt;="&amp;AP7,#REF!,"&lt;="&amp;EOMONTH(AP7,0),#REF!,$B$32)+SUMIFS('1UL9RY'!$K$6:$K$2990,'1UL9RY'!$J$6:$J$2990,"&gt;="&amp;AP7,'1UL9RY'!$J$6:$J$2990,"&lt;="&amp;EOMONTH(AP7,0),'1UL9RY'!$L$6:$L$2990,$B$32)+SUMIFS('1OZ7GT'!$K$6:$K$2989,'1OZ7GT'!$J$6:$J$2989,"&gt;="&amp;AP7,'1OZ7GT'!$J$6:$J$2989,"&lt;="&amp;EOMONTH(AP7,0),'1OZ7GT'!$L$6:$L$2989,$B$32)+SUMIFS('1CN8DD'!$K$6:$K$2989,'1CN8DD'!$J$6:$J$2989,"&gt;="&amp;AP7,'1CN8DD'!$J$6:$J$2989,"&lt;="&amp;EOMONTH(AP7,0),'1CN8DD'!$L$6:$L$2989,$B$32)+SUMIFS('1UT9BR'!$K$6:$K$2990,'1UT9BR'!$J$6:$J$2990,"&gt;="&amp;AP7,'1UT9BR'!$J$6:$J$2990,"&lt;="&amp;EOMONTH(AP7,0),'1UT9BR'!$L$6:$L$2990,$B$32)+SUMIFS('1MK4UR'!$K$6:$K$2990,'1MK4UR'!$J$6:$J$2990,"&gt;="&amp;AP7,'1MK4UR'!$J$6:$J$2990,"&lt;="&amp;EOMONTH(AP7,0),'1MK4UR'!$L$6:$L$2990,$B$32)+SUMIFS(#REF!,#REF!,"&gt;="&amp;AP7,#REF!,"&lt;="&amp;EOMONTH(AP7,0),#REF!,$B$32)+SUMIFS('1JI2UE'!$K$6:$K$2989,'1JI2UE'!$J$6:$J$2989,"&gt;="&amp;AP7,'1JI2UE'!$J$6:$J$2989,"&lt;="&amp;EOMONTH(AP7,0),'1JI2UE'!$L$6:$L$2989,$B$32)+SUMIFS(#REF!,#REF!,"&gt;="&amp;AP7,#REF!,"&lt;="&amp;EOMONTH(AP7,0),#REF!,$B$32)+SUMIFS('1SI9BW'!$K$6:$K$2989,'1SI9BW'!$J$6:$J$2989,"&gt;="&amp;AP7,'1SI9BW'!$J$6:$J$2989,"&lt;="&amp;EOMONTH(AP7,0),'1SI9BW'!$L$6:$L$2989,$B$32)+SUMIFS(Suzuki!$K$6:$K$2989,Suzuki!$J$6:$J$2989,"&gt;="&amp;AP7,Suzuki!$J$6:$J$2989,"&lt;="&amp;EOMONTH(AP7,0),Suzuki!$L$6:$L$2989,$B$32)+SUMIFS('1SK3DD'!$K$6:$K$2989,'1SK3DD'!$J$6:$J$2989,"&gt;="&amp;AP7,'1SK3DD'!$J$6:$J$2989,"&lt;="&amp;EOMONTH(AP7,0),'1SK3DD'!$L$6:$L$2989,$B$32)+SUMIFS('1SX5TQ'!$K$6:$K$2989,'1SX5TQ'!$J$6:$J$2989,"&gt;="&amp;AP7,'1SX5TQ'!$J$6:$J$2989,"&lt;="&amp;EOMONTH(AP7,0),'1SX5TQ'!$L$6:$L$2989,$B$32)+SUMIFS('BMM465'!$K$6:$K$2989,'BMM465'!$J$6:$J$2989,"&gt;="&amp;AP7,'BMM465'!$J$6:$J$2989,"&lt;="&amp;EOMONTH(AP7,0),'BMM465'!$L$6:$L$2989,$B$32)+SUMIFS('1CF1ZO'!$K$6:$K$2989,'1CF1ZO'!$J$6:$J$2989,"&gt;="&amp;AP7,'1CF1ZO'!$J$6:$J$2989,"&lt;="&amp;EOMONTH(AP7,0),'1CF1ZO'!$L$6:$L$2989,$B$32)+SUMIFS('1UK1BK'!$K$6:$K$2989,'1UK1BK'!$J$6:$J$2989,"&gt;="&amp;AP7,'1UK1BK'!$J$6:$J$2989,"&lt;="&amp;EOMONTH(AP7,0),'1UK1BK'!$L$6:$L$2989,$B$32)</f>
        <v>#REF!</v>
      </c>
      <c r="AQ32" s="110" t="e">
        <f>SUMIFS('Other Expense'!$G$8:$G$2966,'Other Expense'!$F$8:$F$2966,"&gt;="&amp;AQ7,'Other Expense'!$F$8:$F$2966,"&lt;="&amp;EOMONTH(AQ7,0),'Other Expense'!$H$8:$H$2966,$B$32)+SUMIFS('CEI565'!$K$6:$K$2990,'CEI565'!$J$6:$J$2990,"&gt;="&amp;AQ7,'CEI565'!$J$6:$J$2990,"&lt;="&amp;EOMONTH(AQ7,0),'CEI565'!$L$6:$L$2990,$B$32)+SUMIFS('1SM3VL'!$K$6:$K$2990,'1SM3VL'!$J$6:$J$2990,"&gt;="&amp;AQ7,'1SM3VL'!$J$6:$J$2990,"&lt;="&amp;EOMONTH(AQ7,0),'1SM3VL'!$L$6:$L$2990,$B$32)+SUMIFS('1QF4SM'!$K$6:$K$2989,'1QF4SM'!$J$6:$J$2989,"&gt;="&amp;AQ7,'1QF4SM'!$J$6:$J$2989,"&lt;="&amp;EOMONTH(AQ7,0),'1QF4SM'!$L$6:$L$2989,$B$32)+SUMIFS('1UV5KI'!$K$6:$K$2989,'1UV5KI'!$J$6:$J$2989,"&gt;="&amp;AQ7,'1UV5KI'!$J$6:$J$2989,"&lt;="&amp;EOMONTH(AQ7,0),'1UV5KI'!$L$6:$L$2989,$B$32)+SUMIFS(#REF!,#REF!,"&gt;="&amp;AQ7,#REF!,"&lt;="&amp;EOMONTH(AQ7,0),#REF!,$B$32)+SUMIFS('1UL9RY'!$K$6:$K$2990,'1UL9RY'!$J$6:$J$2990,"&gt;="&amp;AQ7,'1UL9RY'!$J$6:$J$2990,"&lt;="&amp;EOMONTH(AQ7,0),'1UL9RY'!$L$6:$L$2990,$B$32)+SUMIFS('1OZ7GT'!$K$6:$K$2989,'1OZ7GT'!$J$6:$J$2989,"&gt;="&amp;AQ7,'1OZ7GT'!$J$6:$J$2989,"&lt;="&amp;EOMONTH(AQ7,0),'1OZ7GT'!$L$6:$L$2989,$B$32)+SUMIFS('1CN8DD'!$K$6:$K$2989,'1CN8DD'!$J$6:$J$2989,"&gt;="&amp;AQ7,'1CN8DD'!$J$6:$J$2989,"&lt;="&amp;EOMONTH(AQ7,0),'1CN8DD'!$L$6:$L$2989,$B$32)+SUMIFS('1UT9BR'!$K$6:$K$2990,'1UT9BR'!$J$6:$J$2990,"&gt;="&amp;AQ7,'1UT9BR'!$J$6:$J$2990,"&lt;="&amp;EOMONTH(AQ7,0),'1UT9BR'!$L$6:$L$2990,$B$32)+SUMIFS('1MK4UR'!$K$6:$K$2990,'1MK4UR'!$J$6:$J$2990,"&gt;="&amp;AQ7,'1MK4UR'!$J$6:$J$2990,"&lt;="&amp;EOMONTH(AQ7,0),'1MK4UR'!$L$6:$L$2990,$B$32)+SUMIFS(#REF!,#REF!,"&gt;="&amp;AQ7,#REF!,"&lt;="&amp;EOMONTH(AQ7,0),#REF!,$B$32)+SUMIFS('1JI2UE'!$K$6:$K$2989,'1JI2UE'!$J$6:$J$2989,"&gt;="&amp;AQ7,'1JI2UE'!$J$6:$J$2989,"&lt;="&amp;EOMONTH(AQ7,0),'1JI2UE'!$L$6:$L$2989,$B$32)+SUMIFS(#REF!,#REF!,"&gt;="&amp;AQ7,#REF!,"&lt;="&amp;EOMONTH(AQ7,0),#REF!,$B$32)+SUMIFS('1SI9BW'!$K$6:$K$2989,'1SI9BW'!$J$6:$J$2989,"&gt;="&amp;AQ7,'1SI9BW'!$J$6:$J$2989,"&lt;="&amp;EOMONTH(AQ7,0),'1SI9BW'!$L$6:$L$2989,$B$32)+SUMIFS(Suzuki!$K$6:$K$2989,Suzuki!$J$6:$J$2989,"&gt;="&amp;AQ7,Suzuki!$J$6:$J$2989,"&lt;="&amp;EOMONTH(AQ7,0),Suzuki!$L$6:$L$2989,$B$32)+SUMIFS('1SK3DD'!$K$6:$K$2989,'1SK3DD'!$J$6:$J$2989,"&gt;="&amp;AQ7,'1SK3DD'!$J$6:$J$2989,"&lt;="&amp;EOMONTH(AQ7,0),'1SK3DD'!$L$6:$L$2989,$B$32)+SUMIFS('1SX5TQ'!$K$6:$K$2989,'1SX5TQ'!$J$6:$J$2989,"&gt;="&amp;AQ7,'1SX5TQ'!$J$6:$J$2989,"&lt;="&amp;EOMONTH(AQ7,0),'1SX5TQ'!$L$6:$L$2989,$B$32)+SUMIFS('BMM465'!$K$6:$K$2989,'BMM465'!$J$6:$J$2989,"&gt;="&amp;AQ7,'BMM465'!$J$6:$J$2989,"&lt;="&amp;EOMONTH(AQ7,0),'BMM465'!$L$6:$L$2989,$B$32)+SUMIFS('1CF1ZO'!$K$6:$K$2989,'1CF1ZO'!$J$6:$J$2989,"&gt;="&amp;AQ7,'1CF1ZO'!$J$6:$J$2989,"&lt;="&amp;EOMONTH(AQ7,0),'1CF1ZO'!$L$6:$L$2989,$B$32)+SUMIFS('1UK1BK'!$K$6:$K$2989,'1UK1BK'!$J$6:$J$2989,"&gt;="&amp;AQ7,'1UK1BK'!$J$6:$J$2989,"&lt;="&amp;EOMONTH(AQ7,0),'1UK1BK'!$L$6:$L$2989,$B$32)</f>
        <v>#REF!</v>
      </c>
      <c r="AR32" s="110" t="e">
        <f>SUMIFS('Other Expense'!$G$8:$G$2966,'Other Expense'!$F$8:$F$2966,"&gt;="&amp;AR7,'Other Expense'!$F$8:$F$2966,"&lt;="&amp;EOMONTH(AR7,0),'Other Expense'!$H$8:$H$2966,$B$32)+SUMIFS('CEI565'!$K$6:$K$2990,'CEI565'!$J$6:$J$2990,"&gt;="&amp;AR7,'CEI565'!$J$6:$J$2990,"&lt;="&amp;EOMONTH(AR7,0),'CEI565'!$L$6:$L$2990,$B$32)+SUMIFS('1SM3VL'!$K$6:$K$2990,'1SM3VL'!$J$6:$J$2990,"&gt;="&amp;AR7,'1SM3VL'!$J$6:$J$2990,"&lt;="&amp;EOMONTH(AR7,0),'1SM3VL'!$L$6:$L$2990,$B$32)+SUMIFS('1QF4SM'!$K$6:$K$2989,'1QF4SM'!$J$6:$J$2989,"&gt;="&amp;AR7,'1QF4SM'!$J$6:$J$2989,"&lt;="&amp;EOMONTH(AR7,0),'1QF4SM'!$L$6:$L$2989,$B$32)+SUMIFS('1UV5KI'!$K$6:$K$2989,'1UV5KI'!$J$6:$J$2989,"&gt;="&amp;AR7,'1UV5KI'!$J$6:$J$2989,"&lt;="&amp;EOMONTH(AR7,0),'1UV5KI'!$L$6:$L$2989,$B$32)+SUMIFS(#REF!,#REF!,"&gt;="&amp;AR7,#REF!,"&lt;="&amp;EOMONTH(AR7,0),#REF!,$B$32)+SUMIFS('1UL9RY'!$K$6:$K$2990,'1UL9RY'!$J$6:$J$2990,"&gt;="&amp;AR7,'1UL9RY'!$J$6:$J$2990,"&lt;="&amp;EOMONTH(AR7,0),'1UL9RY'!$L$6:$L$2990,$B$32)+SUMIFS('1OZ7GT'!$K$6:$K$2989,'1OZ7GT'!$J$6:$J$2989,"&gt;="&amp;AR7,'1OZ7GT'!$J$6:$J$2989,"&lt;="&amp;EOMONTH(AR7,0),'1OZ7GT'!$L$6:$L$2989,$B$32)+SUMIFS('1CN8DD'!$K$6:$K$2989,'1CN8DD'!$J$6:$J$2989,"&gt;="&amp;AR7,'1CN8DD'!$J$6:$J$2989,"&lt;="&amp;EOMONTH(AR7,0),'1CN8DD'!$L$6:$L$2989,$B$32)+SUMIFS('1UT9BR'!$K$6:$K$2990,'1UT9BR'!$J$6:$J$2990,"&gt;="&amp;AR7,'1UT9BR'!$J$6:$J$2990,"&lt;="&amp;EOMONTH(AR7,0),'1UT9BR'!$L$6:$L$2990,$B$32)+SUMIFS('1MK4UR'!$K$6:$K$2990,'1MK4UR'!$J$6:$J$2990,"&gt;="&amp;AR7,'1MK4UR'!$J$6:$J$2990,"&lt;="&amp;EOMONTH(AR7,0),'1MK4UR'!$L$6:$L$2990,$B$32)+SUMIFS(#REF!,#REF!,"&gt;="&amp;AR7,#REF!,"&lt;="&amp;EOMONTH(AR7,0),#REF!,$B$32)+SUMIFS('1JI2UE'!$K$6:$K$2989,'1JI2UE'!$J$6:$J$2989,"&gt;="&amp;AR7,'1JI2UE'!$J$6:$J$2989,"&lt;="&amp;EOMONTH(AR7,0),'1JI2UE'!$L$6:$L$2989,$B$32)+SUMIFS(#REF!,#REF!,"&gt;="&amp;AR7,#REF!,"&lt;="&amp;EOMONTH(AR7,0),#REF!,$B$32)+SUMIFS('1SI9BW'!$K$6:$K$2989,'1SI9BW'!$J$6:$J$2989,"&gt;="&amp;AR7,'1SI9BW'!$J$6:$J$2989,"&lt;="&amp;EOMONTH(AR7,0),'1SI9BW'!$L$6:$L$2989,$B$32)+SUMIFS(Suzuki!$K$6:$K$2989,Suzuki!$J$6:$J$2989,"&gt;="&amp;AR7,Suzuki!$J$6:$J$2989,"&lt;="&amp;EOMONTH(AR7,0),Suzuki!$L$6:$L$2989,$B$32)+SUMIFS('1SK3DD'!$K$6:$K$2989,'1SK3DD'!$J$6:$J$2989,"&gt;="&amp;AR7,'1SK3DD'!$J$6:$J$2989,"&lt;="&amp;EOMONTH(AR7,0),'1SK3DD'!$L$6:$L$2989,$B$32)+SUMIFS('1SX5TQ'!$K$6:$K$2989,'1SX5TQ'!$J$6:$J$2989,"&gt;="&amp;AR7,'1SX5TQ'!$J$6:$J$2989,"&lt;="&amp;EOMONTH(AR7,0),'1SX5TQ'!$L$6:$L$2989,$B$32)+SUMIFS('BMM465'!$K$6:$K$2989,'BMM465'!$J$6:$J$2989,"&gt;="&amp;AR7,'BMM465'!$J$6:$J$2989,"&lt;="&amp;EOMONTH(AR7,0),'BMM465'!$L$6:$L$2989,$B$32)+SUMIFS('1CF1ZO'!$K$6:$K$2989,'1CF1ZO'!$J$6:$J$2989,"&gt;="&amp;AR7,'1CF1ZO'!$J$6:$J$2989,"&lt;="&amp;EOMONTH(AR7,0),'1CF1ZO'!$L$6:$L$2989,$B$32)+SUMIFS('1UK1BK'!$K$6:$K$2989,'1UK1BK'!$J$6:$J$2989,"&gt;="&amp;AR7,'1UK1BK'!$J$6:$J$2989,"&lt;="&amp;EOMONTH(AR7,0),'1UK1BK'!$L$6:$L$2989,$B$32)</f>
        <v>#REF!</v>
      </c>
      <c r="AS32" s="110" t="e">
        <f>SUMIFS('Other Expense'!$G$8:$G$2966,'Other Expense'!$F$8:$F$2966,"&gt;="&amp;AS7,'Other Expense'!$F$8:$F$2966,"&lt;="&amp;EOMONTH(AS7,0),'Other Expense'!$H$8:$H$2966,$B$32)+SUMIFS('CEI565'!$K$6:$K$2990,'CEI565'!$J$6:$J$2990,"&gt;="&amp;AS7,'CEI565'!$J$6:$J$2990,"&lt;="&amp;EOMONTH(AS7,0),'CEI565'!$L$6:$L$2990,$B$32)+SUMIFS('1SM3VL'!$K$6:$K$2990,'1SM3VL'!$J$6:$J$2990,"&gt;="&amp;AS7,'1SM3VL'!$J$6:$J$2990,"&lt;="&amp;EOMONTH(AS7,0),'1SM3VL'!$L$6:$L$2990,$B$32)+SUMIFS('1QF4SM'!$K$6:$K$2989,'1QF4SM'!$J$6:$J$2989,"&gt;="&amp;AS7,'1QF4SM'!$J$6:$J$2989,"&lt;="&amp;EOMONTH(AS7,0),'1QF4SM'!$L$6:$L$2989,$B$32)+SUMIFS('1UV5KI'!$K$6:$K$2989,'1UV5KI'!$J$6:$J$2989,"&gt;="&amp;AS7,'1UV5KI'!$J$6:$J$2989,"&lt;="&amp;EOMONTH(AS7,0),'1UV5KI'!$L$6:$L$2989,$B$32)+SUMIFS(#REF!,#REF!,"&gt;="&amp;AS7,#REF!,"&lt;="&amp;EOMONTH(AS7,0),#REF!,$B$32)+SUMIFS('1UL9RY'!$K$6:$K$2990,'1UL9RY'!$J$6:$J$2990,"&gt;="&amp;AS7,'1UL9RY'!$J$6:$J$2990,"&lt;="&amp;EOMONTH(AS7,0),'1UL9RY'!$L$6:$L$2990,$B$32)+SUMIFS('1OZ7GT'!$K$6:$K$2989,'1OZ7GT'!$J$6:$J$2989,"&gt;="&amp;AS7,'1OZ7GT'!$J$6:$J$2989,"&lt;="&amp;EOMONTH(AS7,0),'1OZ7GT'!$L$6:$L$2989,$B$32)+SUMIFS('1CN8DD'!$K$6:$K$2989,'1CN8DD'!$J$6:$J$2989,"&gt;="&amp;AS7,'1CN8DD'!$J$6:$J$2989,"&lt;="&amp;EOMONTH(AS7,0),'1CN8DD'!$L$6:$L$2989,$B$32)+SUMIFS('1UT9BR'!$K$6:$K$2990,'1UT9BR'!$J$6:$J$2990,"&gt;="&amp;AS7,'1UT9BR'!$J$6:$J$2990,"&lt;="&amp;EOMONTH(AS7,0),'1UT9BR'!$L$6:$L$2990,$B$32)+SUMIFS('1MK4UR'!$K$6:$K$2990,'1MK4UR'!$J$6:$J$2990,"&gt;="&amp;AS7,'1MK4UR'!$J$6:$J$2990,"&lt;="&amp;EOMONTH(AS7,0),'1MK4UR'!$L$6:$L$2990,$B$32)+SUMIFS(#REF!,#REF!,"&gt;="&amp;AS7,#REF!,"&lt;="&amp;EOMONTH(AS7,0),#REF!,$B$32)+SUMIFS('1JI2UE'!$K$6:$K$2989,'1JI2UE'!$J$6:$J$2989,"&gt;="&amp;AS7,'1JI2UE'!$J$6:$J$2989,"&lt;="&amp;EOMONTH(AS7,0),'1JI2UE'!$L$6:$L$2989,$B$32)+SUMIFS(#REF!,#REF!,"&gt;="&amp;AS7,#REF!,"&lt;="&amp;EOMONTH(AS7,0),#REF!,$B$32)+SUMIFS('1SI9BW'!$K$6:$K$2989,'1SI9BW'!$J$6:$J$2989,"&gt;="&amp;AS7,'1SI9BW'!$J$6:$J$2989,"&lt;="&amp;EOMONTH(AS7,0),'1SI9BW'!$L$6:$L$2989,$B$32)+SUMIFS(Suzuki!$K$6:$K$2989,Suzuki!$J$6:$J$2989,"&gt;="&amp;AS7,Suzuki!$J$6:$J$2989,"&lt;="&amp;EOMONTH(AS7,0),Suzuki!$L$6:$L$2989,$B$32)+SUMIFS('1SK3DD'!$K$6:$K$2989,'1SK3DD'!$J$6:$J$2989,"&gt;="&amp;AS7,'1SK3DD'!$J$6:$J$2989,"&lt;="&amp;EOMONTH(AS7,0),'1SK3DD'!$L$6:$L$2989,$B$32)+SUMIFS('1SX5TQ'!$K$6:$K$2989,'1SX5TQ'!$J$6:$J$2989,"&gt;="&amp;AS7,'1SX5TQ'!$J$6:$J$2989,"&lt;="&amp;EOMONTH(AS7,0),'1SX5TQ'!$L$6:$L$2989,$B$32)+SUMIFS('BMM465'!$K$6:$K$2989,'BMM465'!$J$6:$J$2989,"&gt;="&amp;AS7,'BMM465'!$J$6:$J$2989,"&lt;="&amp;EOMONTH(AS7,0),'BMM465'!$L$6:$L$2989,$B$32)+SUMIFS('1CF1ZO'!$K$6:$K$2989,'1CF1ZO'!$J$6:$J$2989,"&gt;="&amp;AS7,'1CF1ZO'!$J$6:$J$2989,"&lt;="&amp;EOMONTH(AS7,0),'1CF1ZO'!$L$6:$L$2989,$B$32)+SUMIFS('1UK1BK'!$K$6:$K$2989,'1UK1BK'!$J$6:$J$2989,"&gt;="&amp;AS7,'1UK1BK'!$J$6:$J$2989,"&lt;="&amp;EOMONTH(AS7,0),'1UK1BK'!$L$6:$L$2989,$B$32)</f>
        <v>#REF!</v>
      </c>
      <c r="AT32" s="110" t="e">
        <f>SUMIFS('Other Expense'!$G$8:$G$2966,'Other Expense'!$F$8:$F$2966,"&gt;="&amp;AT7,'Other Expense'!$F$8:$F$2966,"&lt;="&amp;EOMONTH(AT7,0),'Other Expense'!$H$8:$H$2966,$B$32)+SUMIFS('CEI565'!$K$6:$K$2990,'CEI565'!$J$6:$J$2990,"&gt;="&amp;AT7,'CEI565'!$J$6:$J$2990,"&lt;="&amp;EOMONTH(AT7,0),'CEI565'!$L$6:$L$2990,$B$32)+SUMIFS('1SM3VL'!$K$6:$K$2990,'1SM3VL'!$J$6:$J$2990,"&gt;="&amp;AT7,'1SM3VL'!$J$6:$J$2990,"&lt;="&amp;EOMONTH(AT7,0),'1SM3VL'!$L$6:$L$2990,$B$32)+SUMIFS('1QF4SM'!$K$6:$K$2989,'1QF4SM'!$J$6:$J$2989,"&gt;="&amp;AT7,'1QF4SM'!$J$6:$J$2989,"&lt;="&amp;EOMONTH(AT7,0),'1QF4SM'!$L$6:$L$2989,$B$32)+SUMIFS('1UV5KI'!$K$6:$K$2989,'1UV5KI'!$J$6:$J$2989,"&gt;="&amp;AT7,'1UV5KI'!$J$6:$J$2989,"&lt;="&amp;EOMONTH(AT7,0),'1UV5KI'!$L$6:$L$2989,$B$32)+SUMIFS(#REF!,#REF!,"&gt;="&amp;AT7,#REF!,"&lt;="&amp;EOMONTH(AT7,0),#REF!,$B$32)+SUMIFS('1UL9RY'!$K$6:$K$2990,'1UL9RY'!$J$6:$J$2990,"&gt;="&amp;AT7,'1UL9RY'!$J$6:$J$2990,"&lt;="&amp;EOMONTH(AT7,0),'1UL9RY'!$L$6:$L$2990,$B$32)+SUMIFS('1OZ7GT'!$K$6:$K$2989,'1OZ7GT'!$J$6:$J$2989,"&gt;="&amp;AT7,'1OZ7GT'!$J$6:$J$2989,"&lt;="&amp;EOMONTH(AT7,0),'1OZ7GT'!$L$6:$L$2989,$B$32)+SUMIFS('1CN8DD'!$K$6:$K$2989,'1CN8DD'!$J$6:$J$2989,"&gt;="&amp;AT7,'1CN8DD'!$J$6:$J$2989,"&lt;="&amp;EOMONTH(AT7,0),'1CN8DD'!$L$6:$L$2989,$B$32)+SUMIFS('1UT9BR'!$K$6:$K$2990,'1UT9BR'!$J$6:$J$2990,"&gt;="&amp;AT7,'1UT9BR'!$J$6:$J$2990,"&lt;="&amp;EOMONTH(AT7,0),'1UT9BR'!$L$6:$L$2990,$B$32)+SUMIFS('1MK4UR'!$K$6:$K$2990,'1MK4UR'!$J$6:$J$2990,"&gt;="&amp;AT7,'1MK4UR'!$J$6:$J$2990,"&lt;="&amp;EOMONTH(AT7,0),'1MK4UR'!$L$6:$L$2990,$B$32)+SUMIFS(#REF!,#REF!,"&gt;="&amp;AT7,#REF!,"&lt;="&amp;EOMONTH(AT7,0),#REF!,$B$32)+SUMIFS('1JI2UE'!$K$6:$K$2989,'1JI2UE'!$J$6:$J$2989,"&gt;="&amp;AT7,'1JI2UE'!$J$6:$J$2989,"&lt;="&amp;EOMONTH(AT7,0),'1JI2UE'!$L$6:$L$2989,$B$32)+SUMIFS(#REF!,#REF!,"&gt;="&amp;AT7,#REF!,"&lt;="&amp;EOMONTH(AT7,0),#REF!,$B$32)+SUMIFS('1SI9BW'!$K$6:$K$2989,'1SI9BW'!$J$6:$J$2989,"&gt;="&amp;AT7,'1SI9BW'!$J$6:$J$2989,"&lt;="&amp;EOMONTH(AT7,0),'1SI9BW'!$L$6:$L$2989,$B$32)+SUMIFS(Suzuki!$K$6:$K$2989,Suzuki!$J$6:$J$2989,"&gt;="&amp;AT7,Suzuki!$J$6:$J$2989,"&lt;="&amp;EOMONTH(AT7,0),Suzuki!$L$6:$L$2989,$B$32)+SUMIFS('1SK3DD'!$K$6:$K$2989,'1SK3DD'!$J$6:$J$2989,"&gt;="&amp;AT7,'1SK3DD'!$J$6:$J$2989,"&lt;="&amp;EOMONTH(AT7,0),'1SK3DD'!$L$6:$L$2989,$B$32)+SUMIFS('1SX5TQ'!$K$6:$K$2989,'1SX5TQ'!$J$6:$J$2989,"&gt;="&amp;AT7,'1SX5TQ'!$J$6:$J$2989,"&lt;="&amp;EOMONTH(AT7,0),'1SX5TQ'!$L$6:$L$2989,$B$32)+SUMIFS('BMM465'!$K$6:$K$2989,'BMM465'!$J$6:$J$2989,"&gt;="&amp;AT7,'BMM465'!$J$6:$J$2989,"&lt;="&amp;EOMONTH(AT7,0),'BMM465'!$L$6:$L$2989,$B$32)+SUMIFS('1CF1ZO'!$K$6:$K$2989,'1CF1ZO'!$J$6:$J$2989,"&gt;="&amp;AT7,'1CF1ZO'!$J$6:$J$2989,"&lt;="&amp;EOMONTH(AT7,0),'1CF1ZO'!$L$6:$L$2989,$B$32)+SUMIFS('1UK1BK'!$K$6:$K$2989,'1UK1BK'!$J$6:$J$2989,"&gt;="&amp;AT7,'1UK1BK'!$J$6:$J$2989,"&lt;="&amp;EOMONTH(AT7,0),'1UK1BK'!$L$6:$L$2989,$B$32)</f>
        <v>#REF!</v>
      </c>
      <c r="AU32" s="110" t="e">
        <f>SUMIFS('Other Expense'!$G$8:$G$2966,'Other Expense'!$F$8:$F$2966,"&gt;="&amp;AU7,'Other Expense'!$F$8:$F$2966,"&lt;="&amp;EOMONTH(AU7,0),'Other Expense'!$H$8:$H$2966,$B$32)+SUMIFS('CEI565'!$K$6:$K$2990,'CEI565'!$J$6:$J$2990,"&gt;="&amp;AU7,'CEI565'!$J$6:$J$2990,"&lt;="&amp;EOMONTH(AU7,0),'CEI565'!$L$6:$L$2990,$B$32)+SUMIFS('1SM3VL'!$K$6:$K$2990,'1SM3VL'!$J$6:$J$2990,"&gt;="&amp;AU7,'1SM3VL'!$J$6:$J$2990,"&lt;="&amp;EOMONTH(AU7,0),'1SM3VL'!$L$6:$L$2990,$B$32)+SUMIFS('1QF4SM'!$K$6:$K$2989,'1QF4SM'!$J$6:$J$2989,"&gt;="&amp;AU7,'1QF4SM'!$J$6:$J$2989,"&lt;="&amp;EOMONTH(AU7,0),'1QF4SM'!$L$6:$L$2989,$B$32)+SUMIFS('1UV5KI'!$K$6:$K$2989,'1UV5KI'!$J$6:$J$2989,"&gt;="&amp;AU7,'1UV5KI'!$J$6:$J$2989,"&lt;="&amp;EOMONTH(AU7,0),'1UV5KI'!$L$6:$L$2989,$B$32)+SUMIFS(#REF!,#REF!,"&gt;="&amp;AU7,#REF!,"&lt;="&amp;EOMONTH(AU7,0),#REF!,$B$32)+SUMIFS('1UL9RY'!$K$6:$K$2990,'1UL9RY'!$J$6:$J$2990,"&gt;="&amp;AU7,'1UL9RY'!$J$6:$J$2990,"&lt;="&amp;EOMONTH(AU7,0),'1UL9RY'!$L$6:$L$2990,$B$32)+SUMIFS('1OZ7GT'!$K$6:$K$2989,'1OZ7GT'!$J$6:$J$2989,"&gt;="&amp;AU7,'1OZ7GT'!$J$6:$J$2989,"&lt;="&amp;EOMONTH(AU7,0),'1OZ7GT'!$L$6:$L$2989,$B$32)+SUMIFS('1CN8DD'!$K$6:$K$2989,'1CN8DD'!$J$6:$J$2989,"&gt;="&amp;AU7,'1CN8DD'!$J$6:$J$2989,"&lt;="&amp;EOMONTH(AU7,0),'1CN8DD'!$L$6:$L$2989,$B$32)+SUMIFS('1UT9BR'!$K$6:$K$2990,'1UT9BR'!$J$6:$J$2990,"&gt;="&amp;AU7,'1UT9BR'!$J$6:$J$2990,"&lt;="&amp;EOMONTH(AU7,0),'1UT9BR'!$L$6:$L$2990,$B$32)+SUMIFS('1MK4UR'!$K$6:$K$2990,'1MK4UR'!$J$6:$J$2990,"&gt;="&amp;AU7,'1MK4UR'!$J$6:$J$2990,"&lt;="&amp;EOMONTH(AU7,0),'1MK4UR'!$L$6:$L$2990,$B$32)+SUMIFS(#REF!,#REF!,"&gt;="&amp;AU7,#REF!,"&lt;="&amp;EOMONTH(AU7,0),#REF!,$B$32)+SUMIFS('1JI2UE'!$K$6:$K$2989,'1JI2UE'!$J$6:$J$2989,"&gt;="&amp;AU7,'1JI2UE'!$J$6:$J$2989,"&lt;="&amp;EOMONTH(AU7,0),'1JI2UE'!$L$6:$L$2989,$B$32)+SUMIFS(#REF!,#REF!,"&gt;="&amp;AU7,#REF!,"&lt;="&amp;EOMONTH(AU7,0),#REF!,$B$32)+SUMIFS('1SI9BW'!$K$6:$K$2989,'1SI9BW'!$J$6:$J$2989,"&gt;="&amp;AU7,'1SI9BW'!$J$6:$J$2989,"&lt;="&amp;EOMONTH(AU7,0),'1SI9BW'!$L$6:$L$2989,$B$32)+SUMIFS(Suzuki!$K$6:$K$2989,Suzuki!$J$6:$J$2989,"&gt;="&amp;AU7,Suzuki!$J$6:$J$2989,"&lt;="&amp;EOMONTH(AU7,0),Suzuki!$L$6:$L$2989,$B$32)+SUMIFS('1SK3DD'!$K$6:$K$2989,'1SK3DD'!$J$6:$J$2989,"&gt;="&amp;AU7,'1SK3DD'!$J$6:$J$2989,"&lt;="&amp;EOMONTH(AU7,0),'1SK3DD'!$L$6:$L$2989,$B$32)+SUMIFS('1SX5TQ'!$K$6:$K$2989,'1SX5TQ'!$J$6:$J$2989,"&gt;="&amp;AU7,'1SX5TQ'!$J$6:$J$2989,"&lt;="&amp;EOMONTH(AU7,0),'1SX5TQ'!$L$6:$L$2989,$B$32)+SUMIFS('BMM465'!$K$6:$K$2989,'BMM465'!$J$6:$J$2989,"&gt;="&amp;AU7,'BMM465'!$J$6:$J$2989,"&lt;="&amp;EOMONTH(AU7,0),'BMM465'!$L$6:$L$2989,$B$32)+SUMIFS('1CF1ZO'!$K$6:$K$2989,'1CF1ZO'!$J$6:$J$2989,"&gt;="&amp;AU7,'1CF1ZO'!$J$6:$J$2989,"&lt;="&amp;EOMONTH(AU7,0),'1CF1ZO'!$L$6:$L$2989,$B$32)+SUMIFS('1UK1BK'!$K$6:$K$2989,'1UK1BK'!$J$6:$J$2989,"&gt;="&amp;AU7,'1UK1BK'!$J$6:$J$2989,"&lt;="&amp;EOMONTH(AU7,0),'1UK1BK'!$L$6:$L$2989,$B$32)</f>
        <v>#REF!</v>
      </c>
      <c r="AV32" s="110" t="e">
        <f>SUMIFS('Other Expense'!$G$8:$G$2966,'Other Expense'!$F$8:$F$2966,"&gt;="&amp;AV7,'Other Expense'!$F$8:$F$2966,"&lt;="&amp;EOMONTH(AV7,0),'Other Expense'!$H$8:$H$2966,$B$32)+SUMIFS('CEI565'!$K$6:$K$2990,'CEI565'!$J$6:$J$2990,"&gt;="&amp;AV7,'CEI565'!$J$6:$J$2990,"&lt;="&amp;EOMONTH(AV7,0),'CEI565'!$L$6:$L$2990,$B$32)+SUMIFS('1SM3VL'!$K$6:$K$2990,'1SM3VL'!$J$6:$J$2990,"&gt;="&amp;AV7,'1SM3VL'!$J$6:$J$2990,"&lt;="&amp;EOMONTH(AV7,0),'1SM3VL'!$L$6:$L$2990,$B$32)+SUMIFS('1QF4SM'!$K$6:$K$2989,'1QF4SM'!$J$6:$J$2989,"&gt;="&amp;AV7,'1QF4SM'!$J$6:$J$2989,"&lt;="&amp;EOMONTH(AV7,0),'1QF4SM'!$L$6:$L$2989,$B$32)+SUMIFS('1UV5KI'!$K$6:$K$2989,'1UV5KI'!$J$6:$J$2989,"&gt;="&amp;AV7,'1UV5KI'!$J$6:$J$2989,"&lt;="&amp;EOMONTH(AV7,0),'1UV5KI'!$L$6:$L$2989,$B$32)+SUMIFS(#REF!,#REF!,"&gt;="&amp;AV7,#REF!,"&lt;="&amp;EOMONTH(AV7,0),#REF!,$B$32)+SUMIFS('1UL9RY'!$K$6:$K$2990,'1UL9RY'!$J$6:$J$2990,"&gt;="&amp;AV7,'1UL9RY'!$J$6:$J$2990,"&lt;="&amp;EOMONTH(AV7,0),'1UL9RY'!$L$6:$L$2990,$B$32)+SUMIFS('1OZ7GT'!$K$6:$K$2989,'1OZ7GT'!$J$6:$J$2989,"&gt;="&amp;AV7,'1OZ7GT'!$J$6:$J$2989,"&lt;="&amp;EOMONTH(AV7,0),'1OZ7GT'!$L$6:$L$2989,$B$32)+SUMIFS('1CN8DD'!$K$6:$K$2989,'1CN8DD'!$J$6:$J$2989,"&gt;="&amp;AV7,'1CN8DD'!$J$6:$J$2989,"&lt;="&amp;EOMONTH(AV7,0),'1CN8DD'!$L$6:$L$2989,$B$32)+SUMIFS('1UT9BR'!$K$6:$K$2990,'1UT9BR'!$J$6:$J$2990,"&gt;="&amp;AV7,'1UT9BR'!$J$6:$J$2990,"&lt;="&amp;EOMONTH(AV7,0),'1UT9BR'!$L$6:$L$2990,$B$32)+SUMIFS('1MK4UR'!$K$6:$K$2990,'1MK4UR'!$J$6:$J$2990,"&gt;="&amp;AV7,'1MK4UR'!$J$6:$J$2990,"&lt;="&amp;EOMONTH(AV7,0),'1MK4UR'!$L$6:$L$2990,$B$32)+SUMIFS(#REF!,#REF!,"&gt;="&amp;AV7,#REF!,"&lt;="&amp;EOMONTH(AV7,0),#REF!,$B$32)+SUMIFS('1JI2UE'!$K$6:$K$2989,'1JI2UE'!$J$6:$J$2989,"&gt;="&amp;AV7,'1JI2UE'!$J$6:$J$2989,"&lt;="&amp;EOMONTH(AV7,0),'1JI2UE'!$L$6:$L$2989,$B$32)+SUMIFS(#REF!,#REF!,"&gt;="&amp;AV7,#REF!,"&lt;="&amp;EOMONTH(AV7,0),#REF!,$B$32)+SUMIFS('1SI9BW'!$K$6:$K$2989,'1SI9BW'!$J$6:$J$2989,"&gt;="&amp;AV7,'1SI9BW'!$J$6:$J$2989,"&lt;="&amp;EOMONTH(AV7,0),'1SI9BW'!$L$6:$L$2989,$B$32)+SUMIFS(Suzuki!$K$6:$K$2989,Suzuki!$J$6:$J$2989,"&gt;="&amp;AV7,Suzuki!$J$6:$J$2989,"&lt;="&amp;EOMONTH(AV7,0),Suzuki!$L$6:$L$2989,$B$32)+SUMIFS('1SK3DD'!$K$6:$K$2989,'1SK3DD'!$J$6:$J$2989,"&gt;="&amp;AV7,'1SK3DD'!$J$6:$J$2989,"&lt;="&amp;EOMONTH(AV7,0),'1SK3DD'!$L$6:$L$2989,$B$32)+SUMIFS('1SX5TQ'!$K$6:$K$2989,'1SX5TQ'!$J$6:$J$2989,"&gt;="&amp;AV7,'1SX5TQ'!$J$6:$J$2989,"&lt;="&amp;EOMONTH(AV7,0),'1SX5TQ'!$L$6:$L$2989,$B$32)+SUMIFS('BMM465'!$K$6:$K$2989,'BMM465'!$J$6:$J$2989,"&gt;="&amp;AV7,'BMM465'!$J$6:$J$2989,"&lt;="&amp;EOMONTH(AV7,0),'BMM465'!$L$6:$L$2989,$B$32)+SUMIFS('1CF1ZO'!$K$6:$K$2989,'1CF1ZO'!$J$6:$J$2989,"&gt;="&amp;AV7,'1CF1ZO'!$J$6:$J$2989,"&lt;="&amp;EOMONTH(AV7,0),'1CF1ZO'!$L$6:$L$2989,$B$32)+SUMIFS('1UK1BK'!$K$6:$K$2989,'1UK1BK'!$J$6:$J$2989,"&gt;="&amp;AV7,'1UK1BK'!$J$6:$J$2989,"&lt;="&amp;EOMONTH(AV7,0),'1UK1BK'!$L$6:$L$2989,$B$32)</f>
        <v>#REF!</v>
      </c>
      <c r="AW32" s="110" t="e">
        <f>SUMIFS('Other Expense'!$G$8:$G$2966,'Other Expense'!$F$8:$F$2966,"&gt;="&amp;AW7,'Other Expense'!$F$8:$F$2966,"&lt;="&amp;EOMONTH(AW7,0),'Other Expense'!$H$8:$H$2966,$B$32)+SUMIFS('CEI565'!$K$6:$K$2990,'CEI565'!$J$6:$J$2990,"&gt;="&amp;AW7,'CEI565'!$J$6:$J$2990,"&lt;="&amp;EOMONTH(AW7,0),'CEI565'!$L$6:$L$2990,$B$32)+SUMIFS('1SM3VL'!$K$6:$K$2990,'1SM3VL'!$J$6:$J$2990,"&gt;="&amp;AW7,'1SM3VL'!$J$6:$J$2990,"&lt;="&amp;EOMONTH(AW7,0),'1SM3VL'!$L$6:$L$2990,$B$32)+SUMIFS('1QF4SM'!$K$6:$K$2989,'1QF4SM'!$J$6:$J$2989,"&gt;="&amp;AW7,'1QF4SM'!$J$6:$J$2989,"&lt;="&amp;EOMONTH(AW7,0),'1QF4SM'!$L$6:$L$2989,$B$32)+SUMIFS('1UV5KI'!$K$6:$K$2989,'1UV5KI'!$J$6:$J$2989,"&gt;="&amp;AW7,'1UV5KI'!$J$6:$J$2989,"&lt;="&amp;EOMONTH(AW7,0),'1UV5KI'!$L$6:$L$2989,$B$32)+SUMIFS(#REF!,#REF!,"&gt;="&amp;AW7,#REF!,"&lt;="&amp;EOMONTH(AW7,0),#REF!,$B$32)+SUMIFS('1UL9RY'!$K$6:$K$2990,'1UL9RY'!$J$6:$J$2990,"&gt;="&amp;AW7,'1UL9RY'!$J$6:$J$2990,"&lt;="&amp;EOMONTH(AW7,0),'1UL9RY'!$L$6:$L$2990,$B$32)+SUMIFS('1OZ7GT'!$K$6:$K$2989,'1OZ7GT'!$J$6:$J$2989,"&gt;="&amp;AW7,'1OZ7GT'!$J$6:$J$2989,"&lt;="&amp;EOMONTH(AW7,0),'1OZ7GT'!$L$6:$L$2989,$B$32)+SUMIFS('1CN8DD'!$K$6:$K$2989,'1CN8DD'!$J$6:$J$2989,"&gt;="&amp;AW7,'1CN8DD'!$J$6:$J$2989,"&lt;="&amp;EOMONTH(AW7,0),'1CN8DD'!$L$6:$L$2989,$B$32)+SUMIFS('1UT9BR'!$K$6:$K$2990,'1UT9BR'!$J$6:$J$2990,"&gt;="&amp;AW7,'1UT9BR'!$J$6:$J$2990,"&lt;="&amp;EOMONTH(AW7,0),'1UT9BR'!$L$6:$L$2990,$B$32)+SUMIFS('1MK4UR'!$K$6:$K$2990,'1MK4UR'!$J$6:$J$2990,"&gt;="&amp;AW7,'1MK4UR'!$J$6:$J$2990,"&lt;="&amp;EOMONTH(AW7,0),'1MK4UR'!$L$6:$L$2990,$B$32)+SUMIFS(#REF!,#REF!,"&gt;="&amp;AW7,#REF!,"&lt;="&amp;EOMONTH(AW7,0),#REF!,$B$32)+SUMIFS('1JI2UE'!$K$6:$K$2989,'1JI2UE'!$J$6:$J$2989,"&gt;="&amp;AW7,'1JI2UE'!$J$6:$J$2989,"&lt;="&amp;EOMONTH(AW7,0),'1JI2UE'!$L$6:$L$2989,$B$32)+SUMIFS(#REF!,#REF!,"&gt;="&amp;AW7,#REF!,"&lt;="&amp;EOMONTH(AW7,0),#REF!,$B$32)+SUMIFS('1SI9BW'!$K$6:$K$2989,'1SI9BW'!$J$6:$J$2989,"&gt;="&amp;AW7,'1SI9BW'!$J$6:$J$2989,"&lt;="&amp;EOMONTH(AW7,0),'1SI9BW'!$L$6:$L$2989,$B$32)+SUMIFS(Suzuki!$K$6:$K$2989,Suzuki!$J$6:$J$2989,"&gt;="&amp;AW7,Suzuki!$J$6:$J$2989,"&lt;="&amp;EOMONTH(AW7,0),Suzuki!$L$6:$L$2989,$B$32)+SUMIFS('1SK3DD'!$K$6:$K$2989,'1SK3DD'!$J$6:$J$2989,"&gt;="&amp;AW7,'1SK3DD'!$J$6:$J$2989,"&lt;="&amp;EOMONTH(AW7,0),'1SK3DD'!$L$6:$L$2989,$B$32)+SUMIFS('1SX5TQ'!$K$6:$K$2989,'1SX5TQ'!$J$6:$J$2989,"&gt;="&amp;AW7,'1SX5TQ'!$J$6:$J$2989,"&lt;="&amp;EOMONTH(AW7,0),'1SX5TQ'!$L$6:$L$2989,$B$32)+SUMIFS('BMM465'!$K$6:$K$2989,'BMM465'!$J$6:$J$2989,"&gt;="&amp;AW7,'BMM465'!$J$6:$J$2989,"&lt;="&amp;EOMONTH(AW7,0),'BMM465'!$L$6:$L$2989,$B$32)+SUMIFS('1CF1ZO'!$K$6:$K$2989,'1CF1ZO'!$J$6:$J$2989,"&gt;="&amp;AW7,'1CF1ZO'!$J$6:$J$2989,"&lt;="&amp;EOMONTH(AW7,0),'1CF1ZO'!$L$6:$L$2989,$B$32)+SUMIFS('1UK1BK'!$K$6:$K$2989,'1UK1BK'!$J$6:$J$2989,"&gt;="&amp;AW7,'1UK1BK'!$J$6:$J$2989,"&lt;="&amp;EOMONTH(AW7,0),'1UK1BK'!$L$6:$L$2989,$B$32)</f>
        <v>#REF!</v>
      </c>
      <c r="AX32" s="110" t="e">
        <f>SUMIFS('Other Expense'!$G$8:$G$2966,'Other Expense'!$F$8:$F$2966,"&gt;="&amp;AX7,'Other Expense'!$F$8:$F$2966,"&lt;="&amp;EOMONTH(AX7,0),'Other Expense'!$H$8:$H$2966,$B$32)+SUMIFS('CEI565'!$K$6:$K$2990,'CEI565'!$J$6:$J$2990,"&gt;="&amp;AX7,'CEI565'!$J$6:$J$2990,"&lt;="&amp;EOMONTH(AX7,0),'CEI565'!$L$6:$L$2990,$B$32)+SUMIFS('1SM3VL'!$K$6:$K$2990,'1SM3VL'!$J$6:$J$2990,"&gt;="&amp;AX7,'1SM3VL'!$J$6:$J$2990,"&lt;="&amp;EOMONTH(AX7,0),'1SM3VL'!$L$6:$L$2990,$B$32)+SUMIFS('1QF4SM'!$K$6:$K$2989,'1QF4SM'!$J$6:$J$2989,"&gt;="&amp;AX7,'1QF4SM'!$J$6:$J$2989,"&lt;="&amp;EOMONTH(AX7,0),'1QF4SM'!$L$6:$L$2989,$B$32)+SUMIFS('1UV5KI'!$K$6:$K$2989,'1UV5KI'!$J$6:$J$2989,"&gt;="&amp;AX7,'1UV5KI'!$J$6:$J$2989,"&lt;="&amp;EOMONTH(AX7,0),'1UV5KI'!$L$6:$L$2989,$B$32)+SUMIFS(#REF!,#REF!,"&gt;="&amp;AX7,#REF!,"&lt;="&amp;EOMONTH(AX7,0),#REF!,$B$32)+SUMIFS('1UL9RY'!$K$6:$K$2990,'1UL9RY'!$J$6:$J$2990,"&gt;="&amp;AX7,'1UL9RY'!$J$6:$J$2990,"&lt;="&amp;EOMONTH(AX7,0),'1UL9RY'!$L$6:$L$2990,$B$32)+SUMIFS('1OZ7GT'!$K$6:$K$2989,'1OZ7GT'!$J$6:$J$2989,"&gt;="&amp;AX7,'1OZ7GT'!$J$6:$J$2989,"&lt;="&amp;EOMONTH(AX7,0),'1OZ7GT'!$L$6:$L$2989,$B$32)+SUMIFS('1CN8DD'!$K$6:$K$2989,'1CN8DD'!$J$6:$J$2989,"&gt;="&amp;AX7,'1CN8DD'!$J$6:$J$2989,"&lt;="&amp;EOMONTH(AX7,0),'1CN8DD'!$L$6:$L$2989,$B$32)+SUMIFS('1UT9BR'!$K$6:$K$2990,'1UT9BR'!$J$6:$J$2990,"&gt;="&amp;AX7,'1UT9BR'!$J$6:$J$2990,"&lt;="&amp;EOMONTH(AX7,0),'1UT9BR'!$L$6:$L$2990,$B$32)+SUMIFS('1MK4UR'!$K$6:$K$2990,'1MK4UR'!$J$6:$J$2990,"&gt;="&amp;AX7,'1MK4UR'!$J$6:$J$2990,"&lt;="&amp;EOMONTH(AX7,0),'1MK4UR'!$L$6:$L$2990,$B$32)+SUMIFS(#REF!,#REF!,"&gt;="&amp;AX7,#REF!,"&lt;="&amp;EOMONTH(AX7,0),#REF!,$B$32)+SUMIFS('1JI2UE'!$K$6:$K$2989,'1JI2UE'!$J$6:$J$2989,"&gt;="&amp;AX7,'1JI2UE'!$J$6:$J$2989,"&lt;="&amp;EOMONTH(AX7,0),'1JI2UE'!$L$6:$L$2989,$B$32)+SUMIFS(#REF!,#REF!,"&gt;="&amp;AX7,#REF!,"&lt;="&amp;EOMONTH(AX7,0),#REF!,$B$32)+SUMIFS('1SI9BW'!$K$6:$K$2989,'1SI9BW'!$J$6:$J$2989,"&gt;="&amp;AX7,'1SI9BW'!$J$6:$J$2989,"&lt;="&amp;EOMONTH(AX7,0),'1SI9BW'!$L$6:$L$2989,$B$32)+SUMIFS(Suzuki!$K$6:$K$2989,Suzuki!$J$6:$J$2989,"&gt;="&amp;AX7,Suzuki!$J$6:$J$2989,"&lt;="&amp;EOMONTH(AX7,0),Suzuki!$L$6:$L$2989,$B$32)+SUMIFS('1SK3DD'!$K$6:$K$2989,'1SK3DD'!$J$6:$J$2989,"&gt;="&amp;AX7,'1SK3DD'!$J$6:$J$2989,"&lt;="&amp;EOMONTH(AX7,0),'1SK3DD'!$L$6:$L$2989,$B$32)+SUMIFS('1SX5TQ'!$K$6:$K$2989,'1SX5TQ'!$J$6:$J$2989,"&gt;="&amp;AX7,'1SX5TQ'!$J$6:$J$2989,"&lt;="&amp;EOMONTH(AX7,0),'1SX5TQ'!$L$6:$L$2989,$B$32)+SUMIFS('BMM465'!$K$6:$K$2989,'BMM465'!$J$6:$J$2989,"&gt;="&amp;AX7,'BMM465'!$J$6:$J$2989,"&lt;="&amp;EOMONTH(AX7,0),'BMM465'!$L$6:$L$2989,$B$32)+SUMIFS('1CF1ZO'!$K$6:$K$2989,'1CF1ZO'!$J$6:$J$2989,"&gt;="&amp;AX7,'1CF1ZO'!$J$6:$J$2989,"&lt;="&amp;EOMONTH(AX7,0),'1CF1ZO'!$L$6:$L$2989,$B$32)+SUMIFS('1UK1BK'!$K$6:$K$2989,'1UK1BK'!$J$6:$J$2989,"&gt;="&amp;AX7,'1UK1BK'!$J$6:$J$2989,"&lt;="&amp;EOMONTH(AX7,0),'1UK1BK'!$L$6:$L$2989,$B$32)</f>
        <v>#REF!</v>
      </c>
      <c r="AY32" s="110" t="e">
        <f>SUMIFS('Other Expense'!$G$8:$G$2966,'Other Expense'!$F$8:$F$2966,"&gt;="&amp;AY7,'Other Expense'!$F$8:$F$2966,"&lt;="&amp;EOMONTH(AY7,0),'Other Expense'!$H$8:$H$2966,$B$32)+SUMIFS('CEI565'!$K$6:$K$2990,'CEI565'!$J$6:$J$2990,"&gt;="&amp;AY7,'CEI565'!$J$6:$J$2990,"&lt;="&amp;EOMONTH(AY7,0),'CEI565'!$L$6:$L$2990,$B$32)+SUMIFS('1SM3VL'!$K$6:$K$2990,'1SM3VL'!$J$6:$J$2990,"&gt;="&amp;AY7,'1SM3VL'!$J$6:$J$2990,"&lt;="&amp;EOMONTH(AY7,0),'1SM3VL'!$L$6:$L$2990,$B$32)+SUMIFS('1QF4SM'!$K$6:$K$2989,'1QF4SM'!$J$6:$J$2989,"&gt;="&amp;AY7,'1QF4SM'!$J$6:$J$2989,"&lt;="&amp;EOMONTH(AY7,0),'1QF4SM'!$L$6:$L$2989,$B$32)+SUMIFS('1UV5KI'!$K$6:$K$2989,'1UV5KI'!$J$6:$J$2989,"&gt;="&amp;AY7,'1UV5KI'!$J$6:$J$2989,"&lt;="&amp;EOMONTH(AY7,0),'1UV5KI'!$L$6:$L$2989,$B$32)+SUMIFS(#REF!,#REF!,"&gt;="&amp;AY7,#REF!,"&lt;="&amp;EOMONTH(AY7,0),#REF!,$B$32)+SUMIFS('1UL9RY'!$K$6:$K$2990,'1UL9RY'!$J$6:$J$2990,"&gt;="&amp;AY7,'1UL9RY'!$J$6:$J$2990,"&lt;="&amp;EOMONTH(AY7,0),'1UL9RY'!$L$6:$L$2990,$B$32)+SUMIFS('1OZ7GT'!$K$6:$K$2989,'1OZ7GT'!$J$6:$J$2989,"&gt;="&amp;AY7,'1OZ7GT'!$J$6:$J$2989,"&lt;="&amp;EOMONTH(AY7,0),'1OZ7GT'!$L$6:$L$2989,$B$32)+SUMIFS('1CN8DD'!$K$6:$K$2989,'1CN8DD'!$J$6:$J$2989,"&gt;="&amp;AY7,'1CN8DD'!$J$6:$J$2989,"&lt;="&amp;EOMONTH(AY7,0),'1CN8DD'!$L$6:$L$2989,$B$32)+SUMIFS('1UT9BR'!$K$6:$K$2990,'1UT9BR'!$J$6:$J$2990,"&gt;="&amp;AY7,'1UT9BR'!$J$6:$J$2990,"&lt;="&amp;EOMONTH(AY7,0),'1UT9BR'!$L$6:$L$2990,$B$32)+SUMIFS('1MK4UR'!$K$6:$K$2990,'1MK4UR'!$J$6:$J$2990,"&gt;="&amp;AY7,'1MK4UR'!$J$6:$J$2990,"&lt;="&amp;EOMONTH(AY7,0),'1MK4UR'!$L$6:$L$2990,$B$32)+SUMIFS(#REF!,#REF!,"&gt;="&amp;AY7,#REF!,"&lt;="&amp;EOMONTH(AY7,0),#REF!,$B$32)+SUMIFS('1JI2UE'!$K$6:$K$2989,'1JI2UE'!$J$6:$J$2989,"&gt;="&amp;AY7,'1JI2UE'!$J$6:$J$2989,"&lt;="&amp;EOMONTH(AY7,0),'1JI2UE'!$L$6:$L$2989,$B$32)+SUMIFS(#REF!,#REF!,"&gt;="&amp;AY7,#REF!,"&lt;="&amp;EOMONTH(AY7,0),#REF!,$B$32)+SUMIFS('1SI9BW'!$K$6:$K$2989,'1SI9BW'!$J$6:$J$2989,"&gt;="&amp;AY7,'1SI9BW'!$J$6:$J$2989,"&lt;="&amp;EOMONTH(AY7,0),'1SI9BW'!$L$6:$L$2989,$B$32)+SUMIFS(Suzuki!$K$6:$K$2989,Suzuki!$J$6:$J$2989,"&gt;="&amp;AY7,Suzuki!$J$6:$J$2989,"&lt;="&amp;EOMONTH(AY7,0),Suzuki!$L$6:$L$2989,$B$32)+SUMIFS('1SK3DD'!$K$6:$K$2989,'1SK3DD'!$J$6:$J$2989,"&gt;="&amp;AY7,'1SK3DD'!$J$6:$J$2989,"&lt;="&amp;EOMONTH(AY7,0),'1SK3DD'!$L$6:$L$2989,$B$32)+SUMIFS('1SX5TQ'!$K$6:$K$2989,'1SX5TQ'!$J$6:$J$2989,"&gt;="&amp;AY7,'1SX5TQ'!$J$6:$J$2989,"&lt;="&amp;EOMONTH(AY7,0),'1SX5TQ'!$L$6:$L$2989,$B$32)+SUMIFS('BMM465'!$K$6:$K$2989,'BMM465'!$J$6:$J$2989,"&gt;="&amp;AY7,'BMM465'!$J$6:$J$2989,"&lt;="&amp;EOMONTH(AY7,0),'BMM465'!$L$6:$L$2989,$B$32)+SUMIFS('1CF1ZO'!$K$6:$K$2989,'1CF1ZO'!$J$6:$J$2989,"&gt;="&amp;AY7,'1CF1ZO'!$J$6:$J$2989,"&lt;="&amp;EOMONTH(AY7,0),'1CF1ZO'!$L$6:$L$2989,$B$32)+SUMIFS('1UK1BK'!$K$6:$K$2989,'1UK1BK'!$J$6:$J$2989,"&gt;="&amp;AY7,'1UK1BK'!$J$6:$J$2989,"&lt;="&amp;EOMONTH(AY7,0),'1UK1BK'!$L$6:$L$2989,$B$32)</f>
        <v>#REF!</v>
      </c>
      <c r="AZ32" s="110" t="e">
        <f>SUMIFS('Other Expense'!$G$8:$G$2966,'Other Expense'!$F$8:$F$2966,"&gt;="&amp;AZ7,'Other Expense'!$F$8:$F$2966,"&lt;="&amp;EOMONTH(AZ7,0),'Other Expense'!$H$8:$H$2966,$B$32)+SUMIFS('CEI565'!$K$6:$K$2990,'CEI565'!$J$6:$J$2990,"&gt;="&amp;AZ7,'CEI565'!$J$6:$J$2990,"&lt;="&amp;EOMONTH(AZ7,0),'CEI565'!$L$6:$L$2990,$B$32)+SUMIFS('1SM3VL'!$K$6:$K$2990,'1SM3VL'!$J$6:$J$2990,"&gt;="&amp;AZ7,'1SM3VL'!$J$6:$J$2990,"&lt;="&amp;EOMONTH(AZ7,0),'1SM3VL'!$L$6:$L$2990,$B$32)+SUMIFS('1QF4SM'!$K$6:$K$2989,'1QF4SM'!$J$6:$J$2989,"&gt;="&amp;AZ7,'1QF4SM'!$J$6:$J$2989,"&lt;="&amp;EOMONTH(AZ7,0),'1QF4SM'!$L$6:$L$2989,$B$32)+SUMIFS('1UV5KI'!$K$6:$K$2989,'1UV5KI'!$J$6:$J$2989,"&gt;="&amp;AZ7,'1UV5KI'!$J$6:$J$2989,"&lt;="&amp;EOMONTH(AZ7,0),'1UV5KI'!$L$6:$L$2989,$B$32)+SUMIFS(#REF!,#REF!,"&gt;="&amp;AZ7,#REF!,"&lt;="&amp;EOMONTH(AZ7,0),#REF!,$B$32)+SUMIFS('1UL9RY'!$K$6:$K$2990,'1UL9RY'!$J$6:$J$2990,"&gt;="&amp;AZ7,'1UL9RY'!$J$6:$J$2990,"&lt;="&amp;EOMONTH(AZ7,0),'1UL9RY'!$L$6:$L$2990,$B$32)+SUMIFS('1OZ7GT'!$K$6:$K$2989,'1OZ7GT'!$J$6:$J$2989,"&gt;="&amp;AZ7,'1OZ7GT'!$J$6:$J$2989,"&lt;="&amp;EOMONTH(AZ7,0),'1OZ7GT'!$L$6:$L$2989,$B$32)+SUMIFS('1CN8DD'!$K$6:$K$2989,'1CN8DD'!$J$6:$J$2989,"&gt;="&amp;AZ7,'1CN8DD'!$J$6:$J$2989,"&lt;="&amp;EOMONTH(AZ7,0),'1CN8DD'!$L$6:$L$2989,$B$32)+SUMIFS('1UT9BR'!$K$6:$K$2990,'1UT9BR'!$J$6:$J$2990,"&gt;="&amp;AZ7,'1UT9BR'!$J$6:$J$2990,"&lt;="&amp;EOMONTH(AZ7,0),'1UT9BR'!$L$6:$L$2990,$B$32)+SUMIFS('1MK4UR'!$K$6:$K$2990,'1MK4UR'!$J$6:$J$2990,"&gt;="&amp;AZ7,'1MK4UR'!$J$6:$J$2990,"&lt;="&amp;EOMONTH(AZ7,0),'1MK4UR'!$L$6:$L$2990,$B$32)+SUMIFS(#REF!,#REF!,"&gt;="&amp;AZ7,#REF!,"&lt;="&amp;EOMONTH(AZ7,0),#REF!,$B$32)+SUMIFS('1JI2UE'!$K$6:$K$2989,'1JI2UE'!$J$6:$J$2989,"&gt;="&amp;AZ7,'1JI2UE'!$J$6:$J$2989,"&lt;="&amp;EOMONTH(AZ7,0),'1JI2UE'!$L$6:$L$2989,$B$32)+SUMIFS(#REF!,#REF!,"&gt;="&amp;AZ7,#REF!,"&lt;="&amp;EOMONTH(AZ7,0),#REF!,$B$32)+SUMIFS('1SI9BW'!$K$6:$K$2989,'1SI9BW'!$J$6:$J$2989,"&gt;="&amp;AZ7,'1SI9BW'!$J$6:$J$2989,"&lt;="&amp;EOMONTH(AZ7,0),'1SI9BW'!$L$6:$L$2989,$B$32)+SUMIFS(Suzuki!$K$6:$K$2989,Suzuki!$J$6:$J$2989,"&gt;="&amp;AZ7,Suzuki!$J$6:$J$2989,"&lt;="&amp;EOMONTH(AZ7,0),Suzuki!$L$6:$L$2989,$B$32)+SUMIFS('1SK3DD'!$K$6:$K$2989,'1SK3DD'!$J$6:$J$2989,"&gt;="&amp;AZ7,'1SK3DD'!$J$6:$J$2989,"&lt;="&amp;EOMONTH(AZ7,0),'1SK3DD'!$L$6:$L$2989,$B$32)+SUMIFS('1SX5TQ'!$K$6:$K$2989,'1SX5TQ'!$J$6:$J$2989,"&gt;="&amp;AZ7,'1SX5TQ'!$J$6:$J$2989,"&lt;="&amp;EOMONTH(AZ7,0),'1SX5TQ'!$L$6:$L$2989,$B$32)+SUMIFS('BMM465'!$K$6:$K$2989,'BMM465'!$J$6:$J$2989,"&gt;="&amp;AZ7,'BMM465'!$J$6:$J$2989,"&lt;="&amp;EOMONTH(AZ7,0),'BMM465'!$L$6:$L$2989,$B$32)+SUMIFS('1CF1ZO'!$K$6:$K$2989,'1CF1ZO'!$J$6:$J$2989,"&gt;="&amp;AZ7,'1CF1ZO'!$J$6:$J$2989,"&lt;="&amp;EOMONTH(AZ7,0),'1CF1ZO'!$L$6:$L$2989,$B$32)+SUMIFS('1UK1BK'!$K$6:$K$2989,'1UK1BK'!$J$6:$J$2989,"&gt;="&amp;AZ7,'1UK1BK'!$J$6:$J$2989,"&lt;="&amp;EOMONTH(AZ7,0),'1UK1BK'!$L$6:$L$2989,$B$32)</f>
        <v>#REF!</v>
      </c>
      <c r="BA32" s="110" t="e">
        <f>SUMIFS('Other Expense'!$G$8:$G$2966,'Other Expense'!$F$8:$F$2966,"&gt;="&amp;BA7,'Other Expense'!$F$8:$F$2966,"&lt;="&amp;EOMONTH(BA7,0),'Other Expense'!$H$8:$H$2966,$B$32)+SUMIFS('CEI565'!$K$6:$K$2990,'CEI565'!$J$6:$J$2990,"&gt;="&amp;BA7,'CEI565'!$J$6:$J$2990,"&lt;="&amp;EOMONTH(BA7,0),'CEI565'!$L$6:$L$2990,$B$32)+SUMIFS('1SM3VL'!$K$6:$K$2990,'1SM3VL'!$J$6:$J$2990,"&gt;="&amp;BA7,'1SM3VL'!$J$6:$J$2990,"&lt;="&amp;EOMONTH(BA7,0),'1SM3VL'!$L$6:$L$2990,$B$32)+SUMIFS('1QF4SM'!$K$6:$K$2989,'1QF4SM'!$J$6:$J$2989,"&gt;="&amp;BA7,'1QF4SM'!$J$6:$J$2989,"&lt;="&amp;EOMONTH(BA7,0),'1QF4SM'!$L$6:$L$2989,$B$32)+SUMIFS('1UV5KI'!$K$6:$K$2989,'1UV5KI'!$J$6:$J$2989,"&gt;="&amp;BA7,'1UV5KI'!$J$6:$J$2989,"&lt;="&amp;EOMONTH(BA7,0),'1UV5KI'!$L$6:$L$2989,$B$32)+SUMIFS(#REF!,#REF!,"&gt;="&amp;BA7,#REF!,"&lt;="&amp;EOMONTH(BA7,0),#REF!,$B$32)+SUMIFS('1UL9RY'!$K$6:$K$2990,'1UL9RY'!$J$6:$J$2990,"&gt;="&amp;BA7,'1UL9RY'!$J$6:$J$2990,"&lt;="&amp;EOMONTH(BA7,0),'1UL9RY'!$L$6:$L$2990,$B$32)+SUMIFS('1OZ7GT'!$K$6:$K$2989,'1OZ7GT'!$J$6:$J$2989,"&gt;="&amp;BA7,'1OZ7GT'!$J$6:$J$2989,"&lt;="&amp;EOMONTH(BA7,0),'1OZ7GT'!$L$6:$L$2989,$B$32)+SUMIFS('1CN8DD'!$K$6:$K$2989,'1CN8DD'!$J$6:$J$2989,"&gt;="&amp;BA7,'1CN8DD'!$J$6:$J$2989,"&lt;="&amp;EOMONTH(BA7,0),'1CN8DD'!$L$6:$L$2989,$B$32)+SUMIFS('1UT9BR'!$K$6:$K$2990,'1UT9BR'!$J$6:$J$2990,"&gt;="&amp;BA7,'1UT9BR'!$J$6:$J$2990,"&lt;="&amp;EOMONTH(BA7,0),'1UT9BR'!$L$6:$L$2990,$B$32)+SUMIFS('1MK4UR'!$K$6:$K$2990,'1MK4UR'!$J$6:$J$2990,"&gt;="&amp;BA7,'1MK4UR'!$J$6:$J$2990,"&lt;="&amp;EOMONTH(BA7,0),'1MK4UR'!$L$6:$L$2990,$B$32)+SUMIFS(#REF!,#REF!,"&gt;="&amp;BA7,#REF!,"&lt;="&amp;EOMONTH(BA7,0),#REF!,$B$32)+SUMIFS('1JI2UE'!$K$6:$K$2989,'1JI2UE'!$J$6:$J$2989,"&gt;="&amp;BA7,'1JI2UE'!$J$6:$J$2989,"&lt;="&amp;EOMONTH(BA7,0),'1JI2UE'!$L$6:$L$2989,$B$32)+SUMIFS(#REF!,#REF!,"&gt;="&amp;BA7,#REF!,"&lt;="&amp;EOMONTH(BA7,0),#REF!,$B$32)+SUMIFS('1SI9BW'!$K$6:$K$2989,'1SI9BW'!$J$6:$J$2989,"&gt;="&amp;BA7,'1SI9BW'!$J$6:$J$2989,"&lt;="&amp;EOMONTH(BA7,0),'1SI9BW'!$L$6:$L$2989,$B$32)+SUMIFS(Suzuki!$K$6:$K$2989,Suzuki!$J$6:$J$2989,"&gt;="&amp;BA7,Suzuki!$J$6:$J$2989,"&lt;="&amp;EOMONTH(BA7,0),Suzuki!$L$6:$L$2989,$B$32)+SUMIFS('1SK3DD'!$K$6:$K$2989,'1SK3DD'!$J$6:$J$2989,"&gt;="&amp;BA7,'1SK3DD'!$J$6:$J$2989,"&lt;="&amp;EOMONTH(BA7,0),'1SK3DD'!$L$6:$L$2989,$B$32)+SUMIFS('1SX5TQ'!$K$6:$K$2989,'1SX5TQ'!$J$6:$J$2989,"&gt;="&amp;BA7,'1SX5TQ'!$J$6:$J$2989,"&lt;="&amp;EOMONTH(BA7,0),'1SX5TQ'!$L$6:$L$2989,$B$32)+SUMIFS('BMM465'!$K$6:$K$2989,'BMM465'!$J$6:$J$2989,"&gt;="&amp;BA7,'BMM465'!$J$6:$J$2989,"&lt;="&amp;EOMONTH(BA7,0),'BMM465'!$L$6:$L$2989,$B$32)+SUMIFS('1CF1ZO'!$K$6:$K$2989,'1CF1ZO'!$J$6:$J$2989,"&gt;="&amp;BA7,'1CF1ZO'!$J$6:$J$2989,"&lt;="&amp;EOMONTH(BA7,0),'1CF1ZO'!$L$6:$L$2989,$B$32)+SUMIFS('1UK1BK'!$K$6:$K$2989,'1UK1BK'!$J$6:$J$2989,"&gt;="&amp;BA7,'1UK1BK'!$J$6:$J$2989,"&lt;="&amp;EOMONTH(BA7,0),'1UK1BK'!$L$6:$L$2989,$B$32)</f>
        <v>#REF!</v>
      </c>
    </row>
    <row r="33" spans="2:53" x14ac:dyDescent="0.25">
      <c r="B33" s="5" t="s">
        <v>34</v>
      </c>
      <c r="C33" s="69" t="str">
        <f t="shared" si="13"/>
        <v/>
      </c>
      <c r="D33" s="109" t="e">
        <f t="shared" si="2"/>
        <v>#REF!</v>
      </c>
      <c r="E33" s="69" t="str">
        <f t="shared" si="14"/>
        <v/>
      </c>
      <c r="F33" s="109" t="e">
        <f t="shared" si="3"/>
        <v>#REF!</v>
      </c>
      <c r="G33" s="69" t="str">
        <f t="shared" si="16"/>
        <v/>
      </c>
      <c r="H33" s="109" t="e">
        <f t="shared" si="4"/>
        <v>#REF!</v>
      </c>
      <c r="I33" s="110" t="e">
        <f>SUMIFS('CEI565'!$K$6:$K$2990,'CEI565'!$J$6:$J$2990,"&gt;="&amp;I7,'CEI565'!$J$6:$J$2990,"&lt;="&amp;EOMONTH(I7,0),'CEI565'!$L$6:$L$2990,$B$33)+SUMIFS('1SM3VL'!$K$6:$K$2990,'1SM3VL'!$J$6:$J$2990,"&gt;="&amp;I7,'1SM3VL'!$J$6:$J$2990,"&lt;="&amp;EOMONTH(I7,0),'1SM3VL'!$L$6:$L$2990,$B$33)+SUMIFS('1QF4SM'!$K$6:$K$2989,'1QF4SM'!$J$6:$J$2989,"&gt;="&amp;I7,'1QF4SM'!$J$6:$J$2989,"&lt;="&amp;EOMONTH(I7,0),'1QF4SM'!$L$6:$L$2989,$B$33)+SUMIFS('1UV5KI'!$K$6:$K$2989,'1UV5KI'!$J$6:$J$2989,"&gt;="&amp;I7,'1UV5KI'!$J$6:$J$2989,"&lt;="&amp;EOMONTH(I7,0),'1UV5KI'!$L$6:$L$2989,$B$33)+SUMIFS(#REF!,#REF!,"&gt;="&amp;I7,#REF!,"&lt;="&amp;EOMONTH(I7,0),#REF!,$B$33)+SUMIFS('1UL9RY'!$K$6:$K$2990,'1UL9RY'!$J$6:$J$2990,"&gt;="&amp;I7,'1UL9RY'!$J$6:$J$2990,"&lt;="&amp;EOMONTH(I7,0),'1UL9RY'!$L$6:$L$2990,$B$33)+SUMIFS('1OZ7GT'!$K$6:$K$2989,'1OZ7GT'!$J$6:$J$2989,"&gt;="&amp;I7,'1OZ7GT'!$J$6:$J$2989,"&lt;="&amp;EOMONTH(I7,0),'1OZ7GT'!$L$6:$L$2989,$B$33)+SUMIFS('1CN8DD'!$K$6:$K$2989,'1CN8DD'!$J$6:$J$2989,"&gt;="&amp;I7,'1CN8DD'!$J$6:$J$2989,"&lt;="&amp;EOMONTH(I7,0),'1CN8DD'!$L$6:$L$2989,$B$33)+SUMIFS('1UT9BR'!$K$6:$K$2990,'1UT9BR'!$J$6:$J$2990,"&gt;="&amp;I7,'1UT9BR'!$J$6:$J$2990,"&lt;="&amp;EOMONTH(I7,0),'1UT9BR'!$L$6:$L$2990,$B$33)+SUMIFS('1MK4UR'!$K$6:$K$2990,'1MK4UR'!$J$6:$J$2990,"&gt;="&amp;I7,'1MK4UR'!$J$6:$J$2990,"&lt;="&amp;EOMONTH(I7,0),'1MK4UR'!$L$6:$L$2990,$B$33)+SUMIFS(#REF!,#REF!,"&gt;="&amp;I7,#REF!,"&lt;="&amp;EOMONTH(I7,0),#REF!,$B$33)+SUMIFS('1JI2UE'!$K$6:$K$2989,'1JI2UE'!$J$6:$J$2989,"&gt;="&amp;I7,'1JI2UE'!$J$6:$J$2989,"&lt;="&amp;EOMONTH(I7,0),'1JI2UE'!$L$6:$L$2989,$B$33)+SUMIFS(#REF!,#REF!,"&gt;="&amp;I7,#REF!,"&lt;="&amp;EOMONTH(I7,0),#REF!,$B$33)+SUMIFS('1SI9BW'!$K$6:$K$2989,'1SI9BW'!$J$6:$J$2989,"&gt;="&amp;I7,'1SI9BW'!$J$6:$J$2989,"&lt;="&amp;EOMONTH(I7,0),'1SI9BW'!$L$6:$L$2989,$B$33)+SUMIFS(Suzuki!$K$6:$K$2989,Suzuki!$J$6:$J$2989,"&gt;="&amp;I7,Suzuki!$J$6:$J$2989,"&lt;="&amp;EOMONTH(I7,0),Suzuki!$L$6:$L$2989,$B$33)+SUMIFS('1SK3DD'!$K$6:$K$2989,'1SK3DD'!$J$6:$J$2989,"&gt;="&amp;I7,'1SK3DD'!$J$6:$J$2989,"&lt;="&amp;EOMONTH(I7,0),'1SK3DD'!$L$6:$L$2989,$B$33)+SUMIFS('1SX5TQ'!$K$6:$K$2989,'1SX5TQ'!$J$6:$J$2989,"&gt;="&amp;I7,'1SX5TQ'!$J$6:$J$2989,"&lt;="&amp;EOMONTH(I7,0),'1SX5TQ'!$L$6:$L$2989,$B$33)+SUMIFS('BMM465'!$K$6:$K$2989,'BMM465'!$J$6:$J$2989,"&gt;="&amp;I7,'BMM465'!$J$6:$J$2989,"&lt;="&amp;EOMONTH(I7,0),'BMM465'!$L$6:$L$2989,$B$33)+SUMIFS('1CF1ZO'!$K$6:$K$2989,'1CF1ZO'!$J$6:$J$2989,"&gt;="&amp;I7,'1CF1ZO'!$J$6:$J$2989,"&lt;="&amp;EOMONTH(I7,0),'1CF1ZO'!$L$6:$L$2989,$B$33)+SUMIFS('1UK1BK'!$K$6:$K$2989,'1UK1BK'!$J$6:$J$2989,"&gt;="&amp;I7,'1UK1BK'!$J$6:$J$2989,"&lt;="&amp;EOMONTH(I7,0),'1UK1BK'!$L$6:$L$2989,$B$33)</f>
        <v>#REF!</v>
      </c>
      <c r="J33" s="110" t="e">
        <f>SUMIFS('CEI565'!$K$6:$K$2990,'CEI565'!$J$6:$J$2990,"&gt;="&amp;J7,'CEI565'!$J$6:$J$2990,"&lt;="&amp;EOMONTH(J7,0),'CEI565'!$L$6:$L$2990,$B$33)+SUMIFS('1SM3VL'!$K$6:$K$2990,'1SM3VL'!$J$6:$J$2990,"&gt;="&amp;J7,'1SM3VL'!$J$6:$J$2990,"&lt;="&amp;EOMONTH(J7,0),'1SM3VL'!$L$6:$L$2990,$B$33)+SUMIFS('1QF4SM'!$K$6:$K$2989,'1QF4SM'!$J$6:$J$2989,"&gt;="&amp;J7,'1QF4SM'!$J$6:$J$2989,"&lt;="&amp;EOMONTH(J7,0),'1QF4SM'!$L$6:$L$2989,$B$33)+SUMIFS('1UV5KI'!$K$6:$K$2989,'1UV5KI'!$J$6:$J$2989,"&gt;="&amp;J7,'1UV5KI'!$J$6:$J$2989,"&lt;="&amp;EOMONTH(J7,0),'1UV5KI'!$L$6:$L$2989,$B$33)+SUMIFS(#REF!,#REF!,"&gt;="&amp;J7,#REF!,"&lt;="&amp;EOMONTH(J7,0),#REF!,$B$33)+SUMIFS('1UL9RY'!$K$6:$K$2990,'1UL9RY'!$J$6:$J$2990,"&gt;="&amp;J7,'1UL9RY'!$J$6:$J$2990,"&lt;="&amp;EOMONTH(J7,0),'1UL9RY'!$L$6:$L$2990,$B$33)+SUMIFS('1OZ7GT'!$K$6:$K$2989,'1OZ7GT'!$J$6:$J$2989,"&gt;="&amp;J7,'1OZ7GT'!$J$6:$J$2989,"&lt;="&amp;EOMONTH(J7,0),'1OZ7GT'!$L$6:$L$2989,$B$33)+SUMIFS('1CN8DD'!$K$6:$K$2989,'1CN8DD'!$J$6:$J$2989,"&gt;="&amp;J7,'1CN8DD'!$J$6:$J$2989,"&lt;="&amp;EOMONTH(J7,0),'1CN8DD'!$L$6:$L$2989,$B$33)+SUMIFS('1UT9BR'!$K$6:$K$2990,'1UT9BR'!$J$6:$J$2990,"&gt;="&amp;J7,'1UT9BR'!$J$6:$J$2990,"&lt;="&amp;EOMONTH(J7,0),'1UT9BR'!$L$6:$L$2990,$B$33)+SUMIFS('1MK4UR'!$K$6:$K$2990,'1MK4UR'!$J$6:$J$2990,"&gt;="&amp;J7,'1MK4UR'!$J$6:$J$2990,"&lt;="&amp;EOMONTH(J7,0),'1MK4UR'!$L$6:$L$2990,$B$33)+SUMIFS(#REF!,#REF!,"&gt;="&amp;J7,#REF!,"&lt;="&amp;EOMONTH(J7,0),#REF!,$B$33)+SUMIFS('1JI2UE'!$K$6:$K$2989,'1JI2UE'!$J$6:$J$2989,"&gt;="&amp;J7,'1JI2UE'!$J$6:$J$2989,"&lt;="&amp;EOMONTH(J7,0),'1JI2UE'!$L$6:$L$2989,$B$33)+SUMIFS(#REF!,#REF!,"&gt;="&amp;J7,#REF!,"&lt;="&amp;EOMONTH(J7,0),#REF!,$B$33)+SUMIFS('1SI9BW'!$K$6:$K$2989,'1SI9BW'!$J$6:$J$2989,"&gt;="&amp;J7,'1SI9BW'!$J$6:$J$2989,"&lt;="&amp;EOMONTH(J7,0),'1SI9BW'!$L$6:$L$2989,$B$33)+SUMIFS(Suzuki!$K$6:$K$2989,Suzuki!$J$6:$J$2989,"&gt;="&amp;J7,Suzuki!$J$6:$J$2989,"&lt;="&amp;EOMONTH(J7,0),Suzuki!$L$6:$L$2989,$B$33)+SUMIFS('1SK3DD'!$K$6:$K$2989,'1SK3DD'!$J$6:$J$2989,"&gt;="&amp;J7,'1SK3DD'!$J$6:$J$2989,"&lt;="&amp;EOMONTH(J7,0),'1SK3DD'!$L$6:$L$2989,$B$33)+SUMIFS('1SX5TQ'!$K$6:$K$2989,'1SX5TQ'!$J$6:$J$2989,"&gt;="&amp;J7,'1SX5TQ'!$J$6:$J$2989,"&lt;="&amp;EOMONTH(J7,0),'1SX5TQ'!$L$6:$L$2989,$B$33)+SUMIFS('BMM465'!$K$6:$K$2989,'BMM465'!$J$6:$J$2989,"&gt;="&amp;J7,'BMM465'!$J$6:$J$2989,"&lt;="&amp;EOMONTH(J7,0),'BMM465'!$L$6:$L$2989,$B$33)+SUMIFS('1CF1ZO'!$K$6:$K$2989,'1CF1ZO'!$J$6:$J$2989,"&gt;="&amp;J7,'1CF1ZO'!$J$6:$J$2989,"&lt;="&amp;EOMONTH(J7,0),'1CF1ZO'!$L$6:$L$2989,$B$33)+SUMIFS('1UK1BK'!$K$6:$K$2989,'1UK1BK'!$J$6:$J$2989,"&gt;="&amp;J7,'1UK1BK'!$J$6:$J$2989,"&lt;="&amp;EOMONTH(J7,0),'1UK1BK'!$L$6:$L$2989,$B$33)</f>
        <v>#REF!</v>
      </c>
      <c r="K33" s="110" t="e">
        <f>SUMIFS('CEI565'!$K$6:$K$2990,'CEI565'!$J$6:$J$2990,"&gt;="&amp;K7,'CEI565'!$J$6:$J$2990,"&lt;="&amp;EOMONTH(K7,0),'CEI565'!$L$6:$L$2990,$B$33)+SUMIFS('1SM3VL'!$K$6:$K$2990,'1SM3VL'!$J$6:$J$2990,"&gt;="&amp;K7,'1SM3VL'!$J$6:$J$2990,"&lt;="&amp;EOMONTH(K7,0),'1SM3VL'!$L$6:$L$2990,$B$33)+SUMIFS('1QF4SM'!$K$6:$K$2989,'1QF4SM'!$J$6:$J$2989,"&gt;="&amp;K7,'1QF4SM'!$J$6:$J$2989,"&lt;="&amp;EOMONTH(K7,0),'1QF4SM'!$L$6:$L$2989,$B$33)+SUMIFS('1UV5KI'!$K$6:$K$2989,'1UV5KI'!$J$6:$J$2989,"&gt;="&amp;K7,'1UV5KI'!$J$6:$J$2989,"&lt;="&amp;EOMONTH(K7,0),'1UV5KI'!$L$6:$L$2989,$B$33)+SUMIFS(#REF!,#REF!,"&gt;="&amp;K7,#REF!,"&lt;="&amp;EOMONTH(K7,0),#REF!,$B$33)+SUMIFS('1UL9RY'!$K$6:$K$2990,'1UL9RY'!$J$6:$J$2990,"&gt;="&amp;K7,'1UL9RY'!$J$6:$J$2990,"&lt;="&amp;EOMONTH(K7,0),'1UL9RY'!$L$6:$L$2990,$B$33)+SUMIFS('1OZ7GT'!$K$6:$K$2989,'1OZ7GT'!$J$6:$J$2989,"&gt;="&amp;K7,'1OZ7GT'!$J$6:$J$2989,"&lt;="&amp;EOMONTH(K7,0),'1OZ7GT'!$L$6:$L$2989,$B$33)+SUMIFS('1CN8DD'!$K$6:$K$2989,'1CN8DD'!$J$6:$J$2989,"&gt;="&amp;K7,'1CN8DD'!$J$6:$J$2989,"&lt;="&amp;EOMONTH(K7,0),'1CN8DD'!$L$6:$L$2989,$B$33)+SUMIFS('1UT9BR'!$K$6:$K$2990,'1UT9BR'!$J$6:$J$2990,"&gt;="&amp;K7,'1UT9BR'!$J$6:$J$2990,"&lt;="&amp;EOMONTH(K7,0),'1UT9BR'!$L$6:$L$2990,$B$33)+SUMIFS('1MK4UR'!$K$6:$K$2990,'1MK4UR'!$J$6:$J$2990,"&gt;="&amp;K7,'1MK4UR'!$J$6:$J$2990,"&lt;="&amp;EOMONTH(K7,0),'1MK4UR'!$L$6:$L$2990,$B$33)+SUMIFS(#REF!,#REF!,"&gt;="&amp;K7,#REF!,"&lt;="&amp;EOMONTH(K7,0),#REF!,$B$33)+SUMIFS('1JI2UE'!$K$6:$K$2989,'1JI2UE'!$J$6:$J$2989,"&gt;="&amp;K7,'1JI2UE'!$J$6:$J$2989,"&lt;="&amp;EOMONTH(K7,0),'1JI2UE'!$L$6:$L$2989,$B$33)+SUMIFS(#REF!,#REF!,"&gt;="&amp;K7,#REF!,"&lt;="&amp;EOMONTH(K7,0),#REF!,$B$33)+SUMIFS('1SI9BW'!$K$6:$K$2989,'1SI9BW'!$J$6:$J$2989,"&gt;="&amp;K7,'1SI9BW'!$J$6:$J$2989,"&lt;="&amp;EOMONTH(K7,0),'1SI9BW'!$L$6:$L$2989,$B$33)+SUMIFS(Suzuki!$K$6:$K$2989,Suzuki!$J$6:$J$2989,"&gt;="&amp;K7,Suzuki!$J$6:$J$2989,"&lt;="&amp;EOMONTH(K7,0),Suzuki!$L$6:$L$2989,$B$33)+SUMIFS('1SK3DD'!$K$6:$K$2989,'1SK3DD'!$J$6:$J$2989,"&gt;="&amp;K7,'1SK3DD'!$J$6:$J$2989,"&lt;="&amp;EOMONTH(K7,0),'1SK3DD'!$L$6:$L$2989,$B$33)+SUMIFS('1SX5TQ'!$K$6:$K$2989,'1SX5TQ'!$J$6:$J$2989,"&gt;="&amp;K7,'1SX5TQ'!$J$6:$J$2989,"&lt;="&amp;EOMONTH(K7,0),'1SX5TQ'!$L$6:$L$2989,$B$33)+SUMIFS('BMM465'!$K$6:$K$2989,'BMM465'!$J$6:$J$2989,"&gt;="&amp;K7,'BMM465'!$J$6:$J$2989,"&lt;="&amp;EOMONTH(K7,0),'BMM465'!$L$6:$L$2989,$B$33)+SUMIFS('1CF1ZO'!$K$6:$K$2989,'1CF1ZO'!$J$6:$J$2989,"&gt;="&amp;K7,'1CF1ZO'!$J$6:$J$2989,"&lt;="&amp;EOMONTH(K7,0),'1CF1ZO'!$L$6:$L$2989,$B$33)+SUMIFS('1UK1BK'!$K$6:$K$2989,'1UK1BK'!$J$6:$J$2989,"&gt;="&amp;K7,'1UK1BK'!$J$6:$J$2989,"&lt;="&amp;EOMONTH(K7,0),'1UK1BK'!$L$6:$L$2989,$B$33)</f>
        <v>#REF!</v>
      </c>
      <c r="L33" s="110" t="e">
        <f>SUMIFS('CEI565'!$K$6:$K$2990,'CEI565'!$J$6:$J$2990,"&gt;="&amp;L7,'CEI565'!$J$6:$J$2990,"&lt;="&amp;EOMONTH(L7,0),'CEI565'!$L$6:$L$2990,$B$33)+SUMIFS('1SM3VL'!$K$6:$K$2990,'1SM3VL'!$J$6:$J$2990,"&gt;="&amp;L7,'1SM3VL'!$J$6:$J$2990,"&lt;="&amp;EOMONTH(L7,0),'1SM3VL'!$L$6:$L$2990,$B$33)+SUMIFS('1QF4SM'!$K$6:$K$2989,'1QF4SM'!$J$6:$J$2989,"&gt;="&amp;L7,'1QF4SM'!$J$6:$J$2989,"&lt;="&amp;EOMONTH(L7,0),'1QF4SM'!$L$6:$L$2989,$B$33)+SUMIFS('1UV5KI'!$K$6:$K$2989,'1UV5KI'!$J$6:$J$2989,"&gt;="&amp;L7,'1UV5KI'!$J$6:$J$2989,"&lt;="&amp;EOMONTH(L7,0),'1UV5KI'!$L$6:$L$2989,$B$33)+SUMIFS(#REF!,#REF!,"&gt;="&amp;L7,#REF!,"&lt;="&amp;EOMONTH(L7,0),#REF!,$B$33)+SUMIFS('1UL9RY'!$K$6:$K$2990,'1UL9RY'!$J$6:$J$2990,"&gt;="&amp;L7,'1UL9RY'!$J$6:$J$2990,"&lt;="&amp;EOMONTH(L7,0),'1UL9RY'!$L$6:$L$2990,$B$33)+SUMIFS('1OZ7GT'!$K$6:$K$2989,'1OZ7GT'!$J$6:$J$2989,"&gt;="&amp;L7,'1OZ7GT'!$J$6:$J$2989,"&lt;="&amp;EOMONTH(L7,0),'1OZ7GT'!$L$6:$L$2989,$B$33)+SUMIFS('1CN8DD'!$K$6:$K$2989,'1CN8DD'!$J$6:$J$2989,"&gt;="&amp;L7,'1CN8DD'!$J$6:$J$2989,"&lt;="&amp;EOMONTH(L7,0),'1CN8DD'!$L$6:$L$2989,$B$33)+SUMIFS('1UT9BR'!$K$6:$K$2990,'1UT9BR'!$J$6:$J$2990,"&gt;="&amp;L7,'1UT9BR'!$J$6:$J$2990,"&lt;="&amp;EOMONTH(L7,0),'1UT9BR'!$L$6:$L$2990,$B$33)+SUMIFS('1MK4UR'!$K$6:$K$2990,'1MK4UR'!$J$6:$J$2990,"&gt;="&amp;L7,'1MK4UR'!$J$6:$J$2990,"&lt;="&amp;EOMONTH(L7,0),'1MK4UR'!$L$6:$L$2990,$B$33)+SUMIFS(#REF!,#REF!,"&gt;="&amp;L7,#REF!,"&lt;="&amp;EOMONTH(L7,0),#REF!,$B$33)+SUMIFS('1JI2UE'!$K$6:$K$2989,'1JI2UE'!$J$6:$J$2989,"&gt;="&amp;L7,'1JI2UE'!$J$6:$J$2989,"&lt;="&amp;EOMONTH(L7,0),'1JI2UE'!$L$6:$L$2989,$B$33)+SUMIFS(#REF!,#REF!,"&gt;="&amp;L7,#REF!,"&lt;="&amp;EOMONTH(L7,0),#REF!,$B$33)+SUMIFS('1SI9BW'!$K$6:$K$2989,'1SI9BW'!$J$6:$J$2989,"&gt;="&amp;L7,'1SI9BW'!$J$6:$J$2989,"&lt;="&amp;EOMONTH(L7,0),'1SI9BW'!$L$6:$L$2989,$B$33)+SUMIFS(Suzuki!$K$6:$K$2989,Suzuki!$J$6:$J$2989,"&gt;="&amp;L7,Suzuki!$J$6:$J$2989,"&lt;="&amp;EOMONTH(L7,0),Suzuki!$L$6:$L$2989,$B$33)+SUMIFS('1SK3DD'!$K$6:$K$2989,'1SK3DD'!$J$6:$J$2989,"&gt;="&amp;L7,'1SK3DD'!$J$6:$J$2989,"&lt;="&amp;EOMONTH(L7,0),'1SK3DD'!$L$6:$L$2989,$B$33)+SUMIFS('1SX5TQ'!$K$6:$K$2989,'1SX5TQ'!$J$6:$J$2989,"&gt;="&amp;L7,'1SX5TQ'!$J$6:$J$2989,"&lt;="&amp;EOMONTH(L7,0),'1SX5TQ'!$L$6:$L$2989,$B$33)+SUMIFS('BMM465'!$K$6:$K$2989,'BMM465'!$J$6:$J$2989,"&gt;="&amp;L7,'BMM465'!$J$6:$J$2989,"&lt;="&amp;EOMONTH(L7,0),'BMM465'!$L$6:$L$2989,$B$33)+SUMIFS('1CF1ZO'!$K$6:$K$2989,'1CF1ZO'!$J$6:$J$2989,"&gt;="&amp;L7,'1CF1ZO'!$J$6:$J$2989,"&lt;="&amp;EOMONTH(L7,0),'1CF1ZO'!$L$6:$L$2989,$B$33)+SUMIFS('1UK1BK'!$K$6:$K$2989,'1UK1BK'!$J$6:$J$2989,"&gt;="&amp;L7,'1UK1BK'!$J$6:$J$2989,"&lt;="&amp;EOMONTH(L7,0),'1UK1BK'!$L$6:$L$2989,$B$33)</f>
        <v>#REF!</v>
      </c>
      <c r="M33" s="110" t="e">
        <f>SUMIFS('CEI565'!$K$6:$K$2990,'CEI565'!$J$6:$J$2990,"&gt;="&amp;M7,'CEI565'!$J$6:$J$2990,"&lt;="&amp;EOMONTH(M7,0),'CEI565'!$L$6:$L$2990,$B$33)+SUMIFS('1SM3VL'!$K$6:$K$2990,'1SM3VL'!$J$6:$J$2990,"&gt;="&amp;M7,'1SM3VL'!$J$6:$J$2990,"&lt;="&amp;EOMONTH(M7,0),'1SM3VL'!$L$6:$L$2990,$B$33)+SUMIFS('1QF4SM'!$K$6:$K$2989,'1QF4SM'!$J$6:$J$2989,"&gt;="&amp;M7,'1QF4SM'!$J$6:$J$2989,"&lt;="&amp;EOMONTH(M7,0),'1QF4SM'!$L$6:$L$2989,$B$33)+SUMIFS('1UV5KI'!$K$6:$K$2989,'1UV5KI'!$J$6:$J$2989,"&gt;="&amp;M7,'1UV5KI'!$J$6:$J$2989,"&lt;="&amp;EOMONTH(M7,0),'1UV5KI'!$L$6:$L$2989,$B$33)+SUMIFS(#REF!,#REF!,"&gt;="&amp;M7,#REF!,"&lt;="&amp;EOMONTH(M7,0),#REF!,$B$33)+SUMIFS('1UL9RY'!$K$6:$K$2990,'1UL9RY'!$J$6:$J$2990,"&gt;="&amp;M7,'1UL9RY'!$J$6:$J$2990,"&lt;="&amp;EOMONTH(M7,0),'1UL9RY'!$L$6:$L$2990,$B$33)+SUMIFS('1OZ7GT'!$K$6:$K$2989,'1OZ7GT'!$J$6:$J$2989,"&gt;="&amp;M7,'1OZ7GT'!$J$6:$J$2989,"&lt;="&amp;EOMONTH(M7,0),'1OZ7GT'!$L$6:$L$2989,$B$33)+SUMIFS('1CN8DD'!$K$6:$K$2989,'1CN8DD'!$J$6:$J$2989,"&gt;="&amp;M7,'1CN8DD'!$J$6:$J$2989,"&lt;="&amp;EOMONTH(M7,0),'1CN8DD'!$L$6:$L$2989,$B$33)+SUMIFS('1UT9BR'!$K$6:$K$2990,'1UT9BR'!$J$6:$J$2990,"&gt;="&amp;M7,'1UT9BR'!$J$6:$J$2990,"&lt;="&amp;EOMONTH(M7,0),'1UT9BR'!$L$6:$L$2990,$B$33)+SUMIFS('1MK4UR'!$K$6:$K$2990,'1MK4UR'!$J$6:$J$2990,"&gt;="&amp;M7,'1MK4UR'!$J$6:$J$2990,"&lt;="&amp;EOMONTH(M7,0),'1MK4UR'!$L$6:$L$2990,$B$33)+SUMIFS(#REF!,#REF!,"&gt;="&amp;M7,#REF!,"&lt;="&amp;EOMONTH(M7,0),#REF!,$B$33)+SUMIFS('1JI2UE'!$K$6:$K$2989,'1JI2UE'!$J$6:$J$2989,"&gt;="&amp;M7,'1JI2UE'!$J$6:$J$2989,"&lt;="&amp;EOMONTH(M7,0),'1JI2UE'!$L$6:$L$2989,$B$33)+SUMIFS(#REF!,#REF!,"&gt;="&amp;M7,#REF!,"&lt;="&amp;EOMONTH(M7,0),#REF!,$B$33)+SUMIFS('1SI9BW'!$K$6:$K$2989,'1SI9BW'!$J$6:$J$2989,"&gt;="&amp;M7,'1SI9BW'!$J$6:$J$2989,"&lt;="&amp;EOMONTH(M7,0),'1SI9BW'!$L$6:$L$2989,$B$33)+SUMIFS(Suzuki!$K$6:$K$2989,Suzuki!$J$6:$J$2989,"&gt;="&amp;M7,Suzuki!$J$6:$J$2989,"&lt;="&amp;EOMONTH(M7,0),Suzuki!$L$6:$L$2989,$B$33)+SUMIFS('1SK3DD'!$K$6:$K$2989,'1SK3DD'!$J$6:$J$2989,"&gt;="&amp;M7,'1SK3DD'!$J$6:$J$2989,"&lt;="&amp;EOMONTH(M7,0),'1SK3DD'!$L$6:$L$2989,$B$33)+SUMIFS('1SX5TQ'!$K$6:$K$2989,'1SX5TQ'!$J$6:$J$2989,"&gt;="&amp;M7,'1SX5TQ'!$J$6:$J$2989,"&lt;="&amp;EOMONTH(M7,0),'1SX5TQ'!$L$6:$L$2989,$B$33)+SUMIFS('BMM465'!$K$6:$K$2989,'BMM465'!$J$6:$J$2989,"&gt;="&amp;M7,'BMM465'!$J$6:$J$2989,"&lt;="&amp;EOMONTH(M7,0),'BMM465'!$L$6:$L$2989,$B$33)+SUMIFS('1CF1ZO'!$K$6:$K$2989,'1CF1ZO'!$J$6:$J$2989,"&gt;="&amp;M7,'1CF1ZO'!$J$6:$J$2989,"&lt;="&amp;EOMONTH(M7,0),'1CF1ZO'!$L$6:$L$2989,$B$33)+SUMIFS('1UK1BK'!$K$6:$K$2989,'1UK1BK'!$J$6:$J$2989,"&gt;="&amp;M7,'1UK1BK'!$J$6:$J$2989,"&lt;="&amp;EOMONTH(M7,0),'1UK1BK'!$L$6:$L$2989,$B$33)</f>
        <v>#REF!</v>
      </c>
      <c r="N33" s="110" t="e">
        <f>SUMIFS('CEI565'!$K$6:$K$2990,'CEI565'!$J$6:$J$2990,"&gt;="&amp;N7,'CEI565'!$J$6:$J$2990,"&lt;="&amp;EOMONTH(N7,0),'CEI565'!$L$6:$L$2990,$B$33)+SUMIFS('1SM3VL'!$K$6:$K$2990,'1SM3VL'!$J$6:$J$2990,"&gt;="&amp;N7,'1SM3VL'!$J$6:$J$2990,"&lt;="&amp;EOMONTH(N7,0),'1SM3VL'!$L$6:$L$2990,$B$33)+SUMIFS('1QF4SM'!$K$6:$K$2989,'1QF4SM'!$J$6:$J$2989,"&gt;="&amp;N7,'1QF4SM'!$J$6:$J$2989,"&lt;="&amp;EOMONTH(N7,0),'1QF4SM'!$L$6:$L$2989,$B$33)+SUMIFS('1UV5KI'!$K$6:$K$2989,'1UV5KI'!$J$6:$J$2989,"&gt;="&amp;N7,'1UV5KI'!$J$6:$J$2989,"&lt;="&amp;EOMONTH(N7,0),'1UV5KI'!$L$6:$L$2989,$B$33)+SUMIFS(#REF!,#REF!,"&gt;="&amp;N7,#REF!,"&lt;="&amp;EOMONTH(N7,0),#REF!,$B$33)+SUMIFS('1UL9RY'!$K$6:$K$2990,'1UL9RY'!$J$6:$J$2990,"&gt;="&amp;N7,'1UL9RY'!$J$6:$J$2990,"&lt;="&amp;EOMONTH(N7,0),'1UL9RY'!$L$6:$L$2990,$B$33)+SUMIFS('1OZ7GT'!$K$6:$K$2989,'1OZ7GT'!$J$6:$J$2989,"&gt;="&amp;N7,'1OZ7GT'!$J$6:$J$2989,"&lt;="&amp;EOMONTH(N7,0),'1OZ7GT'!$L$6:$L$2989,$B$33)+SUMIFS('1CN8DD'!$K$6:$K$2989,'1CN8DD'!$J$6:$J$2989,"&gt;="&amp;N7,'1CN8DD'!$J$6:$J$2989,"&lt;="&amp;EOMONTH(N7,0),'1CN8DD'!$L$6:$L$2989,$B$33)+SUMIFS('1UT9BR'!$K$6:$K$2990,'1UT9BR'!$J$6:$J$2990,"&gt;="&amp;N7,'1UT9BR'!$J$6:$J$2990,"&lt;="&amp;EOMONTH(N7,0),'1UT9BR'!$L$6:$L$2990,$B$33)+SUMIFS('1MK4UR'!$K$6:$K$2990,'1MK4UR'!$J$6:$J$2990,"&gt;="&amp;N7,'1MK4UR'!$J$6:$J$2990,"&lt;="&amp;EOMONTH(N7,0),'1MK4UR'!$L$6:$L$2990,$B$33)+SUMIFS(#REF!,#REF!,"&gt;="&amp;N7,#REF!,"&lt;="&amp;EOMONTH(N7,0),#REF!,$B$33)+SUMIFS('1JI2UE'!$K$6:$K$2989,'1JI2UE'!$J$6:$J$2989,"&gt;="&amp;N7,'1JI2UE'!$J$6:$J$2989,"&lt;="&amp;EOMONTH(N7,0),'1JI2UE'!$L$6:$L$2989,$B$33)+SUMIFS(#REF!,#REF!,"&gt;="&amp;N7,#REF!,"&lt;="&amp;EOMONTH(N7,0),#REF!,$B$33)+SUMIFS('1SI9BW'!$K$6:$K$2989,'1SI9BW'!$J$6:$J$2989,"&gt;="&amp;N7,'1SI9BW'!$J$6:$J$2989,"&lt;="&amp;EOMONTH(N7,0),'1SI9BW'!$L$6:$L$2989,$B$33)+SUMIFS(Suzuki!$K$6:$K$2989,Suzuki!$J$6:$J$2989,"&gt;="&amp;N7,Suzuki!$J$6:$J$2989,"&lt;="&amp;EOMONTH(N7,0),Suzuki!$L$6:$L$2989,$B$33)+SUMIFS('1SK3DD'!$K$6:$K$2989,'1SK3DD'!$J$6:$J$2989,"&gt;="&amp;N7,'1SK3DD'!$J$6:$J$2989,"&lt;="&amp;EOMONTH(N7,0),'1SK3DD'!$L$6:$L$2989,$B$33)+SUMIFS('1SX5TQ'!$K$6:$K$2989,'1SX5TQ'!$J$6:$J$2989,"&gt;="&amp;N7,'1SX5TQ'!$J$6:$J$2989,"&lt;="&amp;EOMONTH(N7,0),'1SX5TQ'!$L$6:$L$2989,$B$33)+SUMIFS('BMM465'!$K$6:$K$2989,'BMM465'!$J$6:$J$2989,"&gt;="&amp;N7,'BMM465'!$J$6:$J$2989,"&lt;="&amp;EOMONTH(N7,0),'BMM465'!$L$6:$L$2989,$B$33)+SUMIFS('1CF1ZO'!$K$6:$K$2989,'1CF1ZO'!$J$6:$J$2989,"&gt;="&amp;N7,'1CF1ZO'!$J$6:$J$2989,"&lt;="&amp;EOMONTH(N7,0),'1CF1ZO'!$L$6:$L$2989,$B$33)+SUMIFS('1UK1BK'!$K$6:$K$2989,'1UK1BK'!$J$6:$J$2989,"&gt;="&amp;N7,'1UK1BK'!$J$6:$J$2989,"&lt;="&amp;EOMONTH(N7,0),'1UK1BK'!$L$6:$L$2989,$B$33)</f>
        <v>#REF!</v>
      </c>
      <c r="O33" s="110" t="e">
        <f>SUMIFS('CEI565'!$K$6:$K$2990,'CEI565'!$J$6:$J$2990,"&gt;="&amp;O7,'CEI565'!$J$6:$J$2990,"&lt;="&amp;EOMONTH(O7,0),'CEI565'!$L$6:$L$2990,$B$33)+SUMIFS('1SM3VL'!$K$6:$K$2990,'1SM3VL'!$J$6:$J$2990,"&gt;="&amp;O7,'1SM3VL'!$J$6:$J$2990,"&lt;="&amp;EOMONTH(O7,0),'1SM3VL'!$L$6:$L$2990,$B$33)+SUMIFS('1QF4SM'!$K$6:$K$2989,'1QF4SM'!$J$6:$J$2989,"&gt;="&amp;O7,'1QF4SM'!$J$6:$J$2989,"&lt;="&amp;EOMONTH(O7,0),'1QF4SM'!$L$6:$L$2989,$B$33)+SUMIFS('1UV5KI'!$K$6:$K$2989,'1UV5KI'!$J$6:$J$2989,"&gt;="&amp;O7,'1UV5KI'!$J$6:$J$2989,"&lt;="&amp;EOMONTH(O7,0),'1UV5KI'!$L$6:$L$2989,$B$33)+SUMIFS(#REF!,#REF!,"&gt;="&amp;O7,#REF!,"&lt;="&amp;EOMONTH(O7,0),#REF!,$B$33)+SUMIFS('1UL9RY'!$K$6:$K$2990,'1UL9RY'!$J$6:$J$2990,"&gt;="&amp;O7,'1UL9RY'!$J$6:$J$2990,"&lt;="&amp;EOMONTH(O7,0),'1UL9RY'!$L$6:$L$2990,$B$33)+SUMIFS('1OZ7GT'!$K$6:$K$2989,'1OZ7GT'!$J$6:$J$2989,"&gt;="&amp;O7,'1OZ7GT'!$J$6:$J$2989,"&lt;="&amp;EOMONTH(O7,0),'1OZ7GT'!$L$6:$L$2989,$B$33)+SUMIFS('1CN8DD'!$K$6:$K$2989,'1CN8DD'!$J$6:$J$2989,"&gt;="&amp;O7,'1CN8DD'!$J$6:$J$2989,"&lt;="&amp;EOMONTH(O7,0),'1CN8DD'!$L$6:$L$2989,$B$33)+SUMIFS('1UT9BR'!$K$6:$K$2990,'1UT9BR'!$J$6:$J$2990,"&gt;="&amp;O7,'1UT9BR'!$J$6:$J$2990,"&lt;="&amp;EOMONTH(O7,0),'1UT9BR'!$L$6:$L$2990,$B$33)+SUMIFS('1MK4UR'!$K$6:$K$2990,'1MK4UR'!$J$6:$J$2990,"&gt;="&amp;O7,'1MK4UR'!$J$6:$J$2990,"&lt;="&amp;EOMONTH(O7,0),'1MK4UR'!$L$6:$L$2990,$B$33)+SUMIFS(#REF!,#REF!,"&gt;="&amp;O7,#REF!,"&lt;="&amp;EOMONTH(O7,0),#REF!,$B$33)+SUMIFS('1JI2UE'!$K$6:$K$2989,'1JI2UE'!$J$6:$J$2989,"&gt;="&amp;O7,'1JI2UE'!$J$6:$J$2989,"&lt;="&amp;EOMONTH(O7,0),'1JI2UE'!$L$6:$L$2989,$B$33)+SUMIFS(#REF!,#REF!,"&gt;="&amp;O7,#REF!,"&lt;="&amp;EOMONTH(O7,0),#REF!,$B$33)+SUMIFS('1SI9BW'!$K$6:$K$2989,'1SI9BW'!$J$6:$J$2989,"&gt;="&amp;O7,'1SI9BW'!$J$6:$J$2989,"&lt;="&amp;EOMONTH(O7,0),'1SI9BW'!$L$6:$L$2989,$B$33)+SUMIFS(Suzuki!$K$6:$K$2989,Suzuki!$J$6:$J$2989,"&gt;="&amp;O7,Suzuki!$J$6:$J$2989,"&lt;="&amp;EOMONTH(O7,0),Suzuki!$L$6:$L$2989,$B$33)+SUMIFS('1SK3DD'!$K$6:$K$2989,'1SK3DD'!$J$6:$J$2989,"&gt;="&amp;O7,'1SK3DD'!$J$6:$J$2989,"&lt;="&amp;EOMONTH(O7,0),'1SK3DD'!$L$6:$L$2989,$B$33)+SUMIFS('1SX5TQ'!$K$6:$K$2989,'1SX5TQ'!$J$6:$J$2989,"&gt;="&amp;O7,'1SX5TQ'!$J$6:$J$2989,"&lt;="&amp;EOMONTH(O7,0),'1SX5TQ'!$L$6:$L$2989,$B$33)+SUMIFS('BMM465'!$K$6:$K$2989,'BMM465'!$J$6:$J$2989,"&gt;="&amp;O7,'BMM465'!$J$6:$J$2989,"&lt;="&amp;EOMONTH(O7,0),'BMM465'!$L$6:$L$2989,$B$33)+SUMIFS('1CF1ZO'!$K$6:$K$2989,'1CF1ZO'!$J$6:$J$2989,"&gt;="&amp;O7,'1CF1ZO'!$J$6:$J$2989,"&lt;="&amp;EOMONTH(O7,0),'1CF1ZO'!$L$6:$L$2989,$B$33)+SUMIFS('1UK1BK'!$K$6:$K$2989,'1UK1BK'!$J$6:$J$2989,"&gt;="&amp;O7,'1UK1BK'!$J$6:$J$2989,"&lt;="&amp;EOMONTH(O7,0),'1UK1BK'!$L$6:$L$2989,$B$33)</f>
        <v>#REF!</v>
      </c>
      <c r="P33" s="110" t="e">
        <f>SUMIFS('CEI565'!$K$6:$K$2990,'CEI565'!$J$6:$J$2990,"&gt;="&amp;P7,'CEI565'!$J$6:$J$2990,"&lt;="&amp;EOMONTH(P7,0),'CEI565'!$L$6:$L$2990,$B$33)+SUMIFS('1SM3VL'!$K$6:$K$2990,'1SM3VL'!$J$6:$J$2990,"&gt;="&amp;P7,'1SM3VL'!$J$6:$J$2990,"&lt;="&amp;EOMONTH(P7,0),'1SM3VL'!$L$6:$L$2990,$B$33)+SUMIFS('1QF4SM'!$K$6:$K$2989,'1QF4SM'!$J$6:$J$2989,"&gt;="&amp;P7,'1QF4SM'!$J$6:$J$2989,"&lt;="&amp;EOMONTH(P7,0),'1QF4SM'!$L$6:$L$2989,$B$33)+SUMIFS('1UV5KI'!$K$6:$K$2989,'1UV5KI'!$J$6:$J$2989,"&gt;="&amp;P7,'1UV5KI'!$J$6:$J$2989,"&lt;="&amp;EOMONTH(P7,0),'1UV5KI'!$L$6:$L$2989,$B$33)+SUMIFS(#REF!,#REF!,"&gt;="&amp;P7,#REF!,"&lt;="&amp;EOMONTH(P7,0),#REF!,$B$33)+SUMIFS('1UL9RY'!$K$6:$K$2990,'1UL9RY'!$J$6:$J$2990,"&gt;="&amp;P7,'1UL9RY'!$J$6:$J$2990,"&lt;="&amp;EOMONTH(P7,0),'1UL9RY'!$L$6:$L$2990,$B$33)+SUMIFS('1OZ7GT'!$K$6:$K$2989,'1OZ7GT'!$J$6:$J$2989,"&gt;="&amp;P7,'1OZ7GT'!$J$6:$J$2989,"&lt;="&amp;EOMONTH(P7,0),'1OZ7GT'!$L$6:$L$2989,$B$33)+SUMIFS('1CN8DD'!$K$6:$K$2989,'1CN8DD'!$J$6:$J$2989,"&gt;="&amp;P7,'1CN8DD'!$J$6:$J$2989,"&lt;="&amp;EOMONTH(P7,0),'1CN8DD'!$L$6:$L$2989,$B$33)+SUMIFS('1UT9BR'!$K$6:$K$2990,'1UT9BR'!$J$6:$J$2990,"&gt;="&amp;P7,'1UT9BR'!$J$6:$J$2990,"&lt;="&amp;EOMONTH(P7,0),'1UT9BR'!$L$6:$L$2990,$B$33)+SUMIFS('1MK4UR'!$K$6:$K$2990,'1MK4UR'!$J$6:$J$2990,"&gt;="&amp;P7,'1MK4UR'!$J$6:$J$2990,"&lt;="&amp;EOMONTH(P7,0),'1MK4UR'!$L$6:$L$2990,$B$33)+SUMIFS(#REF!,#REF!,"&gt;="&amp;P7,#REF!,"&lt;="&amp;EOMONTH(P7,0),#REF!,$B$33)+SUMIFS('1JI2UE'!$K$6:$K$2989,'1JI2UE'!$J$6:$J$2989,"&gt;="&amp;P7,'1JI2UE'!$J$6:$J$2989,"&lt;="&amp;EOMONTH(P7,0),'1JI2UE'!$L$6:$L$2989,$B$33)+SUMIFS(#REF!,#REF!,"&gt;="&amp;P7,#REF!,"&lt;="&amp;EOMONTH(P7,0),#REF!,$B$33)+SUMIFS('1SI9BW'!$K$6:$K$2989,'1SI9BW'!$J$6:$J$2989,"&gt;="&amp;P7,'1SI9BW'!$J$6:$J$2989,"&lt;="&amp;EOMONTH(P7,0),'1SI9BW'!$L$6:$L$2989,$B$33)+SUMIFS(Suzuki!$K$6:$K$2989,Suzuki!$J$6:$J$2989,"&gt;="&amp;P7,Suzuki!$J$6:$J$2989,"&lt;="&amp;EOMONTH(P7,0),Suzuki!$L$6:$L$2989,$B$33)+SUMIFS('1SK3DD'!$K$6:$K$2989,'1SK3DD'!$J$6:$J$2989,"&gt;="&amp;P7,'1SK3DD'!$J$6:$J$2989,"&lt;="&amp;EOMONTH(P7,0),'1SK3DD'!$L$6:$L$2989,$B$33)+SUMIFS('1SX5TQ'!$K$6:$K$2989,'1SX5TQ'!$J$6:$J$2989,"&gt;="&amp;P7,'1SX5TQ'!$J$6:$J$2989,"&lt;="&amp;EOMONTH(P7,0),'1SX5TQ'!$L$6:$L$2989,$B$33)+SUMIFS('BMM465'!$K$6:$K$2989,'BMM465'!$J$6:$J$2989,"&gt;="&amp;P7,'BMM465'!$J$6:$J$2989,"&lt;="&amp;EOMONTH(P7,0),'BMM465'!$L$6:$L$2989,$B$33)+SUMIFS('1CF1ZO'!$K$6:$K$2989,'1CF1ZO'!$J$6:$J$2989,"&gt;="&amp;P7,'1CF1ZO'!$J$6:$J$2989,"&lt;="&amp;EOMONTH(P7,0),'1CF1ZO'!$L$6:$L$2989,$B$33)+SUMIFS('1UK1BK'!$K$6:$K$2989,'1UK1BK'!$J$6:$J$2989,"&gt;="&amp;P7,'1UK1BK'!$J$6:$J$2989,"&lt;="&amp;EOMONTH(P7,0),'1UK1BK'!$L$6:$L$2989,$B$33)</f>
        <v>#REF!</v>
      </c>
      <c r="Q33" s="110" t="e">
        <f>SUMIFS('CEI565'!$K$6:$K$2990,'CEI565'!$J$6:$J$2990,"&gt;="&amp;Q7,'CEI565'!$J$6:$J$2990,"&lt;="&amp;EOMONTH(Q7,0),'CEI565'!$L$6:$L$2990,$B$33)+SUMIFS('1SM3VL'!$K$6:$K$2990,'1SM3VL'!$J$6:$J$2990,"&gt;="&amp;Q7,'1SM3VL'!$J$6:$J$2990,"&lt;="&amp;EOMONTH(Q7,0),'1SM3VL'!$L$6:$L$2990,$B$33)+SUMIFS('1QF4SM'!$K$6:$K$2989,'1QF4SM'!$J$6:$J$2989,"&gt;="&amp;Q7,'1QF4SM'!$J$6:$J$2989,"&lt;="&amp;EOMONTH(Q7,0),'1QF4SM'!$L$6:$L$2989,$B$33)+SUMIFS('1UV5KI'!$K$6:$K$2989,'1UV5KI'!$J$6:$J$2989,"&gt;="&amp;Q7,'1UV5KI'!$J$6:$J$2989,"&lt;="&amp;EOMONTH(Q7,0),'1UV5KI'!$L$6:$L$2989,$B$33)+SUMIFS(#REF!,#REF!,"&gt;="&amp;Q7,#REF!,"&lt;="&amp;EOMONTH(Q7,0),#REF!,$B$33)+SUMIFS('1UL9RY'!$K$6:$K$2990,'1UL9RY'!$J$6:$J$2990,"&gt;="&amp;Q7,'1UL9RY'!$J$6:$J$2990,"&lt;="&amp;EOMONTH(Q7,0),'1UL9RY'!$L$6:$L$2990,$B$33)+SUMIFS('1OZ7GT'!$K$6:$K$2989,'1OZ7GT'!$J$6:$J$2989,"&gt;="&amp;Q7,'1OZ7GT'!$J$6:$J$2989,"&lt;="&amp;EOMONTH(Q7,0),'1OZ7GT'!$L$6:$L$2989,$B$33)+SUMIFS('1CN8DD'!$K$6:$K$2989,'1CN8DD'!$J$6:$J$2989,"&gt;="&amp;Q7,'1CN8DD'!$J$6:$J$2989,"&lt;="&amp;EOMONTH(Q7,0),'1CN8DD'!$L$6:$L$2989,$B$33)+SUMIFS('1UT9BR'!$K$6:$K$2990,'1UT9BR'!$J$6:$J$2990,"&gt;="&amp;Q7,'1UT9BR'!$J$6:$J$2990,"&lt;="&amp;EOMONTH(Q7,0),'1UT9BR'!$L$6:$L$2990,$B$33)+SUMIFS('1MK4UR'!$K$6:$K$2990,'1MK4UR'!$J$6:$J$2990,"&gt;="&amp;Q7,'1MK4UR'!$J$6:$J$2990,"&lt;="&amp;EOMONTH(Q7,0),'1MK4UR'!$L$6:$L$2990,$B$33)+SUMIFS(#REF!,#REF!,"&gt;="&amp;Q7,#REF!,"&lt;="&amp;EOMONTH(Q7,0),#REF!,$B$33)+SUMIFS('1JI2UE'!$K$6:$K$2989,'1JI2UE'!$J$6:$J$2989,"&gt;="&amp;Q7,'1JI2UE'!$J$6:$J$2989,"&lt;="&amp;EOMONTH(Q7,0),'1JI2UE'!$L$6:$L$2989,$B$33)+SUMIFS(#REF!,#REF!,"&gt;="&amp;Q7,#REF!,"&lt;="&amp;EOMONTH(Q7,0),#REF!,$B$33)+SUMIFS('1SI9BW'!$K$6:$K$2989,'1SI9BW'!$J$6:$J$2989,"&gt;="&amp;Q7,'1SI9BW'!$J$6:$J$2989,"&lt;="&amp;EOMONTH(Q7,0),'1SI9BW'!$L$6:$L$2989,$B$33)+SUMIFS(Suzuki!$K$6:$K$2989,Suzuki!$J$6:$J$2989,"&gt;="&amp;Q7,Suzuki!$J$6:$J$2989,"&lt;="&amp;EOMONTH(Q7,0),Suzuki!$L$6:$L$2989,$B$33)+SUMIFS('1SK3DD'!$K$6:$K$2989,'1SK3DD'!$J$6:$J$2989,"&gt;="&amp;Q7,'1SK3DD'!$J$6:$J$2989,"&lt;="&amp;EOMONTH(Q7,0),'1SK3DD'!$L$6:$L$2989,$B$33)+SUMIFS('1SX5TQ'!$K$6:$K$2989,'1SX5TQ'!$J$6:$J$2989,"&gt;="&amp;Q7,'1SX5TQ'!$J$6:$J$2989,"&lt;="&amp;EOMONTH(Q7,0),'1SX5TQ'!$L$6:$L$2989,$B$33)+SUMIFS('BMM465'!$K$6:$K$2989,'BMM465'!$J$6:$J$2989,"&gt;="&amp;Q7,'BMM465'!$J$6:$J$2989,"&lt;="&amp;EOMONTH(Q7,0),'BMM465'!$L$6:$L$2989,$B$33)+SUMIFS('1CF1ZO'!$K$6:$K$2989,'1CF1ZO'!$J$6:$J$2989,"&gt;="&amp;Q7,'1CF1ZO'!$J$6:$J$2989,"&lt;="&amp;EOMONTH(Q7,0),'1CF1ZO'!$L$6:$L$2989,$B$33)+SUMIFS('1UK1BK'!$K$6:$K$2989,'1UK1BK'!$J$6:$J$2989,"&gt;="&amp;Q7,'1UK1BK'!$J$6:$J$2989,"&lt;="&amp;EOMONTH(Q7,0),'1UK1BK'!$L$6:$L$2989,$B$33)</f>
        <v>#REF!</v>
      </c>
      <c r="R33" s="110" t="e">
        <f>SUMIFS('CEI565'!$K$6:$K$2990,'CEI565'!$J$6:$J$2990,"&gt;="&amp;R7,'CEI565'!$J$6:$J$2990,"&lt;="&amp;EOMONTH(R7,0),'CEI565'!$L$6:$L$2990,$B$33)+SUMIFS('1SM3VL'!$K$6:$K$2990,'1SM3VL'!$J$6:$J$2990,"&gt;="&amp;R7,'1SM3VL'!$J$6:$J$2990,"&lt;="&amp;EOMONTH(R7,0),'1SM3VL'!$L$6:$L$2990,$B$33)+SUMIFS('1QF4SM'!$K$6:$K$2989,'1QF4SM'!$J$6:$J$2989,"&gt;="&amp;R7,'1QF4SM'!$J$6:$J$2989,"&lt;="&amp;EOMONTH(R7,0),'1QF4SM'!$L$6:$L$2989,$B$33)+SUMIFS('1UV5KI'!$K$6:$K$2989,'1UV5KI'!$J$6:$J$2989,"&gt;="&amp;R7,'1UV5KI'!$J$6:$J$2989,"&lt;="&amp;EOMONTH(R7,0),'1UV5KI'!$L$6:$L$2989,$B$33)+SUMIFS(#REF!,#REF!,"&gt;="&amp;R7,#REF!,"&lt;="&amp;EOMONTH(R7,0),#REF!,$B$33)+SUMIFS('1UL9RY'!$K$6:$K$2990,'1UL9RY'!$J$6:$J$2990,"&gt;="&amp;R7,'1UL9RY'!$J$6:$J$2990,"&lt;="&amp;EOMONTH(R7,0),'1UL9RY'!$L$6:$L$2990,$B$33)+SUMIFS('1OZ7GT'!$K$6:$K$2989,'1OZ7GT'!$J$6:$J$2989,"&gt;="&amp;R7,'1OZ7GT'!$J$6:$J$2989,"&lt;="&amp;EOMONTH(R7,0),'1OZ7GT'!$L$6:$L$2989,$B$33)+SUMIFS('1CN8DD'!$K$6:$K$2989,'1CN8DD'!$J$6:$J$2989,"&gt;="&amp;R7,'1CN8DD'!$J$6:$J$2989,"&lt;="&amp;EOMONTH(R7,0),'1CN8DD'!$L$6:$L$2989,$B$33)+SUMIFS('1UT9BR'!$K$6:$K$2990,'1UT9BR'!$J$6:$J$2990,"&gt;="&amp;R7,'1UT9BR'!$J$6:$J$2990,"&lt;="&amp;EOMONTH(R7,0),'1UT9BR'!$L$6:$L$2990,$B$33)+SUMIFS('1MK4UR'!$K$6:$K$2990,'1MK4UR'!$J$6:$J$2990,"&gt;="&amp;R7,'1MK4UR'!$J$6:$J$2990,"&lt;="&amp;EOMONTH(R7,0),'1MK4UR'!$L$6:$L$2990,$B$33)+SUMIFS(#REF!,#REF!,"&gt;="&amp;R7,#REF!,"&lt;="&amp;EOMONTH(R7,0),#REF!,$B$33)+SUMIFS('1JI2UE'!$K$6:$K$2989,'1JI2UE'!$J$6:$J$2989,"&gt;="&amp;R7,'1JI2UE'!$J$6:$J$2989,"&lt;="&amp;EOMONTH(R7,0),'1JI2UE'!$L$6:$L$2989,$B$33)+SUMIFS(#REF!,#REF!,"&gt;="&amp;R7,#REF!,"&lt;="&amp;EOMONTH(R7,0),#REF!,$B$33)+SUMIFS('1SI9BW'!$K$6:$K$2989,'1SI9BW'!$J$6:$J$2989,"&gt;="&amp;R7,'1SI9BW'!$J$6:$J$2989,"&lt;="&amp;EOMONTH(R7,0),'1SI9BW'!$L$6:$L$2989,$B$33)+SUMIFS(Suzuki!$K$6:$K$2989,Suzuki!$J$6:$J$2989,"&gt;="&amp;R7,Suzuki!$J$6:$J$2989,"&lt;="&amp;EOMONTH(R7,0),Suzuki!$L$6:$L$2989,$B$33)+SUMIFS('1SK3DD'!$K$6:$K$2989,'1SK3DD'!$J$6:$J$2989,"&gt;="&amp;R7,'1SK3DD'!$J$6:$J$2989,"&lt;="&amp;EOMONTH(R7,0),'1SK3DD'!$L$6:$L$2989,$B$33)+SUMIFS('1SX5TQ'!$K$6:$K$2989,'1SX5TQ'!$J$6:$J$2989,"&gt;="&amp;R7,'1SX5TQ'!$J$6:$J$2989,"&lt;="&amp;EOMONTH(R7,0),'1SX5TQ'!$L$6:$L$2989,$B$33)+SUMIFS('BMM465'!$K$6:$K$2989,'BMM465'!$J$6:$J$2989,"&gt;="&amp;R7,'BMM465'!$J$6:$J$2989,"&lt;="&amp;EOMONTH(R7,0),'BMM465'!$L$6:$L$2989,$B$33)+SUMIFS('1CF1ZO'!$K$6:$K$2989,'1CF1ZO'!$J$6:$J$2989,"&gt;="&amp;R7,'1CF1ZO'!$J$6:$J$2989,"&lt;="&amp;EOMONTH(R7,0),'1CF1ZO'!$L$6:$L$2989,$B$33)+SUMIFS('1UK1BK'!$K$6:$K$2989,'1UK1BK'!$J$6:$J$2989,"&gt;="&amp;R7,'1UK1BK'!$J$6:$J$2989,"&lt;="&amp;EOMONTH(R7,0),'1UK1BK'!$L$6:$L$2989,$B$33)</f>
        <v>#REF!</v>
      </c>
      <c r="S33" s="110" t="e">
        <f>SUMIFS('CEI565'!$K$6:$K$2990,'CEI565'!$J$6:$J$2990,"&gt;="&amp;S7,'CEI565'!$J$6:$J$2990,"&lt;="&amp;EOMONTH(S7,0),'CEI565'!$L$6:$L$2990,$B$33)+SUMIFS('1SM3VL'!$K$6:$K$2990,'1SM3VL'!$J$6:$J$2990,"&gt;="&amp;S7,'1SM3VL'!$J$6:$J$2990,"&lt;="&amp;EOMONTH(S7,0),'1SM3VL'!$L$6:$L$2990,$B$33)+SUMIFS('1QF4SM'!$K$6:$K$2989,'1QF4SM'!$J$6:$J$2989,"&gt;="&amp;S7,'1QF4SM'!$J$6:$J$2989,"&lt;="&amp;EOMONTH(S7,0),'1QF4SM'!$L$6:$L$2989,$B$33)+SUMIFS('1UV5KI'!$K$6:$K$2989,'1UV5KI'!$J$6:$J$2989,"&gt;="&amp;S7,'1UV5KI'!$J$6:$J$2989,"&lt;="&amp;EOMONTH(S7,0),'1UV5KI'!$L$6:$L$2989,$B$33)+SUMIFS(#REF!,#REF!,"&gt;="&amp;S7,#REF!,"&lt;="&amp;EOMONTH(S7,0),#REF!,$B$33)+SUMIFS('1UL9RY'!$K$6:$K$2990,'1UL9RY'!$J$6:$J$2990,"&gt;="&amp;S7,'1UL9RY'!$J$6:$J$2990,"&lt;="&amp;EOMONTH(S7,0),'1UL9RY'!$L$6:$L$2990,$B$33)+SUMIFS('1OZ7GT'!$K$6:$K$2989,'1OZ7GT'!$J$6:$J$2989,"&gt;="&amp;S7,'1OZ7GT'!$J$6:$J$2989,"&lt;="&amp;EOMONTH(S7,0),'1OZ7GT'!$L$6:$L$2989,$B$33)+SUMIFS('1CN8DD'!$K$6:$K$2989,'1CN8DD'!$J$6:$J$2989,"&gt;="&amp;S7,'1CN8DD'!$J$6:$J$2989,"&lt;="&amp;EOMONTH(S7,0),'1CN8DD'!$L$6:$L$2989,$B$33)+SUMIFS('1UT9BR'!$K$6:$K$2990,'1UT9BR'!$J$6:$J$2990,"&gt;="&amp;S7,'1UT9BR'!$J$6:$J$2990,"&lt;="&amp;EOMONTH(S7,0),'1UT9BR'!$L$6:$L$2990,$B$33)+SUMIFS('1MK4UR'!$K$6:$K$2990,'1MK4UR'!$J$6:$J$2990,"&gt;="&amp;S7,'1MK4UR'!$J$6:$J$2990,"&lt;="&amp;EOMONTH(S7,0),'1MK4UR'!$L$6:$L$2990,$B$33)+SUMIFS(#REF!,#REF!,"&gt;="&amp;S7,#REF!,"&lt;="&amp;EOMONTH(S7,0),#REF!,$B$33)+SUMIFS('1JI2UE'!$K$6:$K$2989,'1JI2UE'!$J$6:$J$2989,"&gt;="&amp;S7,'1JI2UE'!$J$6:$J$2989,"&lt;="&amp;EOMONTH(S7,0),'1JI2UE'!$L$6:$L$2989,$B$33)+SUMIFS(#REF!,#REF!,"&gt;="&amp;S7,#REF!,"&lt;="&amp;EOMONTH(S7,0),#REF!,$B$33)+SUMIFS('1SI9BW'!$K$6:$K$2989,'1SI9BW'!$J$6:$J$2989,"&gt;="&amp;S7,'1SI9BW'!$J$6:$J$2989,"&lt;="&amp;EOMONTH(S7,0),'1SI9BW'!$L$6:$L$2989,$B$33)+SUMIFS(Suzuki!$K$6:$K$2989,Suzuki!$J$6:$J$2989,"&gt;="&amp;S7,Suzuki!$J$6:$J$2989,"&lt;="&amp;EOMONTH(S7,0),Suzuki!$L$6:$L$2989,$B$33)+SUMIFS('1SK3DD'!$K$6:$K$2989,'1SK3DD'!$J$6:$J$2989,"&gt;="&amp;S7,'1SK3DD'!$J$6:$J$2989,"&lt;="&amp;EOMONTH(S7,0),'1SK3DD'!$L$6:$L$2989,$B$33)+SUMIFS('1SX5TQ'!$K$6:$K$2989,'1SX5TQ'!$J$6:$J$2989,"&gt;="&amp;S7,'1SX5TQ'!$J$6:$J$2989,"&lt;="&amp;EOMONTH(S7,0),'1SX5TQ'!$L$6:$L$2989,$B$33)+SUMIFS('BMM465'!$K$6:$K$2989,'BMM465'!$J$6:$J$2989,"&gt;="&amp;S7,'BMM465'!$J$6:$J$2989,"&lt;="&amp;EOMONTH(S7,0),'BMM465'!$L$6:$L$2989,$B$33)+SUMIFS('1CF1ZO'!$K$6:$K$2989,'1CF1ZO'!$J$6:$J$2989,"&gt;="&amp;S7,'1CF1ZO'!$J$6:$J$2989,"&lt;="&amp;EOMONTH(S7,0),'1CF1ZO'!$L$6:$L$2989,$B$33)+SUMIFS('1UK1BK'!$K$6:$K$2989,'1UK1BK'!$J$6:$J$2989,"&gt;="&amp;S7,'1UK1BK'!$J$6:$J$2989,"&lt;="&amp;EOMONTH(S7,0),'1UK1BK'!$L$6:$L$2989,$B$33)</f>
        <v>#REF!</v>
      </c>
      <c r="T33" s="110" t="e">
        <f>SUMIFS('CEI565'!$K$6:$K$2990,'CEI565'!$J$6:$J$2990,"&gt;="&amp;T7,'CEI565'!$J$6:$J$2990,"&lt;="&amp;EOMONTH(T7,0),'CEI565'!$L$6:$L$2990,$B$33)+SUMIFS('1SM3VL'!$K$6:$K$2990,'1SM3VL'!$J$6:$J$2990,"&gt;="&amp;T7,'1SM3VL'!$J$6:$J$2990,"&lt;="&amp;EOMONTH(T7,0),'1SM3VL'!$L$6:$L$2990,$B$33)+SUMIFS('1QF4SM'!$K$6:$K$2989,'1QF4SM'!$J$6:$J$2989,"&gt;="&amp;T7,'1QF4SM'!$J$6:$J$2989,"&lt;="&amp;EOMONTH(T7,0),'1QF4SM'!$L$6:$L$2989,$B$33)+SUMIFS('1UV5KI'!$K$6:$K$2989,'1UV5KI'!$J$6:$J$2989,"&gt;="&amp;T7,'1UV5KI'!$J$6:$J$2989,"&lt;="&amp;EOMONTH(T7,0),'1UV5KI'!$L$6:$L$2989,$B$33)+SUMIFS(#REF!,#REF!,"&gt;="&amp;T7,#REF!,"&lt;="&amp;EOMONTH(T7,0),#REF!,$B$33)+SUMIFS('1UL9RY'!$K$6:$K$2990,'1UL9RY'!$J$6:$J$2990,"&gt;="&amp;T7,'1UL9RY'!$J$6:$J$2990,"&lt;="&amp;EOMONTH(T7,0),'1UL9RY'!$L$6:$L$2990,$B$33)+SUMIFS('1OZ7GT'!$K$6:$K$2989,'1OZ7GT'!$J$6:$J$2989,"&gt;="&amp;T7,'1OZ7GT'!$J$6:$J$2989,"&lt;="&amp;EOMONTH(T7,0),'1OZ7GT'!$L$6:$L$2989,$B$33)+SUMIFS('1CN8DD'!$K$6:$K$2989,'1CN8DD'!$J$6:$J$2989,"&gt;="&amp;T7,'1CN8DD'!$J$6:$J$2989,"&lt;="&amp;EOMONTH(T7,0),'1CN8DD'!$L$6:$L$2989,$B$33)+SUMIFS('1UT9BR'!$K$6:$K$2990,'1UT9BR'!$J$6:$J$2990,"&gt;="&amp;T7,'1UT9BR'!$J$6:$J$2990,"&lt;="&amp;EOMONTH(T7,0),'1UT9BR'!$L$6:$L$2990,$B$33)+SUMIFS('1MK4UR'!$K$6:$K$2990,'1MK4UR'!$J$6:$J$2990,"&gt;="&amp;T7,'1MK4UR'!$J$6:$J$2990,"&lt;="&amp;EOMONTH(T7,0),'1MK4UR'!$L$6:$L$2990,$B$33)+SUMIFS(#REF!,#REF!,"&gt;="&amp;T7,#REF!,"&lt;="&amp;EOMONTH(T7,0),#REF!,$B$33)+SUMIFS('1JI2UE'!$K$6:$K$2989,'1JI2UE'!$J$6:$J$2989,"&gt;="&amp;T7,'1JI2UE'!$J$6:$J$2989,"&lt;="&amp;EOMONTH(T7,0),'1JI2UE'!$L$6:$L$2989,$B$33)+SUMIFS(#REF!,#REF!,"&gt;="&amp;T7,#REF!,"&lt;="&amp;EOMONTH(T7,0),#REF!,$B$33)+SUMIFS('1SI9BW'!$K$6:$K$2989,'1SI9BW'!$J$6:$J$2989,"&gt;="&amp;T7,'1SI9BW'!$J$6:$J$2989,"&lt;="&amp;EOMONTH(T7,0),'1SI9BW'!$L$6:$L$2989,$B$33)+SUMIFS(Suzuki!$K$6:$K$2989,Suzuki!$J$6:$J$2989,"&gt;="&amp;T7,Suzuki!$J$6:$J$2989,"&lt;="&amp;EOMONTH(T7,0),Suzuki!$L$6:$L$2989,$B$33)+SUMIFS('1SK3DD'!$K$6:$K$2989,'1SK3DD'!$J$6:$J$2989,"&gt;="&amp;T7,'1SK3DD'!$J$6:$J$2989,"&lt;="&amp;EOMONTH(T7,0),'1SK3DD'!$L$6:$L$2989,$B$33)+SUMIFS('1SX5TQ'!$K$6:$K$2989,'1SX5TQ'!$J$6:$J$2989,"&gt;="&amp;T7,'1SX5TQ'!$J$6:$J$2989,"&lt;="&amp;EOMONTH(T7,0),'1SX5TQ'!$L$6:$L$2989,$B$33)+SUMIFS('BMM465'!$K$6:$K$2989,'BMM465'!$J$6:$J$2989,"&gt;="&amp;T7,'BMM465'!$J$6:$J$2989,"&lt;="&amp;EOMONTH(T7,0),'BMM465'!$L$6:$L$2989,$B$33)+SUMIFS('1CF1ZO'!$K$6:$K$2989,'1CF1ZO'!$J$6:$J$2989,"&gt;="&amp;T7,'1CF1ZO'!$J$6:$J$2989,"&lt;="&amp;EOMONTH(T7,0),'1CF1ZO'!$L$6:$L$2989,$B$33)+SUMIFS('1UK1BK'!$K$6:$K$2989,'1UK1BK'!$J$6:$J$2989,"&gt;="&amp;T7,'1UK1BK'!$J$6:$J$2989,"&lt;="&amp;EOMONTH(T7,0),'1UK1BK'!$L$6:$L$2989,$B$33)</f>
        <v>#REF!</v>
      </c>
      <c r="U33" s="110" t="e">
        <f>SUMIFS('CEI565'!$K$6:$K$2990,'CEI565'!$J$6:$J$2990,"&gt;="&amp;U7,'CEI565'!$J$6:$J$2990,"&lt;="&amp;EOMONTH(U7,0),'CEI565'!$L$6:$L$2990,$B$33)+SUMIFS('1SM3VL'!$K$6:$K$2990,'1SM3VL'!$J$6:$J$2990,"&gt;="&amp;U7,'1SM3VL'!$J$6:$J$2990,"&lt;="&amp;EOMONTH(U7,0),'1SM3VL'!$L$6:$L$2990,$B$33)+SUMIFS('1QF4SM'!$K$6:$K$2989,'1QF4SM'!$J$6:$J$2989,"&gt;="&amp;U7,'1QF4SM'!$J$6:$J$2989,"&lt;="&amp;EOMONTH(U7,0),'1QF4SM'!$L$6:$L$2989,$B$33)+SUMIFS('1UV5KI'!$K$6:$K$2989,'1UV5KI'!$J$6:$J$2989,"&gt;="&amp;U7,'1UV5KI'!$J$6:$J$2989,"&lt;="&amp;EOMONTH(U7,0),'1UV5KI'!$L$6:$L$2989,$B$33)+SUMIFS(#REF!,#REF!,"&gt;="&amp;U7,#REF!,"&lt;="&amp;EOMONTH(U7,0),#REF!,$B$33)+SUMIFS('1UL9RY'!$K$6:$K$2990,'1UL9RY'!$J$6:$J$2990,"&gt;="&amp;U7,'1UL9RY'!$J$6:$J$2990,"&lt;="&amp;EOMONTH(U7,0),'1UL9RY'!$L$6:$L$2990,$B$33)+SUMIFS('1OZ7GT'!$K$6:$K$2989,'1OZ7GT'!$J$6:$J$2989,"&gt;="&amp;U7,'1OZ7GT'!$J$6:$J$2989,"&lt;="&amp;EOMONTH(U7,0),'1OZ7GT'!$L$6:$L$2989,$B$33)+SUMIFS('1CN8DD'!$K$6:$K$2989,'1CN8DD'!$J$6:$J$2989,"&gt;="&amp;U7,'1CN8DD'!$J$6:$J$2989,"&lt;="&amp;EOMONTH(U7,0),'1CN8DD'!$L$6:$L$2989,$B$33)+SUMIFS('1UT9BR'!$K$6:$K$2990,'1UT9BR'!$J$6:$J$2990,"&gt;="&amp;U7,'1UT9BR'!$J$6:$J$2990,"&lt;="&amp;EOMONTH(U7,0),'1UT9BR'!$L$6:$L$2990,$B$33)+SUMIFS('1MK4UR'!$K$6:$K$2990,'1MK4UR'!$J$6:$J$2990,"&gt;="&amp;U7,'1MK4UR'!$J$6:$J$2990,"&lt;="&amp;EOMONTH(U7,0),'1MK4UR'!$L$6:$L$2990,$B$33)+SUMIFS(#REF!,#REF!,"&gt;="&amp;U7,#REF!,"&lt;="&amp;EOMONTH(U7,0),#REF!,$B$33)+SUMIFS('1JI2UE'!$K$6:$K$2989,'1JI2UE'!$J$6:$J$2989,"&gt;="&amp;U7,'1JI2UE'!$J$6:$J$2989,"&lt;="&amp;EOMONTH(U7,0),'1JI2UE'!$L$6:$L$2989,$B$33)+SUMIFS(#REF!,#REF!,"&gt;="&amp;U7,#REF!,"&lt;="&amp;EOMONTH(U7,0),#REF!,$B$33)+SUMIFS('1SI9BW'!$K$6:$K$2989,'1SI9BW'!$J$6:$J$2989,"&gt;="&amp;U7,'1SI9BW'!$J$6:$J$2989,"&lt;="&amp;EOMONTH(U7,0),'1SI9BW'!$L$6:$L$2989,$B$33)+SUMIFS(Suzuki!$K$6:$K$2989,Suzuki!$J$6:$J$2989,"&gt;="&amp;U7,Suzuki!$J$6:$J$2989,"&lt;="&amp;EOMONTH(U7,0),Suzuki!$L$6:$L$2989,$B$33)+SUMIFS('1SK3DD'!$K$6:$K$2989,'1SK3DD'!$J$6:$J$2989,"&gt;="&amp;U7,'1SK3DD'!$J$6:$J$2989,"&lt;="&amp;EOMONTH(U7,0),'1SK3DD'!$L$6:$L$2989,$B$33)+SUMIFS('1SX5TQ'!$K$6:$K$2989,'1SX5TQ'!$J$6:$J$2989,"&gt;="&amp;U7,'1SX5TQ'!$J$6:$J$2989,"&lt;="&amp;EOMONTH(U7,0),'1SX5TQ'!$L$6:$L$2989,$B$33)+SUMIFS('BMM465'!$K$6:$K$2989,'BMM465'!$J$6:$J$2989,"&gt;="&amp;U7,'BMM465'!$J$6:$J$2989,"&lt;="&amp;EOMONTH(U7,0),'BMM465'!$L$6:$L$2989,$B$33)+SUMIFS('1CF1ZO'!$K$6:$K$2989,'1CF1ZO'!$J$6:$J$2989,"&gt;="&amp;U7,'1CF1ZO'!$J$6:$J$2989,"&lt;="&amp;EOMONTH(U7,0),'1CF1ZO'!$L$6:$L$2989,$B$33)+SUMIFS('1UK1BK'!$K$6:$K$2989,'1UK1BK'!$J$6:$J$2989,"&gt;="&amp;U7,'1UK1BK'!$J$6:$J$2989,"&lt;="&amp;EOMONTH(U7,0),'1UK1BK'!$L$6:$L$2989,$B$33)</f>
        <v>#REF!</v>
      </c>
      <c r="V33" s="110" t="e">
        <f>SUMIFS('CEI565'!$K$6:$K$2990,'CEI565'!$J$6:$J$2990,"&gt;="&amp;V7,'CEI565'!$J$6:$J$2990,"&lt;="&amp;EOMONTH(V7,0),'CEI565'!$L$6:$L$2990,$B$33)+SUMIFS('1SM3VL'!$K$6:$K$2990,'1SM3VL'!$J$6:$J$2990,"&gt;="&amp;V7,'1SM3VL'!$J$6:$J$2990,"&lt;="&amp;EOMONTH(V7,0),'1SM3VL'!$L$6:$L$2990,$B$33)+SUMIFS('1QF4SM'!$K$6:$K$2989,'1QF4SM'!$J$6:$J$2989,"&gt;="&amp;V7,'1QF4SM'!$J$6:$J$2989,"&lt;="&amp;EOMONTH(V7,0),'1QF4SM'!$L$6:$L$2989,$B$33)+SUMIFS('1UV5KI'!$K$6:$K$2989,'1UV5KI'!$J$6:$J$2989,"&gt;="&amp;V7,'1UV5KI'!$J$6:$J$2989,"&lt;="&amp;EOMONTH(V7,0),'1UV5KI'!$L$6:$L$2989,$B$33)+SUMIFS(#REF!,#REF!,"&gt;="&amp;V7,#REF!,"&lt;="&amp;EOMONTH(V7,0),#REF!,$B$33)+SUMIFS('1UL9RY'!$K$6:$K$2990,'1UL9RY'!$J$6:$J$2990,"&gt;="&amp;V7,'1UL9RY'!$J$6:$J$2990,"&lt;="&amp;EOMONTH(V7,0),'1UL9RY'!$L$6:$L$2990,$B$33)+SUMIFS('1OZ7GT'!$K$6:$K$2989,'1OZ7GT'!$J$6:$J$2989,"&gt;="&amp;V7,'1OZ7GT'!$J$6:$J$2989,"&lt;="&amp;EOMONTH(V7,0),'1OZ7GT'!$L$6:$L$2989,$B$33)+SUMIFS('1CN8DD'!$K$6:$K$2989,'1CN8DD'!$J$6:$J$2989,"&gt;="&amp;V7,'1CN8DD'!$J$6:$J$2989,"&lt;="&amp;EOMONTH(V7,0),'1CN8DD'!$L$6:$L$2989,$B$33)+SUMIFS('1UT9BR'!$K$6:$K$2990,'1UT9BR'!$J$6:$J$2990,"&gt;="&amp;V7,'1UT9BR'!$J$6:$J$2990,"&lt;="&amp;EOMONTH(V7,0),'1UT9BR'!$L$6:$L$2990,$B$33)+SUMIFS('1MK4UR'!$K$6:$K$2990,'1MK4UR'!$J$6:$J$2990,"&gt;="&amp;V7,'1MK4UR'!$J$6:$J$2990,"&lt;="&amp;EOMONTH(V7,0),'1MK4UR'!$L$6:$L$2990,$B$33)+SUMIFS(#REF!,#REF!,"&gt;="&amp;V7,#REF!,"&lt;="&amp;EOMONTH(V7,0),#REF!,$B$33)+SUMIFS('1JI2UE'!$K$6:$K$2989,'1JI2UE'!$J$6:$J$2989,"&gt;="&amp;V7,'1JI2UE'!$J$6:$J$2989,"&lt;="&amp;EOMONTH(V7,0),'1JI2UE'!$L$6:$L$2989,$B$33)+SUMIFS(#REF!,#REF!,"&gt;="&amp;V7,#REF!,"&lt;="&amp;EOMONTH(V7,0),#REF!,$B$33)+SUMIFS('1SI9BW'!$K$6:$K$2989,'1SI9BW'!$J$6:$J$2989,"&gt;="&amp;V7,'1SI9BW'!$J$6:$J$2989,"&lt;="&amp;EOMONTH(V7,0),'1SI9BW'!$L$6:$L$2989,$B$33)+SUMIFS(Suzuki!$K$6:$K$2989,Suzuki!$J$6:$J$2989,"&gt;="&amp;V7,Suzuki!$J$6:$J$2989,"&lt;="&amp;EOMONTH(V7,0),Suzuki!$L$6:$L$2989,$B$33)+SUMIFS('1SK3DD'!$K$6:$K$2989,'1SK3DD'!$J$6:$J$2989,"&gt;="&amp;V7,'1SK3DD'!$J$6:$J$2989,"&lt;="&amp;EOMONTH(V7,0),'1SK3DD'!$L$6:$L$2989,$B$33)+SUMIFS('1SX5TQ'!$K$6:$K$2989,'1SX5TQ'!$J$6:$J$2989,"&gt;="&amp;V7,'1SX5TQ'!$J$6:$J$2989,"&lt;="&amp;EOMONTH(V7,0),'1SX5TQ'!$L$6:$L$2989,$B$33)+SUMIFS('BMM465'!$K$6:$K$2989,'BMM465'!$J$6:$J$2989,"&gt;="&amp;V7,'BMM465'!$J$6:$J$2989,"&lt;="&amp;EOMONTH(V7,0),'BMM465'!$L$6:$L$2989,$B$33)+SUMIFS('1CF1ZO'!$K$6:$K$2989,'1CF1ZO'!$J$6:$J$2989,"&gt;="&amp;V7,'1CF1ZO'!$J$6:$J$2989,"&lt;="&amp;EOMONTH(V7,0),'1CF1ZO'!$L$6:$L$2989,$B$33)+SUMIFS('1UK1BK'!$K$6:$K$2989,'1UK1BK'!$J$6:$J$2989,"&gt;="&amp;V7,'1UK1BK'!$J$6:$J$2989,"&lt;="&amp;EOMONTH(V7,0),'1UK1BK'!$L$6:$L$2989,$B$33)</f>
        <v>#REF!</v>
      </c>
      <c r="W33" s="110" t="e">
        <f>SUMIFS('CEI565'!$K$6:$K$2990,'CEI565'!$J$6:$J$2990,"&gt;="&amp;W7,'CEI565'!$J$6:$J$2990,"&lt;="&amp;EOMONTH(W7,0),'CEI565'!$L$6:$L$2990,$B$33)+SUMIFS('1SM3VL'!$K$6:$K$2990,'1SM3VL'!$J$6:$J$2990,"&gt;="&amp;W7,'1SM3VL'!$J$6:$J$2990,"&lt;="&amp;EOMONTH(W7,0),'1SM3VL'!$L$6:$L$2990,$B$33)+SUMIFS('1QF4SM'!$K$6:$K$2989,'1QF4SM'!$J$6:$J$2989,"&gt;="&amp;W7,'1QF4SM'!$J$6:$J$2989,"&lt;="&amp;EOMONTH(W7,0),'1QF4SM'!$L$6:$L$2989,$B$33)+SUMIFS('1UV5KI'!$K$6:$K$2989,'1UV5KI'!$J$6:$J$2989,"&gt;="&amp;W7,'1UV5KI'!$J$6:$J$2989,"&lt;="&amp;EOMONTH(W7,0),'1UV5KI'!$L$6:$L$2989,$B$33)+SUMIFS(#REF!,#REF!,"&gt;="&amp;W7,#REF!,"&lt;="&amp;EOMONTH(W7,0),#REF!,$B$33)+SUMIFS('1UL9RY'!$K$6:$K$2990,'1UL9RY'!$J$6:$J$2990,"&gt;="&amp;W7,'1UL9RY'!$J$6:$J$2990,"&lt;="&amp;EOMONTH(W7,0),'1UL9RY'!$L$6:$L$2990,$B$33)+SUMIFS('1OZ7GT'!$K$6:$K$2989,'1OZ7GT'!$J$6:$J$2989,"&gt;="&amp;W7,'1OZ7GT'!$J$6:$J$2989,"&lt;="&amp;EOMONTH(W7,0),'1OZ7GT'!$L$6:$L$2989,$B$33)+SUMIFS('1CN8DD'!$K$6:$K$2989,'1CN8DD'!$J$6:$J$2989,"&gt;="&amp;W7,'1CN8DD'!$J$6:$J$2989,"&lt;="&amp;EOMONTH(W7,0),'1CN8DD'!$L$6:$L$2989,$B$33)+SUMIFS('1UT9BR'!$K$6:$K$2990,'1UT9BR'!$J$6:$J$2990,"&gt;="&amp;W7,'1UT9BR'!$J$6:$J$2990,"&lt;="&amp;EOMONTH(W7,0),'1UT9BR'!$L$6:$L$2990,$B$33)+SUMIFS('1MK4UR'!$K$6:$K$2990,'1MK4UR'!$J$6:$J$2990,"&gt;="&amp;W7,'1MK4UR'!$J$6:$J$2990,"&lt;="&amp;EOMONTH(W7,0),'1MK4UR'!$L$6:$L$2990,$B$33)+SUMIFS(#REF!,#REF!,"&gt;="&amp;W7,#REF!,"&lt;="&amp;EOMONTH(W7,0),#REF!,$B$33)+SUMIFS('1JI2UE'!$K$6:$K$2989,'1JI2UE'!$J$6:$J$2989,"&gt;="&amp;W7,'1JI2UE'!$J$6:$J$2989,"&lt;="&amp;EOMONTH(W7,0),'1JI2UE'!$L$6:$L$2989,$B$33)+SUMIFS(#REF!,#REF!,"&gt;="&amp;W7,#REF!,"&lt;="&amp;EOMONTH(W7,0),#REF!,$B$33)+SUMIFS('1SI9BW'!$K$6:$K$2989,'1SI9BW'!$J$6:$J$2989,"&gt;="&amp;W7,'1SI9BW'!$J$6:$J$2989,"&lt;="&amp;EOMONTH(W7,0),'1SI9BW'!$L$6:$L$2989,$B$33)+SUMIFS(Suzuki!$K$6:$K$2989,Suzuki!$J$6:$J$2989,"&gt;="&amp;W7,Suzuki!$J$6:$J$2989,"&lt;="&amp;EOMONTH(W7,0),Suzuki!$L$6:$L$2989,$B$33)+SUMIFS('1SK3DD'!$K$6:$K$2989,'1SK3DD'!$J$6:$J$2989,"&gt;="&amp;W7,'1SK3DD'!$J$6:$J$2989,"&lt;="&amp;EOMONTH(W7,0),'1SK3DD'!$L$6:$L$2989,$B$33)+SUMIFS('1SX5TQ'!$K$6:$K$2989,'1SX5TQ'!$J$6:$J$2989,"&gt;="&amp;W7,'1SX5TQ'!$J$6:$J$2989,"&lt;="&amp;EOMONTH(W7,0),'1SX5TQ'!$L$6:$L$2989,$B$33)+SUMIFS('BMM465'!$K$6:$K$2989,'BMM465'!$J$6:$J$2989,"&gt;="&amp;W7,'BMM465'!$J$6:$J$2989,"&lt;="&amp;EOMONTH(W7,0),'BMM465'!$L$6:$L$2989,$B$33)+SUMIFS('1CF1ZO'!$K$6:$K$2989,'1CF1ZO'!$J$6:$J$2989,"&gt;="&amp;W7,'1CF1ZO'!$J$6:$J$2989,"&lt;="&amp;EOMONTH(W7,0),'1CF1ZO'!$L$6:$L$2989,$B$33)+SUMIFS('1UK1BK'!$K$6:$K$2989,'1UK1BK'!$J$6:$J$2989,"&gt;="&amp;W7,'1UK1BK'!$J$6:$J$2989,"&lt;="&amp;EOMONTH(W7,0),'1UK1BK'!$L$6:$L$2989,$B$33)</f>
        <v>#REF!</v>
      </c>
      <c r="X33" s="110" t="e">
        <f>SUMIFS('CEI565'!$K$6:$K$2990,'CEI565'!$J$6:$J$2990,"&gt;="&amp;X7,'CEI565'!$J$6:$J$2990,"&lt;="&amp;EOMONTH(X7,0),'CEI565'!$L$6:$L$2990,$B$33)+SUMIFS('1SM3VL'!$K$6:$K$2990,'1SM3VL'!$J$6:$J$2990,"&gt;="&amp;X7,'1SM3VL'!$J$6:$J$2990,"&lt;="&amp;EOMONTH(X7,0),'1SM3VL'!$L$6:$L$2990,$B$33)+SUMIFS('1QF4SM'!$K$6:$K$2989,'1QF4SM'!$J$6:$J$2989,"&gt;="&amp;X7,'1QF4SM'!$J$6:$J$2989,"&lt;="&amp;EOMONTH(X7,0),'1QF4SM'!$L$6:$L$2989,$B$33)+SUMIFS('1UV5KI'!$K$6:$K$2989,'1UV5KI'!$J$6:$J$2989,"&gt;="&amp;X7,'1UV5KI'!$J$6:$J$2989,"&lt;="&amp;EOMONTH(X7,0),'1UV5KI'!$L$6:$L$2989,$B$33)+SUMIFS(#REF!,#REF!,"&gt;="&amp;X7,#REF!,"&lt;="&amp;EOMONTH(X7,0),#REF!,$B$33)+SUMIFS('1UL9RY'!$K$6:$K$2990,'1UL9RY'!$J$6:$J$2990,"&gt;="&amp;X7,'1UL9RY'!$J$6:$J$2990,"&lt;="&amp;EOMONTH(X7,0),'1UL9RY'!$L$6:$L$2990,$B$33)+SUMIFS('1OZ7GT'!$K$6:$K$2989,'1OZ7GT'!$J$6:$J$2989,"&gt;="&amp;X7,'1OZ7GT'!$J$6:$J$2989,"&lt;="&amp;EOMONTH(X7,0),'1OZ7GT'!$L$6:$L$2989,$B$33)+SUMIFS('1CN8DD'!$K$6:$K$2989,'1CN8DD'!$J$6:$J$2989,"&gt;="&amp;X7,'1CN8DD'!$J$6:$J$2989,"&lt;="&amp;EOMONTH(X7,0),'1CN8DD'!$L$6:$L$2989,$B$33)+SUMIFS('1UT9BR'!$K$6:$K$2990,'1UT9BR'!$J$6:$J$2990,"&gt;="&amp;X7,'1UT9BR'!$J$6:$J$2990,"&lt;="&amp;EOMONTH(X7,0),'1UT9BR'!$L$6:$L$2990,$B$33)+SUMIFS('1MK4UR'!$K$6:$K$2990,'1MK4UR'!$J$6:$J$2990,"&gt;="&amp;X7,'1MK4UR'!$J$6:$J$2990,"&lt;="&amp;EOMONTH(X7,0),'1MK4UR'!$L$6:$L$2990,$B$33)+SUMIFS(#REF!,#REF!,"&gt;="&amp;X7,#REF!,"&lt;="&amp;EOMONTH(X7,0),#REF!,$B$33)+SUMIFS('1JI2UE'!$K$6:$K$2989,'1JI2UE'!$J$6:$J$2989,"&gt;="&amp;X7,'1JI2UE'!$J$6:$J$2989,"&lt;="&amp;EOMONTH(X7,0),'1JI2UE'!$L$6:$L$2989,$B$33)+SUMIFS(#REF!,#REF!,"&gt;="&amp;X7,#REF!,"&lt;="&amp;EOMONTH(X7,0),#REF!,$B$33)+SUMIFS('1SI9BW'!$K$6:$K$2989,'1SI9BW'!$J$6:$J$2989,"&gt;="&amp;X7,'1SI9BW'!$J$6:$J$2989,"&lt;="&amp;EOMONTH(X7,0),'1SI9BW'!$L$6:$L$2989,$B$33)+SUMIFS(Suzuki!$K$6:$K$2989,Suzuki!$J$6:$J$2989,"&gt;="&amp;X7,Suzuki!$J$6:$J$2989,"&lt;="&amp;EOMONTH(X7,0),Suzuki!$L$6:$L$2989,$B$33)+SUMIFS('1SK3DD'!$K$6:$K$2989,'1SK3DD'!$J$6:$J$2989,"&gt;="&amp;X7,'1SK3DD'!$J$6:$J$2989,"&lt;="&amp;EOMONTH(X7,0),'1SK3DD'!$L$6:$L$2989,$B$33)+SUMIFS('1SX5TQ'!$K$6:$K$2989,'1SX5TQ'!$J$6:$J$2989,"&gt;="&amp;X7,'1SX5TQ'!$J$6:$J$2989,"&lt;="&amp;EOMONTH(X7,0),'1SX5TQ'!$L$6:$L$2989,$B$33)+SUMIFS('BMM465'!$K$6:$K$2989,'BMM465'!$J$6:$J$2989,"&gt;="&amp;X7,'BMM465'!$J$6:$J$2989,"&lt;="&amp;EOMONTH(X7,0),'BMM465'!$L$6:$L$2989,$B$33)+SUMIFS('1CF1ZO'!$K$6:$K$2989,'1CF1ZO'!$J$6:$J$2989,"&gt;="&amp;X7,'1CF1ZO'!$J$6:$J$2989,"&lt;="&amp;EOMONTH(X7,0),'1CF1ZO'!$L$6:$L$2989,$B$33)+SUMIFS('1UK1BK'!$K$6:$K$2989,'1UK1BK'!$J$6:$J$2989,"&gt;="&amp;X7,'1UK1BK'!$J$6:$J$2989,"&lt;="&amp;EOMONTH(X7,0),'1UK1BK'!$L$6:$L$2989,$B$33)</f>
        <v>#REF!</v>
      </c>
      <c r="Y33" s="110" t="e">
        <f>SUMIFS('CEI565'!$K$6:$K$2990,'CEI565'!$J$6:$J$2990,"&gt;="&amp;Y7,'CEI565'!$J$6:$J$2990,"&lt;="&amp;EOMONTH(Y7,0),'CEI565'!$L$6:$L$2990,$B$33)+SUMIFS('1SM3VL'!$K$6:$K$2990,'1SM3VL'!$J$6:$J$2990,"&gt;="&amp;Y7,'1SM3VL'!$J$6:$J$2990,"&lt;="&amp;EOMONTH(Y7,0),'1SM3VL'!$L$6:$L$2990,$B$33)+SUMIFS('1QF4SM'!$K$6:$K$2989,'1QF4SM'!$J$6:$J$2989,"&gt;="&amp;Y7,'1QF4SM'!$J$6:$J$2989,"&lt;="&amp;EOMONTH(Y7,0),'1QF4SM'!$L$6:$L$2989,$B$33)+SUMIFS('1UV5KI'!$K$6:$K$2989,'1UV5KI'!$J$6:$J$2989,"&gt;="&amp;Y7,'1UV5KI'!$J$6:$J$2989,"&lt;="&amp;EOMONTH(Y7,0),'1UV5KI'!$L$6:$L$2989,$B$33)+SUMIFS(#REF!,#REF!,"&gt;="&amp;Y7,#REF!,"&lt;="&amp;EOMONTH(Y7,0),#REF!,$B$33)+SUMIFS('1UL9RY'!$K$6:$K$2990,'1UL9RY'!$J$6:$J$2990,"&gt;="&amp;Y7,'1UL9RY'!$J$6:$J$2990,"&lt;="&amp;EOMONTH(Y7,0),'1UL9RY'!$L$6:$L$2990,$B$33)+SUMIFS('1OZ7GT'!$K$6:$K$2989,'1OZ7GT'!$J$6:$J$2989,"&gt;="&amp;Y7,'1OZ7GT'!$J$6:$J$2989,"&lt;="&amp;EOMONTH(Y7,0),'1OZ7GT'!$L$6:$L$2989,$B$33)+SUMIFS('1CN8DD'!$K$6:$K$2989,'1CN8DD'!$J$6:$J$2989,"&gt;="&amp;Y7,'1CN8DD'!$J$6:$J$2989,"&lt;="&amp;EOMONTH(Y7,0),'1CN8DD'!$L$6:$L$2989,$B$33)+SUMIFS('1UT9BR'!$K$6:$K$2990,'1UT9BR'!$J$6:$J$2990,"&gt;="&amp;Y7,'1UT9BR'!$J$6:$J$2990,"&lt;="&amp;EOMONTH(Y7,0),'1UT9BR'!$L$6:$L$2990,$B$33)+SUMIFS('1MK4UR'!$K$6:$K$2990,'1MK4UR'!$J$6:$J$2990,"&gt;="&amp;Y7,'1MK4UR'!$J$6:$J$2990,"&lt;="&amp;EOMONTH(Y7,0),'1MK4UR'!$L$6:$L$2990,$B$33)+SUMIFS(#REF!,#REF!,"&gt;="&amp;Y7,#REF!,"&lt;="&amp;EOMONTH(Y7,0),#REF!,$B$33)+SUMIFS('1JI2UE'!$K$6:$K$2989,'1JI2UE'!$J$6:$J$2989,"&gt;="&amp;Y7,'1JI2UE'!$J$6:$J$2989,"&lt;="&amp;EOMONTH(Y7,0),'1JI2UE'!$L$6:$L$2989,$B$33)+SUMIFS(#REF!,#REF!,"&gt;="&amp;Y7,#REF!,"&lt;="&amp;EOMONTH(Y7,0),#REF!,$B$33)+SUMIFS('1SI9BW'!$K$6:$K$2989,'1SI9BW'!$J$6:$J$2989,"&gt;="&amp;Y7,'1SI9BW'!$J$6:$J$2989,"&lt;="&amp;EOMONTH(Y7,0),'1SI9BW'!$L$6:$L$2989,$B$33)+SUMIFS(Suzuki!$K$6:$K$2989,Suzuki!$J$6:$J$2989,"&gt;="&amp;Y7,Suzuki!$J$6:$J$2989,"&lt;="&amp;EOMONTH(Y7,0),Suzuki!$L$6:$L$2989,$B$33)+SUMIFS('1SK3DD'!$K$6:$K$2989,'1SK3DD'!$J$6:$J$2989,"&gt;="&amp;Y7,'1SK3DD'!$J$6:$J$2989,"&lt;="&amp;EOMONTH(Y7,0),'1SK3DD'!$L$6:$L$2989,$B$33)+SUMIFS('1SX5TQ'!$K$6:$K$2989,'1SX5TQ'!$J$6:$J$2989,"&gt;="&amp;Y7,'1SX5TQ'!$J$6:$J$2989,"&lt;="&amp;EOMONTH(Y7,0),'1SX5TQ'!$L$6:$L$2989,$B$33)+SUMIFS('BMM465'!$K$6:$K$2989,'BMM465'!$J$6:$J$2989,"&gt;="&amp;Y7,'BMM465'!$J$6:$J$2989,"&lt;="&amp;EOMONTH(Y7,0),'BMM465'!$L$6:$L$2989,$B$33)+SUMIFS('1CF1ZO'!$K$6:$K$2989,'1CF1ZO'!$J$6:$J$2989,"&gt;="&amp;Y7,'1CF1ZO'!$J$6:$J$2989,"&lt;="&amp;EOMONTH(Y7,0),'1CF1ZO'!$L$6:$L$2989,$B$33)+SUMIFS('1UK1BK'!$K$6:$K$2989,'1UK1BK'!$J$6:$J$2989,"&gt;="&amp;Y7,'1UK1BK'!$J$6:$J$2989,"&lt;="&amp;EOMONTH(Y7,0),'1UK1BK'!$L$6:$L$2989,$B$33)</f>
        <v>#REF!</v>
      </c>
      <c r="Z33" s="110" t="e">
        <f>SUMIFS('CEI565'!$K$6:$K$2990,'CEI565'!$J$6:$J$2990,"&gt;="&amp;Z7,'CEI565'!$J$6:$J$2990,"&lt;="&amp;EOMONTH(Z7,0),'CEI565'!$L$6:$L$2990,$B$33)+SUMIFS('1SM3VL'!$K$6:$K$2990,'1SM3VL'!$J$6:$J$2990,"&gt;="&amp;Z7,'1SM3VL'!$J$6:$J$2990,"&lt;="&amp;EOMONTH(Z7,0),'1SM3VL'!$L$6:$L$2990,$B$33)+SUMIFS('1QF4SM'!$K$6:$K$2989,'1QF4SM'!$J$6:$J$2989,"&gt;="&amp;Z7,'1QF4SM'!$J$6:$J$2989,"&lt;="&amp;EOMONTH(Z7,0),'1QF4SM'!$L$6:$L$2989,$B$33)+SUMIFS('1UV5KI'!$K$6:$K$2989,'1UV5KI'!$J$6:$J$2989,"&gt;="&amp;Z7,'1UV5KI'!$J$6:$J$2989,"&lt;="&amp;EOMONTH(Z7,0),'1UV5KI'!$L$6:$L$2989,$B$33)+SUMIFS(#REF!,#REF!,"&gt;="&amp;Z7,#REF!,"&lt;="&amp;EOMONTH(Z7,0),#REF!,$B$33)+SUMIFS('1UL9RY'!$K$6:$K$2990,'1UL9RY'!$J$6:$J$2990,"&gt;="&amp;Z7,'1UL9RY'!$J$6:$J$2990,"&lt;="&amp;EOMONTH(Z7,0),'1UL9RY'!$L$6:$L$2990,$B$33)+SUMIFS('1OZ7GT'!$K$6:$K$2989,'1OZ7GT'!$J$6:$J$2989,"&gt;="&amp;Z7,'1OZ7GT'!$J$6:$J$2989,"&lt;="&amp;EOMONTH(Z7,0),'1OZ7GT'!$L$6:$L$2989,$B$33)+SUMIFS('1CN8DD'!$K$6:$K$2989,'1CN8DD'!$J$6:$J$2989,"&gt;="&amp;Z7,'1CN8DD'!$J$6:$J$2989,"&lt;="&amp;EOMONTH(Z7,0),'1CN8DD'!$L$6:$L$2989,$B$33)+SUMIFS('1UT9BR'!$K$6:$K$2990,'1UT9BR'!$J$6:$J$2990,"&gt;="&amp;Z7,'1UT9BR'!$J$6:$J$2990,"&lt;="&amp;EOMONTH(Z7,0),'1UT9BR'!$L$6:$L$2990,$B$33)+SUMIFS('1MK4UR'!$K$6:$K$2990,'1MK4UR'!$J$6:$J$2990,"&gt;="&amp;Z7,'1MK4UR'!$J$6:$J$2990,"&lt;="&amp;EOMONTH(Z7,0),'1MK4UR'!$L$6:$L$2990,$B$33)+SUMIFS(#REF!,#REF!,"&gt;="&amp;Z7,#REF!,"&lt;="&amp;EOMONTH(Z7,0),#REF!,$B$33)+SUMIFS('1JI2UE'!$K$6:$K$2989,'1JI2UE'!$J$6:$J$2989,"&gt;="&amp;Z7,'1JI2UE'!$J$6:$J$2989,"&lt;="&amp;EOMONTH(Z7,0),'1JI2UE'!$L$6:$L$2989,$B$33)+SUMIFS(#REF!,#REF!,"&gt;="&amp;Z7,#REF!,"&lt;="&amp;EOMONTH(Z7,0),#REF!,$B$33)+SUMIFS('1SI9BW'!$K$6:$K$2989,'1SI9BW'!$J$6:$J$2989,"&gt;="&amp;Z7,'1SI9BW'!$J$6:$J$2989,"&lt;="&amp;EOMONTH(Z7,0),'1SI9BW'!$L$6:$L$2989,$B$33)+SUMIFS(Suzuki!$K$6:$K$2989,Suzuki!$J$6:$J$2989,"&gt;="&amp;Z7,Suzuki!$J$6:$J$2989,"&lt;="&amp;EOMONTH(Z7,0),Suzuki!$L$6:$L$2989,$B$33)+SUMIFS('1SK3DD'!$K$6:$K$2989,'1SK3DD'!$J$6:$J$2989,"&gt;="&amp;Z7,'1SK3DD'!$J$6:$J$2989,"&lt;="&amp;EOMONTH(Z7,0),'1SK3DD'!$L$6:$L$2989,$B$33)+SUMIFS('1SX5TQ'!$K$6:$K$2989,'1SX5TQ'!$J$6:$J$2989,"&gt;="&amp;Z7,'1SX5TQ'!$J$6:$J$2989,"&lt;="&amp;EOMONTH(Z7,0),'1SX5TQ'!$L$6:$L$2989,$B$33)+SUMIFS('BMM465'!$K$6:$K$2989,'BMM465'!$J$6:$J$2989,"&gt;="&amp;Z7,'BMM465'!$J$6:$J$2989,"&lt;="&amp;EOMONTH(Z7,0),'BMM465'!$L$6:$L$2989,$B$33)+SUMIFS('1CF1ZO'!$K$6:$K$2989,'1CF1ZO'!$J$6:$J$2989,"&gt;="&amp;Z7,'1CF1ZO'!$J$6:$J$2989,"&lt;="&amp;EOMONTH(Z7,0),'1CF1ZO'!$L$6:$L$2989,$B$33)+SUMIFS('1UK1BK'!$K$6:$K$2989,'1UK1BK'!$J$6:$J$2989,"&gt;="&amp;Z7,'1UK1BK'!$J$6:$J$2989,"&lt;="&amp;EOMONTH(Z7,0),'1UK1BK'!$L$6:$L$2989,$B$33)</f>
        <v>#REF!</v>
      </c>
      <c r="AA33" s="110" t="e">
        <f>SUMIFS('CEI565'!$K$6:$K$2990,'CEI565'!$J$6:$J$2990,"&gt;="&amp;AA7,'CEI565'!$J$6:$J$2990,"&lt;="&amp;EOMONTH(AA7,0),'CEI565'!$L$6:$L$2990,$B$33)+SUMIFS('1SM3VL'!$K$6:$K$2990,'1SM3VL'!$J$6:$J$2990,"&gt;="&amp;AA7,'1SM3VL'!$J$6:$J$2990,"&lt;="&amp;EOMONTH(AA7,0),'1SM3VL'!$L$6:$L$2990,$B$33)+SUMIFS('1QF4SM'!$K$6:$K$2989,'1QF4SM'!$J$6:$J$2989,"&gt;="&amp;AA7,'1QF4SM'!$J$6:$J$2989,"&lt;="&amp;EOMONTH(AA7,0),'1QF4SM'!$L$6:$L$2989,$B$33)+SUMIFS('1UV5KI'!$K$6:$K$2989,'1UV5KI'!$J$6:$J$2989,"&gt;="&amp;AA7,'1UV5KI'!$J$6:$J$2989,"&lt;="&amp;EOMONTH(AA7,0),'1UV5KI'!$L$6:$L$2989,$B$33)+SUMIFS(#REF!,#REF!,"&gt;="&amp;AA7,#REF!,"&lt;="&amp;EOMONTH(AA7,0),#REF!,$B$33)+SUMIFS('1UL9RY'!$K$6:$K$2990,'1UL9RY'!$J$6:$J$2990,"&gt;="&amp;AA7,'1UL9RY'!$J$6:$J$2990,"&lt;="&amp;EOMONTH(AA7,0),'1UL9RY'!$L$6:$L$2990,$B$33)+SUMIFS('1OZ7GT'!$K$6:$K$2989,'1OZ7GT'!$J$6:$J$2989,"&gt;="&amp;AA7,'1OZ7GT'!$J$6:$J$2989,"&lt;="&amp;EOMONTH(AA7,0),'1OZ7GT'!$L$6:$L$2989,$B$33)+SUMIFS('1CN8DD'!$K$6:$K$2989,'1CN8DD'!$J$6:$J$2989,"&gt;="&amp;AA7,'1CN8DD'!$J$6:$J$2989,"&lt;="&amp;EOMONTH(AA7,0),'1CN8DD'!$L$6:$L$2989,$B$33)+SUMIFS('1UT9BR'!$K$6:$K$2990,'1UT9BR'!$J$6:$J$2990,"&gt;="&amp;AA7,'1UT9BR'!$J$6:$J$2990,"&lt;="&amp;EOMONTH(AA7,0),'1UT9BR'!$L$6:$L$2990,$B$33)+SUMIFS('1MK4UR'!$K$6:$K$2990,'1MK4UR'!$J$6:$J$2990,"&gt;="&amp;AA7,'1MK4UR'!$J$6:$J$2990,"&lt;="&amp;EOMONTH(AA7,0),'1MK4UR'!$L$6:$L$2990,$B$33)+SUMIFS(#REF!,#REF!,"&gt;="&amp;AA7,#REF!,"&lt;="&amp;EOMONTH(AA7,0),#REF!,$B$33)+SUMIFS('1JI2UE'!$K$6:$K$2989,'1JI2UE'!$J$6:$J$2989,"&gt;="&amp;AA7,'1JI2UE'!$J$6:$J$2989,"&lt;="&amp;EOMONTH(AA7,0),'1JI2UE'!$L$6:$L$2989,$B$33)+SUMIFS(#REF!,#REF!,"&gt;="&amp;AA7,#REF!,"&lt;="&amp;EOMONTH(AA7,0),#REF!,$B$33)+SUMIFS('1SI9BW'!$K$6:$K$2989,'1SI9BW'!$J$6:$J$2989,"&gt;="&amp;AA7,'1SI9BW'!$J$6:$J$2989,"&lt;="&amp;EOMONTH(AA7,0),'1SI9BW'!$L$6:$L$2989,$B$33)+SUMIFS(Suzuki!$K$6:$K$2989,Suzuki!$J$6:$J$2989,"&gt;="&amp;AA7,Suzuki!$J$6:$J$2989,"&lt;="&amp;EOMONTH(AA7,0),Suzuki!$L$6:$L$2989,$B$33)+SUMIFS('1SK3DD'!$K$6:$K$2989,'1SK3DD'!$J$6:$J$2989,"&gt;="&amp;AA7,'1SK3DD'!$J$6:$J$2989,"&lt;="&amp;EOMONTH(AA7,0),'1SK3DD'!$L$6:$L$2989,$B$33)+SUMIFS('1SX5TQ'!$K$6:$K$2989,'1SX5TQ'!$J$6:$J$2989,"&gt;="&amp;AA7,'1SX5TQ'!$J$6:$J$2989,"&lt;="&amp;EOMONTH(AA7,0),'1SX5TQ'!$L$6:$L$2989,$B$33)+SUMIFS('BMM465'!$K$6:$K$2989,'BMM465'!$J$6:$J$2989,"&gt;="&amp;AA7,'BMM465'!$J$6:$J$2989,"&lt;="&amp;EOMONTH(AA7,0),'BMM465'!$L$6:$L$2989,$B$33)+SUMIFS('1CF1ZO'!$K$6:$K$2989,'1CF1ZO'!$J$6:$J$2989,"&gt;="&amp;AA7,'1CF1ZO'!$J$6:$J$2989,"&lt;="&amp;EOMONTH(AA7,0),'1CF1ZO'!$L$6:$L$2989,$B$33)+SUMIFS('1UK1BK'!$K$6:$K$2989,'1UK1BK'!$J$6:$J$2989,"&gt;="&amp;AA7,'1UK1BK'!$J$6:$J$2989,"&lt;="&amp;EOMONTH(AA7,0),'1UK1BK'!$L$6:$L$2989,$B$33)</f>
        <v>#REF!</v>
      </c>
      <c r="AB33" s="110" t="e">
        <f>SUMIFS('CEI565'!$K$6:$K$2990,'CEI565'!$J$6:$J$2990,"&gt;="&amp;AB7,'CEI565'!$J$6:$J$2990,"&lt;="&amp;EOMONTH(AB7,0),'CEI565'!$L$6:$L$2990,$B$33)+SUMIFS('1SM3VL'!$K$6:$K$2990,'1SM3VL'!$J$6:$J$2990,"&gt;="&amp;AB7,'1SM3VL'!$J$6:$J$2990,"&lt;="&amp;EOMONTH(AB7,0),'1SM3VL'!$L$6:$L$2990,$B$33)+SUMIFS('1QF4SM'!$K$6:$K$2989,'1QF4SM'!$J$6:$J$2989,"&gt;="&amp;AB7,'1QF4SM'!$J$6:$J$2989,"&lt;="&amp;EOMONTH(AB7,0),'1QF4SM'!$L$6:$L$2989,$B$33)+SUMIFS('1UV5KI'!$K$6:$K$2989,'1UV5KI'!$J$6:$J$2989,"&gt;="&amp;AB7,'1UV5KI'!$J$6:$J$2989,"&lt;="&amp;EOMONTH(AB7,0),'1UV5KI'!$L$6:$L$2989,$B$33)+SUMIFS(#REF!,#REF!,"&gt;="&amp;AB7,#REF!,"&lt;="&amp;EOMONTH(AB7,0),#REF!,$B$33)+SUMIFS('1UL9RY'!$K$6:$K$2990,'1UL9RY'!$J$6:$J$2990,"&gt;="&amp;AB7,'1UL9RY'!$J$6:$J$2990,"&lt;="&amp;EOMONTH(AB7,0),'1UL9RY'!$L$6:$L$2990,$B$33)+SUMIFS('1OZ7GT'!$K$6:$K$2989,'1OZ7GT'!$J$6:$J$2989,"&gt;="&amp;AB7,'1OZ7GT'!$J$6:$J$2989,"&lt;="&amp;EOMONTH(AB7,0),'1OZ7GT'!$L$6:$L$2989,$B$33)+SUMIFS('1CN8DD'!$K$6:$K$2989,'1CN8DD'!$J$6:$J$2989,"&gt;="&amp;AB7,'1CN8DD'!$J$6:$J$2989,"&lt;="&amp;EOMONTH(AB7,0),'1CN8DD'!$L$6:$L$2989,$B$33)+SUMIFS('1UT9BR'!$K$6:$K$2990,'1UT9BR'!$J$6:$J$2990,"&gt;="&amp;AB7,'1UT9BR'!$J$6:$J$2990,"&lt;="&amp;EOMONTH(AB7,0),'1UT9BR'!$L$6:$L$2990,$B$33)+SUMIFS('1MK4UR'!$K$6:$K$2990,'1MK4UR'!$J$6:$J$2990,"&gt;="&amp;AB7,'1MK4UR'!$J$6:$J$2990,"&lt;="&amp;EOMONTH(AB7,0),'1MK4UR'!$L$6:$L$2990,$B$33)+SUMIFS(#REF!,#REF!,"&gt;="&amp;AB7,#REF!,"&lt;="&amp;EOMONTH(AB7,0),#REF!,$B$33)+SUMIFS('1JI2UE'!$K$6:$K$2989,'1JI2UE'!$J$6:$J$2989,"&gt;="&amp;AB7,'1JI2UE'!$J$6:$J$2989,"&lt;="&amp;EOMONTH(AB7,0),'1JI2UE'!$L$6:$L$2989,$B$33)+SUMIFS(#REF!,#REF!,"&gt;="&amp;AB7,#REF!,"&lt;="&amp;EOMONTH(AB7,0),#REF!,$B$33)+SUMIFS('1SI9BW'!$K$6:$K$2989,'1SI9BW'!$J$6:$J$2989,"&gt;="&amp;AB7,'1SI9BW'!$J$6:$J$2989,"&lt;="&amp;EOMONTH(AB7,0),'1SI9BW'!$L$6:$L$2989,$B$33)+SUMIFS(Suzuki!$K$6:$K$2989,Suzuki!$J$6:$J$2989,"&gt;="&amp;AB7,Suzuki!$J$6:$J$2989,"&lt;="&amp;EOMONTH(AB7,0),Suzuki!$L$6:$L$2989,$B$33)+SUMIFS('1SK3DD'!$K$6:$K$2989,'1SK3DD'!$J$6:$J$2989,"&gt;="&amp;AB7,'1SK3DD'!$J$6:$J$2989,"&lt;="&amp;EOMONTH(AB7,0),'1SK3DD'!$L$6:$L$2989,$B$33)+SUMIFS('1SX5TQ'!$K$6:$K$2989,'1SX5TQ'!$J$6:$J$2989,"&gt;="&amp;AB7,'1SX5TQ'!$J$6:$J$2989,"&lt;="&amp;EOMONTH(AB7,0),'1SX5TQ'!$L$6:$L$2989,$B$33)+SUMIFS('BMM465'!$K$6:$K$2989,'BMM465'!$J$6:$J$2989,"&gt;="&amp;AB7,'BMM465'!$J$6:$J$2989,"&lt;="&amp;EOMONTH(AB7,0),'BMM465'!$L$6:$L$2989,$B$33)+SUMIFS('1CF1ZO'!$K$6:$K$2989,'1CF1ZO'!$J$6:$J$2989,"&gt;="&amp;AB7,'1CF1ZO'!$J$6:$J$2989,"&lt;="&amp;EOMONTH(AB7,0),'1CF1ZO'!$L$6:$L$2989,$B$33)+SUMIFS('1UK1BK'!$K$6:$K$2989,'1UK1BK'!$J$6:$J$2989,"&gt;="&amp;AB7,'1UK1BK'!$J$6:$J$2989,"&lt;="&amp;EOMONTH(AB7,0),'1UK1BK'!$L$6:$L$2989,$B$33)</f>
        <v>#REF!</v>
      </c>
      <c r="AC33" s="110" t="e">
        <f>SUMIFS('CEI565'!$K$6:$K$2990,'CEI565'!$J$6:$J$2990,"&gt;="&amp;AC7,'CEI565'!$J$6:$J$2990,"&lt;="&amp;EOMONTH(AC7,0),'CEI565'!$L$6:$L$2990,$B$33)+SUMIFS('1SM3VL'!$K$6:$K$2990,'1SM3VL'!$J$6:$J$2990,"&gt;="&amp;AC7,'1SM3VL'!$J$6:$J$2990,"&lt;="&amp;EOMONTH(AC7,0),'1SM3VL'!$L$6:$L$2990,$B$33)+SUMIFS('1QF4SM'!$K$6:$K$2989,'1QF4SM'!$J$6:$J$2989,"&gt;="&amp;AC7,'1QF4SM'!$J$6:$J$2989,"&lt;="&amp;EOMONTH(AC7,0),'1QF4SM'!$L$6:$L$2989,$B$33)+SUMIFS('1UV5KI'!$K$6:$K$2989,'1UV5KI'!$J$6:$J$2989,"&gt;="&amp;AC7,'1UV5KI'!$J$6:$J$2989,"&lt;="&amp;EOMONTH(AC7,0),'1UV5KI'!$L$6:$L$2989,$B$33)+SUMIFS(#REF!,#REF!,"&gt;="&amp;AC7,#REF!,"&lt;="&amp;EOMONTH(AC7,0),#REF!,$B$33)+SUMIFS('1UL9RY'!$K$6:$K$2990,'1UL9RY'!$J$6:$J$2990,"&gt;="&amp;AC7,'1UL9RY'!$J$6:$J$2990,"&lt;="&amp;EOMONTH(AC7,0),'1UL9RY'!$L$6:$L$2990,$B$33)+SUMIFS('1OZ7GT'!$K$6:$K$2989,'1OZ7GT'!$J$6:$J$2989,"&gt;="&amp;AC7,'1OZ7GT'!$J$6:$J$2989,"&lt;="&amp;EOMONTH(AC7,0),'1OZ7GT'!$L$6:$L$2989,$B$33)+SUMIFS('1CN8DD'!$K$6:$K$2989,'1CN8DD'!$J$6:$J$2989,"&gt;="&amp;AC7,'1CN8DD'!$J$6:$J$2989,"&lt;="&amp;EOMONTH(AC7,0),'1CN8DD'!$L$6:$L$2989,$B$33)+SUMIFS('1UT9BR'!$K$6:$K$2990,'1UT9BR'!$J$6:$J$2990,"&gt;="&amp;AC7,'1UT9BR'!$J$6:$J$2990,"&lt;="&amp;EOMONTH(AC7,0),'1UT9BR'!$L$6:$L$2990,$B$33)+SUMIFS('1MK4UR'!$K$6:$K$2990,'1MK4UR'!$J$6:$J$2990,"&gt;="&amp;AC7,'1MK4UR'!$J$6:$J$2990,"&lt;="&amp;EOMONTH(AC7,0),'1MK4UR'!$L$6:$L$2990,$B$33)+SUMIFS(#REF!,#REF!,"&gt;="&amp;AC7,#REF!,"&lt;="&amp;EOMONTH(AC7,0),#REF!,$B$33)+SUMIFS('1JI2UE'!$K$6:$K$2989,'1JI2UE'!$J$6:$J$2989,"&gt;="&amp;AC7,'1JI2UE'!$J$6:$J$2989,"&lt;="&amp;EOMONTH(AC7,0),'1JI2UE'!$L$6:$L$2989,$B$33)+SUMIFS(#REF!,#REF!,"&gt;="&amp;AC7,#REF!,"&lt;="&amp;EOMONTH(AC7,0),#REF!,$B$33)+SUMIFS('1SI9BW'!$K$6:$K$2989,'1SI9BW'!$J$6:$J$2989,"&gt;="&amp;AC7,'1SI9BW'!$J$6:$J$2989,"&lt;="&amp;EOMONTH(AC7,0),'1SI9BW'!$L$6:$L$2989,$B$33)+SUMIFS(Suzuki!$K$6:$K$2989,Suzuki!$J$6:$J$2989,"&gt;="&amp;AC7,Suzuki!$J$6:$J$2989,"&lt;="&amp;EOMONTH(AC7,0),Suzuki!$L$6:$L$2989,$B$33)+SUMIFS('1SK3DD'!$K$6:$K$2989,'1SK3DD'!$J$6:$J$2989,"&gt;="&amp;AC7,'1SK3DD'!$J$6:$J$2989,"&lt;="&amp;EOMONTH(AC7,0),'1SK3DD'!$L$6:$L$2989,$B$33)+SUMIFS('1SX5TQ'!$K$6:$K$2989,'1SX5TQ'!$J$6:$J$2989,"&gt;="&amp;AC7,'1SX5TQ'!$J$6:$J$2989,"&lt;="&amp;EOMONTH(AC7,0),'1SX5TQ'!$L$6:$L$2989,$B$33)+SUMIFS('BMM465'!$K$6:$K$2989,'BMM465'!$J$6:$J$2989,"&gt;="&amp;AC7,'BMM465'!$J$6:$J$2989,"&lt;="&amp;EOMONTH(AC7,0),'BMM465'!$L$6:$L$2989,$B$33)+SUMIFS('1CF1ZO'!$K$6:$K$2989,'1CF1ZO'!$J$6:$J$2989,"&gt;="&amp;AC7,'1CF1ZO'!$J$6:$J$2989,"&lt;="&amp;EOMONTH(AC7,0),'1CF1ZO'!$L$6:$L$2989,$B$33)+SUMIFS('1UK1BK'!$K$6:$K$2989,'1UK1BK'!$J$6:$J$2989,"&gt;="&amp;AC7,'1UK1BK'!$J$6:$J$2989,"&lt;="&amp;EOMONTH(AC7,0),'1UK1BK'!$L$6:$L$2989,$B$33)</f>
        <v>#REF!</v>
      </c>
      <c r="AD33" s="110" t="e">
        <f>SUMIFS('CEI565'!$K$6:$K$2990,'CEI565'!$J$6:$J$2990,"&gt;="&amp;AD7,'CEI565'!$J$6:$J$2990,"&lt;="&amp;EOMONTH(AD7,0),'CEI565'!$L$6:$L$2990,$B$33)+SUMIFS('1SM3VL'!$K$6:$K$2990,'1SM3VL'!$J$6:$J$2990,"&gt;="&amp;AD7,'1SM3VL'!$J$6:$J$2990,"&lt;="&amp;EOMONTH(AD7,0),'1SM3VL'!$L$6:$L$2990,$B$33)+SUMIFS('1QF4SM'!$K$6:$K$2989,'1QF4SM'!$J$6:$J$2989,"&gt;="&amp;AD7,'1QF4SM'!$J$6:$J$2989,"&lt;="&amp;EOMONTH(AD7,0),'1QF4SM'!$L$6:$L$2989,$B$33)+SUMIFS('1UV5KI'!$K$6:$K$2989,'1UV5KI'!$J$6:$J$2989,"&gt;="&amp;AD7,'1UV5KI'!$J$6:$J$2989,"&lt;="&amp;EOMONTH(AD7,0),'1UV5KI'!$L$6:$L$2989,$B$33)+SUMIFS(#REF!,#REF!,"&gt;="&amp;AD7,#REF!,"&lt;="&amp;EOMONTH(AD7,0),#REF!,$B$33)+SUMIFS('1UL9RY'!$K$6:$K$2990,'1UL9RY'!$J$6:$J$2990,"&gt;="&amp;AD7,'1UL9RY'!$J$6:$J$2990,"&lt;="&amp;EOMONTH(AD7,0),'1UL9RY'!$L$6:$L$2990,$B$33)+SUMIFS('1OZ7GT'!$K$6:$K$2989,'1OZ7GT'!$J$6:$J$2989,"&gt;="&amp;AD7,'1OZ7GT'!$J$6:$J$2989,"&lt;="&amp;EOMONTH(AD7,0),'1OZ7GT'!$L$6:$L$2989,$B$33)+SUMIFS('1CN8DD'!$K$6:$K$2989,'1CN8DD'!$J$6:$J$2989,"&gt;="&amp;AD7,'1CN8DD'!$J$6:$J$2989,"&lt;="&amp;EOMONTH(AD7,0),'1CN8DD'!$L$6:$L$2989,$B$33)+SUMIFS('1UT9BR'!$K$6:$K$2990,'1UT9BR'!$J$6:$J$2990,"&gt;="&amp;AD7,'1UT9BR'!$J$6:$J$2990,"&lt;="&amp;EOMONTH(AD7,0),'1UT9BR'!$L$6:$L$2990,$B$33)+SUMIFS('1MK4UR'!$K$6:$K$2990,'1MK4UR'!$J$6:$J$2990,"&gt;="&amp;AD7,'1MK4UR'!$J$6:$J$2990,"&lt;="&amp;EOMONTH(AD7,0),'1MK4UR'!$L$6:$L$2990,$B$33)+SUMIFS(#REF!,#REF!,"&gt;="&amp;AD7,#REF!,"&lt;="&amp;EOMONTH(AD7,0),#REF!,$B$33)+SUMIFS('1JI2UE'!$K$6:$K$2989,'1JI2UE'!$J$6:$J$2989,"&gt;="&amp;AD7,'1JI2UE'!$J$6:$J$2989,"&lt;="&amp;EOMONTH(AD7,0),'1JI2UE'!$L$6:$L$2989,$B$33)+SUMIFS(#REF!,#REF!,"&gt;="&amp;AD7,#REF!,"&lt;="&amp;EOMONTH(AD7,0),#REF!,$B$33)+SUMIFS('1SI9BW'!$K$6:$K$2989,'1SI9BW'!$J$6:$J$2989,"&gt;="&amp;AD7,'1SI9BW'!$J$6:$J$2989,"&lt;="&amp;EOMONTH(AD7,0),'1SI9BW'!$L$6:$L$2989,$B$33)+SUMIFS(Suzuki!$K$6:$K$2989,Suzuki!$J$6:$J$2989,"&gt;="&amp;AD7,Suzuki!$J$6:$J$2989,"&lt;="&amp;EOMONTH(AD7,0),Suzuki!$L$6:$L$2989,$B$33)+SUMIFS('1SK3DD'!$K$6:$K$2989,'1SK3DD'!$J$6:$J$2989,"&gt;="&amp;AD7,'1SK3DD'!$J$6:$J$2989,"&lt;="&amp;EOMONTH(AD7,0),'1SK3DD'!$L$6:$L$2989,$B$33)+SUMIFS('1SX5TQ'!$K$6:$K$2989,'1SX5TQ'!$J$6:$J$2989,"&gt;="&amp;AD7,'1SX5TQ'!$J$6:$J$2989,"&lt;="&amp;EOMONTH(AD7,0),'1SX5TQ'!$L$6:$L$2989,$B$33)+SUMIFS('BMM465'!$K$6:$K$2989,'BMM465'!$J$6:$J$2989,"&gt;="&amp;AD7,'BMM465'!$J$6:$J$2989,"&lt;="&amp;EOMONTH(AD7,0),'BMM465'!$L$6:$L$2989,$B$33)+SUMIFS('1CF1ZO'!$K$6:$K$2989,'1CF1ZO'!$J$6:$J$2989,"&gt;="&amp;AD7,'1CF1ZO'!$J$6:$J$2989,"&lt;="&amp;EOMONTH(AD7,0),'1CF1ZO'!$L$6:$L$2989,$B$33)+SUMIFS('1UK1BK'!$K$6:$K$2989,'1UK1BK'!$J$6:$J$2989,"&gt;="&amp;AD7,'1UK1BK'!$J$6:$J$2989,"&lt;="&amp;EOMONTH(AD7,0),'1UK1BK'!$L$6:$L$2989,$B$33)</f>
        <v>#REF!</v>
      </c>
      <c r="AE33" s="110" t="e">
        <f>SUMIFS('CEI565'!$K$6:$K$2990,'CEI565'!$J$6:$J$2990,"&gt;="&amp;AE7,'CEI565'!$J$6:$J$2990,"&lt;="&amp;EOMONTH(AE7,0),'CEI565'!$L$6:$L$2990,$B$33)+SUMIFS('1SM3VL'!$K$6:$K$2990,'1SM3VL'!$J$6:$J$2990,"&gt;="&amp;AE7,'1SM3VL'!$J$6:$J$2990,"&lt;="&amp;EOMONTH(AE7,0),'1SM3VL'!$L$6:$L$2990,$B$33)+SUMIFS('1QF4SM'!$K$6:$K$2989,'1QF4SM'!$J$6:$J$2989,"&gt;="&amp;AE7,'1QF4SM'!$J$6:$J$2989,"&lt;="&amp;EOMONTH(AE7,0),'1QF4SM'!$L$6:$L$2989,$B$33)+SUMIFS('1UV5KI'!$K$6:$K$2989,'1UV5KI'!$J$6:$J$2989,"&gt;="&amp;AE7,'1UV5KI'!$J$6:$J$2989,"&lt;="&amp;EOMONTH(AE7,0),'1UV5KI'!$L$6:$L$2989,$B$33)+SUMIFS(#REF!,#REF!,"&gt;="&amp;AE7,#REF!,"&lt;="&amp;EOMONTH(AE7,0),#REF!,$B$33)+SUMIFS('1UL9RY'!$K$6:$K$2990,'1UL9RY'!$J$6:$J$2990,"&gt;="&amp;AE7,'1UL9RY'!$J$6:$J$2990,"&lt;="&amp;EOMONTH(AE7,0),'1UL9RY'!$L$6:$L$2990,$B$33)+SUMIFS('1OZ7GT'!$K$6:$K$2989,'1OZ7GT'!$J$6:$J$2989,"&gt;="&amp;AE7,'1OZ7GT'!$J$6:$J$2989,"&lt;="&amp;EOMONTH(AE7,0),'1OZ7GT'!$L$6:$L$2989,$B$33)+SUMIFS('1CN8DD'!$K$6:$K$2989,'1CN8DD'!$J$6:$J$2989,"&gt;="&amp;AE7,'1CN8DD'!$J$6:$J$2989,"&lt;="&amp;EOMONTH(AE7,0),'1CN8DD'!$L$6:$L$2989,$B$33)+SUMIFS('1UT9BR'!$K$6:$K$2990,'1UT9BR'!$J$6:$J$2990,"&gt;="&amp;AE7,'1UT9BR'!$J$6:$J$2990,"&lt;="&amp;EOMONTH(AE7,0),'1UT9BR'!$L$6:$L$2990,$B$33)+SUMIFS('1MK4UR'!$K$6:$K$2990,'1MK4UR'!$J$6:$J$2990,"&gt;="&amp;AE7,'1MK4UR'!$J$6:$J$2990,"&lt;="&amp;EOMONTH(AE7,0),'1MK4UR'!$L$6:$L$2990,$B$33)+SUMIFS(#REF!,#REF!,"&gt;="&amp;AE7,#REF!,"&lt;="&amp;EOMONTH(AE7,0),#REF!,$B$33)+SUMIFS('1JI2UE'!$K$6:$K$2989,'1JI2UE'!$J$6:$J$2989,"&gt;="&amp;AE7,'1JI2UE'!$J$6:$J$2989,"&lt;="&amp;EOMONTH(AE7,0),'1JI2UE'!$L$6:$L$2989,$B$33)+SUMIFS(#REF!,#REF!,"&gt;="&amp;AE7,#REF!,"&lt;="&amp;EOMONTH(AE7,0),#REF!,$B$33)+SUMIFS('1SI9BW'!$K$6:$K$2989,'1SI9BW'!$J$6:$J$2989,"&gt;="&amp;AE7,'1SI9BW'!$J$6:$J$2989,"&lt;="&amp;EOMONTH(AE7,0),'1SI9BW'!$L$6:$L$2989,$B$33)+SUMIFS(Suzuki!$K$6:$K$2989,Suzuki!$J$6:$J$2989,"&gt;="&amp;AE7,Suzuki!$J$6:$J$2989,"&lt;="&amp;EOMONTH(AE7,0),Suzuki!$L$6:$L$2989,$B$33)+SUMIFS('1SK3DD'!$K$6:$K$2989,'1SK3DD'!$J$6:$J$2989,"&gt;="&amp;AE7,'1SK3DD'!$J$6:$J$2989,"&lt;="&amp;EOMONTH(AE7,0),'1SK3DD'!$L$6:$L$2989,$B$33)+SUMIFS('1SX5TQ'!$K$6:$K$2989,'1SX5TQ'!$J$6:$J$2989,"&gt;="&amp;AE7,'1SX5TQ'!$J$6:$J$2989,"&lt;="&amp;EOMONTH(AE7,0),'1SX5TQ'!$L$6:$L$2989,$B$33)+SUMIFS('BMM465'!$K$6:$K$2989,'BMM465'!$J$6:$J$2989,"&gt;="&amp;AE7,'BMM465'!$J$6:$J$2989,"&lt;="&amp;EOMONTH(AE7,0),'BMM465'!$L$6:$L$2989,$B$33)+SUMIFS('1CF1ZO'!$K$6:$K$2989,'1CF1ZO'!$J$6:$J$2989,"&gt;="&amp;AE7,'1CF1ZO'!$J$6:$J$2989,"&lt;="&amp;EOMONTH(AE7,0),'1CF1ZO'!$L$6:$L$2989,$B$33)+SUMIFS('1UK1BK'!$K$6:$K$2989,'1UK1BK'!$J$6:$J$2989,"&gt;="&amp;AE7,'1UK1BK'!$J$6:$J$2989,"&lt;="&amp;EOMONTH(AE7,0),'1UK1BK'!$L$6:$L$2989,$B$33)</f>
        <v>#REF!</v>
      </c>
      <c r="AF33" s="110" t="e">
        <f>SUMIFS('CEI565'!$K$6:$K$2990,'CEI565'!$J$6:$J$2990,"&gt;="&amp;AF7,'CEI565'!$J$6:$J$2990,"&lt;="&amp;EOMONTH(AF7,0),'CEI565'!$L$6:$L$2990,$B$33)+SUMIFS('1SM3VL'!$K$6:$K$2990,'1SM3VL'!$J$6:$J$2990,"&gt;="&amp;AF7,'1SM3VL'!$J$6:$J$2990,"&lt;="&amp;EOMONTH(AF7,0),'1SM3VL'!$L$6:$L$2990,$B$33)+SUMIFS('1QF4SM'!$K$6:$K$2989,'1QF4SM'!$J$6:$J$2989,"&gt;="&amp;AF7,'1QF4SM'!$J$6:$J$2989,"&lt;="&amp;EOMONTH(AF7,0),'1QF4SM'!$L$6:$L$2989,$B$33)+SUMIFS('1UV5KI'!$K$6:$K$2989,'1UV5KI'!$J$6:$J$2989,"&gt;="&amp;AF7,'1UV5KI'!$J$6:$J$2989,"&lt;="&amp;EOMONTH(AF7,0),'1UV5KI'!$L$6:$L$2989,$B$33)+SUMIFS(#REF!,#REF!,"&gt;="&amp;AF7,#REF!,"&lt;="&amp;EOMONTH(AF7,0),#REF!,$B$33)+SUMIFS('1UL9RY'!$K$6:$K$2990,'1UL9RY'!$J$6:$J$2990,"&gt;="&amp;AF7,'1UL9RY'!$J$6:$J$2990,"&lt;="&amp;EOMONTH(AF7,0),'1UL9RY'!$L$6:$L$2990,$B$33)+SUMIFS('1OZ7GT'!$K$6:$K$2989,'1OZ7GT'!$J$6:$J$2989,"&gt;="&amp;AF7,'1OZ7GT'!$J$6:$J$2989,"&lt;="&amp;EOMONTH(AF7,0),'1OZ7GT'!$L$6:$L$2989,$B$33)+SUMIFS('1CN8DD'!$K$6:$K$2989,'1CN8DD'!$J$6:$J$2989,"&gt;="&amp;AF7,'1CN8DD'!$J$6:$J$2989,"&lt;="&amp;EOMONTH(AF7,0),'1CN8DD'!$L$6:$L$2989,$B$33)+SUMIFS('1UT9BR'!$K$6:$K$2990,'1UT9BR'!$J$6:$J$2990,"&gt;="&amp;AF7,'1UT9BR'!$J$6:$J$2990,"&lt;="&amp;EOMONTH(AF7,0),'1UT9BR'!$L$6:$L$2990,$B$33)+SUMIFS('1MK4UR'!$K$6:$K$2990,'1MK4UR'!$J$6:$J$2990,"&gt;="&amp;AF7,'1MK4UR'!$J$6:$J$2990,"&lt;="&amp;EOMONTH(AF7,0),'1MK4UR'!$L$6:$L$2990,$B$33)+SUMIFS(#REF!,#REF!,"&gt;="&amp;AF7,#REF!,"&lt;="&amp;EOMONTH(AF7,0),#REF!,$B$33)+SUMIFS('1JI2UE'!$K$6:$K$2989,'1JI2UE'!$J$6:$J$2989,"&gt;="&amp;AF7,'1JI2UE'!$J$6:$J$2989,"&lt;="&amp;EOMONTH(AF7,0),'1JI2UE'!$L$6:$L$2989,$B$33)+SUMIFS(#REF!,#REF!,"&gt;="&amp;AF7,#REF!,"&lt;="&amp;EOMONTH(AF7,0),#REF!,$B$33)+SUMIFS('1SI9BW'!$K$6:$K$2989,'1SI9BW'!$J$6:$J$2989,"&gt;="&amp;AF7,'1SI9BW'!$J$6:$J$2989,"&lt;="&amp;EOMONTH(AF7,0),'1SI9BW'!$L$6:$L$2989,$B$33)+SUMIFS(Suzuki!$K$6:$K$2989,Suzuki!$J$6:$J$2989,"&gt;="&amp;AF7,Suzuki!$J$6:$J$2989,"&lt;="&amp;EOMONTH(AF7,0),Suzuki!$L$6:$L$2989,$B$33)+SUMIFS('1SK3DD'!$K$6:$K$2989,'1SK3DD'!$J$6:$J$2989,"&gt;="&amp;AF7,'1SK3DD'!$J$6:$J$2989,"&lt;="&amp;EOMONTH(AF7,0),'1SK3DD'!$L$6:$L$2989,$B$33)+SUMIFS('1SX5TQ'!$K$6:$K$2989,'1SX5TQ'!$J$6:$J$2989,"&gt;="&amp;AF7,'1SX5TQ'!$J$6:$J$2989,"&lt;="&amp;EOMONTH(AF7,0),'1SX5TQ'!$L$6:$L$2989,$B$33)+SUMIFS('BMM465'!$K$6:$K$2989,'BMM465'!$J$6:$J$2989,"&gt;="&amp;AF7,'BMM465'!$J$6:$J$2989,"&lt;="&amp;EOMONTH(AF7,0),'BMM465'!$L$6:$L$2989,$B$33)+SUMIFS('1CF1ZO'!$K$6:$K$2989,'1CF1ZO'!$J$6:$J$2989,"&gt;="&amp;AF7,'1CF1ZO'!$J$6:$J$2989,"&lt;="&amp;EOMONTH(AF7,0),'1CF1ZO'!$L$6:$L$2989,$B$33)+SUMIFS('1UK1BK'!$K$6:$K$2989,'1UK1BK'!$J$6:$J$2989,"&gt;="&amp;AF7,'1UK1BK'!$J$6:$J$2989,"&lt;="&amp;EOMONTH(AF7,0),'1UK1BK'!$L$6:$L$2989,$B$33)</f>
        <v>#REF!</v>
      </c>
      <c r="AG33" s="110" t="e">
        <f>SUMIFS('CEI565'!$K$6:$K$2990,'CEI565'!$J$6:$J$2990,"&gt;="&amp;AG7,'CEI565'!$J$6:$J$2990,"&lt;="&amp;EOMONTH(AG7,0),'CEI565'!$L$6:$L$2990,$B$33)+SUMIFS('1SM3VL'!$K$6:$K$2990,'1SM3VL'!$J$6:$J$2990,"&gt;="&amp;AG7,'1SM3VL'!$J$6:$J$2990,"&lt;="&amp;EOMONTH(AG7,0),'1SM3VL'!$L$6:$L$2990,$B$33)+SUMIFS('1QF4SM'!$K$6:$K$2989,'1QF4SM'!$J$6:$J$2989,"&gt;="&amp;AG7,'1QF4SM'!$J$6:$J$2989,"&lt;="&amp;EOMONTH(AG7,0),'1QF4SM'!$L$6:$L$2989,$B$33)+SUMIFS('1UV5KI'!$K$6:$K$2989,'1UV5KI'!$J$6:$J$2989,"&gt;="&amp;AG7,'1UV5KI'!$J$6:$J$2989,"&lt;="&amp;EOMONTH(AG7,0),'1UV5KI'!$L$6:$L$2989,$B$33)+SUMIFS(#REF!,#REF!,"&gt;="&amp;AG7,#REF!,"&lt;="&amp;EOMONTH(AG7,0),#REF!,$B$33)+SUMIFS('1UL9RY'!$K$6:$K$2990,'1UL9RY'!$J$6:$J$2990,"&gt;="&amp;AG7,'1UL9RY'!$J$6:$J$2990,"&lt;="&amp;EOMONTH(AG7,0),'1UL9RY'!$L$6:$L$2990,$B$33)+SUMIFS('1OZ7GT'!$K$6:$K$2989,'1OZ7GT'!$J$6:$J$2989,"&gt;="&amp;AG7,'1OZ7GT'!$J$6:$J$2989,"&lt;="&amp;EOMONTH(AG7,0),'1OZ7GT'!$L$6:$L$2989,$B$33)+SUMIFS('1CN8DD'!$K$6:$K$2989,'1CN8DD'!$J$6:$J$2989,"&gt;="&amp;AG7,'1CN8DD'!$J$6:$J$2989,"&lt;="&amp;EOMONTH(AG7,0),'1CN8DD'!$L$6:$L$2989,$B$33)+SUMIFS('1UT9BR'!$K$6:$K$2990,'1UT9BR'!$J$6:$J$2990,"&gt;="&amp;AG7,'1UT9BR'!$J$6:$J$2990,"&lt;="&amp;EOMONTH(AG7,0),'1UT9BR'!$L$6:$L$2990,$B$33)+SUMIFS('1MK4UR'!$K$6:$K$2990,'1MK4UR'!$J$6:$J$2990,"&gt;="&amp;AG7,'1MK4UR'!$J$6:$J$2990,"&lt;="&amp;EOMONTH(AG7,0),'1MK4UR'!$L$6:$L$2990,$B$33)+SUMIFS(#REF!,#REF!,"&gt;="&amp;AG7,#REF!,"&lt;="&amp;EOMONTH(AG7,0),#REF!,$B$33)+SUMIFS('1JI2UE'!$K$6:$K$2989,'1JI2UE'!$J$6:$J$2989,"&gt;="&amp;AG7,'1JI2UE'!$J$6:$J$2989,"&lt;="&amp;EOMONTH(AG7,0),'1JI2UE'!$L$6:$L$2989,$B$33)+SUMIFS(#REF!,#REF!,"&gt;="&amp;AG7,#REF!,"&lt;="&amp;EOMONTH(AG7,0),#REF!,$B$33)+SUMIFS('1SI9BW'!$K$6:$K$2989,'1SI9BW'!$J$6:$J$2989,"&gt;="&amp;AG7,'1SI9BW'!$J$6:$J$2989,"&lt;="&amp;EOMONTH(AG7,0),'1SI9BW'!$L$6:$L$2989,$B$33)+SUMIFS(Suzuki!$K$6:$K$2989,Suzuki!$J$6:$J$2989,"&gt;="&amp;AG7,Suzuki!$J$6:$J$2989,"&lt;="&amp;EOMONTH(AG7,0),Suzuki!$L$6:$L$2989,$B$33)+SUMIFS('1SK3DD'!$K$6:$K$2989,'1SK3DD'!$J$6:$J$2989,"&gt;="&amp;AG7,'1SK3DD'!$J$6:$J$2989,"&lt;="&amp;EOMONTH(AG7,0),'1SK3DD'!$L$6:$L$2989,$B$33)+SUMIFS('1SX5TQ'!$K$6:$K$2989,'1SX5TQ'!$J$6:$J$2989,"&gt;="&amp;AG7,'1SX5TQ'!$J$6:$J$2989,"&lt;="&amp;EOMONTH(AG7,0),'1SX5TQ'!$L$6:$L$2989,$B$33)+SUMIFS('BMM465'!$K$6:$K$2989,'BMM465'!$J$6:$J$2989,"&gt;="&amp;AG7,'BMM465'!$J$6:$J$2989,"&lt;="&amp;EOMONTH(AG7,0),'BMM465'!$L$6:$L$2989,$B$33)+SUMIFS('1CF1ZO'!$K$6:$K$2989,'1CF1ZO'!$J$6:$J$2989,"&gt;="&amp;AG7,'1CF1ZO'!$J$6:$J$2989,"&lt;="&amp;EOMONTH(AG7,0),'1CF1ZO'!$L$6:$L$2989,$B$33)+SUMIFS('1UK1BK'!$K$6:$K$2989,'1UK1BK'!$J$6:$J$2989,"&gt;="&amp;AG7,'1UK1BK'!$J$6:$J$2989,"&lt;="&amp;EOMONTH(AG7,0),'1UK1BK'!$L$6:$L$2989,$B$33)</f>
        <v>#REF!</v>
      </c>
      <c r="AH33" s="110" t="e">
        <f>SUMIFS('CEI565'!$K$6:$K$2990,'CEI565'!$J$6:$J$2990,"&gt;="&amp;AH7,'CEI565'!$J$6:$J$2990,"&lt;="&amp;EOMONTH(AH7,0),'CEI565'!$L$6:$L$2990,$B$33)+SUMIFS('1SM3VL'!$K$6:$K$2990,'1SM3VL'!$J$6:$J$2990,"&gt;="&amp;AH7,'1SM3VL'!$J$6:$J$2990,"&lt;="&amp;EOMONTH(AH7,0),'1SM3VL'!$L$6:$L$2990,$B$33)+SUMIFS('1QF4SM'!$K$6:$K$2989,'1QF4SM'!$J$6:$J$2989,"&gt;="&amp;AH7,'1QF4SM'!$J$6:$J$2989,"&lt;="&amp;EOMONTH(AH7,0),'1QF4SM'!$L$6:$L$2989,$B$33)+SUMIFS('1UV5KI'!$K$6:$K$2989,'1UV5KI'!$J$6:$J$2989,"&gt;="&amp;AH7,'1UV5KI'!$J$6:$J$2989,"&lt;="&amp;EOMONTH(AH7,0),'1UV5KI'!$L$6:$L$2989,$B$33)+SUMIFS(#REF!,#REF!,"&gt;="&amp;AH7,#REF!,"&lt;="&amp;EOMONTH(AH7,0),#REF!,$B$33)+SUMIFS('1UL9RY'!$K$6:$K$2990,'1UL9RY'!$J$6:$J$2990,"&gt;="&amp;AH7,'1UL9RY'!$J$6:$J$2990,"&lt;="&amp;EOMONTH(AH7,0),'1UL9RY'!$L$6:$L$2990,$B$33)+SUMIFS('1OZ7GT'!$K$6:$K$2989,'1OZ7GT'!$J$6:$J$2989,"&gt;="&amp;AH7,'1OZ7GT'!$J$6:$J$2989,"&lt;="&amp;EOMONTH(AH7,0),'1OZ7GT'!$L$6:$L$2989,$B$33)+SUMIFS('1CN8DD'!$K$6:$K$2989,'1CN8DD'!$J$6:$J$2989,"&gt;="&amp;AH7,'1CN8DD'!$J$6:$J$2989,"&lt;="&amp;EOMONTH(AH7,0),'1CN8DD'!$L$6:$L$2989,$B$33)+SUMIFS('1UT9BR'!$K$6:$K$2990,'1UT9BR'!$J$6:$J$2990,"&gt;="&amp;AH7,'1UT9BR'!$J$6:$J$2990,"&lt;="&amp;EOMONTH(AH7,0),'1UT9BR'!$L$6:$L$2990,$B$33)+SUMIFS('1MK4UR'!$K$6:$K$2990,'1MK4UR'!$J$6:$J$2990,"&gt;="&amp;AH7,'1MK4UR'!$J$6:$J$2990,"&lt;="&amp;EOMONTH(AH7,0),'1MK4UR'!$L$6:$L$2990,$B$33)+SUMIFS(#REF!,#REF!,"&gt;="&amp;AH7,#REF!,"&lt;="&amp;EOMONTH(AH7,0),#REF!,$B$33)+SUMIFS('1JI2UE'!$K$6:$K$2989,'1JI2UE'!$J$6:$J$2989,"&gt;="&amp;AH7,'1JI2UE'!$J$6:$J$2989,"&lt;="&amp;EOMONTH(AH7,0),'1JI2UE'!$L$6:$L$2989,$B$33)+SUMIFS(#REF!,#REF!,"&gt;="&amp;AH7,#REF!,"&lt;="&amp;EOMONTH(AH7,0),#REF!,$B$33)+SUMIFS('1SI9BW'!$K$6:$K$2989,'1SI9BW'!$J$6:$J$2989,"&gt;="&amp;AH7,'1SI9BW'!$J$6:$J$2989,"&lt;="&amp;EOMONTH(AH7,0),'1SI9BW'!$L$6:$L$2989,$B$33)+SUMIFS(Suzuki!$K$6:$K$2989,Suzuki!$J$6:$J$2989,"&gt;="&amp;AH7,Suzuki!$J$6:$J$2989,"&lt;="&amp;EOMONTH(AH7,0),Suzuki!$L$6:$L$2989,$B$33)+SUMIFS('1SK3DD'!$K$6:$K$2989,'1SK3DD'!$J$6:$J$2989,"&gt;="&amp;AH7,'1SK3DD'!$J$6:$J$2989,"&lt;="&amp;EOMONTH(AH7,0),'1SK3DD'!$L$6:$L$2989,$B$33)+SUMIFS('1SX5TQ'!$K$6:$K$2989,'1SX5TQ'!$J$6:$J$2989,"&gt;="&amp;AH7,'1SX5TQ'!$J$6:$J$2989,"&lt;="&amp;EOMONTH(AH7,0),'1SX5TQ'!$L$6:$L$2989,$B$33)+SUMIFS('BMM465'!$K$6:$K$2989,'BMM465'!$J$6:$J$2989,"&gt;="&amp;AH7,'BMM465'!$J$6:$J$2989,"&lt;="&amp;EOMONTH(AH7,0),'BMM465'!$L$6:$L$2989,$B$33)+SUMIFS('1CF1ZO'!$K$6:$K$2989,'1CF1ZO'!$J$6:$J$2989,"&gt;="&amp;AH7,'1CF1ZO'!$J$6:$J$2989,"&lt;="&amp;EOMONTH(AH7,0),'1CF1ZO'!$L$6:$L$2989,$B$33)+SUMIFS('1UK1BK'!$K$6:$K$2989,'1UK1BK'!$J$6:$J$2989,"&gt;="&amp;AH7,'1UK1BK'!$J$6:$J$2989,"&lt;="&amp;EOMONTH(AH7,0),'1UK1BK'!$L$6:$L$2989,$B$33)</f>
        <v>#REF!</v>
      </c>
      <c r="AI33" s="110" t="e">
        <f>SUMIFS('CEI565'!$K$6:$K$2990,'CEI565'!$J$6:$J$2990,"&gt;="&amp;AI7,'CEI565'!$J$6:$J$2990,"&lt;="&amp;EOMONTH(AI7,0),'CEI565'!$L$6:$L$2990,$B$33)+SUMIFS('1SM3VL'!$K$6:$K$2990,'1SM3VL'!$J$6:$J$2990,"&gt;="&amp;AI7,'1SM3VL'!$J$6:$J$2990,"&lt;="&amp;EOMONTH(AI7,0),'1SM3VL'!$L$6:$L$2990,$B$33)+SUMIFS('1QF4SM'!$K$6:$K$2989,'1QF4SM'!$J$6:$J$2989,"&gt;="&amp;AI7,'1QF4SM'!$J$6:$J$2989,"&lt;="&amp;EOMONTH(AI7,0),'1QF4SM'!$L$6:$L$2989,$B$33)+SUMIFS('1UV5KI'!$K$6:$K$2989,'1UV5KI'!$J$6:$J$2989,"&gt;="&amp;AI7,'1UV5KI'!$J$6:$J$2989,"&lt;="&amp;EOMONTH(AI7,0),'1UV5KI'!$L$6:$L$2989,$B$33)+SUMIFS(#REF!,#REF!,"&gt;="&amp;AI7,#REF!,"&lt;="&amp;EOMONTH(AI7,0),#REF!,$B$33)+SUMIFS('1UL9RY'!$K$6:$K$2990,'1UL9RY'!$J$6:$J$2990,"&gt;="&amp;AI7,'1UL9RY'!$J$6:$J$2990,"&lt;="&amp;EOMONTH(AI7,0),'1UL9RY'!$L$6:$L$2990,$B$33)+SUMIFS('1OZ7GT'!$K$6:$K$2989,'1OZ7GT'!$J$6:$J$2989,"&gt;="&amp;AI7,'1OZ7GT'!$J$6:$J$2989,"&lt;="&amp;EOMONTH(AI7,0),'1OZ7GT'!$L$6:$L$2989,$B$33)+SUMIFS('1CN8DD'!$K$6:$K$2989,'1CN8DD'!$J$6:$J$2989,"&gt;="&amp;AI7,'1CN8DD'!$J$6:$J$2989,"&lt;="&amp;EOMONTH(AI7,0),'1CN8DD'!$L$6:$L$2989,$B$33)+SUMIFS('1UT9BR'!$K$6:$K$2990,'1UT9BR'!$J$6:$J$2990,"&gt;="&amp;AI7,'1UT9BR'!$J$6:$J$2990,"&lt;="&amp;EOMONTH(AI7,0),'1UT9BR'!$L$6:$L$2990,$B$33)+SUMIFS('1MK4UR'!$K$6:$K$2990,'1MK4UR'!$J$6:$J$2990,"&gt;="&amp;AI7,'1MK4UR'!$J$6:$J$2990,"&lt;="&amp;EOMONTH(AI7,0),'1MK4UR'!$L$6:$L$2990,$B$33)+SUMIFS(#REF!,#REF!,"&gt;="&amp;AI7,#REF!,"&lt;="&amp;EOMONTH(AI7,0),#REF!,$B$33)+SUMIFS('1JI2UE'!$K$6:$K$2989,'1JI2UE'!$J$6:$J$2989,"&gt;="&amp;AI7,'1JI2UE'!$J$6:$J$2989,"&lt;="&amp;EOMONTH(AI7,0),'1JI2UE'!$L$6:$L$2989,$B$33)+SUMIFS(#REF!,#REF!,"&gt;="&amp;AI7,#REF!,"&lt;="&amp;EOMONTH(AI7,0),#REF!,$B$33)+SUMIFS('1SI9BW'!$K$6:$K$2989,'1SI9BW'!$J$6:$J$2989,"&gt;="&amp;AI7,'1SI9BW'!$J$6:$J$2989,"&lt;="&amp;EOMONTH(AI7,0),'1SI9BW'!$L$6:$L$2989,$B$33)+SUMIFS(Suzuki!$K$6:$K$2989,Suzuki!$J$6:$J$2989,"&gt;="&amp;AI7,Suzuki!$J$6:$J$2989,"&lt;="&amp;EOMONTH(AI7,0),Suzuki!$L$6:$L$2989,$B$33)+SUMIFS('1SK3DD'!$K$6:$K$2989,'1SK3DD'!$J$6:$J$2989,"&gt;="&amp;AI7,'1SK3DD'!$J$6:$J$2989,"&lt;="&amp;EOMONTH(AI7,0),'1SK3DD'!$L$6:$L$2989,$B$33)+SUMIFS('1SX5TQ'!$K$6:$K$2989,'1SX5TQ'!$J$6:$J$2989,"&gt;="&amp;AI7,'1SX5TQ'!$J$6:$J$2989,"&lt;="&amp;EOMONTH(AI7,0),'1SX5TQ'!$L$6:$L$2989,$B$33)+SUMIFS('BMM465'!$K$6:$K$2989,'BMM465'!$J$6:$J$2989,"&gt;="&amp;AI7,'BMM465'!$J$6:$J$2989,"&lt;="&amp;EOMONTH(AI7,0),'BMM465'!$L$6:$L$2989,$B$33)+SUMIFS('1CF1ZO'!$K$6:$K$2989,'1CF1ZO'!$J$6:$J$2989,"&gt;="&amp;AI7,'1CF1ZO'!$J$6:$J$2989,"&lt;="&amp;EOMONTH(AI7,0),'1CF1ZO'!$L$6:$L$2989,$B$33)+SUMIFS('1UK1BK'!$K$6:$K$2989,'1UK1BK'!$J$6:$J$2989,"&gt;="&amp;AI7,'1UK1BK'!$J$6:$J$2989,"&lt;="&amp;EOMONTH(AI7,0),'1UK1BK'!$L$6:$L$2989,$B$33)</f>
        <v>#REF!</v>
      </c>
      <c r="AJ33" s="110" t="e">
        <f>SUMIFS('CEI565'!$K$6:$K$2990,'CEI565'!$J$6:$J$2990,"&gt;="&amp;AJ7,'CEI565'!$J$6:$J$2990,"&lt;="&amp;EOMONTH(AJ7,0),'CEI565'!$L$6:$L$2990,$B$33)+SUMIFS('1SM3VL'!$K$6:$K$2990,'1SM3VL'!$J$6:$J$2990,"&gt;="&amp;AJ7,'1SM3VL'!$J$6:$J$2990,"&lt;="&amp;EOMONTH(AJ7,0),'1SM3VL'!$L$6:$L$2990,$B$33)+SUMIFS('1QF4SM'!$K$6:$K$2989,'1QF4SM'!$J$6:$J$2989,"&gt;="&amp;AJ7,'1QF4SM'!$J$6:$J$2989,"&lt;="&amp;EOMONTH(AJ7,0),'1QF4SM'!$L$6:$L$2989,$B$33)+SUMIFS('1UV5KI'!$K$6:$K$2989,'1UV5KI'!$J$6:$J$2989,"&gt;="&amp;AJ7,'1UV5KI'!$J$6:$J$2989,"&lt;="&amp;EOMONTH(AJ7,0),'1UV5KI'!$L$6:$L$2989,$B$33)+SUMIFS(#REF!,#REF!,"&gt;="&amp;AJ7,#REF!,"&lt;="&amp;EOMONTH(AJ7,0),#REF!,$B$33)+SUMIFS('1UL9RY'!$K$6:$K$2990,'1UL9RY'!$J$6:$J$2990,"&gt;="&amp;AJ7,'1UL9RY'!$J$6:$J$2990,"&lt;="&amp;EOMONTH(AJ7,0),'1UL9RY'!$L$6:$L$2990,$B$33)+SUMIFS('1OZ7GT'!$K$6:$K$2989,'1OZ7GT'!$J$6:$J$2989,"&gt;="&amp;AJ7,'1OZ7GT'!$J$6:$J$2989,"&lt;="&amp;EOMONTH(AJ7,0),'1OZ7GT'!$L$6:$L$2989,$B$33)+SUMIFS('1CN8DD'!$K$6:$K$2989,'1CN8DD'!$J$6:$J$2989,"&gt;="&amp;AJ7,'1CN8DD'!$J$6:$J$2989,"&lt;="&amp;EOMONTH(AJ7,0),'1CN8DD'!$L$6:$L$2989,$B$33)+SUMIFS('1UT9BR'!$K$6:$K$2990,'1UT9BR'!$J$6:$J$2990,"&gt;="&amp;AJ7,'1UT9BR'!$J$6:$J$2990,"&lt;="&amp;EOMONTH(AJ7,0),'1UT9BR'!$L$6:$L$2990,$B$33)+SUMIFS('1MK4UR'!$K$6:$K$2990,'1MK4UR'!$J$6:$J$2990,"&gt;="&amp;AJ7,'1MK4UR'!$J$6:$J$2990,"&lt;="&amp;EOMONTH(AJ7,0),'1MK4UR'!$L$6:$L$2990,$B$33)+SUMIFS(#REF!,#REF!,"&gt;="&amp;AJ7,#REF!,"&lt;="&amp;EOMONTH(AJ7,0),#REF!,$B$33)+SUMIFS('1JI2UE'!$K$6:$K$2989,'1JI2UE'!$J$6:$J$2989,"&gt;="&amp;AJ7,'1JI2UE'!$J$6:$J$2989,"&lt;="&amp;EOMONTH(AJ7,0),'1JI2UE'!$L$6:$L$2989,$B$33)+SUMIFS(#REF!,#REF!,"&gt;="&amp;AJ7,#REF!,"&lt;="&amp;EOMONTH(AJ7,0),#REF!,$B$33)+SUMIFS('1SI9BW'!$K$6:$K$2989,'1SI9BW'!$J$6:$J$2989,"&gt;="&amp;AJ7,'1SI9BW'!$J$6:$J$2989,"&lt;="&amp;EOMONTH(AJ7,0),'1SI9BW'!$L$6:$L$2989,$B$33)+SUMIFS(Suzuki!$K$6:$K$2989,Suzuki!$J$6:$J$2989,"&gt;="&amp;AJ7,Suzuki!$J$6:$J$2989,"&lt;="&amp;EOMONTH(AJ7,0),Suzuki!$L$6:$L$2989,$B$33)+SUMIFS('1SK3DD'!$K$6:$K$2989,'1SK3DD'!$J$6:$J$2989,"&gt;="&amp;AJ7,'1SK3DD'!$J$6:$J$2989,"&lt;="&amp;EOMONTH(AJ7,0),'1SK3DD'!$L$6:$L$2989,$B$33)+SUMIFS('1SX5TQ'!$K$6:$K$2989,'1SX5TQ'!$J$6:$J$2989,"&gt;="&amp;AJ7,'1SX5TQ'!$J$6:$J$2989,"&lt;="&amp;EOMONTH(AJ7,0),'1SX5TQ'!$L$6:$L$2989,$B$33)+SUMIFS('BMM465'!$K$6:$K$2989,'BMM465'!$J$6:$J$2989,"&gt;="&amp;AJ7,'BMM465'!$J$6:$J$2989,"&lt;="&amp;EOMONTH(AJ7,0),'BMM465'!$L$6:$L$2989,$B$33)+SUMIFS('1CF1ZO'!$K$6:$K$2989,'1CF1ZO'!$J$6:$J$2989,"&gt;="&amp;AJ7,'1CF1ZO'!$J$6:$J$2989,"&lt;="&amp;EOMONTH(AJ7,0),'1CF1ZO'!$L$6:$L$2989,$B$33)+SUMIFS('1UK1BK'!$K$6:$K$2989,'1UK1BK'!$J$6:$J$2989,"&gt;="&amp;AJ7,'1UK1BK'!$J$6:$J$2989,"&lt;="&amp;EOMONTH(AJ7,0),'1UK1BK'!$L$6:$L$2989,$B$33)</f>
        <v>#REF!</v>
      </c>
      <c r="AK33" s="110" t="e">
        <f>SUMIFS('CEI565'!$K$6:$K$2990,'CEI565'!$J$6:$J$2990,"&gt;="&amp;AK7,'CEI565'!$J$6:$J$2990,"&lt;="&amp;EOMONTH(AK7,0),'CEI565'!$L$6:$L$2990,$B$33)+SUMIFS('1SM3VL'!$K$6:$K$2990,'1SM3VL'!$J$6:$J$2990,"&gt;="&amp;AK7,'1SM3VL'!$J$6:$J$2990,"&lt;="&amp;EOMONTH(AK7,0),'1SM3VL'!$L$6:$L$2990,$B$33)+SUMIFS('1QF4SM'!$K$6:$K$2989,'1QF4SM'!$J$6:$J$2989,"&gt;="&amp;AK7,'1QF4SM'!$J$6:$J$2989,"&lt;="&amp;EOMONTH(AK7,0),'1QF4SM'!$L$6:$L$2989,$B$33)+SUMIFS('1UV5KI'!$K$6:$K$2989,'1UV5KI'!$J$6:$J$2989,"&gt;="&amp;AK7,'1UV5KI'!$J$6:$J$2989,"&lt;="&amp;EOMONTH(AK7,0),'1UV5KI'!$L$6:$L$2989,$B$33)+SUMIFS(#REF!,#REF!,"&gt;="&amp;AK7,#REF!,"&lt;="&amp;EOMONTH(AK7,0),#REF!,$B$33)+SUMIFS('1UL9RY'!$K$6:$K$2990,'1UL9RY'!$J$6:$J$2990,"&gt;="&amp;AK7,'1UL9RY'!$J$6:$J$2990,"&lt;="&amp;EOMONTH(AK7,0),'1UL9RY'!$L$6:$L$2990,$B$33)+SUMIFS('1OZ7GT'!$K$6:$K$2989,'1OZ7GT'!$J$6:$J$2989,"&gt;="&amp;AK7,'1OZ7GT'!$J$6:$J$2989,"&lt;="&amp;EOMONTH(AK7,0),'1OZ7GT'!$L$6:$L$2989,$B$33)+SUMIFS('1CN8DD'!$K$6:$K$2989,'1CN8DD'!$J$6:$J$2989,"&gt;="&amp;AK7,'1CN8DD'!$J$6:$J$2989,"&lt;="&amp;EOMONTH(AK7,0),'1CN8DD'!$L$6:$L$2989,$B$33)+SUMIFS('1UT9BR'!$K$6:$K$2990,'1UT9BR'!$J$6:$J$2990,"&gt;="&amp;AK7,'1UT9BR'!$J$6:$J$2990,"&lt;="&amp;EOMONTH(AK7,0),'1UT9BR'!$L$6:$L$2990,$B$33)+SUMIFS('1MK4UR'!$K$6:$K$2990,'1MK4UR'!$J$6:$J$2990,"&gt;="&amp;AK7,'1MK4UR'!$J$6:$J$2990,"&lt;="&amp;EOMONTH(AK7,0),'1MK4UR'!$L$6:$L$2990,$B$33)+SUMIFS(#REF!,#REF!,"&gt;="&amp;AK7,#REF!,"&lt;="&amp;EOMONTH(AK7,0),#REF!,$B$33)+SUMIFS('1JI2UE'!$K$6:$K$2989,'1JI2UE'!$J$6:$J$2989,"&gt;="&amp;AK7,'1JI2UE'!$J$6:$J$2989,"&lt;="&amp;EOMONTH(AK7,0),'1JI2UE'!$L$6:$L$2989,$B$33)+SUMIFS(#REF!,#REF!,"&gt;="&amp;AK7,#REF!,"&lt;="&amp;EOMONTH(AK7,0),#REF!,$B$33)+SUMIFS('1SI9BW'!$K$6:$K$2989,'1SI9BW'!$J$6:$J$2989,"&gt;="&amp;AK7,'1SI9BW'!$J$6:$J$2989,"&lt;="&amp;EOMONTH(AK7,0),'1SI9BW'!$L$6:$L$2989,$B$33)+SUMIFS(Suzuki!$K$6:$K$2989,Suzuki!$J$6:$J$2989,"&gt;="&amp;AK7,Suzuki!$J$6:$J$2989,"&lt;="&amp;EOMONTH(AK7,0),Suzuki!$L$6:$L$2989,$B$33)+SUMIFS('1SK3DD'!$K$6:$K$2989,'1SK3DD'!$J$6:$J$2989,"&gt;="&amp;AK7,'1SK3DD'!$J$6:$J$2989,"&lt;="&amp;EOMONTH(AK7,0),'1SK3DD'!$L$6:$L$2989,$B$33)+SUMIFS('1SX5TQ'!$K$6:$K$2989,'1SX5TQ'!$J$6:$J$2989,"&gt;="&amp;AK7,'1SX5TQ'!$J$6:$J$2989,"&lt;="&amp;EOMONTH(AK7,0),'1SX5TQ'!$L$6:$L$2989,$B$33)+SUMIFS('BMM465'!$K$6:$K$2989,'BMM465'!$J$6:$J$2989,"&gt;="&amp;AK7,'BMM465'!$J$6:$J$2989,"&lt;="&amp;EOMONTH(AK7,0),'BMM465'!$L$6:$L$2989,$B$33)+SUMIFS('1CF1ZO'!$K$6:$K$2989,'1CF1ZO'!$J$6:$J$2989,"&gt;="&amp;AK7,'1CF1ZO'!$J$6:$J$2989,"&lt;="&amp;EOMONTH(AK7,0),'1CF1ZO'!$L$6:$L$2989,$B$33)+SUMIFS('1UK1BK'!$K$6:$K$2989,'1UK1BK'!$J$6:$J$2989,"&gt;="&amp;AK7,'1UK1BK'!$J$6:$J$2989,"&lt;="&amp;EOMONTH(AK7,0),'1UK1BK'!$L$6:$L$2989,$B$33)</f>
        <v>#REF!</v>
      </c>
      <c r="AL33" s="110" t="e">
        <f>SUMIFS('CEI565'!$K$6:$K$2990,'CEI565'!$J$6:$J$2990,"&gt;="&amp;AL7,'CEI565'!$J$6:$J$2990,"&lt;="&amp;EOMONTH(AL7,0),'CEI565'!$L$6:$L$2990,$B$33)+SUMIFS('1SM3VL'!$K$6:$K$2990,'1SM3VL'!$J$6:$J$2990,"&gt;="&amp;AL7,'1SM3VL'!$J$6:$J$2990,"&lt;="&amp;EOMONTH(AL7,0),'1SM3VL'!$L$6:$L$2990,$B$33)+SUMIFS('1QF4SM'!$K$6:$K$2989,'1QF4SM'!$J$6:$J$2989,"&gt;="&amp;AL7,'1QF4SM'!$J$6:$J$2989,"&lt;="&amp;EOMONTH(AL7,0),'1QF4SM'!$L$6:$L$2989,$B$33)+SUMIFS('1UV5KI'!$K$6:$K$2989,'1UV5KI'!$J$6:$J$2989,"&gt;="&amp;AL7,'1UV5KI'!$J$6:$J$2989,"&lt;="&amp;EOMONTH(AL7,0),'1UV5KI'!$L$6:$L$2989,$B$33)+SUMIFS(#REF!,#REF!,"&gt;="&amp;AL7,#REF!,"&lt;="&amp;EOMONTH(AL7,0),#REF!,$B$33)+SUMIFS('1UL9RY'!$K$6:$K$2990,'1UL9RY'!$J$6:$J$2990,"&gt;="&amp;AL7,'1UL9RY'!$J$6:$J$2990,"&lt;="&amp;EOMONTH(AL7,0),'1UL9RY'!$L$6:$L$2990,$B$33)+SUMIFS('1OZ7GT'!$K$6:$K$2989,'1OZ7GT'!$J$6:$J$2989,"&gt;="&amp;AL7,'1OZ7GT'!$J$6:$J$2989,"&lt;="&amp;EOMONTH(AL7,0),'1OZ7GT'!$L$6:$L$2989,$B$33)+SUMIFS('1CN8DD'!$K$6:$K$2989,'1CN8DD'!$J$6:$J$2989,"&gt;="&amp;AL7,'1CN8DD'!$J$6:$J$2989,"&lt;="&amp;EOMONTH(AL7,0),'1CN8DD'!$L$6:$L$2989,$B$33)+SUMIFS('1UT9BR'!$K$6:$K$2990,'1UT9BR'!$J$6:$J$2990,"&gt;="&amp;AL7,'1UT9BR'!$J$6:$J$2990,"&lt;="&amp;EOMONTH(AL7,0),'1UT9BR'!$L$6:$L$2990,$B$33)+SUMIFS('1MK4UR'!$K$6:$K$2990,'1MK4UR'!$J$6:$J$2990,"&gt;="&amp;AL7,'1MK4UR'!$J$6:$J$2990,"&lt;="&amp;EOMONTH(AL7,0),'1MK4UR'!$L$6:$L$2990,$B$33)+SUMIFS(#REF!,#REF!,"&gt;="&amp;AL7,#REF!,"&lt;="&amp;EOMONTH(AL7,0),#REF!,$B$33)+SUMIFS('1JI2UE'!$K$6:$K$2989,'1JI2UE'!$J$6:$J$2989,"&gt;="&amp;AL7,'1JI2UE'!$J$6:$J$2989,"&lt;="&amp;EOMONTH(AL7,0),'1JI2UE'!$L$6:$L$2989,$B$33)+SUMIFS(#REF!,#REF!,"&gt;="&amp;AL7,#REF!,"&lt;="&amp;EOMONTH(AL7,0),#REF!,$B$33)+SUMIFS('1SI9BW'!$K$6:$K$2989,'1SI9BW'!$J$6:$J$2989,"&gt;="&amp;AL7,'1SI9BW'!$J$6:$J$2989,"&lt;="&amp;EOMONTH(AL7,0),'1SI9BW'!$L$6:$L$2989,$B$33)+SUMIFS(Suzuki!$K$6:$K$2989,Suzuki!$J$6:$J$2989,"&gt;="&amp;AL7,Suzuki!$J$6:$J$2989,"&lt;="&amp;EOMONTH(AL7,0),Suzuki!$L$6:$L$2989,$B$33)+SUMIFS('1SK3DD'!$K$6:$K$2989,'1SK3DD'!$J$6:$J$2989,"&gt;="&amp;AL7,'1SK3DD'!$J$6:$J$2989,"&lt;="&amp;EOMONTH(AL7,0),'1SK3DD'!$L$6:$L$2989,$B$33)+SUMIFS('1SX5TQ'!$K$6:$K$2989,'1SX5TQ'!$J$6:$J$2989,"&gt;="&amp;AL7,'1SX5TQ'!$J$6:$J$2989,"&lt;="&amp;EOMONTH(AL7,0),'1SX5TQ'!$L$6:$L$2989,$B$33)+SUMIFS('BMM465'!$K$6:$K$2989,'BMM465'!$J$6:$J$2989,"&gt;="&amp;AL7,'BMM465'!$J$6:$J$2989,"&lt;="&amp;EOMONTH(AL7,0),'BMM465'!$L$6:$L$2989,$B$33)+SUMIFS('1CF1ZO'!$K$6:$K$2989,'1CF1ZO'!$J$6:$J$2989,"&gt;="&amp;AL7,'1CF1ZO'!$J$6:$J$2989,"&lt;="&amp;EOMONTH(AL7,0),'1CF1ZO'!$L$6:$L$2989,$B$33)+SUMIFS('1UK1BK'!$K$6:$K$2989,'1UK1BK'!$J$6:$J$2989,"&gt;="&amp;AL7,'1UK1BK'!$J$6:$J$2989,"&lt;="&amp;EOMONTH(AL7,0),'1UK1BK'!$L$6:$L$2989,$B$33)</f>
        <v>#REF!</v>
      </c>
      <c r="AM33" s="110" t="e">
        <f>SUMIFS('CEI565'!$K$6:$K$2990,'CEI565'!$J$6:$J$2990,"&gt;="&amp;AM7,'CEI565'!$J$6:$J$2990,"&lt;="&amp;EOMONTH(AM7,0),'CEI565'!$L$6:$L$2990,$B$33)+SUMIFS('1SM3VL'!$K$6:$K$2990,'1SM3VL'!$J$6:$J$2990,"&gt;="&amp;AM7,'1SM3VL'!$J$6:$J$2990,"&lt;="&amp;EOMONTH(AM7,0),'1SM3VL'!$L$6:$L$2990,$B$33)+SUMIFS('1QF4SM'!$K$6:$K$2989,'1QF4SM'!$J$6:$J$2989,"&gt;="&amp;AM7,'1QF4SM'!$J$6:$J$2989,"&lt;="&amp;EOMONTH(AM7,0),'1QF4SM'!$L$6:$L$2989,$B$33)+SUMIFS('1UV5KI'!$K$6:$K$2989,'1UV5KI'!$J$6:$J$2989,"&gt;="&amp;AM7,'1UV5KI'!$J$6:$J$2989,"&lt;="&amp;EOMONTH(AM7,0),'1UV5KI'!$L$6:$L$2989,$B$33)+SUMIFS(#REF!,#REF!,"&gt;="&amp;AM7,#REF!,"&lt;="&amp;EOMONTH(AM7,0),#REF!,$B$33)+SUMIFS('1UL9RY'!$K$6:$K$2990,'1UL9RY'!$J$6:$J$2990,"&gt;="&amp;AM7,'1UL9RY'!$J$6:$J$2990,"&lt;="&amp;EOMONTH(AM7,0),'1UL9RY'!$L$6:$L$2990,$B$33)+SUMIFS('1OZ7GT'!$K$6:$K$2989,'1OZ7GT'!$J$6:$J$2989,"&gt;="&amp;AM7,'1OZ7GT'!$J$6:$J$2989,"&lt;="&amp;EOMONTH(AM7,0),'1OZ7GT'!$L$6:$L$2989,$B$33)+SUMIFS('1CN8DD'!$K$6:$K$2989,'1CN8DD'!$J$6:$J$2989,"&gt;="&amp;AM7,'1CN8DD'!$J$6:$J$2989,"&lt;="&amp;EOMONTH(AM7,0),'1CN8DD'!$L$6:$L$2989,$B$33)+SUMIFS('1UT9BR'!$K$6:$K$2990,'1UT9BR'!$J$6:$J$2990,"&gt;="&amp;AM7,'1UT9BR'!$J$6:$J$2990,"&lt;="&amp;EOMONTH(AM7,0),'1UT9BR'!$L$6:$L$2990,$B$33)+SUMIFS('1MK4UR'!$K$6:$K$2990,'1MK4UR'!$J$6:$J$2990,"&gt;="&amp;AM7,'1MK4UR'!$J$6:$J$2990,"&lt;="&amp;EOMONTH(AM7,0),'1MK4UR'!$L$6:$L$2990,$B$33)+SUMIFS(#REF!,#REF!,"&gt;="&amp;AM7,#REF!,"&lt;="&amp;EOMONTH(AM7,0),#REF!,$B$33)+SUMIFS('1JI2UE'!$K$6:$K$2989,'1JI2UE'!$J$6:$J$2989,"&gt;="&amp;AM7,'1JI2UE'!$J$6:$J$2989,"&lt;="&amp;EOMONTH(AM7,0),'1JI2UE'!$L$6:$L$2989,$B$33)+SUMIFS(#REF!,#REF!,"&gt;="&amp;AM7,#REF!,"&lt;="&amp;EOMONTH(AM7,0),#REF!,$B$33)+SUMIFS('1SI9BW'!$K$6:$K$2989,'1SI9BW'!$J$6:$J$2989,"&gt;="&amp;AM7,'1SI9BW'!$J$6:$J$2989,"&lt;="&amp;EOMONTH(AM7,0),'1SI9BW'!$L$6:$L$2989,$B$33)+SUMIFS(Suzuki!$K$6:$K$2989,Suzuki!$J$6:$J$2989,"&gt;="&amp;AM7,Suzuki!$J$6:$J$2989,"&lt;="&amp;EOMONTH(AM7,0),Suzuki!$L$6:$L$2989,$B$33)+SUMIFS('1SK3DD'!$K$6:$K$2989,'1SK3DD'!$J$6:$J$2989,"&gt;="&amp;AM7,'1SK3DD'!$J$6:$J$2989,"&lt;="&amp;EOMONTH(AM7,0),'1SK3DD'!$L$6:$L$2989,$B$33)+SUMIFS('1SX5TQ'!$K$6:$K$2989,'1SX5TQ'!$J$6:$J$2989,"&gt;="&amp;AM7,'1SX5TQ'!$J$6:$J$2989,"&lt;="&amp;EOMONTH(AM7,0),'1SX5TQ'!$L$6:$L$2989,$B$33)+SUMIFS('BMM465'!$K$6:$K$2989,'BMM465'!$J$6:$J$2989,"&gt;="&amp;AM7,'BMM465'!$J$6:$J$2989,"&lt;="&amp;EOMONTH(AM7,0),'BMM465'!$L$6:$L$2989,$B$33)+SUMIFS('1CF1ZO'!$K$6:$K$2989,'1CF1ZO'!$J$6:$J$2989,"&gt;="&amp;AM7,'1CF1ZO'!$J$6:$J$2989,"&lt;="&amp;EOMONTH(AM7,0),'1CF1ZO'!$L$6:$L$2989,$B$33)+SUMIFS('1UK1BK'!$K$6:$K$2989,'1UK1BK'!$J$6:$J$2989,"&gt;="&amp;AM7,'1UK1BK'!$J$6:$J$2989,"&lt;="&amp;EOMONTH(AM7,0),'1UK1BK'!$L$6:$L$2989,$B$33)</f>
        <v>#REF!</v>
      </c>
      <c r="AN33" s="110" t="e">
        <f>SUMIFS('CEI565'!$K$6:$K$2990,'CEI565'!$J$6:$J$2990,"&gt;="&amp;AN7,'CEI565'!$J$6:$J$2990,"&lt;="&amp;EOMONTH(AN7,0),'CEI565'!$L$6:$L$2990,$B$33)+SUMIFS('1SM3VL'!$K$6:$K$2990,'1SM3VL'!$J$6:$J$2990,"&gt;="&amp;AN7,'1SM3VL'!$J$6:$J$2990,"&lt;="&amp;EOMONTH(AN7,0),'1SM3VL'!$L$6:$L$2990,$B$33)+SUMIFS('1QF4SM'!$K$6:$K$2989,'1QF4SM'!$J$6:$J$2989,"&gt;="&amp;AN7,'1QF4SM'!$J$6:$J$2989,"&lt;="&amp;EOMONTH(AN7,0),'1QF4SM'!$L$6:$L$2989,$B$33)+SUMIFS('1UV5KI'!$K$6:$K$2989,'1UV5KI'!$J$6:$J$2989,"&gt;="&amp;AN7,'1UV5KI'!$J$6:$J$2989,"&lt;="&amp;EOMONTH(AN7,0),'1UV5KI'!$L$6:$L$2989,$B$33)+SUMIFS(#REF!,#REF!,"&gt;="&amp;AN7,#REF!,"&lt;="&amp;EOMONTH(AN7,0),#REF!,$B$33)+SUMIFS('1UL9RY'!$K$6:$K$2990,'1UL9RY'!$J$6:$J$2990,"&gt;="&amp;AN7,'1UL9RY'!$J$6:$J$2990,"&lt;="&amp;EOMONTH(AN7,0),'1UL9RY'!$L$6:$L$2990,$B$33)+SUMIFS('1OZ7GT'!$K$6:$K$2989,'1OZ7GT'!$J$6:$J$2989,"&gt;="&amp;AN7,'1OZ7GT'!$J$6:$J$2989,"&lt;="&amp;EOMONTH(AN7,0),'1OZ7GT'!$L$6:$L$2989,$B$33)+SUMIFS('1CN8DD'!$K$6:$K$2989,'1CN8DD'!$J$6:$J$2989,"&gt;="&amp;AN7,'1CN8DD'!$J$6:$J$2989,"&lt;="&amp;EOMONTH(AN7,0),'1CN8DD'!$L$6:$L$2989,$B$33)+SUMIFS('1UT9BR'!$K$6:$K$2990,'1UT9BR'!$J$6:$J$2990,"&gt;="&amp;AN7,'1UT9BR'!$J$6:$J$2990,"&lt;="&amp;EOMONTH(AN7,0),'1UT9BR'!$L$6:$L$2990,$B$33)+SUMIFS('1MK4UR'!$K$6:$K$2990,'1MK4UR'!$J$6:$J$2990,"&gt;="&amp;AN7,'1MK4UR'!$J$6:$J$2990,"&lt;="&amp;EOMONTH(AN7,0),'1MK4UR'!$L$6:$L$2990,$B$33)+SUMIFS(#REF!,#REF!,"&gt;="&amp;AN7,#REF!,"&lt;="&amp;EOMONTH(AN7,0),#REF!,$B$33)+SUMIFS('1JI2UE'!$K$6:$K$2989,'1JI2UE'!$J$6:$J$2989,"&gt;="&amp;AN7,'1JI2UE'!$J$6:$J$2989,"&lt;="&amp;EOMONTH(AN7,0),'1JI2UE'!$L$6:$L$2989,$B$33)+SUMIFS(#REF!,#REF!,"&gt;="&amp;AN7,#REF!,"&lt;="&amp;EOMONTH(AN7,0),#REF!,$B$33)+SUMIFS('1SI9BW'!$K$6:$K$2989,'1SI9BW'!$J$6:$J$2989,"&gt;="&amp;AN7,'1SI9BW'!$J$6:$J$2989,"&lt;="&amp;EOMONTH(AN7,0),'1SI9BW'!$L$6:$L$2989,$B$33)+SUMIFS(Suzuki!$K$6:$K$2989,Suzuki!$J$6:$J$2989,"&gt;="&amp;AN7,Suzuki!$J$6:$J$2989,"&lt;="&amp;EOMONTH(AN7,0),Suzuki!$L$6:$L$2989,$B$33)+SUMIFS('1SK3DD'!$K$6:$K$2989,'1SK3DD'!$J$6:$J$2989,"&gt;="&amp;AN7,'1SK3DD'!$J$6:$J$2989,"&lt;="&amp;EOMONTH(AN7,0),'1SK3DD'!$L$6:$L$2989,$B$33)+SUMIFS('1SX5TQ'!$K$6:$K$2989,'1SX5TQ'!$J$6:$J$2989,"&gt;="&amp;AN7,'1SX5TQ'!$J$6:$J$2989,"&lt;="&amp;EOMONTH(AN7,0),'1SX5TQ'!$L$6:$L$2989,$B$33)+SUMIFS('BMM465'!$K$6:$K$2989,'BMM465'!$J$6:$J$2989,"&gt;="&amp;AN7,'BMM465'!$J$6:$J$2989,"&lt;="&amp;EOMONTH(AN7,0),'BMM465'!$L$6:$L$2989,$B$33)+SUMIFS('1CF1ZO'!$K$6:$K$2989,'1CF1ZO'!$J$6:$J$2989,"&gt;="&amp;AN7,'1CF1ZO'!$J$6:$J$2989,"&lt;="&amp;EOMONTH(AN7,0),'1CF1ZO'!$L$6:$L$2989,$B$33)+SUMIFS('1UK1BK'!$K$6:$K$2989,'1UK1BK'!$J$6:$J$2989,"&gt;="&amp;AN7,'1UK1BK'!$J$6:$J$2989,"&lt;="&amp;EOMONTH(AN7,0),'1UK1BK'!$L$6:$L$2989,$B$33)</f>
        <v>#REF!</v>
      </c>
      <c r="AO33" s="110" t="e">
        <f>SUMIFS('CEI565'!$K$6:$K$2990,'CEI565'!$J$6:$J$2990,"&gt;="&amp;AO7,'CEI565'!$J$6:$J$2990,"&lt;="&amp;EOMONTH(AO7,0),'CEI565'!$L$6:$L$2990,$B$33)+SUMIFS('1SM3VL'!$K$6:$K$2990,'1SM3VL'!$J$6:$J$2990,"&gt;="&amp;AO7,'1SM3VL'!$J$6:$J$2990,"&lt;="&amp;EOMONTH(AO7,0),'1SM3VL'!$L$6:$L$2990,$B$33)+SUMIFS('1QF4SM'!$K$6:$K$2989,'1QF4SM'!$J$6:$J$2989,"&gt;="&amp;AO7,'1QF4SM'!$J$6:$J$2989,"&lt;="&amp;EOMONTH(AO7,0),'1QF4SM'!$L$6:$L$2989,$B$33)+SUMIFS('1UV5KI'!$K$6:$K$2989,'1UV5KI'!$J$6:$J$2989,"&gt;="&amp;AO7,'1UV5KI'!$J$6:$J$2989,"&lt;="&amp;EOMONTH(AO7,0),'1UV5KI'!$L$6:$L$2989,$B$33)+SUMIFS(#REF!,#REF!,"&gt;="&amp;AO7,#REF!,"&lt;="&amp;EOMONTH(AO7,0),#REF!,$B$33)+SUMIFS('1UL9RY'!$K$6:$K$2990,'1UL9RY'!$J$6:$J$2990,"&gt;="&amp;AO7,'1UL9RY'!$J$6:$J$2990,"&lt;="&amp;EOMONTH(AO7,0),'1UL9RY'!$L$6:$L$2990,$B$33)+SUMIFS('1OZ7GT'!$K$6:$K$2989,'1OZ7GT'!$J$6:$J$2989,"&gt;="&amp;AO7,'1OZ7GT'!$J$6:$J$2989,"&lt;="&amp;EOMONTH(AO7,0),'1OZ7GT'!$L$6:$L$2989,$B$33)+SUMIFS('1CN8DD'!$K$6:$K$2989,'1CN8DD'!$J$6:$J$2989,"&gt;="&amp;AO7,'1CN8DD'!$J$6:$J$2989,"&lt;="&amp;EOMONTH(AO7,0),'1CN8DD'!$L$6:$L$2989,$B$33)+SUMIFS('1UT9BR'!$K$6:$K$2990,'1UT9BR'!$J$6:$J$2990,"&gt;="&amp;AO7,'1UT9BR'!$J$6:$J$2990,"&lt;="&amp;EOMONTH(AO7,0),'1UT9BR'!$L$6:$L$2990,$B$33)+SUMIFS('1MK4UR'!$K$6:$K$2990,'1MK4UR'!$J$6:$J$2990,"&gt;="&amp;AO7,'1MK4UR'!$J$6:$J$2990,"&lt;="&amp;EOMONTH(AO7,0),'1MK4UR'!$L$6:$L$2990,$B$33)+SUMIFS(#REF!,#REF!,"&gt;="&amp;AO7,#REF!,"&lt;="&amp;EOMONTH(AO7,0),#REF!,$B$33)+SUMIFS('1JI2UE'!$K$6:$K$2989,'1JI2UE'!$J$6:$J$2989,"&gt;="&amp;AO7,'1JI2UE'!$J$6:$J$2989,"&lt;="&amp;EOMONTH(AO7,0),'1JI2UE'!$L$6:$L$2989,$B$33)+SUMIFS(#REF!,#REF!,"&gt;="&amp;AO7,#REF!,"&lt;="&amp;EOMONTH(AO7,0),#REF!,$B$33)+SUMIFS('1SI9BW'!$K$6:$K$2989,'1SI9BW'!$J$6:$J$2989,"&gt;="&amp;AO7,'1SI9BW'!$J$6:$J$2989,"&lt;="&amp;EOMONTH(AO7,0),'1SI9BW'!$L$6:$L$2989,$B$33)+SUMIFS(Suzuki!$K$6:$K$2989,Suzuki!$J$6:$J$2989,"&gt;="&amp;AO7,Suzuki!$J$6:$J$2989,"&lt;="&amp;EOMONTH(AO7,0),Suzuki!$L$6:$L$2989,$B$33)+SUMIFS('1SK3DD'!$K$6:$K$2989,'1SK3DD'!$J$6:$J$2989,"&gt;="&amp;AO7,'1SK3DD'!$J$6:$J$2989,"&lt;="&amp;EOMONTH(AO7,0),'1SK3DD'!$L$6:$L$2989,$B$33)+SUMIFS('1SX5TQ'!$K$6:$K$2989,'1SX5TQ'!$J$6:$J$2989,"&gt;="&amp;AO7,'1SX5TQ'!$J$6:$J$2989,"&lt;="&amp;EOMONTH(AO7,0),'1SX5TQ'!$L$6:$L$2989,$B$33)+SUMIFS('BMM465'!$K$6:$K$2989,'BMM465'!$J$6:$J$2989,"&gt;="&amp;AO7,'BMM465'!$J$6:$J$2989,"&lt;="&amp;EOMONTH(AO7,0),'BMM465'!$L$6:$L$2989,$B$33)+SUMIFS('1CF1ZO'!$K$6:$K$2989,'1CF1ZO'!$J$6:$J$2989,"&gt;="&amp;AO7,'1CF1ZO'!$J$6:$J$2989,"&lt;="&amp;EOMONTH(AO7,0),'1CF1ZO'!$L$6:$L$2989,$B$33)+SUMIFS('1UK1BK'!$K$6:$K$2989,'1UK1BK'!$J$6:$J$2989,"&gt;="&amp;AO7,'1UK1BK'!$J$6:$J$2989,"&lt;="&amp;EOMONTH(AO7,0),'1UK1BK'!$L$6:$L$2989,$B$33)</f>
        <v>#REF!</v>
      </c>
      <c r="AP33" s="110" t="e">
        <f>SUMIFS('CEI565'!$K$6:$K$2990,'CEI565'!$J$6:$J$2990,"&gt;="&amp;AP7,'CEI565'!$J$6:$J$2990,"&lt;="&amp;EOMONTH(AP7,0),'CEI565'!$L$6:$L$2990,$B$33)+SUMIFS('1SM3VL'!$K$6:$K$2990,'1SM3VL'!$J$6:$J$2990,"&gt;="&amp;AP7,'1SM3VL'!$J$6:$J$2990,"&lt;="&amp;EOMONTH(AP7,0),'1SM3VL'!$L$6:$L$2990,$B$33)+SUMIFS('1QF4SM'!$K$6:$K$2989,'1QF4SM'!$J$6:$J$2989,"&gt;="&amp;AP7,'1QF4SM'!$J$6:$J$2989,"&lt;="&amp;EOMONTH(AP7,0),'1QF4SM'!$L$6:$L$2989,$B$33)+SUMIFS('1UV5KI'!$K$6:$K$2989,'1UV5KI'!$J$6:$J$2989,"&gt;="&amp;AP7,'1UV5KI'!$J$6:$J$2989,"&lt;="&amp;EOMONTH(AP7,0),'1UV5KI'!$L$6:$L$2989,$B$33)+SUMIFS(#REF!,#REF!,"&gt;="&amp;AP7,#REF!,"&lt;="&amp;EOMONTH(AP7,0),#REF!,$B$33)+SUMIFS('1UL9RY'!$K$6:$K$2990,'1UL9RY'!$J$6:$J$2990,"&gt;="&amp;AP7,'1UL9RY'!$J$6:$J$2990,"&lt;="&amp;EOMONTH(AP7,0),'1UL9RY'!$L$6:$L$2990,$B$33)+SUMIFS('1OZ7GT'!$K$6:$K$2989,'1OZ7GT'!$J$6:$J$2989,"&gt;="&amp;AP7,'1OZ7GT'!$J$6:$J$2989,"&lt;="&amp;EOMONTH(AP7,0),'1OZ7GT'!$L$6:$L$2989,$B$33)+SUMIFS('1CN8DD'!$K$6:$K$2989,'1CN8DD'!$J$6:$J$2989,"&gt;="&amp;AP7,'1CN8DD'!$J$6:$J$2989,"&lt;="&amp;EOMONTH(AP7,0),'1CN8DD'!$L$6:$L$2989,$B$33)+SUMIFS('1UT9BR'!$K$6:$K$2990,'1UT9BR'!$J$6:$J$2990,"&gt;="&amp;AP7,'1UT9BR'!$J$6:$J$2990,"&lt;="&amp;EOMONTH(AP7,0),'1UT9BR'!$L$6:$L$2990,$B$33)+SUMIFS('1MK4UR'!$K$6:$K$2990,'1MK4UR'!$J$6:$J$2990,"&gt;="&amp;AP7,'1MK4UR'!$J$6:$J$2990,"&lt;="&amp;EOMONTH(AP7,0),'1MK4UR'!$L$6:$L$2990,$B$33)+SUMIFS(#REF!,#REF!,"&gt;="&amp;AP7,#REF!,"&lt;="&amp;EOMONTH(AP7,0),#REF!,$B$33)+SUMIFS('1JI2UE'!$K$6:$K$2989,'1JI2UE'!$J$6:$J$2989,"&gt;="&amp;AP7,'1JI2UE'!$J$6:$J$2989,"&lt;="&amp;EOMONTH(AP7,0),'1JI2UE'!$L$6:$L$2989,$B$33)+SUMIFS(#REF!,#REF!,"&gt;="&amp;AP7,#REF!,"&lt;="&amp;EOMONTH(AP7,0),#REF!,$B$33)+SUMIFS('1SI9BW'!$K$6:$K$2989,'1SI9BW'!$J$6:$J$2989,"&gt;="&amp;AP7,'1SI9BW'!$J$6:$J$2989,"&lt;="&amp;EOMONTH(AP7,0),'1SI9BW'!$L$6:$L$2989,$B$33)+SUMIFS(Suzuki!$K$6:$K$2989,Suzuki!$J$6:$J$2989,"&gt;="&amp;AP7,Suzuki!$J$6:$J$2989,"&lt;="&amp;EOMONTH(AP7,0),Suzuki!$L$6:$L$2989,$B$33)+SUMIFS('1SK3DD'!$K$6:$K$2989,'1SK3DD'!$J$6:$J$2989,"&gt;="&amp;AP7,'1SK3DD'!$J$6:$J$2989,"&lt;="&amp;EOMONTH(AP7,0),'1SK3DD'!$L$6:$L$2989,$B$33)+SUMIFS('1SX5TQ'!$K$6:$K$2989,'1SX5TQ'!$J$6:$J$2989,"&gt;="&amp;AP7,'1SX5TQ'!$J$6:$J$2989,"&lt;="&amp;EOMONTH(AP7,0),'1SX5TQ'!$L$6:$L$2989,$B$33)+SUMIFS('BMM465'!$K$6:$K$2989,'BMM465'!$J$6:$J$2989,"&gt;="&amp;AP7,'BMM465'!$J$6:$J$2989,"&lt;="&amp;EOMONTH(AP7,0),'BMM465'!$L$6:$L$2989,$B$33)+SUMIFS('1CF1ZO'!$K$6:$K$2989,'1CF1ZO'!$J$6:$J$2989,"&gt;="&amp;AP7,'1CF1ZO'!$J$6:$J$2989,"&lt;="&amp;EOMONTH(AP7,0),'1CF1ZO'!$L$6:$L$2989,$B$33)+SUMIFS('1UK1BK'!$K$6:$K$2989,'1UK1BK'!$J$6:$J$2989,"&gt;="&amp;AP7,'1UK1BK'!$J$6:$J$2989,"&lt;="&amp;EOMONTH(AP7,0),'1UK1BK'!$L$6:$L$2989,$B$33)</f>
        <v>#REF!</v>
      </c>
      <c r="AQ33" s="110" t="e">
        <f>SUMIFS('CEI565'!$K$6:$K$2990,'CEI565'!$J$6:$J$2990,"&gt;="&amp;AQ7,'CEI565'!$J$6:$J$2990,"&lt;="&amp;EOMONTH(AQ7,0),'CEI565'!$L$6:$L$2990,$B$33)+SUMIFS('1SM3VL'!$K$6:$K$2990,'1SM3VL'!$J$6:$J$2990,"&gt;="&amp;AQ7,'1SM3VL'!$J$6:$J$2990,"&lt;="&amp;EOMONTH(AQ7,0),'1SM3VL'!$L$6:$L$2990,$B$33)+SUMIFS('1QF4SM'!$K$6:$K$2989,'1QF4SM'!$J$6:$J$2989,"&gt;="&amp;AQ7,'1QF4SM'!$J$6:$J$2989,"&lt;="&amp;EOMONTH(AQ7,0),'1QF4SM'!$L$6:$L$2989,$B$33)+SUMIFS('1UV5KI'!$K$6:$K$2989,'1UV5KI'!$J$6:$J$2989,"&gt;="&amp;AQ7,'1UV5KI'!$J$6:$J$2989,"&lt;="&amp;EOMONTH(AQ7,0),'1UV5KI'!$L$6:$L$2989,$B$33)+SUMIFS(#REF!,#REF!,"&gt;="&amp;AQ7,#REF!,"&lt;="&amp;EOMONTH(AQ7,0),#REF!,$B$33)+SUMIFS('1UL9RY'!$K$6:$K$2990,'1UL9RY'!$J$6:$J$2990,"&gt;="&amp;AQ7,'1UL9RY'!$J$6:$J$2990,"&lt;="&amp;EOMONTH(AQ7,0),'1UL9RY'!$L$6:$L$2990,$B$33)+SUMIFS('1OZ7GT'!$K$6:$K$2989,'1OZ7GT'!$J$6:$J$2989,"&gt;="&amp;AQ7,'1OZ7GT'!$J$6:$J$2989,"&lt;="&amp;EOMONTH(AQ7,0),'1OZ7GT'!$L$6:$L$2989,$B$33)+SUMIFS('1CN8DD'!$K$6:$K$2989,'1CN8DD'!$J$6:$J$2989,"&gt;="&amp;AQ7,'1CN8DD'!$J$6:$J$2989,"&lt;="&amp;EOMONTH(AQ7,0),'1CN8DD'!$L$6:$L$2989,$B$33)+SUMIFS('1UT9BR'!$K$6:$K$2990,'1UT9BR'!$J$6:$J$2990,"&gt;="&amp;AQ7,'1UT9BR'!$J$6:$J$2990,"&lt;="&amp;EOMONTH(AQ7,0),'1UT9BR'!$L$6:$L$2990,$B$33)+SUMIFS('1MK4UR'!$K$6:$K$2990,'1MK4UR'!$J$6:$J$2990,"&gt;="&amp;AQ7,'1MK4UR'!$J$6:$J$2990,"&lt;="&amp;EOMONTH(AQ7,0),'1MK4UR'!$L$6:$L$2990,$B$33)+SUMIFS(#REF!,#REF!,"&gt;="&amp;AQ7,#REF!,"&lt;="&amp;EOMONTH(AQ7,0),#REF!,$B$33)+SUMIFS('1JI2UE'!$K$6:$K$2989,'1JI2UE'!$J$6:$J$2989,"&gt;="&amp;AQ7,'1JI2UE'!$J$6:$J$2989,"&lt;="&amp;EOMONTH(AQ7,0),'1JI2UE'!$L$6:$L$2989,$B$33)+SUMIFS(#REF!,#REF!,"&gt;="&amp;AQ7,#REF!,"&lt;="&amp;EOMONTH(AQ7,0),#REF!,$B$33)+SUMIFS('1SI9BW'!$K$6:$K$2989,'1SI9BW'!$J$6:$J$2989,"&gt;="&amp;AQ7,'1SI9BW'!$J$6:$J$2989,"&lt;="&amp;EOMONTH(AQ7,0),'1SI9BW'!$L$6:$L$2989,$B$33)+SUMIFS(Suzuki!$K$6:$K$2989,Suzuki!$J$6:$J$2989,"&gt;="&amp;AQ7,Suzuki!$J$6:$J$2989,"&lt;="&amp;EOMONTH(AQ7,0),Suzuki!$L$6:$L$2989,$B$33)+SUMIFS('1SK3DD'!$K$6:$K$2989,'1SK3DD'!$J$6:$J$2989,"&gt;="&amp;AQ7,'1SK3DD'!$J$6:$J$2989,"&lt;="&amp;EOMONTH(AQ7,0),'1SK3DD'!$L$6:$L$2989,$B$33)+SUMIFS('1SX5TQ'!$K$6:$K$2989,'1SX5TQ'!$J$6:$J$2989,"&gt;="&amp;AQ7,'1SX5TQ'!$J$6:$J$2989,"&lt;="&amp;EOMONTH(AQ7,0),'1SX5TQ'!$L$6:$L$2989,$B$33)+SUMIFS('BMM465'!$K$6:$K$2989,'BMM465'!$J$6:$J$2989,"&gt;="&amp;AQ7,'BMM465'!$J$6:$J$2989,"&lt;="&amp;EOMONTH(AQ7,0),'BMM465'!$L$6:$L$2989,$B$33)+SUMIFS('1CF1ZO'!$K$6:$K$2989,'1CF1ZO'!$J$6:$J$2989,"&gt;="&amp;AQ7,'1CF1ZO'!$J$6:$J$2989,"&lt;="&amp;EOMONTH(AQ7,0),'1CF1ZO'!$L$6:$L$2989,$B$33)+SUMIFS('1UK1BK'!$K$6:$K$2989,'1UK1BK'!$J$6:$J$2989,"&gt;="&amp;AQ7,'1UK1BK'!$J$6:$J$2989,"&lt;="&amp;EOMONTH(AQ7,0),'1UK1BK'!$L$6:$L$2989,$B$33)</f>
        <v>#REF!</v>
      </c>
      <c r="AR33" s="110" t="e">
        <f>SUMIFS('CEI565'!$K$6:$K$2990,'CEI565'!$J$6:$J$2990,"&gt;="&amp;AR7,'CEI565'!$J$6:$J$2990,"&lt;="&amp;EOMONTH(AR7,0),'CEI565'!$L$6:$L$2990,$B$33)+SUMIFS('1SM3VL'!$K$6:$K$2990,'1SM3VL'!$J$6:$J$2990,"&gt;="&amp;AR7,'1SM3VL'!$J$6:$J$2990,"&lt;="&amp;EOMONTH(AR7,0),'1SM3VL'!$L$6:$L$2990,$B$33)+SUMIFS('1QF4SM'!$K$6:$K$2989,'1QF4SM'!$J$6:$J$2989,"&gt;="&amp;AR7,'1QF4SM'!$J$6:$J$2989,"&lt;="&amp;EOMONTH(AR7,0),'1QF4SM'!$L$6:$L$2989,$B$33)+SUMIFS('1UV5KI'!$K$6:$K$2989,'1UV5KI'!$J$6:$J$2989,"&gt;="&amp;AR7,'1UV5KI'!$J$6:$J$2989,"&lt;="&amp;EOMONTH(AR7,0),'1UV5KI'!$L$6:$L$2989,$B$33)+SUMIFS(#REF!,#REF!,"&gt;="&amp;AR7,#REF!,"&lt;="&amp;EOMONTH(AR7,0),#REF!,$B$33)+SUMIFS('1UL9RY'!$K$6:$K$2990,'1UL9RY'!$J$6:$J$2990,"&gt;="&amp;AR7,'1UL9RY'!$J$6:$J$2990,"&lt;="&amp;EOMONTH(AR7,0),'1UL9RY'!$L$6:$L$2990,$B$33)+SUMIFS('1OZ7GT'!$K$6:$K$2989,'1OZ7GT'!$J$6:$J$2989,"&gt;="&amp;AR7,'1OZ7GT'!$J$6:$J$2989,"&lt;="&amp;EOMONTH(AR7,0),'1OZ7GT'!$L$6:$L$2989,$B$33)+SUMIFS('1CN8DD'!$K$6:$K$2989,'1CN8DD'!$J$6:$J$2989,"&gt;="&amp;AR7,'1CN8DD'!$J$6:$J$2989,"&lt;="&amp;EOMONTH(AR7,0),'1CN8DD'!$L$6:$L$2989,$B$33)+SUMIFS('1UT9BR'!$K$6:$K$2990,'1UT9BR'!$J$6:$J$2990,"&gt;="&amp;AR7,'1UT9BR'!$J$6:$J$2990,"&lt;="&amp;EOMONTH(AR7,0),'1UT9BR'!$L$6:$L$2990,$B$33)+SUMIFS('1MK4UR'!$K$6:$K$2990,'1MK4UR'!$J$6:$J$2990,"&gt;="&amp;AR7,'1MK4UR'!$J$6:$J$2990,"&lt;="&amp;EOMONTH(AR7,0),'1MK4UR'!$L$6:$L$2990,$B$33)+SUMIFS(#REF!,#REF!,"&gt;="&amp;AR7,#REF!,"&lt;="&amp;EOMONTH(AR7,0),#REF!,$B$33)+SUMIFS('1JI2UE'!$K$6:$K$2989,'1JI2UE'!$J$6:$J$2989,"&gt;="&amp;AR7,'1JI2UE'!$J$6:$J$2989,"&lt;="&amp;EOMONTH(AR7,0),'1JI2UE'!$L$6:$L$2989,$B$33)+SUMIFS(#REF!,#REF!,"&gt;="&amp;AR7,#REF!,"&lt;="&amp;EOMONTH(AR7,0),#REF!,$B$33)+SUMIFS('1SI9BW'!$K$6:$K$2989,'1SI9BW'!$J$6:$J$2989,"&gt;="&amp;AR7,'1SI9BW'!$J$6:$J$2989,"&lt;="&amp;EOMONTH(AR7,0),'1SI9BW'!$L$6:$L$2989,$B$33)+SUMIFS(Suzuki!$K$6:$K$2989,Suzuki!$J$6:$J$2989,"&gt;="&amp;AR7,Suzuki!$J$6:$J$2989,"&lt;="&amp;EOMONTH(AR7,0),Suzuki!$L$6:$L$2989,$B$33)+SUMIFS('1SK3DD'!$K$6:$K$2989,'1SK3DD'!$J$6:$J$2989,"&gt;="&amp;AR7,'1SK3DD'!$J$6:$J$2989,"&lt;="&amp;EOMONTH(AR7,0),'1SK3DD'!$L$6:$L$2989,$B$33)+SUMIFS('1SX5TQ'!$K$6:$K$2989,'1SX5TQ'!$J$6:$J$2989,"&gt;="&amp;AR7,'1SX5TQ'!$J$6:$J$2989,"&lt;="&amp;EOMONTH(AR7,0),'1SX5TQ'!$L$6:$L$2989,$B$33)+SUMIFS('BMM465'!$K$6:$K$2989,'BMM465'!$J$6:$J$2989,"&gt;="&amp;AR7,'BMM465'!$J$6:$J$2989,"&lt;="&amp;EOMONTH(AR7,0),'BMM465'!$L$6:$L$2989,$B$33)+SUMIFS('1CF1ZO'!$K$6:$K$2989,'1CF1ZO'!$J$6:$J$2989,"&gt;="&amp;AR7,'1CF1ZO'!$J$6:$J$2989,"&lt;="&amp;EOMONTH(AR7,0),'1CF1ZO'!$L$6:$L$2989,$B$33)+SUMIFS('1UK1BK'!$K$6:$K$2989,'1UK1BK'!$J$6:$J$2989,"&gt;="&amp;AR7,'1UK1BK'!$J$6:$J$2989,"&lt;="&amp;EOMONTH(AR7,0),'1UK1BK'!$L$6:$L$2989,$B$33)</f>
        <v>#REF!</v>
      </c>
      <c r="AS33" s="110" t="e">
        <f>SUMIFS('CEI565'!$K$6:$K$2990,'CEI565'!$J$6:$J$2990,"&gt;="&amp;AS7,'CEI565'!$J$6:$J$2990,"&lt;="&amp;EOMONTH(AS7,0),'CEI565'!$L$6:$L$2990,$B$33)+SUMIFS('1SM3VL'!$K$6:$K$2990,'1SM3VL'!$J$6:$J$2990,"&gt;="&amp;AS7,'1SM3VL'!$J$6:$J$2990,"&lt;="&amp;EOMONTH(AS7,0),'1SM3VL'!$L$6:$L$2990,$B$33)+SUMIFS('1QF4SM'!$K$6:$K$2989,'1QF4SM'!$J$6:$J$2989,"&gt;="&amp;AS7,'1QF4SM'!$J$6:$J$2989,"&lt;="&amp;EOMONTH(AS7,0),'1QF4SM'!$L$6:$L$2989,$B$33)+SUMIFS('1UV5KI'!$K$6:$K$2989,'1UV5KI'!$J$6:$J$2989,"&gt;="&amp;AS7,'1UV5KI'!$J$6:$J$2989,"&lt;="&amp;EOMONTH(AS7,0),'1UV5KI'!$L$6:$L$2989,$B$33)+SUMIFS(#REF!,#REF!,"&gt;="&amp;AS7,#REF!,"&lt;="&amp;EOMONTH(AS7,0),#REF!,$B$33)+SUMIFS('1UL9RY'!$K$6:$K$2990,'1UL9RY'!$J$6:$J$2990,"&gt;="&amp;AS7,'1UL9RY'!$J$6:$J$2990,"&lt;="&amp;EOMONTH(AS7,0),'1UL9RY'!$L$6:$L$2990,$B$33)+SUMIFS('1OZ7GT'!$K$6:$K$2989,'1OZ7GT'!$J$6:$J$2989,"&gt;="&amp;AS7,'1OZ7GT'!$J$6:$J$2989,"&lt;="&amp;EOMONTH(AS7,0),'1OZ7GT'!$L$6:$L$2989,$B$33)+SUMIFS('1CN8DD'!$K$6:$K$2989,'1CN8DD'!$J$6:$J$2989,"&gt;="&amp;AS7,'1CN8DD'!$J$6:$J$2989,"&lt;="&amp;EOMONTH(AS7,0),'1CN8DD'!$L$6:$L$2989,$B$33)+SUMIFS('1UT9BR'!$K$6:$K$2990,'1UT9BR'!$J$6:$J$2990,"&gt;="&amp;AS7,'1UT9BR'!$J$6:$J$2990,"&lt;="&amp;EOMONTH(AS7,0),'1UT9BR'!$L$6:$L$2990,$B$33)+SUMIFS('1MK4UR'!$K$6:$K$2990,'1MK4UR'!$J$6:$J$2990,"&gt;="&amp;AS7,'1MK4UR'!$J$6:$J$2990,"&lt;="&amp;EOMONTH(AS7,0),'1MK4UR'!$L$6:$L$2990,$B$33)+SUMIFS(#REF!,#REF!,"&gt;="&amp;AS7,#REF!,"&lt;="&amp;EOMONTH(AS7,0),#REF!,$B$33)+SUMIFS('1JI2UE'!$K$6:$K$2989,'1JI2UE'!$J$6:$J$2989,"&gt;="&amp;AS7,'1JI2UE'!$J$6:$J$2989,"&lt;="&amp;EOMONTH(AS7,0),'1JI2UE'!$L$6:$L$2989,$B$33)+SUMIFS(#REF!,#REF!,"&gt;="&amp;AS7,#REF!,"&lt;="&amp;EOMONTH(AS7,0),#REF!,$B$33)+SUMIFS('1SI9BW'!$K$6:$K$2989,'1SI9BW'!$J$6:$J$2989,"&gt;="&amp;AS7,'1SI9BW'!$J$6:$J$2989,"&lt;="&amp;EOMONTH(AS7,0),'1SI9BW'!$L$6:$L$2989,$B$33)+SUMIFS(Suzuki!$K$6:$K$2989,Suzuki!$J$6:$J$2989,"&gt;="&amp;AS7,Suzuki!$J$6:$J$2989,"&lt;="&amp;EOMONTH(AS7,0),Suzuki!$L$6:$L$2989,$B$33)+SUMIFS('1SK3DD'!$K$6:$K$2989,'1SK3DD'!$J$6:$J$2989,"&gt;="&amp;AS7,'1SK3DD'!$J$6:$J$2989,"&lt;="&amp;EOMONTH(AS7,0),'1SK3DD'!$L$6:$L$2989,$B$33)+SUMIFS('1SX5TQ'!$K$6:$K$2989,'1SX5TQ'!$J$6:$J$2989,"&gt;="&amp;AS7,'1SX5TQ'!$J$6:$J$2989,"&lt;="&amp;EOMONTH(AS7,0),'1SX5TQ'!$L$6:$L$2989,$B$33)+SUMIFS('BMM465'!$K$6:$K$2989,'BMM465'!$J$6:$J$2989,"&gt;="&amp;AS7,'BMM465'!$J$6:$J$2989,"&lt;="&amp;EOMONTH(AS7,0),'BMM465'!$L$6:$L$2989,$B$33)+SUMIFS('1CF1ZO'!$K$6:$K$2989,'1CF1ZO'!$J$6:$J$2989,"&gt;="&amp;AS7,'1CF1ZO'!$J$6:$J$2989,"&lt;="&amp;EOMONTH(AS7,0),'1CF1ZO'!$L$6:$L$2989,$B$33)+SUMIFS('1UK1BK'!$K$6:$K$2989,'1UK1BK'!$J$6:$J$2989,"&gt;="&amp;AS7,'1UK1BK'!$J$6:$J$2989,"&lt;="&amp;EOMONTH(AS7,0),'1UK1BK'!$L$6:$L$2989,$B$33)</f>
        <v>#REF!</v>
      </c>
      <c r="AT33" s="110" t="e">
        <f>SUMIFS('CEI565'!$K$6:$K$2990,'CEI565'!$J$6:$J$2990,"&gt;="&amp;AT7,'CEI565'!$J$6:$J$2990,"&lt;="&amp;EOMONTH(AT7,0),'CEI565'!$L$6:$L$2990,$B$33)+SUMIFS('1SM3VL'!$K$6:$K$2990,'1SM3VL'!$J$6:$J$2990,"&gt;="&amp;AT7,'1SM3VL'!$J$6:$J$2990,"&lt;="&amp;EOMONTH(AT7,0),'1SM3VL'!$L$6:$L$2990,$B$33)+SUMIFS('1QF4SM'!$K$6:$K$2989,'1QF4SM'!$J$6:$J$2989,"&gt;="&amp;AT7,'1QF4SM'!$J$6:$J$2989,"&lt;="&amp;EOMONTH(AT7,0),'1QF4SM'!$L$6:$L$2989,$B$33)+SUMIFS('1UV5KI'!$K$6:$K$2989,'1UV5KI'!$J$6:$J$2989,"&gt;="&amp;AT7,'1UV5KI'!$J$6:$J$2989,"&lt;="&amp;EOMONTH(AT7,0),'1UV5KI'!$L$6:$L$2989,$B$33)+SUMIFS(#REF!,#REF!,"&gt;="&amp;AT7,#REF!,"&lt;="&amp;EOMONTH(AT7,0),#REF!,$B$33)+SUMIFS('1UL9RY'!$K$6:$K$2990,'1UL9RY'!$J$6:$J$2990,"&gt;="&amp;AT7,'1UL9RY'!$J$6:$J$2990,"&lt;="&amp;EOMONTH(AT7,0),'1UL9RY'!$L$6:$L$2990,$B$33)+SUMIFS('1OZ7GT'!$K$6:$K$2989,'1OZ7GT'!$J$6:$J$2989,"&gt;="&amp;AT7,'1OZ7GT'!$J$6:$J$2989,"&lt;="&amp;EOMONTH(AT7,0),'1OZ7GT'!$L$6:$L$2989,$B$33)+SUMIFS('1CN8DD'!$K$6:$K$2989,'1CN8DD'!$J$6:$J$2989,"&gt;="&amp;AT7,'1CN8DD'!$J$6:$J$2989,"&lt;="&amp;EOMONTH(AT7,0),'1CN8DD'!$L$6:$L$2989,$B$33)+SUMIFS('1UT9BR'!$K$6:$K$2990,'1UT9BR'!$J$6:$J$2990,"&gt;="&amp;AT7,'1UT9BR'!$J$6:$J$2990,"&lt;="&amp;EOMONTH(AT7,0),'1UT9BR'!$L$6:$L$2990,$B$33)+SUMIFS('1MK4UR'!$K$6:$K$2990,'1MK4UR'!$J$6:$J$2990,"&gt;="&amp;AT7,'1MK4UR'!$J$6:$J$2990,"&lt;="&amp;EOMONTH(AT7,0),'1MK4UR'!$L$6:$L$2990,$B$33)+SUMIFS(#REF!,#REF!,"&gt;="&amp;AT7,#REF!,"&lt;="&amp;EOMONTH(AT7,0),#REF!,$B$33)+SUMIFS('1JI2UE'!$K$6:$K$2989,'1JI2UE'!$J$6:$J$2989,"&gt;="&amp;AT7,'1JI2UE'!$J$6:$J$2989,"&lt;="&amp;EOMONTH(AT7,0),'1JI2UE'!$L$6:$L$2989,$B$33)+SUMIFS(#REF!,#REF!,"&gt;="&amp;AT7,#REF!,"&lt;="&amp;EOMONTH(AT7,0),#REF!,$B$33)+SUMIFS('1SI9BW'!$K$6:$K$2989,'1SI9BW'!$J$6:$J$2989,"&gt;="&amp;AT7,'1SI9BW'!$J$6:$J$2989,"&lt;="&amp;EOMONTH(AT7,0),'1SI9BW'!$L$6:$L$2989,$B$33)+SUMIFS(Suzuki!$K$6:$K$2989,Suzuki!$J$6:$J$2989,"&gt;="&amp;AT7,Suzuki!$J$6:$J$2989,"&lt;="&amp;EOMONTH(AT7,0),Suzuki!$L$6:$L$2989,$B$33)+SUMIFS('1SK3DD'!$K$6:$K$2989,'1SK3DD'!$J$6:$J$2989,"&gt;="&amp;AT7,'1SK3DD'!$J$6:$J$2989,"&lt;="&amp;EOMONTH(AT7,0),'1SK3DD'!$L$6:$L$2989,$B$33)+SUMIFS('1SX5TQ'!$K$6:$K$2989,'1SX5TQ'!$J$6:$J$2989,"&gt;="&amp;AT7,'1SX5TQ'!$J$6:$J$2989,"&lt;="&amp;EOMONTH(AT7,0),'1SX5TQ'!$L$6:$L$2989,$B$33)+SUMIFS('BMM465'!$K$6:$K$2989,'BMM465'!$J$6:$J$2989,"&gt;="&amp;AT7,'BMM465'!$J$6:$J$2989,"&lt;="&amp;EOMONTH(AT7,0),'BMM465'!$L$6:$L$2989,$B$33)+SUMIFS('1CF1ZO'!$K$6:$K$2989,'1CF1ZO'!$J$6:$J$2989,"&gt;="&amp;AT7,'1CF1ZO'!$J$6:$J$2989,"&lt;="&amp;EOMONTH(AT7,0),'1CF1ZO'!$L$6:$L$2989,$B$33)+SUMIFS('1UK1BK'!$K$6:$K$2989,'1UK1BK'!$J$6:$J$2989,"&gt;="&amp;AT7,'1UK1BK'!$J$6:$J$2989,"&lt;="&amp;EOMONTH(AT7,0),'1UK1BK'!$L$6:$L$2989,$B$33)</f>
        <v>#REF!</v>
      </c>
      <c r="AU33" s="110" t="e">
        <f>SUMIFS('CEI565'!$K$6:$K$2990,'CEI565'!$J$6:$J$2990,"&gt;="&amp;AU7,'CEI565'!$J$6:$J$2990,"&lt;="&amp;EOMONTH(AU7,0),'CEI565'!$L$6:$L$2990,$B$33)+SUMIFS('1SM3VL'!$K$6:$K$2990,'1SM3VL'!$J$6:$J$2990,"&gt;="&amp;AU7,'1SM3VL'!$J$6:$J$2990,"&lt;="&amp;EOMONTH(AU7,0),'1SM3VL'!$L$6:$L$2990,$B$33)+SUMIFS('1QF4SM'!$K$6:$K$2989,'1QF4SM'!$J$6:$J$2989,"&gt;="&amp;AU7,'1QF4SM'!$J$6:$J$2989,"&lt;="&amp;EOMONTH(AU7,0),'1QF4SM'!$L$6:$L$2989,$B$33)+SUMIFS('1UV5KI'!$K$6:$K$2989,'1UV5KI'!$J$6:$J$2989,"&gt;="&amp;AU7,'1UV5KI'!$J$6:$J$2989,"&lt;="&amp;EOMONTH(AU7,0),'1UV5KI'!$L$6:$L$2989,$B$33)+SUMIFS(#REF!,#REF!,"&gt;="&amp;AU7,#REF!,"&lt;="&amp;EOMONTH(AU7,0),#REF!,$B$33)+SUMIFS('1UL9RY'!$K$6:$K$2990,'1UL9RY'!$J$6:$J$2990,"&gt;="&amp;AU7,'1UL9RY'!$J$6:$J$2990,"&lt;="&amp;EOMONTH(AU7,0),'1UL9RY'!$L$6:$L$2990,$B$33)+SUMIFS('1OZ7GT'!$K$6:$K$2989,'1OZ7GT'!$J$6:$J$2989,"&gt;="&amp;AU7,'1OZ7GT'!$J$6:$J$2989,"&lt;="&amp;EOMONTH(AU7,0),'1OZ7GT'!$L$6:$L$2989,$B$33)+SUMIFS('1CN8DD'!$K$6:$K$2989,'1CN8DD'!$J$6:$J$2989,"&gt;="&amp;AU7,'1CN8DD'!$J$6:$J$2989,"&lt;="&amp;EOMONTH(AU7,0),'1CN8DD'!$L$6:$L$2989,$B$33)+SUMIFS('1UT9BR'!$K$6:$K$2990,'1UT9BR'!$J$6:$J$2990,"&gt;="&amp;AU7,'1UT9BR'!$J$6:$J$2990,"&lt;="&amp;EOMONTH(AU7,0),'1UT9BR'!$L$6:$L$2990,$B$33)+SUMIFS('1MK4UR'!$K$6:$K$2990,'1MK4UR'!$J$6:$J$2990,"&gt;="&amp;AU7,'1MK4UR'!$J$6:$J$2990,"&lt;="&amp;EOMONTH(AU7,0),'1MK4UR'!$L$6:$L$2990,$B$33)+SUMIFS(#REF!,#REF!,"&gt;="&amp;AU7,#REF!,"&lt;="&amp;EOMONTH(AU7,0),#REF!,$B$33)+SUMIFS('1JI2UE'!$K$6:$K$2989,'1JI2UE'!$J$6:$J$2989,"&gt;="&amp;AU7,'1JI2UE'!$J$6:$J$2989,"&lt;="&amp;EOMONTH(AU7,0),'1JI2UE'!$L$6:$L$2989,$B$33)+SUMIFS(#REF!,#REF!,"&gt;="&amp;AU7,#REF!,"&lt;="&amp;EOMONTH(AU7,0),#REF!,$B$33)+SUMIFS('1SI9BW'!$K$6:$K$2989,'1SI9BW'!$J$6:$J$2989,"&gt;="&amp;AU7,'1SI9BW'!$J$6:$J$2989,"&lt;="&amp;EOMONTH(AU7,0),'1SI9BW'!$L$6:$L$2989,$B$33)+SUMIFS(Suzuki!$K$6:$K$2989,Suzuki!$J$6:$J$2989,"&gt;="&amp;AU7,Suzuki!$J$6:$J$2989,"&lt;="&amp;EOMONTH(AU7,0),Suzuki!$L$6:$L$2989,$B$33)+SUMIFS('1SK3DD'!$K$6:$K$2989,'1SK3DD'!$J$6:$J$2989,"&gt;="&amp;AU7,'1SK3DD'!$J$6:$J$2989,"&lt;="&amp;EOMONTH(AU7,0),'1SK3DD'!$L$6:$L$2989,$B$33)+SUMIFS('1SX5TQ'!$K$6:$K$2989,'1SX5TQ'!$J$6:$J$2989,"&gt;="&amp;AU7,'1SX5TQ'!$J$6:$J$2989,"&lt;="&amp;EOMONTH(AU7,0),'1SX5TQ'!$L$6:$L$2989,$B$33)+SUMIFS('BMM465'!$K$6:$K$2989,'BMM465'!$J$6:$J$2989,"&gt;="&amp;AU7,'BMM465'!$J$6:$J$2989,"&lt;="&amp;EOMONTH(AU7,0),'BMM465'!$L$6:$L$2989,$B$33)+SUMIFS('1CF1ZO'!$K$6:$K$2989,'1CF1ZO'!$J$6:$J$2989,"&gt;="&amp;AU7,'1CF1ZO'!$J$6:$J$2989,"&lt;="&amp;EOMONTH(AU7,0),'1CF1ZO'!$L$6:$L$2989,$B$33)+SUMIFS('1UK1BK'!$K$6:$K$2989,'1UK1BK'!$J$6:$J$2989,"&gt;="&amp;AU7,'1UK1BK'!$J$6:$J$2989,"&lt;="&amp;EOMONTH(AU7,0),'1UK1BK'!$L$6:$L$2989,$B$33)</f>
        <v>#REF!</v>
      </c>
      <c r="AV33" s="110" t="e">
        <f>SUMIFS('CEI565'!$K$6:$K$2990,'CEI565'!$J$6:$J$2990,"&gt;="&amp;AV7,'CEI565'!$J$6:$J$2990,"&lt;="&amp;EOMONTH(AV7,0),'CEI565'!$L$6:$L$2990,$B$33)+SUMIFS('1SM3VL'!$K$6:$K$2990,'1SM3VL'!$J$6:$J$2990,"&gt;="&amp;AV7,'1SM3VL'!$J$6:$J$2990,"&lt;="&amp;EOMONTH(AV7,0),'1SM3VL'!$L$6:$L$2990,$B$33)+SUMIFS('1QF4SM'!$K$6:$K$2989,'1QF4SM'!$J$6:$J$2989,"&gt;="&amp;AV7,'1QF4SM'!$J$6:$J$2989,"&lt;="&amp;EOMONTH(AV7,0),'1QF4SM'!$L$6:$L$2989,$B$33)+SUMIFS('1UV5KI'!$K$6:$K$2989,'1UV5KI'!$J$6:$J$2989,"&gt;="&amp;AV7,'1UV5KI'!$J$6:$J$2989,"&lt;="&amp;EOMONTH(AV7,0),'1UV5KI'!$L$6:$L$2989,$B$33)+SUMIFS(#REF!,#REF!,"&gt;="&amp;AV7,#REF!,"&lt;="&amp;EOMONTH(AV7,0),#REF!,$B$33)+SUMIFS('1UL9RY'!$K$6:$K$2990,'1UL9RY'!$J$6:$J$2990,"&gt;="&amp;AV7,'1UL9RY'!$J$6:$J$2990,"&lt;="&amp;EOMONTH(AV7,0),'1UL9RY'!$L$6:$L$2990,$B$33)+SUMIFS('1OZ7GT'!$K$6:$K$2989,'1OZ7GT'!$J$6:$J$2989,"&gt;="&amp;AV7,'1OZ7GT'!$J$6:$J$2989,"&lt;="&amp;EOMONTH(AV7,0),'1OZ7GT'!$L$6:$L$2989,$B$33)+SUMIFS('1CN8DD'!$K$6:$K$2989,'1CN8DD'!$J$6:$J$2989,"&gt;="&amp;AV7,'1CN8DD'!$J$6:$J$2989,"&lt;="&amp;EOMONTH(AV7,0),'1CN8DD'!$L$6:$L$2989,$B$33)+SUMIFS('1UT9BR'!$K$6:$K$2990,'1UT9BR'!$J$6:$J$2990,"&gt;="&amp;AV7,'1UT9BR'!$J$6:$J$2990,"&lt;="&amp;EOMONTH(AV7,0),'1UT9BR'!$L$6:$L$2990,$B$33)+SUMIFS('1MK4UR'!$K$6:$K$2990,'1MK4UR'!$J$6:$J$2990,"&gt;="&amp;AV7,'1MK4UR'!$J$6:$J$2990,"&lt;="&amp;EOMONTH(AV7,0),'1MK4UR'!$L$6:$L$2990,$B$33)+SUMIFS(#REF!,#REF!,"&gt;="&amp;AV7,#REF!,"&lt;="&amp;EOMONTH(AV7,0),#REF!,$B$33)+SUMIFS('1JI2UE'!$K$6:$K$2989,'1JI2UE'!$J$6:$J$2989,"&gt;="&amp;AV7,'1JI2UE'!$J$6:$J$2989,"&lt;="&amp;EOMONTH(AV7,0),'1JI2UE'!$L$6:$L$2989,$B$33)+SUMIFS(#REF!,#REF!,"&gt;="&amp;AV7,#REF!,"&lt;="&amp;EOMONTH(AV7,0),#REF!,$B$33)+SUMIFS('1SI9BW'!$K$6:$K$2989,'1SI9BW'!$J$6:$J$2989,"&gt;="&amp;AV7,'1SI9BW'!$J$6:$J$2989,"&lt;="&amp;EOMONTH(AV7,0),'1SI9BW'!$L$6:$L$2989,$B$33)+SUMIFS(Suzuki!$K$6:$K$2989,Suzuki!$J$6:$J$2989,"&gt;="&amp;AV7,Suzuki!$J$6:$J$2989,"&lt;="&amp;EOMONTH(AV7,0),Suzuki!$L$6:$L$2989,$B$33)+SUMIFS('1SK3DD'!$K$6:$K$2989,'1SK3DD'!$J$6:$J$2989,"&gt;="&amp;AV7,'1SK3DD'!$J$6:$J$2989,"&lt;="&amp;EOMONTH(AV7,0),'1SK3DD'!$L$6:$L$2989,$B$33)+SUMIFS('1SX5TQ'!$K$6:$K$2989,'1SX5TQ'!$J$6:$J$2989,"&gt;="&amp;AV7,'1SX5TQ'!$J$6:$J$2989,"&lt;="&amp;EOMONTH(AV7,0),'1SX5TQ'!$L$6:$L$2989,$B$33)+SUMIFS('BMM465'!$K$6:$K$2989,'BMM465'!$J$6:$J$2989,"&gt;="&amp;AV7,'BMM465'!$J$6:$J$2989,"&lt;="&amp;EOMONTH(AV7,0),'BMM465'!$L$6:$L$2989,$B$33)+SUMIFS('1CF1ZO'!$K$6:$K$2989,'1CF1ZO'!$J$6:$J$2989,"&gt;="&amp;AV7,'1CF1ZO'!$J$6:$J$2989,"&lt;="&amp;EOMONTH(AV7,0),'1CF1ZO'!$L$6:$L$2989,$B$33)+SUMIFS('1UK1BK'!$K$6:$K$2989,'1UK1BK'!$J$6:$J$2989,"&gt;="&amp;AV7,'1UK1BK'!$J$6:$J$2989,"&lt;="&amp;EOMONTH(AV7,0),'1UK1BK'!$L$6:$L$2989,$B$33)</f>
        <v>#REF!</v>
      </c>
      <c r="AW33" s="110" t="e">
        <f>SUMIFS('CEI565'!$K$6:$K$2990,'CEI565'!$J$6:$J$2990,"&gt;="&amp;AW7,'CEI565'!$J$6:$J$2990,"&lt;="&amp;EOMONTH(AW7,0),'CEI565'!$L$6:$L$2990,$B$33)+SUMIFS('1SM3VL'!$K$6:$K$2990,'1SM3VL'!$J$6:$J$2990,"&gt;="&amp;AW7,'1SM3VL'!$J$6:$J$2990,"&lt;="&amp;EOMONTH(AW7,0),'1SM3VL'!$L$6:$L$2990,$B$33)+SUMIFS('1QF4SM'!$K$6:$K$2989,'1QF4SM'!$J$6:$J$2989,"&gt;="&amp;AW7,'1QF4SM'!$J$6:$J$2989,"&lt;="&amp;EOMONTH(AW7,0),'1QF4SM'!$L$6:$L$2989,$B$33)+SUMIFS('1UV5KI'!$K$6:$K$2989,'1UV5KI'!$J$6:$J$2989,"&gt;="&amp;AW7,'1UV5KI'!$J$6:$J$2989,"&lt;="&amp;EOMONTH(AW7,0),'1UV5KI'!$L$6:$L$2989,$B$33)+SUMIFS(#REF!,#REF!,"&gt;="&amp;AW7,#REF!,"&lt;="&amp;EOMONTH(AW7,0),#REF!,$B$33)+SUMIFS('1UL9RY'!$K$6:$K$2990,'1UL9RY'!$J$6:$J$2990,"&gt;="&amp;AW7,'1UL9RY'!$J$6:$J$2990,"&lt;="&amp;EOMONTH(AW7,0),'1UL9RY'!$L$6:$L$2990,$B$33)+SUMIFS('1OZ7GT'!$K$6:$K$2989,'1OZ7GT'!$J$6:$J$2989,"&gt;="&amp;AW7,'1OZ7GT'!$J$6:$J$2989,"&lt;="&amp;EOMONTH(AW7,0),'1OZ7GT'!$L$6:$L$2989,$B$33)+SUMIFS('1CN8DD'!$K$6:$K$2989,'1CN8DD'!$J$6:$J$2989,"&gt;="&amp;AW7,'1CN8DD'!$J$6:$J$2989,"&lt;="&amp;EOMONTH(AW7,0),'1CN8DD'!$L$6:$L$2989,$B$33)+SUMIFS('1UT9BR'!$K$6:$K$2990,'1UT9BR'!$J$6:$J$2990,"&gt;="&amp;AW7,'1UT9BR'!$J$6:$J$2990,"&lt;="&amp;EOMONTH(AW7,0),'1UT9BR'!$L$6:$L$2990,$B$33)+SUMIFS('1MK4UR'!$K$6:$K$2990,'1MK4UR'!$J$6:$J$2990,"&gt;="&amp;AW7,'1MK4UR'!$J$6:$J$2990,"&lt;="&amp;EOMONTH(AW7,0),'1MK4UR'!$L$6:$L$2990,$B$33)+SUMIFS(#REF!,#REF!,"&gt;="&amp;AW7,#REF!,"&lt;="&amp;EOMONTH(AW7,0),#REF!,$B$33)+SUMIFS('1JI2UE'!$K$6:$K$2989,'1JI2UE'!$J$6:$J$2989,"&gt;="&amp;AW7,'1JI2UE'!$J$6:$J$2989,"&lt;="&amp;EOMONTH(AW7,0),'1JI2UE'!$L$6:$L$2989,$B$33)+SUMIFS(#REF!,#REF!,"&gt;="&amp;AW7,#REF!,"&lt;="&amp;EOMONTH(AW7,0),#REF!,$B$33)+SUMIFS('1SI9BW'!$K$6:$K$2989,'1SI9BW'!$J$6:$J$2989,"&gt;="&amp;AW7,'1SI9BW'!$J$6:$J$2989,"&lt;="&amp;EOMONTH(AW7,0),'1SI9BW'!$L$6:$L$2989,$B$33)+SUMIFS(Suzuki!$K$6:$K$2989,Suzuki!$J$6:$J$2989,"&gt;="&amp;AW7,Suzuki!$J$6:$J$2989,"&lt;="&amp;EOMONTH(AW7,0),Suzuki!$L$6:$L$2989,$B$33)+SUMIFS('1SK3DD'!$K$6:$K$2989,'1SK3DD'!$J$6:$J$2989,"&gt;="&amp;AW7,'1SK3DD'!$J$6:$J$2989,"&lt;="&amp;EOMONTH(AW7,0),'1SK3DD'!$L$6:$L$2989,$B$33)+SUMIFS('1SX5TQ'!$K$6:$K$2989,'1SX5TQ'!$J$6:$J$2989,"&gt;="&amp;AW7,'1SX5TQ'!$J$6:$J$2989,"&lt;="&amp;EOMONTH(AW7,0),'1SX5TQ'!$L$6:$L$2989,$B$33)+SUMIFS('BMM465'!$K$6:$K$2989,'BMM465'!$J$6:$J$2989,"&gt;="&amp;AW7,'BMM465'!$J$6:$J$2989,"&lt;="&amp;EOMONTH(AW7,0),'BMM465'!$L$6:$L$2989,$B$33)+SUMIFS('1CF1ZO'!$K$6:$K$2989,'1CF1ZO'!$J$6:$J$2989,"&gt;="&amp;AW7,'1CF1ZO'!$J$6:$J$2989,"&lt;="&amp;EOMONTH(AW7,0),'1CF1ZO'!$L$6:$L$2989,$B$33)+SUMIFS('1UK1BK'!$K$6:$K$2989,'1UK1BK'!$J$6:$J$2989,"&gt;="&amp;AW7,'1UK1BK'!$J$6:$J$2989,"&lt;="&amp;EOMONTH(AW7,0),'1UK1BK'!$L$6:$L$2989,$B$33)</f>
        <v>#REF!</v>
      </c>
      <c r="AX33" s="110" t="e">
        <f>SUMIFS('CEI565'!$K$6:$K$2990,'CEI565'!$J$6:$J$2990,"&gt;="&amp;AX7,'CEI565'!$J$6:$J$2990,"&lt;="&amp;EOMONTH(AX7,0),'CEI565'!$L$6:$L$2990,$B$33)+SUMIFS('1SM3VL'!$K$6:$K$2990,'1SM3VL'!$J$6:$J$2990,"&gt;="&amp;AX7,'1SM3VL'!$J$6:$J$2990,"&lt;="&amp;EOMONTH(AX7,0),'1SM3VL'!$L$6:$L$2990,$B$33)+SUMIFS('1QF4SM'!$K$6:$K$2989,'1QF4SM'!$J$6:$J$2989,"&gt;="&amp;AX7,'1QF4SM'!$J$6:$J$2989,"&lt;="&amp;EOMONTH(AX7,0),'1QF4SM'!$L$6:$L$2989,$B$33)+SUMIFS('1UV5KI'!$K$6:$K$2989,'1UV5KI'!$J$6:$J$2989,"&gt;="&amp;AX7,'1UV5KI'!$J$6:$J$2989,"&lt;="&amp;EOMONTH(AX7,0),'1UV5KI'!$L$6:$L$2989,$B$33)+SUMIFS(#REF!,#REF!,"&gt;="&amp;AX7,#REF!,"&lt;="&amp;EOMONTH(AX7,0),#REF!,$B$33)+SUMIFS('1UL9RY'!$K$6:$K$2990,'1UL9RY'!$J$6:$J$2990,"&gt;="&amp;AX7,'1UL9RY'!$J$6:$J$2990,"&lt;="&amp;EOMONTH(AX7,0),'1UL9RY'!$L$6:$L$2990,$B$33)+SUMIFS('1OZ7GT'!$K$6:$K$2989,'1OZ7GT'!$J$6:$J$2989,"&gt;="&amp;AX7,'1OZ7GT'!$J$6:$J$2989,"&lt;="&amp;EOMONTH(AX7,0),'1OZ7GT'!$L$6:$L$2989,$B$33)+SUMIFS('1CN8DD'!$K$6:$K$2989,'1CN8DD'!$J$6:$J$2989,"&gt;="&amp;AX7,'1CN8DD'!$J$6:$J$2989,"&lt;="&amp;EOMONTH(AX7,0),'1CN8DD'!$L$6:$L$2989,$B$33)+SUMIFS('1UT9BR'!$K$6:$K$2990,'1UT9BR'!$J$6:$J$2990,"&gt;="&amp;AX7,'1UT9BR'!$J$6:$J$2990,"&lt;="&amp;EOMONTH(AX7,0),'1UT9BR'!$L$6:$L$2990,$B$33)+SUMIFS('1MK4UR'!$K$6:$K$2990,'1MK4UR'!$J$6:$J$2990,"&gt;="&amp;AX7,'1MK4UR'!$J$6:$J$2990,"&lt;="&amp;EOMONTH(AX7,0),'1MK4UR'!$L$6:$L$2990,$B$33)+SUMIFS(#REF!,#REF!,"&gt;="&amp;AX7,#REF!,"&lt;="&amp;EOMONTH(AX7,0),#REF!,$B$33)+SUMIFS('1JI2UE'!$K$6:$K$2989,'1JI2UE'!$J$6:$J$2989,"&gt;="&amp;AX7,'1JI2UE'!$J$6:$J$2989,"&lt;="&amp;EOMONTH(AX7,0),'1JI2UE'!$L$6:$L$2989,$B$33)+SUMIFS(#REF!,#REF!,"&gt;="&amp;AX7,#REF!,"&lt;="&amp;EOMONTH(AX7,0),#REF!,$B$33)+SUMIFS('1SI9BW'!$K$6:$K$2989,'1SI9BW'!$J$6:$J$2989,"&gt;="&amp;AX7,'1SI9BW'!$J$6:$J$2989,"&lt;="&amp;EOMONTH(AX7,0),'1SI9BW'!$L$6:$L$2989,$B$33)+SUMIFS(Suzuki!$K$6:$K$2989,Suzuki!$J$6:$J$2989,"&gt;="&amp;AX7,Suzuki!$J$6:$J$2989,"&lt;="&amp;EOMONTH(AX7,0),Suzuki!$L$6:$L$2989,$B$33)+SUMIFS('1SK3DD'!$K$6:$K$2989,'1SK3DD'!$J$6:$J$2989,"&gt;="&amp;AX7,'1SK3DD'!$J$6:$J$2989,"&lt;="&amp;EOMONTH(AX7,0),'1SK3DD'!$L$6:$L$2989,$B$33)+SUMIFS('1SX5TQ'!$K$6:$K$2989,'1SX5TQ'!$J$6:$J$2989,"&gt;="&amp;AX7,'1SX5TQ'!$J$6:$J$2989,"&lt;="&amp;EOMONTH(AX7,0),'1SX5TQ'!$L$6:$L$2989,$B$33)+SUMIFS('BMM465'!$K$6:$K$2989,'BMM465'!$J$6:$J$2989,"&gt;="&amp;AX7,'BMM465'!$J$6:$J$2989,"&lt;="&amp;EOMONTH(AX7,0),'BMM465'!$L$6:$L$2989,$B$33)+SUMIFS('1CF1ZO'!$K$6:$K$2989,'1CF1ZO'!$J$6:$J$2989,"&gt;="&amp;AX7,'1CF1ZO'!$J$6:$J$2989,"&lt;="&amp;EOMONTH(AX7,0),'1CF1ZO'!$L$6:$L$2989,$B$33)+SUMIFS('1UK1BK'!$K$6:$K$2989,'1UK1BK'!$J$6:$J$2989,"&gt;="&amp;AX7,'1UK1BK'!$J$6:$J$2989,"&lt;="&amp;EOMONTH(AX7,0),'1UK1BK'!$L$6:$L$2989,$B$33)</f>
        <v>#REF!</v>
      </c>
      <c r="AY33" s="110" t="e">
        <f>SUMIFS('CEI565'!$K$6:$K$2990,'CEI565'!$J$6:$J$2990,"&gt;="&amp;AY7,'CEI565'!$J$6:$J$2990,"&lt;="&amp;EOMONTH(AY7,0),'CEI565'!$L$6:$L$2990,$B$33)+SUMIFS('1SM3VL'!$K$6:$K$2990,'1SM3VL'!$J$6:$J$2990,"&gt;="&amp;AY7,'1SM3VL'!$J$6:$J$2990,"&lt;="&amp;EOMONTH(AY7,0),'1SM3VL'!$L$6:$L$2990,$B$33)+SUMIFS('1QF4SM'!$K$6:$K$2989,'1QF4SM'!$J$6:$J$2989,"&gt;="&amp;AY7,'1QF4SM'!$J$6:$J$2989,"&lt;="&amp;EOMONTH(AY7,0),'1QF4SM'!$L$6:$L$2989,$B$33)+SUMIFS('1UV5KI'!$K$6:$K$2989,'1UV5KI'!$J$6:$J$2989,"&gt;="&amp;AY7,'1UV5KI'!$J$6:$J$2989,"&lt;="&amp;EOMONTH(AY7,0),'1UV5KI'!$L$6:$L$2989,$B$33)+SUMIFS(#REF!,#REF!,"&gt;="&amp;AY7,#REF!,"&lt;="&amp;EOMONTH(AY7,0),#REF!,$B$33)+SUMIFS('1UL9RY'!$K$6:$K$2990,'1UL9RY'!$J$6:$J$2990,"&gt;="&amp;AY7,'1UL9RY'!$J$6:$J$2990,"&lt;="&amp;EOMONTH(AY7,0),'1UL9RY'!$L$6:$L$2990,$B$33)+SUMIFS('1OZ7GT'!$K$6:$K$2989,'1OZ7GT'!$J$6:$J$2989,"&gt;="&amp;AY7,'1OZ7GT'!$J$6:$J$2989,"&lt;="&amp;EOMONTH(AY7,0),'1OZ7GT'!$L$6:$L$2989,$B$33)+SUMIFS('1CN8DD'!$K$6:$K$2989,'1CN8DD'!$J$6:$J$2989,"&gt;="&amp;AY7,'1CN8DD'!$J$6:$J$2989,"&lt;="&amp;EOMONTH(AY7,0),'1CN8DD'!$L$6:$L$2989,$B$33)+SUMIFS('1UT9BR'!$K$6:$K$2990,'1UT9BR'!$J$6:$J$2990,"&gt;="&amp;AY7,'1UT9BR'!$J$6:$J$2990,"&lt;="&amp;EOMONTH(AY7,0),'1UT9BR'!$L$6:$L$2990,$B$33)+SUMIFS('1MK4UR'!$K$6:$K$2990,'1MK4UR'!$J$6:$J$2990,"&gt;="&amp;AY7,'1MK4UR'!$J$6:$J$2990,"&lt;="&amp;EOMONTH(AY7,0),'1MK4UR'!$L$6:$L$2990,$B$33)+SUMIFS(#REF!,#REF!,"&gt;="&amp;AY7,#REF!,"&lt;="&amp;EOMONTH(AY7,0),#REF!,$B$33)+SUMIFS('1JI2UE'!$K$6:$K$2989,'1JI2UE'!$J$6:$J$2989,"&gt;="&amp;AY7,'1JI2UE'!$J$6:$J$2989,"&lt;="&amp;EOMONTH(AY7,0),'1JI2UE'!$L$6:$L$2989,$B$33)+SUMIFS(#REF!,#REF!,"&gt;="&amp;AY7,#REF!,"&lt;="&amp;EOMONTH(AY7,0),#REF!,$B$33)+SUMIFS('1SI9BW'!$K$6:$K$2989,'1SI9BW'!$J$6:$J$2989,"&gt;="&amp;AY7,'1SI9BW'!$J$6:$J$2989,"&lt;="&amp;EOMONTH(AY7,0),'1SI9BW'!$L$6:$L$2989,$B$33)+SUMIFS(Suzuki!$K$6:$K$2989,Suzuki!$J$6:$J$2989,"&gt;="&amp;AY7,Suzuki!$J$6:$J$2989,"&lt;="&amp;EOMONTH(AY7,0),Suzuki!$L$6:$L$2989,$B$33)+SUMIFS('1SK3DD'!$K$6:$K$2989,'1SK3DD'!$J$6:$J$2989,"&gt;="&amp;AY7,'1SK3DD'!$J$6:$J$2989,"&lt;="&amp;EOMONTH(AY7,0),'1SK3DD'!$L$6:$L$2989,$B$33)+SUMIFS('1SX5TQ'!$K$6:$K$2989,'1SX5TQ'!$J$6:$J$2989,"&gt;="&amp;AY7,'1SX5TQ'!$J$6:$J$2989,"&lt;="&amp;EOMONTH(AY7,0),'1SX5TQ'!$L$6:$L$2989,$B$33)+SUMIFS('BMM465'!$K$6:$K$2989,'BMM465'!$J$6:$J$2989,"&gt;="&amp;AY7,'BMM465'!$J$6:$J$2989,"&lt;="&amp;EOMONTH(AY7,0),'BMM465'!$L$6:$L$2989,$B$33)+SUMIFS('1CF1ZO'!$K$6:$K$2989,'1CF1ZO'!$J$6:$J$2989,"&gt;="&amp;AY7,'1CF1ZO'!$J$6:$J$2989,"&lt;="&amp;EOMONTH(AY7,0),'1CF1ZO'!$L$6:$L$2989,$B$33)+SUMIFS('1UK1BK'!$K$6:$K$2989,'1UK1BK'!$J$6:$J$2989,"&gt;="&amp;AY7,'1UK1BK'!$J$6:$J$2989,"&lt;="&amp;EOMONTH(AY7,0),'1UK1BK'!$L$6:$L$2989,$B$33)</f>
        <v>#REF!</v>
      </c>
      <c r="AZ33" s="110" t="e">
        <f>SUMIFS('CEI565'!$K$6:$K$2990,'CEI565'!$J$6:$J$2990,"&gt;="&amp;AZ7,'CEI565'!$J$6:$J$2990,"&lt;="&amp;EOMONTH(AZ7,0),'CEI565'!$L$6:$L$2990,$B$33)+SUMIFS('1SM3VL'!$K$6:$K$2990,'1SM3VL'!$J$6:$J$2990,"&gt;="&amp;AZ7,'1SM3VL'!$J$6:$J$2990,"&lt;="&amp;EOMONTH(AZ7,0),'1SM3VL'!$L$6:$L$2990,$B$33)+SUMIFS('1QF4SM'!$K$6:$K$2989,'1QF4SM'!$J$6:$J$2989,"&gt;="&amp;AZ7,'1QF4SM'!$J$6:$J$2989,"&lt;="&amp;EOMONTH(AZ7,0),'1QF4SM'!$L$6:$L$2989,$B$33)+SUMIFS('1UV5KI'!$K$6:$K$2989,'1UV5KI'!$J$6:$J$2989,"&gt;="&amp;AZ7,'1UV5KI'!$J$6:$J$2989,"&lt;="&amp;EOMONTH(AZ7,0),'1UV5KI'!$L$6:$L$2989,$B$33)+SUMIFS(#REF!,#REF!,"&gt;="&amp;AZ7,#REF!,"&lt;="&amp;EOMONTH(AZ7,0),#REF!,$B$33)+SUMIFS('1UL9RY'!$K$6:$K$2990,'1UL9RY'!$J$6:$J$2990,"&gt;="&amp;AZ7,'1UL9RY'!$J$6:$J$2990,"&lt;="&amp;EOMONTH(AZ7,0),'1UL9RY'!$L$6:$L$2990,$B$33)+SUMIFS('1OZ7GT'!$K$6:$K$2989,'1OZ7GT'!$J$6:$J$2989,"&gt;="&amp;AZ7,'1OZ7GT'!$J$6:$J$2989,"&lt;="&amp;EOMONTH(AZ7,0),'1OZ7GT'!$L$6:$L$2989,$B$33)+SUMIFS('1CN8DD'!$K$6:$K$2989,'1CN8DD'!$J$6:$J$2989,"&gt;="&amp;AZ7,'1CN8DD'!$J$6:$J$2989,"&lt;="&amp;EOMONTH(AZ7,0),'1CN8DD'!$L$6:$L$2989,$B$33)+SUMIFS('1UT9BR'!$K$6:$K$2990,'1UT9BR'!$J$6:$J$2990,"&gt;="&amp;AZ7,'1UT9BR'!$J$6:$J$2990,"&lt;="&amp;EOMONTH(AZ7,0),'1UT9BR'!$L$6:$L$2990,$B$33)+SUMIFS('1MK4UR'!$K$6:$K$2990,'1MK4UR'!$J$6:$J$2990,"&gt;="&amp;AZ7,'1MK4UR'!$J$6:$J$2990,"&lt;="&amp;EOMONTH(AZ7,0),'1MK4UR'!$L$6:$L$2990,$B$33)+SUMIFS(#REF!,#REF!,"&gt;="&amp;AZ7,#REF!,"&lt;="&amp;EOMONTH(AZ7,0),#REF!,$B$33)+SUMIFS('1JI2UE'!$K$6:$K$2989,'1JI2UE'!$J$6:$J$2989,"&gt;="&amp;AZ7,'1JI2UE'!$J$6:$J$2989,"&lt;="&amp;EOMONTH(AZ7,0),'1JI2UE'!$L$6:$L$2989,$B$33)+SUMIFS(#REF!,#REF!,"&gt;="&amp;AZ7,#REF!,"&lt;="&amp;EOMONTH(AZ7,0),#REF!,$B$33)+SUMIFS('1SI9BW'!$K$6:$K$2989,'1SI9BW'!$J$6:$J$2989,"&gt;="&amp;AZ7,'1SI9BW'!$J$6:$J$2989,"&lt;="&amp;EOMONTH(AZ7,0),'1SI9BW'!$L$6:$L$2989,$B$33)+SUMIFS(Suzuki!$K$6:$K$2989,Suzuki!$J$6:$J$2989,"&gt;="&amp;AZ7,Suzuki!$J$6:$J$2989,"&lt;="&amp;EOMONTH(AZ7,0),Suzuki!$L$6:$L$2989,$B$33)+SUMIFS('1SK3DD'!$K$6:$K$2989,'1SK3DD'!$J$6:$J$2989,"&gt;="&amp;AZ7,'1SK3DD'!$J$6:$J$2989,"&lt;="&amp;EOMONTH(AZ7,0),'1SK3DD'!$L$6:$L$2989,$B$33)+SUMIFS('1SX5TQ'!$K$6:$K$2989,'1SX5TQ'!$J$6:$J$2989,"&gt;="&amp;AZ7,'1SX5TQ'!$J$6:$J$2989,"&lt;="&amp;EOMONTH(AZ7,0),'1SX5TQ'!$L$6:$L$2989,$B$33)+SUMIFS('BMM465'!$K$6:$K$2989,'BMM465'!$J$6:$J$2989,"&gt;="&amp;AZ7,'BMM465'!$J$6:$J$2989,"&lt;="&amp;EOMONTH(AZ7,0),'BMM465'!$L$6:$L$2989,$B$33)+SUMIFS('1CF1ZO'!$K$6:$K$2989,'1CF1ZO'!$J$6:$J$2989,"&gt;="&amp;AZ7,'1CF1ZO'!$J$6:$J$2989,"&lt;="&amp;EOMONTH(AZ7,0),'1CF1ZO'!$L$6:$L$2989,$B$33)+SUMIFS('1UK1BK'!$K$6:$K$2989,'1UK1BK'!$J$6:$J$2989,"&gt;="&amp;AZ7,'1UK1BK'!$J$6:$J$2989,"&lt;="&amp;EOMONTH(AZ7,0),'1UK1BK'!$L$6:$L$2989,$B$33)</f>
        <v>#REF!</v>
      </c>
      <c r="BA33" s="110" t="e">
        <f>SUMIFS('CEI565'!$K$6:$K$2990,'CEI565'!$J$6:$J$2990,"&gt;="&amp;BA7,'CEI565'!$J$6:$J$2990,"&lt;="&amp;EOMONTH(BA7,0),'CEI565'!$L$6:$L$2990,$B$33)+SUMIFS('1SM3VL'!$K$6:$K$2990,'1SM3VL'!$J$6:$J$2990,"&gt;="&amp;BA7,'1SM3VL'!$J$6:$J$2990,"&lt;="&amp;EOMONTH(BA7,0),'1SM3VL'!$L$6:$L$2990,$B$33)+SUMIFS('1QF4SM'!$K$6:$K$2989,'1QF4SM'!$J$6:$J$2989,"&gt;="&amp;BA7,'1QF4SM'!$J$6:$J$2989,"&lt;="&amp;EOMONTH(BA7,0),'1QF4SM'!$L$6:$L$2989,$B$33)+SUMIFS('1UV5KI'!$K$6:$K$2989,'1UV5KI'!$J$6:$J$2989,"&gt;="&amp;BA7,'1UV5KI'!$J$6:$J$2989,"&lt;="&amp;EOMONTH(BA7,0),'1UV5KI'!$L$6:$L$2989,$B$33)+SUMIFS(#REF!,#REF!,"&gt;="&amp;BA7,#REF!,"&lt;="&amp;EOMONTH(BA7,0),#REF!,$B$33)+SUMIFS('1UL9RY'!$K$6:$K$2990,'1UL9RY'!$J$6:$J$2990,"&gt;="&amp;BA7,'1UL9RY'!$J$6:$J$2990,"&lt;="&amp;EOMONTH(BA7,0),'1UL9RY'!$L$6:$L$2990,$B$33)+SUMIFS('1OZ7GT'!$K$6:$K$2989,'1OZ7GT'!$J$6:$J$2989,"&gt;="&amp;BA7,'1OZ7GT'!$J$6:$J$2989,"&lt;="&amp;EOMONTH(BA7,0),'1OZ7GT'!$L$6:$L$2989,$B$33)+SUMIFS('1CN8DD'!$K$6:$K$2989,'1CN8DD'!$J$6:$J$2989,"&gt;="&amp;BA7,'1CN8DD'!$J$6:$J$2989,"&lt;="&amp;EOMONTH(BA7,0),'1CN8DD'!$L$6:$L$2989,$B$33)+SUMIFS('1UT9BR'!$K$6:$K$2990,'1UT9BR'!$J$6:$J$2990,"&gt;="&amp;BA7,'1UT9BR'!$J$6:$J$2990,"&lt;="&amp;EOMONTH(BA7,0),'1UT9BR'!$L$6:$L$2990,$B$33)+SUMIFS('1MK4UR'!$K$6:$K$2990,'1MK4UR'!$J$6:$J$2990,"&gt;="&amp;BA7,'1MK4UR'!$J$6:$J$2990,"&lt;="&amp;EOMONTH(BA7,0),'1MK4UR'!$L$6:$L$2990,$B$33)+SUMIFS(#REF!,#REF!,"&gt;="&amp;BA7,#REF!,"&lt;="&amp;EOMONTH(BA7,0),#REF!,$B$33)+SUMIFS('1JI2UE'!$K$6:$K$2989,'1JI2UE'!$J$6:$J$2989,"&gt;="&amp;BA7,'1JI2UE'!$J$6:$J$2989,"&lt;="&amp;EOMONTH(BA7,0),'1JI2UE'!$L$6:$L$2989,$B$33)+SUMIFS(#REF!,#REF!,"&gt;="&amp;BA7,#REF!,"&lt;="&amp;EOMONTH(BA7,0),#REF!,$B$33)+SUMIFS('1SI9BW'!$K$6:$K$2989,'1SI9BW'!$J$6:$J$2989,"&gt;="&amp;BA7,'1SI9BW'!$J$6:$J$2989,"&lt;="&amp;EOMONTH(BA7,0),'1SI9BW'!$L$6:$L$2989,$B$33)+SUMIFS(Suzuki!$K$6:$K$2989,Suzuki!$J$6:$J$2989,"&gt;="&amp;BA7,Suzuki!$J$6:$J$2989,"&lt;="&amp;EOMONTH(BA7,0),Suzuki!$L$6:$L$2989,$B$33)+SUMIFS('1SK3DD'!$K$6:$K$2989,'1SK3DD'!$J$6:$J$2989,"&gt;="&amp;BA7,'1SK3DD'!$J$6:$J$2989,"&lt;="&amp;EOMONTH(BA7,0),'1SK3DD'!$L$6:$L$2989,$B$33)+SUMIFS('1SX5TQ'!$K$6:$K$2989,'1SX5TQ'!$J$6:$J$2989,"&gt;="&amp;BA7,'1SX5TQ'!$J$6:$J$2989,"&lt;="&amp;EOMONTH(BA7,0),'1SX5TQ'!$L$6:$L$2989,$B$33)+SUMIFS('BMM465'!$K$6:$K$2989,'BMM465'!$J$6:$J$2989,"&gt;="&amp;BA7,'BMM465'!$J$6:$J$2989,"&lt;="&amp;EOMONTH(BA7,0),'BMM465'!$L$6:$L$2989,$B$33)+SUMIFS('1CF1ZO'!$K$6:$K$2989,'1CF1ZO'!$J$6:$J$2989,"&gt;="&amp;BA7,'1CF1ZO'!$J$6:$J$2989,"&lt;="&amp;EOMONTH(BA7,0),'1CF1ZO'!$L$6:$L$2989,$B$33)+SUMIFS('1UK1BK'!$K$6:$K$2989,'1UK1BK'!$J$6:$J$2989,"&gt;="&amp;BA7,'1UK1BK'!$J$6:$J$2989,"&lt;="&amp;EOMONTH(BA7,0),'1UK1BK'!$L$6:$L$2989,$B$33)</f>
        <v>#REF!</v>
      </c>
    </row>
    <row r="34" spans="2:53" x14ac:dyDescent="0.25">
      <c r="B34" s="5" t="s">
        <v>20</v>
      </c>
      <c r="C34" s="69" t="str">
        <f t="shared" si="13"/>
        <v/>
      </c>
      <c r="D34" s="109" t="e">
        <f t="shared" si="2"/>
        <v>#REF!</v>
      </c>
      <c r="E34" s="69" t="str">
        <f t="shared" si="14"/>
        <v/>
      </c>
      <c r="F34" s="109" t="e">
        <f t="shared" si="3"/>
        <v>#REF!</v>
      </c>
      <c r="G34" s="69" t="str">
        <f t="shared" si="16"/>
        <v/>
      </c>
      <c r="H34" s="109" t="e">
        <f t="shared" si="4"/>
        <v>#REF!</v>
      </c>
      <c r="I34" s="110" t="e">
        <f>SUMIFS('CEI565'!$K$6:$K$2990,'CEI565'!$J$6:$J$2990,"&gt;="&amp;I7,'CEI565'!$J$6:$J$2990,"&lt;="&amp;EOMONTH(I7,0),'CEI565'!$L$6:$L$2990,$B$34)+SUMIFS('1SM3VL'!$K$6:$K$2990,'1SM3VL'!$J$6:$J$2990,"&gt;="&amp;I7,'1SM3VL'!$J$6:$J$2990,"&lt;="&amp;EOMONTH(I7,0),'1SM3VL'!$L$6:$L$2990,$B$34)+SUMIFS('1QF4SM'!$K$6:$K$2989,'1QF4SM'!$J$6:$J$2989,"&gt;="&amp;I7,'1QF4SM'!$J$6:$J$2989,"&lt;="&amp;EOMONTH(I7,0),'1QF4SM'!$L$6:$L$2989,$B$34)+SUMIFS('1UV5KI'!$K$6:$K$2989,'1UV5KI'!$J$6:$J$2989,"&gt;="&amp;I7,'1UV5KI'!$J$6:$J$2989,"&lt;="&amp;EOMONTH(I7,0),'1UV5KI'!$L$6:$L$2989,$B$34)+SUMIFS(#REF!,#REF!,"&gt;="&amp;I7,#REF!,"&lt;="&amp;EOMONTH(I7,0),#REF!,$B$34)+SUMIFS('1UL9RY'!$K$6:$K$2990,'1UL9RY'!$J$6:$J$2990,"&gt;="&amp;I7,'1UL9RY'!$J$6:$J$2990,"&lt;="&amp;EOMONTH(I7,0),'1UL9RY'!$L$6:$L$2990,$B$34)+SUMIFS('1OZ7GT'!$K$6:$K$2989,'1OZ7GT'!$J$6:$J$2989,"&gt;="&amp;I7,'1OZ7GT'!$J$6:$J$2989,"&lt;="&amp;EOMONTH(I7,0),'1OZ7GT'!$L$6:$L$2989,$B$34)+SUMIFS('1CN8DD'!$K$6:$K$2989,'1CN8DD'!$J$6:$J$2989,"&gt;="&amp;I7,'1CN8DD'!$J$6:$J$2989,"&lt;="&amp;EOMONTH(I7,0),'1CN8DD'!$L$6:$L$2989,$B$34)+SUMIFS('1UT9BR'!$K$6:$K$2990,'1UT9BR'!$J$6:$J$2990,"&gt;="&amp;I7,'1UT9BR'!$J$6:$J$2990,"&lt;="&amp;EOMONTH(I7,0),'1UT9BR'!$L$6:$L$2990,$B$34)+SUMIFS('1MK4UR'!$K$6:$K$2990,'1MK4UR'!$J$6:$J$2990,"&gt;="&amp;I7,'1MK4UR'!$J$6:$J$2990,"&lt;="&amp;EOMONTH(I7,0),'1MK4UR'!$L$6:$L$2990,$B$34)+SUMIFS(#REF!,#REF!,"&gt;="&amp;I7,#REF!,"&lt;="&amp;EOMONTH(I7,0),#REF!,$B$34)+SUMIFS('1JI2UE'!$K$6:$K$2989,'1JI2UE'!$J$6:$J$2989,"&gt;="&amp;I7,'1JI2UE'!$J$6:$J$2989,"&lt;="&amp;EOMONTH(I7,0),'1JI2UE'!$L$6:$L$2989,$B$34)+SUMIFS(#REF!,#REF!,"&gt;="&amp;I7,#REF!,"&lt;="&amp;EOMONTH(I7,0),#REF!,$B$34)+SUMIFS('1SI9BW'!$K$6:$K$2989,'1SI9BW'!$J$6:$J$2989,"&gt;="&amp;I7,'1SI9BW'!$J$6:$J$2989,"&lt;="&amp;EOMONTH(I7,0),'1SI9BW'!$L$6:$L$2989,$B$34)+SUMIFS(Suzuki!$K$6:$K$2989,Suzuki!$J$6:$J$2989,"&gt;="&amp;I7,Suzuki!$J$6:$J$2989,"&lt;="&amp;EOMONTH(I7,0),Suzuki!$L$6:$L$2989,$B$34)+SUMIFS('1SK3DD'!$K$6:$K$2989,'1SK3DD'!$J$6:$J$2989,"&gt;="&amp;I7,'1SK3DD'!$J$6:$J$2989,"&lt;="&amp;EOMONTH(I7,0),'1SK3DD'!$L$6:$L$2989,$B$34)+SUMIFS('1SX5TQ'!$K$6:$K$2989,'1SX5TQ'!$J$6:$J$2989,"&gt;="&amp;I7,'1SX5TQ'!$J$6:$J$2989,"&lt;="&amp;EOMONTH(I7,0),'1SX5TQ'!$L$6:$L$2989,$B$34)+SUMIFS('BMM465'!$K$6:$K$2989,'BMM465'!$J$6:$J$2989,"&gt;="&amp;I7,'BMM465'!$J$6:$J$2989,"&lt;="&amp;EOMONTH(I7,0),'BMM465'!$L$6:$L$2989,$B$34)+SUMIFS('1CF1ZO'!$K$6:$K$2989,'1CF1ZO'!$J$6:$J$2989,"&gt;="&amp;I7,'1CF1ZO'!$J$6:$J$2989,"&lt;="&amp;EOMONTH(I7,0),'1CF1ZO'!$L$6:$L$2989,$B$34)+SUMIFS('1UK1BK'!$K$6:$K$2989,'1UK1BK'!$J$6:$J$2989,"&gt;="&amp;I7,'1UK1BK'!$J$6:$J$2989,"&lt;="&amp;EOMONTH(I7,0),'1UK1BK'!$L$6:$L$2989,$B$34)</f>
        <v>#REF!</v>
      </c>
      <c r="J34" s="110" t="e">
        <f>SUMIFS('CEI565'!$K$6:$K$2990,'CEI565'!$J$6:$J$2990,"&gt;="&amp;J7,'CEI565'!$J$6:$J$2990,"&lt;="&amp;EOMONTH(J7,0),'CEI565'!$L$6:$L$2990,$B$34)+SUMIFS('1SM3VL'!$K$6:$K$2990,'1SM3VL'!$J$6:$J$2990,"&gt;="&amp;J7,'1SM3VL'!$J$6:$J$2990,"&lt;="&amp;EOMONTH(J7,0),'1SM3VL'!$L$6:$L$2990,$B$34)+SUMIFS('1QF4SM'!$K$6:$K$2989,'1QF4SM'!$J$6:$J$2989,"&gt;="&amp;J7,'1QF4SM'!$J$6:$J$2989,"&lt;="&amp;EOMONTH(J7,0),'1QF4SM'!$L$6:$L$2989,$B$34)+SUMIFS('1UV5KI'!$K$6:$K$2989,'1UV5KI'!$J$6:$J$2989,"&gt;="&amp;J7,'1UV5KI'!$J$6:$J$2989,"&lt;="&amp;EOMONTH(J7,0),'1UV5KI'!$L$6:$L$2989,$B$34)+SUMIFS(#REF!,#REF!,"&gt;="&amp;J7,#REF!,"&lt;="&amp;EOMONTH(J7,0),#REF!,$B$34)+SUMIFS('1UL9RY'!$K$6:$K$2990,'1UL9RY'!$J$6:$J$2990,"&gt;="&amp;J7,'1UL9RY'!$J$6:$J$2990,"&lt;="&amp;EOMONTH(J7,0),'1UL9RY'!$L$6:$L$2990,$B$34)+SUMIFS('1OZ7GT'!$K$6:$K$2989,'1OZ7GT'!$J$6:$J$2989,"&gt;="&amp;J7,'1OZ7GT'!$J$6:$J$2989,"&lt;="&amp;EOMONTH(J7,0),'1OZ7GT'!$L$6:$L$2989,$B$34)+SUMIFS('1CN8DD'!$K$6:$K$2989,'1CN8DD'!$J$6:$J$2989,"&gt;="&amp;J7,'1CN8DD'!$J$6:$J$2989,"&lt;="&amp;EOMONTH(J7,0),'1CN8DD'!$L$6:$L$2989,$B$34)+SUMIFS('1UT9BR'!$K$6:$K$2990,'1UT9BR'!$J$6:$J$2990,"&gt;="&amp;J7,'1UT9BR'!$J$6:$J$2990,"&lt;="&amp;EOMONTH(J7,0),'1UT9BR'!$L$6:$L$2990,$B$34)+SUMIFS('1MK4UR'!$K$6:$K$2990,'1MK4UR'!$J$6:$J$2990,"&gt;="&amp;J7,'1MK4UR'!$J$6:$J$2990,"&lt;="&amp;EOMONTH(J7,0),'1MK4UR'!$L$6:$L$2990,$B$34)+SUMIFS(#REF!,#REF!,"&gt;="&amp;J7,#REF!,"&lt;="&amp;EOMONTH(J7,0),#REF!,$B$34)+SUMIFS('1JI2UE'!$K$6:$K$2989,'1JI2UE'!$J$6:$J$2989,"&gt;="&amp;J7,'1JI2UE'!$J$6:$J$2989,"&lt;="&amp;EOMONTH(J7,0),'1JI2UE'!$L$6:$L$2989,$B$34)+SUMIFS(#REF!,#REF!,"&gt;="&amp;J7,#REF!,"&lt;="&amp;EOMONTH(J7,0),#REF!,$B$34)+SUMIFS('1SI9BW'!$K$6:$K$2989,'1SI9BW'!$J$6:$J$2989,"&gt;="&amp;J7,'1SI9BW'!$J$6:$J$2989,"&lt;="&amp;EOMONTH(J7,0),'1SI9BW'!$L$6:$L$2989,$B$34)+SUMIFS(Suzuki!$K$6:$K$2989,Suzuki!$J$6:$J$2989,"&gt;="&amp;J7,Suzuki!$J$6:$J$2989,"&lt;="&amp;EOMONTH(J7,0),Suzuki!$L$6:$L$2989,$B$34)+SUMIFS('1SK3DD'!$K$6:$K$2989,'1SK3DD'!$J$6:$J$2989,"&gt;="&amp;J7,'1SK3DD'!$J$6:$J$2989,"&lt;="&amp;EOMONTH(J7,0),'1SK3DD'!$L$6:$L$2989,$B$34)+SUMIFS('1SX5TQ'!$K$6:$K$2989,'1SX5TQ'!$J$6:$J$2989,"&gt;="&amp;J7,'1SX5TQ'!$J$6:$J$2989,"&lt;="&amp;EOMONTH(J7,0),'1SX5TQ'!$L$6:$L$2989,$B$34)+SUMIFS('BMM465'!$K$6:$K$2989,'BMM465'!$J$6:$J$2989,"&gt;="&amp;J7,'BMM465'!$J$6:$J$2989,"&lt;="&amp;EOMONTH(J7,0),'BMM465'!$L$6:$L$2989,$B$34)+SUMIFS('1CF1ZO'!$K$6:$K$2989,'1CF1ZO'!$J$6:$J$2989,"&gt;="&amp;J7,'1CF1ZO'!$J$6:$J$2989,"&lt;="&amp;EOMONTH(J7,0),'1CF1ZO'!$L$6:$L$2989,$B$34)+SUMIFS('1UK1BK'!$K$6:$K$2989,'1UK1BK'!$J$6:$J$2989,"&gt;="&amp;J7,'1UK1BK'!$J$6:$J$2989,"&lt;="&amp;EOMONTH(J7,0),'1UK1BK'!$L$6:$L$2989,$B$34)</f>
        <v>#REF!</v>
      </c>
      <c r="K34" s="110" t="e">
        <f>SUMIFS('CEI565'!$K$6:$K$2990,'CEI565'!$J$6:$J$2990,"&gt;="&amp;K7,'CEI565'!$J$6:$J$2990,"&lt;="&amp;EOMONTH(K7,0),'CEI565'!$L$6:$L$2990,$B$34)+SUMIFS('1SM3VL'!$K$6:$K$2990,'1SM3VL'!$J$6:$J$2990,"&gt;="&amp;K7,'1SM3VL'!$J$6:$J$2990,"&lt;="&amp;EOMONTH(K7,0),'1SM3VL'!$L$6:$L$2990,$B$34)+SUMIFS('1QF4SM'!$K$6:$K$2989,'1QF4SM'!$J$6:$J$2989,"&gt;="&amp;K7,'1QF4SM'!$J$6:$J$2989,"&lt;="&amp;EOMONTH(K7,0),'1QF4SM'!$L$6:$L$2989,$B$34)+SUMIFS('1UV5KI'!$K$6:$K$2989,'1UV5KI'!$J$6:$J$2989,"&gt;="&amp;K7,'1UV5KI'!$J$6:$J$2989,"&lt;="&amp;EOMONTH(K7,0),'1UV5KI'!$L$6:$L$2989,$B$34)+SUMIFS(#REF!,#REF!,"&gt;="&amp;K7,#REF!,"&lt;="&amp;EOMONTH(K7,0),#REF!,$B$34)+SUMIFS('1UL9RY'!$K$6:$K$2990,'1UL9RY'!$J$6:$J$2990,"&gt;="&amp;K7,'1UL9RY'!$J$6:$J$2990,"&lt;="&amp;EOMONTH(K7,0),'1UL9RY'!$L$6:$L$2990,$B$34)+SUMIFS('1OZ7GT'!$K$6:$K$2989,'1OZ7GT'!$J$6:$J$2989,"&gt;="&amp;K7,'1OZ7GT'!$J$6:$J$2989,"&lt;="&amp;EOMONTH(K7,0),'1OZ7GT'!$L$6:$L$2989,$B$34)+SUMIFS('1CN8DD'!$K$6:$K$2989,'1CN8DD'!$J$6:$J$2989,"&gt;="&amp;K7,'1CN8DD'!$J$6:$J$2989,"&lt;="&amp;EOMONTH(K7,0),'1CN8DD'!$L$6:$L$2989,$B$34)+SUMIFS('1UT9BR'!$K$6:$K$2990,'1UT9BR'!$J$6:$J$2990,"&gt;="&amp;K7,'1UT9BR'!$J$6:$J$2990,"&lt;="&amp;EOMONTH(K7,0),'1UT9BR'!$L$6:$L$2990,$B$34)+SUMIFS('1MK4UR'!$K$6:$K$2990,'1MK4UR'!$J$6:$J$2990,"&gt;="&amp;K7,'1MK4UR'!$J$6:$J$2990,"&lt;="&amp;EOMONTH(K7,0),'1MK4UR'!$L$6:$L$2990,$B$34)+SUMIFS(#REF!,#REF!,"&gt;="&amp;K7,#REF!,"&lt;="&amp;EOMONTH(K7,0),#REF!,$B$34)+SUMIFS('1JI2UE'!$K$6:$K$2989,'1JI2UE'!$J$6:$J$2989,"&gt;="&amp;K7,'1JI2UE'!$J$6:$J$2989,"&lt;="&amp;EOMONTH(K7,0),'1JI2UE'!$L$6:$L$2989,$B$34)+SUMIFS(#REF!,#REF!,"&gt;="&amp;K7,#REF!,"&lt;="&amp;EOMONTH(K7,0),#REF!,$B$34)+SUMIFS('1SI9BW'!$K$6:$K$2989,'1SI9BW'!$J$6:$J$2989,"&gt;="&amp;K7,'1SI9BW'!$J$6:$J$2989,"&lt;="&amp;EOMONTH(K7,0),'1SI9BW'!$L$6:$L$2989,$B$34)+SUMIFS(Suzuki!$K$6:$K$2989,Suzuki!$J$6:$J$2989,"&gt;="&amp;K7,Suzuki!$J$6:$J$2989,"&lt;="&amp;EOMONTH(K7,0),Suzuki!$L$6:$L$2989,$B$34)+SUMIFS('1SK3DD'!$K$6:$K$2989,'1SK3DD'!$J$6:$J$2989,"&gt;="&amp;K7,'1SK3DD'!$J$6:$J$2989,"&lt;="&amp;EOMONTH(K7,0),'1SK3DD'!$L$6:$L$2989,$B$34)+SUMIFS('1SX5TQ'!$K$6:$K$2989,'1SX5TQ'!$J$6:$J$2989,"&gt;="&amp;K7,'1SX5TQ'!$J$6:$J$2989,"&lt;="&amp;EOMONTH(K7,0),'1SX5TQ'!$L$6:$L$2989,$B$34)+SUMIFS('BMM465'!$K$6:$K$2989,'BMM465'!$J$6:$J$2989,"&gt;="&amp;K7,'BMM465'!$J$6:$J$2989,"&lt;="&amp;EOMONTH(K7,0),'BMM465'!$L$6:$L$2989,$B$34)+SUMIFS('1CF1ZO'!$K$6:$K$2989,'1CF1ZO'!$J$6:$J$2989,"&gt;="&amp;K7,'1CF1ZO'!$J$6:$J$2989,"&lt;="&amp;EOMONTH(K7,0),'1CF1ZO'!$L$6:$L$2989,$B$34)+SUMIFS('1UK1BK'!$K$6:$K$2989,'1UK1BK'!$J$6:$J$2989,"&gt;="&amp;K7,'1UK1BK'!$J$6:$J$2989,"&lt;="&amp;EOMONTH(K7,0),'1UK1BK'!$L$6:$L$2989,$B$34)</f>
        <v>#REF!</v>
      </c>
      <c r="L34" s="110" t="e">
        <f>SUMIFS('CEI565'!$K$6:$K$2990,'CEI565'!$J$6:$J$2990,"&gt;="&amp;L7,'CEI565'!$J$6:$J$2990,"&lt;="&amp;EOMONTH(L7,0),'CEI565'!$L$6:$L$2990,$B$34)+SUMIFS('1SM3VL'!$K$6:$K$2990,'1SM3VL'!$J$6:$J$2990,"&gt;="&amp;L7,'1SM3VL'!$J$6:$J$2990,"&lt;="&amp;EOMONTH(L7,0),'1SM3VL'!$L$6:$L$2990,$B$34)+SUMIFS('1QF4SM'!$K$6:$K$2989,'1QF4SM'!$J$6:$J$2989,"&gt;="&amp;L7,'1QF4SM'!$J$6:$J$2989,"&lt;="&amp;EOMONTH(L7,0),'1QF4SM'!$L$6:$L$2989,$B$34)+SUMIFS('1UV5KI'!$K$6:$K$2989,'1UV5KI'!$J$6:$J$2989,"&gt;="&amp;L7,'1UV5KI'!$J$6:$J$2989,"&lt;="&amp;EOMONTH(L7,0),'1UV5KI'!$L$6:$L$2989,$B$34)+SUMIFS(#REF!,#REF!,"&gt;="&amp;L7,#REF!,"&lt;="&amp;EOMONTH(L7,0),#REF!,$B$34)+SUMIFS('1UL9RY'!$K$6:$K$2990,'1UL9RY'!$J$6:$J$2990,"&gt;="&amp;L7,'1UL9RY'!$J$6:$J$2990,"&lt;="&amp;EOMONTH(L7,0),'1UL9RY'!$L$6:$L$2990,$B$34)+SUMIFS('1OZ7GT'!$K$6:$K$2989,'1OZ7GT'!$J$6:$J$2989,"&gt;="&amp;L7,'1OZ7GT'!$J$6:$J$2989,"&lt;="&amp;EOMONTH(L7,0),'1OZ7GT'!$L$6:$L$2989,$B$34)+SUMIFS('1CN8DD'!$K$6:$K$2989,'1CN8DD'!$J$6:$J$2989,"&gt;="&amp;L7,'1CN8DD'!$J$6:$J$2989,"&lt;="&amp;EOMONTH(L7,0),'1CN8DD'!$L$6:$L$2989,$B$34)+SUMIFS('1UT9BR'!$K$6:$K$2990,'1UT9BR'!$J$6:$J$2990,"&gt;="&amp;L7,'1UT9BR'!$J$6:$J$2990,"&lt;="&amp;EOMONTH(L7,0),'1UT9BR'!$L$6:$L$2990,$B$34)+SUMIFS('1MK4UR'!$K$6:$K$2990,'1MK4UR'!$J$6:$J$2990,"&gt;="&amp;L7,'1MK4UR'!$J$6:$J$2990,"&lt;="&amp;EOMONTH(L7,0),'1MK4UR'!$L$6:$L$2990,$B$34)+SUMIFS(#REF!,#REF!,"&gt;="&amp;L7,#REF!,"&lt;="&amp;EOMONTH(L7,0),#REF!,$B$34)+SUMIFS('1JI2UE'!$K$6:$K$2989,'1JI2UE'!$J$6:$J$2989,"&gt;="&amp;L7,'1JI2UE'!$J$6:$J$2989,"&lt;="&amp;EOMONTH(L7,0),'1JI2UE'!$L$6:$L$2989,$B$34)+SUMIFS(#REF!,#REF!,"&gt;="&amp;L7,#REF!,"&lt;="&amp;EOMONTH(L7,0),#REF!,$B$34)+SUMIFS('1SI9BW'!$K$6:$K$2989,'1SI9BW'!$J$6:$J$2989,"&gt;="&amp;L7,'1SI9BW'!$J$6:$J$2989,"&lt;="&amp;EOMONTH(L7,0),'1SI9BW'!$L$6:$L$2989,$B$34)+SUMIFS(Suzuki!$K$6:$K$2989,Suzuki!$J$6:$J$2989,"&gt;="&amp;L7,Suzuki!$J$6:$J$2989,"&lt;="&amp;EOMONTH(L7,0),Suzuki!$L$6:$L$2989,$B$34)+SUMIFS('1SK3DD'!$K$6:$K$2989,'1SK3DD'!$J$6:$J$2989,"&gt;="&amp;L7,'1SK3DD'!$J$6:$J$2989,"&lt;="&amp;EOMONTH(L7,0),'1SK3DD'!$L$6:$L$2989,$B$34)+SUMIFS('1SX5TQ'!$K$6:$K$2989,'1SX5TQ'!$J$6:$J$2989,"&gt;="&amp;L7,'1SX5TQ'!$J$6:$J$2989,"&lt;="&amp;EOMONTH(L7,0),'1SX5TQ'!$L$6:$L$2989,$B$34)+SUMIFS('BMM465'!$K$6:$K$2989,'BMM465'!$J$6:$J$2989,"&gt;="&amp;L7,'BMM465'!$J$6:$J$2989,"&lt;="&amp;EOMONTH(L7,0),'BMM465'!$L$6:$L$2989,$B$34)+SUMIFS('1CF1ZO'!$K$6:$K$2989,'1CF1ZO'!$J$6:$J$2989,"&gt;="&amp;L7,'1CF1ZO'!$J$6:$J$2989,"&lt;="&amp;EOMONTH(L7,0),'1CF1ZO'!$L$6:$L$2989,$B$34)+SUMIFS('1UK1BK'!$K$6:$K$2989,'1UK1BK'!$J$6:$J$2989,"&gt;="&amp;L7,'1UK1BK'!$J$6:$J$2989,"&lt;="&amp;EOMONTH(L7,0),'1UK1BK'!$L$6:$L$2989,$B$34)</f>
        <v>#REF!</v>
      </c>
      <c r="M34" s="110" t="e">
        <f>SUMIFS('CEI565'!$K$6:$K$2990,'CEI565'!$J$6:$J$2990,"&gt;="&amp;M7,'CEI565'!$J$6:$J$2990,"&lt;="&amp;EOMONTH(M7,0),'CEI565'!$L$6:$L$2990,$B$34)+SUMIFS('1SM3VL'!$K$6:$K$2990,'1SM3VL'!$J$6:$J$2990,"&gt;="&amp;M7,'1SM3VL'!$J$6:$J$2990,"&lt;="&amp;EOMONTH(M7,0),'1SM3VL'!$L$6:$L$2990,$B$34)+SUMIFS('1QF4SM'!$K$6:$K$2989,'1QF4SM'!$J$6:$J$2989,"&gt;="&amp;M7,'1QF4SM'!$J$6:$J$2989,"&lt;="&amp;EOMONTH(M7,0),'1QF4SM'!$L$6:$L$2989,$B$34)+SUMIFS('1UV5KI'!$K$6:$K$2989,'1UV5KI'!$J$6:$J$2989,"&gt;="&amp;M7,'1UV5KI'!$J$6:$J$2989,"&lt;="&amp;EOMONTH(M7,0),'1UV5KI'!$L$6:$L$2989,$B$34)+SUMIFS(#REF!,#REF!,"&gt;="&amp;M7,#REF!,"&lt;="&amp;EOMONTH(M7,0),#REF!,$B$34)+SUMIFS('1UL9RY'!$K$6:$K$2990,'1UL9RY'!$J$6:$J$2990,"&gt;="&amp;M7,'1UL9RY'!$J$6:$J$2990,"&lt;="&amp;EOMONTH(M7,0),'1UL9RY'!$L$6:$L$2990,$B$34)+SUMIFS('1OZ7GT'!$K$6:$K$2989,'1OZ7GT'!$J$6:$J$2989,"&gt;="&amp;M7,'1OZ7GT'!$J$6:$J$2989,"&lt;="&amp;EOMONTH(M7,0),'1OZ7GT'!$L$6:$L$2989,$B$34)+SUMIFS('1CN8DD'!$K$6:$K$2989,'1CN8DD'!$J$6:$J$2989,"&gt;="&amp;M7,'1CN8DD'!$J$6:$J$2989,"&lt;="&amp;EOMONTH(M7,0),'1CN8DD'!$L$6:$L$2989,$B$34)+SUMIFS('1UT9BR'!$K$6:$K$2990,'1UT9BR'!$J$6:$J$2990,"&gt;="&amp;M7,'1UT9BR'!$J$6:$J$2990,"&lt;="&amp;EOMONTH(M7,0),'1UT9BR'!$L$6:$L$2990,$B$34)+SUMIFS('1MK4UR'!$K$6:$K$2990,'1MK4UR'!$J$6:$J$2990,"&gt;="&amp;M7,'1MK4UR'!$J$6:$J$2990,"&lt;="&amp;EOMONTH(M7,0),'1MK4UR'!$L$6:$L$2990,$B$34)+SUMIFS(#REF!,#REF!,"&gt;="&amp;M7,#REF!,"&lt;="&amp;EOMONTH(M7,0),#REF!,$B$34)+SUMIFS('1JI2UE'!$K$6:$K$2989,'1JI2UE'!$J$6:$J$2989,"&gt;="&amp;M7,'1JI2UE'!$J$6:$J$2989,"&lt;="&amp;EOMONTH(M7,0),'1JI2UE'!$L$6:$L$2989,$B$34)+SUMIFS(#REF!,#REF!,"&gt;="&amp;M7,#REF!,"&lt;="&amp;EOMONTH(M7,0),#REF!,$B$34)+SUMIFS('1SI9BW'!$K$6:$K$2989,'1SI9BW'!$J$6:$J$2989,"&gt;="&amp;M7,'1SI9BW'!$J$6:$J$2989,"&lt;="&amp;EOMONTH(M7,0),'1SI9BW'!$L$6:$L$2989,$B$34)+SUMIFS(Suzuki!$K$6:$K$2989,Suzuki!$J$6:$J$2989,"&gt;="&amp;M7,Suzuki!$J$6:$J$2989,"&lt;="&amp;EOMONTH(M7,0),Suzuki!$L$6:$L$2989,$B$34)+SUMIFS('1SK3DD'!$K$6:$K$2989,'1SK3DD'!$J$6:$J$2989,"&gt;="&amp;M7,'1SK3DD'!$J$6:$J$2989,"&lt;="&amp;EOMONTH(M7,0),'1SK3DD'!$L$6:$L$2989,$B$34)+SUMIFS('1SX5TQ'!$K$6:$K$2989,'1SX5TQ'!$J$6:$J$2989,"&gt;="&amp;M7,'1SX5TQ'!$J$6:$J$2989,"&lt;="&amp;EOMONTH(M7,0),'1SX5TQ'!$L$6:$L$2989,$B$34)+SUMIFS('BMM465'!$K$6:$K$2989,'BMM465'!$J$6:$J$2989,"&gt;="&amp;M7,'BMM465'!$J$6:$J$2989,"&lt;="&amp;EOMONTH(M7,0),'BMM465'!$L$6:$L$2989,$B$34)+SUMIFS('1CF1ZO'!$K$6:$K$2989,'1CF1ZO'!$J$6:$J$2989,"&gt;="&amp;M7,'1CF1ZO'!$J$6:$J$2989,"&lt;="&amp;EOMONTH(M7,0),'1CF1ZO'!$L$6:$L$2989,$B$34)+SUMIFS('1UK1BK'!$K$6:$K$2989,'1UK1BK'!$J$6:$J$2989,"&gt;="&amp;M7,'1UK1BK'!$J$6:$J$2989,"&lt;="&amp;EOMONTH(M7,0),'1UK1BK'!$L$6:$L$2989,$B$34)</f>
        <v>#REF!</v>
      </c>
      <c r="N34" s="110" t="e">
        <f>SUMIFS('CEI565'!$K$6:$K$2990,'CEI565'!$J$6:$J$2990,"&gt;="&amp;N7,'CEI565'!$J$6:$J$2990,"&lt;="&amp;EOMONTH(N7,0),'CEI565'!$L$6:$L$2990,$B$34)+SUMIFS('1SM3VL'!$K$6:$K$2990,'1SM3VL'!$J$6:$J$2990,"&gt;="&amp;N7,'1SM3VL'!$J$6:$J$2990,"&lt;="&amp;EOMONTH(N7,0),'1SM3VL'!$L$6:$L$2990,$B$34)+SUMIFS('1QF4SM'!$K$6:$K$2989,'1QF4SM'!$J$6:$J$2989,"&gt;="&amp;N7,'1QF4SM'!$J$6:$J$2989,"&lt;="&amp;EOMONTH(N7,0),'1QF4SM'!$L$6:$L$2989,$B$34)+SUMIFS('1UV5KI'!$K$6:$K$2989,'1UV5KI'!$J$6:$J$2989,"&gt;="&amp;N7,'1UV5KI'!$J$6:$J$2989,"&lt;="&amp;EOMONTH(N7,0),'1UV5KI'!$L$6:$L$2989,$B$34)+SUMIFS(#REF!,#REF!,"&gt;="&amp;N7,#REF!,"&lt;="&amp;EOMONTH(N7,0),#REF!,$B$34)+SUMIFS('1UL9RY'!$K$6:$K$2990,'1UL9RY'!$J$6:$J$2990,"&gt;="&amp;N7,'1UL9RY'!$J$6:$J$2990,"&lt;="&amp;EOMONTH(N7,0),'1UL9RY'!$L$6:$L$2990,$B$34)+SUMIFS('1OZ7GT'!$K$6:$K$2989,'1OZ7GT'!$J$6:$J$2989,"&gt;="&amp;N7,'1OZ7GT'!$J$6:$J$2989,"&lt;="&amp;EOMONTH(N7,0),'1OZ7GT'!$L$6:$L$2989,$B$34)+SUMIFS('1CN8DD'!$K$6:$K$2989,'1CN8DD'!$J$6:$J$2989,"&gt;="&amp;N7,'1CN8DD'!$J$6:$J$2989,"&lt;="&amp;EOMONTH(N7,0),'1CN8DD'!$L$6:$L$2989,$B$34)+SUMIFS('1UT9BR'!$K$6:$K$2990,'1UT9BR'!$J$6:$J$2990,"&gt;="&amp;N7,'1UT9BR'!$J$6:$J$2990,"&lt;="&amp;EOMONTH(N7,0),'1UT9BR'!$L$6:$L$2990,$B$34)+SUMIFS('1MK4UR'!$K$6:$K$2990,'1MK4UR'!$J$6:$J$2990,"&gt;="&amp;N7,'1MK4UR'!$J$6:$J$2990,"&lt;="&amp;EOMONTH(N7,0),'1MK4UR'!$L$6:$L$2990,$B$34)+SUMIFS(#REF!,#REF!,"&gt;="&amp;N7,#REF!,"&lt;="&amp;EOMONTH(N7,0),#REF!,$B$34)+SUMIFS('1JI2UE'!$K$6:$K$2989,'1JI2UE'!$J$6:$J$2989,"&gt;="&amp;N7,'1JI2UE'!$J$6:$J$2989,"&lt;="&amp;EOMONTH(N7,0),'1JI2UE'!$L$6:$L$2989,$B$34)+SUMIFS(#REF!,#REF!,"&gt;="&amp;N7,#REF!,"&lt;="&amp;EOMONTH(N7,0),#REF!,$B$34)+SUMIFS('1SI9BW'!$K$6:$K$2989,'1SI9BW'!$J$6:$J$2989,"&gt;="&amp;N7,'1SI9BW'!$J$6:$J$2989,"&lt;="&amp;EOMONTH(N7,0),'1SI9BW'!$L$6:$L$2989,$B$34)+SUMIFS(Suzuki!$K$6:$K$2989,Suzuki!$J$6:$J$2989,"&gt;="&amp;N7,Suzuki!$J$6:$J$2989,"&lt;="&amp;EOMONTH(N7,0),Suzuki!$L$6:$L$2989,$B$34)+SUMIFS('1SK3DD'!$K$6:$K$2989,'1SK3DD'!$J$6:$J$2989,"&gt;="&amp;N7,'1SK3DD'!$J$6:$J$2989,"&lt;="&amp;EOMONTH(N7,0),'1SK3DD'!$L$6:$L$2989,$B$34)+SUMIFS('1SX5TQ'!$K$6:$K$2989,'1SX5TQ'!$J$6:$J$2989,"&gt;="&amp;N7,'1SX5TQ'!$J$6:$J$2989,"&lt;="&amp;EOMONTH(N7,0),'1SX5TQ'!$L$6:$L$2989,$B$34)+SUMIFS('BMM465'!$K$6:$K$2989,'BMM465'!$J$6:$J$2989,"&gt;="&amp;N7,'BMM465'!$J$6:$J$2989,"&lt;="&amp;EOMONTH(N7,0),'BMM465'!$L$6:$L$2989,$B$34)+SUMIFS('1CF1ZO'!$K$6:$K$2989,'1CF1ZO'!$J$6:$J$2989,"&gt;="&amp;N7,'1CF1ZO'!$J$6:$J$2989,"&lt;="&amp;EOMONTH(N7,0),'1CF1ZO'!$L$6:$L$2989,$B$34)+SUMIFS('1UK1BK'!$K$6:$K$2989,'1UK1BK'!$J$6:$J$2989,"&gt;="&amp;N7,'1UK1BK'!$J$6:$J$2989,"&lt;="&amp;EOMONTH(N7,0),'1UK1BK'!$L$6:$L$2989,$B$34)</f>
        <v>#REF!</v>
      </c>
      <c r="O34" s="110" t="e">
        <f>SUMIFS('CEI565'!$K$6:$K$2990,'CEI565'!$J$6:$J$2990,"&gt;="&amp;O7,'CEI565'!$J$6:$J$2990,"&lt;="&amp;EOMONTH(O7,0),'CEI565'!$L$6:$L$2990,$B$34)+SUMIFS('1SM3VL'!$K$6:$K$2990,'1SM3VL'!$J$6:$J$2990,"&gt;="&amp;O7,'1SM3VL'!$J$6:$J$2990,"&lt;="&amp;EOMONTH(O7,0),'1SM3VL'!$L$6:$L$2990,$B$34)+SUMIFS('1QF4SM'!$K$6:$K$2989,'1QF4SM'!$J$6:$J$2989,"&gt;="&amp;O7,'1QF4SM'!$J$6:$J$2989,"&lt;="&amp;EOMONTH(O7,0),'1QF4SM'!$L$6:$L$2989,$B$34)+SUMIFS('1UV5KI'!$K$6:$K$2989,'1UV5KI'!$J$6:$J$2989,"&gt;="&amp;O7,'1UV5KI'!$J$6:$J$2989,"&lt;="&amp;EOMONTH(O7,0),'1UV5KI'!$L$6:$L$2989,$B$34)+SUMIFS(#REF!,#REF!,"&gt;="&amp;O7,#REF!,"&lt;="&amp;EOMONTH(O7,0),#REF!,$B$34)+SUMIFS('1UL9RY'!$K$6:$K$2990,'1UL9RY'!$J$6:$J$2990,"&gt;="&amp;O7,'1UL9RY'!$J$6:$J$2990,"&lt;="&amp;EOMONTH(O7,0),'1UL9RY'!$L$6:$L$2990,$B$34)+SUMIFS('1OZ7GT'!$K$6:$K$2989,'1OZ7GT'!$J$6:$J$2989,"&gt;="&amp;O7,'1OZ7GT'!$J$6:$J$2989,"&lt;="&amp;EOMONTH(O7,0),'1OZ7GT'!$L$6:$L$2989,$B$34)+SUMIFS('1CN8DD'!$K$6:$K$2989,'1CN8DD'!$J$6:$J$2989,"&gt;="&amp;O7,'1CN8DD'!$J$6:$J$2989,"&lt;="&amp;EOMONTH(O7,0),'1CN8DD'!$L$6:$L$2989,$B$34)+SUMIFS('1UT9BR'!$K$6:$K$2990,'1UT9BR'!$J$6:$J$2990,"&gt;="&amp;O7,'1UT9BR'!$J$6:$J$2990,"&lt;="&amp;EOMONTH(O7,0),'1UT9BR'!$L$6:$L$2990,$B$34)+SUMIFS('1MK4UR'!$K$6:$K$2990,'1MK4UR'!$J$6:$J$2990,"&gt;="&amp;O7,'1MK4UR'!$J$6:$J$2990,"&lt;="&amp;EOMONTH(O7,0),'1MK4UR'!$L$6:$L$2990,$B$34)+SUMIFS(#REF!,#REF!,"&gt;="&amp;O7,#REF!,"&lt;="&amp;EOMONTH(O7,0),#REF!,$B$34)+SUMIFS('1JI2UE'!$K$6:$K$2989,'1JI2UE'!$J$6:$J$2989,"&gt;="&amp;O7,'1JI2UE'!$J$6:$J$2989,"&lt;="&amp;EOMONTH(O7,0),'1JI2UE'!$L$6:$L$2989,$B$34)+SUMIFS(#REF!,#REF!,"&gt;="&amp;O7,#REF!,"&lt;="&amp;EOMONTH(O7,0),#REF!,$B$34)+SUMIFS('1SI9BW'!$K$6:$K$2989,'1SI9BW'!$J$6:$J$2989,"&gt;="&amp;O7,'1SI9BW'!$J$6:$J$2989,"&lt;="&amp;EOMONTH(O7,0),'1SI9BW'!$L$6:$L$2989,$B$34)+SUMIFS(Suzuki!$K$6:$K$2989,Suzuki!$J$6:$J$2989,"&gt;="&amp;O7,Suzuki!$J$6:$J$2989,"&lt;="&amp;EOMONTH(O7,0),Suzuki!$L$6:$L$2989,$B$34)+SUMIFS('1SK3DD'!$K$6:$K$2989,'1SK3DD'!$J$6:$J$2989,"&gt;="&amp;O7,'1SK3DD'!$J$6:$J$2989,"&lt;="&amp;EOMONTH(O7,0),'1SK3DD'!$L$6:$L$2989,$B$34)+SUMIFS('1SX5TQ'!$K$6:$K$2989,'1SX5TQ'!$J$6:$J$2989,"&gt;="&amp;O7,'1SX5TQ'!$J$6:$J$2989,"&lt;="&amp;EOMONTH(O7,0),'1SX5TQ'!$L$6:$L$2989,$B$34)+SUMIFS('BMM465'!$K$6:$K$2989,'BMM465'!$J$6:$J$2989,"&gt;="&amp;O7,'BMM465'!$J$6:$J$2989,"&lt;="&amp;EOMONTH(O7,0),'BMM465'!$L$6:$L$2989,$B$34)+SUMIFS('1CF1ZO'!$K$6:$K$2989,'1CF1ZO'!$J$6:$J$2989,"&gt;="&amp;O7,'1CF1ZO'!$J$6:$J$2989,"&lt;="&amp;EOMONTH(O7,0),'1CF1ZO'!$L$6:$L$2989,$B$34)+SUMIFS('1UK1BK'!$K$6:$K$2989,'1UK1BK'!$J$6:$J$2989,"&gt;="&amp;O7,'1UK1BK'!$J$6:$J$2989,"&lt;="&amp;EOMONTH(O7,0),'1UK1BK'!$L$6:$L$2989,$B$34)</f>
        <v>#REF!</v>
      </c>
      <c r="P34" s="110" t="e">
        <f>SUMIFS('CEI565'!$K$6:$K$2990,'CEI565'!$J$6:$J$2990,"&gt;="&amp;P7,'CEI565'!$J$6:$J$2990,"&lt;="&amp;EOMONTH(P7,0),'CEI565'!$L$6:$L$2990,$B$34)+SUMIFS('1SM3VL'!$K$6:$K$2990,'1SM3VL'!$J$6:$J$2990,"&gt;="&amp;P7,'1SM3VL'!$J$6:$J$2990,"&lt;="&amp;EOMONTH(P7,0),'1SM3VL'!$L$6:$L$2990,$B$34)+SUMIFS('1QF4SM'!$K$6:$K$2989,'1QF4SM'!$J$6:$J$2989,"&gt;="&amp;P7,'1QF4SM'!$J$6:$J$2989,"&lt;="&amp;EOMONTH(P7,0),'1QF4SM'!$L$6:$L$2989,$B$34)+SUMIFS('1UV5KI'!$K$6:$K$2989,'1UV5KI'!$J$6:$J$2989,"&gt;="&amp;P7,'1UV5KI'!$J$6:$J$2989,"&lt;="&amp;EOMONTH(P7,0),'1UV5KI'!$L$6:$L$2989,$B$34)+SUMIFS(#REF!,#REF!,"&gt;="&amp;P7,#REF!,"&lt;="&amp;EOMONTH(P7,0),#REF!,$B$34)+SUMIFS('1UL9RY'!$K$6:$K$2990,'1UL9RY'!$J$6:$J$2990,"&gt;="&amp;P7,'1UL9RY'!$J$6:$J$2990,"&lt;="&amp;EOMONTH(P7,0),'1UL9RY'!$L$6:$L$2990,$B$34)+SUMIFS('1OZ7GT'!$K$6:$K$2989,'1OZ7GT'!$J$6:$J$2989,"&gt;="&amp;P7,'1OZ7GT'!$J$6:$J$2989,"&lt;="&amp;EOMONTH(P7,0),'1OZ7GT'!$L$6:$L$2989,$B$34)+SUMIFS('1CN8DD'!$K$6:$K$2989,'1CN8DD'!$J$6:$J$2989,"&gt;="&amp;P7,'1CN8DD'!$J$6:$J$2989,"&lt;="&amp;EOMONTH(P7,0),'1CN8DD'!$L$6:$L$2989,$B$34)+SUMIFS('1UT9BR'!$K$6:$K$2990,'1UT9BR'!$J$6:$J$2990,"&gt;="&amp;P7,'1UT9BR'!$J$6:$J$2990,"&lt;="&amp;EOMONTH(P7,0),'1UT9BR'!$L$6:$L$2990,$B$34)+SUMIFS('1MK4UR'!$K$6:$K$2990,'1MK4UR'!$J$6:$J$2990,"&gt;="&amp;P7,'1MK4UR'!$J$6:$J$2990,"&lt;="&amp;EOMONTH(P7,0),'1MK4UR'!$L$6:$L$2990,$B$34)+SUMIFS(#REF!,#REF!,"&gt;="&amp;P7,#REF!,"&lt;="&amp;EOMONTH(P7,0),#REF!,$B$34)+SUMIFS('1JI2UE'!$K$6:$K$2989,'1JI2UE'!$J$6:$J$2989,"&gt;="&amp;P7,'1JI2UE'!$J$6:$J$2989,"&lt;="&amp;EOMONTH(P7,0),'1JI2UE'!$L$6:$L$2989,$B$34)+SUMIFS(#REF!,#REF!,"&gt;="&amp;P7,#REF!,"&lt;="&amp;EOMONTH(P7,0),#REF!,$B$34)+SUMIFS('1SI9BW'!$K$6:$K$2989,'1SI9BW'!$J$6:$J$2989,"&gt;="&amp;P7,'1SI9BW'!$J$6:$J$2989,"&lt;="&amp;EOMONTH(P7,0),'1SI9BW'!$L$6:$L$2989,$B$34)+SUMIFS(Suzuki!$K$6:$K$2989,Suzuki!$J$6:$J$2989,"&gt;="&amp;P7,Suzuki!$J$6:$J$2989,"&lt;="&amp;EOMONTH(P7,0),Suzuki!$L$6:$L$2989,$B$34)+SUMIFS('1SK3DD'!$K$6:$K$2989,'1SK3DD'!$J$6:$J$2989,"&gt;="&amp;P7,'1SK3DD'!$J$6:$J$2989,"&lt;="&amp;EOMONTH(P7,0),'1SK3DD'!$L$6:$L$2989,$B$34)+SUMIFS('1SX5TQ'!$K$6:$K$2989,'1SX5TQ'!$J$6:$J$2989,"&gt;="&amp;P7,'1SX5TQ'!$J$6:$J$2989,"&lt;="&amp;EOMONTH(P7,0),'1SX5TQ'!$L$6:$L$2989,$B$34)+SUMIFS('BMM465'!$K$6:$K$2989,'BMM465'!$J$6:$J$2989,"&gt;="&amp;P7,'BMM465'!$J$6:$J$2989,"&lt;="&amp;EOMONTH(P7,0),'BMM465'!$L$6:$L$2989,$B$34)+SUMIFS('1CF1ZO'!$K$6:$K$2989,'1CF1ZO'!$J$6:$J$2989,"&gt;="&amp;P7,'1CF1ZO'!$J$6:$J$2989,"&lt;="&amp;EOMONTH(P7,0),'1CF1ZO'!$L$6:$L$2989,$B$34)+SUMIFS('1UK1BK'!$K$6:$K$2989,'1UK1BK'!$J$6:$J$2989,"&gt;="&amp;P7,'1UK1BK'!$J$6:$J$2989,"&lt;="&amp;EOMONTH(P7,0),'1UK1BK'!$L$6:$L$2989,$B$34)</f>
        <v>#REF!</v>
      </c>
      <c r="Q34" s="110" t="e">
        <f>SUMIFS('CEI565'!$K$6:$K$2990,'CEI565'!$J$6:$J$2990,"&gt;="&amp;Q7,'CEI565'!$J$6:$J$2990,"&lt;="&amp;EOMONTH(Q7,0),'CEI565'!$L$6:$L$2990,$B$34)+SUMIFS('1SM3VL'!$K$6:$K$2990,'1SM3VL'!$J$6:$J$2990,"&gt;="&amp;Q7,'1SM3VL'!$J$6:$J$2990,"&lt;="&amp;EOMONTH(Q7,0),'1SM3VL'!$L$6:$L$2990,$B$34)+SUMIFS('1QF4SM'!$K$6:$K$2989,'1QF4SM'!$J$6:$J$2989,"&gt;="&amp;Q7,'1QF4SM'!$J$6:$J$2989,"&lt;="&amp;EOMONTH(Q7,0),'1QF4SM'!$L$6:$L$2989,$B$34)+SUMIFS('1UV5KI'!$K$6:$K$2989,'1UV5KI'!$J$6:$J$2989,"&gt;="&amp;Q7,'1UV5KI'!$J$6:$J$2989,"&lt;="&amp;EOMONTH(Q7,0),'1UV5KI'!$L$6:$L$2989,$B$34)+SUMIFS(#REF!,#REF!,"&gt;="&amp;Q7,#REF!,"&lt;="&amp;EOMONTH(Q7,0),#REF!,$B$34)+SUMIFS('1UL9RY'!$K$6:$K$2990,'1UL9RY'!$J$6:$J$2990,"&gt;="&amp;Q7,'1UL9RY'!$J$6:$J$2990,"&lt;="&amp;EOMONTH(Q7,0),'1UL9RY'!$L$6:$L$2990,$B$34)+SUMIFS('1OZ7GT'!$K$6:$K$2989,'1OZ7GT'!$J$6:$J$2989,"&gt;="&amp;Q7,'1OZ7GT'!$J$6:$J$2989,"&lt;="&amp;EOMONTH(Q7,0),'1OZ7GT'!$L$6:$L$2989,$B$34)+SUMIFS('1CN8DD'!$K$6:$K$2989,'1CN8DD'!$J$6:$J$2989,"&gt;="&amp;Q7,'1CN8DD'!$J$6:$J$2989,"&lt;="&amp;EOMONTH(Q7,0),'1CN8DD'!$L$6:$L$2989,$B$34)+SUMIFS('1UT9BR'!$K$6:$K$2990,'1UT9BR'!$J$6:$J$2990,"&gt;="&amp;Q7,'1UT9BR'!$J$6:$J$2990,"&lt;="&amp;EOMONTH(Q7,0),'1UT9BR'!$L$6:$L$2990,$B$34)+SUMIFS('1MK4UR'!$K$6:$K$2990,'1MK4UR'!$J$6:$J$2990,"&gt;="&amp;Q7,'1MK4UR'!$J$6:$J$2990,"&lt;="&amp;EOMONTH(Q7,0),'1MK4UR'!$L$6:$L$2990,$B$34)+SUMIFS(#REF!,#REF!,"&gt;="&amp;Q7,#REF!,"&lt;="&amp;EOMONTH(Q7,0),#REF!,$B$34)+SUMIFS('1JI2UE'!$K$6:$K$2989,'1JI2UE'!$J$6:$J$2989,"&gt;="&amp;Q7,'1JI2UE'!$J$6:$J$2989,"&lt;="&amp;EOMONTH(Q7,0),'1JI2UE'!$L$6:$L$2989,$B$34)+SUMIFS(#REF!,#REF!,"&gt;="&amp;Q7,#REF!,"&lt;="&amp;EOMONTH(Q7,0),#REF!,$B$34)+SUMIFS('1SI9BW'!$K$6:$K$2989,'1SI9BW'!$J$6:$J$2989,"&gt;="&amp;Q7,'1SI9BW'!$J$6:$J$2989,"&lt;="&amp;EOMONTH(Q7,0),'1SI9BW'!$L$6:$L$2989,$B$34)+SUMIFS(Suzuki!$K$6:$K$2989,Suzuki!$J$6:$J$2989,"&gt;="&amp;Q7,Suzuki!$J$6:$J$2989,"&lt;="&amp;EOMONTH(Q7,0),Suzuki!$L$6:$L$2989,$B$34)+SUMIFS('1SK3DD'!$K$6:$K$2989,'1SK3DD'!$J$6:$J$2989,"&gt;="&amp;Q7,'1SK3DD'!$J$6:$J$2989,"&lt;="&amp;EOMONTH(Q7,0),'1SK3DD'!$L$6:$L$2989,$B$34)+SUMIFS('1SX5TQ'!$K$6:$K$2989,'1SX5TQ'!$J$6:$J$2989,"&gt;="&amp;Q7,'1SX5TQ'!$J$6:$J$2989,"&lt;="&amp;EOMONTH(Q7,0),'1SX5TQ'!$L$6:$L$2989,$B$34)+SUMIFS('BMM465'!$K$6:$K$2989,'BMM465'!$J$6:$J$2989,"&gt;="&amp;Q7,'BMM465'!$J$6:$J$2989,"&lt;="&amp;EOMONTH(Q7,0),'BMM465'!$L$6:$L$2989,$B$34)+SUMIFS('1CF1ZO'!$K$6:$K$2989,'1CF1ZO'!$J$6:$J$2989,"&gt;="&amp;Q7,'1CF1ZO'!$J$6:$J$2989,"&lt;="&amp;EOMONTH(Q7,0),'1CF1ZO'!$L$6:$L$2989,$B$34)+SUMIFS('1UK1BK'!$K$6:$K$2989,'1UK1BK'!$J$6:$J$2989,"&gt;="&amp;Q7,'1UK1BK'!$J$6:$J$2989,"&lt;="&amp;EOMONTH(Q7,0),'1UK1BK'!$L$6:$L$2989,$B$34)</f>
        <v>#REF!</v>
      </c>
      <c r="R34" s="110" t="e">
        <f>SUMIFS('CEI565'!$K$6:$K$2990,'CEI565'!$J$6:$J$2990,"&gt;="&amp;R7,'CEI565'!$J$6:$J$2990,"&lt;="&amp;EOMONTH(R7,0),'CEI565'!$L$6:$L$2990,$B$34)+SUMIFS('1SM3VL'!$K$6:$K$2990,'1SM3VL'!$J$6:$J$2990,"&gt;="&amp;R7,'1SM3VL'!$J$6:$J$2990,"&lt;="&amp;EOMONTH(R7,0),'1SM3VL'!$L$6:$L$2990,$B$34)+SUMIFS('1QF4SM'!$K$6:$K$2989,'1QF4SM'!$J$6:$J$2989,"&gt;="&amp;R7,'1QF4SM'!$J$6:$J$2989,"&lt;="&amp;EOMONTH(R7,0),'1QF4SM'!$L$6:$L$2989,$B$34)+SUMIFS('1UV5KI'!$K$6:$K$2989,'1UV5KI'!$J$6:$J$2989,"&gt;="&amp;R7,'1UV5KI'!$J$6:$J$2989,"&lt;="&amp;EOMONTH(R7,0),'1UV5KI'!$L$6:$L$2989,$B$34)+SUMIFS(#REF!,#REF!,"&gt;="&amp;R7,#REF!,"&lt;="&amp;EOMONTH(R7,0),#REF!,$B$34)+SUMIFS('1UL9RY'!$K$6:$K$2990,'1UL9RY'!$J$6:$J$2990,"&gt;="&amp;R7,'1UL9RY'!$J$6:$J$2990,"&lt;="&amp;EOMONTH(R7,0),'1UL9RY'!$L$6:$L$2990,$B$34)+SUMIFS('1OZ7GT'!$K$6:$K$2989,'1OZ7GT'!$J$6:$J$2989,"&gt;="&amp;R7,'1OZ7GT'!$J$6:$J$2989,"&lt;="&amp;EOMONTH(R7,0),'1OZ7GT'!$L$6:$L$2989,$B$34)+SUMIFS('1CN8DD'!$K$6:$K$2989,'1CN8DD'!$J$6:$J$2989,"&gt;="&amp;R7,'1CN8DD'!$J$6:$J$2989,"&lt;="&amp;EOMONTH(R7,0),'1CN8DD'!$L$6:$L$2989,$B$34)+SUMIFS('1UT9BR'!$K$6:$K$2990,'1UT9BR'!$J$6:$J$2990,"&gt;="&amp;R7,'1UT9BR'!$J$6:$J$2990,"&lt;="&amp;EOMONTH(R7,0),'1UT9BR'!$L$6:$L$2990,$B$34)+SUMIFS('1MK4UR'!$K$6:$K$2990,'1MK4UR'!$J$6:$J$2990,"&gt;="&amp;R7,'1MK4UR'!$J$6:$J$2990,"&lt;="&amp;EOMONTH(R7,0),'1MK4UR'!$L$6:$L$2990,$B$34)+SUMIFS(#REF!,#REF!,"&gt;="&amp;R7,#REF!,"&lt;="&amp;EOMONTH(R7,0),#REF!,$B$34)+SUMIFS('1JI2UE'!$K$6:$K$2989,'1JI2UE'!$J$6:$J$2989,"&gt;="&amp;R7,'1JI2UE'!$J$6:$J$2989,"&lt;="&amp;EOMONTH(R7,0),'1JI2UE'!$L$6:$L$2989,$B$34)+SUMIFS(#REF!,#REF!,"&gt;="&amp;R7,#REF!,"&lt;="&amp;EOMONTH(R7,0),#REF!,$B$34)+SUMIFS('1SI9BW'!$K$6:$K$2989,'1SI9BW'!$J$6:$J$2989,"&gt;="&amp;R7,'1SI9BW'!$J$6:$J$2989,"&lt;="&amp;EOMONTH(R7,0),'1SI9BW'!$L$6:$L$2989,$B$34)+SUMIFS(Suzuki!$K$6:$K$2989,Suzuki!$J$6:$J$2989,"&gt;="&amp;R7,Suzuki!$J$6:$J$2989,"&lt;="&amp;EOMONTH(R7,0),Suzuki!$L$6:$L$2989,$B$34)+SUMIFS('1SK3DD'!$K$6:$K$2989,'1SK3DD'!$J$6:$J$2989,"&gt;="&amp;R7,'1SK3DD'!$J$6:$J$2989,"&lt;="&amp;EOMONTH(R7,0),'1SK3DD'!$L$6:$L$2989,$B$34)+SUMIFS('1SX5TQ'!$K$6:$K$2989,'1SX5TQ'!$J$6:$J$2989,"&gt;="&amp;R7,'1SX5TQ'!$J$6:$J$2989,"&lt;="&amp;EOMONTH(R7,0),'1SX5TQ'!$L$6:$L$2989,$B$34)+SUMIFS('BMM465'!$K$6:$K$2989,'BMM465'!$J$6:$J$2989,"&gt;="&amp;R7,'BMM465'!$J$6:$J$2989,"&lt;="&amp;EOMONTH(R7,0),'BMM465'!$L$6:$L$2989,$B$34)+SUMIFS('1CF1ZO'!$K$6:$K$2989,'1CF1ZO'!$J$6:$J$2989,"&gt;="&amp;R7,'1CF1ZO'!$J$6:$J$2989,"&lt;="&amp;EOMONTH(R7,0),'1CF1ZO'!$L$6:$L$2989,$B$34)+SUMIFS('1UK1BK'!$K$6:$K$2989,'1UK1BK'!$J$6:$J$2989,"&gt;="&amp;R7,'1UK1BK'!$J$6:$J$2989,"&lt;="&amp;EOMONTH(R7,0),'1UK1BK'!$L$6:$L$2989,$B$34)</f>
        <v>#REF!</v>
      </c>
      <c r="S34" s="110" t="e">
        <f>SUMIFS('CEI565'!$K$6:$K$2990,'CEI565'!$J$6:$J$2990,"&gt;="&amp;S7,'CEI565'!$J$6:$J$2990,"&lt;="&amp;EOMONTH(S7,0),'CEI565'!$L$6:$L$2990,$B$34)+SUMIFS('1SM3VL'!$K$6:$K$2990,'1SM3VL'!$J$6:$J$2990,"&gt;="&amp;S7,'1SM3VL'!$J$6:$J$2990,"&lt;="&amp;EOMONTH(S7,0),'1SM3VL'!$L$6:$L$2990,$B$34)+SUMIFS('1QF4SM'!$K$6:$K$2989,'1QF4SM'!$J$6:$J$2989,"&gt;="&amp;S7,'1QF4SM'!$J$6:$J$2989,"&lt;="&amp;EOMONTH(S7,0),'1QF4SM'!$L$6:$L$2989,$B$34)+SUMIFS('1UV5KI'!$K$6:$K$2989,'1UV5KI'!$J$6:$J$2989,"&gt;="&amp;S7,'1UV5KI'!$J$6:$J$2989,"&lt;="&amp;EOMONTH(S7,0),'1UV5KI'!$L$6:$L$2989,$B$34)+SUMIFS(#REF!,#REF!,"&gt;="&amp;S7,#REF!,"&lt;="&amp;EOMONTH(S7,0),#REF!,$B$34)+SUMIFS('1UL9RY'!$K$6:$K$2990,'1UL9RY'!$J$6:$J$2990,"&gt;="&amp;S7,'1UL9RY'!$J$6:$J$2990,"&lt;="&amp;EOMONTH(S7,0),'1UL9RY'!$L$6:$L$2990,$B$34)+SUMIFS('1OZ7GT'!$K$6:$K$2989,'1OZ7GT'!$J$6:$J$2989,"&gt;="&amp;S7,'1OZ7GT'!$J$6:$J$2989,"&lt;="&amp;EOMONTH(S7,0),'1OZ7GT'!$L$6:$L$2989,$B$34)+SUMIFS('1CN8DD'!$K$6:$K$2989,'1CN8DD'!$J$6:$J$2989,"&gt;="&amp;S7,'1CN8DD'!$J$6:$J$2989,"&lt;="&amp;EOMONTH(S7,0),'1CN8DD'!$L$6:$L$2989,$B$34)+SUMIFS('1UT9BR'!$K$6:$K$2990,'1UT9BR'!$J$6:$J$2990,"&gt;="&amp;S7,'1UT9BR'!$J$6:$J$2990,"&lt;="&amp;EOMONTH(S7,0),'1UT9BR'!$L$6:$L$2990,$B$34)+SUMIFS('1MK4UR'!$K$6:$K$2990,'1MK4UR'!$J$6:$J$2990,"&gt;="&amp;S7,'1MK4UR'!$J$6:$J$2990,"&lt;="&amp;EOMONTH(S7,0),'1MK4UR'!$L$6:$L$2990,$B$34)+SUMIFS(#REF!,#REF!,"&gt;="&amp;S7,#REF!,"&lt;="&amp;EOMONTH(S7,0),#REF!,$B$34)+SUMIFS('1JI2UE'!$K$6:$K$2989,'1JI2UE'!$J$6:$J$2989,"&gt;="&amp;S7,'1JI2UE'!$J$6:$J$2989,"&lt;="&amp;EOMONTH(S7,0),'1JI2UE'!$L$6:$L$2989,$B$34)+SUMIFS(#REF!,#REF!,"&gt;="&amp;S7,#REF!,"&lt;="&amp;EOMONTH(S7,0),#REF!,$B$34)+SUMIFS('1SI9BW'!$K$6:$K$2989,'1SI9BW'!$J$6:$J$2989,"&gt;="&amp;S7,'1SI9BW'!$J$6:$J$2989,"&lt;="&amp;EOMONTH(S7,0),'1SI9BW'!$L$6:$L$2989,$B$34)+SUMIFS(Suzuki!$K$6:$K$2989,Suzuki!$J$6:$J$2989,"&gt;="&amp;S7,Suzuki!$J$6:$J$2989,"&lt;="&amp;EOMONTH(S7,0),Suzuki!$L$6:$L$2989,$B$34)+SUMIFS('1SK3DD'!$K$6:$K$2989,'1SK3DD'!$J$6:$J$2989,"&gt;="&amp;S7,'1SK3DD'!$J$6:$J$2989,"&lt;="&amp;EOMONTH(S7,0),'1SK3DD'!$L$6:$L$2989,$B$34)+SUMIFS('1SX5TQ'!$K$6:$K$2989,'1SX5TQ'!$J$6:$J$2989,"&gt;="&amp;S7,'1SX5TQ'!$J$6:$J$2989,"&lt;="&amp;EOMONTH(S7,0),'1SX5TQ'!$L$6:$L$2989,$B$34)+SUMIFS('BMM465'!$K$6:$K$2989,'BMM465'!$J$6:$J$2989,"&gt;="&amp;S7,'BMM465'!$J$6:$J$2989,"&lt;="&amp;EOMONTH(S7,0),'BMM465'!$L$6:$L$2989,$B$34)+SUMIFS('1CF1ZO'!$K$6:$K$2989,'1CF1ZO'!$J$6:$J$2989,"&gt;="&amp;S7,'1CF1ZO'!$J$6:$J$2989,"&lt;="&amp;EOMONTH(S7,0),'1CF1ZO'!$L$6:$L$2989,$B$34)+SUMIFS('1UK1BK'!$K$6:$K$2989,'1UK1BK'!$J$6:$J$2989,"&gt;="&amp;S7,'1UK1BK'!$J$6:$J$2989,"&lt;="&amp;EOMONTH(S7,0),'1UK1BK'!$L$6:$L$2989,$B$34)</f>
        <v>#REF!</v>
      </c>
      <c r="T34" s="110" t="e">
        <f>SUMIFS('CEI565'!$K$6:$K$2990,'CEI565'!$J$6:$J$2990,"&gt;="&amp;T7,'CEI565'!$J$6:$J$2990,"&lt;="&amp;EOMONTH(T7,0),'CEI565'!$L$6:$L$2990,$B$34)+SUMIFS('1SM3VL'!$K$6:$K$2990,'1SM3VL'!$J$6:$J$2990,"&gt;="&amp;T7,'1SM3VL'!$J$6:$J$2990,"&lt;="&amp;EOMONTH(T7,0),'1SM3VL'!$L$6:$L$2990,$B$34)+SUMIFS('1QF4SM'!$K$6:$K$2989,'1QF4SM'!$J$6:$J$2989,"&gt;="&amp;T7,'1QF4SM'!$J$6:$J$2989,"&lt;="&amp;EOMONTH(T7,0),'1QF4SM'!$L$6:$L$2989,$B$34)+SUMIFS('1UV5KI'!$K$6:$K$2989,'1UV5KI'!$J$6:$J$2989,"&gt;="&amp;T7,'1UV5KI'!$J$6:$J$2989,"&lt;="&amp;EOMONTH(T7,0),'1UV5KI'!$L$6:$L$2989,$B$34)+SUMIFS(#REF!,#REF!,"&gt;="&amp;T7,#REF!,"&lt;="&amp;EOMONTH(T7,0),#REF!,$B$34)+SUMIFS('1UL9RY'!$K$6:$K$2990,'1UL9RY'!$J$6:$J$2990,"&gt;="&amp;T7,'1UL9RY'!$J$6:$J$2990,"&lt;="&amp;EOMONTH(T7,0),'1UL9RY'!$L$6:$L$2990,$B$34)+SUMIFS('1OZ7GT'!$K$6:$K$2989,'1OZ7GT'!$J$6:$J$2989,"&gt;="&amp;T7,'1OZ7GT'!$J$6:$J$2989,"&lt;="&amp;EOMONTH(T7,0),'1OZ7GT'!$L$6:$L$2989,$B$34)+SUMIFS('1CN8DD'!$K$6:$K$2989,'1CN8DD'!$J$6:$J$2989,"&gt;="&amp;T7,'1CN8DD'!$J$6:$J$2989,"&lt;="&amp;EOMONTH(T7,0),'1CN8DD'!$L$6:$L$2989,$B$34)+SUMIFS('1UT9BR'!$K$6:$K$2990,'1UT9BR'!$J$6:$J$2990,"&gt;="&amp;T7,'1UT9BR'!$J$6:$J$2990,"&lt;="&amp;EOMONTH(T7,0),'1UT9BR'!$L$6:$L$2990,$B$34)+SUMIFS('1MK4UR'!$K$6:$K$2990,'1MK4UR'!$J$6:$J$2990,"&gt;="&amp;T7,'1MK4UR'!$J$6:$J$2990,"&lt;="&amp;EOMONTH(T7,0),'1MK4UR'!$L$6:$L$2990,$B$34)+SUMIFS(#REF!,#REF!,"&gt;="&amp;T7,#REF!,"&lt;="&amp;EOMONTH(T7,0),#REF!,$B$34)+SUMIFS('1JI2UE'!$K$6:$K$2989,'1JI2UE'!$J$6:$J$2989,"&gt;="&amp;T7,'1JI2UE'!$J$6:$J$2989,"&lt;="&amp;EOMONTH(T7,0),'1JI2UE'!$L$6:$L$2989,$B$34)+SUMIFS(#REF!,#REF!,"&gt;="&amp;T7,#REF!,"&lt;="&amp;EOMONTH(T7,0),#REF!,$B$34)+SUMIFS('1SI9BW'!$K$6:$K$2989,'1SI9BW'!$J$6:$J$2989,"&gt;="&amp;T7,'1SI9BW'!$J$6:$J$2989,"&lt;="&amp;EOMONTH(T7,0),'1SI9BW'!$L$6:$L$2989,$B$34)+SUMIFS(Suzuki!$K$6:$K$2989,Suzuki!$J$6:$J$2989,"&gt;="&amp;T7,Suzuki!$J$6:$J$2989,"&lt;="&amp;EOMONTH(T7,0),Suzuki!$L$6:$L$2989,$B$34)+SUMIFS('1SK3DD'!$K$6:$K$2989,'1SK3DD'!$J$6:$J$2989,"&gt;="&amp;T7,'1SK3DD'!$J$6:$J$2989,"&lt;="&amp;EOMONTH(T7,0),'1SK3DD'!$L$6:$L$2989,$B$34)+SUMIFS('1SX5TQ'!$K$6:$K$2989,'1SX5TQ'!$J$6:$J$2989,"&gt;="&amp;T7,'1SX5TQ'!$J$6:$J$2989,"&lt;="&amp;EOMONTH(T7,0),'1SX5TQ'!$L$6:$L$2989,$B$34)+SUMIFS('BMM465'!$K$6:$K$2989,'BMM465'!$J$6:$J$2989,"&gt;="&amp;T7,'BMM465'!$J$6:$J$2989,"&lt;="&amp;EOMONTH(T7,0),'BMM465'!$L$6:$L$2989,$B$34)+SUMIFS('1CF1ZO'!$K$6:$K$2989,'1CF1ZO'!$J$6:$J$2989,"&gt;="&amp;T7,'1CF1ZO'!$J$6:$J$2989,"&lt;="&amp;EOMONTH(T7,0),'1CF1ZO'!$L$6:$L$2989,$B$34)+SUMIFS('1UK1BK'!$K$6:$K$2989,'1UK1BK'!$J$6:$J$2989,"&gt;="&amp;T7,'1UK1BK'!$J$6:$J$2989,"&lt;="&amp;EOMONTH(T7,0),'1UK1BK'!$L$6:$L$2989,$B$34)</f>
        <v>#REF!</v>
      </c>
      <c r="U34" s="110" t="e">
        <f>SUMIFS('CEI565'!$K$6:$K$2990,'CEI565'!$J$6:$J$2990,"&gt;="&amp;U7,'CEI565'!$J$6:$J$2990,"&lt;="&amp;EOMONTH(U7,0),'CEI565'!$L$6:$L$2990,$B$34)+SUMIFS('1SM3VL'!$K$6:$K$2990,'1SM3VL'!$J$6:$J$2990,"&gt;="&amp;U7,'1SM3VL'!$J$6:$J$2990,"&lt;="&amp;EOMONTH(U7,0),'1SM3VL'!$L$6:$L$2990,$B$34)+SUMIFS('1QF4SM'!$K$6:$K$2989,'1QF4SM'!$J$6:$J$2989,"&gt;="&amp;U7,'1QF4SM'!$J$6:$J$2989,"&lt;="&amp;EOMONTH(U7,0),'1QF4SM'!$L$6:$L$2989,$B$34)+SUMIFS('1UV5KI'!$K$6:$K$2989,'1UV5KI'!$J$6:$J$2989,"&gt;="&amp;U7,'1UV5KI'!$J$6:$J$2989,"&lt;="&amp;EOMONTH(U7,0),'1UV5KI'!$L$6:$L$2989,$B$34)+SUMIFS(#REF!,#REF!,"&gt;="&amp;U7,#REF!,"&lt;="&amp;EOMONTH(U7,0),#REF!,$B$34)+SUMIFS('1UL9RY'!$K$6:$K$2990,'1UL9RY'!$J$6:$J$2990,"&gt;="&amp;U7,'1UL9RY'!$J$6:$J$2990,"&lt;="&amp;EOMONTH(U7,0),'1UL9RY'!$L$6:$L$2990,$B$34)+SUMIFS('1OZ7GT'!$K$6:$K$2989,'1OZ7GT'!$J$6:$J$2989,"&gt;="&amp;U7,'1OZ7GT'!$J$6:$J$2989,"&lt;="&amp;EOMONTH(U7,0),'1OZ7GT'!$L$6:$L$2989,$B$34)+SUMIFS('1CN8DD'!$K$6:$K$2989,'1CN8DD'!$J$6:$J$2989,"&gt;="&amp;U7,'1CN8DD'!$J$6:$J$2989,"&lt;="&amp;EOMONTH(U7,0),'1CN8DD'!$L$6:$L$2989,$B$34)+SUMIFS('1UT9BR'!$K$6:$K$2990,'1UT9BR'!$J$6:$J$2990,"&gt;="&amp;U7,'1UT9BR'!$J$6:$J$2990,"&lt;="&amp;EOMONTH(U7,0),'1UT9BR'!$L$6:$L$2990,$B$34)+SUMIFS('1MK4UR'!$K$6:$K$2990,'1MK4UR'!$J$6:$J$2990,"&gt;="&amp;U7,'1MK4UR'!$J$6:$J$2990,"&lt;="&amp;EOMONTH(U7,0),'1MK4UR'!$L$6:$L$2990,$B$34)+SUMIFS(#REF!,#REF!,"&gt;="&amp;U7,#REF!,"&lt;="&amp;EOMONTH(U7,0),#REF!,$B$34)+SUMIFS('1JI2UE'!$K$6:$K$2989,'1JI2UE'!$J$6:$J$2989,"&gt;="&amp;U7,'1JI2UE'!$J$6:$J$2989,"&lt;="&amp;EOMONTH(U7,0),'1JI2UE'!$L$6:$L$2989,$B$34)+SUMIFS(#REF!,#REF!,"&gt;="&amp;U7,#REF!,"&lt;="&amp;EOMONTH(U7,0),#REF!,$B$34)+SUMIFS('1SI9BW'!$K$6:$K$2989,'1SI9BW'!$J$6:$J$2989,"&gt;="&amp;U7,'1SI9BW'!$J$6:$J$2989,"&lt;="&amp;EOMONTH(U7,0),'1SI9BW'!$L$6:$L$2989,$B$34)+SUMIFS(Suzuki!$K$6:$K$2989,Suzuki!$J$6:$J$2989,"&gt;="&amp;U7,Suzuki!$J$6:$J$2989,"&lt;="&amp;EOMONTH(U7,0),Suzuki!$L$6:$L$2989,$B$34)+SUMIFS('1SK3DD'!$K$6:$K$2989,'1SK3DD'!$J$6:$J$2989,"&gt;="&amp;U7,'1SK3DD'!$J$6:$J$2989,"&lt;="&amp;EOMONTH(U7,0),'1SK3DD'!$L$6:$L$2989,$B$34)+SUMIFS('1SX5TQ'!$K$6:$K$2989,'1SX5TQ'!$J$6:$J$2989,"&gt;="&amp;U7,'1SX5TQ'!$J$6:$J$2989,"&lt;="&amp;EOMONTH(U7,0),'1SX5TQ'!$L$6:$L$2989,$B$34)+SUMIFS('BMM465'!$K$6:$K$2989,'BMM465'!$J$6:$J$2989,"&gt;="&amp;U7,'BMM465'!$J$6:$J$2989,"&lt;="&amp;EOMONTH(U7,0),'BMM465'!$L$6:$L$2989,$B$34)+SUMIFS('1CF1ZO'!$K$6:$K$2989,'1CF1ZO'!$J$6:$J$2989,"&gt;="&amp;U7,'1CF1ZO'!$J$6:$J$2989,"&lt;="&amp;EOMONTH(U7,0),'1CF1ZO'!$L$6:$L$2989,$B$34)+SUMIFS('1UK1BK'!$K$6:$K$2989,'1UK1BK'!$J$6:$J$2989,"&gt;="&amp;U7,'1UK1BK'!$J$6:$J$2989,"&lt;="&amp;EOMONTH(U7,0),'1UK1BK'!$L$6:$L$2989,$B$34)</f>
        <v>#REF!</v>
      </c>
      <c r="V34" s="110" t="e">
        <f>SUMIFS('CEI565'!$K$6:$K$2990,'CEI565'!$J$6:$J$2990,"&gt;="&amp;V7,'CEI565'!$J$6:$J$2990,"&lt;="&amp;EOMONTH(V7,0),'CEI565'!$L$6:$L$2990,$B$34)+SUMIFS('1SM3VL'!$K$6:$K$2990,'1SM3VL'!$J$6:$J$2990,"&gt;="&amp;V7,'1SM3VL'!$J$6:$J$2990,"&lt;="&amp;EOMONTH(V7,0),'1SM3VL'!$L$6:$L$2990,$B$34)+SUMIFS('1QF4SM'!$K$6:$K$2989,'1QF4SM'!$J$6:$J$2989,"&gt;="&amp;V7,'1QF4SM'!$J$6:$J$2989,"&lt;="&amp;EOMONTH(V7,0),'1QF4SM'!$L$6:$L$2989,$B$34)+SUMIFS('1UV5KI'!$K$6:$K$2989,'1UV5KI'!$J$6:$J$2989,"&gt;="&amp;V7,'1UV5KI'!$J$6:$J$2989,"&lt;="&amp;EOMONTH(V7,0),'1UV5KI'!$L$6:$L$2989,$B$34)+SUMIFS(#REF!,#REF!,"&gt;="&amp;V7,#REF!,"&lt;="&amp;EOMONTH(V7,0),#REF!,$B$34)+SUMIFS('1UL9RY'!$K$6:$K$2990,'1UL9RY'!$J$6:$J$2990,"&gt;="&amp;V7,'1UL9RY'!$J$6:$J$2990,"&lt;="&amp;EOMONTH(V7,0),'1UL9RY'!$L$6:$L$2990,$B$34)+SUMIFS('1OZ7GT'!$K$6:$K$2989,'1OZ7GT'!$J$6:$J$2989,"&gt;="&amp;V7,'1OZ7GT'!$J$6:$J$2989,"&lt;="&amp;EOMONTH(V7,0),'1OZ7GT'!$L$6:$L$2989,$B$34)+SUMIFS('1CN8DD'!$K$6:$K$2989,'1CN8DD'!$J$6:$J$2989,"&gt;="&amp;V7,'1CN8DD'!$J$6:$J$2989,"&lt;="&amp;EOMONTH(V7,0),'1CN8DD'!$L$6:$L$2989,$B$34)+SUMIFS('1UT9BR'!$K$6:$K$2990,'1UT9BR'!$J$6:$J$2990,"&gt;="&amp;V7,'1UT9BR'!$J$6:$J$2990,"&lt;="&amp;EOMONTH(V7,0),'1UT9BR'!$L$6:$L$2990,$B$34)+SUMIFS('1MK4UR'!$K$6:$K$2990,'1MK4UR'!$J$6:$J$2990,"&gt;="&amp;V7,'1MK4UR'!$J$6:$J$2990,"&lt;="&amp;EOMONTH(V7,0),'1MK4UR'!$L$6:$L$2990,$B$34)+SUMIFS(#REF!,#REF!,"&gt;="&amp;V7,#REF!,"&lt;="&amp;EOMONTH(V7,0),#REF!,$B$34)+SUMIFS('1JI2UE'!$K$6:$K$2989,'1JI2UE'!$J$6:$J$2989,"&gt;="&amp;V7,'1JI2UE'!$J$6:$J$2989,"&lt;="&amp;EOMONTH(V7,0),'1JI2UE'!$L$6:$L$2989,$B$34)+SUMIFS(#REF!,#REF!,"&gt;="&amp;V7,#REF!,"&lt;="&amp;EOMONTH(V7,0),#REF!,$B$34)+SUMIFS('1SI9BW'!$K$6:$K$2989,'1SI9BW'!$J$6:$J$2989,"&gt;="&amp;V7,'1SI9BW'!$J$6:$J$2989,"&lt;="&amp;EOMONTH(V7,0),'1SI9BW'!$L$6:$L$2989,$B$34)+SUMIFS(Suzuki!$K$6:$K$2989,Suzuki!$J$6:$J$2989,"&gt;="&amp;V7,Suzuki!$J$6:$J$2989,"&lt;="&amp;EOMONTH(V7,0),Suzuki!$L$6:$L$2989,$B$34)+SUMIFS('1SK3DD'!$K$6:$K$2989,'1SK3DD'!$J$6:$J$2989,"&gt;="&amp;V7,'1SK3DD'!$J$6:$J$2989,"&lt;="&amp;EOMONTH(V7,0),'1SK3DD'!$L$6:$L$2989,$B$34)+SUMIFS('1SX5TQ'!$K$6:$K$2989,'1SX5TQ'!$J$6:$J$2989,"&gt;="&amp;V7,'1SX5TQ'!$J$6:$J$2989,"&lt;="&amp;EOMONTH(V7,0),'1SX5TQ'!$L$6:$L$2989,$B$34)+SUMIFS('BMM465'!$K$6:$K$2989,'BMM465'!$J$6:$J$2989,"&gt;="&amp;V7,'BMM465'!$J$6:$J$2989,"&lt;="&amp;EOMONTH(V7,0),'BMM465'!$L$6:$L$2989,$B$34)+SUMIFS('1CF1ZO'!$K$6:$K$2989,'1CF1ZO'!$J$6:$J$2989,"&gt;="&amp;V7,'1CF1ZO'!$J$6:$J$2989,"&lt;="&amp;EOMONTH(V7,0),'1CF1ZO'!$L$6:$L$2989,$B$34)+SUMIFS('1UK1BK'!$K$6:$K$2989,'1UK1BK'!$J$6:$J$2989,"&gt;="&amp;V7,'1UK1BK'!$J$6:$J$2989,"&lt;="&amp;EOMONTH(V7,0),'1UK1BK'!$L$6:$L$2989,$B$34)</f>
        <v>#REF!</v>
      </c>
      <c r="W34" s="110" t="e">
        <f>SUMIFS('CEI565'!$K$6:$K$2990,'CEI565'!$J$6:$J$2990,"&gt;="&amp;W7,'CEI565'!$J$6:$J$2990,"&lt;="&amp;EOMONTH(W7,0),'CEI565'!$L$6:$L$2990,$B$34)+SUMIFS('1SM3VL'!$K$6:$K$2990,'1SM3VL'!$J$6:$J$2990,"&gt;="&amp;W7,'1SM3VL'!$J$6:$J$2990,"&lt;="&amp;EOMONTH(W7,0),'1SM3VL'!$L$6:$L$2990,$B$34)+SUMIFS('1QF4SM'!$K$6:$K$2989,'1QF4SM'!$J$6:$J$2989,"&gt;="&amp;W7,'1QF4SM'!$J$6:$J$2989,"&lt;="&amp;EOMONTH(W7,0),'1QF4SM'!$L$6:$L$2989,$B$34)+SUMIFS('1UV5KI'!$K$6:$K$2989,'1UV5KI'!$J$6:$J$2989,"&gt;="&amp;W7,'1UV5KI'!$J$6:$J$2989,"&lt;="&amp;EOMONTH(W7,0),'1UV5KI'!$L$6:$L$2989,$B$34)+SUMIFS(#REF!,#REF!,"&gt;="&amp;W7,#REF!,"&lt;="&amp;EOMONTH(W7,0),#REF!,$B$34)+SUMIFS('1UL9RY'!$K$6:$K$2990,'1UL9RY'!$J$6:$J$2990,"&gt;="&amp;W7,'1UL9RY'!$J$6:$J$2990,"&lt;="&amp;EOMONTH(W7,0),'1UL9RY'!$L$6:$L$2990,$B$34)+SUMIFS('1OZ7GT'!$K$6:$K$2989,'1OZ7GT'!$J$6:$J$2989,"&gt;="&amp;W7,'1OZ7GT'!$J$6:$J$2989,"&lt;="&amp;EOMONTH(W7,0),'1OZ7GT'!$L$6:$L$2989,$B$34)+SUMIFS('1CN8DD'!$K$6:$K$2989,'1CN8DD'!$J$6:$J$2989,"&gt;="&amp;W7,'1CN8DD'!$J$6:$J$2989,"&lt;="&amp;EOMONTH(W7,0),'1CN8DD'!$L$6:$L$2989,$B$34)+SUMIFS('1UT9BR'!$K$6:$K$2990,'1UT9BR'!$J$6:$J$2990,"&gt;="&amp;W7,'1UT9BR'!$J$6:$J$2990,"&lt;="&amp;EOMONTH(W7,0),'1UT9BR'!$L$6:$L$2990,$B$34)+SUMIFS('1MK4UR'!$K$6:$K$2990,'1MK4UR'!$J$6:$J$2990,"&gt;="&amp;W7,'1MK4UR'!$J$6:$J$2990,"&lt;="&amp;EOMONTH(W7,0),'1MK4UR'!$L$6:$L$2990,$B$34)+SUMIFS(#REF!,#REF!,"&gt;="&amp;W7,#REF!,"&lt;="&amp;EOMONTH(W7,0),#REF!,$B$34)+SUMIFS('1JI2UE'!$K$6:$K$2989,'1JI2UE'!$J$6:$J$2989,"&gt;="&amp;W7,'1JI2UE'!$J$6:$J$2989,"&lt;="&amp;EOMONTH(W7,0),'1JI2UE'!$L$6:$L$2989,$B$34)+SUMIFS(#REF!,#REF!,"&gt;="&amp;W7,#REF!,"&lt;="&amp;EOMONTH(W7,0),#REF!,$B$34)+SUMIFS('1SI9BW'!$K$6:$K$2989,'1SI9BW'!$J$6:$J$2989,"&gt;="&amp;W7,'1SI9BW'!$J$6:$J$2989,"&lt;="&amp;EOMONTH(W7,0),'1SI9BW'!$L$6:$L$2989,$B$34)+SUMIFS(Suzuki!$K$6:$K$2989,Suzuki!$J$6:$J$2989,"&gt;="&amp;W7,Suzuki!$J$6:$J$2989,"&lt;="&amp;EOMONTH(W7,0),Suzuki!$L$6:$L$2989,$B$34)+SUMIFS('1SK3DD'!$K$6:$K$2989,'1SK3DD'!$J$6:$J$2989,"&gt;="&amp;W7,'1SK3DD'!$J$6:$J$2989,"&lt;="&amp;EOMONTH(W7,0),'1SK3DD'!$L$6:$L$2989,$B$34)+SUMIFS('1SX5TQ'!$K$6:$K$2989,'1SX5TQ'!$J$6:$J$2989,"&gt;="&amp;W7,'1SX5TQ'!$J$6:$J$2989,"&lt;="&amp;EOMONTH(W7,0),'1SX5TQ'!$L$6:$L$2989,$B$34)+SUMIFS('BMM465'!$K$6:$K$2989,'BMM465'!$J$6:$J$2989,"&gt;="&amp;W7,'BMM465'!$J$6:$J$2989,"&lt;="&amp;EOMONTH(W7,0),'BMM465'!$L$6:$L$2989,$B$34)+SUMIFS('1CF1ZO'!$K$6:$K$2989,'1CF1ZO'!$J$6:$J$2989,"&gt;="&amp;W7,'1CF1ZO'!$J$6:$J$2989,"&lt;="&amp;EOMONTH(W7,0),'1CF1ZO'!$L$6:$L$2989,$B$34)+SUMIFS('1UK1BK'!$K$6:$K$2989,'1UK1BK'!$J$6:$J$2989,"&gt;="&amp;W7,'1UK1BK'!$J$6:$J$2989,"&lt;="&amp;EOMONTH(W7,0),'1UK1BK'!$L$6:$L$2989,$B$34)</f>
        <v>#REF!</v>
      </c>
      <c r="X34" s="110" t="e">
        <f>SUMIFS('CEI565'!$K$6:$K$2990,'CEI565'!$J$6:$J$2990,"&gt;="&amp;X7,'CEI565'!$J$6:$J$2990,"&lt;="&amp;EOMONTH(X7,0),'CEI565'!$L$6:$L$2990,$B$34)+SUMIFS('1SM3VL'!$K$6:$K$2990,'1SM3VL'!$J$6:$J$2990,"&gt;="&amp;X7,'1SM3VL'!$J$6:$J$2990,"&lt;="&amp;EOMONTH(X7,0),'1SM3VL'!$L$6:$L$2990,$B$34)+SUMIFS('1QF4SM'!$K$6:$K$2989,'1QF4SM'!$J$6:$J$2989,"&gt;="&amp;X7,'1QF4SM'!$J$6:$J$2989,"&lt;="&amp;EOMONTH(X7,0),'1QF4SM'!$L$6:$L$2989,$B$34)+SUMIFS('1UV5KI'!$K$6:$K$2989,'1UV5KI'!$J$6:$J$2989,"&gt;="&amp;X7,'1UV5KI'!$J$6:$J$2989,"&lt;="&amp;EOMONTH(X7,0),'1UV5KI'!$L$6:$L$2989,$B$34)+SUMIFS(#REF!,#REF!,"&gt;="&amp;X7,#REF!,"&lt;="&amp;EOMONTH(X7,0),#REF!,$B$34)+SUMIFS('1UL9RY'!$K$6:$K$2990,'1UL9RY'!$J$6:$J$2990,"&gt;="&amp;X7,'1UL9RY'!$J$6:$J$2990,"&lt;="&amp;EOMONTH(X7,0),'1UL9RY'!$L$6:$L$2990,$B$34)+SUMIFS('1OZ7GT'!$K$6:$K$2989,'1OZ7GT'!$J$6:$J$2989,"&gt;="&amp;X7,'1OZ7GT'!$J$6:$J$2989,"&lt;="&amp;EOMONTH(X7,0),'1OZ7GT'!$L$6:$L$2989,$B$34)+SUMIFS('1CN8DD'!$K$6:$K$2989,'1CN8DD'!$J$6:$J$2989,"&gt;="&amp;X7,'1CN8DD'!$J$6:$J$2989,"&lt;="&amp;EOMONTH(X7,0),'1CN8DD'!$L$6:$L$2989,$B$34)+SUMIFS('1UT9BR'!$K$6:$K$2990,'1UT9BR'!$J$6:$J$2990,"&gt;="&amp;X7,'1UT9BR'!$J$6:$J$2990,"&lt;="&amp;EOMONTH(X7,0),'1UT9BR'!$L$6:$L$2990,$B$34)+SUMIFS('1MK4UR'!$K$6:$K$2990,'1MK4UR'!$J$6:$J$2990,"&gt;="&amp;X7,'1MK4UR'!$J$6:$J$2990,"&lt;="&amp;EOMONTH(X7,0),'1MK4UR'!$L$6:$L$2990,$B$34)+SUMIFS(#REF!,#REF!,"&gt;="&amp;X7,#REF!,"&lt;="&amp;EOMONTH(X7,0),#REF!,$B$34)+SUMIFS('1JI2UE'!$K$6:$K$2989,'1JI2UE'!$J$6:$J$2989,"&gt;="&amp;X7,'1JI2UE'!$J$6:$J$2989,"&lt;="&amp;EOMONTH(X7,0),'1JI2UE'!$L$6:$L$2989,$B$34)+SUMIFS(#REF!,#REF!,"&gt;="&amp;X7,#REF!,"&lt;="&amp;EOMONTH(X7,0),#REF!,$B$34)+SUMIFS('1SI9BW'!$K$6:$K$2989,'1SI9BW'!$J$6:$J$2989,"&gt;="&amp;X7,'1SI9BW'!$J$6:$J$2989,"&lt;="&amp;EOMONTH(X7,0),'1SI9BW'!$L$6:$L$2989,$B$34)+SUMIFS(Suzuki!$K$6:$K$2989,Suzuki!$J$6:$J$2989,"&gt;="&amp;X7,Suzuki!$J$6:$J$2989,"&lt;="&amp;EOMONTH(X7,0),Suzuki!$L$6:$L$2989,$B$34)+SUMIFS('1SK3DD'!$K$6:$K$2989,'1SK3DD'!$J$6:$J$2989,"&gt;="&amp;X7,'1SK3DD'!$J$6:$J$2989,"&lt;="&amp;EOMONTH(X7,0),'1SK3DD'!$L$6:$L$2989,$B$34)+SUMIFS('1SX5TQ'!$K$6:$K$2989,'1SX5TQ'!$J$6:$J$2989,"&gt;="&amp;X7,'1SX5TQ'!$J$6:$J$2989,"&lt;="&amp;EOMONTH(X7,0),'1SX5TQ'!$L$6:$L$2989,$B$34)+SUMIFS('BMM465'!$K$6:$K$2989,'BMM465'!$J$6:$J$2989,"&gt;="&amp;X7,'BMM465'!$J$6:$J$2989,"&lt;="&amp;EOMONTH(X7,0),'BMM465'!$L$6:$L$2989,$B$34)+SUMIFS('1CF1ZO'!$K$6:$K$2989,'1CF1ZO'!$J$6:$J$2989,"&gt;="&amp;X7,'1CF1ZO'!$J$6:$J$2989,"&lt;="&amp;EOMONTH(X7,0),'1CF1ZO'!$L$6:$L$2989,$B$34)+SUMIFS('1UK1BK'!$K$6:$K$2989,'1UK1BK'!$J$6:$J$2989,"&gt;="&amp;X7,'1UK1BK'!$J$6:$J$2989,"&lt;="&amp;EOMONTH(X7,0),'1UK1BK'!$L$6:$L$2989,$B$34)</f>
        <v>#REF!</v>
      </c>
      <c r="Y34" s="110" t="e">
        <f>SUMIFS('CEI565'!$K$6:$K$2990,'CEI565'!$J$6:$J$2990,"&gt;="&amp;Y7,'CEI565'!$J$6:$J$2990,"&lt;="&amp;EOMONTH(Y7,0),'CEI565'!$L$6:$L$2990,$B$34)+SUMIFS('1SM3VL'!$K$6:$K$2990,'1SM3VL'!$J$6:$J$2990,"&gt;="&amp;Y7,'1SM3VL'!$J$6:$J$2990,"&lt;="&amp;EOMONTH(Y7,0),'1SM3VL'!$L$6:$L$2990,$B$34)+SUMIFS('1QF4SM'!$K$6:$K$2989,'1QF4SM'!$J$6:$J$2989,"&gt;="&amp;Y7,'1QF4SM'!$J$6:$J$2989,"&lt;="&amp;EOMONTH(Y7,0),'1QF4SM'!$L$6:$L$2989,$B$34)+SUMIFS('1UV5KI'!$K$6:$K$2989,'1UV5KI'!$J$6:$J$2989,"&gt;="&amp;Y7,'1UV5KI'!$J$6:$J$2989,"&lt;="&amp;EOMONTH(Y7,0),'1UV5KI'!$L$6:$L$2989,$B$34)+SUMIFS(#REF!,#REF!,"&gt;="&amp;Y7,#REF!,"&lt;="&amp;EOMONTH(Y7,0),#REF!,$B$34)+SUMIFS('1UL9RY'!$K$6:$K$2990,'1UL9RY'!$J$6:$J$2990,"&gt;="&amp;Y7,'1UL9RY'!$J$6:$J$2990,"&lt;="&amp;EOMONTH(Y7,0),'1UL9RY'!$L$6:$L$2990,$B$34)+SUMIFS('1OZ7GT'!$K$6:$K$2989,'1OZ7GT'!$J$6:$J$2989,"&gt;="&amp;Y7,'1OZ7GT'!$J$6:$J$2989,"&lt;="&amp;EOMONTH(Y7,0),'1OZ7GT'!$L$6:$L$2989,$B$34)+SUMIFS('1CN8DD'!$K$6:$K$2989,'1CN8DD'!$J$6:$J$2989,"&gt;="&amp;Y7,'1CN8DD'!$J$6:$J$2989,"&lt;="&amp;EOMONTH(Y7,0),'1CN8DD'!$L$6:$L$2989,$B$34)+SUMIFS('1UT9BR'!$K$6:$K$2990,'1UT9BR'!$J$6:$J$2990,"&gt;="&amp;Y7,'1UT9BR'!$J$6:$J$2990,"&lt;="&amp;EOMONTH(Y7,0),'1UT9BR'!$L$6:$L$2990,$B$34)+SUMIFS('1MK4UR'!$K$6:$K$2990,'1MK4UR'!$J$6:$J$2990,"&gt;="&amp;Y7,'1MK4UR'!$J$6:$J$2990,"&lt;="&amp;EOMONTH(Y7,0),'1MK4UR'!$L$6:$L$2990,$B$34)+SUMIFS(#REF!,#REF!,"&gt;="&amp;Y7,#REF!,"&lt;="&amp;EOMONTH(Y7,0),#REF!,$B$34)+SUMIFS('1JI2UE'!$K$6:$K$2989,'1JI2UE'!$J$6:$J$2989,"&gt;="&amp;Y7,'1JI2UE'!$J$6:$J$2989,"&lt;="&amp;EOMONTH(Y7,0),'1JI2UE'!$L$6:$L$2989,$B$34)+SUMIFS(#REF!,#REF!,"&gt;="&amp;Y7,#REF!,"&lt;="&amp;EOMONTH(Y7,0),#REF!,$B$34)+SUMIFS('1SI9BW'!$K$6:$K$2989,'1SI9BW'!$J$6:$J$2989,"&gt;="&amp;Y7,'1SI9BW'!$J$6:$J$2989,"&lt;="&amp;EOMONTH(Y7,0),'1SI9BW'!$L$6:$L$2989,$B$34)+SUMIFS(Suzuki!$K$6:$K$2989,Suzuki!$J$6:$J$2989,"&gt;="&amp;Y7,Suzuki!$J$6:$J$2989,"&lt;="&amp;EOMONTH(Y7,0),Suzuki!$L$6:$L$2989,$B$34)+SUMIFS('1SK3DD'!$K$6:$K$2989,'1SK3DD'!$J$6:$J$2989,"&gt;="&amp;Y7,'1SK3DD'!$J$6:$J$2989,"&lt;="&amp;EOMONTH(Y7,0),'1SK3DD'!$L$6:$L$2989,$B$34)+SUMIFS('1SX5TQ'!$K$6:$K$2989,'1SX5TQ'!$J$6:$J$2989,"&gt;="&amp;Y7,'1SX5TQ'!$J$6:$J$2989,"&lt;="&amp;EOMONTH(Y7,0),'1SX5TQ'!$L$6:$L$2989,$B$34)+SUMIFS('BMM465'!$K$6:$K$2989,'BMM465'!$J$6:$J$2989,"&gt;="&amp;Y7,'BMM465'!$J$6:$J$2989,"&lt;="&amp;EOMONTH(Y7,0),'BMM465'!$L$6:$L$2989,$B$34)+SUMIFS('1CF1ZO'!$K$6:$K$2989,'1CF1ZO'!$J$6:$J$2989,"&gt;="&amp;Y7,'1CF1ZO'!$J$6:$J$2989,"&lt;="&amp;EOMONTH(Y7,0),'1CF1ZO'!$L$6:$L$2989,$B$34)+SUMIFS('1UK1BK'!$K$6:$K$2989,'1UK1BK'!$J$6:$J$2989,"&gt;="&amp;Y7,'1UK1BK'!$J$6:$J$2989,"&lt;="&amp;EOMONTH(Y7,0),'1UK1BK'!$L$6:$L$2989,$B$34)</f>
        <v>#REF!</v>
      </c>
      <c r="Z34" s="110" t="e">
        <f>SUMIFS('CEI565'!$K$6:$K$2990,'CEI565'!$J$6:$J$2990,"&gt;="&amp;Z7,'CEI565'!$J$6:$J$2990,"&lt;="&amp;EOMONTH(Z7,0),'CEI565'!$L$6:$L$2990,$B$34)+SUMIFS('1SM3VL'!$K$6:$K$2990,'1SM3VL'!$J$6:$J$2990,"&gt;="&amp;Z7,'1SM3VL'!$J$6:$J$2990,"&lt;="&amp;EOMONTH(Z7,0),'1SM3VL'!$L$6:$L$2990,$B$34)+SUMIFS('1QF4SM'!$K$6:$K$2989,'1QF4SM'!$J$6:$J$2989,"&gt;="&amp;Z7,'1QF4SM'!$J$6:$J$2989,"&lt;="&amp;EOMONTH(Z7,0),'1QF4SM'!$L$6:$L$2989,$B$34)+SUMIFS('1UV5KI'!$K$6:$K$2989,'1UV5KI'!$J$6:$J$2989,"&gt;="&amp;Z7,'1UV5KI'!$J$6:$J$2989,"&lt;="&amp;EOMONTH(Z7,0),'1UV5KI'!$L$6:$L$2989,$B$34)+SUMIFS(#REF!,#REF!,"&gt;="&amp;Z7,#REF!,"&lt;="&amp;EOMONTH(Z7,0),#REF!,$B$34)+SUMIFS('1UL9RY'!$K$6:$K$2990,'1UL9RY'!$J$6:$J$2990,"&gt;="&amp;Z7,'1UL9RY'!$J$6:$J$2990,"&lt;="&amp;EOMONTH(Z7,0),'1UL9RY'!$L$6:$L$2990,$B$34)+SUMIFS('1OZ7GT'!$K$6:$K$2989,'1OZ7GT'!$J$6:$J$2989,"&gt;="&amp;Z7,'1OZ7GT'!$J$6:$J$2989,"&lt;="&amp;EOMONTH(Z7,0),'1OZ7GT'!$L$6:$L$2989,$B$34)+SUMIFS('1CN8DD'!$K$6:$K$2989,'1CN8DD'!$J$6:$J$2989,"&gt;="&amp;Z7,'1CN8DD'!$J$6:$J$2989,"&lt;="&amp;EOMONTH(Z7,0),'1CN8DD'!$L$6:$L$2989,$B$34)+SUMIFS('1UT9BR'!$K$6:$K$2990,'1UT9BR'!$J$6:$J$2990,"&gt;="&amp;Z7,'1UT9BR'!$J$6:$J$2990,"&lt;="&amp;EOMONTH(Z7,0),'1UT9BR'!$L$6:$L$2990,$B$34)+SUMIFS('1MK4UR'!$K$6:$K$2990,'1MK4UR'!$J$6:$J$2990,"&gt;="&amp;Z7,'1MK4UR'!$J$6:$J$2990,"&lt;="&amp;EOMONTH(Z7,0),'1MK4UR'!$L$6:$L$2990,$B$34)+SUMIFS(#REF!,#REF!,"&gt;="&amp;Z7,#REF!,"&lt;="&amp;EOMONTH(Z7,0),#REF!,$B$34)+SUMIFS('1JI2UE'!$K$6:$K$2989,'1JI2UE'!$J$6:$J$2989,"&gt;="&amp;Z7,'1JI2UE'!$J$6:$J$2989,"&lt;="&amp;EOMONTH(Z7,0),'1JI2UE'!$L$6:$L$2989,$B$34)+SUMIFS(#REF!,#REF!,"&gt;="&amp;Z7,#REF!,"&lt;="&amp;EOMONTH(Z7,0),#REF!,$B$34)+SUMIFS('1SI9BW'!$K$6:$K$2989,'1SI9BW'!$J$6:$J$2989,"&gt;="&amp;Z7,'1SI9BW'!$J$6:$J$2989,"&lt;="&amp;EOMONTH(Z7,0),'1SI9BW'!$L$6:$L$2989,$B$34)+SUMIFS(Suzuki!$K$6:$K$2989,Suzuki!$J$6:$J$2989,"&gt;="&amp;Z7,Suzuki!$J$6:$J$2989,"&lt;="&amp;EOMONTH(Z7,0),Suzuki!$L$6:$L$2989,$B$34)+SUMIFS('1SK3DD'!$K$6:$K$2989,'1SK3DD'!$J$6:$J$2989,"&gt;="&amp;Z7,'1SK3DD'!$J$6:$J$2989,"&lt;="&amp;EOMONTH(Z7,0),'1SK3DD'!$L$6:$L$2989,$B$34)+SUMIFS('1SX5TQ'!$K$6:$K$2989,'1SX5TQ'!$J$6:$J$2989,"&gt;="&amp;Z7,'1SX5TQ'!$J$6:$J$2989,"&lt;="&amp;EOMONTH(Z7,0),'1SX5TQ'!$L$6:$L$2989,$B$34)+SUMIFS('BMM465'!$K$6:$K$2989,'BMM465'!$J$6:$J$2989,"&gt;="&amp;Z7,'BMM465'!$J$6:$J$2989,"&lt;="&amp;EOMONTH(Z7,0),'BMM465'!$L$6:$L$2989,$B$34)+SUMIFS('1CF1ZO'!$K$6:$K$2989,'1CF1ZO'!$J$6:$J$2989,"&gt;="&amp;Z7,'1CF1ZO'!$J$6:$J$2989,"&lt;="&amp;EOMONTH(Z7,0),'1CF1ZO'!$L$6:$L$2989,$B$34)+SUMIFS('1UK1BK'!$K$6:$K$2989,'1UK1BK'!$J$6:$J$2989,"&gt;="&amp;Z7,'1UK1BK'!$J$6:$J$2989,"&lt;="&amp;EOMONTH(Z7,0),'1UK1BK'!$L$6:$L$2989,$B$34)</f>
        <v>#REF!</v>
      </c>
      <c r="AA34" s="110" t="e">
        <f>SUMIFS('CEI565'!$K$6:$K$2990,'CEI565'!$J$6:$J$2990,"&gt;="&amp;AA7,'CEI565'!$J$6:$J$2990,"&lt;="&amp;EOMONTH(AA7,0),'CEI565'!$L$6:$L$2990,$B$34)+SUMIFS('1SM3VL'!$K$6:$K$2990,'1SM3VL'!$J$6:$J$2990,"&gt;="&amp;AA7,'1SM3VL'!$J$6:$J$2990,"&lt;="&amp;EOMONTH(AA7,0),'1SM3VL'!$L$6:$L$2990,$B$34)+SUMIFS('1QF4SM'!$K$6:$K$2989,'1QF4SM'!$J$6:$J$2989,"&gt;="&amp;AA7,'1QF4SM'!$J$6:$J$2989,"&lt;="&amp;EOMONTH(AA7,0),'1QF4SM'!$L$6:$L$2989,$B$34)+SUMIFS('1UV5KI'!$K$6:$K$2989,'1UV5KI'!$J$6:$J$2989,"&gt;="&amp;AA7,'1UV5KI'!$J$6:$J$2989,"&lt;="&amp;EOMONTH(AA7,0),'1UV5KI'!$L$6:$L$2989,$B$34)+SUMIFS(#REF!,#REF!,"&gt;="&amp;AA7,#REF!,"&lt;="&amp;EOMONTH(AA7,0),#REF!,$B$34)+SUMIFS('1UL9RY'!$K$6:$K$2990,'1UL9RY'!$J$6:$J$2990,"&gt;="&amp;AA7,'1UL9RY'!$J$6:$J$2990,"&lt;="&amp;EOMONTH(AA7,0),'1UL9RY'!$L$6:$L$2990,$B$34)+SUMIFS('1OZ7GT'!$K$6:$K$2989,'1OZ7GT'!$J$6:$J$2989,"&gt;="&amp;AA7,'1OZ7GT'!$J$6:$J$2989,"&lt;="&amp;EOMONTH(AA7,0),'1OZ7GT'!$L$6:$L$2989,$B$34)+SUMIFS('1CN8DD'!$K$6:$K$2989,'1CN8DD'!$J$6:$J$2989,"&gt;="&amp;AA7,'1CN8DD'!$J$6:$J$2989,"&lt;="&amp;EOMONTH(AA7,0),'1CN8DD'!$L$6:$L$2989,$B$34)+SUMIFS('1UT9BR'!$K$6:$K$2990,'1UT9BR'!$J$6:$J$2990,"&gt;="&amp;AA7,'1UT9BR'!$J$6:$J$2990,"&lt;="&amp;EOMONTH(AA7,0),'1UT9BR'!$L$6:$L$2990,$B$34)+SUMIFS('1MK4UR'!$K$6:$K$2990,'1MK4UR'!$J$6:$J$2990,"&gt;="&amp;AA7,'1MK4UR'!$J$6:$J$2990,"&lt;="&amp;EOMONTH(AA7,0),'1MK4UR'!$L$6:$L$2990,$B$34)+SUMIFS(#REF!,#REF!,"&gt;="&amp;AA7,#REF!,"&lt;="&amp;EOMONTH(AA7,0),#REF!,$B$34)+SUMIFS('1JI2UE'!$K$6:$K$2989,'1JI2UE'!$J$6:$J$2989,"&gt;="&amp;AA7,'1JI2UE'!$J$6:$J$2989,"&lt;="&amp;EOMONTH(AA7,0),'1JI2UE'!$L$6:$L$2989,$B$34)+SUMIFS(#REF!,#REF!,"&gt;="&amp;AA7,#REF!,"&lt;="&amp;EOMONTH(AA7,0),#REF!,$B$34)+SUMIFS('1SI9BW'!$K$6:$K$2989,'1SI9BW'!$J$6:$J$2989,"&gt;="&amp;AA7,'1SI9BW'!$J$6:$J$2989,"&lt;="&amp;EOMONTH(AA7,0),'1SI9BW'!$L$6:$L$2989,$B$34)+SUMIFS(Suzuki!$K$6:$K$2989,Suzuki!$J$6:$J$2989,"&gt;="&amp;AA7,Suzuki!$J$6:$J$2989,"&lt;="&amp;EOMONTH(AA7,0),Suzuki!$L$6:$L$2989,$B$34)+SUMIFS('1SK3DD'!$K$6:$K$2989,'1SK3DD'!$J$6:$J$2989,"&gt;="&amp;AA7,'1SK3DD'!$J$6:$J$2989,"&lt;="&amp;EOMONTH(AA7,0),'1SK3DD'!$L$6:$L$2989,$B$34)+SUMIFS('1SX5TQ'!$K$6:$K$2989,'1SX5TQ'!$J$6:$J$2989,"&gt;="&amp;AA7,'1SX5TQ'!$J$6:$J$2989,"&lt;="&amp;EOMONTH(AA7,0),'1SX5TQ'!$L$6:$L$2989,$B$34)+SUMIFS('BMM465'!$K$6:$K$2989,'BMM465'!$J$6:$J$2989,"&gt;="&amp;AA7,'BMM465'!$J$6:$J$2989,"&lt;="&amp;EOMONTH(AA7,0),'BMM465'!$L$6:$L$2989,$B$34)+SUMIFS('1CF1ZO'!$K$6:$K$2989,'1CF1ZO'!$J$6:$J$2989,"&gt;="&amp;AA7,'1CF1ZO'!$J$6:$J$2989,"&lt;="&amp;EOMONTH(AA7,0),'1CF1ZO'!$L$6:$L$2989,$B$34)+SUMIFS('1UK1BK'!$K$6:$K$2989,'1UK1BK'!$J$6:$J$2989,"&gt;="&amp;AA7,'1UK1BK'!$J$6:$J$2989,"&lt;="&amp;EOMONTH(AA7,0),'1UK1BK'!$L$6:$L$2989,$B$34)</f>
        <v>#REF!</v>
      </c>
      <c r="AB34" s="110" t="e">
        <f>SUMIFS('CEI565'!$K$6:$K$2990,'CEI565'!$J$6:$J$2990,"&gt;="&amp;AB7,'CEI565'!$J$6:$J$2990,"&lt;="&amp;EOMONTH(AB7,0),'CEI565'!$L$6:$L$2990,$B$34)+SUMIFS('1SM3VL'!$K$6:$K$2990,'1SM3VL'!$J$6:$J$2990,"&gt;="&amp;AB7,'1SM3VL'!$J$6:$J$2990,"&lt;="&amp;EOMONTH(AB7,0),'1SM3VL'!$L$6:$L$2990,$B$34)+SUMIFS('1QF4SM'!$K$6:$K$2989,'1QF4SM'!$J$6:$J$2989,"&gt;="&amp;AB7,'1QF4SM'!$J$6:$J$2989,"&lt;="&amp;EOMONTH(AB7,0),'1QF4SM'!$L$6:$L$2989,$B$34)+SUMIFS('1UV5KI'!$K$6:$K$2989,'1UV5KI'!$J$6:$J$2989,"&gt;="&amp;AB7,'1UV5KI'!$J$6:$J$2989,"&lt;="&amp;EOMONTH(AB7,0),'1UV5KI'!$L$6:$L$2989,$B$34)+SUMIFS(#REF!,#REF!,"&gt;="&amp;AB7,#REF!,"&lt;="&amp;EOMONTH(AB7,0),#REF!,$B$34)+SUMIFS('1UL9RY'!$K$6:$K$2990,'1UL9RY'!$J$6:$J$2990,"&gt;="&amp;AB7,'1UL9RY'!$J$6:$J$2990,"&lt;="&amp;EOMONTH(AB7,0),'1UL9RY'!$L$6:$L$2990,$B$34)+SUMIFS('1OZ7GT'!$K$6:$K$2989,'1OZ7GT'!$J$6:$J$2989,"&gt;="&amp;AB7,'1OZ7GT'!$J$6:$J$2989,"&lt;="&amp;EOMONTH(AB7,0),'1OZ7GT'!$L$6:$L$2989,$B$34)+SUMIFS('1CN8DD'!$K$6:$K$2989,'1CN8DD'!$J$6:$J$2989,"&gt;="&amp;AB7,'1CN8DD'!$J$6:$J$2989,"&lt;="&amp;EOMONTH(AB7,0),'1CN8DD'!$L$6:$L$2989,$B$34)+SUMIFS('1UT9BR'!$K$6:$K$2990,'1UT9BR'!$J$6:$J$2990,"&gt;="&amp;AB7,'1UT9BR'!$J$6:$J$2990,"&lt;="&amp;EOMONTH(AB7,0),'1UT9BR'!$L$6:$L$2990,$B$34)+SUMIFS('1MK4UR'!$K$6:$K$2990,'1MK4UR'!$J$6:$J$2990,"&gt;="&amp;AB7,'1MK4UR'!$J$6:$J$2990,"&lt;="&amp;EOMONTH(AB7,0),'1MK4UR'!$L$6:$L$2990,$B$34)+SUMIFS(#REF!,#REF!,"&gt;="&amp;AB7,#REF!,"&lt;="&amp;EOMONTH(AB7,0),#REF!,$B$34)+SUMIFS('1JI2UE'!$K$6:$K$2989,'1JI2UE'!$J$6:$J$2989,"&gt;="&amp;AB7,'1JI2UE'!$J$6:$J$2989,"&lt;="&amp;EOMONTH(AB7,0),'1JI2UE'!$L$6:$L$2989,$B$34)+SUMIFS(#REF!,#REF!,"&gt;="&amp;AB7,#REF!,"&lt;="&amp;EOMONTH(AB7,0),#REF!,$B$34)+SUMIFS('1SI9BW'!$K$6:$K$2989,'1SI9BW'!$J$6:$J$2989,"&gt;="&amp;AB7,'1SI9BW'!$J$6:$J$2989,"&lt;="&amp;EOMONTH(AB7,0),'1SI9BW'!$L$6:$L$2989,$B$34)+SUMIFS(Suzuki!$K$6:$K$2989,Suzuki!$J$6:$J$2989,"&gt;="&amp;AB7,Suzuki!$J$6:$J$2989,"&lt;="&amp;EOMONTH(AB7,0),Suzuki!$L$6:$L$2989,$B$34)+SUMIFS('1SK3DD'!$K$6:$K$2989,'1SK3DD'!$J$6:$J$2989,"&gt;="&amp;AB7,'1SK3DD'!$J$6:$J$2989,"&lt;="&amp;EOMONTH(AB7,0),'1SK3DD'!$L$6:$L$2989,$B$34)+SUMIFS('1SX5TQ'!$K$6:$K$2989,'1SX5TQ'!$J$6:$J$2989,"&gt;="&amp;AB7,'1SX5TQ'!$J$6:$J$2989,"&lt;="&amp;EOMONTH(AB7,0),'1SX5TQ'!$L$6:$L$2989,$B$34)+SUMIFS('BMM465'!$K$6:$K$2989,'BMM465'!$J$6:$J$2989,"&gt;="&amp;AB7,'BMM465'!$J$6:$J$2989,"&lt;="&amp;EOMONTH(AB7,0),'BMM465'!$L$6:$L$2989,$B$34)+SUMIFS('1CF1ZO'!$K$6:$K$2989,'1CF1ZO'!$J$6:$J$2989,"&gt;="&amp;AB7,'1CF1ZO'!$J$6:$J$2989,"&lt;="&amp;EOMONTH(AB7,0),'1CF1ZO'!$L$6:$L$2989,$B$34)+SUMIFS('1UK1BK'!$K$6:$K$2989,'1UK1BK'!$J$6:$J$2989,"&gt;="&amp;AB7,'1UK1BK'!$J$6:$J$2989,"&lt;="&amp;EOMONTH(AB7,0),'1UK1BK'!$L$6:$L$2989,$B$34)</f>
        <v>#REF!</v>
      </c>
      <c r="AC34" s="110" t="e">
        <f>SUMIFS('CEI565'!$K$6:$K$2990,'CEI565'!$J$6:$J$2990,"&gt;="&amp;AC7,'CEI565'!$J$6:$J$2990,"&lt;="&amp;EOMONTH(AC7,0),'CEI565'!$L$6:$L$2990,$B$34)+SUMIFS('1SM3VL'!$K$6:$K$2990,'1SM3VL'!$J$6:$J$2990,"&gt;="&amp;AC7,'1SM3VL'!$J$6:$J$2990,"&lt;="&amp;EOMONTH(AC7,0),'1SM3VL'!$L$6:$L$2990,$B$34)+SUMIFS('1QF4SM'!$K$6:$K$2989,'1QF4SM'!$J$6:$J$2989,"&gt;="&amp;AC7,'1QF4SM'!$J$6:$J$2989,"&lt;="&amp;EOMONTH(AC7,0),'1QF4SM'!$L$6:$L$2989,$B$34)+SUMIFS('1UV5KI'!$K$6:$K$2989,'1UV5KI'!$J$6:$J$2989,"&gt;="&amp;AC7,'1UV5KI'!$J$6:$J$2989,"&lt;="&amp;EOMONTH(AC7,0),'1UV5KI'!$L$6:$L$2989,$B$34)+SUMIFS(#REF!,#REF!,"&gt;="&amp;AC7,#REF!,"&lt;="&amp;EOMONTH(AC7,0),#REF!,$B$34)+SUMIFS('1UL9RY'!$K$6:$K$2990,'1UL9RY'!$J$6:$J$2990,"&gt;="&amp;AC7,'1UL9RY'!$J$6:$J$2990,"&lt;="&amp;EOMONTH(AC7,0),'1UL9RY'!$L$6:$L$2990,$B$34)+SUMIFS('1OZ7GT'!$K$6:$K$2989,'1OZ7GT'!$J$6:$J$2989,"&gt;="&amp;AC7,'1OZ7GT'!$J$6:$J$2989,"&lt;="&amp;EOMONTH(AC7,0),'1OZ7GT'!$L$6:$L$2989,$B$34)+SUMIFS('1CN8DD'!$K$6:$K$2989,'1CN8DD'!$J$6:$J$2989,"&gt;="&amp;AC7,'1CN8DD'!$J$6:$J$2989,"&lt;="&amp;EOMONTH(AC7,0),'1CN8DD'!$L$6:$L$2989,$B$34)+SUMIFS('1UT9BR'!$K$6:$K$2990,'1UT9BR'!$J$6:$J$2990,"&gt;="&amp;AC7,'1UT9BR'!$J$6:$J$2990,"&lt;="&amp;EOMONTH(AC7,0),'1UT9BR'!$L$6:$L$2990,$B$34)+SUMIFS('1MK4UR'!$K$6:$K$2990,'1MK4UR'!$J$6:$J$2990,"&gt;="&amp;AC7,'1MK4UR'!$J$6:$J$2990,"&lt;="&amp;EOMONTH(AC7,0),'1MK4UR'!$L$6:$L$2990,$B$34)+SUMIFS(#REF!,#REF!,"&gt;="&amp;AC7,#REF!,"&lt;="&amp;EOMONTH(AC7,0),#REF!,$B$34)+SUMIFS('1JI2UE'!$K$6:$K$2989,'1JI2UE'!$J$6:$J$2989,"&gt;="&amp;AC7,'1JI2UE'!$J$6:$J$2989,"&lt;="&amp;EOMONTH(AC7,0),'1JI2UE'!$L$6:$L$2989,$B$34)+SUMIFS(#REF!,#REF!,"&gt;="&amp;AC7,#REF!,"&lt;="&amp;EOMONTH(AC7,0),#REF!,$B$34)+SUMIFS('1SI9BW'!$K$6:$K$2989,'1SI9BW'!$J$6:$J$2989,"&gt;="&amp;AC7,'1SI9BW'!$J$6:$J$2989,"&lt;="&amp;EOMONTH(AC7,0),'1SI9BW'!$L$6:$L$2989,$B$34)+SUMIFS(Suzuki!$K$6:$K$2989,Suzuki!$J$6:$J$2989,"&gt;="&amp;AC7,Suzuki!$J$6:$J$2989,"&lt;="&amp;EOMONTH(AC7,0),Suzuki!$L$6:$L$2989,$B$34)+SUMIFS('1SK3DD'!$K$6:$K$2989,'1SK3DD'!$J$6:$J$2989,"&gt;="&amp;AC7,'1SK3DD'!$J$6:$J$2989,"&lt;="&amp;EOMONTH(AC7,0),'1SK3DD'!$L$6:$L$2989,$B$34)+SUMIFS('1SX5TQ'!$K$6:$K$2989,'1SX5TQ'!$J$6:$J$2989,"&gt;="&amp;AC7,'1SX5TQ'!$J$6:$J$2989,"&lt;="&amp;EOMONTH(AC7,0),'1SX5TQ'!$L$6:$L$2989,$B$34)+SUMIFS('BMM465'!$K$6:$K$2989,'BMM465'!$J$6:$J$2989,"&gt;="&amp;AC7,'BMM465'!$J$6:$J$2989,"&lt;="&amp;EOMONTH(AC7,0),'BMM465'!$L$6:$L$2989,$B$34)+SUMIFS('1CF1ZO'!$K$6:$K$2989,'1CF1ZO'!$J$6:$J$2989,"&gt;="&amp;AC7,'1CF1ZO'!$J$6:$J$2989,"&lt;="&amp;EOMONTH(AC7,0),'1CF1ZO'!$L$6:$L$2989,$B$34)+SUMIFS('1UK1BK'!$K$6:$K$2989,'1UK1BK'!$J$6:$J$2989,"&gt;="&amp;AC7,'1UK1BK'!$J$6:$J$2989,"&lt;="&amp;EOMONTH(AC7,0),'1UK1BK'!$L$6:$L$2989,$B$34)</f>
        <v>#REF!</v>
      </c>
      <c r="AD34" s="110" t="e">
        <f>SUMIFS('CEI565'!$K$6:$K$2990,'CEI565'!$J$6:$J$2990,"&gt;="&amp;AD7,'CEI565'!$J$6:$J$2990,"&lt;="&amp;EOMONTH(AD7,0),'CEI565'!$L$6:$L$2990,$B$34)+SUMIFS('1SM3VL'!$K$6:$K$2990,'1SM3VL'!$J$6:$J$2990,"&gt;="&amp;AD7,'1SM3VL'!$J$6:$J$2990,"&lt;="&amp;EOMONTH(AD7,0),'1SM3VL'!$L$6:$L$2990,$B$34)+SUMIFS('1QF4SM'!$K$6:$K$2989,'1QF4SM'!$J$6:$J$2989,"&gt;="&amp;AD7,'1QF4SM'!$J$6:$J$2989,"&lt;="&amp;EOMONTH(AD7,0),'1QF4SM'!$L$6:$L$2989,$B$34)+SUMIFS('1UV5KI'!$K$6:$K$2989,'1UV5KI'!$J$6:$J$2989,"&gt;="&amp;AD7,'1UV5KI'!$J$6:$J$2989,"&lt;="&amp;EOMONTH(AD7,0),'1UV5KI'!$L$6:$L$2989,$B$34)+SUMIFS(#REF!,#REF!,"&gt;="&amp;AD7,#REF!,"&lt;="&amp;EOMONTH(AD7,0),#REF!,$B$34)+SUMIFS('1UL9RY'!$K$6:$K$2990,'1UL9RY'!$J$6:$J$2990,"&gt;="&amp;AD7,'1UL9RY'!$J$6:$J$2990,"&lt;="&amp;EOMONTH(AD7,0),'1UL9RY'!$L$6:$L$2990,$B$34)+SUMIFS('1OZ7GT'!$K$6:$K$2989,'1OZ7GT'!$J$6:$J$2989,"&gt;="&amp;AD7,'1OZ7GT'!$J$6:$J$2989,"&lt;="&amp;EOMONTH(AD7,0),'1OZ7GT'!$L$6:$L$2989,$B$34)+SUMIFS('1CN8DD'!$K$6:$K$2989,'1CN8DD'!$J$6:$J$2989,"&gt;="&amp;AD7,'1CN8DD'!$J$6:$J$2989,"&lt;="&amp;EOMONTH(AD7,0),'1CN8DD'!$L$6:$L$2989,$B$34)+SUMIFS('1UT9BR'!$K$6:$K$2990,'1UT9BR'!$J$6:$J$2990,"&gt;="&amp;AD7,'1UT9BR'!$J$6:$J$2990,"&lt;="&amp;EOMONTH(AD7,0),'1UT9BR'!$L$6:$L$2990,$B$34)+SUMIFS('1MK4UR'!$K$6:$K$2990,'1MK4UR'!$J$6:$J$2990,"&gt;="&amp;AD7,'1MK4UR'!$J$6:$J$2990,"&lt;="&amp;EOMONTH(AD7,0),'1MK4UR'!$L$6:$L$2990,$B$34)+SUMIFS(#REF!,#REF!,"&gt;="&amp;AD7,#REF!,"&lt;="&amp;EOMONTH(AD7,0),#REF!,$B$34)+SUMIFS('1JI2UE'!$K$6:$K$2989,'1JI2UE'!$J$6:$J$2989,"&gt;="&amp;AD7,'1JI2UE'!$J$6:$J$2989,"&lt;="&amp;EOMONTH(AD7,0),'1JI2UE'!$L$6:$L$2989,$B$34)+SUMIFS(#REF!,#REF!,"&gt;="&amp;AD7,#REF!,"&lt;="&amp;EOMONTH(AD7,0),#REF!,$B$34)+SUMIFS('1SI9BW'!$K$6:$K$2989,'1SI9BW'!$J$6:$J$2989,"&gt;="&amp;AD7,'1SI9BW'!$J$6:$J$2989,"&lt;="&amp;EOMONTH(AD7,0),'1SI9BW'!$L$6:$L$2989,$B$34)+SUMIFS(Suzuki!$K$6:$K$2989,Suzuki!$J$6:$J$2989,"&gt;="&amp;AD7,Suzuki!$J$6:$J$2989,"&lt;="&amp;EOMONTH(AD7,0),Suzuki!$L$6:$L$2989,$B$34)+SUMIFS('1SK3DD'!$K$6:$K$2989,'1SK3DD'!$J$6:$J$2989,"&gt;="&amp;AD7,'1SK3DD'!$J$6:$J$2989,"&lt;="&amp;EOMONTH(AD7,0),'1SK3DD'!$L$6:$L$2989,$B$34)+SUMIFS('1SX5TQ'!$K$6:$K$2989,'1SX5TQ'!$J$6:$J$2989,"&gt;="&amp;AD7,'1SX5TQ'!$J$6:$J$2989,"&lt;="&amp;EOMONTH(AD7,0),'1SX5TQ'!$L$6:$L$2989,$B$34)+SUMIFS('BMM465'!$K$6:$K$2989,'BMM465'!$J$6:$J$2989,"&gt;="&amp;AD7,'BMM465'!$J$6:$J$2989,"&lt;="&amp;EOMONTH(AD7,0),'BMM465'!$L$6:$L$2989,$B$34)+SUMIFS('1CF1ZO'!$K$6:$K$2989,'1CF1ZO'!$J$6:$J$2989,"&gt;="&amp;AD7,'1CF1ZO'!$J$6:$J$2989,"&lt;="&amp;EOMONTH(AD7,0),'1CF1ZO'!$L$6:$L$2989,$B$34)+SUMIFS('1UK1BK'!$K$6:$K$2989,'1UK1BK'!$J$6:$J$2989,"&gt;="&amp;AD7,'1UK1BK'!$J$6:$J$2989,"&lt;="&amp;EOMONTH(AD7,0),'1UK1BK'!$L$6:$L$2989,$B$34)</f>
        <v>#REF!</v>
      </c>
      <c r="AE34" s="110" t="e">
        <f>SUMIFS('CEI565'!$K$6:$K$2990,'CEI565'!$J$6:$J$2990,"&gt;="&amp;AE7,'CEI565'!$J$6:$J$2990,"&lt;="&amp;EOMONTH(AE7,0),'CEI565'!$L$6:$L$2990,$B$34)+SUMIFS('1SM3VL'!$K$6:$K$2990,'1SM3VL'!$J$6:$J$2990,"&gt;="&amp;AE7,'1SM3VL'!$J$6:$J$2990,"&lt;="&amp;EOMONTH(AE7,0),'1SM3VL'!$L$6:$L$2990,$B$34)+SUMIFS('1QF4SM'!$K$6:$K$2989,'1QF4SM'!$J$6:$J$2989,"&gt;="&amp;AE7,'1QF4SM'!$J$6:$J$2989,"&lt;="&amp;EOMONTH(AE7,0),'1QF4SM'!$L$6:$L$2989,$B$34)+SUMIFS('1UV5KI'!$K$6:$K$2989,'1UV5KI'!$J$6:$J$2989,"&gt;="&amp;AE7,'1UV5KI'!$J$6:$J$2989,"&lt;="&amp;EOMONTH(AE7,0),'1UV5KI'!$L$6:$L$2989,$B$34)+SUMIFS(#REF!,#REF!,"&gt;="&amp;AE7,#REF!,"&lt;="&amp;EOMONTH(AE7,0),#REF!,$B$34)+SUMIFS('1UL9RY'!$K$6:$K$2990,'1UL9RY'!$J$6:$J$2990,"&gt;="&amp;AE7,'1UL9RY'!$J$6:$J$2990,"&lt;="&amp;EOMONTH(AE7,0),'1UL9RY'!$L$6:$L$2990,$B$34)+SUMIFS('1OZ7GT'!$K$6:$K$2989,'1OZ7GT'!$J$6:$J$2989,"&gt;="&amp;AE7,'1OZ7GT'!$J$6:$J$2989,"&lt;="&amp;EOMONTH(AE7,0),'1OZ7GT'!$L$6:$L$2989,$B$34)+SUMIFS('1CN8DD'!$K$6:$K$2989,'1CN8DD'!$J$6:$J$2989,"&gt;="&amp;AE7,'1CN8DD'!$J$6:$J$2989,"&lt;="&amp;EOMONTH(AE7,0),'1CN8DD'!$L$6:$L$2989,$B$34)+SUMIFS('1UT9BR'!$K$6:$K$2990,'1UT9BR'!$J$6:$J$2990,"&gt;="&amp;AE7,'1UT9BR'!$J$6:$J$2990,"&lt;="&amp;EOMONTH(AE7,0),'1UT9BR'!$L$6:$L$2990,$B$34)+SUMIFS('1MK4UR'!$K$6:$K$2990,'1MK4UR'!$J$6:$J$2990,"&gt;="&amp;AE7,'1MK4UR'!$J$6:$J$2990,"&lt;="&amp;EOMONTH(AE7,0),'1MK4UR'!$L$6:$L$2990,$B$34)+SUMIFS(#REF!,#REF!,"&gt;="&amp;AE7,#REF!,"&lt;="&amp;EOMONTH(AE7,0),#REF!,$B$34)+SUMIFS('1JI2UE'!$K$6:$K$2989,'1JI2UE'!$J$6:$J$2989,"&gt;="&amp;AE7,'1JI2UE'!$J$6:$J$2989,"&lt;="&amp;EOMONTH(AE7,0),'1JI2UE'!$L$6:$L$2989,$B$34)+SUMIFS(#REF!,#REF!,"&gt;="&amp;AE7,#REF!,"&lt;="&amp;EOMONTH(AE7,0),#REF!,$B$34)+SUMIFS('1SI9BW'!$K$6:$K$2989,'1SI9BW'!$J$6:$J$2989,"&gt;="&amp;AE7,'1SI9BW'!$J$6:$J$2989,"&lt;="&amp;EOMONTH(AE7,0),'1SI9BW'!$L$6:$L$2989,$B$34)+SUMIFS(Suzuki!$K$6:$K$2989,Suzuki!$J$6:$J$2989,"&gt;="&amp;AE7,Suzuki!$J$6:$J$2989,"&lt;="&amp;EOMONTH(AE7,0),Suzuki!$L$6:$L$2989,$B$34)+SUMIFS('1SK3DD'!$K$6:$K$2989,'1SK3DD'!$J$6:$J$2989,"&gt;="&amp;AE7,'1SK3DD'!$J$6:$J$2989,"&lt;="&amp;EOMONTH(AE7,0),'1SK3DD'!$L$6:$L$2989,$B$34)+SUMIFS('1SX5TQ'!$K$6:$K$2989,'1SX5TQ'!$J$6:$J$2989,"&gt;="&amp;AE7,'1SX5TQ'!$J$6:$J$2989,"&lt;="&amp;EOMONTH(AE7,0),'1SX5TQ'!$L$6:$L$2989,$B$34)+SUMIFS('BMM465'!$K$6:$K$2989,'BMM465'!$J$6:$J$2989,"&gt;="&amp;AE7,'BMM465'!$J$6:$J$2989,"&lt;="&amp;EOMONTH(AE7,0),'BMM465'!$L$6:$L$2989,$B$34)+SUMIFS('1CF1ZO'!$K$6:$K$2989,'1CF1ZO'!$J$6:$J$2989,"&gt;="&amp;AE7,'1CF1ZO'!$J$6:$J$2989,"&lt;="&amp;EOMONTH(AE7,0),'1CF1ZO'!$L$6:$L$2989,$B$34)+SUMIFS('1UK1BK'!$K$6:$K$2989,'1UK1BK'!$J$6:$J$2989,"&gt;="&amp;AE7,'1UK1BK'!$J$6:$J$2989,"&lt;="&amp;EOMONTH(AE7,0),'1UK1BK'!$L$6:$L$2989,$B$34)</f>
        <v>#REF!</v>
      </c>
      <c r="AF34" s="110" t="e">
        <f>SUMIFS('CEI565'!$K$6:$K$2990,'CEI565'!$J$6:$J$2990,"&gt;="&amp;AF7,'CEI565'!$J$6:$J$2990,"&lt;="&amp;EOMONTH(AF7,0),'CEI565'!$L$6:$L$2990,$B$34)+SUMIFS('1SM3VL'!$K$6:$K$2990,'1SM3VL'!$J$6:$J$2990,"&gt;="&amp;AF7,'1SM3VL'!$J$6:$J$2990,"&lt;="&amp;EOMONTH(AF7,0),'1SM3VL'!$L$6:$L$2990,$B$34)+SUMIFS('1QF4SM'!$K$6:$K$2989,'1QF4SM'!$J$6:$J$2989,"&gt;="&amp;AF7,'1QF4SM'!$J$6:$J$2989,"&lt;="&amp;EOMONTH(AF7,0),'1QF4SM'!$L$6:$L$2989,$B$34)+SUMIFS('1UV5KI'!$K$6:$K$2989,'1UV5KI'!$J$6:$J$2989,"&gt;="&amp;AF7,'1UV5KI'!$J$6:$J$2989,"&lt;="&amp;EOMONTH(AF7,0),'1UV5KI'!$L$6:$L$2989,$B$34)+SUMIFS(#REF!,#REF!,"&gt;="&amp;AF7,#REF!,"&lt;="&amp;EOMONTH(AF7,0),#REF!,$B$34)+SUMIFS('1UL9RY'!$K$6:$K$2990,'1UL9RY'!$J$6:$J$2990,"&gt;="&amp;AF7,'1UL9RY'!$J$6:$J$2990,"&lt;="&amp;EOMONTH(AF7,0),'1UL9RY'!$L$6:$L$2990,$B$34)+SUMIFS('1OZ7GT'!$K$6:$K$2989,'1OZ7GT'!$J$6:$J$2989,"&gt;="&amp;AF7,'1OZ7GT'!$J$6:$J$2989,"&lt;="&amp;EOMONTH(AF7,0),'1OZ7GT'!$L$6:$L$2989,$B$34)+SUMIFS('1CN8DD'!$K$6:$K$2989,'1CN8DD'!$J$6:$J$2989,"&gt;="&amp;AF7,'1CN8DD'!$J$6:$J$2989,"&lt;="&amp;EOMONTH(AF7,0),'1CN8DD'!$L$6:$L$2989,$B$34)+SUMIFS('1UT9BR'!$K$6:$K$2990,'1UT9BR'!$J$6:$J$2990,"&gt;="&amp;AF7,'1UT9BR'!$J$6:$J$2990,"&lt;="&amp;EOMONTH(AF7,0),'1UT9BR'!$L$6:$L$2990,$B$34)+SUMIFS('1MK4UR'!$K$6:$K$2990,'1MK4UR'!$J$6:$J$2990,"&gt;="&amp;AF7,'1MK4UR'!$J$6:$J$2990,"&lt;="&amp;EOMONTH(AF7,0),'1MK4UR'!$L$6:$L$2990,$B$34)+SUMIFS(#REF!,#REF!,"&gt;="&amp;AF7,#REF!,"&lt;="&amp;EOMONTH(AF7,0),#REF!,$B$34)+SUMIFS('1JI2UE'!$K$6:$K$2989,'1JI2UE'!$J$6:$J$2989,"&gt;="&amp;AF7,'1JI2UE'!$J$6:$J$2989,"&lt;="&amp;EOMONTH(AF7,0),'1JI2UE'!$L$6:$L$2989,$B$34)+SUMIFS(#REF!,#REF!,"&gt;="&amp;AF7,#REF!,"&lt;="&amp;EOMONTH(AF7,0),#REF!,$B$34)+SUMIFS('1SI9BW'!$K$6:$K$2989,'1SI9BW'!$J$6:$J$2989,"&gt;="&amp;AF7,'1SI9BW'!$J$6:$J$2989,"&lt;="&amp;EOMONTH(AF7,0),'1SI9BW'!$L$6:$L$2989,$B$34)+SUMIFS(Suzuki!$K$6:$K$2989,Suzuki!$J$6:$J$2989,"&gt;="&amp;AF7,Suzuki!$J$6:$J$2989,"&lt;="&amp;EOMONTH(AF7,0),Suzuki!$L$6:$L$2989,$B$34)+SUMIFS('1SK3DD'!$K$6:$K$2989,'1SK3DD'!$J$6:$J$2989,"&gt;="&amp;AF7,'1SK3DD'!$J$6:$J$2989,"&lt;="&amp;EOMONTH(AF7,0),'1SK3DD'!$L$6:$L$2989,$B$34)+SUMIFS('1SX5TQ'!$K$6:$K$2989,'1SX5TQ'!$J$6:$J$2989,"&gt;="&amp;AF7,'1SX5TQ'!$J$6:$J$2989,"&lt;="&amp;EOMONTH(AF7,0),'1SX5TQ'!$L$6:$L$2989,$B$34)+SUMIFS('BMM465'!$K$6:$K$2989,'BMM465'!$J$6:$J$2989,"&gt;="&amp;AF7,'BMM465'!$J$6:$J$2989,"&lt;="&amp;EOMONTH(AF7,0),'BMM465'!$L$6:$L$2989,$B$34)+SUMIFS('1CF1ZO'!$K$6:$K$2989,'1CF1ZO'!$J$6:$J$2989,"&gt;="&amp;AF7,'1CF1ZO'!$J$6:$J$2989,"&lt;="&amp;EOMONTH(AF7,0),'1CF1ZO'!$L$6:$L$2989,$B$34)+SUMIFS('1UK1BK'!$K$6:$K$2989,'1UK1BK'!$J$6:$J$2989,"&gt;="&amp;AF7,'1UK1BK'!$J$6:$J$2989,"&lt;="&amp;EOMONTH(AF7,0),'1UK1BK'!$L$6:$L$2989,$B$34)</f>
        <v>#REF!</v>
      </c>
      <c r="AG34" s="110" t="e">
        <f>SUMIFS('CEI565'!$K$6:$K$2990,'CEI565'!$J$6:$J$2990,"&gt;="&amp;AG7,'CEI565'!$J$6:$J$2990,"&lt;="&amp;EOMONTH(AG7,0),'CEI565'!$L$6:$L$2990,$B$34)+SUMIFS('1SM3VL'!$K$6:$K$2990,'1SM3VL'!$J$6:$J$2990,"&gt;="&amp;AG7,'1SM3VL'!$J$6:$J$2990,"&lt;="&amp;EOMONTH(AG7,0),'1SM3VL'!$L$6:$L$2990,$B$34)+SUMIFS('1QF4SM'!$K$6:$K$2989,'1QF4SM'!$J$6:$J$2989,"&gt;="&amp;AG7,'1QF4SM'!$J$6:$J$2989,"&lt;="&amp;EOMONTH(AG7,0),'1QF4SM'!$L$6:$L$2989,$B$34)+SUMIFS('1UV5KI'!$K$6:$K$2989,'1UV5KI'!$J$6:$J$2989,"&gt;="&amp;AG7,'1UV5KI'!$J$6:$J$2989,"&lt;="&amp;EOMONTH(AG7,0),'1UV5KI'!$L$6:$L$2989,$B$34)+SUMIFS(#REF!,#REF!,"&gt;="&amp;AG7,#REF!,"&lt;="&amp;EOMONTH(AG7,0),#REF!,$B$34)+SUMIFS('1UL9RY'!$K$6:$K$2990,'1UL9RY'!$J$6:$J$2990,"&gt;="&amp;AG7,'1UL9RY'!$J$6:$J$2990,"&lt;="&amp;EOMONTH(AG7,0),'1UL9RY'!$L$6:$L$2990,$B$34)+SUMIFS('1OZ7GT'!$K$6:$K$2989,'1OZ7GT'!$J$6:$J$2989,"&gt;="&amp;AG7,'1OZ7GT'!$J$6:$J$2989,"&lt;="&amp;EOMONTH(AG7,0),'1OZ7GT'!$L$6:$L$2989,$B$34)+SUMIFS('1CN8DD'!$K$6:$K$2989,'1CN8DD'!$J$6:$J$2989,"&gt;="&amp;AG7,'1CN8DD'!$J$6:$J$2989,"&lt;="&amp;EOMONTH(AG7,0),'1CN8DD'!$L$6:$L$2989,$B$34)+SUMIFS('1UT9BR'!$K$6:$K$2990,'1UT9BR'!$J$6:$J$2990,"&gt;="&amp;AG7,'1UT9BR'!$J$6:$J$2990,"&lt;="&amp;EOMONTH(AG7,0),'1UT9BR'!$L$6:$L$2990,$B$34)+SUMIFS('1MK4UR'!$K$6:$K$2990,'1MK4UR'!$J$6:$J$2990,"&gt;="&amp;AG7,'1MK4UR'!$J$6:$J$2990,"&lt;="&amp;EOMONTH(AG7,0),'1MK4UR'!$L$6:$L$2990,$B$34)+SUMIFS(#REF!,#REF!,"&gt;="&amp;AG7,#REF!,"&lt;="&amp;EOMONTH(AG7,0),#REF!,$B$34)+SUMIFS('1JI2UE'!$K$6:$K$2989,'1JI2UE'!$J$6:$J$2989,"&gt;="&amp;AG7,'1JI2UE'!$J$6:$J$2989,"&lt;="&amp;EOMONTH(AG7,0),'1JI2UE'!$L$6:$L$2989,$B$34)+SUMIFS(#REF!,#REF!,"&gt;="&amp;AG7,#REF!,"&lt;="&amp;EOMONTH(AG7,0),#REF!,$B$34)+SUMIFS('1SI9BW'!$K$6:$K$2989,'1SI9BW'!$J$6:$J$2989,"&gt;="&amp;AG7,'1SI9BW'!$J$6:$J$2989,"&lt;="&amp;EOMONTH(AG7,0),'1SI9BW'!$L$6:$L$2989,$B$34)+SUMIFS(Suzuki!$K$6:$K$2989,Suzuki!$J$6:$J$2989,"&gt;="&amp;AG7,Suzuki!$J$6:$J$2989,"&lt;="&amp;EOMONTH(AG7,0),Suzuki!$L$6:$L$2989,$B$34)+SUMIFS('1SK3DD'!$K$6:$K$2989,'1SK3DD'!$J$6:$J$2989,"&gt;="&amp;AG7,'1SK3DD'!$J$6:$J$2989,"&lt;="&amp;EOMONTH(AG7,0),'1SK3DD'!$L$6:$L$2989,$B$34)+SUMIFS('1SX5TQ'!$K$6:$K$2989,'1SX5TQ'!$J$6:$J$2989,"&gt;="&amp;AG7,'1SX5TQ'!$J$6:$J$2989,"&lt;="&amp;EOMONTH(AG7,0),'1SX5TQ'!$L$6:$L$2989,$B$34)+SUMIFS('BMM465'!$K$6:$K$2989,'BMM465'!$J$6:$J$2989,"&gt;="&amp;AG7,'BMM465'!$J$6:$J$2989,"&lt;="&amp;EOMONTH(AG7,0),'BMM465'!$L$6:$L$2989,$B$34)+SUMIFS('1CF1ZO'!$K$6:$K$2989,'1CF1ZO'!$J$6:$J$2989,"&gt;="&amp;AG7,'1CF1ZO'!$J$6:$J$2989,"&lt;="&amp;EOMONTH(AG7,0),'1CF1ZO'!$L$6:$L$2989,$B$34)+SUMIFS('1UK1BK'!$K$6:$K$2989,'1UK1BK'!$J$6:$J$2989,"&gt;="&amp;AG7,'1UK1BK'!$J$6:$J$2989,"&lt;="&amp;EOMONTH(AG7,0),'1UK1BK'!$L$6:$L$2989,$B$34)</f>
        <v>#REF!</v>
      </c>
      <c r="AH34" s="110" t="e">
        <f>SUMIFS('CEI565'!$K$6:$K$2990,'CEI565'!$J$6:$J$2990,"&gt;="&amp;AH7,'CEI565'!$J$6:$J$2990,"&lt;="&amp;EOMONTH(AH7,0),'CEI565'!$L$6:$L$2990,$B$34)+SUMIFS('1SM3VL'!$K$6:$K$2990,'1SM3VL'!$J$6:$J$2990,"&gt;="&amp;AH7,'1SM3VL'!$J$6:$J$2990,"&lt;="&amp;EOMONTH(AH7,0),'1SM3VL'!$L$6:$L$2990,$B$34)+SUMIFS('1QF4SM'!$K$6:$K$2989,'1QF4SM'!$J$6:$J$2989,"&gt;="&amp;AH7,'1QF4SM'!$J$6:$J$2989,"&lt;="&amp;EOMONTH(AH7,0),'1QF4SM'!$L$6:$L$2989,$B$34)+SUMIFS('1UV5KI'!$K$6:$K$2989,'1UV5KI'!$J$6:$J$2989,"&gt;="&amp;AH7,'1UV5KI'!$J$6:$J$2989,"&lt;="&amp;EOMONTH(AH7,0),'1UV5KI'!$L$6:$L$2989,$B$34)+SUMIFS(#REF!,#REF!,"&gt;="&amp;AH7,#REF!,"&lt;="&amp;EOMONTH(AH7,0),#REF!,$B$34)+SUMIFS('1UL9RY'!$K$6:$K$2990,'1UL9RY'!$J$6:$J$2990,"&gt;="&amp;AH7,'1UL9RY'!$J$6:$J$2990,"&lt;="&amp;EOMONTH(AH7,0),'1UL9RY'!$L$6:$L$2990,$B$34)+SUMIFS('1OZ7GT'!$K$6:$K$2989,'1OZ7GT'!$J$6:$J$2989,"&gt;="&amp;AH7,'1OZ7GT'!$J$6:$J$2989,"&lt;="&amp;EOMONTH(AH7,0),'1OZ7GT'!$L$6:$L$2989,$B$34)+SUMIFS('1CN8DD'!$K$6:$K$2989,'1CN8DD'!$J$6:$J$2989,"&gt;="&amp;AH7,'1CN8DD'!$J$6:$J$2989,"&lt;="&amp;EOMONTH(AH7,0),'1CN8DD'!$L$6:$L$2989,$B$34)+SUMIFS('1UT9BR'!$K$6:$K$2990,'1UT9BR'!$J$6:$J$2990,"&gt;="&amp;AH7,'1UT9BR'!$J$6:$J$2990,"&lt;="&amp;EOMONTH(AH7,0),'1UT9BR'!$L$6:$L$2990,$B$34)+SUMIFS('1MK4UR'!$K$6:$K$2990,'1MK4UR'!$J$6:$J$2990,"&gt;="&amp;AH7,'1MK4UR'!$J$6:$J$2990,"&lt;="&amp;EOMONTH(AH7,0),'1MK4UR'!$L$6:$L$2990,$B$34)+SUMIFS(#REF!,#REF!,"&gt;="&amp;AH7,#REF!,"&lt;="&amp;EOMONTH(AH7,0),#REF!,$B$34)+SUMIFS('1JI2UE'!$K$6:$K$2989,'1JI2UE'!$J$6:$J$2989,"&gt;="&amp;AH7,'1JI2UE'!$J$6:$J$2989,"&lt;="&amp;EOMONTH(AH7,0),'1JI2UE'!$L$6:$L$2989,$B$34)+SUMIFS(#REF!,#REF!,"&gt;="&amp;AH7,#REF!,"&lt;="&amp;EOMONTH(AH7,0),#REF!,$B$34)+SUMIFS('1SI9BW'!$K$6:$K$2989,'1SI9BW'!$J$6:$J$2989,"&gt;="&amp;AH7,'1SI9BW'!$J$6:$J$2989,"&lt;="&amp;EOMONTH(AH7,0),'1SI9BW'!$L$6:$L$2989,$B$34)+SUMIFS(Suzuki!$K$6:$K$2989,Suzuki!$J$6:$J$2989,"&gt;="&amp;AH7,Suzuki!$J$6:$J$2989,"&lt;="&amp;EOMONTH(AH7,0),Suzuki!$L$6:$L$2989,$B$34)+SUMIFS('1SK3DD'!$K$6:$K$2989,'1SK3DD'!$J$6:$J$2989,"&gt;="&amp;AH7,'1SK3DD'!$J$6:$J$2989,"&lt;="&amp;EOMONTH(AH7,0),'1SK3DD'!$L$6:$L$2989,$B$34)+SUMIFS('1SX5TQ'!$K$6:$K$2989,'1SX5TQ'!$J$6:$J$2989,"&gt;="&amp;AH7,'1SX5TQ'!$J$6:$J$2989,"&lt;="&amp;EOMONTH(AH7,0),'1SX5TQ'!$L$6:$L$2989,$B$34)+SUMIFS('BMM465'!$K$6:$K$2989,'BMM465'!$J$6:$J$2989,"&gt;="&amp;AH7,'BMM465'!$J$6:$J$2989,"&lt;="&amp;EOMONTH(AH7,0),'BMM465'!$L$6:$L$2989,$B$34)+SUMIFS('1CF1ZO'!$K$6:$K$2989,'1CF1ZO'!$J$6:$J$2989,"&gt;="&amp;AH7,'1CF1ZO'!$J$6:$J$2989,"&lt;="&amp;EOMONTH(AH7,0),'1CF1ZO'!$L$6:$L$2989,$B$34)+SUMIFS('1UK1BK'!$K$6:$K$2989,'1UK1BK'!$J$6:$J$2989,"&gt;="&amp;AH7,'1UK1BK'!$J$6:$J$2989,"&lt;="&amp;EOMONTH(AH7,0),'1UK1BK'!$L$6:$L$2989,$B$34)</f>
        <v>#REF!</v>
      </c>
      <c r="AI34" s="110" t="e">
        <f>SUMIFS('CEI565'!$K$6:$K$2990,'CEI565'!$J$6:$J$2990,"&gt;="&amp;AI7,'CEI565'!$J$6:$J$2990,"&lt;="&amp;EOMONTH(AI7,0),'CEI565'!$L$6:$L$2990,$B$34)+SUMIFS('1SM3VL'!$K$6:$K$2990,'1SM3VL'!$J$6:$J$2990,"&gt;="&amp;AI7,'1SM3VL'!$J$6:$J$2990,"&lt;="&amp;EOMONTH(AI7,0),'1SM3VL'!$L$6:$L$2990,$B$34)+SUMIFS('1QF4SM'!$K$6:$K$2989,'1QF4SM'!$J$6:$J$2989,"&gt;="&amp;AI7,'1QF4SM'!$J$6:$J$2989,"&lt;="&amp;EOMONTH(AI7,0),'1QF4SM'!$L$6:$L$2989,$B$34)+SUMIFS('1UV5KI'!$K$6:$K$2989,'1UV5KI'!$J$6:$J$2989,"&gt;="&amp;AI7,'1UV5KI'!$J$6:$J$2989,"&lt;="&amp;EOMONTH(AI7,0),'1UV5KI'!$L$6:$L$2989,$B$34)+SUMIFS(#REF!,#REF!,"&gt;="&amp;AI7,#REF!,"&lt;="&amp;EOMONTH(AI7,0),#REF!,$B$34)+SUMIFS('1UL9RY'!$K$6:$K$2990,'1UL9RY'!$J$6:$J$2990,"&gt;="&amp;AI7,'1UL9RY'!$J$6:$J$2990,"&lt;="&amp;EOMONTH(AI7,0),'1UL9RY'!$L$6:$L$2990,$B$34)+SUMIFS('1OZ7GT'!$K$6:$K$2989,'1OZ7GT'!$J$6:$J$2989,"&gt;="&amp;AI7,'1OZ7GT'!$J$6:$J$2989,"&lt;="&amp;EOMONTH(AI7,0),'1OZ7GT'!$L$6:$L$2989,$B$34)+SUMIFS('1CN8DD'!$K$6:$K$2989,'1CN8DD'!$J$6:$J$2989,"&gt;="&amp;AI7,'1CN8DD'!$J$6:$J$2989,"&lt;="&amp;EOMONTH(AI7,0),'1CN8DD'!$L$6:$L$2989,$B$34)+SUMIFS('1UT9BR'!$K$6:$K$2990,'1UT9BR'!$J$6:$J$2990,"&gt;="&amp;AI7,'1UT9BR'!$J$6:$J$2990,"&lt;="&amp;EOMONTH(AI7,0),'1UT9BR'!$L$6:$L$2990,$B$34)+SUMIFS('1MK4UR'!$K$6:$K$2990,'1MK4UR'!$J$6:$J$2990,"&gt;="&amp;AI7,'1MK4UR'!$J$6:$J$2990,"&lt;="&amp;EOMONTH(AI7,0),'1MK4UR'!$L$6:$L$2990,$B$34)+SUMIFS(#REF!,#REF!,"&gt;="&amp;AI7,#REF!,"&lt;="&amp;EOMONTH(AI7,0),#REF!,$B$34)+SUMIFS('1JI2UE'!$K$6:$K$2989,'1JI2UE'!$J$6:$J$2989,"&gt;="&amp;AI7,'1JI2UE'!$J$6:$J$2989,"&lt;="&amp;EOMONTH(AI7,0),'1JI2UE'!$L$6:$L$2989,$B$34)+SUMIFS(#REF!,#REF!,"&gt;="&amp;AI7,#REF!,"&lt;="&amp;EOMONTH(AI7,0),#REF!,$B$34)+SUMIFS('1SI9BW'!$K$6:$K$2989,'1SI9BW'!$J$6:$J$2989,"&gt;="&amp;AI7,'1SI9BW'!$J$6:$J$2989,"&lt;="&amp;EOMONTH(AI7,0),'1SI9BW'!$L$6:$L$2989,$B$34)+SUMIFS(Suzuki!$K$6:$K$2989,Suzuki!$J$6:$J$2989,"&gt;="&amp;AI7,Suzuki!$J$6:$J$2989,"&lt;="&amp;EOMONTH(AI7,0),Suzuki!$L$6:$L$2989,$B$34)+SUMIFS('1SK3DD'!$K$6:$K$2989,'1SK3DD'!$J$6:$J$2989,"&gt;="&amp;AI7,'1SK3DD'!$J$6:$J$2989,"&lt;="&amp;EOMONTH(AI7,0),'1SK3DD'!$L$6:$L$2989,$B$34)+SUMIFS('1SX5TQ'!$K$6:$K$2989,'1SX5TQ'!$J$6:$J$2989,"&gt;="&amp;AI7,'1SX5TQ'!$J$6:$J$2989,"&lt;="&amp;EOMONTH(AI7,0),'1SX5TQ'!$L$6:$L$2989,$B$34)+SUMIFS('BMM465'!$K$6:$K$2989,'BMM465'!$J$6:$J$2989,"&gt;="&amp;AI7,'BMM465'!$J$6:$J$2989,"&lt;="&amp;EOMONTH(AI7,0),'BMM465'!$L$6:$L$2989,$B$34)+SUMIFS('1CF1ZO'!$K$6:$K$2989,'1CF1ZO'!$J$6:$J$2989,"&gt;="&amp;AI7,'1CF1ZO'!$J$6:$J$2989,"&lt;="&amp;EOMONTH(AI7,0),'1CF1ZO'!$L$6:$L$2989,$B$34)+SUMIFS('1UK1BK'!$K$6:$K$2989,'1UK1BK'!$J$6:$J$2989,"&gt;="&amp;AI7,'1UK1BK'!$J$6:$J$2989,"&lt;="&amp;EOMONTH(AI7,0),'1UK1BK'!$L$6:$L$2989,$B$34)</f>
        <v>#REF!</v>
      </c>
      <c r="AJ34" s="110" t="e">
        <f>SUMIFS('CEI565'!$K$6:$K$2990,'CEI565'!$J$6:$J$2990,"&gt;="&amp;AJ7,'CEI565'!$J$6:$J$2990,"&lt;="&amp;EOMONTH(AJ7,0),'CEI565'!$L$6:$L$2990,$B$34)+SUMIFS('1SM3VL'!$K$6:$K$2990,'1SM3VL'!$J$6:$J$2990,"&gt;="&amp;AJ7,'1SM3VL'!$J$6:$J$2990,"&lt;="&amp;EOMONTH(AJ7,0),'1SM3VL'!$L$6:$L$2990,$B$34)+SUMIFS('1QF4SM'!$K$6:$K$2989,'1QF4SM'!$J$6:$J$2989,"&gt;="&amp;AJ7,'1QF4SM'!$J$6:$J$2989,"&lt;="&amp;EOMONTH(AJ7,0),'1QF4SM'!$L$6:$L$2989,$B$34)+SUMIFS('1UV5KI'!$K$6:$K$2989,'1UV5KI'!$J$6:$J$2989,"&gt;="&amp;AJ7,'1UV5KI'!$J$6:$J$2989,"&lt;="&amp;EOMONTH(AJ7,0),'1UV5KI'!$L$6:$L$2989,$B$34)+SUMIFS(#REF!,#REF!,"&gt;="&amp;AJ7,#REF!,"&lt;="&amp;EOMONTH(AJ7,0),#REF!,$B$34)+SUMIFS('1UL9RY'!$K$6:$K$2990,'1UL9RY'!$J$6:$J$2990,"&gt;="&amp;AJ7,'1UL9RY'!$J$6:$J$2990,"&lt;="&amp;EOMONTH(AJ7,0),'1UL9RY'!$L$6:$L$2990,$B$34)+SUMIFS('1OZ7GT'!$K$6:$K$2989,'1OZ7GT'!$J$6:$J$2989,"&gt;="&amp;AJ7,'1OZ7GT'!$J$6:$J$2989,"&lt;="&amp;EOMONTH(AJ7,0),'1OZ7GT'!$L$6:$L$2989,$B$34)+SUMIFS('1CN8DD'!$K$6:$K$2989,'1CN8DD'!$J$6:$J$2989,"&gt;="&amp;AJ7,'1CN8DD'!$J$6:$J$2989,"&lt;="&amp;EOMONTH(AJ7,0),'1CN8DD'!$L$6:$L$2989,$B$34)+SUMIFS('1UT9BR'!$K$6:$K$2990,'1UT9BR'!$J$6:$J$2990,"&gt;="&amp;AJ7,'1UT9BR'!$J$6:$J$2990,"&lt;="&amp;EOMONTH(AJ7,0),'1UT9BR'!$L$6:$L$2990,$B$34)+SUMIFS('1MK4UR'!$K$6:$K$2990,'1MK4UR'!$J$6:$J$2990,"&gt;="&amp;AJ7,'1MK4UR'!$J$6:$J$2990,"&lt;="&amp;EOMONTH(AJ7,0),'1MK4UR'!$L$6:$L$2990,$B$34)+SUMIFS(#REF!,#REF!,"&gt;="&amp;AJ7,#REF!,"&lt;="&amp;EOMONTH(AJ7,0),#REF!,$B$34)+SUMIFS('1JI2UE'!$K$6:$K$2989,'1JI2UE'!$J$6:$J$2989,"&gt;="&amp;AJ7,'1JI2UE'!$J$6:$J$2989,"&lt;="&amp;EOMONTH(AJ7,0),'1JI2UE'!$L$6:$L$2989,$B$34)+SUMIFS(#REF!,#REF!,"&gt;="&amp;AJ7,#REF!,"&lt;="&amp;EOMONTH(AJ7,0),#REF!,$B$34)+SUMIFS('1SI9BW'!$K$6:$K$2989,'1SI9BW'!$J$6:$J$2989,"&gt;="&amp;AJ7,'1SI9BW'!$J$6:$J$2989,"&lt;="&amp;EOMONTH(AJ7,0),'1SI9BW'!$L$6:$L$2989,$B$34)+SUMIFS(Suzuki!$K$6:$K$2989,Suzuki!$J$6:$J$2989,"&gt;="&amp;AJ7,Suzuki!$J$6:$J$2989,"&lt;="&amp;EOMONTH(AJ7,0),Suzuki!$L$6:$L$2989,$B$34)+SUMIFS('1SK3DD'!$K$6:$K$2989,'1SK3DD'!$J$6:$J$2989,"&gt;="&amp;AJ7,'1SK3DD'!$J$6:$J$2989,"&lt;="&amp;EOMONTH(AJ7,0),'1SK3DD'!$L$6:$L$2989,$B$34)+SUMIFS('1SX5TQ'!$K$6:$K$2989,'1SX5TQ'!$J$6:$J$2989,"&gt;="&amp;AJ7,'1SX5TQ'!$J$6:$J$2989,"&lt;="&amp;EOMONTH(AJ7,0),'1SX5TQ'!$L$6:$L$2989,$B$34)+SUMIFS('BMM465'!$K$6:$K$2989,'BMM465'!$J$6:$J$2989,"&gt;="&amp;AJ7,'BMM465'!$J$6:$J$2989,"&lt;="&amp;EOMONTH(AJ7,0),'BMM465'!$L$6:$L$2989,$B$34)+SUMIFS('1CF1ZO'!$K$6:$K$2989,'1CF1ZO'!$J$6:$J$2989,"&gt;="&amp;AJ7,'1CF1ZO'!$J$6:$J$2989,"&lt;="&amp;EOMONTH(AJ7,0),'1CF1ZO'!$L$6:$L$2989,$B$34)+SUMIFS('1UK1BK'!$K$6:$K$2989,'1UK1BK'!$J$6:$J$2989,"&gt;="&amp;AJ7,'1UK1BK'!$J$6:$J$2989,"&lt;="&amp;EOMONTH(AJ7,0),'1UK1BK'!$L$6:$L$2989,$B$34)</f>
        <v>#REF!</v>
      </c>
      <c r="AK34" s="110" t="e">
        <f>SUMIFS('CEI565'!$K$6:$K$2990,'CEI565'!$J$6:$J$2990,"&gt;="&amp;AK7,'CEI565'!$J$6:$J$2990,"&lt;="&amp;EOMONTH(AK7,0),'CEI565'!$L$6:$L$2990,$B$34)+SUMIFS('1SM3VL'!$K$6:$K$2990,'1SM3VL'!$J$6:$J$2990,"&gt;="&amp;AK7,'1SM3VL'!$J$6:$J$2990,"&lt;="&amp;EOMONTH(AK7,0),'1SM3VL'!$L$6:$L$2990,$B$34)+SUMIFS('1QF4SM'!$K$6:$K$2989,'1QF4SM'!$J$6:$J$2989,"&gt;="&amp;AK7,'1QF4SM'!$J$6:$J$2989,"&lt;="&amp;EOMONTH(AK7,0),'1QF4SM'!$L$6:$L$2989,$B$34)+SUMIFS('1UV5KI'!$K$6:$K$2989,'1UV5KI'!$J$6:$J$2989,"&gt;="&amp;AK7,'1UV5KI'!$J$6:$J$2989,"&lt;="&amp;EOMONTH(AK7,0),'1UV5KI'!$L$6:$L$2989,$B$34)+SUMIFS(#REF!,#REF!,"&gt;="&amp;AK7,#REF!,"&lt;="&amp;EOMONTH(AK7,0),#REF!,$B$34)+SUMIFS('1UL9RY'!$K$6:$K$2990,'1UL9RY'!$J$6:$J$2990,"&gt;="&amp;AK7,'1UL9RY'!$J$6:$J$2990,"&lt;="&amp;EOMONTH(AK7,0),'1UL9RY'!$L$6:$L$2990,$B$34)+SUMIFS('1OZ7GT'!$K$6:$K$2989,'1OZ7GT'!$J$6:$J$2989,"&gt;="&amp;AK7,'1OZ7GT'!$J$6:$J$2989,"&lt;="&amp;EOMONTH(AK7,0),'1OZ7GT'!$L$6:$L$2989,$B$34)+SUMIFS('1CN8DD'!$K$6:$K$2989,'1CN8DD'!$J$6:$J$2989,"&gt;="&amp;AK7,'1CN8DD'!$J$6:$J$2989,"&lt;="&amp;EOMONTH(AK7,0),'1CN8DD'!$L$6:$L$2989,$B$34)+SUMIFS('1UT9BR'!$K$6:$K$2990,'1UT9BR'!$J$6:$J$2990,"&gt;="&amp;AK7,'1UT9BR'!$J$6:$J$2990,"&lt;="&amp;EOMONTH(AK7,0),'1UT9BR'!$L$6:$L$2990,$B$34)+SUMIFS('1MK4UR'!$K$6:$K$2990,'1MK4UR'!$J$6:$J$2990,"&gt;="&amp;AK7,'1MK4UR'!$J$6:$J$2990,"&lt;="&amp;EOMONTH(AK7,0),'1MK4UR'!$L$6:$L$2990,$B$34)+SUMIFS(#REF!,#REF!,"&gt;="&amp;AK7,#REF!,"&lt;="&amp;EOMONTH(AK7,0),#REF!,$B$34)+SUMIFS('1JI2UE'!$K$6:$K$2989,'1JI2UE'!$J$6:$J$2989,"&gt;="&amp;AK7,'1JI2UE'!$J$6:$J$2989,"&lt;="&amp;EOMONTH(AK7,0),'1JI2UE'!$L$6:$L$2989,$B$34)+SUMIFS(#REF!,#REF!,"&gt;="&amp;AK7,#REF!,"&lt;="&amp;EOMONTH(AK7,0),#REF!,$B$34)+SUMIFS('1SI9BW'!$K$6:$K$2989,'1SI9BW'!$J$6:$J$2989,"&gt;="&amp;AK7,'1SI9BW'!$J$6:$J$2989,"&lt;="&amp;EOMONTH(AK7,0),'1SI9BW'!$L$6:$L$2989,$B$34)+SUMIFS(Suzuki!$K$6:$K$2989,Suzuki!$J$6:$J$2989,"&gt;="&amp;AK7,Suzuki!$J$6:$J$2989,"&lt;="&amp;EOMONTH(AK7,0),Suzuki!$L$6:$L$2989,$B$34)+SUMIFS('1SK3DD'!$K$6:$K$2989,'1SK3DD'!$J$6:$J$2989,"&gt;="&amp;AK7,'1SK3DD'!$J$6:$J$2989,"&lt;="&amp;EOMONTH(AK7,0),'1SK3DD'!$L$6:$L$2989,$B$34)+SUMIFS('1SX5TQ'!$K$6:$K$2989,'1SX5TQ'!$J$6:$J$2989,"&gt;="&amp;AK7,'1SX5TQ'!$J$6:$J$2989,"&lt;="&amp;EOMONTH(AK7,0),'1SX5TQ'!$L$6:$L$2989,$B$34)+SUMIFS('BMM465'!$K$6:$K$2989,'BMM465'!$J$6:$J$2989,"&gt;="&amp;AK7,'BMM465'!$J$6:$J$2989,"&lt;="&amp;EOMONTH(AK7,0),'BMM465'!$L$6:$L$2989,$B$34)+SUMIFS('1CF1ZO'!$K$6:$K$2989,'1CF1ZO'!$J$6:$J$2989,"&gt;="&amp;AK7,'1CF1ZO'!$J$6:$J$2989,"&lt;="&amp;EOMONTH(AK7,0),'1CF1ZO'!$L$6:$L$2989,$B$34)+SUMIFS('1UK1BK'!$K$6:$K$2989,'1UK1BK'!$J$6:$J$2989,"&gt;="&amp;AK7,'1UK1BK'!$J$6:$J$2989,"&lt;="&amp;EOMONTH(AK7,0),'1UK1BK'!$L$6:$L$2989,$B$34)</f>
        <v>#REF!</v>
      </c>
      <c r="AL34" s="110" t="e">
        <f>SUMIFS('CEI565'!$K$6:$K$2990,'CEI565'!$J$6:$J$2990,"&gt;="&amp;AL7,'CEI565'!$J$6:$J$2990,"&lt;="&amp;EOMONTH(AL7,0),'CEI565'!$L$6:$L$2990,$B$34)+SUMIFS('1SM3VL'!$K$6:$K$2990,'1SM3VL'!$J$6:$J$2990,"&gt;="&amp;AL7,'1SM3VL'!$J$6:$J$2990,"&lt;="&amp;EOMONTH(AL7,0),'1SM3VL'!$L$6:$L$2990,$B$34)+SUMIFS('1QF4SM'!$K$6:$K$2989,'1QF4SM'!$J$6:$J$2989,"&gt;="&amp;AL7,'1QF4SM'!$J$6:$J$2989,"&lt;="&amp;EOMONTH(AL7,0),'1QF4SM'!$L$6:$L$2989,$B$34)+SUMIFS('1UV5KI'!$K$6:$K$2989,'1UV5KI'!$J$6:$J$2989,"&gt;="&amp;AL7,'1UV5KI'!$J$6:$J$2989,"&lt;="&amp;EOMONTH(AL7,0),'1UV5KI'!$L$6:$L$2989,$B$34)+SUMIFS(#REF!,#REF!,"&gt;="&amp;AL7,#REF!,"&lt;="&amp;EOMONTH(AL7,0),#REF!,$B$34)+SUMIFS('1UL9RY'!$K$6:$K$2990,'1UL9RY'!$J$6:$J$2990,"&gt;="&amp;AL7,'1UL9RY'!$J$6:$J$2990,"&lt;="&amp;EOMONTH(AL7,0),'1UL9RY'!$L$6:$L$2990,$B$34)+SUMIFS('1OZ7GT'!$K$6:$K$2989,'1OZ7GT'!$J$6:$J$2989,"&gt;="&amp;AL7,'1OZ7GT'!$J$6:$J$2989,"&lt;="&amp;EOMONTH(AL7,0),'1OZ7GT'!$L$6:$L$2989,$B$34)+SUMIFS('1CN8DD'!$K$6:$K$2989,'1CN8DD'!$J$6:$J$2989,"&gt;="&amp;AL7,'1CN8DD'!$J$6:$J$2989,"&lt;="&amp;EOMONTH(AL7,0),'1CN8DD'!$L$6:$L$2989,$B$34)+SUMIFS('1UT9BR'!$K$6:$K$2990,'1UT9BR'!$J$6:$J$2990,"&gt;="&amp;AL7,'1UT9BR'!$J$6:$J$2990,"&lt;="&amp;EOMONTH(AL7,0),'1UT9BR'!$L$6:$L$2990,$B$34)+SUMIFS('1MK4UR'!$K$6:$K$2990,'1MK4UR'!$J$6:$J$2990,"&gt;="&amp;AL7,'1MK4UR'!$J$6:$J$2990,"&lt;="&amp;EOMONTH(AL7,0),'1MK4UR'!$L$6:$L$2990,$B$34)+SUMIFS(#REF!,#REF!,"&gt;="&amp;AL7,#REF!,"&lt;="&amp;EOMONTH(AL7,0),#REF!,$B$34)+SUMIFS('1JI2UE'!$K$6:$K$2989,'1JI2UE'!$J$6:$J$2989,"&gt;="&amp;AL7,'1JI2UE'!$J$6:$J$2989,"&lt;="&amp;EOMONTH(AL7,0),'1JI2UE'!$L$6:$L$2989,$B$34)+SUMIFS(#REF!,#REF!,"&gt;="&amp;AL7,#REF!,"&lt;="&amp;EOMONTH(AL7,0),#REF!,$B$34)+SUMIFS('1SI9BW'!$K$6:$K$2989,'1SI9BW'!$J$6:$J$2989,"&gt;="&amp;AL7,'1SI9BW'!$J$6:$J$2989,"&lt;="&amp;EOMONTH(AL7,0),'1SI9BW'!$L$6:$L$2989,$B$34)+SUMIFS(Suzuki!$K$6:$K$2989,Suzuki!$J$6:$J$2989,"&gt;="&amp;AL7,Suzuki!$J$6:$J$2989,"&lt;="&amp;EOMONTH(AL7,0),Suzuki!$L$6:$L$2989,$B$34)+SUMIFS('1SK3DD'!$K$6:$K$2989,'1SK3DD'!$J$6:$J$2989,"&gt;="&amp;AL7,'1SK3DD'!$J$6:$J$2989,"&lt;="&amp;EOMONTH(AL7,0),'1SK3DD'!$L$6:$L$2989,$B$34)+SUMIFS('1SX5TQ'!$K$6:$K$2989,'1SX5TQ'!$J$6:$J$2989,"&gt;="&amp;AL7,'1SX5TQ'!$J$6:$J$2989,"&lt;="&amp;EOMONTH(AL7,0),'1SX5TQ'!$L$6:$L$2989,$B$34)+SUMIFS('BMM465'!$K$6:$K$2989,'BMM465'!$J$6:$J$2989,"&gt;="&amp;AL7,'BMM465'!$J$6:$J$2989,"&lt;="&amp;EOMONTH(AL7,0),'BMM465'!$L$6:$L$2989,$B$34)+SUMIFS('1CF1ZO'!$K$6:$K$2989,'1CF1ZO'!$J$6:$J$2989,"&gt;="&amp;AL7,'1CF1ZO'!$J$6:$J$2989,"&lt;="&amp;EOMONTH(AL7,0),'1CF1ZO'!$L$6:$L$2989,$B$34)+SUMIFS('1UK1BK'!$K$6:$K$2989,'1UK1BK'!$J$6:$J$2989,"&gt;="&amp;AL7,'1UK1BK'!$J$6:$J$2989,"&lt;="&amp;EOMONTH(AL7,0),'1UK1BK'!$L$6:$L$2989,$B$34)</f>
        <v>#REF!</v>
      </c>
      <c r="AM34" s="110" t="e">
        <f>SUMIFS('CEI565'!$K$6:$K$2990,'CEI565'!$J$6:$J$2990,"&gt;="&amp;AM7,'CEI565'!$J$6:$J$2990,"&lt;="&amp;EOMONTH(AM7,0),'CEI565'!$L$6:$L$2990,$B$34)+SUMIFS('1SM3VL'!$K$6:$K$2990,'1SM3VL'!$J$6:$J$2990,"&gt;="&amp;AM7,'1SM3VL'!$J$6:$J$2990,"&lt;="&amp;EOMONTH(AM7,0),'1SM3VL'!$L$6:$L$2990,$B$34)+SUMIFS('1QF4SM'!$K$6:$K$2989,'1QF4SM'!$J$6:$J$2989,"&gt;="&amp;AM7,'1QF4SM'!$J$6:$J$2989,"&lt;="&amp;EOMONTH(AM7,0),'1QF4SM'!$L$6:$L$2989,$B$34)+SUMIFS('1UV5KI'!$K$6:$K$2989,'1UV5KI'!$J$6:$J$2989,"&gt;="&amp;AM7,'1UV5KI'!$J$6:$J$2989,"&lt;="&amp;EOMONTH(AM7,0),'1UV5KI'!$L$6:$L$2989,$B$34)+SUMIFS(#REF!,#REF!,"&gt;="&amp;AM7,#REF!,"&lt;="&amp;EOMONTH(AM7,0),#REF!,$B$34)+SUMIFS('1UL9RY'!$K$6:$K$2990,'1UL9RY'!$J$6:$J$2990,"&gt;="&amp;AM7,'1UL9RY'!$J$6:$J$2990,"&lt;="&amp;EOMONTH(AM7,0),'1UL9RY'!$L$6:$L$2990,$B$34)+SUMIFS('1OZ7GT'!$K$6:$K$2989,'1OZ7GT'!$J$6:$J$2989,"&gt;="&amp;AM7,'1OZ7GT'!$J$6:$J$2989,"&lt;="&amp;EOMONTH(AM7,0),'1OZ7GT'!$L$6:$L$2989,$B$34)+SUMIFS('1CN8DD'!$K$6:$K$2989,'1CN8DD'!$J$6:$J$2989,"&gt;="&amp;AM7,'1CN8DD'!$J$6:$J$2989,"&lt;="&amp;EOMONTH(AM7,0),'1CN8DD'!$L$6:$L$2989,$B$34)+SUMIFS('1UT9BR'!$K$6:$K$2990,'1UT9BR'!$J$6:$J$2990,"&gt;="&amp;AM7,'1UT9BR'!$J$6:$J$2990,"&lt;="&amp;EOMONTH(AM7,0),'1UT9BR'!$L$6:$L$2990,$B$34)+SUMIFS('1MK4UR'!$K$6:$K$2990,'1MK4UR'!$J$6:$J$2990,"&gt;="&amp;AM7,'1MK4UR'!$J$6:$J$2990,"&lt;="&amp;EOMONTH(AM7,0),'1MK4UR'!$L$6:$L$2990,$B$34)+SUMIFS(#REF!,#REF!,"&gt;="&amp;AM7,#REF!,"&lt;="&amp;EOMONTH(AM7,0),#REF!,$B$34)+SUMIFS('1JI2UE'!$K$6:$K$2989,'1JI2UE'!$J$6:$J$2989,"&gt;="&amp;AM7,'1JI2UE'!$J$6:$J$2989,"&lt;="&amp;EOMONTH(AM7,0),'1JI2UE'!$L$6:$L$2989,$B$34)+SUMIFS(#REF!,#REF!,"&gt;="&amp;AM7,#REF!,"&lt;="&amp;EOMONTH(AM7,0),#REF!,$B$34)+SUMIFS('1SI9BW'!$K$6:$K$2989,'1SI9BW'!$J$6:$J$2989,"&gt;="&amp;AM7,'1SI9BW'!$J$6:$J$2989,"&lt;="&amp;EOMONTH(AM7,0),'1SI9BW'!$L$6:$L$2989,$B$34)+SUMIFS(Suzuki!$K$6:$K$2989,Suzuki!$J$6:$J$2989,"&gt;="&amp;AM7,Suzuki!$J$6:$J$2989,"&lt;="&amp;EOMONTH(AM7,0),Suzuki!$L$6:$L$2989,$B$34)+SUMIFS('1SK3DD'!$K$6:$K$2989,'1SK3DD'!$J$6:$J$2989,"&gt;="&amp;AM7,'1SK3DD'!$J$6:$J$2989,"&lt;="&amp;EOMONTH(AM7,0),'1SK3DD'!$L$6:$L$2989,$B$34)+SUMIFS('1SX5TQ'!$K$6:$K$2989,'1SX5TQ'!$J$6:$J$2989,"&gt;="&amp;AM7,'1SX5TQ'!$J$6:$J$2989,"&lt;="&amp;EOMONTH(AM7,0),'1SX5TQ'!$L$6:$L$2989,$B$34)+SUMIFS('BMM465'!$K$6:$K$2989,'BMM465'!$J$6:$J$2989,"&gt;="&amp;AM7,'BMM465'!$J$6:$J$2989,"&lt;="&amp;EOMONTH(AM7,0),'BMM465'!$L$6:$L$2989,$B$34)+SUMIFS('1CF1ZO'!$K$6:$K$2989,'1CF1ZO'!$J$6:$J$2989,"&gt;="&amp;AM7,'1CF1ZO'!$J$6:$J$2989,"&lt;="&amp;EOMONTH(AM7,0),'1CF1ZO'!$L$6:$L$2989,$B$34)+SUMIFS('1UK1BK'!$K$6:$K$2989,'1UK1BK'!$J$6:$J$2989,"&gt;="&amp;AM7,'1UK1BK'!$J$6:$J$2989,"&lt;="&amp;EOMONTH(AM7,0),'1UK1BK'!$L$6:$L$2989,$B$34)</f>
        <v>#REF!</v>
      </c>
      <c r="AN34" s="110" t="e">
        <f>SUMIFS('CEI565'!$K$6:$K$2990,'CEI565'!$J$6:$J$2990,"&gt;="&amp;AN7,'CEI565'!$J$6:$J$2990,"&lt;="&amp;EOMONTH(AN7,0),'CEI565'!$L$6:$L$2990,$B$34)+SUMIFS('1SM3VL'!$K$6:$K$2990,'1SM3VL'!$J$6:$J$2990,"&gt;="&amp;AN7,'1SM3VL'!$J$6:$J$2990,"&lt;="&amp;EOMONTH(AN7,0),'1SM3VL'!$L$6:$L$2990,$B$34)+SUMIFS('1QF4SM'!$K$6:$K$2989,'1QF4SM'!$J$6:$J$2989,"&gt;="&amp;AN7,'1QF4SM'!$J$6:$J$2989,"&lt;="&amp;EOMONTH(AN7,0),'1QF4SM'!$L$6:$L$2989,$B$34)+SUMIFS('1UV5KI'!$K$6:$K$2989,'1UV5KI'!$J$6:$J$2989,"&gt;="&amp;AN7,'1UV5KI'!$J$6:$J$2989,"&lt;="&amp;EOMONTH(AN7,0),'1UV5KI'!$L$6:$L$2989,$B$34)+SUMIFS(#REF!,#REF!,"&gt;="&amp;AN7,#REF!,"&lt;="&amp;EOMONTH(AN7,0),#REF!,$B$34)+SUMIFS('1UL9RY'!$K$6:$K$2990,'1UL9RY'!$J$6:$J$2990,"&gt;="&amp;AN7,'1UL9RY'!$J$6:$J$2990,"&lt;="&amp;EOMONTH(AN7,0),'1UL9RY'!$L$6:$L$2990,$B$34)+SUMIFS('1OZ7GT'!$K$6:$K$2989,'1OZ7GT'!$J$6:$J$2989,"&gt;="&amp;AN7,'1OZ7GT'!$J$6:$J$2989,"&lt;="&amp;EOMONTH(AN7,0),'1OZ7GT'!$L$6:$L$2989,$B$34)+SUMIFS('1CN8DD'!$K$6:$K$2989,'1CN8DD'!$J$6:$J$2989,"&gt;="&amp;AN7,'1CN8DD'!$J$6:$J$2989,"&lt;="&amp;EOMONTH(AN7,0),'1CN8DD'!$L$6:$L$2989,$B$34)+SUMIFS('1UT9BR'!$K$6:$K$2990,'1UT9BR'!$J$6:$J$2990,"&gt;="&amp;AN7,'1UT9BR'!$J$6:$J$2990,"&lt;="&amp;EOMONTH(AN7,0),'1UT9BR'!$L$6:$L$2990,$B$34)+SUMIFS('1MK4UR'!$K$6:$K$2990,'1MK4UR'!$J$6:$J$2990,"&gt;="&amp;AN7,'1MK4UR'!$J$6:$J$2990,"&lt;="&amp;EOMONTH(AN7,0),'1MK4UR'!$L$6:$L$2990,$B$34)+SUMIFS(#REF!,#REF!,"&gt;="&amp;AN7,#REF!,"&lt;="&amp;EOMONTH(AN7,0),#REF!,$B$34)+SUMIFS('1JI2UE'!$K$6:$K$2989,'1JI2UE'!$J$6:$J$2989,"&gt;="&amp;AN7,'1JI2UE'!$J$6:$J$2989,"&lt;="&amp;EOMONTH(AN7,0),'1JI2UE'!$L$6:$L$2989,$B$34)+SUMIFS(#REF!,#REF!,"&gt;="&amp;AN7,#REF!,"&lt;="&amp;EOMONTH(AN7,0),#REF!,$B$34)+SUMIFS('1SI9BW'!$K$6:$K$2989,'1SI9BW'!$J$6:$J$2989,"&gt;="&amp;AN7,'1SI9BW'!$J$6:$J$2989,"&lt;="&amp;EOMONTH(AN7,0),'1SI9BW'!$L$6:$L$2989,$B$34)+SUMIFS(Suzuki!$K$6:$K$2989,Suzuki!$J$6:$J$2989,"&gt;="&amp;AN7,Suzuki!$J$6:$J$2989,"&lt;="&amp;EOMONTH(AN7,0),Suzuki!$L$6:$L$2989,$B$34)+SUMIFS('1SK3DD'!$K$6:$K$2989,'1SK3DD'!$J$6:$J$2989,"&gt;="&amp;AN7,'1SK3DD'!$J$6:$J$2989,"&lt;="&amp;EOMONTH(AN7,0),'1SK3DD'!$L$6:$L$2989,$B$34)+SUMIFS('1SX5TQ'!$K$6:$K$2989,'1SX5TQ'!$J$6:$J$2989,"&gt;="&amp;AN7,'1SX5TQ'!$J$6:$J$2989,"&lt;="&amp;EOMONTH(AN7,0),'1SX5TQ'!$L$6:$L$2989,$B$34)+SUMIFS('BMM465'!$K$6:$K$2989,'BMM465'!$J$6:$J$2989,"&gt;="&amp;AN7,'BMM465'!$J$6:$J$2989,"&lt;="&amp;EOMONTH(AN7,0),'BMM465'!$L$6:$L$2989,$B$34)+SUMIFS('1CF1ZO'!$K$6:$K$2989,'1CF1ZO'!$J$6:$J$2989,"&gt;="&amp;AN7,'1CF1ZO'!$J$6:$J$2989,"&lt;="&amp;EOMONTH(AN7,0),'1CF1ZO'!$L$6:$L$2989,$B$34)+SUMIFS('1UK1BK'!$K$6:$K$2989,'1UK1BK'!$J$6:$J$2989,"&gt;="&amp;AN7,'1UK1BK'!$J$6:$J$2989,"&lt;="&amp;EOMONTH(AN7,0),'1UK1BK'!$L$6:$L$2989,$B$34)</f>
        <v>#REF!</v>
      </c>
      <c r="AO34" s="110" t="e">
        <f>SUMIFS('CEI565'!$K$6:$K$2990,'CEI565'!$J$6:$J$2990,"&gt;="&amp;AO7,'CEI565'!$J$6:$J$2990,"&lt;="&amp;EOMONTH(AO7,0),'CEI565'!$L$6:$L$2990,$B$34)+SUMIFS('1SM3VL'!$K$6:$K$2990,'1SM3VL'!$J$6:$J$2990,"&gt;="&amp;AO7,'1SM3VL'!$J$6:$J$2990,"&lt;="&amp;EOMONTH(AO7,0),'1SM3VL'!$L$6:$L$2990,$B$34)+SUMIFS('1QF4SM'!$K$6:$K$2989,'1QF4SM'!$J$6:$J$2989,"&gt;="&amp;AO7,'1QF4SM'!$J$6:$J$2989,"&lt;="&amp;EOMONTH(AO7,0),'1QF4SM'!$L$6:$L$2989,$B$34)+SUMIFS('1UV5KI'!$K$6:$K$2989,'1UV5KI'!$J$6:$J$2989,"&gt;="&amp;AO7,'1UV5KI'!$J$6:$J$2989,"&lt;="&amp;EOMONTH(AO7,0),'1UV5KI'!$L$6:$L$2989,$B$34)+SUMIFS(#REF!,#REF!,"&gt;="&amp;AO7,#REF!,"&lt;="&amp;EOMONTH(AO7,0),#REF!,$B$34)+SUMIFS('1UL9RY'!$K$6:$K$2990,'1UL9RY'!$J$6:$J$2990,"&gt;="&amp;AO7,'1UL9RY'!$J$6:$J$2990,"&lt;="&amp;EOMONTH(AO7,0),'1UL9RY'!$L$6:$L$2990,$B$34)+SUMIFS('1OZ7GT'!$K$6:$K$2989,'1OZ7GT'!$J$6:$J$2989,"&gt;="&amp;AO7,'1OZ7GT'!$J$6:$J$2989,"&lt;="&amp;EOMONTH(AO7,0),'1OZ7GT'!$L$6:$L$2989,$B$34)+SUMIFS('1CN8DD'!$K$6:$K$2989,'1CN8DD'!$J$6:$J$2989,"&gt;="&amp;AO7,'1CN8DD'!$J$6:$J$2989,"&lt;="&amp;EOMONTH(AO7,0),'1CN8DD'!$L$6:$L$2989,$B$34)+SUMIFS('1UT9BR'!$K$6:$K$2990,'1UT9BR'!$J$6:$J$2990,"&gt;="&amp;AO7,'1UT9BR'!$J$6:$J$2990,"&lt;="&amp;EOMONTH(AO7,0),'1UT9BR'!$L$6:$L$2990,$B$34)+SUMIFS('1MK4UR'!$K$6:$K$2990,'1MK4UR'!$J$6:$J$2990,"&gt;="&amp;AO7,'1MK4UR'!$J$6:$J$2990,"&lt;="&amp;EOMONTH(AO7,0),'1MK4UR'!$L$6:$L$2990,$B$34)+SUMIFS(#REF!,#REF!,"&gt;="&amp;AO7,#REF!,"&lt;="&amp;EOMONTH(AO7,0),#REF!,$B$34)+SUMIFS('1JI2UE'!$K$6:$K$2989,'1JI2UE'!$J$6:$J$2989,"&gt;="&amp;AO7,'1JI2UE'!$J$6:$J$2989,"&lt;="&amp;EOMONTH(AO7,0),'1JI2UE'!$L$6:$L$2989,$B$34)+SUMIFS(#REF!,#REF!,"&gt;="&amp;AO7,#REF!,"&lt;="&amp;EOMONTH(AO7,0),#REF!,$B$34)+SUMIFS('1SI9BW'!$K$6:$K$2989,'1SI9BW'!$J$6:$J$2989,"&gt;="&amp;AO7,'1SI9BW'!$J$6:$J$2989,"&lt;="&amp;EOMONTH(AO7,0),'1SI9BW'!$L$6:$L$2989,$B$34)+SUMIFS(Suzuki!$K$6:$K$2989,Suzuki!$J$6:$J$2989,"&gt;="&amp;AO7,Suzuki!$J$6:$J$2989,"&lt;="&amp;EOMONTH(AO7,0),Suzuki!$L$6:$L$2989,$B$34)+SUMIFS('1SK3DD'!$K$6:$K$2989,'1SK3DD'!$J$6:$J$2989,"&gt;="&amp;AO7,'1SK3DD'!$J$6:$J$2989,"&lt;="&amp;EOMONTH(AO7,0),'1SK3DD'!$L$6:$L$2989,$B$34)+SUMIFS('1SX5TQ'!$K$6:$K$2989,'1SX5TQ'!$J$6:$J$2989,"&gt;="&amp;AO7,'1SX5TQ'!$J$6:$J$2989,"&lt;="&amp;EOMONTH(AO7,0),'1SX5TQ'!$L$6:$L$2989,$B$34)+SUMIFS('BMM465'!$K$6:$K$2989,'BMM465'!$J$6:$J$2989,"&gt;="&amp;AO7,'BMM465'!$J$6:$J$2989,"&lt;="&amp;EOMONTH(AO7,0),'BMM465'!$L$6:$L$2989,$B$34)+SUMIFS('1CF1ZO'!$K$6:$K$2989,'1CF1ZO'!$J$6:$J$2989,"&gt;="&amp;AO7,'1CF1ZO'!$J$6:$J$2989,"&lt;="&amp;EOMONTH(AO7,0),'1CF1ZO'!$L$6:$L$2989,$B$34)+SUMIFS('1UK1BK'!$K$6:$K$2989,'1UK1BK'!$J$6:$J$2989,"&gt;="&amp;AO7,'1UK1BK'!$J$6:$J$2989,"&lt;="&amp;EOMONTH(AO7,0),'1UK1BK'!$L$6:$L$2989,$B$34)</f>
        <v>#REF!</v>
      </c>
      <c r="AP34" s="110" t="e">
        <f>SUMIFS('CEI565'!$K$6:$K$2990,'CEI565'!$J$6:$J$2990,"&gt;="&amp;AP7,'CEI565'!$J$6:$J$2990,"&lt;="&amp;EOMONTH(AP7,0),'CEI565'!$L$6:$L$2990,$B$34)+SUMIFS('1SM3VL'!$K$6:$K$2990,'1SM3VL'!$J$6:$J$2990,"&gt;="&amp;AP7,'1SM3VL'!$J$6:$J$2990,"&lt;="&amp;EOMONTH(AP7,0),'1SM3VL'!$L$6:$L$2990,$B$34)+SUMIFS('1QF4SM'!$K$6:$K$2989,'1QF4SM'!$J$6:$J$2989,"&gt;="&amp;AP7,'1QF4SM'!$J$6:$J$2989,"&lt;="&amp;EOMONTH(AP7,0),'1QF4SM'!$L$6:$L$2989,$B$34)+SUMIFS('1UV5KI'!$K$6:$K$2989,'1UV5KI'!$J$6:$J$2989,"&gt;="&amp;AP7,'1UV5KI'!$J$6:$J$2989,"&lt;="&amp;EOMONTH(AP7,0),'1UV5KI'!$L$6:$L$2989,$B$34)+SUMIFS(#REF!,#REF!,"&gt;="&amp;AP7,#REF!,"&lt;="&amp;EOMONTH(AP7,0),#REF!,$B$34)+SUMIFS('1UL9RY'!$K$6:$K$2990,'1UL9RY'!$J$6:$J$2990,"&gt;="&amp;AP7,'1UL9RY'!$J$6:$J$2990,"&lt;="&amp;EOMONTH(AP7,0),'1UL9RY'!$L$6:$L$2990,$B$34)+SUMIFS('1OZ7GT'!$K$6:$K$2989,'1OZ7GT'!$J$6:$J$2989,"&gt;="&amp;AP7,'1OZ7GT'!$J$6:$J$2989,"&lt;="&amp;EOMONTH(AP7,0),'1OZ7GT'!$L$6:$L$2989,$B$34)+SUMIFS('1CN8DD'!$K$6:$K$2989,'1CN8DD'!$J$6:$J$2989,"&gt;="&amp;AP7,'1CN8DD'!$J$6:$J$2989,"&lt;="&amp;EOMONTH(AP7,0),'1CN8DD'!$L$6:$L$2989,$B$34)+SUMIFS('1UT9BR'!$K$6:$K$2990,'1UT9BR'!$J$6:$J$2990,"&gt;="&amp;AP7,'1UT9BR'!$J$6:$J$2990,"&lt;="&amp;EOMONTH(AP7,0),'1UT9BR'!$L$6:$L$2990,$B$34)+SUMIFS('1MK4UR'!$K$6:$K$2990,'1MK4UR'!$J$6:$J$2990,"&gt;="&amp;AP7,'1MK4UR'!$J$6:$J$2990,"&lt;="&amp;EOMONTH(AP7,0),'1MK4UR'!$L$6:$L$2990,$B$34)+SUMIFS(#REF!,#REF!,"&gt;="&amp;AP7,#REF!,"&lt;="&amp;EOMONTH(AP7,0),#REF!,$B$34)+SUMIFS('1JI2UE'!$K$6:$K$2989,'1JI2UE'!$J$6:$J$2989,"&gt;="&amp;AP7,'1JI2UE'!$J$6:$J$2989,"&lt;="&amp;EOMONTH(AP7,0),'1JI2UE'!$L$6:$L$2989,$B$34)+SUMIFS(#REF!,#REF!,"&gt;="&amp;AP7,#REF!,"&lt;="&amp;EOMONTH(AP7,0),#REF!,$B$34)+SUMIFS('1SI9BW'!$K$6:$K$2989,'1SI9BW'!$J$6:$J$2989,"&gt;="&amp;AP7,'1SI9BW'!$J$6:$J$2989,"&lt;="&amp;EOMONTH(AP7,0),'1SI9BW'!$L$6:$L$2989,$B$34)+SUMIFS(Suzuki!$K$6:$K$2989,Suzuki!$J$6:$J$2989,"&gt;="&amp;AP7,Suzuki!$J$6:$J$2989,"&lt;="&amp;EOMONTH(AP7,0),Suzuki!$L$6:$L$2989,$B$34)+SUMIFS('1SK3DD'!$K$6:$K$2989,'1SK3DD'!$J$6:$J$2989,"&gt;="&amp;AP7,'1SK3DD'!$J$6:$J$2989,"&lt;="&amp;EOMONTH(AP7,0),'1SK3DD'!$L$6:$L$2989,$B$34)+SUMIFS('1SX5TQ'!$K$6:$K$2989,'1SX5TQ'!$J$6:$J$2989,"&gt;="&amp;AP7,'1SX5TQ'!$J$6:$J$2989,"&lt;="&amp;EOMONTH(AP7,0),'1SX5TQ'!$L$6:$L$2989,$B$34)+SUMIFS('BMM465'!$K$6:$K$2989,'BMM465'!$J$6:$J$2989,"&gt;="&amp;AP7,'BMM465'!$J$6:$J$2989,"&lt;="&amp;EOMONTH(AP7,0),'BMM465'!$L$6:$L$2989,$B$34)+SUMIFS('1CF1ZO'!$K$6:$K$2989,'1CF1ZO'!$J$6:$J$2989,"&gt;="&amp;AP7,'1CF1ZO'!$J$6:$J$2989,"&lt;="&amp;EOMONTH(AP7,0),'1CF1ZO'!$L$6:$L$2989,$B$34)+SUMIFS('1UK1BK'!$K$6:$K$2989,'1UK1BK'!$J$6:$J$2989,"&gt;="&amp;AP7,'1UK1BK'!$J$6:$J$2989,"&lt;="&amp;EOMONTH(AP7,0),'1UK1BK'!$L$6:$L$2989,$B$34)</f>
        <v>#REF!</v>
      </c>
      <c r="AQ34" s="110" t="e">
        <f>SUMIFS('CEI565'!$K$6:$K$2990,'CEI565'!$J$6:$J$2990,"&gt;="&amp;AQ7,'CEI565'!$J$6:$J$2990,"&lt;="&amp;EOMONTH(AQ7,0),'CEI565'!$L$6:$L$2990,$B$34)+SUMIFS('1SM3VL'!$K$6:$K$2990,'1SM3VL'!$J$6:$J$2990,"&gt;="&amp;AQ7,'1SM3VL'!$J$6:$J$2990,"&lt;="&amp;EOMONTH(AQ7,0),'1SM3VL'!$L$6:$L$2990,$B$34)+SUMIFS('1QF4SM'!$K$6:$K$2989,'1QF4SM'!$J$6:$J$2989,"&gt;="&amp;AQ7,'1QF4SM'!$J$6:$J$2989,"&lt;="&amp;EOMONTH(AQ7,0),'1QF4SM'!$L$6:$L$2989,$B$34)+SUMIFS('1UV5KI'!$K$6:$K$2989,'1UV5KI'!$J$6:$J$2989,"&gt;="&amp;AQ7,'1UV5KI'!$J$6:$J$2989,"&lt;="&amp;EOMONTH(AQ7,0),'1UV5KI'!$L$6:$L$2989,$B$34)+SUMIFS(#REF!,#REF!,"&gt;="&amp;AQ7,#REF!,"&lt;="&amp;EOMONTH(AQ7,0),#REF!,$B$34)+SUMIFS('1UL9RY'!$K$6:$K$2990,'1UL9RY'!$J$6:$J$2990,"&gt;="&amp;AQ7,'1UL9RY'!$J$6:$J$2990,"&lt;="&amp;EOMONTH(AQ7,0),'1UL9RY'!$L$6:$L$2990,$B$34)+SUMIFS('1OZ7GT'!$K$6:$K$2989,'1OZ7GT'!$J$6:$J$2989,"&gt;="&amp;AQ7,'1OZ7GT'!$J$6:$J$2989,"&lt;="&amp;EOMONTH(AQ7,0),'1OZ7GT'!$L$6:$L$2989,$B$34)+SUMIFS('1CN8DD'!$K$6:$K$2989,'1CN8DD'!$J$6:$J$2989,"&gt;="&amp;AQ7,'1CN8DD'!$J$6:$J$2989,"&lt;="&amp;EOMONTH(AQ7,0),'1CN8DD'!$L$6:$L$2989,$B$34)+SUMIFS('1UT9BR'!$K$6:$K$2990,'1UT9BR'!$J$6:$J$2990,"&gt;="&amp;AQ7,'1UT9BR'!$J$6:$J$2990,"&lt;="&amp;EOMONTH(AQ7,0),'1UT9BR'!$L$6:$L$2990,$B$34)+SUMIFS('1MK4UR'!$K$6:$K$2990,'1MK4UR'!$J$6:$J$2990,"&gt;="&amp;AQ7,'1MK4UR'!$J$6:$J$2990,"&lt;="&amp;EOMONTH(AQ7,0),'1MK4UR'!$L$6:$L$2990,$B$34)+SUMIFS(#REF!,#REF!,"&gt;="&amp;AQ7,#REF!,"&lt;="&amp;EOMONTH(AQ7,0),#REF!,$B$34)+SUMIFS('1JI2UE'!$K$6:$K$2989,'1JI2UE'!$J$6:$J$2989,"&gt;="&amp;AQ7,'1JI2UE'!$J$6:$J$2989,"&lt;="&amp;EOMONTH(AQ7,0),'1JI2UE'!$L$6:$L$2989,$B$34)+SUMIFS(#REF!,#REF!,"&gt;="&amp;AQ7,#REF!,"&lt;="&amp;EOMONTH(AQ7,0),#REF!,$B$34)+SUMIFS('1SI9BW'!$K$6:$K$2989,'1SI9BW'!$J$6:$J$2989,"&gt;="&amp;AQ7,'1SI9BW'!$J$6:$J$2989,"&lt;="&amp;EOMONTH(AQ7,0),'1SI9BW'!$L$6:$L$2989,$B$34)+SUMIFS(Suzuki!$K$6:$K$2989,Suzuki!$J$6:$J$2989,"&gt;="&amp;AQ7,Suzuki!$J$6:$J$2989,"&lt;="&amp;EOMONTH(AQ7,0),Suzuki!$L$6:$L$2989,$B$34)+SUMIFS('1SK3DD'!$K$6:$K$2989,'1SK3DD'!$J$6:$J$2989,"&gt;="&amp;AQ7,'1SK3DD'!$J$6:$J$2989,"&lt;="&amp;EOMONTH(AQ7,0),'1SK3DD'!$L$6:$L$2989,$B$34)+SUMIFS('1SX5TQ'!$K$6:$K$2989,'1SX5TQ'!$J$6:$J$2989,"&gt;="&amp;AQ7,'1SX5TQ'!$J$6:$J$2989,"&lt;="&amp;EOMONTH(AQ7,0),'1SX5TQ'!$L$6:$L$2989,$B$34)+SUMIFS('BMM465'!$K$6:$K$2989,'BMM465'!$J$6:$J$2989,"&gt;="&amp;AQ7,'BMM465'!$J$6:$J$2989,"&lt;="&amp;EOMONTH(AQ7,0),'BMM465'!$L$6:$L$2989,$B$34)+SUMIFS('1CF1ZO'!$K$6:$K$2989,'1CF1ZO'!$J$6:$J$2989,"&gt;="&amp;AQ7,'1CF1ZO'!$J$6:$J$2989,"&lt;="&amp;EOMONTH(AQ7,0),'1CF1ZO'!$L$6:$L$2989,$B$34)+SUMIFS('1UK1BK'!$K$6:$K$2989,'1UK1BK'!$J$6:$J$2989,"&gt;="&amp;AQ7,'1UK1BK'!$J$6:$J$2989,"&lt;="&amp;EOMONTH(AQ7,0),'1UK1BK'!$L$6:$L$2989,$B$34)</f>
        <v>#REF!</v>
      </c>
      <c r="AR34" s="110" t="e">
        <f>SUMIFS('CEI565'!$K$6:$K$2990,'CEI565'!$J$6:$J$2990,"&gt;="&amp;AR7,'CEI565'!$J$6:$J$2990,"&lt;="&amp;EOMONTH(AR7,0),'CEI565'!$L$6:$L$2990,$B$34)+SUMIFS('1SM3VL'!$K$6:$K$2990,'1SM3VL'!$J$6:$J$2990,"&gt;="&amp;AR7,'1SM3VL'!$J$6:$J$2990,"&lt;="&amp;EOMONTH(AR7,0),'1SM3VL'!$L$6:$L$2990,$B$34)+SUMIFS('1QF4SM'!$K$6:$K$2989,'1QF4SM'!$J$6:$J$2989,"&gt;="&amp;AR7,'1QF4SM'!$J$6:$J$2989,"&lt;="&amp;EOMONTH(AR7,0),'1QF4SM'!$L$6:$L$2989,$B$34)+SUMIFS('1UV5KI'!$K$6:$K$2989,'1UV5KI'!$J$6:$J$2989,"&gt;="&amp;AR7,'1UV5KI'!$J$6:$J$2989,"&lt;="&amp;EOMONTH(AR7,0),'1UV5KI'!$L$6:$L$2989,$B$34)+SUMIFS(#REF!,#REF!,"&gt;="&amp;AR7,#REF!,"&lt;="&amp;EOMONTH(AR7,0),#REF!,$B$34)+SUMIFS('1UL9RY'!$K$6:$K$2990,'1UL9RY'!$J$6:$J$2990,"&gt;="&amp;AR7,'1UL9RY'!$J$6:$J$2990,"&lt;="&amp;EOMONTH(AR7,0),'1UL9RY'!$L$6:$L$2990,$B$34)+SUMIFS('1OZ7GT'!$K$6:$K$2989,'1OZ7GT'!$J$6:$J$2989,"&gt;="&amp;AR7,'1OZ7GT'!$J$6:$J$2989,"&lt;="&amp;EOMONTH(AR7,0),'1OZ7GT'!$L$6:$L$2989,$B$34)+SUMIFS('1CN8DD'!$K$6:$K$2989,'1CN8DD'!$J$6:$J$2989,"&gt;="&amp;AR7,'1CN8DD'!$J$6:$J$2989,"&lt;="&amp;EOMONTH(AR7,0),'1CN8DD'!$L$6:$L$2989,$B$34)+SUMIFS('1UT9BR'!$K$6:$K$2990,'1UT9BR'!$J$6:$J$2990,"&gt;="&amp;AR7,'1UT9BR'!$J$6:$J$2990,"&lt;="&amp;EOMONTH(AR7,0),'1UT9BR'!$L$6:$L$2990,$B$34)+SUMIFS('1MK4UR'!$K$6:$K$2990,'1MK4UR'!$J$6:$J$2990,"&gt;="&amp;AR7,'1MK4UR'!$J$6:$J$2990,"&lt;="&amp;EOMONTH(AR7,0),'1MK4UR'!$L$6:$L$2990,$B$34)+SUMIFS(#REF!,#REF!,"&gt;="&amp;AR7,#REF!,"&lt;="&amp;EOMONTH(AR7,0),#REF!,$B$34)+SUMIFS('1JI2UE'!$K$6:$K$2989,'1JI2UE'!$J$6:$J$2989,"&gt;="&amp;AR7,'1JI2UE'!$J$6:$J$2989,"&lt;="&amp;EOMONTH(AR7,0),'1JI2UE'!$L$6:$L$2989,$B$34)+SUMIFS(#REF!,#REF!,"&gt;="&amp;AR7,#REF!,"&lt;="&amp;EOMONTH(AR7,0),#REF!,$B$34)+SUMIFS('1SI9BW'!$K$6:$K$2989,'1SI9BW'!$J$6:$J$2989,"&gt;="&amp;AR7,'1SI9BW'!$J$6:$J$2989,"&lt;="&amp;EOMONTH(AR7,0),'1SI9BW'!$L$6:$L$2989,$B$34)+SUMIFS(Suzuki!$K$6:$K$2989,Suzuki!$J$6:$J$2989,"&gt;="&amp;AR7,Suzuki!$J$6:$J$2989,"&lt;="&amp;EOMONTH(AR7,0),Suzuki!$L$6:$L$2989,$B$34)+SUMIFS('1SK3DD'!$K$6:$K$2989,'1SK3DD'!$J$6:$J$2989,"&gt;="&amp;AR7,'1SK3DD'!$J$6:$J$2989,"&lt;="&amp;EOMONTH(AR7,0),'1SK3DD'!$L$6:$L$2989,$B$34)+SUMIFS('1SX5TQ'!$K$6:$K$2989,'1SX5TQ'!$J$6:$J$2989,"&gt;="&amp;AR7,'1SX5TQ'!$J$6:$J$2989,"&lt;="&amp;EOMONTH(AR7,0),'1SX5TQ'!$L$6:$L$2989,$B$34)+SUMIFS('BMM465'!$K$6:$K$2989,'BMM465'!$J$6:$J$2989,"&gt;="&amp;AR7,'BMM465'!$J$6:$J$2989,"&lt;="&amp;EOMONTH(AR7,0),'BMM465'!$L$6:$L$2989,$B$34)+SUMIFS('1CF1ZO'!$K$6:$K$2989,'1CF1ZO'!$J$6:$J$2989,"&gt;="&amp;AR7,'1CF1ZO'!$J$6:$J$2989,"&lt;="&amp;EOMONTH(AR7,0),'1CF1ZO'!$L$6:$L$2989,$B$34)+SUMIFS('1UK1BK'!$K$6:$K$2989,'1UK1BK'!$J$6:$J$2989,"&gt;="&amp;AR7,'1UK1BK'!$J$6:$J$2989,"&lt;="&amp;EOMONTH(AR7,0),'1UK1BK'!$L$6:$L$2989,$B$34)</f>
        <v>#REF!</v>
      </c>
      <c r="AS34" s="110" t="e">
        <f>SUMIFS('CEI565'!$K$6:$K$2990,'CEI565'!$J$6:$J$2990,"&gt;="&amp;AS7,'CEI565'!$J$6:$J$2990,"&lt;="&amp;EOMONTH(AS7,0),'CEI565'!$L$6:$L$2990,$B$34)+SUMIFS('1SM3VL'!$K$6:$K$2990,'1SM3VL'!$J$6:$J$2990,"&gt;="&amp;AS7,'1SM3VL'!$J$6:$J$2990,"&lt;="&amp;EOMONTH(AS7,0),'1SM3VL'!$L$6:$L$2990,$B$34)+SUMIFS('1QF4SM'!$K$6:$K$2989,'1QF4SM'!$J$6:$J$2989,"&gt;="&amp;AS7,'1QF4SM'!$J$6:$J$2989,"&lt;="&amp;EOMONTH(AS7,0),'1QF4SM'!$L$6:$L$2989,$B$34)+SUMIFS('1UV5KI'!$K$6:$K$2989,'1UV5KI'!$J$6:$J$2989,"&gt;="&amp;AS7,'1UV5KI'!$J$6:$J$2989,"&lt;="&amp;EOMONTH(AS7,0),'1UV5KI'!$L$6:$L$2989,$B$34)+SUMIFS(#REF!,#REF!,"&gt;="&amp;AS7,#REF!,"&lt;="&amp;EOMONTH(AS7,0),#REF!,$B$34)+SUMIFS('1UL9RY'!$K$6:$K$2990,'1UL9RY'!$J$6:$J$2990,"&gt;="&amp;AS7,'1UL9RY'!$J$6:$J$2990,"&lt;="&amp;EOMONTH(AS7,0),'1UL9RY'!$L$6:$L$2990,$B$34)+SUMIFS('1OZ7GT'!$K$6:$K$2989,'1OZ7GT'!$J$6:$J$2989,"&gt;="&amp;AS7,'1OZ7GT'!$J$6:$J$2989,"&lt;="&amp;EOMONTH(AS7,0),'1OZ7GT'!$L$6:$L$2989,$B$34)+SUMIFS('1CN8DD'!$K$6:$K$2989,'1CN8DD'!$J$6:$J$2989,"&gt;="&amp;AS7,'1CN8DD'!$J$6:$J$2989,"&lt;="&amp;EOMONTH(AS7,0),'1CN8DD'!$L$6:$L$2989,$B$34)+SUMIFS('1UT9BR'!$K$6:$K$2990,'1UT9BR'!$J$6:$J$2990,"&gt;="&amp;AS7,'1UT9BR'!$J$6:$J$2990,"&lt;="&amp;EOMONTH(AS7,0),'1UT9BR'!$L$6:$L$2990,$B$34)+SUMIFS('1MK4UR'!$K$6:$K$2990,'1MK4UR'!$J$6:$J$2990,"&gt;="&amp;AS7,'1MK4UR'!$J$6:$J$2990,"&lt;="&amp;EOMONTH(AS7,0),'1MK4UR'!$L$6:$L$2990,$B$34)+SUMIFS(#REF!,#REF!,"&gt;="&amp;AS7,#REF!,"&lt;="&amp;EOMONTH(AS7,0),#REF!,$B$34)+SUMIFS('1JI2UE'!$K$6:$K$2989,'1JI2UE'!$J$6:$J$2989,"&gt;="&amp;AS7,'1JI2UE'!$J$6:$J$2989,"&lt;="&amp;EOMONTH(AS7,0),'1JI2UE'!$L$6:$L$2989,$B$34)+SUMIFS(#REF!,#REF!,"&gt;="&amp;AS7,#REF!,"&lt;="&amp;EOMONTH(AS7,0),#REF!,$B$34)+SUMIFS('1SI9BW'!$K$6:$K$2989,'1SI9BW'!$J$6:$J$2989,"&gt;="&amp;AS7,'1SI9BW'!$J$6:$J$2989,"&lt;="&amp;EOMONTH(AS7,0),'1SI9BW'!$L$6:$L$2989,$B$34)+SUMIFS(Suzuki!$K$6:$K$2989,Suzuki!$J$6:$J$2989,"&gt;="&amp;AS7,Suzuki!$J$6:$J$2989,"&lt;="&amp;EOMONTH(AS7,0),Suzuki!$L$6:$L$2989,$B$34)+SUMIFS('1SK3DD'!$K$6:$K$2989,'1SK3DD'!$J$6:$J$2989,"&gt;="&amp;AS7,'1SK3DD'!$J$6:$J$2989,"&lt;="&amp;EOMONTH(AS7,0),'1SK3DD'!$L$6:$L$2989,$B$34)+SUMIFS('1SX5TQ'!$K$6:$K$2989,'1SX5TQ'!$J$6:$J$2989,"&gt;="&amp;AS7,'1SX5TQ'!$J$6:$J$2989,"&lt;="&amp;EOMONTH(AS7,0),'1SX5TQ'!$L$6:$L$2989,$B$34)+SUMIFS('BMM465'!$K$6:$K$2989,'BMM465'!$J$6:$J$2989,"&gt;="&amp;AS7,'BMM465'!$J$6:$J$2989,"&lt;="&amp;EOMONTH(AS7,0),'BMM465'!$L$6:$L$2989,$B$34)+SUMIFS('1CF1ZO'!$K$6:$K$2989,'1CF1ZO'!$J$6:$J$2989,"&gt;="&amp;AS7,'1CF1ZO'!$J$6:$J$2989,"&lt;="&amp;EOMONTH(AS7,0),'1CF1ZO'!$L$6:$L$2989,$B$34)+SUMIFS('1UK1BK'!$K$6:$K$2989,'1UK1BK'!$J$6:$J$2989,"&gt;="&amp;AS7,'1UK1BK'!$J$6:$J$2989,"&lt;="&amp;EOMONTH(AS7,0),'1UK1BK'!$L$6:$L$2989,$B$34)</f>
        <v>#REF!</v>
      </c>
      <c r="AT34" s="110" t="e">
        <f>SUMIFS('CEI565'!$K$6:$K$2990,'CEI565'!$J$6:$J$2990,"&gt;="&amp;AT7,'CEI565'!$J$6:$J$2990,"&lt;="&amp;EOMONTH(AT7,0),'CEI565'!$L$6:$L$2990,$B$34)+SUMIFS('1SM3VL'!$K$6:$K$2990,'1SM3VL'!$J$6:$J$2990,"&gt;="&amp;AT7,'1SM3VL'!$J$6:$J$2990,"&lt;="&amp;EOMONTH(AT7,0),'1SM3VL'!$L$6:$L$2990,$B$34)+SUMIFS('1QF4SM'!$K$6:$K$2989,'1QF4SM'!$J$6:$J$2989,"&gt;="&amp;AT7,'1QF4SM'!$J$6:$J$2989,"&lt;="&amp;EOMONTH(AT7,0),'1QF4SM'!$L$6:$L$2989,$B$34)+SUMIFS('1UV5KI'!$K$6:$K$2989,'1UV5KI'!$J$6:$J$2989,"&gt;="&amp;AT7,'1UV5KI'!$J$6:$J$2989,"&lt;="&amp;EOMONTH(AT7,0),'1UV5KI'!$L$6:$L$2989,$B$34)+SUMIFS(#REF!,#REF!,"&gt;="&amp;AT7,#REF!,"&lt;="&amp;EOMONTH(AT7,0),#REF!,$B$34)+SUMIFS('1UL9RY'!$K$6:$K$2990,'1UL9RY'!$J$6:$J$2990,"&gt;="&amp;AT7,'1UL9RY'!$J$6:$J$2990,"&lt;="&amp;EOMONTH(AT7,0),'1UL9RY'!$L$6:$L$2990,$B$34)+SUMIFS('1OZ7GT'!$K$6:$K$2989,'1OZ7GT'!$J$6:$J$2989,"&gt;="&amp;AT7,'1OZ7GT'!$J$6:$J$2989,"&lt;="&amp;EOMONTH(AT7,0),'1OZ7GT'!$L$6:$L$2989,$B$34)+SUMIFS('1CN8DD'!$K$6:$K$2989,'1CN8DD'!$J$6:$J$2989,"&gt;="&amp;AT7,'1CN8DD'!$J$6:$J$2989,"&lt;="&amp;EOMONTH(AT7,0),'1CN8DD'!$L$6:$L$2989,$B$34)+SUMIFS('1UT9BR'!$K$6:$K$2990,'1UT9BR'!$J$6:$J$2990,"&gt;="&amp;AT7,'1UT9BR'!$J$6:$J$2990,"&lt;="&amp;EOMONTH(AT7,0),'1UT9BR'!$L$6:$L$2990,$B$34)+SUMIFS('1MK4UR'!$K$6:$K$2990,'1MK4UR'!$J$6:$J$2990,"&gt;="&amp;AT7,'1MK4UR'!$J$6:$J$2990,"&lt;="&amp;EOMONTH(AT7,0),'1MK4UR'!$L$6:$L$2990,$B$34)+SUMIFS(#REF!,#REF!,"&gt;="&amp;AT7,#REF!,"&lt;="&amp;EOMONTH(AT7,0),#REF!,$B$34)+SUMIFS('1JI2UE'!$K$6:$K$2989,'1JI2UE'!$J$6:$J$2989,"&gt;="&amp;AT7,'1JI2UE'!$J$6:$J$2989,"&lt;="&amp;EOMONTH(AT7,0),'1JI2UE'!$L$6:$L$2989,$B$34)+SUMIFS(#REF!,#REF!,"&gt;="&amp;AT7,#REF!,"&lt;="&amp;EOMONTH(AT7,0),#REF!,$B$34)+SUMIFS('1SI9BW'!$K$6:$K$2989,'1SI9BW'!$J$6:$J$2989,"&gt;="&amp;AT7,'1SI9BW'!$J$6:$J$2989,"&lt;="&amp;EOMONTH(AT7,0),'1SI9BW'!$L$6:$L$2989,$B$34)+SUMIFS(Suzuki!$K$6:$K$2989,Suzuki!$J$6:$J$2989,"&gt;="&amp;AT7,Suzuki!$J$6:$J$2989,"&lt;="&amp;EOMONTH(AT7,0),Suzuki!$L$6:$L$2989,$B$34)+SUMIFS('1SK3DD'!$K$6:$K$2989,'1SK3DD'!$J$6:$J$2989,"&gt;="&amp;AT7,'1SK3DD'!$J$6:$J$2989,"&lt;="&amp;EOMONTH(AT7,0),'1SK3DD'!$L$6:$L$2989,$B$34)+SUMIFS('1SX5TQ'!$K$6:$K$2989,'1SX5TQ'!$J$6:$J$2989,"&gt;="&amp;AT7,'1SX5TQ'!$J$6:$J$2989,"&lt;="&amp;EOMONTH(AT7,0),'1SX5TQ'!$L$6:$L$2989,$B$34)+SUMIFS('BMM465'!$K$6:$K$2989,'BMM465'!$J$6:$J$2989,"&gt;="&amp;AT7,'BMM465'!$J$6:$J$2989,"&lt;="&amp;EOMONTH(AT7,0),'BMM465'!$L$6:$L$2989,$B$34)+SUMIFS('1CF1ZO'!$K$6:$K$2989,'1CF1ZO'!$J$6:$J$2989,"&gt;="&amp;AT7,'1CF1ZO'!$J$6:$J$2989,"&lt;="&amp;EOMONTH(AT7,0),'1CF1ZO'!$L$6:$L$2989,$B$34)+SUMIFS('1UK1BK'!$K$6:$K$2989,'1UK1BK'!$J$6:$J$2989,"&gt;="&amp;AT7,'1UK1BK'!$J$6:$J$2989,"&lt;="&amp;EOMONTH(AT7,0),'1UK1BK'!$L$6:$L$2989,$B$34)</f>
        <v>#REF!</v>
      </c>
      <c r="AU34" s="110" t="e">
        <f>SUMIFS('CEI565'!$K$6:$K$2990,'CEI565'!$J$6:$J$2990,"&gt;="&amp;AU7,'CEI565'!$J$6:$J$2990,"&lt;="&amp;EOMONTH(AU7,0),'CEI565'!$L$6:$L$2990,$B$34)+SUMIFS('1SM3VL'!$K$6:$K$2990,'1SM3VL'!$J$6:$J$2990,"&gt;="&amp;AU7,'1SM3VL'!$J$6:$J$2990,"&lt;="&amp;EOMONTH(AU7,0),'1SM3VL'!$L$6:$L$2990,$B$34)+SUMIFS('1QF4SM'!$K$6:$K$2989,'1QF4SM'!$J$6:$J$2989,"&gt;="&amp;AU7,'1QF4SM'!$J$6:$J$2989,"&lt;="&amp;EOMONTH(AU7,0),'1QF4SM'!$L$6:$L$2989,$B$34)+SUMIFS('1UV5KI'!$K$6:$K$2989,'1UV5KI'!$J$6:$J$2989,"&gt;="&amp;AU7,'1UV5KI'!$J$6:$J$2989,"&lt;="&amp;EOMONTH(AU7,0),'1UV5KI'!$L$6:$L$2989,$B$34)+SUMIFS(#REF!,#REF!,"&gt;="&amp;AU7,#REF!,"&lt;="&amp;EOMONTH(AU7,0),#REF!,$B$34)+SUMIFS('1UL9RY'!$K$6:$K$2990,'1UL9RY'!$J$6:$J$2990,"&gt;="&amp;AU7,'1UL9RY'!$J$6:$J$2990,"&lt;="&amp;EOMONTH(AU7,0),'1UL9RY'!$L$6:$L$2990,$B$34)+SUMIFS('1OZ7GT'!$K$6:$K$2989,'1OZ7GT'!$J$6:$J$2989,"&gt;="&amp;AU7,'1OZ7GT'!$J$6:$J$2989,"&lt;="&amp;EOMONTH(AU7,0),'1OZ7GT'!$L$6:$L$2989,$B$34)+SUMIFS('1CN8DD'!$K$6:$K$2989,'1CN8DD'!$J$6:$J$2989,"&gt;="&amp;AU7,'1CN8DD'!$J$6:$J$2989,"&lt;="&amp;EOMONTH(AU7,0),'1CN8DD'!$L$6:$L$2989,$B$34)+SUMIFS('1UT9BR'!$K$6:$K$2990,'1UT9BR'!$J$6:$J$2990,"&gt;="&amp;AU7,'1UT9BR'!$J$6:$J$2990,"&lt;="&amp;EOMONTH(AU7,0),'1UT9BR'!$L$6:$L$2990,$B$34)+SUMIFS('1MK4UR'!$K$6:$K$2990,'1MK4UR'!$J$6:$J$2990,"&gt;="&amp;AU7,'1MK4UR'!$J$6:$J$2990,"&lt;="&amp;EOMONTH(AU7,0),'1MK4UR'!$L$6:$L$2990,$B$34)+SUMIFS(#REF!,#REF!,"&gt;="&amp;AU7,#REF!,"&lt;="&amp;EOMONTH(AU7,0),#REF!,$B$34)+SUMIFS('1JI2UE'!$K$6:$K$2989,'1JI2UE'!$J$6:$J$2989,"&gt;="&amp;AU7,'1JI2UE'!$J$6:$J$2989,"&lt;="&amp;EOMONTH(AU7,0),'1JI2UE'!$L$6:$L$2989,$B$34)+SUMIFS(#REF!,#REF!,"&gt;="&amp;AU7,#REF!,"&lt;="&amp;EOMONTH(AU7,0),#REF!,$B$34)+SUMIFS('1SI9BW'!$K$6:$K$2989,'1SI9BW'!$J$6:$J$2989,"&gt;="&amp;AU7,'1SI9BW'!$J$6:$J$2989,"&lt;="&amp;EOMONTH(AU7,0),'1SI9BW'!$L$6:$L$2989,$B$34)+SUMIFS(Suzuki!$K$6:$K$2989,Suzuki!$J$6:$J$2989,"&gt;="&amp;AU7,Suzuki!$J$6:$J$2989,"&lt;="&amp;EOMONTH(AU7,0),Suzuki!$L$6:$L$2989,$B$34)+SUMIFS('1SK3DD'!$K$6:$K$2989,'1SK3DD'!$J$6:$J$2989,"&gt;="&amp;AU7,'1SK3DD'!$J$6:$J$2989,"&lt;="&amp;EOMONTH(AU7,0),'1SK3DD'!$L$6:$L$2989,$B$34)+SUMIFS('1SX5TQ'!$K$6:$K$2989,'1SX5TQ'!$J$6:$J$2989,"&gt;="&amp;AU7,'1SX5TQ'!$J$6:$J$2989,"&lt;="&amp;EOMONTH(AU7,0),'1SX5TQ'!$L$6:$L$2989,$B$34)+SUMIFS('BMM465'!$K$6:$K$2989,'BMM465'!$J$6:$J$2989,"&gt;="&amp;AU7,'BMM465'!$J$6:$J$2989,"&lt;="&amp;EOMONTH(AU7,0),'BMM465'!$L$6:$L$2989,$B$34)+SUMIFS('1CF1ZO'!$K$6:$K$2989,'1CF1ZO'!$J$6:$J$2989,"&gt;="&amp;AU7,'1CF1ZO'!$J$6:$J$2989,"&lt;="&amp;EOMONTH(AU7,0),'1CF1ZO'!$L$6:$L$2989,$B$34)+SUMIFS('1UK1BK'!$K$6:$K$2989,'1UK1BK'!$J$6:$J$2989,"&gt;="&amp;AU7,'1UK1BK'!$J$6:$J$2989,"&lt;="&amp;EOMONTH(AU7,0),'1UK1BK'!$L$6:$L$2989,$B$34)</f>
        <v>#REF!</v>
      </c>
      <c r="AV34" s="110" t="e">
        <f>SUMIFS('CEI565'!$K$6:$K$2990,'CEI565'!$J$6:$J$2990,"&gt;="&amp;AV7,'CEI565'!$J$6:$J$2990,"&lt;="&amp;EOMONTH(AV7,0),'CEI565'!$L$6:$L$2990,$B$34)+SUMIFS('1SM3VL'!$K$6:$K$2990,'1SM3VL'!$J$6:$J$2990,"&gt;="&amp;AV7,'1SM3VL'!$J$6:$J$2990,"&lt;="&amp;EOMONTH(AV7,0),'1SM3VL'!$L$6:$L$2990,$B$34)+SUMIFS('1QF4SM'!$K$6:$K$2989,'1QF4SM'!$J$6:$J$2989,"&gt;="&amp;AV7,'1QF4SM'!$J$6:$J$2989,"&lt;="&amp;EOMONTH(AV7,0),'1QF4SM'!$L$6:$L$2989,$B$34)+SUMIFS('1UV5KI'!$K$6:$K$2989,'1UV5KI'!$J$6:$J$2989,"&gt;="&amp;AV7,'1UV5KI'!$J$6:$J$2989,"&lt;="&amp;EOMONTH(AV7,0),'1UV5KI'!$L$6:$L$2989,$B$34)+SUMIFS(#REF!,#REF!,"&gt;="&amp;AV7,#REF!,"&lt;="&amp;EOMONTH(AV7,0),#REF!,$B$34)+SUMIFS('1UL9RY'!$K$6:$K$2990,'1UL9RY'!$J$6:$J$2990,"&gt;="&amp;AV7,'1UL9RY'!$J$6:$J$2990,"&lt;="&amp;EOMONTH(AV7,0),'1UL9RY'!$L$6:$L$2990,$B$34)+SUMIFS('1OZ7GT'!$K$6:$K$2989,'1OZ7GT'!$J$6:$J$2989,"&gt;="&amp;AV7,'1OZ7GT'!$J$6:$J$2989,"&lt;="&amp;EOMONTH(AV7,0),'1OZ7GT'!$L$6:$L$2989,$B$34)+SUMIFS('1CN8DD'!$K$6:$K$2989,'1CN8DD'!$J$6:$J$2989,"&gt;="&amp;AV7,'1CN8DD'!$J$6:$J$2989,"&lt;="&amp;EOMONTH(AV7,0),'1CN8DD'!$L$6:$L$2989,$B$34)+SUMIFS('1UT9BR'!$K$6:$K$2990,'1UT9BR'!$J$6:$J$2990,"&gt;="&amp;AV7,'1UT9BR'!$J$6:$J$2990,"&lt;="&amp;EOMONTH(AV7,0),'1UT9BR'!$L$6:$L$2990,$B$34)+SUMIFS('1MK4UR'!$K$6:$K$2990,'1MK4UR'!$J$6:$J$2990,"&gt;="&amp;AV7,'1MK4UR'!$J$6:$J$2990,"&lt;="&amp;EOMONTH(AV7,0),'1MK4UR'!$L$6:$L$2990,$B$34)+SUMIFS(#REF!,#REF!,"&gt;="&amp;AV7,#REF!,"&lt;="&amp;EOMONTH(AV7,0),#REF!,$B$34)+SUMIFS('1JI2UE'!$K$6:$K$2989,'1JI2UE'!$J$6:$J$2989,"&gt;="&amp;AV7,'1JI2UE'!$J$6:$J$2989,"&lt;="&amp;EOMONTH(AV7,0),'1JI2UE'!$L$6:$L$2989,$B$34)+SUMIFS(#REF!,#REF!,"&gt;="&amp;AV7,#REF!,"&lt;="&amp;EOMONTH(AV7,0),#REF!,$B$34)+SUMIFS('1SI9BW'!$K$6:$K$2989,'1SI9BW'!$J$6:$J$2989,"&gt;="&amp;AV7,'1SI9BW'!$J$6:$J$2989,"&lt;="&amp;EOMONTH(AV7,0),'1SI9BW'!$L$6:$L$2989,$B$34)+SUMIFS(Suzuki!$K$6:$K$2989,Suzuki!$J$6:$J$2989,"&gt;="&amp;AV7,Suzuki!$J$6:$J$2989,"&lt;="&amp;EOMONTH(AV7,0),Suzuki!$L$6:$L$2989,$B$34)+SUMIFS('1SK3DD'!$K$6:$K$2989,'1SK3DD'!$J$6:$J$2989,"&gt;="&amp;AV7,'1SK3DD'!$J$6:$J$2989,"&lt;="&amp;EOMONTH(AV7,0),'1SK3DD'!$L$6:$L$2989,$B$34)+SUMIFS('1SX5TQ'!$K$6:$K$2989,'1SX5TQ'!$J$6:$J$2989,"&gt;="&amp;AV7,'1SX5TQ'!$J$6:$J$2989,"&lt;="&amp;EOMONTH(AV7,0),'1SX5TQ'!$L$6:$L$2989,$B$34)+SUMIFS('BMM465'!$K$6:$K$2989,'BMM465'!$J$6:$J$2989,"&gt;="&amp;AV7,'BMM465'!$J$6:$J$2989,"&lt;="&amp;EOMONTH(AV7,0),'BMM465'!$L$6:$L$2989,$B$34)+SUMIFS('1CF1ZO'!$K$6:$K$2989,'1CF1ZO'!$J$6:$J$2989,"&gt;="&amp;AV7,'1CF1ZO'!$J$6:$J$2989,"&lt;="&amp;EOMONTH(AV7,0),'1CF1ZO'!$L$6:$L$2989,$B$34)+SUMIFS('1UK1BK'!$K$6:$K$2989,'1UK1BK'!$J$6:$J$2989,"&gt;="&amp;AV7,'1UK1BK'!$J$6:$J$2989,"&lt;="&amp;EOMONTH(AV7,0),'1UK1BK'!$L$6:$L$2989,$B$34)</f>
        <v>#REF!</v>
      </c>
      <c r="AW34" s="110" t="e">
        <f>SUMIFS('CEI565'!$K$6:$K$2990,'CEI565'!$J$6:$J$2990,"&gt;="&amp;AW7,'CEI565'!$J$6:$J$2990,"&lt;="&amp;EOMONTH(AW7,0),'CEI565'!$L$6:$L$2990,$B$34)+SUMIFS('1SM3VL'!$K$6:$K$2990,'1SM3VL'!$J$6:$J$2990,"&gt;="&amp;AW7,'1SM3VL'!$J$6:$J$2990,"&lt;="&amp;EOMONTH(AW7,0),'1SM3VL'!$L$6:$L$2990,$B$34)+SUMIFS('1QF4SM'!$K$6:$K$2989,'1QF4SM'!$J$6:$J$2989,"&gt;="&amp;AW7,'1QF4SM'!$J$6:$J$2989,"&lt;="&amp;EOMONTH(AW7,0),'1QF4SM'!$L$6:$L$2989,$B$34)+SUMIFS('1UV5KI'!$K$6:$K$2989,'1UV5KI'!$J$6:$J$2989,"&gt;="&amp;AW7,'1UV5KI'!$J$6:$J$2989,"&lt;="&amp;EOMONTH(AW7,0),'1UV5KI'!$L$6:$L$2989,$B$34)+SUMIFS(#REF!,#REF!,"&gt;="&amp;AW7,#REF!,"&lt;="&amp;EOMONTH(AW7,0),#REF!,$B$34)+SUMIFS('1UL9RY'!$K$6:$K$2990,'1UL9RY'!$J$6:$J$2990,"&gt;="&amp;AW7,'1UL9RY'!$J$6:$J$2990,"&lt;="&amp;EOMONTH(AW7,0),'1UL9RY'!$L$6:$L$2990,$B$34)+SUMIFS('1OZ7GT'!$K$6:$K$2989,'1OZ7GT'!$J$6:$J$2989,"&gt;="&amp;AW7,'1OZ7GT'!$J$6:$J$2989,"&lt;="&amp;EOMONTH(AW7,0),'1OZ7GT'!$L$6:$L$2989,$B$34)+SUMIFS('1CN8DD'!$K$6:$K$2989,'1CN8DD'!$J$6:$J$2989,"&gt;="&amp;AW7,'1CN8DD'!$J$6:$J$2989,"&lt;="&amp;EOMONTH(AW7,0),'1CN8DD'!$L$6:$L$2989,$B$34)+SUMIFS('1UT9BR'!$K$6:$K$2990,'1UT9BR'!$J$6:$J$2990,"&gt;="&amp;AW7,'1UT9BR'!$J$6:$J$2990,"&lt;="&amp;EOMONTH(AW7,0),'1UT9BR'!$L$6:$L$2990,$B$34)+SUMIFS('1MK4UR'!$K$6:$K$2990,'1MK4UR'!$J$6:$J$2990,"&gt;="&amp;AW7,'1MK4UR'!$J$6:$J$2990,"&lt;="&amp;EOMONTH(AW7,0),'1MK4UR'!$L$6:$L$2990,$B$34)+SUMIFS(#REF!,#REF!,"&gt;="&amp;AW7,#REF!,"&lt;="&amp;EOMONTH(AW7,0),#REF!,$B$34)+SUMIFS('1JI2UE'!$K$6:$K$2989,'1JI2UE'!$J$6:$J$2989,"&gt;="&amp;AW7,'1JI2UE'!$J$6:$J$2989,"&lt;="&amp;EOMONTH(AW7,0),'1JI2UE'!$L$6:$L$2989,$B$34)+SUMIFS(#REF!,#REF!,"&gt;="&amp;AW7,#REF!,"&lt;="&amp;EOMONTH(AW7,0),#REF!,$B$34)+SUMIFS('1SI9BW'!$K$6:$K$2989,'1SI9BW'!$J$6:$J$2989,"&gt;="&amp;AW7,'1SI9BW'!$J$6:$J$2989,"&lt;="&amp;EOMONTH(AW7,0),'1SI9BW'!$L$6:$L$2989,$B$34)+SUMIFS(Suzuki!$K$6:$K$2989,Suzuki!$J$6:$J$2989,"&gt;="&amp;AW7,Suzuki!$J$6:$J$2989,"&lt;="&amp;EOMONTH(AW7,0),Suzuki!$L$6:$L$2989,$B$34)+SUMIFS('1SK3DD'!$K$6:$K$2989,'1SK3DD'!$J$6:$J$2989,"&gt;="&amp;AW7,'1SK3DD'!$J$6:$J$2989,"&lt;="&amp;EOMONTH(AW7,0),'1SK3DD'!$L$6:$L$2989,$B$34)+SUMIFS('1SX5TQ'!$K$6:$K$2989,'1SX5TQ'!$J$6:$J$2989,"&gt;="&amp;AW7,'1SX5TQ'!$J$6:$J$2989,"&lt;="&amp;EOMONTH(AW7,0),'1SX5TQ'!$L$6:$L$2989,$B$34)+SUMIFS('BMM465'!$K$6:$K$2989,'BMM465'!$J$6:$J$2989,"&gt;="&amp;AW7,'BMM465'!$J$6:$J$2989,"&lt;="&amp;EOMONTH(AW7,0),'BMM465'!$L$6:$L$2989,$B$34)+SUMIFS('1CF1ZO'!$K$6:$K$2989,'1CF1ZO'!$J$6:$J$2989,"&gt;="&amp;AW7,'1CF1ZO'!$J$6:$J$2989,"&lt;="&amp;EOMONTH(AW7,0),'1CF1ZO'!$L$6:$L$2989,$B$34)+SUMIFS('1UK1BK'!$K$6:$K$2989,'1UK1BK'!$J$6:$J$2989,"&gt;="&amp;AW7,'1UK1BK'!$J$6:$J$2989,"&lt;="&amp;EOMONTH(AW7,0),'1UK1BK'!$L$6:$L$2989,$B$34)</f>
        <v>#REF!</v>
      </c>
      <c r="AX34" s="110" t="e">
        <f>SUMIFS('CEI565'!$K$6:$K$2990,'CEI565'!$J$6:$J$2990,"&gt;="&amp;AX7,'CEI565'!$J$6:$J$2990,"&lt;="&amp;EOMONTH(AX7,0),'CEI565'!$L$6:$L$2990,$B$34)+SUMIFS('1SM3VL'!$K$6:$K$2990,'1SM3VL'!$J$6:$J$2990,"&gt;="&amp;AX7,'1SM3VL'!$J$6:$J$2990,"&lt;="&amp;EOMONTH(AX7,0),'1SM3VL'!$L$6:$L$2990,$B$34)+SUMIFS('1QF4SM'!$K$6:$K$2989,'1QF4SM'!$J$6:$J$2989,"&gt;="&amp;AX7,'1QF4SM'!$J$6:$J$2989,"&lt;="&amp;EOMONTH(AX7,0),'1QF4SM'!$L$6:$L$2989,$B$34)+SUMIFS('1UV5KI'!$K$6:$K$2989,'1UV5KI'!$J$6:$J$2989,"&gt;="&amp;AX7,'1UV5KI'!$J$6:$J$2989,"&lt;="&amp;EOMONTH(AX7,0),'1UV5KI'!$L$6:$L$2989,$B$34)+SUMIFS(#REF!,#REF!,"&gt;="&amp;AX7,#REF!,"&lt;="&amp;EOMONTH(AX7,0),#REF!,$B$34)+SUMIFS('1UL9RY'!$K$6:$K$2990,'1UL9RY'!$J$6:$J$2990,"&gt;="&amp;AX7,'1UL9RY'!$J$6:$J$2990,"&lt;="&amp;EOMONTH(AX7,0),'1UL9RY'!$L$6:$L$2990,$B$34)+SUMIFS('1OZ7GT'!$K$6:$K$2989,'1OZ7GT'!$J$6:$J$2989,"&gt;="&amp;AX7,'1OZ7GT'!$J$6:$J$2989,"&lt;="&amp;EOMONTH(AX7,0),'1OZ7GT'!$L$6:$L$2989,$B$34)+SUMIFS('1CN8DD'!$K$6:$K$2989,'1CN8DD'!$J$6:$J$2989,"&gt;="&amp;AX7,'1CN8DD'!$J$6:$J$2989,"&lt;="&amp;EOMONTH(AX7,0),'1CN8DD'!$L$6:$L$2989,$B$34)+SUMIFS('1UT9BR'!$K$6:$K$2990,'1UT9BR'!$J$6:$J$2990,"&gt;="&amp;AX7,'1UT9BR'!$J$6:$J$2990,"&lt;="&amp;EOMONTH(AX7,0),'1UT9BR'!$L$6:$L$2990,$B$34)+SUMIFS('1MK4UR'!$K$6:$K$2990,'1MK4UR'!$J$6:$J$2990,"&gt;="&amp;AX7,'1MK4UR'!$J$6:$J$2990,"&lt;="&amp;EOMONTH(AX7,0),'1MK4UR'!$L$6:$L$2990,$B$34)+SUMIFS(#REF!,#REF!,"&gt;="&amp;AX7,#REF!,"&lt;="&amp;EOMONTH(AX7,0),#REF!,$B$34)+SUMIFS('1JI2UE'!$K$6:$K$2989,'1JI2UE'!$J$6:$J$2989,"&gt;="&amp;AX7,'1JI2UE'!$J$6:$J$2989,"&lt;="&amp;EOMONTH(AX7,0),'1JI2UE'!$L$6:$L$2989,$B$34)+SUMIFS(#REF!,#REF!,"&gt;="&amp;AX7,#REF!,"&lt;="&amp;EOMONTH(AX7,0),#REF!,$B$34)+SUMIFS('1SI9BW'!$K$6:$K$2989,'1SI9BW'!$J$6:$J$2989,"&gt;="&amp;AX7,'1SI9BW'!$J$6:$J$2989,"&lt;="&amp;EOMONTH(AX7,0),'1SI9BW'!$L$6:$L$2989,$B$34)+SUMIFS(Suzuki!$K$6:$K$2989,Suzuki!$J$6:$J$2989,"&gt;="&amp;AX7,Suzuki!$J$6:$J$2989,"&lt;="&amp;EOMONTH(AX7,0),Suzuki!$L$6:$L$2989,$B$34)+SUMIFS('1SK3DD'!$K$6:$K$2989,'1SK3DD'!$J$6:$J$2989,"&gt;="&amp;AX7,'1SK3DD'!$J$6:$J$2989,"&lt;="&amp;EOMONTH(AX7,0),'1SK3DD'!$L$6:$L$2989,$B$34)+SUMIFS('1SX5TQ'!$K$6:$K$2989,'1SX5TQ'!$J$6:$J$2989,"&gt;="&amp;AX7,'1SX5TQ'!$J$6:$J$2989,"&lt;="&amp;EOMONTH(AX7,0),'1SX5TQ'!$L$6:$L$2989,$B$34)+SUMIFS('BMM465'!$K$6:$K$2989,'BMM465'!$J$6:$J$2989,"&gt;="&amp;AX7,'BMM465'!$J$6:$J$2989,"&lt;="&amp;EOMONTH(AX7,0),'BMM465'!$L$6:$L$2989,$B$34)+SUMIFS('1CF1ZO'!$K$6:$K$2989,'1CF1ZO'!$J$6:$J$2989,"&gt;="&amp;AX7,'1CF1ZO'!$J$6:$J$2989,"&lt;="&amp;EOMONTH(AX7,0),'1CF1ZO'!$L$6:$L$2989,$B$34)+SUMIFS('1UK1BK'!$K$6:$K$2989,'1UK1BK'!$J$6:$J$2989,"&gt;="&amp;AX7,'1UK1BK'!$J$6:$J$2989,"&lt;="&amp;EOMONTH(AX7,0),'1UK1BK'!$L$6:$L$2989,$B$34)</f>
        <v>#REF!</v>
      </c>
      <c r="AY34" s="110" t="e">
        <f>SUMIFS('CEI565'!$K$6:$K$2990,'CEI565'!$J$6:$J$2990,"&gt;="&amp;AY7,'CEI565'!$J$6:$J$2990,"&lt;="&amp;EOMONTH(AY7,0),'CEI565'!$L$6:$L$2990,$B$34)+SUMIFS('1SM3VL'!$K$6:$K$2990,'1SM3VL'!$J$6:$J$2990,"&gt;="&amp;AY7,'1SM3VL'!$J$6:$J$2990,"&lt;="&amp;EOMONTH(AY7,0),'1SM3VL'!$L$6:$L$2990,$B$34)+SUMIFS('1QF4SM'!$K$6:$K$2989,'1QF4SM'!$J$6:$J$2989,"&gt;="&amp;AY7,'1QF4SM'!$J$6:$J$2989,"&lt;="&amp;EOMONTH(AY7,0),'1QF4SM'!$L$6:$L$2989,$B$34)+SUMIFS('1UV5KI'!$K$6:$K$2989,'1UV5KI'!$J$6:$J$2989,"&gt;="&amp;AY7,'1UV5KI'!$J$6:$J$2989,"&lt;="&amp;EOMONTH(AY7,0),'1UV5KI'!$L$6:$L$2989,$B$34)+SUMIFS(#REF!,#REF!,"&gt;="&amp;AY7,#REF!,"&lt;="&amp;EOMONTH(AY7,0),#REF!,$B$34)+SUMIFS('1UL9RY'!$K$6:$K$2990,'1UL9RY'!$J$6:$J$2990,"&gt;="&amp;AY7,'1UL9RY'!$J$6:$J$2990,"&lt;="&amp;EOMONTH(AY7,0),'1UL9RY'!$L$6:$L$2990,$B$34)+SUMIFS('1OZ7GT'!$K$6:$K$2989,'1OZ7GT'!$J$6:$J$2989,"&gt;="&amp;AY7,'1OZ7GT'!$J$6:$J$2989,"&lt;="&amp;EOMONTH(AY7,0),'1OZ7GT'!$L$6:$L$2989,$B$34)+SUMIFS('1CN8DD'!$K$6:$K$2989,'1CN8DD'!$J$6:$J$2989,"&gt;="&amp;AY7,'1CN8DD'!$J$6:$J$2989,"&lt;="&amp;EOMONTH(AY7,0),'1CN8DD'!$L$6:$L$2989,$B$34)+SUMIFS('1UT9BR'!$K$6:$K$2990,'1UT9BR'!$J$6:$J$2990,"&gt;="&amp;AY7,'1UT9BR'!$J$6:$J$2990,"&lt;="&amp;EOMONTH(AY7,0),'1UT9BR'!$L$6:$L$2990,$B$34)+SUMIFS('1MK4UR'!$K$6:$K$2990,'1MK4UR'!$J$6:$J$2990,"&gt;="&amp;AY7,'1MK4UR'!$J$6:$J$2990,"&lt;="&amp;EOMONTH(AY7,0),'1MK4UR'!$L$6:$L$2990,$B$34)+SUMIFS(#REF!,#REF!,"&gt;="&amp;AY7,#REF!,"&lt;="&amp;EOMONTH(AY7,0),#REF!,$B$34)+SUMIFS('1JI2UE'!$K$6:$K$2989,'1JI2UE'!$J$6:$J$2989,"&gt;="&amp;AY7,'1JI2UE'!$J$6:$J$2989,"&lt;="&amp;EOMONTH(AY7,0),'1JI2UE'!$L$6:$L$2989,$B$34)+SUMIFS(#REF!,#REF!,"&gt;="&amp;AY7,#REF!,"&lt;="&amp;EOMONTH(AY7,0),#REF!,$B$34)+SUMIFS('1SI9BW'!$K$6:$K$2989,'1SI9BW'!$J$6:$J$2989,"&gt;="&amp;AY7,'1SI9BW'!$J$6:$J$2989,"&lt;="&amp;EOMONTH(AY7,0),'1SI9BW'!$L$6:$L$2989,$B$34)+SUMIFS(Suzuki!$K$6:$K$2989,Suzuki!$J$6:$J$2989,"&gt;="&amp;AY7,Suzuki!$J$6:$J$2989,"&lt;="&amp;EOMONTH(AY7,0),Suzuki!$L$6:$L$2989,$B$34)+SUMIFS('1SK3DD'!$K$6:$K$2989,'1SK3DD'!$J$6:$J$2989,"&gt;="&amp;AY7,'1SK3DD'!$J$6:$J$2989,"&lt;="&amp;EOMONTH(AY7,0),'1SK3DD'!$L$6:$L$2989,$B$34)+SUMIFS('1SX5TQ'!$K$6:$K$2989,'1SX5TQ'!$J$6:$J$2989,"&gt;="&amp;AY7,'1SX5TQ'!$J$6:$J$2989,"&lt;="&amp;EOMONTH(AY7,0),'1SX5TQ'!$L$6:$L$2989,$B$34)+SUMIFS('BMM465'!$K$6:$K$2989,'BMM465'!$J$6:$J$2989,"&gt;="&amp;AY7,'BMM465'!$J$6:$J$2989,"&lt;="&amp;EOMONTH(AY7,0),'BMM465'!$L$6:$L$2989,$B$34)+SUMIFS('1CF1ZO'!$K$6:$K$2989,'1CF1ZO'!$J$6:$J$2989,"&gt;="&amp;AY7,'1CF1ZO'!$J$6:$J$2989,"&lt;="&amp;EOMONTH(AY7,0),'1CF1ZO'!$L$6:$L$2989,$B$34)+SUMIFS('1UK1BK'!$K$6:$K$2989,'1UK1BK'!$J$6:$J$2989,"&gt;="&amp;AY7,'1UK1BK'!$J$6:$J$2989,"&lt;="&amp;EOMONTH(AY7,0),'1UK1BK'!$L$6:$L$2989,$B$34)</f>
        <v>#REF!</v>
      </c>
      <c r="AZ34" s="110" t="e">
        <f>SUMIFS('CEI565'!$K$6:$K$2990,'CEI565'!$J$6:$J$2990,"&gt;="&amp;AZ7,'CEI565'!$J$6:$J$2990,"&lt;="&amp;EOMONTH(AZ7,0),'CEI565'!$L$6:$L$2990,$B$34)+SUMIFS('1SM3VL'!$K$6:$K$2990,'1SM3VL'!$J$6:$J$2990,"&gt;="&amp;AZ7,'1SM3VL'!$J$6:$J$2990,"&lt;="&amp;EOMONTH(AZ7,0),'1SM3VL'!$L$6:$L$2990,$B$34)+SUMIFS('1QF4SM'!$K$6:$K$2989,'1QF4SM'!$J$6:$J$2989,"&gt;="&amp;AZ7,'1QF4SM'!$J$6:$J$2989,"&lt;="&amp;EOMONTH(AZ7,0),'1QF4SM'!$L$6:$L$2989,$B$34)+SUMIFS('1UV5KI'!$K$6:$K$2989,'1UV5KI'!$J$6:$J$2989,"&gt;="&amp;AZ7,'1UV5KI'!$J$6:$J$2989,"&lt;="&amp;EOMONTH(AZ7,0),'1UV5KI'!$L$6:$L$2989,$B$34)+SUMIFS(#REF!,#REF!,"&gt;="&amp;AZ7,#REF!,"&lt;="&amp;EOMONTH(AZ7,0),#REF!,$B$34)+SUMIFS('1UL9RY'!$K$6:$K$2990,'1UL9RY'!$J$6:$J$2990,"&gt;="&amp;AZ7,'1UL9RY'!$J$6:$J$2990,"&lt;="&amp;EOMONTH(AZ7,0),'1UL9RY'!$L$6:$L$2990,$B$34)+SUMIFS('1OZ7GT'!$K$6:$K$2989,'1OZ7GT'!$J$6:$J$2989,"&gt;="&amp;AZ7,'1OZ7GT'!$J$6:$J$2989,"&lt;="&amp;EOMONTH(AZ7,0),'1OZ7GT'!$L$6:$L$2989,$B$34)+SUMIFS('1CN8DD'!$K$6:$K$2989,'1CN8DD'!$J$6:$J$2989,"&gt;="&amp;AZ7,'1CN8DD'!$J$6:$J$2989,"&lt;="&amp;EOMONTH(AZ7,0),'1CN8DD'!$L$6:$L$2989,$B$34)+SUMIFS('1UT9BR'!$K$6:$K$2990,'1UT9BR'!$J$6:$J$2990,"&gt;="&amp;AZ7,'1UT9BR'!$J$6:$J$2990,"&lt;="&amp;EOMONTH(AZ7,0),'1UT9BR'!$L$6:$L$2990,$B$34)+SUMIFS('1MK4UR'!$K$6:$K$2990,'1MK4UR'!$J$6:$J$2990,"&gt;="&amp;AZ7,'1MK4UR'!$J$6:$J$2990,"&lt;="&amp;EOMONTH(AZ7,0),'1MK4UR'!$L$6:$L$2990,$B$34)+SUMIFS(#REF!,#REF!,"&gt;="&amp;AZ7,#REF!,"&lt;="&amp;EOMONTH(AZ7,0),#REF!,$B$34)+SUMIFS('1JI2UE'!$K$6:$K$2989,'1JI2UE'!$J$6:$J$2989,"&gt;="&amp;AZ7,'1JI2UE'!$J$6:$J$2989,"&lt;="&amp;EOMONTH(AZ7,0),'1JI2UE'!$L$6:$L$2989,$B$34)+SUMIFS(#REF!,#REF!,"&gt;="&amp;AZ7,#REF!,"&lt;="&amp;EOMONTH(AZ7,0),#REF!,$B$34)+SUMIFS('1SI9BW'!$K$6:$K$2989,'1SI9BW'!$J$6:$J$2989,"&gt;="&amp;AZ7,'1SI9BW'!$J$6:$J$2989,"&lt;="&amp;EOMONTH(AZ7,0),'1SI9BW'!$L$6:$L$2989,$B$34)+SUMIFS(Suzuki!$K$6:$K$2989,Suzuki!$J$6:$J$2989,"&gt;="&amp;AZ7,Suzuki!$J$6:$J$2989,"&lt;="&amp;EOMONTH(AZ7,0),Suzuki!$L$6:$L$2989,$B$34)+SUMIFS('1SK3DD'!$K$6:$K$2989,'1SK3DD'!$J$6:$J$2989,"&gt;="&amp;AZ7,'1SK3DD'!$J$6:$J$2989,"&lt;="&amp;EOMONTH(AZ7,0),'1SK3DD'!$L$6:$L$2989,$B$34)+SUMIFS('1SX5TQ'!$K$6:$K$2989,'1SX5TQ'!$J$6:$J$2989,"&gt;="&amp;AZ7,'1SX5TQ'!$J$6:$J$2989,"&lt;="&amp;EOMONTH(AZ7,0),'1SX5TQ'!$L$6:$L$2989,$B$34)+SUMIFS('BMM465'!$K$6:$K$2989,'BMM465'!$J$6:$J$2989,"&gt;="&amp;AZ7,'BMM465'!$J$6:$J$2989,"&lt;="&amp;EOMONTH(AZ7,0),'BMM465'!$L$6:$L$2989,$B$34)+SUMIFS('1CF1ZO'!$K$6:$K$2989,'1CF1ZO'!$J$6:$J$2989,"&gt;="&amp;AZ7,'1CF1ZO'!$J$6:$J$2989,"&lt;="&amp;EOMONTH(AZ7,0),'1CF1ZO'!$L$6:$L$2989,$B$34)+SUMIFS('1UK1BK'!$K$6:$K$2989,'1UK1BK'!$J$6:$J$2989,"&gt;="&amp;AZ7,'1UK1BK'!$J$6:$J$2989,"&lt;="&amp;EOMONTH(AZ7,0),'1UK1BK'!$L$6:$L$2989,$B$34)</f>
        <v>#REF!</v>
      </c>
      <c r="BA34" s="110" t="e">
        <f>SUMIFS('CEI565'!$K$6:$K$2990,'CEI565'!$J$6:$J$2990,"&gt;="&amp;BA7,'CEI565'!$J$6:$J$2990,"&lt;="&amp;EOMONTH(BA7,0),'CEI565'!$L$6:$L$2990,$B$34)+SUMIFS('1SM3VL'!$K$6:$K$2990,'1SM3VL'!$J$6:$J$2990,"&gt;="&amp;BA7,'1SM3VL'!$J$6:$J$2990,"&lt;="&amp;EOMONTH(BA7,0),'1SM3VL'!$L$6:$L$2990,$B$34)+SUMIFS('1QF4SM'!$K$6:$K$2989,'1QF4SM'!$J$6:$J$2989,"&gt;="&amp;BA7,'1QF4SM'!$J$6:$J$2989,"&lt;="&amp;EOMONTH(BA7,0),'1QF4SM'!$L$6:$L$2989,$B$34)+SUMIFS('1UV5KI'!$K$6:$K$2989,'1UV5KI'!$J$6:$J$2989,"&gt;="&amp;BA7,'1UV5KI'!$J$6:$J$2989,"&lt;="&amp;EOMONTH(BA7,0),'1UV5KI'!$L$6:$L$2989,$B$34)+SUMIFS(#REF!,#REF!,"&gt;="&amp;BA7,#REF!,"&lt;="&amp;EOMONTH(BA7,0),#REF!,$B$34)+SUMIFS('1UL9RY'!$K$6:$K$2990,'1UL9RY'!$J$6:$J$2990,"&gt;="&amp;BA7,'1UL9RY'!$J$6:$J$2990,"&lt;="&amp;EOMONTH(BA7,0),'1UL9RY'!$L$6:$L$2990,$B$34)+SUMIFS('1OZ7GT'!$K$6:$K$2989,'1OZ7GT'!$J$6:$J$2989,"&gt;="&amp;BA7,'1OZ7GT'!$J$6:$J$2989,"&lt;="&amp;EOMONTH(BA7,0),'1OZ7GT'!$L$6:$L$2989,$B$34)+SUMIFS('1CN8DD'!$K$6:$K$2989,'1CN8DD'!$J$6:$J$2989,"&gt;="&amp;BA7,'1CN8DD'!$J$6:$J$2989,"&lt;="&amp;EOMONTH(BA7,0),'1CN8DD'!$L$6:$L$2989,$B$34)+SUMIFS('1UT9BR'!$K$6:$K$2990,'1UT9BR'!$J$6:$J$2990,"&gt;="&amp;BA7,'1UT9BR'!$J$6:$J$2990,"&lt;="&amp;EOMONTH(BA7,0),'1UT9BR'!$L$6:$L$2990,$B$34)+SUMIFS('1MK4UR'!$K$6:$K$2990,'1MK4UR'!$J$6:$J$2990,"&gt;="&amp;BA7,'1MK4UR'!$J$6:$J$2990,"&lt;="&amp;EOMONTH(BA7,0),'1MK4UR'!$L$6:$L$2990,$B$34)+SUMIFS(#REF!,#REF!,"&gt;="&amp;BA7,#REF!,"&lt;="&amp;EOMONTH(BA7,0),#REF!,$B$34)+SUMIFS('1JI2UE'!$K$6:$K$2989,'1JI2UE'!$J$6:$J$2989,"&gt;="&amp;BA7,'1JI2UE'!$J$6:$J$2989,"&lt;="&amp;EOMONTH(BA7,0),'1JI2UE'!$L$6:$L$2989,$B$34)+SUMIFS(#REF!,#REF!,"&gt;="&amp;BA7,#REF!,"&lt;="&amp;EOMONTH(BA7,0),#REF!,$B$34)+SUMIFS('1SI9BW'!$K$6:$K$2989,'1SI9BW'!$J$6:$J$2989,"&gt;="&amp;BA7,'1SI9BW'!$J$6:$J$2989,"&lt;="&amp;EOMONTH(BA7,0),'1SI9BW'!$L$6:$L$2989,$B$34)+SUMIFS(Suzuki!$K$6:$K$2989,Suzuki!$J$6:$J$2989,"&gt;="&amp;BA7,Suzuki!$J$6:$J$2989,"&lt;="&amp;EOMONTH(BA7,0),Suzuki!$L$6:$L$2989,$B$34)+SUMIFS('1SK3DD'!$K$6:$K$2989,'1SK3DD'!$J$6:$J$2989,"&gt;="&amp;BA7,'1SK3DD'!$J$6:$J$2989,"&lt;="&amp;EOMONTH(BA7,0),'1SK3DD'!$L$6:$L$2989,$B$34)+SUMIFS('1SX5TQ'!$K$6:$K$2989,'1SX5TQ'!$J$6:$J$2989,"&gt;="&amp;BA7,'1SX5TQ'!$J$6:$J$2989,"&lt;="&amp;EOMONTH(BA7,0),'1SX5TQ'!$L$6:$L$2989,$B$34)+SUMIFS('BMM465'!$K$6:$K$2989,'BMM465'!$J$6:$J$2989,"&gt;="&amp;BA7,'BMM465'!$J$6:$J$2989,"&lt;="&amp;EOMONTH(BA7,0),'BMM465'!$L$6:$L$2989,$B$34)+SUMIFS('1CF1ZO'!$K$6:$K$2989,'1CF1ZO'!$J$6:$J$2989,"&gt;="&amp;BA7,'1CF1ZO'!$J$6:$J$2989,"&lt;="&amp;EOMONTH(BA7,0),'1CF1ZO'!$L$6:$L$2989,$B$34)+SUMIFS('1UK1BK'!$K$6:$K$2989,'1UK1BK'!$J$6:$J$2989,"&gt;="&amp;BA7,'1UK1BK'!$J$6:$J$2989,"&lt;="&amp;EOMONTH(BA7,0),'1UK1BK'!$L$6:$L$2989,$B$34)</f>
        <v>#REF!</v>
      </c>
    </row>
    <row r="35" spans="2:53" x14ac:dyDescent="0.25">
      <c r="B35" s="5" t="s">
        <v>26</v>
      </c>
      <c r="C35" s="69" t="str">
        <f t="shared" si="13"/>
        <v/>
      </c>
      <c r="D35" s="109" t="e">
        <f t="shared" si="2"/>
        <v>#REF!</v>
      </c>
      <c r="E35" s="69" t="str">
        <f t="shared" si="14"/>
        <v/>
      </c>
      <c r="F35" s="109" t="e">
        <f t="shared" si="3"/>
        <v>#REF!</v>
      </c>
      <c r="G35" s="69" t="str">
        <f>IFERROR(H35/$H$17,"")</f>
        <v/>
      </c>
      <c r="H35" s="109" t="e">
        <f t="shared" si="4"/>
        <v>#REF!</v>
      </c>
      <c r="I35" s="110" t="e">
        <f>SUMIFS('CEI565'!$K$6:$K$2990,'CEI565'!$J$6:$J$2990,"&gt;="&amp;I7,'CEI565'!$J$6:$J$2990,"&lt;="&amp;EOMONTH(I7,0),'CEI565'!$L$6:$L$2990,$B$35)+SUMIFS('1SM3VL'!$K$6:$K$2990,'1SM3VL'!$J$6:$J$2990,"&gt;="&amp;I7,'1SM3VL'!$J$6:$J$2990,"&lt;="&amp;EOMONTH(I7,0),'1SM3VL'!$L$6:$L$2990,$B$35)+SUMIFS('1QF4SM'!$K$6:$K$2989,'1QF4SM'!$J$6:$J$2989,"&gt;="&amp;I7,'1QF4SM'!$J$6:$J$2989,"&lt;="&amp;EOMONTH(I7,0),'1QF4SM'!$L$6:$L$2989,$B$35)+SUMIFS('1UV5KI'!$K$6:$K$2989,'1UV5KI'!$J$6:$J$2989,"&gt;="&amp;I7,'1UV5KI'!$J$6:$J$2989,"&lt;="&amp;EOMONTH(I7,0),'1UV5KI'!$L$6:$L$2989,$B$35)+SUMIFS(#REF!,#REF!,"&gt;="&amp;I7,#REF!,"&lt;="&amp;EOMONTH(I7,0),#REF!,$B$35)+SUMIFS('1UL9RY'!$K$6:$K$2990,'1UL9RY'!$J$6:$J$2990,"&gt;="&amp;I7,'1UL9RY'!$J$6:$J$2990,"&lt;="&amp;EOMONTH(I7,0),'1UL9RY'!$L$6:$L$2990,$B$35)+SUMIFS('1OZ7GT'!$K$6:$K$2989,'1OZ7GT'!$J$6:$J$2989,"&gt;="&amp;I7,'1OZ7GT'!$J$6:$J$2989,"&lt;="&amp;EOMONTH(I7,0),'1OZ7GT'!$L$6:$L$2989,$B$35)+SUMIFS('1CN8DD'!$K$6:$K$2989,'1CN8DD'!$J$6:$J$2989,"&gt;="&amp;I7,'1CN8DD'!$J$6:$J$2989,"&lt;="&amp;EOMONTH(I7,0),'1CN8DD'!$L$6:$L$2989,$B$35)+SUMIFS('1UT9BR'!$K$6:$K$2990,'1UT9BR'!$J$6:$J$2990,"&gt;="&amp;I7,'1UT9BR'!$J$6:$J$2990,"&lt;="&amp;EOMONTH(I7,0),'1UT9BR'!$L$6:$L$2990,$B$35)+SUMIFS('1MK4UR'!$K$6:$K$2990,'1MK4UR'!$J$6:$J$2990,"&gt;="&amp;I7,'1MK4UR'!$J$6:$J$2990,"&lt;="&amp;EOMONTH(I7,0),'1MK4UR'!$L$6:$L$2990,$B$35)+SUMIFS(#REF!,#REF!,"&gt;="&amp;I7,#REF!,"&lt;="&amp;EOMONTH(I7,0),#REF!,$B$35)+SUMIFS('1JI2UE'!$K$6:$K$2989,'1JI2UE'!$J$6:$J$2989,"&gt;="&amp;I7,'1JI2UE'!$J$6:$J$2989,"&lt;="&amp;EOMONTH(I7,0),'1JI2UE'!$L$6:$L$2989,$B$35)+SUMIFS(#REF!,#REF!,"&gt;="&amp;I7,#REF!,"&lt;="&amp;EOMONTH(I7,0),#REF!,$B$35)+SUMIFS('1SI9BW'!$K$6:$K$2989,'1SI9BW'!$J$6:$J$2989,"&gt;="&amp;I7,'1SI9BW'!$J$6:$J$2989,"&lt;="&amp;EOMONTH(I7,0),'1SI9BW'!$L$6:$L$2989,$B$35)+SUMIFS(Suzuki!$K$6:$K$2989,Suzuki!$J$6:$J$2989,"&gt;="&amp;I7,Suzuki!$J$6:$J$2989,"&lt;="&amp;EOMONTH(I7,0),Suzuki!$L$6:$L$2989,$B$35)+SUMIFS('1SK3DD'!$K$6:$K$2989,'1SK3DD'!$J$6:$J$2989,"&gt;="&amp;I7,'1SK3DD'!$J$6:$J$2989,"&lt;="&amp;EOMONTH(I7,0),'1SK3DD'!$L$6:$L$2989,$B$35)+SUMIFS('1SX5TQ'!$K$6:$K$2989,'1SX5TQ'!$J$6:$J$2989,"&gt;="&amp;I7,'1SX5TQ'!$J$6:$J$2989,"&lt;="&amp;EOMONTH(I7,0),'1SX5TQ'!$L$6:$L$2989,$B$35)+SUMIFS('BMM465'!$K$6:$K$2989,'BMM465'!$J$6:$J$2989,"&gt;="&amp;I7,'BMM465'!$J$6:$J$2989,"&lt;="&amp;EOMONTH(I7,0),'BMM465'!$L$6:$L$2989,$B$35)+SUMIFS('1CF1ZO'!$K$6:$K$2989,'1CF1ZO'!$J$6:$J$2989,"&gt;="&amp;I7,'1CF1ZO'!$J$6:$J$2989,"&lt;="&amp;EOMONTH(I7,0),'1CF1ZO'!$L$6:$L$2989,$B$35)+SUMIFS('1UK1BK'!$K$6:$K$2989,'1UK1BK'!$J$6:$J$2989,"&gt;="&amp;I7,'1UK1BK'!$J$6:$J$2989,"&lt;="&amp;EOMONTH(I7,0),'1UK1BK'!$L$6:$L$2989,$B$35)</f>
        <v>#REF!</v>
      </c>
      <c r="J35" s="110" t="e">
        <f>SUMIFS('CEI565'!$K$6:$K$2990,'CEI565'!$J$6:$J$2990,"&gt;="&amp;J7,'CEI565'!$J$6:$J$2990,"&lt;="&amp;EOMONTH(J7,0),'CEI565'!$L$6:$L$2990,$B$35)+SUMIFS('1SM3VL'!$K$6:$K$2990,'1SM3VL'!$J$6:$J$2990,"&gt;="&amp;J7,'1SM3VL'!$J$6:$J$2990,"&lt;="&amp;EOMONTH(J7,0),'1SM3VL'!$L$6:$L$2990,$B$35)+SUMIFS('1QF4SM'!$K$6:$K$2989,'1QF4SM'!$J$6:$J$2989,"&gt;="&amp;J7,'1QF4SM'!$J$6:$J$2989,"&lt;="&amp;EOMONTH(J7,0),'1QF4SM'!$L$6:$L$2989,$B$35)+SUMIFS('1UV5KI'!$K$6:$K$2989,'1UV5KI'!$J$6:$J$2989,"&gt;="&amp;J7,'1UV5KI'!$J$6:$J$2989,"&lt;="&amp;EOMONTH(J7,0),'1UV5KI'!$L$6:$L$2989,$B$35)+SUMIFS(#REF!,#REF!,"&gt;="&amp;J7,#REF!,"&lt;="&amp;EOMONTH(J7,0),#REF!,$B$35)+SUMIFS('1UL9RY'!$K$6:$K$2990,'1UL9RY'!$J$6:$J$2990,"&gt;="&amp;J7,'1UL9RY'!$J$6:$J$2990,"&lt;="&amp;EOMONTH(J7,0),'1UL9RY'!$L$6:$L$2990,$B$35)+SUMIFS('1OZ7GT'!$K$6:$K$2989,'1OZ7GT'!$J$6:$J$2989,"&gt;="&amp;J7,'1OZ7GT'!$J$6:$J$2989,"&lt;="&amp;EOMONTH(J7,0),'1OZ7GT'!$L$6:$L$2989,$B$35)+SUMIFS('1CN8DD'!$K$6:$K$2989,'1CN8DD'!$J$6:$J$2989,"&gt;="&amp;J7,'1CN8DD'!$J$6:$J$2989,"&lt;="&amp;EOMONTH(J7,0),'1CN8DD'!$L$6:$L$2989,$B$35)+SUMIFS('1UT9BR'!$K$6:$K$2990,'1UT9BR'!$J$6:$J$2990,"&gt;="&amp;J7,'1UT9BR'!$J$6:$J$2990,"&lt;="&amp;EOMONTH(J7,0),'1UT9BR'!$L$6:$L$2990,$B$35)+SUMIFS('1MK4UR'!$K$6:$K$2990,'1MK4UR'!$J$6:$J$2990,"&gt;="&amp;J7,'1MK4UR'!$J$6:$J$2990,"&lt;="&amp;EOMONTH(J7,0),'1MK4UR'!$L$6:$L$2990,$B$35)+SUMIFS(#REF!,#REF!,"&gt;="&amp;J7,#REF!,"&lt;="&amp;EOMONTH(J7,0),#REF!,$B$35)+SUMIFS('1JI2UE'!$K$6:$K$2989,'1JI2UE'!$J$6:$J$2989,"&gt;="&amp;J7,'1JI2UE'!$J$6:$J$2989,"&lt;="&amp;EOMONTH(J7,0),'1JI2UE'!$L$6:$L$2989,$B$35)+SUMIFS(#REF!,#REF!,"&gt;="&amp;J7,#REF!,"&lt;="&amp;EOMONTH(J7,0),#REF!,$B$35)+SUMIFS('1SI9BW'!$K$6:$K$2989,'1SI9BW'!$J$6:$J$2989,"&gt;="&amp;J7,'1SI9BW'!$J$6:$J$2989,"&lt;="&amp;EOMONTH(J7,0),'1SI9BW'!$L$6:$L$2989,$B$35)+SUMIFS(Suzuki!$K$6:$K$2989,Suzuki!$J$6:$J$2989,"&gt;="&amp;J7,Suzuki!$J$6:$J$2989,"&lt;="&amp;EOMONTH(J7,0),Suzuki!$L$6:$L$2989,$B$35)+SUMIFS('1SK3DD'!$K$6:$K$2989,'1SK3DD'!$J$6:$J$2989,"&gt;="&amp;J7,'1SK3DD'!$J$6:$J$2989,"&lt;="&amp;EOMONTH(J7,0),'1SK3DD'!$L$6:$L$2989,$B$35)+SUMIFS('1SX5TQ'!$K$6:$K$2989,'1SX5TQ'!$J$6:$J$2989,"&gt;="&amp;J7,'1SX5TQ'!$J$6:$J$2989,"&lt;="&amp;EOMONTH(J7,0),'1SX5TQ'!$L$6:$L$2989,$B$35)+SUMIFS('BMM465'!$K$6:$K$2989,'BMM465'!$J$6:$J$2989,"&gt;="&amp;J7,'BMM465'!$J$6:$J$2989,"&lt;="&amp;EOMONTH(J7,0),'BMM465'!$L$6:$L$2989,$B$35)+SUMIFS('1CF1ZO'!$K$6:$K$2989,'1CF1ZO'!$J$6:$J$2989,"&gt;="&amp;J7,'1CF1ZO'!$J$6:$J$2989,"&lt;="&amp;EOMONTH(J7,0),'1CF1ZO'!$L$6:$L$2989,$B$35)+SUMIFS('1UK1BK'!$K$6:$K$2989,'1UK1BK'!$J$6:$J$2989,"&gt;="&amp;J7,'1UK1BK'!$J$6:$J$2989,"&lt;="&amp;EOMONTH(J7,0),'1UK1BK'!$L$6:$L$2989,$B$35)</f>
        <v>#REF!</v>
      </c>
      <c r="K35" s="110" t="e">
        <f>SUMIFS('CEI565'!$K$6:$K$2990,'CEI565'!$J$6:$J$2990,"&gt;="&amp;K7,'CEI565'!$J$6:$J$2990,"&lt;="&amp;EOMONTH(K7,0),'CEI565'!$L$6:$L$2990,$B$35)+SUMIFS('1SM3VL'!$K$6:$K$2990,'1SM3VL'!$J$6:$J$2990,"&gt;="&amp;K7,'1SM3VL'!$J$6:$J$2990,"&lt;="&amp;EOMONTH(K7,0),'1SM3VL'!$L$6:$L$2990,$B$35)+SUMIFS('1QF4SM'!$K$6:$K$2989,'1QF4SM'!$J$6:$J$2989,"&gt;="&amp;K7,'1QF4SM'!$J$6:$J$2989,"&lt;="&amp;EOMONTH(K7,0),'1QF4SM'!$L$6:$L$2989,$B$35)+SUMIFS('1UV5KI'!$K$6:$K$2989,'1UV5KI'!$J$6:$J$2989,"&gt;="&amp;K7,'1UV5KI'!$J$6:$J$2989,"&lt;="&amp;EOMONTH(K7,0),'1UV5KI'!$L$6:$L$2989,$B$35)+SUMIFS(#REF!,#REF!,"&gt;="&amp;K7,#REF!,"&lt;="&amp;EOMONTH(K7,0),#REF!,$B$35)+SUMIFS('1UL9RY'!$K$6:$K$2990,'1UL9RY'!$J$6:$J$2990,"&gt;="&amp;K7,'1UL9RY'!$J$6:$J$2990,"&lt;="&amp;EOMONTH(K7,0),'1UL9RY'!$L$6:$L$2990,$B$35)+SUMIFS('1OZ7GT'!$K$6:$K$2989,'1OZ7GT'!$J$6:$J$2989,"&gt;="&amp;K7,'1OZ7GT'!$J$6:$J$2989,"&lt;="&amp;EOMONTH(K7,0),'1OZ7GT'!$L$6:$L$2989,$B$35)+SUMIFS('1CN8DD'!$K$6:$K$2989,'1CN8DD'!$J$6:$J$2989,"&gt;="&amp;K7,'1CN8DD'!$J$6:$J$2989,"&lt;="&amp;EOMONTH(K7,0),'1CN8DD'!$L$6:$L$2989,$B$35)+SUMIFS('1UT9BR'!$K$6:$K$2990,'1UT9BR'!$J$6:$J$2990,"&gt;="&amp;K7,'1UT9BR'!$J$6:$J$2990,"&lt;="&amp;EOMONTH(K7,0),'1UT9BR'!$L$6:$L$2990,$B$35)+SUMIFS('1MK4UR'!$K$6:$K$2990,'1MK4UR'!$J$6:$J$2990,"&gt;="&amp;K7,'1MK4UR'!$J$6:$J$2990,"&lt;="&amp;EOMONTH(K7,0),'1MK4UR'!$L$6:$L$2990,$B$35)+SUMIFS(#REF!,#REF!,"&gt;="&amp;K7,#REF!,"&lt;="&amp;EOMONTH(K7,0),#REF!,$B$35)+SUMIFS('1JI2UE'!$K$6:$K$2989,'1JI2UE'!$J$6:$J$2989,"&gt;="&amp;K7,'1JI2UE'!$J$6:$J$2989,"&lt;="&amp;EOMONTH(K7,0),'1JI2UE'!$L$6:$L$2989,$B$35)+SUMIFS(#REF!,#REF!,"&gt;="&amp;K7,#REF!,"&lt;="&amp;EOMONTH(K7,0),#REF!,$B$35)+SUMIFS('1SI9BW'!$K$6:$K$2989,'1SI9BW'!$J$6:$J$2989,"&gt;="&amp;K7,'1SI9BW'!$J$6:$J$2989,"&lt;="&amp;EOMONTH(K7,0),'1SI9BW'!$L$6:$L$2989,$B$35)+SUMIFS(Suzuki!$K$6:$K$2989,Suzuki!$J$6:$J$2989,"&gt;="&amp;K7,Suzuki!$J$6:$J$2989,"&lt;="&amp;EOMONTH(K7,0),Suzuki!$L$6:$L$2989,$B$35)+SUMIFS('1SK3DD'!$K$6:$K$2989,'1SK3DD'!$J$6:$J$2989,"&gt;="&amp;K7,'1SK3DD'!$J$6:$J$2989,"&lt;="&amp;EOMONTH(K7,0),'1SK3DD'!$L$6:$L$2989,$B$35)+SUMIFS('1SX5TQ'!$K$6:$K$2989,'1SX5TQ'!$J$6:$J$2989,"&gt;="&amp;K7,'1SX5TQ'!$J$6:$J$2989,"&lt;="&amp;EOMONTH(K7,0),'1SX5TQ'!$L$6:$L$2989,$B$35)+SUMIFS('BMM465'!$K$6:$K$2989,'BMM465'!$J$6:$J$2989,"&gt;="&amp;K7,'BMM465'!$J$6:$J$2989,"&lt;="&amp;EOMONTH(K7,0),'BMM465'!$L$6:$L$2989,$B$35)+SUMIFS('1CF1ZO'!$K$6:$K$2989,'1CF1ZO'!$J$6:$J$2989,"&gt;="&amp;K7,'1CF1ZO'!$J$6:$J$2989,"&lt;="&amp;EOMONTH(K7,0),'1CF1ZO'!$L$6:$L$2989,$B$35)+SUMIFS('1UK1BK'!$K$6:$K$2989,'1UK1BK'!$J$6:$J$2989,"&gt;="&amp;K7,'1UK1BK'!$J$6:$J$2989,"&lt;="&amp;EOMONTH(K7,0),'1UK1BK'!$L$6:$L$2989,$B$35)</f>
        <v>#REF!</v>
      </c>
      <c r="L35" s="110" t="e">
        <f>SUMIFS('CEI565'!$K$6:$K$2990,'CEI565'!$J$6:$J$2990,"&gt;="&amp;L7,'CEI565'!$J$6:$J$2990,"&lt;="&amp;EOMONTH(L7,0),'CEI565'!$L$6:$L$2990,$B$35)+SUMIFS('1SM3VL'!$K$6:$K$2990,'1SM3VL'!$J$6:$J$2990,"&gt;="&amp;L7,'1SM3VL'!$J$6:$J$2990,"&lt;="&amp;EOMONTH(L7,0),'1SM3VL'!$L$6:$L$2990,$B$35)+SUMIFS('1QF4SM'!$K$6:$K$2989,'1QF4SM'!$J$6:$J$2989,"&gt;="&amp;L7,'1QF4SM'!$J$6:$J$2989,"&lt;="&amp;EOMONTH(L7,0),'1QF4SM'!$L$6:$L$2989,$B$35)+SUMIFS('1UV5KI'!$K$6:$K$2989,'1UV5KI'!$J$6:$J$2989,"&gt;="&amp;L7,'1UV5KI'!$J$6:$J$2989,"&lt;="&amp;EOMONTH(L7,0),'1UV5KI'!$L$6:$L$2989,$B$35)+SUMIFS(#REF!,#REF!,"&gt;="&amp;L7,#REF!,"&lt;="&amp;EOMONTH(L7,0),#REF!,$B$35)+SUMIFS('1UL9RY'!$K$6:$K$2990,'1UL9RY'!$J$6:$J$2990,"&gt;="&amp;L7,'1UL9RY'!$J$6:$J$2990,"&lt;="&amp;EOMONTH(L7,0),'1UL9RY'!$L$6:$L$2990,$B$35)+SUMIFS('1OZ7GT'!$K$6:$K$2989,'1OZ7GT'!$J$6:$J$2989,"&gt;="&amp;L7,'1OZ7GT'!$J$6:$J$2989,"&lt;="&amp;EOMONTH(L7,0),'1OZ7GT'!$L$6:$L$2989,$B$35)+SUMIFS('1CN8DD'!$K$6:$K$2989,'1CN8DD'!$J$6:$J$2989,"&gt;="&amp;L7,'1CN8DD'!$J$6:$J$2989,"&lt;="&amp;EOMONTH(L7,0),'1CN8DD'!$L$6:$L$2989,$B$35)+SUMIFS('1UT9BR'!$K$6:$K$2990,'1UT9BR'!$J$6:$J$2990,"&gt;="&amp;L7,'1UT9BR'!$J$6:$J$2990,"&lt;="&amp;EOMONTH(L7,0),'1UT9BR'!$L$6:$L$2990,$B$35)+SUMIFS('1MK4UR'!$K$6:$K$2990,'1MK4UR'!$J$6:$J$2990,"&gt;="&amp;L7,'1MK4UR'!$J$6:$J$2990,"&lt;="&amp;EOMONTH(L7,0),'1MK4UR'!$L$6:$L$2990,$B$35)+SUMIFS(#REF!,#REF!,"&gt;="&amp;L7,#REF!,"&lt;="&amp;EOMONTH(L7,0),#REF!,$B$35)+SUMIFS('1JI2UE'!$K$6:$K$2989,'1JI2UE'!$J$6:$J$2989,"&gt;="&amp;L7,'1JI2UE'!$J$6:$J$2989,"&lt;="&amp;EOMONTH(L7,0),'1JI2UE'!$L$6:$L$2989,$B$35)+SUMIFS(#REF!,#REF!,"&gt;="&amp;L7,#REF!,"&lt;="&amp;EOMONTH(L7,0),#REF!,$B$35)+SUMIFS('1SI9BW'!$K$6:$K$2989,'1SI9BW'!$J$6:$J$2989,"&gt;="&amp;L7,'1SI9BW'!$J$6:$J$2989,"&lt;="&amp;EOMONTH(L7,0),'1SI9BW'!$L$6:$L$2989,$B$35)+SUMIFS(Suzuki!$K$6:$K$2989,Suzuki!$J$6:$J$2989,"&gt;="&amp;L7,Suzuki!$J$6:$J$2989,"&lt;="&amp;EOMONTH(L7,0),Suzuki!$L$6:$L$2989,$B$35)+SUMIFS('1SK3DD'!$K$6:$K$2989,'1SK3DD'!$J$6:$J$2989,"&gt;="&amp;L7,'1SK3DD'!$J$6:$J$2989,"&lt;="&amp;EOMONTH(L7,0),'1SK3DD'!$L$6:$L$2989,$B$35)+SUMIFS('1SX5TQ'!$K$6:$K$2989,'1SX5TQ'!$J$6:$J$2989,"&gt;="&amp;L7,'1SX5TQ'!$J$6:$J$2989,"&lt;="&amp;EOMONTH(L7,0),'1SX5TQ'!$L$6:$L$2989,$B$35)+SUMIFS('BMM465'!$K$6:$K$2989,'BMM465'!$J$6:$J$2989,"&gt;="&amp;L7,'BMM465'!$J$6:$J$2989,"&lt;="&amp;EOMONTH(L7,0),'BMM465'!$L$6:$L$2989,$B$35)+SUMIFS('1CF1ZO'!$K$6:$K$2989,'1CF1ZO'!$J$6:$J$2989,"&gt;="&amp;L7,'1CF1ZO'!$J$6:$J$2989,"&lt;="&amp;EOMONTH(L7,0),'1CF1ZO'!$L$6:$L$2989,$B$35)+SUMIFS('1UK1BK'!$K$6:$K$2989,'1UK1BK'!$J$6:$J$2989,"&gt;="&amp;L7,'1UK1BK'!$J$6:$J$2989,"&lt;="&amp;EOMONTH(L7,0),'1UK1BK'!$L$6:$L$2989,$B$35)</f>
        <v>#REF!</v>
      </c>
      <c r="M35" s="110" t="e">
        <f>SUMIFS('CEI565'!$K$6:$K$2990,'CEI565'!$J$6:$J$2990,"&gt;="&amp;M7,'CEI565'!$J$6:$J$2990,"&lt;="&amp;EOMONTH(M7,0),'CEI565'!$L$6:$L$2990,$B$35)+SUMIFS('1SM3VL'!$K$6:$K$2990,'1SM3VL'!$J$6:$J$2990,"&gt;="&amp;M7,'1SM3VL'!$J$6:$J$2990,"&lt;="&amp;EOMONTH(M7,0),'1SM3VL'!$L$6:$L$2990,$B$35)+SUMIFS('1QF4SM'!$K$6:$K$2989,'1QF4SM'!$J$6:$J$2989,"&gt;="&amp;M7,'1QF4SM'!$J$6:$J$2989,"&lt;="&amp;EOMONTH(M7,0),'1QF4SM'!$L$6:$L$2989,$B$35)+SUMIFS('1UV5KI'!$K$6:$K$2989,'1UV5KI'!$J$6:$J$2989,"&gt;="&amp;M7,'1UV5KI'!$J$6:$J$2989,"&lt;="&amp;EOMONTH(M7,0),'1UV5KI'!$L$6:$L$2989,$B$35)+SUMIFS(#REF!,#REF!,"&gt;="&amp;M7,#REF!,"&lt;="&amp;EOMONTH(M7,0),#REF!,$B$35)+SUMIFS('1UL9RY'!$K$6:$K$2990,'1UL9RY'!$J$6:$J$2990,"&gt;="&amp;M7,'1UL9RY'!$J$6:$J$2990,"&lt;="&amp;EOMONTH(M7,0),'1UL9RY'!$L$6:$L$2990,$B$35)+SUMIFS('1OZ7GT'!$K$6:$K$2989,'1OZ7GT'!$J$6:$J$2989,"&gt;="&amp;M7,'1OZ7GT'!$J$6:$J$2989,"&lt;="&amp;EOMONTH(M7,0),'1OZ7GT'!$L$6:$L$2989,$B$35)+SUMIFS('1CN8DD'!$K$6:$K$2989,'1CN8DD'!$J$6:$J$2989,"&gt;="&amp;M7,'1CN8DD'!$J$6:$J$2989,"&lt;="&amp;EOMONTH(M7,0),'1CN8DD'!$L$6:$L$2989,$B$35)+SUMIFS('1UT9BR'!$K$6:$K$2990,'1UT9BR'!$J$6:$J$2990,"&gt;="&amp;M7,'1UT9BR'!$J$6:$J$2990,"&lt;="&amp;EOMONTH(M7,0),'1UT9BR'!$L$6:$L$2990,$B$35)+SUMIFS('1MK4UR'!$K$6:$K$2990,'1MK4UR'!$J$6:$J$2990,"&gt;="&amp;M7,'1MK4UR'!$J$6:$J$2990,"&lt;="&amp;EOMONTH(M7,0),'1MK4UR'!$L$6:$L$2990,$B$35)+SUMIFS(#REF!,#REF!,"&gt;="&amp;M7,#REF!,"&lt;="&amp;EOMONTH(M7,0),#REF!,$B$35)+SUMIFS('1JI2UE'!$K$6:$K$2989,'1JI2UE'!$J$6:$J$2989,"&gt;="&amp;M7,'1JI2UE'!$J$6:$J$2989,"&lt;="&amp;EOMONTH(M7,0),'1JI2UE'!$L$6:$L$2989,$B$35)+SUMIFS(#REF!,#REF!,"&gt;="&amp;M7,#REF!,"&lt;="&amp;EOMONTH(M7,0),#REF!,$B$35)+SUMIFS('1SI9BW'!$K$6:$K$2989,'1SI9BW'!$J$6:$J$2989,"&gt;="&amp;M7,'1SI9BW'!$J$6:$J$2989,"&lt;="&amp;EOMONTH(M7,0),'1SI9BW'!$L$6:$L$2989,$B$35)+SUMIFS(Suzuki!$K$6:$K$2989,Suzuki!$J$6:$J$2989,"&gt;="&amp;M7,Suzuki!$J$6:$J$2989,"&lt;="&amp;EOMONTH(M7,0),Suzuki!$L$6:$L$2989,$B$35)+SUMIFS('1SK3DD'!$K$6:$K$2989,'1SK3DD'!$J$6:$J$2989,"&gt;="&amp;M7,'1SK3DD'!$J$6:$J$2989,"&lt;="&amp;EOMONTH(M7,0),'1SK3DD'!$L$6:$L$2989,$B$35)+SUMIFS('1SX5TQ'!$K$6:$K$2989,'1SX5TQ'!$J$6:$J$2989,"&gt;="&amp;M7,'1SX5TQ'!$J$6:$J$2989,"&lt;="&amp;EOMONTH(M7,0),'1SX5TQ'!$L$6:$L$2989,$B$35)+SUMIFS('BMM465'!$K$6:$K$2989,'BMM465'!$J$6:$J$2989,"&gt;="&amp;M7,'BMM465'!$J$6:$J$2989,"&lt;="&amp;EOMONTH(M7,0),'BMM465'!$L$6:$L$2989,$B$35)+SUMIFS('1CF1ZO'!$K$6:$K$2989,'1CF1ZO'!$J$6:$J$2989,"&gt;="&amp;M7,'1CF1ZO'!$J$6:$J$2989,"&lt;="&amp;EOMONTH(M7,0),'1CF1ZO'!$L$6:$L$2989,$B$35)+SUMIFS('1UK1BK'!$K$6:$K$2989,'1UK1BK'!$J$6:$J$2989,"&gt;="&amp;M7,'1UK1BK'!$J$6:$J$2989,"&lt;="&amp;EOMONTH(M7,0),'1UK1BK'!$L$6:$L$2989,$B$35)</f>
        <v>#REF!</v>
      </c>
      <c r="N35" s="110" t="e">
        <f>SUMIFS('CEI565'!$K$6:$K$2990,'CEI565'!$J$6:$J$2990,"&gt;="&amp;N7,'CEI565'!$J$6:$J$2990,"&lt;="&amp;EOMONTH(N7,0),'CEI565'!$L$6:$L$2990,$B$35)+SUMIFS('1SM3VL'!$K$6:$K$2990,'1SM3VL'!$J$6:$J$2990,"&gt;="&amp;N7,'1SM3VL'!$J$6:$J$2990,"&lt;="&amp;EOMONTH(N7,0),'1SM3VL'!$L$6:$L$2990,$B$35)+SUMIFS('1QF4SM'!$K$6:$K$2989,'1QF4SM'!$J$6:$J$2989,"&gt;="&amp;N7,'1QF4SM'!$J$6:$J$2989,"&lt;="&amp;EOMONTH(N7,0),'1QF4SM'!$L$6:$L$2989,$B$35)+SUMIFS('1UV5KI'!$K$6:$K$2989,'1UV5KI'!$J$6:$J$2989,"&gt;="&amp;N7,'1UV5KI'!$J$6:$J$2989,"&lt;="&amp;EOMONTH(N7,0),'1UV5KI'!$L$6:$L$2989,$B$35)+SUMIFS(#REF!,#REF!,"&gt;="&amp;N7,#REF!,"&lt;="&amp;EOMONTH(N7,0),#REF!,$B$35)+SUMIFS('1UL9RY'!$K$6:$K$2990,'1UL9RY'!$J$6:$J$2990,"&gt;="&amp;N7,'1UL9RY'!$J$6:$J$2990,"&lt;="&amp;EOMONTH(N7,0),'1UL9RY'!$L$6:$L$2990,$B$35)+SUMIFS('1OZ7GT'!$K$6:$K$2989,'1OZ7GT'!$J$6:$J$2989,"&gt;="&amp;N7,'1OZ7GT'!$J$6:$J$2989,"&lt;="&amp;EOMONTH(N7,0),'1OZ7GT'!$L$6:$L$2989,$B$35)+SUMIFS('1CN8DD'!$K$6:$K$2989,'1CN8DD'!$J$6:$J$2989,"&gt;="&amp;N7,'1CN8DD'!$J$6:$J$2989,"&lt;="&amp;EOMONTH(N7,0),'1CN8DD'!$L$6:$L$2989,$B$35)+SUMIFS('1UT9BR'!$K$6:$K$2990,'1UT9BR'!$J$6:$J$2990,"&gt;="&amp;N7,'1UT9BR'!$J$6:$J$2990,"&lt;="&amp;EOMONTH(N7,0),'1UT9BR'!$L$6:$L$2990,$B$35)+SUMIFS('1MK4UR'!$K$6:$K$2990,'1MK4UR'!$J$6:$J$2990,"&gt;="&amp;N7,'1MK4UR'!$J$6:$J$2990,"&lt;="&amp;EOMONTH(N7,0),'1MK4UR'!$L$6:$L$2990,$B$35)+SUMIFS(#REF!,#REF!,"&gt;="&amp;N7,#REF!,"&lt;="&amp;EOMONTH(N7,0),#REF!,$B$35)+SUMIFS('1JI2UE'!$K$6:$K$2989,'1JI2UE'!$J$6:$J$2989,"&gt;="&amp;N7,'1JI2UE'!$J$6:$J$2989,"&lt;="&amp;EOMONTH(N7,0),'1JI2UE'!$L$6:$L$2989,$B$35)+SUMIFS(#REF!,#REF!,"&gt;="&amp;N7,#REF!,"&lt;="&amp;EOMONTH(N7,0),#REF!,$B$35)+SUMIFS('1SI9BW'!$K$6:$K$2989,'1SI9BW'!$J$6:$J$2989,"&gt;="&amp;N7,'1SI9BW'!$J$6:$J$2989,"&lt;="&amp;EOMONTH(N7,0),'1SI9BW'!$L$6:$L$2989,$B$35)+SUMIFS(Suzuki!$K$6:$K$2989,Suzuki!$J$6:$J$2989,"&gt;="&amp;N7,Suzuki!$J$6:$J$2989,"&lt;="&amp;EOMONTH(N7,0),Suzuki!$L$6:$L$2989,$B$35)+SUMIFS('1SK3DD'!$K$6:$K$2989,'1SK3DD'!$J$6:$J$2989,"&gt;="&amp;N7,'1SK3DD'!$J$6:$J$2989,"&lt;="&amp;EOMONTH(N7,0),'1SK3DD'!$L$6:$L$2989,$B$35)+SUMIFS('1SX5TQ'!$K$6:$K$2989,'1SX5TQ'!$J$6:$J$2989,"&gt;="&amp;N7,'1SX5TQ'!$J$6:$J$2989,"&lt;="&amp;EOMONTH(N7,0),'1SX5TQ'!$L$6:$L$2989,$B$35)+SUMIFS('BMM465'!$K$6:$K$2989,'BMM465'!$J$6:$J$2989,"&gt;="&amp;N7,'BMM465'!$J$6:$J$2989,"&lt;="&amp;EOMONTH(N7,0),'BMM465'!$L$6:$L$2989,$B$35)+SUMIFS('1CF1ZO'!$K$6:$K$2989,'1CF1ZO'!$J$6:$J$2989,"&gt;="&amp;N7,'1CF1ZO'!$J$6:$J$2989,"&lt;="&amp;EOMONTH(N7,0),'1CF1ZO'!$L$6:$L$2989,$B$35)+SUMIFS('1UK1BK'!$K$6:$K$2989,'1UK1BK'!$J$6:$J$2989,"&gt;="&amp;N7,'1UK1BK'!$J$6:$J$2989,"&lt;="&amp;EOMONTH(N7,0),'1UK1BK'!$L$6:$L$2989,$B$35)</f>
        <v>#REF!</v>
      </c>
      <c r="O35" s="110" t="e">
        <f>SUMIFS('CEI565'!$K$6:$K$2990,'CEI565'!$J$6:$J$2990,"&gt;="&amp;O7,'CEI565'!$J$6:$J$2990,"&lt;="&amp;EOMONTH(O7,0),'CEI565'!$L$6:$L$2990,$B$35)+SUMIFS('1SM3VL'!$K$6:$K$2990,'1SM3VL'!$J$6:$J$2990,"&gt;="&amp;O7,'1SM3VL'!$J$6:$J$2990,"&lt;="&amp;EOMONTH(O7,0),'1SM3VL'!$L$6:$L$2990,$B$35)+SUMIFS('1QF4SM'!$K$6:$K$2989,'1QF4SM'!$J$6:$J$2989,"&gt;="&amp;O7,'1QF4SM'!$J$6:$J$2989,"&lt;="&amp;EOMONTH(O7,0),'1QF4SM'!$L$6:$L$2989,$B$35)+SUMIFS('1UV5KI'!$K$6:$K$2989,'1UV5KI'!$J$6:$J$2989,"&gt;="&amp;O7,'1UV5KI'!$J$6:$J$2989,"&lt;="&amp;EOMONTH(O7,0),'1UV5KI'!$L$6:$L$2989,$B$35)+SUMIFS(#REF!,#REF!,"&gt;="&amp;O7,#REF!,"&lt;="&amp;EOMONTH(O7,0),#REF!,$B$35)+SUMIFS('1UL9RY'!$K$6:$K$2990,'1UL9RY'!$J$6:$J$2990,"&gt;="&amp;O7,'1UL9RY'!$J$6:$J$2990,"&lt;="&amp;EOMONTH(O7,0),'1UL9RY'!$L$6:$L$2990,$B$35)+SUMIFS('1OZ7GT'!$K$6:$K$2989,'1OZ7GT'!$J$6:$J$2989,"&gt;="&amp;O7,'1OZ7GT'!$J$6:$J$2989,"&lt;="&amp;EOMONTH(O7,0),'1OZ7GT'!$L$6:$L$2989,$B$35)+SUMIFS('1CN8DD'!$K$6:$K$2989,'1CN8DD'!$J$6:$J$2989,"&gt;="&amp;O7,'1CN8DD'!$J$6:$J$2989,"&lt;="&amp;EOMONTH(O7,0),'1CN8DD'!$L$6:$L$2989,$B$35)+SUMIFS('1UT9BR'!$K$6:$K$2990,'1UT9BR'!$J$6:$J$2990,"&gt;="&amp;O7,'1UT9BR'!$J$6:$J$2990,"&lt;="&amp;EOMONTH(O7,0),'1UT9BR'!$L$6:$L$2990,$B$35)+SUMIFS('1MK4UR'!$K$6:$K$2990,'1MK4UR'!$J$6:$J$2990,"&gt;="&amp;O7,'1MK4UR'!$J$6:$J$2990,"&lt;="&amp;EOMONTH(O7,0),'1MK4UR'!$L$6:$L$2990,$B$35)+SUMIFS(#REF!,#REF!,"&gt;="&amp;O7,#REF!,"&lt;="&amp;EOMONTH(O7,0),#REF!,$B$35)+SUMIFS('1JI2UE'!$K$6:$K$2989,'1JI2UE'!$J$6:$J$2989,"&gt;="&amp;O7,'1JI2UE'!$J$6:$J$2989,"&lt;="&amp;EOMONTH(O7,0),'1JI2UE'!$L$6:$L$2989,$B$35)+SUMIFS(#REF!,#REF!,"&gt;="&amp;O7,#REF!,"&lt;="&amp;EOMONTH(O7,0),#REF!,$B$35)+SUMIFS('1SI9BW'!$K$6:$K$2989,'1SI9BW'!$J$6:$J$2989,"&gt;="&amp;O7,'1SI9BW'!$J$6:$J$2989,"&lt;="&amp;EOMONTH(O7,0),'1SI9BW'!$L$6:$L$2989,$B$35)+SUMIFS(Suzuki!$K$6:$K$2989,Suzuki!$J$6:$J$2989,"&gt;="&amp;O7,Suzuki!$J$6:$J$2989,"&lt;="&amp;EOMONTH(O7,0),Suzuki!$L$6:$L$2989,$B$35)+SUMIFS('1SK3DD'!$K$6:$K$2989,'1SK3DD'!$J$6:$J$2989,"&gt;="&amp;O7,'1SK3DD'!$J$6:$J$2989,"&lt;="&amp;EOMONTH(O7,0),'1SK3DD'!$L$6:$L$2989,$B$35)+SUMIFS('1SX5TQ'!$K$6:$K$2989,'1SX5TQ'!$J$6:$J$2989,"&gt;="&amp;O7,'1SX5TQ'!$J$6:$J$2989,"&lt;="&amp;EOMONTH(O7,0),'1SX5TQ'!$L$6:$L$2989,$B$35)+SUMIFS('BMM465'!$K$6:$K$2989,'BMM465'!$J$6:$J$2989,"&gt;="&amp;O7,'BMM465'!$J$6:$J$2989,"&lt;="&amp;EOMONTH(O7,0),'BMM465'!$L$6:$L$2989,$B$35)+SUMIFS('1CF1ZO'!$K$6:$K$2989,'1CF1ZO'!$J$6:$J$2989,"&gt;="&amp;O7,'1CF1ZO'!$J$6:$J$2989,"&lt;="&amp;EOMONTH(O7,0),'1CF1ZO'!$L$6:$L$2989,$B$35)+SUMIFS('1UK1BK'!$K$6:$K$2989,'1UK1BK'!$J$6:$J$2989,"&gt;="&amp;O7,'1UK1BK'!$J$6:$J$2989,"&lt;="&amp;EOMONTH(O7,0),'1UK1BK'!$L$6:$L$2989,$B$35)</f>
        <v>#REF!</v>
      </c>
      <c r="P35" s="110" t="e">
        <f>SUMIFS('CEI565'!$K$6:$K$2990,'CEI565'!$J$6:$J$2990,"&gt;="&amp;P7,'CEI565'!$J$6:$J$2990,"&lt;="&amp;EOMONTH(P7,0),'CEI565'!$L$6:$L$2990,$B$35)+SUMIFS('1SM3VL'!$K$6:$K$2990,'1SM3VL'!$J$6:$J$2990,"&gt;="&amp;P7,'1SM3VL'!$J$6:$J$2990,"&lt;="&amp;EOMONTH(P7,0),'1SM3VL'!$L$6:$L$2990,$B$35)+SUMIFS('1QF4SM'!$K$6:$K$2989,'1QF4SM'!$J$6:$J$2989,"&gt;="&amp;P7,'1QF4SM'!$J$6:$J$2989,"&lt;="&amp;EOMONTH(P7,0),'1QF4SM'!$L$6:$L$2989,$B$35)+SUMIFS('1UV5KI'!$K$6:$K$2989,'1UV5KI'!$J$6:$J$2989,"&gt;="&amp;P7,'1UV5KI'!$J$6:$J$2989,"&lt;="&amp;EOMONTH(P7,0),'1UV5KI'!$L$6:$L$2989,$B$35)+SUMIFS(#REF!,#REF!,"&gt;="&amp;P7,#REF!,"&lt;="&amp;EOMONTH(P7,0),#REF!,$B$35)+SUMIFS('1UL9RY'!$K$6:$K$2990,'1UL9RY'!$J$6:$J$2990,"&gt;="&amp;P7,'1UL9RY'!$J$6:$J$2990,"&lt;="&amp;EOMONTH(P7,0),'1UL9RY'!$L$6:$L$2990,$B$35)+SUMIFS('1OZ7GT'!$K$6:$K$2989,'1OZ7GT'!$J$6:$J$2989,"&gt;="&amp;P7,'1OZ7GT'!$J$6:$J$2989,"&lt;="&amp;EOMONTH(P7,0),'1OZ7GT'!$L$6:$L$2989,$B$35)+SUMIFS('1CN8DD'!$K$6:$K$2989,'1CN8DD'!$J$6:$J$2989,"&gt;="&amp;P7,'1CN8DD'!$J$6:$J$2989,"&lt;="&amp;EOMONTH(P7,0),'1CN8DD'!$L$6:$L$2989,$B$35)+SUMIFS('1UT9BR'!$K$6:$K$2990,'1UT9BR'!$J$6:$J$2990,"&gt;="&amp;P7,'1UT9BR'!$J$6:$J$2990,"&lt;="&amp;EOMONTH(P7,0),'1UT9BR'!$L$6:$L$2990,$B$35)+SUMIFS('1MK4UR'!$K$6:$K$2990,'1MK4UR'!$J$6:$J$2990,"&gt;="&amp;P7,'1MK4UR'!$J$6:$J$2990,"&lt;="&amp;EOMONTH(P7,0),'1MK4UR'!$L$6:$L$2990,$B$35)+SUMIFS(#REF!,#REF!,"&gt;="&amp;P7,#REF!,"&lt;="&amp;EOMONTH(P7,0),#REF!,$B$35)+SUMIFS('1JI2UE'!$K$6:$K$2989,'1JI2UE'!$J$6:$J$2989,"&gt;="&amp;P7,'1JI2UE'!$J$6:$J$2989,"&lt;="&amp;EOMONTH(P7,0),'1JI2UE'!$L$6:$L$2989,$B$35)+SUMIFS(#REF!,#REF!,"&gt;="&amp;P7,#REF!,"&lt;="&amp;EOMONTH(P7,0),#REF!,$B$35)+SUMIFS('1SI9BW'!$K$6:$K$2989,'1SI9BW'!$J$6:$J$2989,"&gt;="&amp;P7,'1SI9BW'!$J$6:$J$2989,"&lt;="&amp;EOMONTH(P7,0),'1SI9BW'!$L$6:$L$2989,$B$35)+SUMIFS(Suzuki!$K$6:$K$2989,Suzuki!$J$6:$J$2989,"&gt;="&amp;P7,Suzuki!$J$6:$J$2989,"&lt;="&amp;EOMONTH(P7,0),Suzuki!$L$6:$L$2989,$B$35)+SUMIFS('1SK3DD'!$K$6:$K$2989,'1SK3DD'!$J$6:$J$2989,"&gt;="&amp;P7,'1SK3DD'!$J$6:$J$2989,"&lt;="&amp;EOMONTH(P7,0),'1SK3DD'!$L$6:$L$2989,$B$35)+SUMIFS('1SX5TQ'!$K$6:$K$2989,'1SX5TQ'!$J$6:$J$2989,"&gt;="&amp;P7,'1SX5TQ'!$J$6:$J$2989,"&lt;="&amp;EOMONTH(P7,0),'1SX5TQ'!$L$6:$L$2989,$B$35)+SUMIFS('BMM465'!$K$6:$K$2989,'BMM465'!$J$6:$J$2989,"&gt;="&amp;P7,'BMM465'!$J$6:$J$2989,"&lt;="&amp;EOMONTH(P7,0),'BMM465'!$L$6:$L$2989,$B$35)+SUMIFS('1CF1ZO'!$K$6:$K$2989,'1CF1ZO'!$J$6:$J$2989,"&gt;="&amp;P7,'1CF1ZO'!$J$6:$J$2989,"&lt;="&amp;EOMONTH(P7,0),'1CF1ZO'!$L$6:$L$2989,$B$35)+SUMIFS('1UK1BK'!$K$6:$K$2989,'1UK1BK'!$J$6:$J$2989,"&gt;="&amp;P7,'1UK1BK'!$J$6:$J$2989,"&lt;="&amp;EOMONTH(P7,0),'1UK1BK'!$L$6:$L$2989,$B$35)</f>
        <v>#REF!</v>
      </c>
      <c r="Q35" s="110" t="e">
        <f>SUMIFS('CEI565'!$K$6:$K$2990,'CEI565'!$J$6:$J$2990,"&gt;="&amp;Q7,'CEI565'!$J$6:$J$2990,"&lt;="&amp;EOMONTH(Q7,0),'CEI565'!$L$6:$L$2990,$B$35)+SUMIFS('1SM3VL'!$K$6:$K$2990,'1SM3VL'!$J$6:$J$2990,"&gt;="&amp;Q7,'1SM3VL'!$J$6:$J$2990,"&lt;="&amp;EOMONTH(Q7,0),'1SM3VL'!$L$6:$L$2990,$B$35)+SUMIFS('1QF4SM'!$K$6:$K$2989,'1QF4SM'!$J$6:$J$2989,"&gt;="&amp;Q7,'1QF4SM'!$J$6:$J$2989,"&lt;="&amp;EOMONTH(Q7,0),'1QF4SM'!$L$6:$L$2989,$B$35)+SUMIFS('1UV5KI'!$K$6:$K$2989,'1UV5KI'!$J$6:$J$2989,"&gt;="&amp;Q7,'1UV5KI'!$J$6:$J$2989,"&lt;="&amp;EOMONTH(Q7,0),'1UV5KI'!$L$6:$L$2989,$B$35)+SUMIFS(#REF!,#REF!,"&gt;="&amp;Q7,#REF!,"&lt;="&amp;EOMONTH(Q7,0),#REF!,$B$35)+SUMIFS('1UL9RY'!$K$6:$K$2990,'1UL9RY'!$J$6:$J$2990,"&gt;="&amp;Q7,'1UL9RY'!$J$6:$J$2990,"&lt;="&amp;EOMONTH(Q7,0),'1UL9RY'!$L$6:$L$2990,$B$35)+SUMIFS('1OZ7GT'!$K$6:$K$2989,'1OZ7GT'!$J$6:$J$2989,"&gt;="&amp;Q7,'1OZ7GT'!$J$6:$J$2989,"&lt;="&amp;EOMONTH(Q7,0),'1OZ7GT'!$L$6:$L$2989,$B$35)+SUMIFS('1CN8DD'!$K$6:$K$2989,'1CN8DD'!$J$6:$J$2989,"&gt;="&amp;Q7,'1CN8DD'!$J$6:$J$2989,"&lt;="&amp;EOMONTH(Q7,0),'1CN8DD'!$L$6:$L$2989,$B$35)+SUMIFS('1UT9BR'!$K$6:$K$2990,'1UT9BR'!$J$6:$J$2990,"&gt;="&amp;Q7,'1UT9BR'!$J$6:$J$2990,"&lt;="&amp;EOMONTH(Q7,0),'1UT9BR'!$L$6:$L$2990,$B$35)+SUMIFS('1MK4UR'!$K$6:$K$2990,'1MK4UR'!$J$6:$J$2990,"&gt;="&amp;Q7,'1MK4UR'!$J$6:$J$2990,"&lt;="&amp;EOMONTH(Q7,0),'1MK4UR'!$L$6:$L$2990,$B$35)+SUMIFS(#REF!,#REF!,"&gt;="&amp;Q7,#REF!,"&lt;="&amp;EOMONTH(Q7,0),#REF!,$B$35)+SUMIFS('1JI2UE'!$K$6:$K$2989,'1JI2UE'!$J$6:$J$2989,"&gt;="&amp;Q7,'1JI2UE'!$J$6:$J$2989,"&lt;="&amp;EOMONTH(Q7,0),'1JI2UE'!$L$6:$L$2989,$B$35)+SUMIFS(#REF!,#REF!,"&gt;="&amp;Q7,#REF!,"&lt;="&amp;EOMONTH(Q7,0),#REF!,$B$35)+SUMIFS('1SI9BW'!$K$6:$K$2989,'1SI9BW'!$J$6:$J$2989,"&gt;="&amp;Q7,'1SI9BW'!$J$6:$J$2989,"&lt;="&amp;EOMONTH(Q7,0),'1SI9BW'!$L$6:$L$2989,$B$35)+SUMIFS(Suzuki!$K$6:$K$2989,Suzuki!$J$6:$J$2989,"&gt;="&amp;Q7,Suzuki!$J$6:$J$2989,"&lt;="&amp;EOMONTH(Q7,0),Suzuki!$L$6:$L$2989,$B$35)+SUMIFS('1SK3DD'!$K$6:$K$2989,'1SK3DD'!$J$6:$J$2989,"&gt;="&amp;Q7,'1SK3DD'!$J$6:$J$2989,"&lt;="&amp;EOMONTH(Q7,0),'1SK3DD'!$L$6:$L$2989,$B$35)+SUMIFS('1SX5TQ'!$K$6:$K$2989,'1SX5TQ'!$J$6:$J$2989,"&gt;="&amp;Q7,'1SX5TQ'!$J$6:$J$2989,"&lt;="&amp;EOMONTH(Q7,0),'1SX5TQ'!$L$6:$L$2989,$B$35)+SUMIFS('BMM465'!$K$6:$K$2989,'BMM465'!$J$6:$J$2989,"&gt;="&amp;Q7,'BMM465'!$J$6:$J$2989,"&lt;="&amp;EOMONTH(Q7,0),'BMM465'!$L$6:$L$2989,$B$35)+SUMIFS('1CF1ZO'!$K$6:$K$2989,'1CF1ZO'!$J$6:$J$2989,"&gt;="&amp;Q7,'1CF1ZO'!$J$6:$J$2989,"&lt;="&amp;EOMONTH(Q7,0),'1CF1ZO'!$L$6:$L$2989,$B$35)+SUMIFS('1UK1BK'!$K$6:$K$2989,'1UK1BK'!$J$6:$J$2989,"&gt;="&amp;Q7,'1UK1BK'!$J$6:$J$2989,"&lt;="&amp;EOMONTH(Q7,0),'1UK1BK'!$L$6:$L$2989,$B$35)</f>
        <v>#REF!</v>
      </c>
      <c r="R35" s="110" t="e">
        <f>SUMIFS('CEI565'!$K$6:$K$2990,'CEI565'!$J$6:$J$2990,"&gt;="&amp;R7,'CEI565'!$J$6:$J$2990,"&lt;="&amp;EOMONTH(R7,0),'CEI565'!$L$6:$L$2990,$B$35)+SUMIFS('1SM3VL'!$K$6:$K$2990,'1SM3VL'!$J$6:$J$2990,"&gt;="&amp;R7,'1SM3VL'!$J$6:$J$2990,"&lt;="&amp;EOMONTH(R7,0),'1SM3VL'!$L$6:$L$2990,$B$35)+SUMIFS('1QF4SM'!$K$6:$K$2989,'1QF4SM'!$J$6:$J$2989,"&gt;="&amp;R7,'1QF4SM'!$J$6:$J$2989,"&lt;="&amp;EOMONTH(R7,0),'1QF4SM'!$L$6:$L$2989,$B$35)+SUMIFS('1UV5KI'!$K$6:$K$2989,'1UV5KI'!$J$6:$J$2989,"&gt;="&amp;R7,'1UV5KI'!$J$6:$J$2989,"&lt;="&amp;EOMONTH(R7,0),'1UV5KI'!$L$6:$L$2989,$B$35)+SUMIFS(#REF!,#REF!,"&gt;="&amp;R7,#REF!,"&lt;="&amp;EOMONTH(R7,0),#REF!,$B$35)+SUMIFS('1UL9RY'!$K$6:$K$2990,'1UL9RY'!$J$6:$J$2990,"&gt;="&amp;R7,'1UL9RY'!$J$6:$J$2990,"&lt;="&amp;EOMONTH(R7,0),'1UL9RY'!$L$6:$L$2990,$B$35)+SUMIFS('1OZ7GT'!$K$6:$K$2989,'1OZ7GT'!$J$6:$J$2989,"&gt;="&amp;R7,'1OZ7GT'!$J$6:$J$2989,"&lt;="&amp;EOMONTH(R7,0),'1OZ7GT'!$L$6:$L$2989,$B$35)+SUMIFS('1CN8DD'!$K$6:$K$2989,'1CN8DD'!$J$6:$J$2989,"&gt;="&amp;R7,'1CN8DD'!$J$6:$J$2989,"&lt;="&amp;EOMONTH(R7,0),'1CN8DD'!$L$6:$L$2989,$B$35)+SUMIFS('1UT9BR'!$K$6:$K$2990,'1UT9BR'!$J$6:$J$2990,"&gt;="&amp;R7,'1UT9BR'!$J$6:$J$2990,"&lt;="&amp;EOMONTH(R7,0),'1UT9BR'!$L$6:$L$2990,$B$35)+SUMIFS('1MK4UR'!$K$6:$K$2990,'1MK4UR'!$J$6:$J$2990,"&gt;="&amp;R7,'1MK4UR'!$J$6:$J$2990,"&lt;="&amp;EOMONTH(R7,0),'1MK4UR'!$L$6:$L$2990,$B$35)+SUMIFS(#REF!,#REF!,"&gt;="&amp;R7,#REF!,"&lt;="&amp;EOMONTH(R7,0),#REF!,$B$35)+SUMIFS('1JI2UE'!$K$6:$K$2989,'1JI2UE'!$J$6:$J$2989,"&gt;="&amp;R7,'1JI2UE'!$J$6:$J$2989,"&lt;="&amp;EOMONTH(R7,0),'1JI2UE'!$L$6:$L$2989,$B$35)+SUMIFS(#REF!,#REF!,"&gt;="&amp;R7,#REF!,"&lt;="&amp;EOMONTH(R7,0),#REF!,$B$35)+SUMIFS('1SI9BW'!$K$6:$K$2989,'1SI9BW'!$J$6:$J$2989,"&gt;="&amp;R7,'1SI9BW'!$J$6:$J$2989,"&lt;="&amp;EOMONTH(R7,0),'1SI9BW'!$L$6:$L$2989,$B$35)+SUMIFS(Suzuki!$K$6:$K$2989,Suzuki!$J$6:$J$2989,"&gt;="&amp;R7,Suzuki!$J$6:$J$2989,"&lt;="&amp;EOMONTH(R7,0),Suzuki!$L$6:$L$2989,$B$35)+SUMIFS('1SK3DD'!$K$6:$K$2989,'1SK3DD'!$J$6:$J$2989,"&gt;="&amp;R7,'1SK3DD'!$J$6:$J$2989,"&lt;="&amp;EOMONTH(R7,0),'1SK3DD'!$L$6:$L$2989,$B$35)+SUMIFS('1SX5TQ'!$K$6:$K$2989,'1SX5TQ'!$J$6:$J$2989,"&gt;="&amp;R7,'1SX5TQ'!$J$6:$J$2989,"&lt;="&amp;EOMONTH(R7,0),'1SX5TQ'!$L$6:$L$2989,$B$35)+SUMIFS('BMM465'!$K$6:$K$2989,'BMM465'!$J$6:$J$2989,"&gt;="&amp;R7,'BMM465'!$J$6:$J$2989,"&lt;="&amp;EOMONTH(R7,0),'BMM465'!$L$6:$L$2989,$B$35)+SUMIFS('1CF1ZO'!$K$6:$K$2989,'1CF1ZO'!$J$6:$J$2989,"&gt;="&amp;R7,'1CF1ZO'!$J$6:$J$2989,"&lt;="&amp;EOMONTH(R7,0),'1CF1ZO'!$L$6:$L$2989,$B$35)+SUMIFS('1UK1BK'!$K$6:$K$2989,'1UK1BK'!$J$6:$J$2989,"&gt;="&amp;R7,'1UK1BK'!$J$6:$J$2989,"&lt;="&amp;EOMONTH(R7,0),'1UK1BK'!$L$6:$L$2989,$B$35)</f>
        <v>#REF!</v>
      </c>
      <c r="S35" s="110" t="e">
        <f>SUMIFS('CEI565'!$K$6:$K$2990,'CEI565'!$J$6:$J$2990,"&gt;="&amp;S7,'CEI565'!$J$6:$J$2990,"&lt;="&amp;EOMONTH(S7,0),'CEI565'!$L$6:$L$2990,$B$35)+SUMIFS('1SM3VL'!$K$6:$K$2990,'1SM3VL'!$J$6:$J$2990,"&gt;="&amp;S7,'1SM3VL'!$J$6:$J$2990,"&lt;="&amp;EOMONTH(S7,0),'1SM3VL'!$L$6:$L$2990,$B$35)+SUMIFS('1QF4SM'!$K$6:$K$2989,'1QF4SM'!$J$6:$J$2989,"&gt;="&amp;S7,'1QF4SM'!$J$6:$J$2989,"&lt;="&amp;EOMONTH(S7,0),'1QF4SM'!$L$6:$L$2989,$B$35)+SUMIFS('1UV5KI'!$K$6:$K$2989,'1UV5KI'!$J$6:$J$2989,"&gt;="&amp;S7,'1UV5KI'!$J$6:$J$2989,"&lt;="&amp;EOMONTH(S7,0),'1UV5KI'!$L$6:$L$2989,$B$35)+SUMIFS(#REF!,#REF!,"&gt;="&amp;S7,#REF!,"&lt;="&amp;EOMONTH(S7,0),#REF!,$B$35)+SUMIFS('1UL9RY'!$K$6:$K$2990,'1UL9RY'!$J$6:$J$2990,"&gt;="&amp;S7,'1UL9RY'!$J$6:$J$2990,"&lt;="&amp;EOMONTH(S7,0),'1UL9RY'!$L$6:$L$2990,$B$35)+SUMIFS('1OZ7GT'!$K$6:$K$2989,'1OZ7GT'!$J$6:$J$2989,"&gt;="&amp;S7,'1OZ7GT'!$J$6:$J$2989,"&lt;="&amp;EOMONTH(S7,0),'1OZ7GT'!$L$6:$L$2989,$B$35)+SUMIFS('1CN8DD'!$K$6:$K$2989,'1CN8DD'!$J$6:$J$2989,"&gt;="&amp;S7,'1CN8DD'!$J$6:$J$2989,"&lt;="&amp;EOMONTH(S7,0),'1CN8DD'!$L$6:$L$2989,$B$35)+SUMIFS('1UT9BR'!$K$6:$K$2990,'1UT9BR'!$J$6:$J$2990,"&gt;="&amp;S7,'1UT9BR'!$J$6:$J$2990,"&lt;="&amp;EOMONTH(S7,0),'1UT9BR'!$L$6:$L$2990,$B$35)+SUMIFS('1MK4UR'!$K$6:$K$2990,'1MK4UR'!$J$6:$J$2990,"&gt;="&amp;S7,'1MK4UR'!$J$6:$J$2990,"&lt;="&amp;EOMONTH(S7,0),'1MK4UR'!$L$6:$L$2990,$B$35)+SUMIFS(#REF!,#REF!,"&gt;="&amp;S7,#REF!,"&lt;="&amp;EOMONTH(S7,0),#REF!,$B$35)+SUMIFS('1JI2UE'!$K$6:$K$2989,'1JI2UE'!$J$6:$J$2989,"&gt;="&amp;S7,'1JI2UE'!$J$6:$J$2989,"&lt;="&amp;EOMONTH(S7,0),'1JI2UE'!$L$6:$L$2989,$B$35)+SUMIFS(#REF!,#REF!,"&gt;="&amp;S7,#REF!,"&lt;="&amp;EOMONTH(S7,0),#REF!,$B$35)+SUMIFS('1SI9BW'!$K$6:$K$2989,'1SI9BW'!$J$6:$J$2989,"&gt;="&amp;S7,'1SI9BW'!$J$6:$J$2989,"&lt;="&amp;EOMONTH(S7,0),'1SI9BW'!$L$6:$L$2989,$B$35)+SUMIFS(Suzuki!$K$6:$K$2989,Suzuki!$J$6:$J$2989,"&gt;="&amp;S7,Suzuki!$J$6:$J$2989,"&lt;="&amp;EOMONTH(S7,0),Suzuki!$L$6:$L$2989,$B$35)+SUMIFS('1SK3DD'!$K$6:$K$2989,'1SK3DD'!$J$6:$J$2989,"&gt;="&amp;S7,'1SK3DD'!$J$6:$J$2989,"&lt;="&amp;EOMONTH(S7,0),'1SK3DD'!$L$6:$L$2989,$B$35)+SUMIFS('1SX5TQ'!$K$6:$K$2989,'1SX5TQ'!$J$6:$J$2989,"&gt;="&amp;S7,'1SX5TQ'!$J$6:$J$2989,"&lt;="&amp;EOMONTH(S7,0),'1SX5TQ'!$L$6:$L$2989,$B$35)+SUMIFS('BMM465'!$K$6:$K$2989,'BMM465'!$J$6:$J$2989,"&gt;="&amp;S7,'BMM465'!$J$6:$J$2989,"&lt;="&amp;EOMONTH(S7,0),'BMM465'!$L$6:$L$2989,$B$35)+SUMIFS('1CF1ZO'!$K$6:$K$2989,'1CF1ZO'!$J$6:$J$2989,"&gt;="&amp;S7,'1CF1ZO'!$J$6:$J$2989,"&lt;="&amp;EOMONTH(S7,0),'1CF1ZO'!$L$6:$L$2989,$B$35)+SUMIFS('1UK1BK'!$K$6:$K$2989,'1UK1BK'!$J$6:$J$2989,"&gt;="&amp;S7,'1UK1BK'!$J$6:$J$2989,"&lt;="&amp;EOMONTH(S7,0),'1UK1BK'!$L$6:$L$2989,$B$35)</f>
        <v>#REF!</v>
      </c>
      <c r="T35" s="110" t="e">
        <f>SUMIFS('CEI565'!$K$6:$K$2990,'CEI565'!$J$6:$J$2990,"&gt;="&amp;T7,'CEI565'!$J$6:$J$2990,"&lt;="&amp;EOMONTH(T7,0),'CEI565'!$L$6:$L$2990,$B$35)+SUMIFS('1SM3VL'!$K$6:$K$2990,'1SM3VL'!$J$6:$J$2990,"&gt;="&amp;T7,'1SM3VL'!$J$6:$J$2990,"&lt;="&amp;EOMONTH(T7,0),'1SM3VL'!$L$6:$L$2990,$B$35)+SUMIFS('1QF4SM'!$K$6:$K$2989,'1QF4SM'!$J$6:$J$2989,"&gt;="&amp;T7,'1QF4SM'!$J$6:$J$2989,"&lt;="&amp;EOMONTH(T7,0),'1QF4SM'!$L$6:$L$2989,$B$35)+SUMIFS('1UV5KI'!$K$6:$K$2989,'1UV5KI'!$J$6:$J$2989,"&gt;="&amp;T7,'1UV5KI'!$J$6:$J$2989,"&lt;="&amp;EOMONTH(T7,0),'1UV5KI'!$L$6:$L$2989,$B$35)+SUMIFS(#REF!,#REF!,"&gt;="&amp;T7,#REF!,"&lt;="&amp;EOMONTH(T7,0),#REF!,$B$35)+SUMIFS('1UL9RY'!$K$6:$K$2990,'1UL9RY'!$J$6:$J$2990,"&gt;="&amp;T7,'1UL9RY'!$J$6:$J$2990,"&lt;="&amp;EOMONTH(T7,0),'1UL9RY'!$L$6:$L$2990,$B$35)+SUMIFS('1OZ7GT'!$K$6:$K$2989,'1OZ7GT'!$J$6:$J$2989,"&gt;="&amp;T7,'1OZ7GT'!$J$6:$J$2989,"&lt;="&amp;EOMONTH(T7,0),'1OZ7GT'!$L$6:$L$2989,$B$35)+SUMIFS('1CN8DD'!$K$6:$K$2989,'1CN8DD'!$J$6:$J$2989,"&gt;="&amp;T7,'1CN8DD'!$J$6:$J$2989,"&lt;="&amp;EOMONTH(T7,0),'1CN8DD'!$L$6:$L$2989,$B$35)+SUMIFS('1UT9BR'!$K$6:$K$2990,'1UT9BR'!$J$6:$J$2990,"&gt;="&amp;T7,'1UT9BR'!$J$6:$J$2990,"&lt;="&amp;EOMONTH(T7,0),'1UT9BR'!$L$6:$L$2990,$B$35)+SUMIFS('1MK4UR'!$K$6:$K$2990,'1MK4UR'!$J$6:$J$2990,"&gt;="&amp;T7,'1MK4UR'!$J$6:$J$2990,"&lt;="&amp;EOMONTH(T7,0),'1MK4UR'!$L$6:$L$2990,$B$35)+SUMIFS(#REF!,#REF!,"&gt;="&amp;T7,#REF!,"&lt;="&amp;EOMONTH(T7,0),#REF!,$B$35)+SUMIFS('1JI2UE'!$K$6:$K$2989,'1JI2UE'!$J$6:$J$2989,"&gt;="&amp;T7,'1JI2UE'!$J$6:$J$2989,"&lt;="&amp;EOMONTH(T7,0),'1JI2UE'!$L$6:$L$2989,$B$35)+SUMIFS(#REF!,#REF!,"&gt;="&amp;T7,#REF!,"&lt;="&amp;EOMONTH(T7,0),#REF!,$B$35)+SUMIFS('1SI9BW'!$K$6:$K$2989,'1SI9BW'!$J$6:$J$2989,"&gt;="&amp;T7,'1SI9BW'!$J$6:$J$2989,"&lt;="&amp;EOMONTH(T7,0),'1SI9BW'!$L$6:$L$2989,$B$35)+SUMIFS(Suzuki!$K$6:$K$2989,Suzuki!$J$6:$J$2989,"&gt;="&amp;T7,Suzuki!$J$6:$J$2989,"&lt;="&amp;EOMONTH(T7,0),Suzuki!$L$6:$L$2989,$B$35)+SUMIFS('1SK3DD'!$K$6:$K$2989,'1SK3DD'!$J$6:$J$2989,"&gt;="&amp;T7,'1SK3DD'!$J$6:$J$2989,"&lt;="&amp;EOMONTH(T7,0),'1SK3DD'!$L$6:$L$2989,$B$35)+SUMIFS('1SX5TQ'!$K$6:$K$2989,'1SX5TQ'!$J$6:$J$2989,"&gt;="&amp;T7,'1SX5TQ'!$J$6:$J$2989,"&lt;="&amp;EOMONTH(T7,0),'1SX5TQ'!$L$6:$L$2989,$B$35)+SUMIFS('BMM465'!$K$6:$K$2989,'BMM465'!$J$6:$J$2989,"&gt;="&amp;T7,'BMM465'!$J$6:$J$2989,"&lt;="&amp;EOMONTH(T7,0),'BMM465'!$L$6:$L$2989,$B$35)+SUMIFS('1CF1ZO'!$K$6:$K$2989,'1CF1ZO'!$J$6:$J$2989,"&gt;="&amp;T7,'1CF1ZO'!$J$6:$J$2989,"&lt;="&amp;EOMONTH(T7,0),'1CF1ZO'!$L$6:$L$2989,$B$35)+SUMIFS('1UK1BK'!$K$6:$K$2989,'1UK1BK'!$J$6:$J$2989,"&gt;="&amp;T7,'1UK1BK'!$J$6:$J$2989,"&lt;="&amp;EOMONTH(T7,0),'1UK1BK'!$L$6:$L$2989,$B$35)</f>
        <v>#REF!</v>
      </c>
      <c r="U35" s="110" t="e">
        <f>SUMIFS('CEI565'!$K$6:$K$2990,'CEI565'!$J$6:$J$2990,"&gt;="&amp;U7,'CEI565'!$J$6:$J$2990,"&lt;="&amp;EOMONTH(U7,0),'CEI565'!$L$6:$L$2990,$B$35)+SUMIFS('1SM3VL'!$K$6:$K$2990,'1SM3VL'!$J$6:$J$2990,"&gt;="&amp;U7,'1SM3VL'!$J$6:$J$2990,"&lt;="&amp;EOMONTH(U7,0),'1SM3VL'!$L$6:$L$2990,$B$35)+SUMIFS('1QF4SM'!$K$6:$K$2989,'1QF4SM'!$J$6:$J$2989,"&gt;="&amp;U7,'1QF4SM'!$J$6:$J$2989,"&lt;="&amp;EOMONTH(U7,0),'1QF4SM'!$L$6:$L$2989,$B$35)+SUMIFS('1UV5KI'!$K$6:$K$2989,'1UV5KI'!$J$6:$J$2989,"&gt;="&amp;U7,'1UV5KI'!$J$6:$J$2989,"&lt;="&amp;EOMONTH(U7,0),'1UV5KI'!$L$6:$L$2989,$B$35)+SUMIFS(#REF!,#REF!,"&gt;="&amp;U7,#REF!,"&lt;="&amp;EOMONTH(U7,0),#REF!,$B$35)+SUMIFS('1UL9RY'!$K$6:$K$2990,'1UL9RY'!$J$6:$J$2990,"&gt;="&amp;U7,'1UL9RY'!$J$6:$J$2990,"&lt;="&amp;EOMONTH(U7,0),'1UL9RY'!$L$6:$L$2990,$B$35)+SUMIFS('1OZ7GT'!$K$6:$K$2989,'1OZ7GT'!$J$6:$J$2989,"&gt;="&amp;U7,'1OZ7GT'!$J$6:$J$2989,"&lt;="&amp;EOMONTH(U7,0),'1OZ7GT'!$L$6:$L$2989,$B$35)+SUMIFS('1CN8DD'!$K$6:$K$2989,'1CN8DD'!$J$6:$J$2989,"&gt;="&amp;U7,'1CN8DD'!$J$6:$J$2989,"&lt;="&amp;EOMONTH(U7,0),'1CN8DD'!$L$6:$L$2989,$B$35)+SUMIFS('1UT9BR'!$K$6:$K$2990,'1UT9BR'!$J$6:$J$2990,"&gt;="&amp;U7,'1UT9BR'!$J$6:$J$2990,"&lt;="&amp;EOMONTH(U7,0),'1UT9BR'!$L$6:$L$2990,$B$35)+SUMIFS('1MK4UR'!$K$6:$K$2990,'1MK4UR'!$J$6:$J$2990,"&gt;="&amp;U7,'1MK4UR'!$J$6:$J$2990,"&lt;="&amp;EOMONTH(U7,0),'1MK4UR'!$L$6:$L$2990,$B$35)+SUMIFS(#REF!,#REF!,"&gt;="&amp;U7,#REF!,"&lt;="&amp;EOMONTH(U7,0),#REF!,$B$35)+SUMIFS('1JI2UE'!$K$6:$K$2989,'1JI2UE'!$J$6:$J$2989,"&gt;="&amp;U7,'1JI2UE'!$J$6:$J$2989,"&lt;="&amp;EOMONTH(U7,0),'1JI2UE'!$L$6:$L$2989,$B$35)+SUMIFS(#REF!,#REF!,"&gt;="&amp;U7,#REF!,"&lt;="&amp;EOMONTH(U7,0),#REF!,$B$35)+SUMIFS('1SI9BW'!$K$6:$K$2989,'1SI9BW'!$J$6:$J$2989,"&gt;="&amp;U7,'1SI9BW'!$J$6:$J$2989,"&lt;="&amp;EOMONTH(U7,0),'1SI9BW'!$L$6:$L$2989,$B$35)+SUMIFS(Suzuki!$K$6:$K$2989,Suzuki!$J$6:$J$2989,"&gt;="&amp;U7,Suzuki!$J$6:$J$2989,"&lt;="&amp;EOMONTH(U7,0),Suzuki!$L$6:$L$2989,$B$35)+SUMIFS('1SK3DD'!$K$6:$K$2989,'1SK3DD'!$J$6:$J$2989,"&gt;="&amp;U7,'1SK3DD'!$J$6:$J$2989,"&lt;="&amp;EOMONTH(U7,0),'1SK3DD'!$L$6:$L$2989,$B$35)+SUMIFS('1SX5TQ'!$K$6:$K$2989,'1SX5TQ'!$J$6:$J$2989,"&gt;="&amp;U7,'1SX5TQ'!$J$6:$J$2989,"&lt;="&amp;EOMONTH(U7,0),'1SX5TQ'!$L$6:$L$2989,$B$35)+SUMIFS('BMM465'!$K$6:$K$2989,'BMM465'!$J$6:$J$2989,"&gt;="&amp;U7,'BMM465'!$J$6:$J$2989,"&lt;="&amp;EOMONTH(U7,0),'BMM465'!$L$6:$L$2989,$B$35)+SUMIFS('1CF1ZO'!$K$6:$K$2989,'1CF1ZO'!$J$6:$J$2989,"&gt;="&amp;U7,'1CF1ZO'!$J$6:$J$2989,"&lt;="&amp;EOMONTH(U7,0),'1CF1ZO'!$L$6:$L$2989,$B$35)+SUMIFS('1UK1BK'!$K$6:$K$2989,'1UK1BK'!$J$6:$J$2989,"&gt;="&amp;U7,'1UK1BK'!$J$6:$J$2989,"&lt;="&amp;EOMONTH(U7,0),'1UK1BK'!$L$6:$L$2989,$B$35)</f>
        <v>#REF!</v>
      </c>
      <c r="V35" s="110" t="e">
        <f>SUMIFS('CEI565'!$K$6:$K$2990,'CEI565'!$J$6:$J$2990,"&gt;="&amp;V7,'CEI565'!$J$6:$J$2990,"&lt;="&amp;EOMONTH(V7,0),'CEI565'!$L$6:$L$2990,$B$35)+SUMIFS('1SM3VL'!$K$6:$K$2990,'1SM3VL'!$J$6:$J$2990,"&gt;="&amp;V7,'1SM3VL'!$J$6:$J$2990,"&lt;="&amp;EOMONTH(V7,0),'1SM3VL'!$L$6:$L$2990,$B$35)+SUMIFS('1QF4SM'!$K$6:$K$2989,'1QF4SM'!$J$6:$J$2989,"&gt;="&amp;V7,'1QF4SM'!$J$6:$J$2989,"&lt;="&amp;EOMONTH(V7,0),'1QF4SM'!$L$6:$L$2989,$B$35)+SUMIFS('1UV5KI'!$K$6:$K$2989,'1UV5KI'!$J$6:$J$2989,"&gt;="&amp;V7,'1UV5KI'!$J$6:$J$2989,"&lt;="&amp;EOMONTH(V7,0),'1UV5KI'!$L$6:$L$2989,$B$35)+SUMIFS(#REF!,#REF!,"&gt;="&amp;V7,#REF!,"&lt;="&amp;EOMONTH(V7,0),#REF!,$B$35)+SUMIFS('1UL9RY'!$K$6:$K$2990,'1UL9RY'!$J$6:$J$2990,"&gt;="&amp;V7,'1UL9RY'!$J$6:$J$2990,"&lt;="&amp;EOMONTH(V7,0),'1UL9RY'!$L$6:$L$2990,$B$35)+SUMIFS('1OZ7GT'!$K$6:$K$2989,'1OZ7GT'!$J$6:$J$2989,"&gt;="&amp;V7,'1OZ7GT'!$J$6:$J$2989,"&lt;="&amp;EOMONTH(V7,0),'1OZ7GT'!$L$6:$L$2989,$B$35)+SUMIFS('1CN8DD'!$K$6:$K$2989,'1CN8DD'!$J$6:$J$2989,"&gt;="&amp;V7,'1CN8DD'!$J$6:$J$2989,"&lt;="&amp;EOMONTH(V7,0),'1CN8DD'!$L$6:$L$2989,$B$35)+SUMIFS('1UT9BR'!$K$6:$K$2990,'1UT9BR'!$J$6:$J$2990,"&gt;="&amp;V7,'1UT9BR'!$J$6:$J$2990,"&lt;="&amp;EOMONTH(V7,0),'1UT9BR'!$L$6:$L$2990,$B$35)+SUMIFS('1MK4UR'!$K$6:$K$2990,'1MK4UR'!$J$6:$J$2990,"&gt;="&amp;V7,'1MK4UR'!$J$6:$J$2990,"&lt;="&amp;EOMONTH(V7,0),'1MK4UR'!$L$6:$L$2990,$B$35)+SUMIFS(#REF!,#REF!,"&gt;="&amp;V7,#REF!,"&lt;="&amp;EOMONTH(V7,0),#REF!,$B$35)+SUMIFS('1JI2UE'!$K$6:$K$2989,'1JI2UE'!$J$6:$J$2989,"&gt;="&amp;V7,'1JI2UE'!$J$6:$J$2989,"&lt;="&amp;EOMONTH(V7,0),'1JI2UE'!$L$6:$L$2989,$B$35)+SUMIFS(#REF!,#REF!,"&gt;="&amp;V7,#REF!,"&lt;="&amp;EOMONTH(V7,0),#REF!,$B$35)+SUMIFS('1SI9BW'!$K$6:$K$2989,'1SI9BW'!$J$6:$J$2989,"&gt;="&amp;V7,'1SI9BW'!$J$6:$J$2989,"&lt;="&amp;EOMONTH(V7,0),'1SI9BW'!$L$6:$L$2989,$B$35)+SUMIFS(Suzuki!$K$6:$K$2989,Suzuki!$J$6:$J$2989,"&gt;="&amp;V7,Suzuki!$J$6:$J$2989,"&lt;="&amp;EOMONTH(V7,0),Suzuki!$L$6:$L$2989,$B$35)+SUMIFS('1SK3DD'!$K$6:$K$2989,'1SK3DD'!$J$6:$J$2989,"&gt;="&amp;V7,'1SK3DD'!$J$6:$J$2989,"&lt;="&amp;EOMONTH(V7,0),'1SK3DD'!$L$6:$L$2989,$B$35)+SUMIFS('1SX5TQ'!$K$6:$K$2989,'1SX5TQ'!$J$6:$J$2989,"&gt;="&amp;V7,'1SX5TQ'!$J$6:$J$2989,"&lt;="&amp;EOMONTH(V7,0),'1SX5TQ'!$L$6:$L$2989,$B$35)+SUMIFS('BMM465'!$K$6:$K$2989,'BMM465'!$J$6:$J$2989,"&gt;="&amp;V7,'BMM465'!$J$6:$J$2989,"&lt;="&amp;EOMONTH(V7,0),'BMM465'!$L$6:$L$2989,$B$35)+SUMIFS('1CF1ZO'!$K$6:$K$2989,'1CF1ZO'!$J$6:$J$2989,"&gt;="&amp;V7,'1CF1ZO'!$J$6:$J$2989,"&lt;="&amp;EOMONTH(V7,0),'1CF1ZO'!$L$6:$L$2989,$B$35)+SUMIFS('1UK1BK'!$K$6:$K$2989,'1UK1BK'!$J$6:$J$2989,"&gt;="&amp;V7,'1UK1BK'!$J$6:$J$2989,"&lt;="&amp;EOMONTH(V7,0),'1UK1BK'!$L$6:$L$2989,$B$35)</f>
        <v>#REF!</v>
      </c>
      <c r="W35" s="110" t="e">
        <f>SUMIFS('CEI565'!$K$6:$K$2990,'CEI565'!$J$6:$J$2990,"&gt;="&amp;W7,'CEI565'!$J$6:$J$2990,"&lt;="&amp;EOMONTH(W7,0),'CEI565'!$L$6:$L$2990,$B$35)+SUMIFS('1SM3VL'!$K$6:$K$2990,'1SM3VL'!$J$6:$J$2990,"&gt;="&amp;W7,'1SM3VL'!$J$6:$J$2990,"&lt;="&amp;EOMONTH(W7,0),'1SM3VL'!$L$6:$L$2990,$B$35)+SUMIFS('1QF4SM'!$K$6:$K$2989,'1QF4SM'!$J$6:$J$2989,"&gt;="&amp;W7,'1QF4SM'!$J$6:$J$2989,"&lt;="&amp;EOMONTH(W7,0),'1QF4SM'!$L$6:$L$2989,$B$35)+SUMIFS('1UV5KI'!$K$6:$K$2989,'1UV5KI'!$J$6:$J$2989,"&gt;="&amp;W7,'1UV5KI'!$J$6:$J$2989,"&lt;="&amp;EOMONTH(W7,0),'1UV5KI'!$L$6:$L$2989,$B$35)+SUMIFS(#REF!,#REF!,"&gt;="&amp;W7,#REF!,"&lt;="&amp;EOMONTH(W7,0),#REF!,$B$35)+SUMIFS('1UL9RY'!$K$6:$K$2990,'1UL9RY'!$J$6:$J$2990,"&gt;="&amp;W7,'1UL9RY'!$J$6:$J$2990,"&lt;="&amp;EOMONTH(W7,0),'1UL9RY'!$L$6:$L$2990,$B$35)+SUMIFS('1OZ7GT'!$K$6:$K$2989,'1OZ7GT'!$J$6:$J$2989,"&gt;="&amp;W7,'1OZ7GT'!$J$6:$J$2989,"&lt;="&amp;EOMONTH(W7,0),'1OZ7GT'!$L$6:$L$2989,$B$35)+SUMIFS('1CN8DD'!$K$6:$K$2989,'1CN8DD'!$J$6:$J$2989,"&gt;="&amp;W7,'1CN8DD'!$J$6:$J$2989,"&lt;="&amp;EOMONTH(W7,0),'1CN8DD'!$L$6:$L$2989,$B$35)+SUMIFS('1UT9BR'!$K$6:$K$2990,'1UT9BR'!$J$6:$J$2990,"&gt;="&amp;W7,'1UT9BR'!$J$6:$J$2990,"&lt;="&amp;EOMONTH(W7,0),'1UT9BR'!$L$6:$L$2990,$B$35)+SUMIFS('1MK4UR'!$K$6:$K$2990,'1MK4UR'!$J$6:$J$2990,"&gt;="&amp;W7,'1MK4UR'!$J$6:$J$2990,"&lt;="&amp;EOMONTH(W7,0),'1MK4UR'!$L$6:$L$2990,$B$35)+SUMIFS(#REF!,#REF!,"&gt;="&amp;W7,#REF!,"&lt;="&amp;EOMONTH(W7,0),#REF!,$B$35)+SUMIFS('1JI2UE'!$K$6:$K$2989,'1JI2UE'!$J$6:$J$2989,"&gt;="&amp;W7,'1JI2UE'!$J$6:$J$2989,"&lt;="&amp;EOMONTH(W7,0),'1JI2UE'!$L$6:$L$2989,$B$35)+SUMIFS(#REF!,#REF!,"&gt;="&amp;W7,#REF!,"&lt;="&amp;EOMONTH(W7,0),#REF!,$B$35)+SUMIFS('1SI9BW'!$K$6:$K$2989,'1SI9BW'!$J$6:$J$2989,"&gt;="&amp;W7,'1SI9BW'!$J$6:$J$2989,"&lt;="&amp;EOMONTH(W7,0),'1SI9BW'!$L$6:$L$2989,$B$35)+SUMIFS(Suzuki!$K$6:$K$2989,Suzuki!$J$6:$J$2989,"&gt;="&amp;W7,Suzuki!$J$6:$J$2989,"&lt;="&amp;EOMONTH(W7,0),Suzuki!$L$6:$L$2989,$B$35)+SUMIFS('1SK3DD'!$K$6:$K$2989,'1SK3DD'!$J$6:$J$2989,"&gt;="&amp;W7,'1SK3DD'!$J$6:$J$2989,"&lt;="&amp;EOMONTH(W7,0),'1SK3DD'!$L$6:$L$2989,$B$35)+SUMIFS('1SX5TQ'!$K$6:$K$2989,'1SX5TQ'!$J$6:$J$2989,"&gt;="&amp;W7,'1SX5TQ'!$J$6:$J$2989,"&lt;="&amp;EOMONTH(W7,0),'1SX5TQ'!$L$6:$L$2989,$B$35)+SUMIFS('BMM465'!$K$6:$K$2989,'BMM465'!$J$6:$J$2989,"&gt;="&amp;W7,'BMM465'!$J$6:$J$2989,"&lt;="&amp;EOMONTH(W7,0),'BMM465'!$L$6:$L$2989,$B$35)+SUMIFS('1CF1ZO'!$K$6:$K$2989,'1CF1ZO'!$J$6:$J$2989,"&gt;="&amp;W7,'1CF1ZO'!$J$6:$J$2989,"&lt;="&amp;EOMONTH(W7,0),'1CF1ZO'!$L$6:$L$2989,$B$35)+SUMIFS('1UK1BK'!$K$6:$K$2989,'1UK1BK'!$J$6:$J$2989,"&gt;="&amp;W7,'1UK1BK'!$J$6:$J$2989,"&lt;="&amp;EOMONTH(W7,0),'1UK1BK'!$L$6:$L$2989,$B$35)</f>
        <v>#REF!</v>
      </c>
      <c r="X35" s="110" t="e">
        <f>SUMIFS('CEI565'!$K$6:$K$2990,'CEI565'!$J$6:$J$2990,"&gt;="&amp;X7,'CEI565'!$J$6:$J$2990,"&lt;="&amp;EOMONTH(X7,0),'CEI565'!$L$6:$L$2990,$B$35)+SUMIFS('1SM3VL'!$K$6:$K$2990,'1SM3VL'!$J$6:$J$2990,"&gt;="&amp;X7,'1SM3VL'!$J$6:$J$2990,"&lt;="&amp;EOMONTH(X7,0),'1SM3VL'!$L$6:$L$2990,$B$35)+SUMIFS('1QF4SM'!$K$6:$K$2989,'1QF4SM'!$J$6:$J$2989,"&gt;="&amp;X7,'1QF4SM'!$J$6:$J$2989,"&lt;="&amp;EOMONTH(X7,0),'1QF4SM'!$L$6:$L$2989,$B$35)+SUMIFS('1UV5KI'!$K$6:$K$2989,'1UV5KI'!$J$6:$J$2989,"&gt;="&amp;X7,'1UV5KI'!$J$6:$J$2989,"&lt;="&amp;EOMONTH(X7,0),'1UV5KI'!$L$6:$L$2989,$B$35)+SUMIFS(#REF!,#REF!,"&gt;="&amp;X7,#REF!,"&lt;="&amp;EOMONTH(X7,0),#REF!,$B$35)+SUMIFS('1UL9RY'!$K$6:$K$2990,'1UL9RY'!$J$6:$J$2990,"&gt;="&amp;X7,'1UL9RY'!$J$6:$J$2990,"&lt;="&amp;EOMONTH(X7,0),'1UL9RY'!$L$6:$L$2990,$B$35)+SUMIFS('1OZ7GT'!$K$6:$K$2989,'1OZ7GT'!$J$6:$J$2989,"&gt;="&amp;X7,'1OZ7GT'!$J$6:$J$2989,"&lt;="&amp;EOMONTH(X7,0),'1OZ7GT'!$L$6:$L$2989,$B$35)+SUMIFS('1CN8DD'!$K$6:$K$2989,'1CN8DD'!$J$6:$J$2989,"&gt;="&amp;X7,'1CN8DD'!$J$6:$J$2989,"&lt;="&amp;EOMONTH(X7,0),'1CN8DD'!$L$6:$L$2989,$B$35)+SUMIFS('1UT9BR'!$K$6:$K$2990,'1UT9BR'!$J$6:$J$2990,"&gt;="&amp;X7,'1UT9BR'!$J$6:$J$2990,"&lt;="&amp;EOMONTH(X7,0),'1UT9BR'!$L$6:$L$2990,$B$35)+SUMIFS('1MK4UR'!$K$6:$K$2990,'1MK4UR'!$J$6:$J$2990,"&gt;="&amp;X7,'1MK4UR'!$J$6:$J$2990,"&lt;="&amp;EOMONTH(X7,0),'1MK4UR'!$L$6:$L$2990,$B$35)+SUMIFS(#REF!,#REF!,"&gt;="&amp;X7,#REF!,"&lt;="&amp;EOMONTH(X7,0),#REF!,$B$35)+SUMIFS('1JI2UE'!$K$6:$K$2989,'1JI2UE'!$J$6:$J$2989,"&gt;="&amp;X7,'1JI2UE'!$J$6:$J$2989,"&lt;="&amp;EOMONTH(X7,0),'1JI2UE'!$L$6:$L$2989,$B$35)+SUMIFS(#REF!,#REF!,"&gt;="&amp;X7,#REF!,"&lt;="&amp;EOMONTH(X7,0),#REF!,$B$35)+SUMIFS('1SI9BW'!$K$6:$K$2989,'1SI9BW'!$J$6:$J$2989,"&gt;="&amp;X7,'1SI9BW'!$J$6:$J$2989,"&lt;="&amp;EOMONTH(X7,0),'1SI9BW'!$L$6:$L$2989,$B$35)+SUMIFS(Suzuki!$K$6:$K$2989,Suzuki!$J$6:$J$2989,"&gt;="&amp;X7,Suzuki!$J$6:$J$2989,"&lt;="&amp;EOMONTH(X7,0),Suzuki!$L$6:$L$2989,$B$35)+SUMIFS('1SK3DD'!$K$6:$K$2989,'1SK3DD'!$J$6:$J$2989,"&gt;="&amp;X7,'1SK3DD'!$J$6:$J$2989,"&lt;="&amp;EOMONTH(X7,0),'1SK3DD'!$L$6:$L$2989,$B$35)+SUMIFS('1SX5TQ'!$K$6:$K$2989,'1SX5TQ'!$J$6:$J$2989,"&gt;="&amp;X7,'1SX5TQ'!$J$6:$J$2989,"&lt;="&amp;EOMONTH(X7,0),'1SX5TQ'!$L$6:$L$2989,$B$35)+SUMIFS('BMM465'!$K$6:$K$2989,'BMM465'!$J$6:$J$2989,"&gt;="&amp;X7,'BMM465'!$J$6:$J$2989,"&lt;="&amp;EOMONTH(X7,0),'BMM465'!$L$6:$L$2989,$B$35)+SUMIFS('1CF1ZO'!$K$6:$K$2989,'1CF1ZO'!$J$6:$J$2989,"&gt;="&amp;X7,'1CF1ZO'!$J$6:$J$2989,"&lt;="&amp;EOMONTH(X7,0),'1CF1ZO'!$L$6:$L$2989,$B$35)+SUMIFS('1UK1BK'!$K$6:$K$2989,'1UK1BK'!$J$6:$J$2989,"&gt;="&amp;X7,'1UK1BK'!$J$6:$J$2989,"&lt;="&amp;EOMONTH(X7,0),'1UK1BK'!$L$6:$L$2989,$B$35)</f>
        <v>#REF!</v>
      </c>
      <c r="Y35" s="110" t="e">
        <f>SUMIFS('CEI565'!$K$6:$K$2990,'CEI565'!$J$6:$J$2990,"&gt;="&amp;Y7,'CEI565'!$J$6:$J$2990,"&lt;="&amp;EOMONTH(Y7,0),'CEI565'!$L$6:$L$2990,$B$35)+SUMIFS('1SM3VL'!$K$6:$K$2990,'1SM3VL'!$J$6:$J$2990,"&gt;="&amp;Y7,'1SM3VL'!$J$6:$J$2990,"&lt;="&amp;EOMONTH(Y7,0),'1SM3VL'!$L$6:$L$2990,$B$35)+SUMIFS('1QF4SM'!$K$6:$K$2989,'1QF4SM'!$J$6:$J$2989,"&gt;="&amp;Y7,'1QF4SM'!$J$6:$J$2989,"&lt;="&amp;EOMONTH(Y7,0),'1QF4SM'!$L$6:$L$2989,$B$35)+SUMIFS('1UV5KI'!$K$6:$K$2989,'1UV5KI'!$J$6:$J$2989,"&gt;="&amp;Y7,'1UV5KI'!$J$6:$J$2989,"&lt;="&amp;EOMONTH(Y7,0),'1UV5KI'!$L$6:$L$2989,$B$35)+SUMIFS(#REF!,#REF!,"&gt;="&amp;Y7,#REF!,"&lt;="&amp;EOMONTH(Y7,0),#REF!,$B$35)+SUMIFS('1UL9RY'!$K$6:$K$2990,'1UL9RY'!$J$6:$J$2990,"&gt;="&amp;Y7,'1UL9RY'!$J$6:$J$2990,"&lt;="&amp;EOMONTH(Y7,0),'1UL9RY'!$L$6:$L$2990,$B$35)+SUMIFS('1OZ7GT'!$K$6:$K$2989,'1OZ7GT'!$J$6:$J$2989,"&gt;="&amp;Y7,'1OZ7GT'!$J$6:$J$2989,"&lt;="&amp;EOMONTH(Y7,0),'1OZ7GT'!$L$6:$L$2989,$B$35)+SUMIFS('1CN8DD'!$K$6:$K$2989,'1CN8DD'!$J$6:$J$2989,"&gt;="&amp;Y7,'1CN8DD'!$J$6:$J$2989,"&lt;="&amp;EOMONTH(Y7,0),'1CN8DD'!$L$6:$L$2989,$B$35)+SUMIFS('1UT9BR'!$K$6:$K$2990,'1UT9BR'!$J$6:$J$2990,"&gt;="&amp;Y7,'1UT9BR'!$J$6:$J$2990,"&lt;="&amp;EOMONTH(Y7,0),'1UT9BR'!$L$6:$L$2990,$B$35)+SUMIFS('1MK4UR'!$K$6:$K$2990,'1MK4UR'!$J$6:$J$2990,"&gt;="&amp;Y7,'1MK4UR'!$J$6:$J$2990,"&lt;="&amp;EOMONTH(Y7,0),'1MK4UR'!$L$6:$L$2990,$B$35)+SUMIFS(#REF!,#REF!,"&gt;="&amp;Y7,#REF!,"&lt;="&amp;EOMONTH(Y7,0),#REF!,$B$35)+SUMIFS('1JI2UE'!$K$6:$K$2989,'1JI2UE'!$J$6:$J$2989,"&gt;="&amp;Y7,'1JI2UE'!$J$6:$J$2989,"&lt;="&amp;EOMONTH(Y7,0),'1JI2UE'!$L$6:$L$2989,$B$35)+SUMIFS(#REF!,#REF!,"&gt;="&amp;Y7,#REF!,"&lt;="&amp;EOMONTH(Y7,0),#REF!,$B$35)+SUMIFS('1SI9BW'!$K$6:$K$2989,'1SI9BW'!$J$6:$J$2989,"&gt;="&amp;Y7,'1SI9BW'!$J$6:$J$2989,"&lt;="&amp;EOMONTH(Y7,0),'1SI9BW'!$L$6:$L$2989,$B$35)+SUMIFS(Suzuki!$K$6:$K$2989,Suzuki!$J$6:$J$2989,"&gt;="&amp;Y7,Suzuki!$J$6:$J$2989,"&lt;="&amp;EOMONTH(Y7,0),Suzuki!$L$6:$L$2989,$B$35)+SUMIFS('1SK3DD'!$K$6:$K$2989,'1SK3DD'!$J$6:$J$2989,"&gt;="&amp;Y7,'1SK3DD'!$J$6:$J$2989,"&lt;="&amp;EOMONTH(Y7,0),'1SK3DD'!$L$6:$L$2989,$B$35)+SUMIFS('1SX5TQ'!$K$6:$K$2989,'1SX5TQ'!$J$6:$J$2989,"&gt;="&amp;Y7,'1SX5TQ'!$J$6:$J$2989,"&lt;="&amp;EOMONTH(Y7,0),'1SX5TQ'!$L$6:$L$2989,$B$35)+SUMIFS('BMM465'!$K$6:$K$2989,'BMM465'!$J$6:$J$2989,"&gt;="&amp;Y7,'BMM465'!$J$6:$J$2989,"&lt;="&amp;EOMONTH(Y7,0),'BMM465'!$L$6:$L$2989,$B$35)+SUMIFS('1CF1ZO'!$K$6:$K$2989,'1CF1ZO'!$J$6:$J$2989,"&gt;="&amp;Y7,'1CF1ZO'!$J$6:$J$2989,"&lt;="&amp;EOMONTH(Y7,0),'1CF1ZO'!$L$6:$L$2989,$B$35)+SUMIFS('1UK1BK'!$K$6:$K$2989,'1UK1BK'!$J$6:$J$2989,"&gt;="&amp;Y7,'1UK1BK'!$J$6:$J$2989,"&lt;="&amp;EOMONTH(Y7,0),'1UK1BK'!$L$6:$L$2989,$B$35)</f>
        <v>#REF!</v>
      </c>
      <c r="Z35" s="110" t="e">
        <f>SUMIFS('CEI565'!$K$6:$K$2990,'CEI565'!$J$6:$J$2990,"&gt;="&amp;Z7,'CEI565'!$J$6:$J$2990,"&lt;="&amp;EOMONTH(Z7,0),'CEI565'!$L$6:$L$2990,$B$35)+SUMIFS('1SM3VL'!$K$6:$K$2990,'1SM3VL'!$J$6:$J$2990,"&gt;="&amp;Z7,'1SM3VL'!$J$6:$J$2990,"&lt;="&amp;EOMONTH(Z7,0),'1SM3VL'!$L$6:$L$2990,$B$35)+SUMIFS('1QF4SM'!$K$6:$K$2989,'1QF4SM'!$J$6:$J$2989,"&gt;="&amp;Z7,'1QF4SM'!$J$6:$J$2989,"&lt;="&amp;EOMONTH(Z7,0),'1QF4SM'!$L$6:$L$2989,$B$35)+SUMIFS('1UV5KI'!$K$6:$K$2989,'1UV5KI'!$J$6:$J$2989,"&gt;="&amp;Z7,'1UV5KI'!$J$6:$J$2989,"&lt;="&amp;EOMONTH(Z7,0),'1UV5KI'!$L$6:$L$2989,$B$35)+SUMIFS(#REF!,#REF!,"&gt;="&amp;Z7,#REF!,"&lt;="&amp;EOMONTH(Z7,0),#REF!,$B$35)+SUMIFS('1UL9RY'!$K$6:$K$2990,'1UL9RY'!$J$6:$J$2990,"&gt;="&amp;Z7,'1UL9RY'!$J$6:$J$2990,"&lt;="&amp;EOMONTH(Z7,0),'1UL9RY'!$L$6:$L$2990,$B$35)+SUMIFS('1OZ7GT'!$K$6:$K$2989,'1OZ7GT'!$J$6:$J$2989,"&gt;="&amp;Z7,'1OZ7GT'!$J$6:$J$2989,"&lt;="&amp;EOMONTH(Z7,0),'1OZ7GT'!$L$6:$L$2989,$B$35)+SUMIFS('1CN8DD'!$K$6:$K$2989,'1CN8DD'!$J$6:$J$2989,"&gt;="&amp;Z7,'1CN8DD'!$J$6:$J$2989,"&lt;="&amp;EOMONTH(Z7,0),'1CN8DD'!$L$6:$L$2989,$B$35)+SUMIFS('1UT9BR'!$K$6:$K$2990,'1UT9BR'!$J$6:$J$2990,"&gt;="&amp;Z7,'1UT9BR'!$J$6:$J$2990,"&lt;="&amp;EOMONTH(Z7,0),'1UT9BR'!$L$6:$L$2990,$B$35)+SUMIFS('1MK4UR'!$K$6:$K$2990,'1MK4UR'!$J$6:$J$2990,"&gt;="&amp;Z7,'1MK4UR'!$J$6:$J$2990,"&lt;="&amp;EOMONTH(Z7,0),'1MK4UR'!$L$6:$L$2990,$B$35)+SUMIFS(#REF!,#REF!,"&gt;="&amp;Z7,#REF!,"&lt;="&amp;EOMONTH(Z7,0),#REF!,$B$35)+SUMIFS('1JI2UE'!$K$6:$K$2989,'1JI2UE'!$J$6:$J$2989,"&gt;="&amp;Z7,'1JI2UE'!$J$6:$J$2989,"&lt;="&amp;EOMONTH(Z7,0),'1JI2UE'!$L$6:$L$2989,$B$35)+SUMIFS(#REF!,#REF!,"&gt;="&amp;Z7,#REF!,"&lt;="&amp;EOMONTH(Z7,0),#REF!,$B$35)+SUMIFS('1SI9BW'!$K$6:$K$2989,'1SI9BW'!$J$6:$J$2989,"&gt;="&amp;Z7,'1SI9BW'!$J$6:$J$2989,"&lt;="&amp;EOMONTH(Z7,0),'1SI9BW'!$L$6:$L$2989,$B$35)+SUMIFS(Suzuki!$K$6:$K$2989,Suzuki!$J$6:$J$2989,"&gt;="&amp;Z7,Suzuki!$J$6:$J$2989,"&lt;="&amp;EOMONTH(Z7,0),Suzuki!$L$6:$L$2989,$B$35)+SUMIFS('1SK3DD'!$K$6:$K$2989,'1SK3DD'!$J$6:$J$2989,"&gt;="&amp;Z7,'1SK3DD'!$J$6:$J$2989,"&lt;="&amp;EOMONTH(Z7,0),'1SK3DD'!$L$6:$L$2989,$B$35)+SUMIFS('1SX5TQ'!$K$6:$K$2989,'1SX5TQ'!$J$6:$J$2989,"&gt;="&amp;Z7,'1SX5TQ'!$J$6:$J$2989,"&lt;="&amp;EOMONTH(Z7,0),'1SX5TQ'!$L$6:$L$2989,$B$35)+SUMIFS('BMM465'!$K$6:$K$2989,'BMM465'!$J$6:$J$2989,"&gt;="&amp;Z7,'BMM465'!$J$6:$J$2989,"&lt;="&amp;EOMONTH(Z7,0),'BMM465'!$L$6:$L$2989,$B$35)+SUMIFS('1CF1ZO'!$K$6:$K$2989,'1CF1ZO'!$J$6:$J$2989,"&gt;="&amp;Z7,'1CF1ZO'!$J$6:$J$2989,"&lt;="&amp;EOMONTH(Z7,0),'1CF1ZO'!$L$6:$L$2989,$B$35)+SUMIFS('1UK1BK'!$K$6:$K$2989,'1UK1BK'!$J$6:$J$2989,"&gt;="&amp;Z7,'1UK1BK'!$J$6:$J$2989,"&lt;="&amp;EOMONTH(Z7,0),'1UK1BK'!$L$6:$L$2989,$B$35)</f>
        <v>#REF!</v>
      </c>
      <c r="AA35" s="110" t="e">
        <f>SUMIFS('CEI565'!$K$6:$K$2990,'CEI565'!$J$6:$J$2990,"&gt;="&amp;AA7,'CEI565'!$J$6:$J$2990,"&lt;="&amp;EOMONTH(AA7,0),'CEI565'!$L$6:$L$2990,$B$35)+SUMIFS('1SM3VL'!$K$6:$K$2990,'1SM3VL'!$J$6:$J$2990,"&gt;="&amp;AA7,'1SM3VL'!$J$6:$J$2990,"&lt;="&amp;EOMONTH(AA7,0),'1SM3VL'!$L$6:$L$2990,$B$35)+SUMIFS('1QF4SM'!$K$6:$K$2989,'1QF4SM'!$J$6:$J$2989,"&gt;="&amp;AA7,'1QF4SM'!$J$6:$J$2989,"&lt;="&amp;EOMONTH(AA7,0),'1QF4SM'!$L$6:$L$2989,$B$35)+SUMIFS('1UV5KI'!$K$6:$K$2989,'1UV5KI'!$J$6:$J$2989,"&gt;="&amp;AA7,'1UV5KI'!$J$6:$J$2989,"&lt;="&amp;EOMONTH(AA7,0),'1UV5KI'!$L$6:$L$2989,$B$35)+SUMIFS(#REF!,#REF!,"&gt;="&amp;AA7,#REF!,"&lt;="&amp;EOMONTH(AA7,0),#REF!,$B$35)+SUMIFS('1UL9RY'!$K$6:$K$2990,'1UL9RY'!$J$6:$J$2990,"&gt;="&amp;AA7,'1UL9RY'!$J$6:$J$2990,"&lt;="&amp;EOMONTH(AA7,0),'1UL9RY'!$L$6:$L$2990,$B$35)+SUMIFS('1OZ7GT'!$K$6:$K$2989,'1OZ7GT'!$J$6:$J$2989,"&gt;="&amp;AA7,'1OZ7GT'!$J$6:$J$2989,"&lt;="&amp;EOMONTH(AA7,0),'1OZ7GT'!$L$6:$L$2989,$B$35)+SUMIFS('1CN8DD'!$K$6:$K$2989,'1CN8DD'!$J$6:$J$2989,"&gt;="&amp;AA7,'1CN8DD'!$J$6:$J$2989,"&lt;="&amp;EOMONTH(AA7,0),'1CN8DD'!$L$6:$L$2989,$B$35)+SUMIFS('1UT9BR'!$K$6:$K$2990,'1UT9BR'!$J$6:$J$2990,"&gt;="&amp;AA7,'1UT9BR'!$J$6:$J$2990,"&lt;="&amp;EOMONTH(AA7,0),'1UT9BR'!$L$6:$L$2990,$B$35)+SUMIFS('1MK4UR'!$K$6:$K$2990,'1MK4UR'!$J$6:$J$2990,"&gt;="&amp;AA7,'1MK4UR'!$J$6:$J$2990,"&lt;="&amp;EOMONTH(AA7,0),'1MK4UR'!$L$6:$L$2990,$B$35)+SUMIFS(#REF!,#REF!,"&gt;="&amp;AA7,#REF!,"&lt;="&amp;EOMONTH(AA7,0),#REF!,$B$35)+SUMIFS('1JI2UE'!$K$6:$K$2989,'1JI2UE'!$J$6:$J$2989,"&gt;="&amp;AA7,'1JI2UE'!$J$6:$J$2989,"&lt;="&amp;EOMONTH(AA7,0),'1JI2UE'!$L$6:$L$2989,$B$35)+SUMIFS(#REF!,#REF!,"&gt;="&amp;AA7,#REF!,"&lt;="&amp;EOMONTH(AA7,0),#REF!,$B$35)+SUMIFS('1SI9BW'!$K$6:$K$2989,'1SI9BW'!$J$6:$J$2989,"&gt;="&amp;AA7,'1SI9BW'!$J$6:$J$2989,"&lt;="&amp;EOMONTH(AA7,0),'1SI9BW'!$L$6:$L$2989,$B$35)+SUMIFS(Suzuki!$K$6:$K$2989,Suzuki!$J$6:$J$2989,"&gt;="&amp;AA7,Suzuki!$J$6:$J$2989,"&lt;="&amp;EOMONTH(AA7,0),Suzuki!$L$6:$L$2989,$B$35)+SUMIFS('1SK3DD'!$K$6:$K$2989,'1SK3DD'!$J$6:$J$2989,"&gt;="&amp;AA7,'1SK3DD'!$J$6:$J$2989,"&lt;="&amp;EOMONTH(AA7,0),'1SK3DD'!$L$6:$L$2989,$B$35)+SUMIFS('1SX5TQ'!$K$6:$K$2989,'1SX5TQ'!$J$6:$J$2989,"&gt;="&amp;AA7,'1SX5TQ'!$J$6:$J$2989,"&lt;="&amp;EOMONTH(AA7,0),'1SX5TQ'!$L$6:$L$2989,$B$35)+SUMIFS('BMM465'!$K$6:$K$2989,'BMM465'!$J$6:$J$2989,"&gt;="&amp;AA7,'BMM465'!$J$6:$J$2989,"&lt;="&amp;EOMONTH(AA7,0),'BMM465'!$L$6:$L$2989,$B$35)+SUMIFS('1CF1ZO'!$K$6:$K$2989,'1CF1ZO'!$J$6:$J$2989,"&gt;="&amp;AA7,'1CF1ZO'!$J$6:$J$2989,"&lt;="&amp;EOMONTH(AA7,0),'1CF1ZO'!$L$6:$L$2989,$B$35)+SUMIFS('1UK1BK'!$K$6:$K$2989,'1UK1BK'!$J$6:$J$2989,"&gt;="&amp;AA7,'1UK1BK'!$J$6:$J$2989,"&lt;="&amp;EOMONTH(AA7,0),'1UK1BK'!$L$6:$L$2989,$B$35)</f>
        <v>#REF!</v>
      </c>
      <c r="AB35" s="110" t="e">
        <f>SUMIFS('CEI565'!$K$6:$K$2990,'CEI565'!$J$6:$J$2990,"&gt;="&amp;AB7,'CEI565'!$J$6:$J$2990,"&lt;="&amp;EOMONTH(AB7,0),'CEI565'!$L$6:$L$2990,$B$35)+SUMIFS('1SM3VL'!$K$6:$K$2990,'1SM3VL'!$J$6:$J$2990,"&gt;="&amp;AB7,'1SM3VL'!$J$6:$J$2990,"&lt;="&amp;EOMONTH(AB7,0),'1SM3VL'!$L$6:$L$2990,$B$35)+SUMIFS('1QF4SM'!$K$6:$K$2989,'1QF4SM'!$J$6:$J$2989,"&gt;="&amp;AB7,'1QF4SM'!$J$6:$J$2989,"&lt;="&amp;EOMONTH(AB7,0),'1QF4SM'!$L$6:$L$2989,$B$35)+SUMIFS('1UV5KI'!$K$6:$K$2989,'1UV5KI'!$J$6:$J$2989,"&gt;="&amp;AB7,'1UV5KI'!$J$6:$J$2989,"&lt;="&amp;EOMONTH(AB7,0),'1UV5KI'!$L$6:$L$2989,$B$35)+SUMIFS(#REF!,#REF!,"&gt;="&amp;AB7,#REF!,"&lt;="&amp;EOMONTH(AB7,0),#REF!,$B$35)+SUMIFS('1UL9RY'!$K$6:$K$2990,'1UL9RY'!$J$6:$J$2990,"&gt;="&amp;AB7,'1UL9RY'!$J$6:$J$2990,"&lt;="&amp;EOMONTH(AB7,0),'1UL9RY'!$L$6:$L$2990,$B$35)+SUMIFS('1OZ7GT'!$K$6:$K$2989,'1OZ7GT'!$J$6:$J$2989,"&gt;="&amp;AB7,'1OZ7GT'!$J$6:$J$2989,"&lt;="&amp;EOMONTH(AB7,0),'1OZ7GT'!$L$6:$L$2989,$B$35)+SUMIFS('1CN8DD'!$K$6:$K$2989,'1CN8DD'!$J$6:$J$2989,"&gt;="&amp;AB7,'1CN8DD'!$J$6:$J$2989,"&lt;="&amp;EOMONTH(AB7,0),'1CN8DD'!$L$6:$L$2989,$B$35)+SUMIFS('1UT9BR'!$K$6:$K$2990,'1UT9BR'!$J$6:$J$2990,"&gt;="&amp;AB7,'1UT9BR'!$J$6:$J$2990,"&lt;="&amp;EOMONTH(AB7,0),'1UT9BR'!$L$6:$L$2990,$B$35)+SUMIFS('1MK4UR'!$K$6:$K$2990,'1MK4UR'!$J$6:$J$2990,"&gt;="&amp;AB7,'1MK4UR'!$J$6:$J$2990,"&lt;="&amp;EOMONTH(AB7,0),'1MK4UR'!$L$6:$L$2990,$B$35)+SUMIFS(#REF!,#REF!,"&gt;="&amp;AB7,#REF!,"&lt;="&amp;EOMONTH(AB7,0),#REF!,$B$35)+SUMIFS('1JI2UE'!$K$6:$K$2989,'1JI2UE'!$J$6:$J$2989,"&gt;="&amp;AB7,'1JI2UE'!$J$6:$J$2989,"&lt;="&amp;EOMONTH(AB7,0),'1JI2UE'!$L$6:$L$2989,$B$35)+SUMIFS(#REF!,#REF!,"&gt;="&amp;AB7,#REF!,"&lt;="&amp;EOMONTH(AB7,0),#REF!,$B$35)+SUMIFS('1SI9BW'!$K$6:$K$2989,'1SI9BW'!$J$6:$J$2989,"&gt;="&amp;AB7,'1SI9BW'!$J$6:$J$2989,"&lt;="&amp;EOMONTH(AB7,0),'1SI9BW'!$L$6:$L$2989,$B$35)+SUMIFS(Suzuki!$K$6:$K$2989,Suzuki!$J$6:$J$2989,"&gt;="&amp;AB7,Suzuki!$J$6:$J$2989,"&lt;="&amp;EOMONTH(AB7,0),Suzuki!$L$6:$L$2989,$B$35)+SUMIFS('1SK3DD'!$K$6:$K$2989,'1SK3DD'!$J$6:$J$2989,"&gt;="&amp;AB7,'1SK3DD'!$J$6:$J$2989,"&lt;="&amp;EOMONTH(AB7,0),'1SK3DD'!$L$6:$L$2989,$B$35)+SUMIFS('1SX5TQ'!$K$6:$K$2989,'1SX5TQ'!$J$6:$J$2989,"&gt;="&amp;AB7,'1SX5TQ'!$J$6:$J$2989,"&lt;="&amp;EOMONTH(AB7,0),'1SX5TQ'!$L$6:$L$2989,$B$35)+SUMIFS('BMM465'!$K$6:$K$2989,'BMM465'!$J$6:$J$2989,"&gt;="&amp;AB7,'BMM465'!$J$6:$J$2989,"&lt;="&amp;EOMONTH(AB7,0),'BMM465'!$L$6:$L$2989,$B$35)+SUMIFS('1CF1ZO'!$K$6:$K$2989,'1CF1ZO'!$J$6:$J$2989,"&gt;="&amp;AB7,'1CF1ZO'!$J$6:$J$2989,"&lt;="&amp;EOMONTH(AB7,0),'1CF1ZO'!$L$6:$L$2989,$B$35)+SUMIFS('1UK1BK'!$K$6:$K$2989,'1UK1BK'!$J$6:$J$2989,"&gt;="&amp;AB7,'1UK1BK'!$J$6:$J$2989,"&lt;="&amp;EOMONTH(AB7,0),'1UK1BK'!$L$6:$L$2989,$B$35)</f>
        <v>#REF!</v>
      </c>
      <c r="AC35" s="110" t="e">
        <f>SUMIFS('CEI565'!$K$6:$K$2990,'CEI565'!$J$6:$J$2990,"&gt;="&amp;AC7,'CEI565'!$J$6:$J$2990,"&lt;="&amp;EOMONTH(AC7,0),'CEI565'!$L$6:$L$2990,$B$35)+SUMIFS('1SM3VL'!$K$6:$K$2990,'1SM3VL'!$J$6:$J$2990,"&gt;="&amp;AC7,'1SM3VL'!$J$6:$J$2990,"&lt;="&amp;EOMONTH(AC7,0),'1SM3VL'!$L$6:$L$2990,$B$35)+SUMIFS('1QF4SM'!$K$6:$K$2989,'1QF4SM'!$J$6:$J$2989,"&gt;="&amp;AC7,'1QF4SM'!$J$6:$J$2989,"&lt;="&amp;EOMONTH(AC7,0),'1QF4SM'!$L$6:$L$2989,$B$35)+SUMIFS('1UV5KI'!$K$6:$K$2989,'1UV5KI'!$J$6:$J$2989,"&gt;="&amp;AC7,'1UV5KI'!$J$6:$J$2989,"&lt;="&amp;EOMONTH(AC7,0),'1UV5KI'!$L$6:$L$2989,$B$35)+SUMIFS(#REF!,#REF!,"&gt;="&amp;AC7,#REF!,"&lt;="&amp;EOMONTH(AC7,0),#REF!,$B$35)+SUMIFS('1UL9RY'!$K$6:$K$2990,'1UL9RY'!$J$6:$J$2990,"&gt;="&amp;AC7,'1UL9RY'!$J$6:$J$2990,"&lt;="&amp;EOMONTH(AC7,0),'1UL9RY'!$L$6:$L$2990,$B$35)+SUMIFS('1OZ7GT'!$K$6:$K$2989,'1OZ7GT'!$J$6:$J$2989,"&gt;="&amp;AC7,'1OZ7GT'!$J$6:$J$2989,"&lt;="&amp;EOMONTH(AC7,0),'1OZ7GT'!$L$6:$L$2989,$B$35)+SUMIFS('1CN8DD'!$K$6:$K$2989,'1CN8DD'!$J$6:$J$2989,"&gt;="&amp;AC7,'1CN8DD'!$J$6:$J$2989,"&lt;="&amp;EOMONTH(AC7,0),'1CN8DD'!$L$6:$L$2989,$B$35)+SUMIFS('1UT9BR'!$K$6:$K$2990,'1UT9BR'!$J$6:$J$2990,"&gt;="&amp;AC7,'1UT9BR'!$J$6:$J$2990,"&lt;="&amp;EOMONTH(AC7,0),'1UT9BR'!$L$6:$L$2990,$B$35)+SUMIFS('1MK4UR'!$K$6:$K$2990,'1MK4UR'!$J$6:$J$2990,"&gt;="&amp;AC7,'1MK4UR'!$J$6:$J$2990,"&lt;="&amp;EOMONTH(AC7,0),'1MK4UR'!$L$6:$L$2990,$B$35)+SUMIFS(#REF!,#REF!,"&gt;="&amp;AC7,#REF!,"&lt;="&amp;EOMONTH(AC7,0),#REF!,$B$35)+SUMIFS('1JI2UE'!$K$6:$K$2989,'1JI2UE'!$J$6:$J$2989,"&gt;="&amp;AC7,'1JI2UE'!$J$6:$J$2989,"&lt;="&amp;EOMONTH(AC7,0),'1JI2UE'!$L$6:$L$2989,$B$35)+SUMIFS(#REF!,#REF!,"&gt;="&amp;AC7,#REF!,"&lt;="&amp;EOMONTH(AC7,0),#REF!,$B$35)+SUMIFS('1SI9BW'!$K$6:$K$2989,'1SI9BW'!$J$6:$J$2989,"&gt;="&amp;AC7,'1SI9BW'!$J$6:$J$2989,"&lt;="&amp;EOMONTH(AC7,0),'1SI9BW'!$L$6:$L$2989,$B$35)+SUMIFS(Suzuki!$K$6:$K$2989,Suzuki!$J$6:$J$2989,"&gt;="&amp;AC7,Suzuki!$J$6:$J$2989,"&lt;="&amp;EOMONTH(AC7,0),Suzuki!$L$6:$L$2989,$B$35)+SUMIFS('1SK3DD'!$K$6:$K$2989,'1SK3DD'!$J$6:$J$2989,"&gt;="&amp;AC7,'1SK3DD'!$J$6:$J$2989,"&lt;="&amp;EOMONTH(AC7,0),'1SK3DD'!$L$6:$L$2989,$B$35)+SUMIFS('1SX5TQ'!$K$6:$K$2989,'1SX5TQ'!$J$6:$J$2989,"&gt;="&amp;AC7,'1SX5TQ'!$J$6:$J$2989,"&lt;="&amp;EOMONTH(AC7,0),'1SX5TQ'!$L$6:$L$2989,$B$35)+SUMIFS('BMM465'!$K$6:$K$2989,'BMM465'!$J$6:$J$2989,"&gt;="&amp;AC7,'BMM465'!$J$6:$J$2989,"&lt;="&amp;EOMONTH(AC7,0),'BMM465'!$L$6:$L$2989,$B$35)+SUMIFS('1CF1ZO'!$K$6:$K$2989,'1CF1ZO'!$J$6:$J$2989,"&gt;="&amp;AC7,'1CF1ZO'!$J$6:$J$2989,"&lt;="&amp;EOMONTH(AC7,0),'1CF1ZO'!$L$6:$L$2989,$B$35)+SUMIFS('1UK1BK'!$K$6:$K$2989,'1UK1BK'!$J$6:$J$2989,"&gt;="&amp;AC7,'1UK1BK'!$J$6:$J$2989,"&lt;="&amp;EOMONTH(AC7,0),'1UK1BK'!$L$6:$L$2989,$B$35)</f>
        <v>#REF!</v>
      </c>
      <c r="AD35" s="110" t="e">
        <f>SUMIFS('CEI565'!$K$6:$K$2990,'CEI565'!$J$6:$J$2990,"&gt;="&amp;AD7,'CEI565'!$J$6:$J$2990,"&lt;="&amp;EOMONTH(AD7,0),'CEI565'!$L$6:$L$2990,$B$35)+SUMIFS('1SM3VL'!$K$6:$K$2990,'1SM3VL'!$J$6:$J$2990,"&gt;="&amp;AD7,'1SM3VL'!$J$6:$J$2990,"&lt;="&amp;EOMONTH(AD7,0),'1SM3VL'!$L$6:$L$2990,$B$35)+SUMIFS('1QF4SM'!$K$6:$K$2989,'1QF4SM'!$J$6:$J$2989,"&gt;="&amp;AD7,'1QF4SM'!$J$6:$J$2989,"&lt;="&amp;EOMONTH(AD7,0),'1QF4SM'!$L$6:$L$2989,$B$35)+SUMIFS('1UV5KI'!$K$6:$K$2989,'1UV5KI'!$J$6:$J$2989,"&gt;="&amp;AD7,'1UV5KI'!$J$6:$J$2989,"&lt;="&amp;EOMONTH(AD7,0),'1UV5KI'!$L$6:$L$2989,$B$35)+SUMIFS(#REF!,#REF!,"&gt;="&amp;AD7,#REF!,"&lt;="&amp;EOMONTH(AD7,0),#REF!,$B$35)+SUMIFS('1UL9RY'!$K$6:$K$2990,'1UL9RY'!$J$6:$J$2990,"&gt;="&amp;AD7,'1UL9RY'!$J$6:$J$2990,"&lt;="&amp;EOMONTH(AD7,0),'1UL9RY'!$L$6:$L$2990,$B$35)+SUMIFS('1OZ7GT'!$K$6:$K$2989,'1OZ7GT'!$J$6:$J$2989,"&gt;="&amp;AD7,'1OZ7GT'!$J$6:$J$2989,"&lt;="&amp;EOMONTH(AD7,0),'1OZ7GT'!$L$6:$L$2989,$B$35)+SUMIFS('1CN8DD'!$K$6:$K$2989,'1CN8DD'!$J$6:$J$2989,"&gt;="&amp;AD7,'1CN8DD'!$J$6:$J$2989,"&lt;="&amp;EOMONTH(AD7,0),'1CN8DD'!$L$6:$L$2989,$B$35)+SUMIFS('1UT9BR'!$K$6:$K$2990,'1UT9BR'!$J$6:$J$2990,"&gt;="&amp;AD7,'1UT9BR'!$J$6:$J$2990,"&lt;="&amp;EOMONTH(AD7,0),'1UT9BR'!$L$6:$L$2990,$B$35)+SUMIFS('1MK4UR'!$K$6:$K$2990,'1MK4UR'!$J$6:$J$2990,"&gt;="&amp;AD7,'1MK4UR'!$J$6:$J$2990,"&lt;="&amp;EOMONTH(AD7,0),'1MK4UR'!$L$6:$L$2990,$B$35)+SUMIFS(#REF!,#REF!,"&gt;="&amp;AD7,#REF!,"&lt;="&amp;EOMONTH(AD7,0),#REF!,$B$35)+SUMIFS('1JI2UE'!$K$6:$K$2989,'1JI2UE'!$J$6:$J$2989,"&gt;="&amp;AD7,'1JI2UE'!$J$6:$J$2989,"&lt;="&amp;EOMONTH(AD7,0),'1JI2UE'!$L$6:$L$2989,$B$35)+SUMIFS(#REF!,#REF!,"&gt;="&amp;AD7,#REF!,"&lt;="&amp;EOMONTH(AD7,0),#REF!,$B$35)+SUMIFS('1SI9BW'!$K$6:$K$2989,'1SI9BW'!$J$6:$J$2989,"&gt;="&amp;AD7,'1SI9BW'!$J$6:$J$2989,"&lt;="&amp;EOMONTH(AD7,0),'1SI9BW'!$L$6:$L$2989,$B$35)+SUMIFS(Suzuki!$K$6:$K$2989,Suzuki!$J$6:$J$2989,"&gt;="&amp;AD7,Suzuki!$J$6:$J$2989,"&lt;="&amp;EOMONTH(AD7,0),Suzuki!$L$6:$L$2989,$B$35)+SUMIFS('1SK3DD'!$K$6:$K$2989,'1SK3DD'!$J$6:$J$2989,"&gt;="&amp;AD7,'1SK3DD'!$J$6:$J$2989,"&lt;="&amp;EOMONTH(AD7,0),'1SK3DD'!$L$6:$L$2989,$B$35)+SUMIFS('1SX5TQ'!$K$6:$K$2989,'1SX5TQ'!$J$6:$J$2989,"&gt;="&amp;AD7,'1SX5TQ'!$J$6:$J$2989,"&lt;="&amp;EOMONTH(AD7,0),'1SX5TQ'!$L$6:$L$2989,$B$35)+SUMIFS('BMM465'!$K$6:$K$2989,'BMM465'!$J$6:$J$2989,"&gt;="&amp;AD7,'BMM465'!$J$6:$J$2989,"&lt;="&amp;EOMONTH(AD7,0),'BMM465'!$L$6:$L$2989,$B$35)+SUMIFS('1CF1ZO'!$K$6:$K$2989,'1CF1ZO'!$J$6:$J$2989,"&gt;="&amp;AD7,'1CF1ZO'!$J$6:$J$2989,"&lt;="&amp;EOMONTH(AD7,0),'1CF1ZO'!$L$6:$L$2989,$B$35)+SUMIFS('1UK1BK'!$K$6:$K$2989,'1UK1BK'!$J$6:$J$2989,"&gt;="&amp;AD7,'1UK1BK'!$J$6:$J$2989,"&lt;="&amp;EOMONTH(AD7,0),'1UK1BK'!$L$6:$L$2989,$B$35)</f>
        <v>#REF!</v>
      </c>
      <c r="AE35" s="110" t="e">
        <f>SUMIFS('CEI565'!$K$6:$K$2990,'CEI565'!$J$6:$J$2990,"&gt;="&amp;AE7,'CEI565'!$J$6:$J$2990,"&lt;="&amp;EOMONTH(AE7,0),'CEI565'!$L$6:$L$2990,$B$35)+SUMIFS('1SM3VL'!$K$6:$K$2990,'1SM3VL'!$J$6:$J$2990,"&gt;="&amp;AE7,'1SM3VL'!$J$6:$J$2990,"&lt;="&amp;EOMONTH(AE7,0),'1SM3VL'!$L$6:$L$2990,$B$35)+SUMIFS('1QF4SM'!$K$6:$K$2989,'1QF4SM'!$J$6:$J$2989,"&gt;="&amp;AE7,'1QF4SM'!$J$6:$J$2989,"&lt;="&amp;EOMONTH(AE7,0),'1QF4SM'!$L$6:$L$2989,$B$35)+SUMIFS('1UV5KI'!$K$6:$K$2989,'1UV5KI'!$J$6:$J$2989,"&gt;="&amp;AE7,'1UV5KI'!$J$6:$J$2989,"&lt;="&amp;EOMONTH(AE7,0),'1UV5KI'!$L$6:$L$2989,$B$35)+SUMIFS(#REF!,#REF!,"&gt;="&amp;AE7,#REF!,"&lt;="&amp;EOMONTH(AE7,0),#REF!,$B$35)+SUMIFS('1UL9RY'!$K$6:$K$2990,'1UL9RY'!$J$6:$J$2990,"&gt;="&amp;AE7,'1UL9RY'!$J$6:$J$2990,"&lt;="&amp;EOMONTH(AE7,0),'1UL9RY'!$L$6:$L$2990,$B$35)+SUMIFS('1OZ7GT'!$K$6:$K$2989,'1OZ7GT'!$J$6:$J$2989,"&gt;="&amp;AE7,'1OZ7GT'!$J$6:$J$2989,"&lt;="&amp;EOMONTH(AE7,0),'1OZ7GT'!$L$6:$L$2989,$B$35)+SUMIFS('1CN8DD'!$K$6:$K$2989,'1CN8DD'!$J$6:$J$2989,"&gt;="&amp;AE7,'1CN8DD'!$J$6:$J$2989,"&lt;="&amp;EOMONTH(AE7,0),'1CN8DD'!$L$6:$L$2989,$B$35)+SUMIFS('1UT9BR'!$K$6:$K$2990,'1UT9BR'!$J$6:$J$2990,"&gt;="&amp;AE7,'1UT9BR'!$J$6:$J$2990,"&lt;="&amp;EOMONTH(AE7,0),'1UT9BR'!$L$6:$L$2990,$B$35)+SUMIFS('1MK4UR'!$K$6:$K$2990,'1MK4UR'!$J$6:$J$2990,"&gt;="&amp;AE7,'1MK4UR'!$J$6:$J$2990,"&lt;="&amp;EOMONTH(AE7,0),'1MK4UR'!$L$6:$L$2990,$B$35)+SUMIFS(#REF!,#REF!,"&gt;="&amp;AE7,#REF!,"&lt;="&amp;EOMONTH(AE7,0),#REF!,$B$35)+SUMIFS('1JI2UE'!$K$6:$K$2989,'1JI2UE'!$J$6:$J$2989,"&gt;="&amp;AE7,'1JI2UE'!$J$6:$J$2989,"&lt;="&amp;EOMONTH(AE7,0),'1JI2UE'!$L$6:$L$2989,$B$35)+SUMIFS(#REF!,#REF!,"&gt;="&amp;AE7,#REF!,"&lt;="&amp;EOMONTH(AE7,0),#REF!,$B$35)+SUMIFS('1SI9BW'!$K$6:$K$2989,'1SI9BW'!$J$6:$J$2989,"&gt;="&amp;AE7,'1SI9BW'!$J$6:$J$2989,"&lt;="&amp;EOMONTH(AE7,0),'1SI9BW'!$L$6:$L$2989,$B$35)+SUMIFS(Suzuki!$K$6:$K$2989,Suzuki!$J$6:$J$2989,"&gt;="&amp;AE7,Suzuki!$J$6:$J$2989,"&lt;="&amp;EOMONTH(AE7,0),Suzuki!$L$6:$L$2989,$B$35)+SUMIFS('1SK3DD'!$K$6:$K$2989,'1SK3DD'!$J$6:$J$2989,"&gt;="&amp;AE7,'1SK3DD'!$J$6:$J$2989,"&lt;="&amp;EOMONTH(AE7,0),'1SK3DD'!$L$6:$L$2989,$B$35)+SUMIFS('1SX5TQ'!$K$6:$K$2989,'1SX5TQ'!$J$6:$J$2989,"&gt;="&amp;AE7,'1SX5TQ'!$J$6:$J$2989,"&lt;="&amp;EOMONTH(AE7,0),'1SX5TQ'!$L$6:$L$2989,$B$35)+SUMIFS('BMM465'!$K$6:$K$2989,'BMM465'!$J$6:$J$2989,"&gt;="&amp;AE7,'BMM465'!$J$6:$J$2989,"&lt;="&amp;EOMONTH(AE7,0),'BMM465'!$L$6:$L$2989,$B$35)+SUMIFS('1CF1ZO'!$K$6:$K$2989,'1CF1ZO'!$J$6:$J$2989,"&gt;="&amp;AE7,'1CF1ZO'!$J$6:$J$2989,"&lt;="&amp;EOMONTH(AE7,0),'1CF1ZO'!$L$6:$L$2989,$B$35)+SUMIFS('1UK1BK'!$K$6:$K$2989,'1UK1BK'!$J$6:$J$2989,"&gt;="&amp;AE7,'1UK1BK'!$J$6:$J$2989,"&lt;="&amp;EOMONTH(AE7,0),'1UK1BK'!$L$6:$L$2989,$B$35)</f>
        <v>#REF!</v>
      </c>
      <c r="AF35" s="110" t="e">
        <f>SUMIFS('CEI565'!$K$6:$K$2990,'CEI565'!$J$6:$J$2990,"&gt;="&amp;AF7,'CEI565'!$J$6:$J$2990,"&lt;="&amp;EOMONTH(AF7,0),'CEI565'!$L$6:$L$2990,$B$35)+SUMIFS('1SM3VL'!$K$6:$K$2990,'1SM3VL'!$J$6:$J$2990,"&gt;="&amp;AF7,'1SM3VL'!$J$6:$J$2990,"&lt;="&amp;EOMONTH(AF7,0),'1SM3VL'!$L$6:$L$2990,$B$35)+SUMIFS('1QF4SM'!$K$6:$K$2989,'1QF4SM'!$J$6:$J$2989,"&gt;="&amp;AF7,'1QF4SM'!$J$6:$J$2989,"&lt;="&amp;EOMONTH(AF7,0),'1QF4SM'!$L$6:$L$2989,$B$35)+SUMIFS('1UV5KI'!$K$6:$K$2989,'1UV5KI'!$J$6:$J$2989,"&gt;="&amp;AF7,'1UV5KI'!$J$6:$J$2989,"&lt;="&amp;EOMONTH(AF7,0),'1UV5KI'!$L$6:$L$2989,$B$35)+SUMIFS(#REF!,#REF!,"&gt;="&amp;AF7,#REF!,"&lt;="&amp;EOMONTH(AF7,0),#REF!,$B$35)+SUMIFS('1UL9RY'!$K$6:$K$2990,'1UL9RY'!$J$6:$J$2990,"&gt;="&amp;AF7,'1UL9RY'!$J$6:$J$2990,"&lt;="&amp;EOMONTH(AF7,0),'1UL9RY'!$L$6:$L$2990,$B$35)+SUMIFS('1OZ7GT'!$K$6:$K$2989,'1OZ7GT'!$J$6:$J$2989,"&gt;="&amp;AF7,'1OZ7GT'!$J$6:$J$2989,"&lt;="&amp;EOMONTH(AF7,0),'1OZ7GT'!$L$6:$L$2989,$B$35)+SUMIFS('1CN8DD'!$K$6:$K$2989,'1CN8DD'!$J$6:$J$2989,"&gt;="&amp;AF7,'1CN8DD'!$J$6:$J$2989,"&lt;="&amp;EOMONTH(AF7,0),'1CN8DD'!$L$6:$L$2989,$B$35)+SUMIFS('1UT9BR'!$K$6:$K$2990,'1UT9BR'!$J$6:$J$2990,"&gt;="&amp;AF7,'1UT9BR'!$J$6:$J$2990,"&lt;="&amp;EOMONTH(AF7,0),'1UT9BR'!$L$6:$L$2990,$B$35)+SUMIFS('1MK4UR'!$K$6:$K$2990,'1MK4UR'!$J$6:$J$2990,"&gt;="&amp;AF7,'1MK4UR'!$J$6:$J$2990,"&lt;="&amp;EOMONTH(AF7,0),'1MK4UR'!$L$6:$L$2990,$B$35)+SUMIFS(#REF!,#REF!,"&gt;="&amp;AF7,#REF!,"&lt;="&amp;EOMONTH(AF7,0),#REF!,$B$35)+SUMIFS('1JI2UE'!$K$6:$K$2989,'1JI2UE'!$J$6:$J$2989,"&gt;="&amp;AF7,'1JI2UE'!$J$6:$J$2989,"&lt;="&amp;EOMONTH(AF7,0),'1JI2UE'!$L$6:$L$2989,$B$35)+SUMIFS(#REF!,#REF!,"&gt;="&amp;AF7,#REF!,"&lt;="&amp;EOMONTH(AF7,0),#REF!,$B$35)+SUMIFS('1SI9BW'!$K$6:$K$2989,'1SI9BW'!$J$6:$J$2989,"&gt;="&amp;AF7,'1SI9BW'!$J$6:$J$2989,"&lt;="&amp;EOMONTH(AF7,0),'1SI9BW'!$L$6:$L$2989,$B$35)+SUMIFS(Suzuki!$K$6:$K$2989,Suzuki!$J$6:$J$2989,"&gt;="&amp;AF7,Suzuki!$J$6:$J$2989,"&lt;="&amp;EOMONTH(AF7,0),Suzuki!$L$6:$L$2989,$B$35)+SUMIFS('1SK3DD'!$K$6:$K$2989,'1SK3DD'!$J$6:$J$2989,"&gt;="&amp;AF7,'1SK3DD'!$J$6:$J$2989,"&lt;="&amp;EOMONTH(AF7,0),'1SK3DD'!$L$6:$L$2989,$B$35)+SUMIFS('1SX5TQ'!$K$6:$K$2989,'1SX5TQ'!$J$6:$J$2989,"&gt;="&amp;AF7,'1SX5TQ'!$J$6:$J$2989,"&lt;="&amp;EOMONTH(AF7,0),'1SX5TQ'!$L$6:$L$2989,$B$35)+SUMIFS('BMM465'!$K$6:$K$2989,'BMM465'!$J$6:$J$2989,"&gt;="&amp;AF7,'BMM465'!$J$6:$J$2989,"&lt;="&amp;EOMONTH(AF7,0),'BMM465'!$L$6:$L$2989,$B$35)+SUMIFS('1CF1ZO'!$K$6:$K$2989,'1CF1ZO'!$J$6:$J$2989,"&gt;="&amp;AF7,'1CF1ZO'!$J$6:$J$2989,"&lt;="&amp;EOMONTH(AF7,0),'1CF1ZO'!$L$6:$L$2989,$B$35)+SUMIFS('1UK1BK'!$K$6:$K$2989,'1UK1BK'!$J$6:$J$2989,"&gt;="&amp;AF7,'1UK1BK'!$J$6:$J$2989,"&lt;="&amp;EOMONTH(AF7,0),'1UK1BK'!$L$6:$L$2989,$B$35)</f>
        <v>#REF!</v>
      </c>
      <c r="AG35" s="110" t="e">
        <f>SUMIFS('CEI565'!$K$6:$K$2990,'CEI565'!$J$6:$J$2990,"&gt;="&amp;AG7,'CEI565'!$J$6:$J$2990,"&lt;="&amp;EOMONTH(AG7,0),'CEI565'!$L$6:$L$2990,$B$35)+SUMIFS('1SM3VL'!$K$6:$K$2990,'1SM3VL'!$J$6:$J$2990,"&gt;="&amp;AG7,'1SM3VL'!$J$6:$J$2990,"&lt;="&amp;EOMONTH(AG7,0),'1SM3VL'!$L$6:$L$2990,$B$35)+SUMIFS('1QF4SM'!$K$6:$K$2989,'1QF4SM'!$J$6:$J$2989,"&gt;="&amp;AG7,'1QF4SM'!$J$6:$J$2989,"&lt;="&amp;EOMONTH(AG7,0),'1QF4SM'!$L$6:$L$2989,$B$35)+SUMIFS('1UV5KI'!$K$6:$K$2989,'1UV5KI'!$J$6:$J$2989,"&gt;="&amp;AG7,'1UV5KI'!$J$6:$J$2989,"&lt;="&amp;EOMONTH(AG7,0),'1UV5KI'!$L$6:$L$2989,$B$35)+SUMIFS(#REF!,#REF!,"&gt;="&amp;AG7,#REF!,"&lt;="&amp;EOMONTH(AG7,0),#REF!,$B$35)+SUMIFS('1UL9RY'!$K$6:$K$2990,'1UL9RY'!$J$6:$J$2990,"&gt;="&amp;AG7,'1UL9RY'!$J$6:$J$2990,"&lt;="&amp;EOMONTH(AG7,0),'1UL9RY'!$L$6:$L$2990,$B$35)+SUMIFS('1OZ7GT'!$K$6:$K$2989,'1OZ7GT'!$J$6:$J$2989,"&gt;="&amp;AG7,'1OZ7GT'!$J$6:$J$2989,"&lt;="&amp;EOMONTH(AG7,0),'1OZ7GT'!$L$6:$L$2989,$B$35)+SUMIFS('1CN8DD'!$K$6:$K$2989,'1CN8DD'!$J$6:$J$2989,"&gt;="&amp;AG7,'1CN8DD'!$J$6:$J$2989,"&lt;="&amp;EOMONTH(AG7,0),'1CN8DD'!$L$6:$L$2989,$B$35)+SUMIFS('1UT9BR'!$K$6:$K$2990,'1UT9BR'!$J$6:$J$2990,"&gt;="&amp;AG7,'1UT9BR'!$J$6:$J$2990,"&lt;="&amp;EOMONTH(AG7,0),'1UT9BR'!$L$6:$L$2990,$B$35)+SUMIFS('1MK4UR'!$K$6:$K$2990,'1MK4UR'!$J$6:$J$2990,"&gt;="&amp;AG7,'1MK4UR'!$J$6:$J$2990,"&lt;="&amp;EOMONTH(AG7,0),'1MK4UR'!$L$6:$L$2990,$B$35)+SUMIFS(#REF!,#REF!,"&gt;="&amp;AG7,#REF!,"&lt;="&amp;EOMONTH(AG7,0),#REF!,$B$35)+SUMIFS('1JI2UE'!$K$6:$K$2989,'1JI2UE'!$J$6:$J$2989,"&gt;="&amp;AG7,'1JI2UE'!$J$6:$J$2989,"&lt;="&amp;EOMONTH(AG7,0),'1JI2UE'!$L$6:$L$2989,$B$35)+SUMIFS(#REF!,#REF!,"&gt;="&amp;AG7,#REF!,"&lt;="&amp;EOMONTH(AG7,0),#REF!,$B$35)+SUMIFS('1SI9BW'!$K$6:$K$2989,'1SI9BW'!$J$6:$J$2989,"&gt;="&amp;AG7,'1SI9BW'!$J$6:$J$2989,"&lt;="&amp;EOMONTH(AG7,0),'1SI9BW'!$L$6:$L$2989,$B$35)+SUMIFS(Suzuki!$K$6:$K$2989,Suzuki!$J$6:$J$2989,"&gt;="&amp;AG7,Suzuki!$J$6:$J$2989,"&lt;="&amp;EOMONTH(AG7,0),Suzuki!$L$6:$L$2989,$B$35)+SUMIFS('1SK3DD'!$K$6:$K$2989,'1SK3DD'!$J$6:$J$2989,"&gt;="&amp;AG7,'1SK3DD'!$J$6:$J$2989,"&lt;="&amp;EOMONTH(AG7,0),'1SK3DD'!$L$6:$L$2989,$B$35)+SUMIFS('1SX5TQ'!$K$6:$K$2989,'1SX5TQ'!$J$6:$J$2989,"&gt;="&amp;AG7,'1SX5TQ'!$J$6:$J$2989,"&lt;="&amp;EOMONTH(AG7,0),'1SX5TQ'!$L$6:$L$2989,$B$35)+SUMIFS('BMM465'!$K$6:$K$2989,'BMM465'!$J$6:$J$2989,"&gt;="&amp;AG7,'BMM465'!$J$6:$J$2989,"&lt;="&amp;EOMONTH(AG7,0),'BMM465'!$L$6:$L$2989,$B$35)+SUMIFS('1CF1ZO'!$K$6:$K$2989,'1CF1ZO'!$J$6:$J$2989,"&gt;="&amp;AG7,'1CF1ZO'!$J$6:$J$2989,"&lt;="&amp;EOMONTH(AG7,0),'1CF1ZO'!$L$6:$L$2989,$B$35)+SUMIFS('1UK1BK'!$K$6:$K$2989,'1UK1BK'!$J$6:$J$2989,"&gt;="&amp;AG7,'1UK1BK'!$J$6:$J$2989,"&lt;="&amp;EOMONTH(AG7,0),'1UK1BK'!$L$6:$L$2989,$B$35)</f>
        <v>#REF!</v>
      </c>
      <c r="AH35" s="110" t="e">
        <f>SUMIFS('CEI565'!$K$6:$K$2990,'CEI565'!$J$6:$J$2990,"&gt;="&amp;AH7,'CEI565'!$J$6:$J$2990,"&lt;="&amp;EOMONTH(AH7,0),'CEI565'!$L$6:$L$2990,$B$35)+SUMIFS('1SM3VL'!$K$6:$K$2990,'1SM3VL'!$J$6:$J$2990,"&gt;="&amp;AH7,'1SM3VL'!$J$6:$J$2990,"&lt;="&amp;EOMONTH(AH7,0),'1SM3VL'!$L$6:$L$2990,$B$35)+SUMIFS('1QF4SM'!$K$6:$K$2989,'1QF4SM'!$J$6:$J$2989,"&gt;="&amp;AH7,'1QF4SM'!$J$6:$J$2989,"&lt;="&amp;EOMONTH(AH7,0),'1QF4SM'!$L$6:$L$2989,$B$35)+SUMIFS('1UV5KI'!$K$6:$K$2989,'1UV5KI'!$J$6:$J$2989,"&gt;="&amp;AH7,'1UV5KI'!$J$6:$J$2989,"&lt;="&amp;EOMONTH(AH7,0),'1UV5KI'!$L$6:$L$2989,$B$35)+SUMIFS(#REF!,#REF!,"&gt;="&amp;AH7,#REF!,"&lt;="&amp;EOMONTH(AH7,0),#REF!,$B$35)+SUMIFS('1UL9RY'!$K$6:$K$2990,'1UL9RY'!$J$6:$J$2990,"&gt;="&amp;AH7,'1UL9RY'!$J$6:$J$2990,"&lt;="&amp;EOMONTH(AH7,0),'1UL9RY'!$L$6:$L$2990,$B$35)+SUMIFS('1OZ7GT'!$K$6:$K$2989,'1OZ7GT'!$J$6:$J$2989,"&gt;="&amp;AH7,'1OZ7GT'!$J$6:$J$2989,"&lt;="&amp;EOMONTH(AH7,0),'1OZ7GT'!$L$6:$L$2989,$B$35)+SUMIFS('1CN8DD'!$K$6:$K$2989,'1CN8DD'!$J$6:$J$2989,"&gt;="&amp;AH7,'1CN8DD'!$J$6:$J$2989,"&lt;="&amp;EOMONTH(AH7,0),'1CN8DD'!$L$6:$L$2989,$B$35)+SUMIFS('1UT9BR'!$K$6:$K$2990,'1UT9BR'!$J$6:$J$2990,"&gt;="&amp;AH7,'1UT9BR'!$J$6:$J$2990,"&lt;="&amp;EOMONTH(AH7,0),'1UT9BR'!$L$6:$L$2990,$B$35)+SUMIFS('1MK4UR'!$K$6:$K$2990,'1MK4UR'!$J$6:$J$2990,"&gt;="&amp;AH7,'1MK4UR'!$J$6:$J$2990,"&lt;="&amp;EOMONTH(AH7,0),'1MK4UR'!$L$6:$L$2990,$B$35)+SUMIFS(#REF!,#REF!,"&gt;="&amp;AH7,#REF!,"&lt;="&amp;EOMONTH(AH7,0),#REF!,$B$35)+SUMIFS('1JI2UE'!$K$6:$K$2989,'1JI2UE'!$J$6:$J$2989,"&gt;="&amp;AH7,'1JI2UE'!$J$6:$J$2989,"&lt;="&amp;EOMONTH(AH7,0),'1JI2UE'!$L$6:$L$2989,$B$35)+SUMIFS(#REF!,#REF!,"&gt;="&amp;AH7,#REF!,"&lt;="&amp;EOMONTH(AH7,0),#REF!,$B$35)+SUMIFS('1SI9BW'!$K$6:$K$2989,'1SI9BW'!$J$6:$J$2989,"&gt;="&amp;AH7,'1SI9BW'!$J$6:$J$2989,"&lt;="&amp;EOMONTH(AH7,0),'1SI9BW'!$L$6:$L$2989,$B$35)+SUMIFS(Suzuki!$K$6:$K$2989,Suzuki!$J$6:$J$2989,"&gt;="&amp;AH7,Suzuki!$J$6:$J$2989,"&lt;="&amp;EOMONTH(AH7,0),Suzuki!$L$6:$L$2989,$B$35)+SUMIFS('1SK3DD'!$K$6:$K$2989,'1SK3DD'!$J$6:$J$2989,"&gt;="&amp;AH7,'1SK3DD'!$J$6:$J$2989,"&lt;="&amp;EOMONTH(AH7,0),'1SK3DD'!$L$6:$L$2989,$B$35)+SUMIFS('1SX5TQ'!$K$6:$K$2989,'1SX5TQ'!$J$6:$J$2989,"&gt;="&amp;AH7,'1SX5TQ'!$J$6:$J$2989,"&lt;="&amp;EOMONTH(AH7,0),'1SX5TQ'!$L$6:$L$2989,$B$35)+SUMIFS('BMM465'!$K$6:$K$2989,'BMM465'!$J$6:$J$2989,"&gt;="&amp;AH7,'BMM465'!$J$6:$J$2989,"&lt;="&amp;EOMONTH(AH7,0),'BMM465'!$L$6:$L$2989,$B$35)+SUMIFS('1CF1ZO'!$K$6:$K$2989,'1CF1ZO'!$J$6:$J$2989,"&gt;="&amp;AH7,'1CF1ZO'!$J$6:$J$2989,"&lt;="&amp;EOMONTH(AH7,0),'1CF1ZO'!$L$6:$L$2989,$B$35)+SUMIFS('1UK1BK'!$K$6:$K$2989,'1UK1BK'!$J$6:$J$2989,"&gt;="&amp;AH7,'1UK1BK'!$J$6:$J$2989,"&lt;="&amp;EOMONTH(AH7,0),'1UK1BK'!$L$6:$L$2989,$B$35)</f>
        <v>#REF!</v>
      </c>
      <c r="AI35" s="110" t="e">
        <f>SUMIFS('CEI565'!$K$6:$K$2990,'CEI565'!$J$6:$J$2990,"&gt;="&amp;AI7,'CEI565'!$J$6:$J$2990,"&lt;="&amp;EOMONTH(AI7,0),'CEI565'!$L$6:$L$2990,$B$35)+SUMIFS('1SM3VL'!$K$6:$K$2990,'1SM3VL'!$J$6:$J$2990,"&gt;="&amp;AI7,'1SM3VL'!$J$6:$J$2990,"&lt;="&amp;EOMONTH(AI7,0),'1SM3VL'!$L$6:$L$2990,$B$35)+SUMIFS('1QF4SM'!$K$6:$K$2989,'1QF4SM'!$J$6:$J$2989,"&gt;="&amp;AI7,'1QF4SM'!$J$6:$J$2989,"&lt;="&amp;EOMONTH(AI7,0),'1QF4SM'!$L$6:$L$2989,$B$35)+SUMIFS('1UV5KI'!$K$6:$K$2989,'1UV5KI'!$J$6:$J$2989,"&gt;="&amp;AI7,'1UV5KI'!$J$6:$J$2989,"&lt;="&amp;EOMONTH(AI7,0),'1UV5KI'!$L$6:$L$2989,$B$35)+SUMIFS(#REF!,#REF!,"&gt;="&amp;AI7,#REF!,"&lt;="&amp;EOMONTH(AI7,0),#REF!,$B$35)+SUMIFS('1UL9RY'!$K$6:$K$2990,'1UL9RY'!$J$6:$J$2990,"&gt;="&amp;AI7,'1UL9RY'!$J$6:$J$2990,"&lt;="&amp;EOMONTH(AI7,0),'1UL9RY'!$L$6:$L$2990,$B$35)+SUMIFS('1OZ7GT'!$K$6:$K$2989,'1OZ7GT'!$J$6:$J$2989,"&gt;="&amp;AI7,'1OZ7GT'!$J$6:$J$2989,"&lt;="&amp;EOMONTH(AI7,0),'1OZ7GT'!$L$6:$L$2989,$B$35)+SUMIFS('1CN8DD'!$K$6:$K$2989,'1CN8DD'!$J$6:$J$2989,"&gt;="&amp;AI7,'1CN8DD'!$J$6:$J$2989,"&lt;="&amp;EOMONTH(AI7,0),'1CN8DD'!$L$6:$L$2989,$B$35)+SUMIFS('1UT9BR'!$K$6:$K$2990,'1UT9BR'!$J$6:$J$2990,"&gt;="&amp;AI7,'1UT9BR'!$J$6:$J$2990,"&lt;="&amp;EOMONTH(AI7,0),'1UT9BR'!$L$6:$L$2990,$B$35)+SUMIFS('1MK4UR'!$K$6:$K$2990,'1MK4UR'!$J$6:$J$2990,"&gt;="&amp;AI7,'1MK4UR'!$J$6:$J$2990,"&lt;="&amp;EOMONTH(AI7,0),'1MK4UR'!$L$6:$L$2990,$B$35)+SUMIFS(#REF!,#REF!,"&gt;="&amp;AI7,#REF!,"&lt;="&amp;EOMONTH(AI7,0),#REF!,$B$35)+SUMIFS('1JI2UE'!$K$6:$K$2989,'1JI2UE'!$J$6:$J$2989,"&gt;="&amp;AI7,'1JI2UE'!$J$6:$J$2989,"&lt;="&amp;EOMONTH(AI7,0),'1JI2UE'!$L$6:$L$2989,$B$35)+SUMIFS(#REF!,#REF!,"&gt;="&amp;AI7,#REF!,"&lt;="&amp;EOMONTH(AI7,0),#REF!,$B$35)+SUMIFS('1SI9BW'!$K$6:$K$2989,'1SI9BW'!$J$6:$J$2989,"&gt;="&amp;AI7,'1SI9BW'!$J$6:$J$2989,"&lt;="&amp;EOMONTH(AI7,0),'1SI9BW'!$L$6:$L$2989,$B$35)+SUMIFS(Suzuki!$K$6:$K$2989,Suzuki!$J$6:$J$2989,"&gt;="&amp;AI7,Suzuki!$J$6:$J$2989,"&lt;="&amp;EOMONTH(AI7,0),Suzuki!$L$6:$L$2989,$B$35)+SUMIFS('1SK3DD'!$K$6:$K$2989,'1SK3DD'!$J$6:$J$2989,"&gt;="&amp;AI7,'1SK3DD'!$J$6:$J$2989,"&lt;="&amp;EOMONTH(AI7,0),'1SK3DD'!$L$6:$L$2989,$B$35)+SUMIFS('1SX5TQ'!$K$6:$K$2989,'1SX5TQ'!$J$6:$J$2989,"&gt;="&amp;AI7,'1SX5TQ'!$J$6:$J$2989,"&lt;="&amp;EOMONTH(AI7,0),'1SX5TQ'!$L$6:$L$2989,$B$35)+SUMIFS('BMM465'!$K$6:$K$2989,'BMM465'!$J$6:$J$2989,"&gt;="&amp;AI7,'BMM465'!$J$6:$J$2989,"&lt;="&amp;EOMONTH(AI7,0),'BMM465'!$L$6:$L$2989,$B$35)+SUMIFS('1CF1ZO'!$K$6:$K$2989,'1CF1ZO'!$J$6:$J$2989,"&gt;="&amp;AI7,'1CF1ZO'!$J$6:$J$2989,"&lt;="&amp;EOMONTH(AI7,0),'1CF1ZO'!$L$6:$L$2989,$B$35)+SUMIFS('1UK1BK'!$K$6:$K$2989,'1UK1BK'!$J$6:$J$2989,"&gt;="&amp;AI7,'1UK1BK'!$J$6:$J$2989,"&lt;="&amp;EOMONTH(AI7,0),'1UK1BK'!$L$6:$L$2989,$B$35)</f>
        <v>#REF!</v>
      </c>
      <c r="AJ35" s="110" t="e">
        <f>SUMIFS('CEI565'!$K$6:$K$2990,'CEI565'!$J$6:$J$2990,"&gt;="&amp;AJ7,'CEI565'!$J$6:$J$2990,"&lt;="&amp;EOMONTH(AJ7,0),'CEI565'!$L$6:$L$2990,$B$35)+SUMIFS('1SM3VL'!$K$6:$K$2990,'1SM3VL'!$J$6:$J$2990,"&gt;="&amp;AJ7,'1SM3VL'!$J$6:$J$2990,"&lt;="&amp;EOMONTH(AJ7,0),'1SM3VL'!$L$6:$L$2990,$B$35)+SUMIFS('1QF4SM'!$K$6:$K$2989,'1QF4SM'!$J$6:$J$2989,"&gt;="&amp;AJ7,'1QF4SM'!$J$6:$J$2989,"&lt;="&amp;EOMONTH(AJ7,0),'1QF4SM'!$L$6:$L$2989,$B$35)+SUMIFS('1UV5KI'!$K$6:$K$2989,'1UV5KI'!$J$6:$J$2989,"&gt;="&amp;AJ7,'1UV5KI'!$J$6:$J$2989,"&lt;="&amp;EOMONTH(AJ7,0),'1UV5KI'!$L$6:$L$2989,$B$35)+SUMIFS(#REF!,#REF!,"&gt;="&amp;AJ7,#REF!,"&lt;="&amp;EOMONTH(AJ7,0),#REF!,$B$35)+SUMIFS('1UL9RY'!$K$6:$K$2990,'1UL9RY'!$J$6:$J$2990,"&gt;="&amp;AJ7,'1UL9RY'!$J$6:$J$2990,"&lt;="&amp;EOMONTH(AJ7,0),'1UL9RY'!$L$6:$L$2990,$B$35)+SUMIFS('1OZ7GT'!$K$6:$K$2989,'1OZ7GT'!$J$6:$J$2989,"&gt;="&amp;AJ7,'1OZ7GT'!$J$6:$J$2989,"&lt;="&amp;EOMONTH(AJ7,0),'1OZ7GT'!$L$6:$L$2989,$B$35)+SUMIFS('1CN8DD'!$K$6:$K$2989,'1CN8DD'!$J$6:$J$2989,"&gt;="&amp;AJ7,'1CN8DD'!$J$6:$J$2989,"&lt;="&amp;EOMONTH(AJ7,0),'1CN8DD'!$L$6:$L$2989,$B$35)+SUMIFS('1UT9BR'!$K$6:$K$2990,'1UT9BR'!$J$6:$J$2990,"&gt;="&amp;AJ7,'1UT9BR'!$J$6:$J$2990,"&lt;="&amp;EOMONTH(AJ7,0),'1UT9BR'!$L$6:$L$2990,$B$35)+SUMIFS('1MK4UR'!$K$6:$K$2990,'1MK4UR'!$J$6:$J$2990,"&gt;="&amp;AJ7,'1MK4UR'!$J$6:$J$2990,"&lt;="&amp;EOMONTH(AJ7,0),'1MK4UR'!$L$6:$L$2990,$B$35)+SUMIFS(#REF!,#REF!,"&gt;="&amp;AJ7,#REF!,"&lt;="&amp;EOMONTH(AJ7,0),#REF!,$B$35)+SUMIFS('1JI2UE'!$K$6:$K$2989,'1JI2UE'!$J$6:$J$2989,"&gt;="&amp;AJ7,'1JI2UE'!$J$6:$J$2989,"&lt;="&amp;EOMONTH(AJ7,0),'1JI2UE'!$L$6:$L$2989,$B$35)+SUMIFS(#REF!,#REF!,"&gt;="&amp;AJ7,#REF!,"&lt;="&amp;EOMONTH(AJ7,0),#REF!,$B$35)+SUMIFS('1SI9BW'!$K$6:$K$2989,'1SI9BW'!$J$6:$J$2989,"&gt;="&amp;AJ7,'1SI9BW'!$J$6:$J$2989,"&lt;="&amp;EOMONTH(AJ7,0),'1SI9BW'!$L$6:$L$2989,$B$35)+SUMIFS(Suzuki!$K$6:$K$2989,Suzuki!$J$6:$J$2989,"&gt;="&amp;AJ7,Suzuki!$J$6:$J$2989,"&lt;="&amp;EOMONTH(AJ7,0),Suzuki!$L$6:$L$2989,$B$35)+SUMIFS('1SK3DD'!$K$6:$K$2989,'1SK3DD'!$J$6:$J$2989,"&gt;="&amp;AJ7,'1SK3DD'!$J$6:$J$2989,"&lt;="&amp;EOMONTH(AJ7,0),'1SK3DD'!$L$6:$L$2989,$B$35)+SUMIFS('1SX5TQ'!$K$6:$K$2989,'1SX5TQ'!$J$6:$J$2989,"&gt;="&amp;AJ7,'1SX5TQ'!$J$6:$J$2989,"&lt;="&amp;EOMONTH(AJ7,0),'1SX5TQ'!$L$6:$L$2989,$B$35)+SUMIFS('BMM465'!$K$6:$K$2989,'BMM465'!$J$6:$J$2989,"&gt;="&amp;AJ7,'BMM465'!$J$6:$J$2989,"&lt;="&amp;EOMONTH(AJ7,0),'BMM465'!$L$6:$L$2989,$B$35)+SUMIFS('1CF1ZO'!$K$6:$K$2989,'1CF1ZO'!$J$6:$J$2989,"&gt;="&amp;AJ7,'1CF1ZO'!$J$6:$J$2989,"&lt;="&amp;EOMONTH(AJ7,0),'1CF1ZO'!$L$6:$L$2989,$B$35)+SUMIFS('1UK1BK'!$K$6:$K$2989,'1UK1BK'!$J$6:$J$2989,"&gt;="&amp;AJ7,'1UK1BK'!$J$6:$J$2989,"&lt;="&amp;EOMONTH(AJ7,0),'1UK1BK'!$L$6:$L$2989,$B$35)</f>
        <v>#REF!</v>
      </c>
      <c r="AK35" s="110" t="e">
        <f>SUMIFS('CEI565'!$K$6:$K$2990,'CEI565'!$J$6:$J$2990,"&gt;="&amp;AK7,'CEI565'!$J$6:$J$2990,"&lt;="&amp;EOMONTH(AK7,0),'CEI565'!$L$6:$L$2990,$B$35)+SUMIFS('1SM3VL'!$K$6:$K$2990,'1SM3VL'!$J$6:$J$2990,"&gt;="&amp;AK7,'1SM3VL'!$J$6:$J$2990,"&lt;="&amp;EOMONTH(AK7,0),'1SM3VL'!$L$6:$L$2990,$B$35)+SUMIFS('1QF4SM'!$K$6:$K$2989,'1QF4SM'!$J$6:$J$2989,"&gt;="&amp;AK7,'1QF4SM'!$J$6:$J$2989,"&lt;="&amp;EOMONTH(AK7,0),'1QF4SM'!$L$6:$L$2989,$B$35)+SUMIFS('1UV5KI'!$K$6:$K$2989,'1UV5KI'!$J$6:$J$2989,"&gt;="&amp;AK7,'1UV5KI'!$J$6:$J$2989,"&lt;="&amp;EOMONTH(AK7,0),'1UV5KI'!$L$6:$L$2989,$B$35)+SUMIFS(#REF!,#REF!,"&gt;="&amp;AK7,#REF!,"&lt;="&amp;EOMONTH(AK7,0),#REF!,$B$35)+SUMIFS('1UL9RY'!$K$6:$K$2990,'1UL9RY'!$J$6:$J$2990,"&gt;="&amp;AK7,'1UL9RY'!$J$6:$J$2990,"&lt;="&amp;EOMONTH(AK7,0),'1UL9RY'!$L$6:$L$2990,$B$35)+SUMIFS('1OZ7GT'!$K$6:$K$2989,'1OZ7GT'!$J$6:$J$2989,"&gt;="&amp;AK7,'1OZ7GT'!$J$6:$J$2989,"&lt;="&amp;EOMONTH(AK7,0),'1OZ7GT'!$L$6:$L$2989,$B$35)+SUMIFS('1CN8DD'!$K$6:$K$2989,'1CN8DD'!$J$6:$J$2989,"&gt;="&amp;AK7,'1CN8DD'!$J$6:$J$2989,"&lt;="&amp;EOMONTH(AK7,0),'1CN8DD'!$L$6:$L$2989,$B$35)+SUMIFS('1UT9BR'!$K$6:$K$2990,'1UT9BR'!$J$6:$J$2990,"&gt;="&amp;AK7,'1UT9BR'!$J$6:$J$2990,"&lt;="&amp;EOMONTH(AK7,0),'1UT9BR'!$L$6:$L$2990,$B$35)+SUMIFS('1MK4UR'!$K$6:$K$2990,'1MK4UR'!$J$6:$J$2990,"&gt;="&amp;AK7,'1MK4UR'!$J$6:$J$2990,"&lt;="&amp;EOMONTH(AK7,0),'1MK4UR'!$L$6:$L$2990,$B$35)+SUMIFS(#REF!,#REF!,"&gt;="&amp;AK7,#REF!,"&lt;="&amp;EOMONTH(AK7,0),#REF!,$B$35)+SUMIFS('1JI2UE'!$K$6:$K$2989,'1JI2UE'!$J$6:$J$2989,"&gt;="&amp;AK7,'1JI2UE'!$J$6:$J$2989,"&lt;="&amp;EOMONTH(AK7,0),'1JI2UE'!$L$6:$L$2989,$B$35)+SUMIFS(#REF!,#REF!,"&gt;="&amp;AK7,#REF!,"&lt;="&amp;EOMONTH(AK7,0),#REF!,$B$35)+SUMIFS('1SI9BW'!$K$6:$K$2989,'1SI9BW'!$J$6:$J$2989,"&gt;="&amp;AK7,'1SI9BW'!$J$6:$J$2989,"&lt;="&amp;EOMONTH(AK7,0),'1SI9BW'!$L$6:$L$2989,$B$35)+SUMIFS(Suzuki!$K$6:$K$2989,Suzuki!$J$6:$J$2989,"&gt;="&amp;AK7,Suzuki!$J$6:$J$2989,"&lt;="&amp;EOMONTH(AK7,0),Suzuki!$L$6:$L$2989,$B$35)+SUMIFS('1SK3DD'!$K$6:$K$2989,'1SK3DD'!$J$6:$J$2989,"&gt;="&amp;AK7,'1SK3DD'!$J$6:$J$2989,"&lt;="&amp;EOMONTH(AK7,0),'1SK3DD'!$L$6:$L$2989,$B$35)+SUMIFS('1SX5TQ'!$K$6:$K$2989,'1SX5TQ'!$J$6:$J$2989,"&gt;="&amp;AK7,'1SX5TQ'!$J$6:$J$2989,"&lt;="&amp;EOMONTH(AK7,0),'1SX5TQ'!$L$6:$L$2989,$B$35)+SUMIFS('BMM465'!$K$6:$K$2989,'BMM465'!$J$6:$J$2989,"&gt;="&amp;AK7,'BMM465'!$J$6:$J$2989,"&lt;="&amp;EOMONTH(AK7,0),'BMM465'!$L$6:$L$2989,$B$35)+SUMIFS('1CF1ZO'!$K$6:$K$2989,'1CF1ZO'!$J$6:$J$2989,"&gt;="&amp;AK7,'1CF1ZO'!$J$6:$J$2989,"&lt;="&amp;EOMONTH(AK7,0),'1CF1ZO'!$L$6:$L$2989,$B$35)+SUMIFS('1UK1BK'!$K$6:$K$2989,'1UK1BK'!$J$6:$J$2989,"&gt;="&amp;AK7,'1UK1BK'!$J$6:$J$2989,"&lt;="&amp;EOMONTH(AK7,0),'1UK1BK'!$L$6:$L$2989,$B$35)</f>
        <v>#REF!</v>
      </c>
      <c r="AL35" s="110" t="e">
        <f>SUMIFS('CEI565'!$K$6:$K$2990,'CEI565'!$J$6:$J$2990,"&gt;="&amp;AL7,'CEI565'!$J$6:$J$2990,"&lt;="&amp;EOMONTH(AL7,0),'CEI565'!$L$6:$L$2990,$B$35)+SUMIFS('1SM3VL'!$K$6:$K$2990,'1SM3VL'!$J$6:$J$2990,"&gt;="&amp;AL7,'1SM3VL'!$J$6:$J$2990,"&lt;="&amp;EOMONTH(AL7,0),'1SM3VL'!$L$6:$L$2990,$B$35)+SUMIFS('1QF4SM'!$K$6:$K$2989,'1QF4SM'!$J$6:$J$2989,"&gt;="&amp;AL7,'1QF4SM'!$J$6:$J$2989,"&lt;="&amp;EOMONTH(AL7,0),'1QF4SM'!$L$6:$L$2989,$B$35)+SUMIFS('1UV5KI'!$K$6:$K$2989,'1UV5KI'!$J$6:$J$2989,"&gt;="&amp;AL7,'1UV5KI'!$J$6:$J$2989,"&lt;="&amp;EOMONTH(AL7,0),'1UV5KI'!$L$6:$L$2989,$B$35)+SUMIFS(#REF!,#REF!,"&gt;="&amp;AL7,#REF!,"&lt;="&amp;EOMONTH(AL7,0),#REF!,$B$35)+SUMIFS('1UL9RY'!$K$6:$K$2990,'1UL9RY'!$J$6:$J$2990,"&gt;="&amp;AL7,'1UL9RY'!$J$6:$J$2990,"&lt;="&amp;EOMONTH(AL7,0),'1UL9RY'!$L$6:$L$2990,$B$35)+SUMIFS('1OZ7GT'!$K$6:$K$2989,'1OZ7GT'!$J$6:$J$2989,"&gt;="&amp;AL7,'1OZ7GT'!$J$6:$J$2989,"&lt;="&amp;EOMONTH(AL7,0),'1OZ7GT'!$L$6:$L$2989,$B$35)+SUMIFS('1CN8DD'!$K$6:$K$2989,'1CN8DD'!$J$6:$J$2989,"&gt;="&amp;AL7,'1CN8DD'!$J$6:$J$2989,"&lt;="&amp;EOMONTH(AL7,0),'1CN8DD'!$L$6:$L$2989,$B$35)+SUMIFS('1UT9BR'!$K$6:$K$2990,'1UT9BR'!$J$6:$J$2990,"&gt;="&amp;AL7,'1UT9BR'!$J$6:$J$2990,"&lt;="&amp;EOMONTH(AL7,0),'1UT9BR'!$L$6:$L$2990,$B$35)+SUMIFS('1MK4UR'!$K$6:$K$2990,'1MK4UR'!$J$6:$J$2990,"&gt;="&amp;AL7,'1MK4UR'!$J$6:$J$2990,"&lt;="&amp;EOMONTH(AL7,0),'1MK4UR'!$L$6:$L$2990,$B$35)+SUMIFS(#REF!,#REF!,"&gt;="&amp;AL7,#REF!,"&lt;="&amp;EOMONTH(AL7,0),#REF!,$B$35)+SUMIFS('1JI2UE'!$K$6:$K$2989,'1JI2UE'!$J$6:$J$2989,"&gt;="&amp;AL7,'1JI2UE'!$J$6:$J$2989,"&lt;="&amp;EOMONTH(AL7,0),'1JI2UE'!$L$6:$L$2989,$B$35)+SUMIFS(#REF!,#REF!,"&gt;="&amp;AL7,#REF!,"&lt;="&amp;EOMONTH(AL7,0),#REF!,$B$35)+SUMIFS('1SI9BW'!$K$6:$K$2989,'1SI9BW'!$J$6:$J$2989,"&gt;="&amp;AL7,'1SI9BW'!$J$6:$J$2989,"&lt;="&amp;EOMONTH(AL7,0),'1SI9BW'!$L$6:$L$2989,$B$35)+SUMIFS(Suzuki!$K$6:$K$2989,Suzuki!$J$6:$J$2989,"&gt;="&amp;AL7,Suzuki!$J$6:$J$2989,"&lt;="&amp;EOMONTH(AL7,0),Suzuki!$L$6:$L$2989,$B$35)+SUMIFS('1SK3DD'!$K$6:$K$2989,'1SK3DD'!$J$6:$J$2989,"&gt;="&amp;AL7,'1SK3DD'!$J$6:$J$2989,"&lt;="&amp;EOMONTH(AL7,0),'1SK3DD'!$L$6:$L$2989,$B$35)+SUMIFS('1SX5TQ'!$K$6:$K$2989,'1SX5TQ'!$J$6:$J$2989,"&gt;="&amp;AL7,'1SX5TQ'!$J$6:$J$2989,"&lt;="&amp;EOMONTH(AL7,0),'1SX5TQ'!$L$6:$L$2989,$B$35)+SUMIFS('BMM465'!$K$6:$K$2989,'BMM465'!$J$6:$J$2989,"&gt;="&amp;AL7,'BMM465'!$J$6:$J$2989,"&lt;="&amp;EOMONTH(AL7,0),'BMM465'!$L$6:$L$2989,$B$35)+SUMIFS('1CF1ZO'!$K$6:$K$2989,'1CF1ZO'!$J$6:$J$2989,"&gt;="&amp;AL7,'1CF1ZO'!$J$6:$J$2989,"&lt;="&amp;EOMONTH(AL7,0),'1CF1ZO'!$L$6:$L$2989,$B$35)+SUMIFS('1UK1BK'!$K$6:$K$2989,'1UK1BK'!$J$6:$J$2989,"&gt;="&amp;AL7,'1UK1BK'!$J$6:$J$2989,"&lt;="&amp;EOMONTH(AL7,0),'1UK1BK'!$L$6:$L$2989,$B$35)</f>
        <v>#REF!</v>
      </c>
      <c r="AM35" s="110" t="e">
        <f>SUMIFS('CEI565'!$K$6:$K$2990,'CEI565'!$J$6:$J$2990,"&gt;="&amp;AM7,'CEI565'!$J$6:$J$2990,"&lt;="&amp;EOMONTH(AM7,0),'CEI565'!$L$6:$L$2990,$B$35)+SUMIFS('1SM3VL'!$K$6:$K$2990,'1SM3VL'!$J$6:$J$2990,"&gt;="&amp;AM7,'1SM3VL'!$J$6:$J$2990,"&lt;="&amp;EOMONTH(AM7,0),'1SM3VL'!$L$6:$L$2990,$B$35)+SUMIFS('1QF4SM'!$K$6:$K$2989,'1QF4SM'!$J$6:$J$2989,"&gt;="&amp;AM7,'1QF4SM'!$J$6:$J$2989,"&lt;="&amp;EOMONTH(AM7,0),'1QF4SM'!$L$6:$L$2989,$B$35)+SUMIFS('1UV5KI'!$K$6:$K$2989,'1UV5KI'!$J$6:$J$2989,"&gt;="&amp;AM7,'1UV5KI'!$J$6:$J$2989,"&lt;="&amp;EOMONTH(AM7,0),'1UV5KI'!$L$6:$L$2989,$B$35)+SUMIFS(#REF!,#REF!,"&gt;="&amp;AM7,#REF!,"&lt;="&amp;EOMONTH(AM7,0),#REF!,$B$35)+SUMIFS('1UL9RY'!$K$6:$K$2990,'1UL9RY'!$J$6:$J$2990,"&gt;="&amp;AM7,'1UL9RY'!$J$6:$J$2990,"&lt;="&amp;EOMONTH(AM7,0),'1UL9RY'!$L$6:$L$2990,$B$35)+SUMIFS('1OZ7GT'!$K$6:$K$2989,'1OZ7GT'!$J$6:$J$2989,"&gt;="&amp;AM7,'1OZ7GT'!$J$6:$J$2989,"&lt;="&amp;EOMONTH(AM7,0),'1OZ7GT'!$L$6:$L$2989,$B$35)+SUMIFS('1CN8DD'!$K$6:$K$2989,'1CN8DD'!$J$6:$J$2989,"&gt;="&amp;AM7,'1CN8DD'!$J$6:$J$2989,"&lt;="&amp;EOMONTH(AM7,0),'1CN8DD'!$L$6:$L$2989,$B$35)+SUMIFS('1UT9BR'!$K$6:$K$2990,'1UT9BR'!$J$6:$J$2990,"&gt;="&amp;AM7,'1UT9BR'!$J$6:$J$2990,"&lt;="&amp;EOMONTH(AM7,0),'1UT9BR'!$L$6:$L$2990,$B$35)+SUMIFS('1MK4UR'!$K$6:$K$2990,'1MK4UR'!$J$6:$J$2990,"&gt;="&amp;AM7,'1MK4UR'!$J$6:$J$2990,"&lt;="&amp;EOMONTH(AM7,0),'1MK4UR'!$L$6:$L$2990,$B$35)+SUMIFS(#REF!,#REF!,"&gt;="&amp;AM7,#REF!,"&lt;="&amp;EOMONTH(AM7,0),#REF!,$B$35)+SUMIFS('1JI2UE'!$K$6:$K$2989,'1JI2UE'!$J$6:$J$2989,"&gt;="&amp;AM7,'1JI2UE'!$J$6:$J$2989,"&lt;="&amp;EOMONTH(AM7,0),'1JI2UE'!$L$6:$L$2989,$B$35)+SUMIFS(#REF!,#REF!,"&gt;="&amp;AM7,#REF!,"&lt;="&amp;EOMONTH(AM7,0),#REF!,$B$35)+SUMIFS('1SI9BW'!$K$6:$K$2989,'1SI9BW'!$J$6:$J$2989,"&gt;="&amp;AM7,'1SI9BW'!$J$6:$J$2989,"&lt;="&amp;EOMONTH(AM7,0),'1SI9BW'!$L$6:$L$2989,$B$35)+SUMIFS(Suzuki!$K$6:$K$2989,Suzuki!$J$6:$J$2989,"&gt;="&amp;AM7,Suzuki!$J$6:$J$2989,"&lt;="&amp;EOMONTH(AM7,0),Suzuki!$L$6:$L$2989,$B$35)+SUMIFS('1SK3DD'!$K$6:$K$2989,'1SK3DD'!$J$6:$J$2989,"&gt;="&amp;AM7,'1SK3DD'!$J$6:$J$2989,"&lt;="&amp;EOMONTH(AM7,0),'1SK3DD'!$L$6:$L$2989,$B$35)+SUMIFS('1SX5TQ'!$K$6:$K$2989,'1SX5TQ'!$J$6:$J$2989,"&gt;="&amp;AM7,'1SX5TQ'!$J$6:$J$2989,"&lt;="&amp;EOMONTH(AM7,0),'1SX5TQ'!$L$6:$L$2989,$B$35)+SUMIFS('BMM465'!$K$6:$K$2989,'BMM465'!$J$6:$J$2989,"&gt;="&amp;AM7,'BMM465'!$J$6:$J$2989,"&lt;="&amp;EOMONTH(AM7,0),'BMM465'!$L$6:$L$2989,$B$35)+SUMIFS('1CF1ZO'!$K$6:$K$2989,'1CF1ZO'!$J$6:$J$2989,"&gt;="&amp;AM7,'1CF1ZO'!$J$6:$J$2989,"&lt;="&amp;EOMONTH(AM7,0),'1CF1ZO'!$L$6:$L$2989,$B$35)+SUMIFS('1UK1BK'!$K$6:$K$2989,'1UK1BK'!$J$6:$J$2989,"&gt;="&amp;AM7,'1UK1BK'!$J$6:$J$2989,"&lt;="&amp;EOMONTH(AM7,0),'1UK1BK'!$L$6:$L$2989,$B$35)</f>
        <v>#REF!</v>
      </c>
      <c r="AN35" s="110" t="e">
        <f>SUMIFS('CEI565'!$K$6:$K$2990,'CEI565'!$J$6:$J$2990,"&gt;="&amp;AN7,'CEI565'!$J$6:$J$2990,"&lt;="&amp;EOMONTH(AN7,0),'CEI565'!$L$6:$L$2990,$B$35)+SUMIFS('1SM3VL'!$K$6:$K$2990,'1SM3VL'!$J$6:$J$2990,"&gt;="&amp;AN7,'1SM3VL'!$J$6:$J$2990,"&lt;="&amp;EOMONTH(AN7,0),'1SM3VL'!$L$6:$L$2990,$B$35)+SUMIFS('1QF4SM'!$K$6:$K$2989,'1QF4SM'!$J$6:$J$2989,"&gt;="&amp;AN7,'1QF4SM'!$J$6:$J$2989,"&lt;="&amp;EOMONTH(AN7,0),'1QF4SM'!$L$6:$L$2989,$B$35)+SUMIFS('1UV5KI'!$K$6:$K$2989,'1UV5KI'!$J$6:$J$2989,"&gt;="&amp;AN7,'1UV5KI'!$J$6:$J$2989,"&lt;="&amp;EOMONTH(AN7,0),'1UV5KI'!$L$6:$L$2989,$B$35)+SUMIFS(#REF!,#REF!,"&gt;="&amp;AN7,#REF!,"&lt;="&amp;EOMONTH(AN7,0),#REF!,$B$35)+SUMIFS('1UL9RY'!$K$6:$K$2990,'1UL9RY'!$J$6:$J$2990,"&gt;="&amp;AN7,'1UL9RY'!$J$6:$J$2990,"&lt;="&amp;EOMONTH(AN7,0),'1UL9RY'!$L$6:$L$2990,$B$35)+SUMIFS('1OZ7GT'!$K$6:$K$2989,'1OZ7GT'!$J$6:$J$2989,"&gt;="&amp;AN7,'1OZ7GT'!$J$6:$J$2989,"&lt;="&amp;EOMONTH(AN7,0),'1OZ7GT'!$L$6:$L$2989,$B$35)+SUMIFS('1CN8DD'!$K$6:$K$2989,'1CN8DD'!$J$6:$J$2989,"&gt;="&amp;AN7,'1CN8DD'!$J$6:$J$2989,"&lt;="&amp;EOMONTH(AN7,0),'1CN8DD'!$L$6:$L$2989,$B$35)+SUMIFS('1UT9BR'!$K$6:$K$2990,'1UT9BR'!$J$6:$J$2990,"&gt;="&amp;AN7,'1UT9BR'!$J$6:$J$2990,"&lt;="&amp;EOMONTH(AN7,0),'1UT9BR'!$L$6:$L$2990,$B$35)+SUMIFS('1MK4UR'!$K$6:$K$2990,'1MK4UR'!$J$6:$J$2990,"&gt;="&amp;AN7,'1MK4UR'!$J$6:$J$2990,"&lt;="&amp;EOMONTH(AN7,0),'1MK4UR'!$L$6:$L$2990,$B$35)+SUMIFS(#REF!,#REF!,"&gt;="&amp;AN7,#REF!,"&lt;="&amp;EOMONTH(AN7,0),#REF!,$B$35)+SUMIFS('1JI2UE'!$K$6:$K$2989,'1JI2UE'!$J$6:$J$2989,"&gt;="&amp;AN7,'1JI2UE'!$J$6:$J$2989,"&lt;="&amp;EOMONTH(AN7,0),'1JI2UE'!$L$6:$L$2989,$B$35)+SUMIFS(#REF!,#REF!,"&gt;="&amp;AN7,#REF!,"&lt;="&amp;EOMONTH(AN7,0),#REF!,$B$35)+SUMIFS('1SI9BW'!$K$6:$K$2989,'1SI9BW'!$J$6:$J$2989,"&gt;="&amp;AN7,'1SI9BW'!$J$6:$J$2989,"&lt;="&amp;EOMONTH(AN7,0),'1SI9BW'!$L$6:$L$2989,$B$35)+SUMIFS(Suzuki!$K$6:$K$2989,Suzuki!$J$6:$J$2989,"&gt;="&amp;AN7,Suzuki!$J$6:$J$2989,"&lt;="&amp;EOMONTH(AN7,0),Suzuki!$L$6:$L$2989,$B$35)+SUMIFS('1SK3DD'!$K$6:$K$2989,'1SK3DD'!$J$6:$J$2989,"&gt;="&amp;AN7,'1SK3DD'!$J$6:$J$2989,"&lt;="&amp;EOMONTH(AN7,0),'1SK3DD'!$L$6:$L$2989,$B$35)+SUMIFS('1SX5TQ'!$K$6:$K$2989,'1SX5TQ'!$J$6:$J$2989,"&gt;="&amp;AN7,'1SX5TQ'!$J$6:$J$2989,"&lt;="&amp;EOMONTH(AN7,0),'1SX5TQ'!$L$6:$L$2989,$B$35)+SUMIFS('BMM465'!$K$6:$K$2989,'BMM465'!$J$6:$J$2989,"&gt;="&amp;AN7,'BMM465'!$J$6:$J$2989,"&lt;="&amp;EOMONTH(AN7,0),'BMM465'!$L$6:$L$2989,$B$35)+SUMIFS('1CF1ZO'!$K$6:$K$2989,'1CF1ZO'!$J$6:$J$2989,"&gt;="&amp;AN7,'1CF1ZO'!$J$6:$J$2989,"&lt;="&amp;EOMONTH(AN7,0),'1CF1ZO'!$L$6:$L$2989,$B$35)+SUMIFS('1UK1BK'!$K$6:$K$2989,'1UK1BK'!$J$6:$J$2989,"&gt;="&amp;AN7,'1UK1BK'!$J$6:$J$2989,"&lt;="&amp;EOMONTH(AN7,0),'1UK1BK'!$L$6:$L$2989,$B$35)</f>
        <v>#REF!</v>
      </c>
      <c r="AO35" s="110" t="e">
        <f>SUMIFS('CEI565'!$K$6:$K$2990,'CEI565'!$J$6:$J$2990,"&gt;="&amp;AO7,'CEI565'!$J$6:$J$2990,"&lt;="&amp;EOMONTH(AO7,0),'CEI565'!$L$6:$L$2990,$B$35)+SUMIFS('1SM3VL'!$K$6:$K$2990,'1SM3VL'!$J$6:$J$2990,"&gt;="&amp;AO7,'1SM3VL'!$J$6:$J$2990,"&lt;="&amp;EOMONTH(AO7,0),'1SM3VL'!$L$6:$L$2990,$B$35)+SUMIFS('1QF4SM'!$K$6:$K$2989,'1QF4SM'!$J$6:$J$2989,"&gt;="&amp;AO7,'1QF4SM'!$J$6:$J$2989,"&lt;="&amp;EOMONTH(AO7,0),'1QF4SM'!$L$6:$L$2989,$B$35)+SUMIFS('1UV5KI'!$K$6:$K$2989,'1UV5KI'!$J$6:$J$2989,"&gt;="&amp;AO7,'1UV5KI'!$J$6:$J$2989,"&lt;="&amp;EOMONTH(AO7,0),'1UV5KI'!$L$6:$L$2989,$B$35)+SUMIFS(#REF!,#REF!,"&gt;="&amp;AO7,#REF!,"&lt;="&amp;EOMONTH(AO7,0),#REF!,$B$35)+SUMIFS('1UL9RY'!$K$6:$K$2990,'1UL9RY'!$J$6:$J$2990,"&gt;="&amp;AO7,'1UL9RY'!$J$6:$J$2990,"&lt;="&amp;EOMONTH(AO7,0),'1UL9RY'!$L$6:$L$2990,$B$35)+SUMIFS('1OZ7GT'!$K$6:$K$2989,'1OZ7GT'!$J$6:$J$2989,"&gt;="&amp;AO7,'1OZ7GT'!$J$6:$J$2989,"&lt;="&amp;EOMONTH(AO7,0),'1OZ7GT'!$L$6:$L$2989,$B$35)+SUMIFS('1CN8DD'!$K$6:$K$2989,'1CN8DD'!$J$6:$J$2989,"&gt;="&amp;AO7,'1CN8DD'!$J$6:$J$2989,"&lt;="&amp;EOMONTH(AO7,0),'1CN8DD'!$L$6:$L$2989,$B$35)+SUMIFS('1UT9BR'!$K$6:$K$2990,'1UT9BR'!$J$6:$J$2990,"&gt;="&amp;AO7,'1UT9BR'!$J$6:$J$2990,"&lt;="&amp;EOMONTH(AO7,0),'1UT9BR'!$L$6:$L$2990,$B$35)+SUMIFS('1MK4UR'!$K$6:$K$2990,'1MK4UR'!$J$6:$J$2990,"&gt;="&amp;AO7,'1MK4UR'!$J$6:$J$2990,"&lt;="&amp;EOMONTH(AO7,0),'1MK4UR'!$L$6:$L$2990,$B$35)+SUMIFS(#REF!,#REF!,"&gt;="&amp;AO7,#REF!,"&lt;="&amp;EOMONTH(AO7,0),#REF!,$B$35)+SUMIFS('1JI2UE'!$K$6:$K$2989,'1JI2UE'!$J$6:$J$2989,"&gt;="&amp;AO7,'1JI2UE'!$J$6:$J$2989,"&lt;="&amp;EOMONTH(AO7,0),'1JI2UE'!$L$6:$L$2989,$B$35)+SUMIFS(#REF!,#REF!,"&gt;="&amp;AO7,#REF!,"&lt;="&amp;EOMONTH(AO7,0),#REF!,$B$35)+SUMIFS('1SI9BW'!$K$6:$K$2989,'1SI9BW'!$J$6:$J$2989,"&gt;="&amp;AO7,'1SI9BW'!$J$6:$J$2989,"&lt;="&amp;EOMONTH(AO7,0),'1SI9BW'!$L$6:$L$2989,$B$35)+SUMIFS(Suzuki!$K$6:$K$2989,Suzuki!$J$6:$J$2989,"&gt;="&amp;AO7,Suzuki!$J$6:$J$2989,"&lt;="&amp;EOMONTH(AO7,0),Suzuki!$L$6:$L$2989,$B$35)+SUMIFS('1SK3DD'!$K$6:$K$2989,'1SK3DD'!$J$6:$J$2989,"&gt;="&amp;AO7,'1SK3DD'!$J$6:$J$2989,"&lt;="&amp;EOMONTH(AO7,0),'1SK3DD'!$L$6:$L$2989,$B$35)+SUMIFS('1SX5TQ'!$K$6:$K$2989,'1SX5TQ'!$J$6:$J$2989,"&gt;="&amp;AO7,'1SX5TQ'!$J$6:$J$2989,"&lt;="&amp;EOMONTH(AO7,0),'1SX5TQ'!$L$6:$L$2989,$B$35)+SUMIFS('BMM465'!$K$6:$K$2989,'BMM465'!$J$6:$J$2989,"&gt;="&amp;AO7,'BMM465'!$J$6:$J$2989,"&lt;="&amp;EOMONTH(AO7,0),'BMM465'!$L$6:$L$2989,$B$35)+SUMIFS('1CF1ZO'!$K$6:$K$2989,'1CF1ZO'!$J$6:$J$2989,"&gt;="&amp;AO7,'1CF1ZO'!$J$6:$J$2989,"&lt;="&amp;EOMONTH(AO7,0),'1CF1ZO'!$L$6:$L$2989,$B$35)+SUMIFS('1UK1BK'!$K$6:$K$2989,'1UK1BK'!$J$6:$J$2989,"&gt;="&amp;AO7,'1UK1BK'!$J$6:$J$2989,"&lt;="&amp;EOMONTH(AO7,0),'1UK1BK'!$L$6:$L$2989,$B$35)</f>
        <v>#REF!</v>
      </c>
      <c r="AP35" s="110" t="e">
        <f>SUMIFS('CEI565'!$K$6:$K$2990,'CEI565'!$J$6:$J$2990,"&gt;="&amp;AP7,'CEI565'!$J$6:$J$2990,"&lt;="&amp;EOMONTH(AP7,0),'CEI565'!$L$6:$L$2990,$B$35)+SUMIFS('1SM3VL'!$K$6:$K$2990,'1SM3VL'!$J$6:$J$2990,"&gt;="&amp;AP7,'1SM3VL'!$J$6:$J$2990,"&lt;="&amp;EOMONTH(AP7,0),'1SM3VL'!$L$6:$L$2990,$B$35)+SUMIFS('1QF4SM'!$K$6:$K$2989,'1QF4SM'!$J$6:$J$2989,"&gt;="&amp;AP7,'1QF4SM'!$J$6:$J$2989,"&lt;="&amp;EOMONTH(AP7,0),'1QF4SM'!$L$6:$L$2989,$B$35)+SUMIFS('1UV5KI'!$K$6:$K$2989,'1UV5KI'!$J$6:$J$2989,"&gt;="&amp;AP7,'1UV5KI'!$J$6:$J$2989,"&lt;="&amp;EOMONTH(AP7,0),'1UV5KI'!$L$6:$L$2989,$B$35)+SUMIFS(#REF!,#REF!,"&gt;="&amp;AP7,#REF!,"&lt;="&amp;EOMONTH(AP7,0),#REF!,$B$35)+SUMIFS('1UL9RY'!$K$6:$K$2990,'1UL9RY'!$J$6:$J$2990,"&gt;="&amp;AP7,'1UL9RY'!$J$6:$J$2990,"&lt;="&amp;EOMONTH(AP7,0),'1UL9RY'!$L$6:$L$2990,$B$35)+SUMIFS('1OZ7GT'!$K$6:$K$2989,'1OZ7GT'!$J$6:$J$2989,"&gt;="&amp;AP7,'1OZ7GT'!$J$6:$J$2989,"&lt;="&amp;EOMONTH(AP7,0),'1OZ7GT'!$L$6:$L$2989,$B$35)+SUMIFS('1CN8DD'!$K$6:$K$2989,'1CN8DD'!$J$6:$J$2989,"&gt;="&amp;AP7,'1CN8DD'!$J$6:$J$2989,"&lt;="&amp;EOMONTH(AP7,0),'1CN8DD'!$L$6:$L$2989,$B$35)+SUMIFS('1UT9BR'!$K$6:$K$2990,'1UT9BR'!$J$6:$J$2990,"&gt;="&amp;AP7,'1UT9BR'!$J$6:$J$2990,"&lt;="&amp;EOMONTH(AP7,0),'1UT9BR'!$L$6:$L$2990,$B$35)+SUMIFS('1MK4UR'!$K$6:$K$2990,'1MK4UR'!$J$6:$J$2990,"&gt;="&amp;AP7,'1MK4UR'!$J$6:$J$2990,"&lt;="&amp;EOMONTH(AP7,0),'1MK4UR'!$L$6:$L$2990,$B$35)+SUMIFS(#REF!,#REF!,"&gt;="&amp;AP7,#REF!,"&lt;="&amp;EOMONTH(AP7,0),#REF!,$B$35)+SUMIFS('1JI2UE'!$K$6:$K$2989,'1JI2UE'!$J$6:$J$2989,"&gt;="&amp;AP7,'1JI2UE'!$J$6:$J$2989,"&lt;="&amp;EOMONTH(AP7,0),'1JI2UE'!$L$6:$L$2989,$B$35)+SUMIFS(#REF!,#REF!,"&gt;="&amp;AP7,#REF!,"&lt;="&amp;EOMONTH(AP7,0),#REF!,$B$35)+SUMIFS('1SI9BW'!$K$6:$K$2989,'1SI9BW'!$J$6:$J$2989,"&gt;="&amp;AP7,'1SI9BW'!$J$6:$J$2989,"&lt;="&amp;EOMONTH(AP7,0),'1SI9BW'!$L$6:$L$2989,$B$35)+SUMIFS(Suzuki!$K$6:$K$2989,Suzuki!$J$6:$J$2989,"&gt;="&amp;AP7,Suzuki!$J$6:$J$2989,"&lt;="&amp;EOMONTH(AP7,0),Suzuki!$L$6:$L$2989,$B$35)+SUMIFS('1SK3DD'!$K$6:$K$2989,'1SK3DD'!$J$6:$J$2989,"&gt;="&amp;AP7,'1SK3DD'!$J$6:$J$2989,"&lt;="&amp;EOMONTH(AP7,0),'1SK3DD'!$L$6:$L$2989,$B$35)+SUMIFS('1SX5TQ'!$K$6:$K$2989,'1SX5TQ'!$J$6:$J$2989,"&gt;="&amp;AP7,'1SX5TQ'!$J$6:$J$2989,"&lt;="&amp;EOMONTH(AP7,0),'1SX5TQ'!$L$6:$L$2989,$B$35)+SUMIFS('BMM465'!$K$6:$K$2989,'BMM465'!$J$6:$J$2989,"&gt;="&amp;AP7,'BMM465'!$J$6:$J$2989,"&lt;="&amp;EOMONTH(AP7,0),'BMM465'!$L$6:$L$2989,$B$35)+SUMIFS('1CF1ZO'!$K$6:$K$2989,'1CF1ZO'!$J$6:$J$2989,"&gt;="&amp;AP7,'1CF1ZO'!$J$6:$J$2989,"&lt;="&amp;EOMONTH(AP7,0),'1CF1ZO'!$L$6:$L$2989,$B$35)+SUMIFS('1UK1BK'!$K$6:$K$2989,'1UK1BK'!$J$6:$J$2989,"&gt;="&amp;AP7,'1UK1BK'!$J$6:$J$2989,"&lt;="&amp;EOMONTH(AP7,0),'1UK1BK'!$L$6:$L$2989,$B$35)</f>
        <v>#REF!</v>
      </c>
      <c r="AQ35" s="110" t="e">
        <f>SUMIFS('CEI565'!$K$6:$K$2990,'CEI565'!$J$6:$J$2990,"&gt;="&amp;AQ7,'CEI565'!$J$6:$J$2990,"&lt;="&amp;EOMONTH(AQ7,0),'CEI565'!$L$6:$L$2990,$B$35)+SUMIFS('1SM3VL'!$K$6:$K$2990,'1SM3VL'!$J$6:$J$2990,"&gt;="&amp;AQ7,'1SM3VL'!$J$6:$J$2990,"&lt;="&amp;EOMONTH(AQ7,0),'1SM3VL'!$L$6:$L$2990,$B$35)+SUMIFS('1QF4SM'!$K$6:$K$2989,'1QF4SM'!$J$6:$J$2989,"&gt;="&amp;AQ7,'1QF4SM'!$J$6:$J$2989,"&lt;="&amp;EOMONTH(AQ7,0),'1QF4SM'!$L$6:$L$2989,$B$35)+SUMIFS('1UV5KI'!$K$6:$K$2989,'1UV5KI'!$J$6:$J$2989,"&gt;="&amp;AQ7,'1UV5KI'!$J$6:$J$2989,"&lt;="&amp;EOMONTH(AQ7,0),'1UV5KI'!$L$6:$L$2989,$B$35)+SUMIFS(#REF!,#REF!,"&gt;="&amp;AQ7,#REF!,"&lt;="&amp;EOMONTH(AQ7,0),#REF!,$B$35)+SUMIFS('1UL9RY'!$K$6:$K$2990,'1UL9RY'!$J$6:$J$2990,"&gt;="&amp;AQ7,'1UL9RY'!$J$6:$J$2990,"&lt;="&amp;EOMONTH(AQ7,0),'1UL9RY'!$L$6:$L$2990,$B$35)+SUMIFS('1OZ7GT'!$K$6:$K$2989,'1OZ7GT'!$J$6:$J$2989,"&gt;="&amp;AQ7,'1OZ7GT'!$J$6:$J$2989,"&lt;="&amp;EOMONTH(AQ7,0),'1OZ7GT'!$L$6:$L$2989,$B$35)+SUMIFS('1CN8DD'!$K$6:$K$2989,'1CN8DD'!$J$6:$J$2989,"&gt;="&amp;AQ7,'1CN8DD'!$J$6:$J$2989,"&lt;="&amp;EOMONTH(AQ7,0),'1CN8DD'!$L$6:$L$2989,$B$35)+SUMIFS('1UT9BR'!$K$6:$K$2990,'1UT9BR'!$J$6:$J$2990,"&gt;="&amp;AQ7,'1UT9BR'!$J$6:$J$2990,"&lt;="&amp;EOMONTH(AQ7,0),'1UT9BR'!$L$6:$L$2990,$B$35)+SUMIFS('1MK4UR'!$K$6:$K$2990,'1MK4UR'!$J$6:$J$2990,"&gt;="&amp;AQ7,'1MK4UR'!$J$6:$J$2990,"&lt;="&amp;EOMONTH(AQ7,0),'1MK4UR'!$L$6:$L$2990,$B$35)+SUMIFS(#REF!,#REF!,"&gt;="&amp;AQ7,#REF!,"&lt;="&amp;EOMONTH(AQ7,0),#REF!,$B$35)+SUMIFS('1JI2UE'!$K$6:$K$2989,'1JI2UE'!$J$6:$J$2989,"&gt;="&amp;AQ7,'1JI2UE'!$J$6:$J$2989,"&lt;="&amp;EOMONTH(AQ7,0),'1JI2UE'!$L$6:$L$2989,$B$35)+SUMIFS(#REF!,#REF!,"&gt;="&amp;AQ7,#REF!,"&lt;="&amp;EOMONTH(AQ7,0),#REF!,$B$35)+SUMIFS('1SI9BW'!$K$6:$K$2989,'1SI9BW'!$J$6:$J$2989,"&gt;="&amp;AQ7,'1SI9BW'!$J$6:$J$2989,"&lt;="&amp;EOMONTH(AQ7,0),'1SI9BW'!$L$6:$L$2989,$B$35)+SUMIFS(Suzuki!$K$6:$K$2989,Suzuki!$J$6:$J$2989,"&gt;="&amp;AQ7,Suzuki!$J$6:$J$2989,"&lt;="&amp;EOMONTH(AQ7,0),Suzuki!$L$6:$L$2989,$B$35)+SUMIFS('1SK3DD'!$K$6:$K$2989,'1SK3DD'!$J$6:$J$2989,"&gt;="&amp;AQ7,'1SK3DD'!$J$6:$J$2989,"&lt;="&amp;EOMONTH(AQ7,0),'1SK3DD'!$L$6:$L$2989,$B$35)+SUMIFS('1SX5TQ'!$K$6:$K$2989,'1SX5TQ'!$J$6:$J$2989,"&gt;="&amp;AQ7,'1SX5TQ'!$J$6:$J$2989,"&lt;="&amp;EOMONTH(AQ7,0),'1SX5TQ'!$L$6:$L$2989,$B$35)+SUMIFS('BMM465'!$K$6:$K$2989,'BMM465'!$J$6:$J$2989,"&gt;="&amp;AQ7,'BMM465'!$J$6:$J$2989,"&lt;="&amp;EOMONTH(AQ7,0),'BMM465'!$L$6:$L$2989,$B$35)+SUMIFS('1CF1ZO'!$K$6:$K$2989,'1CF1ZO'!$J$6:$J$2989,"&gt;="&amp;AQ7,'1CF1ZO'!$J$6:$J$2989,"&lt;="&amp;EOMONTH(AQ7,0),'1CF1ZO'!$L$6:$L$2989,$B$35)+SUMIFS('1UK1BK'!$K$6:$K$2989,'1UK1BK'!$J$6:$J$2989,"&gt;="&amp;AQ7,'1UK1BK'!$J$6:$J$2989,"&lt;="&amp;EOMONTH(AQ7,0),'1UK1BK'!$L$6:$L$2989,$B$35)</f>
        <v>#REF!</v>
      </c>
      <c r="AR35" s="110" t="e">
        <f>SUMIFS('CEI565'!$K$6:$K$2990,'CEI565'!$J$6:$J$2990,"&gt;="&amp;AR7,'CEI565'!$J$6:$J$2990,"&lt;="&amp;EOMONTH(AR7,0),'CEI565'!$L$6:$L$2990,$B$35)+SUMIFS('1SM3VL'!$K$6:$K$2990,'1SM3VL'!$J$6:$J$2990,"&gt;="&amp;AR7,'1SM3VL'!$J$6:$J$2990,"&lt;="&amp;EOMONTH(AR7,0),'1SM3VL'!$L$6:$L$2990,$B$35)+SUMIFS('1QF4SM'!$K$6:$K$2989,'1QF4SM'!$J$6:$J$2989,"&gt;="&amp;AR7,'1QF4SM'!$J$6:$J$2989,"&lt;="&amp;EOMONTH(AR7,0),'1QF4SM'!$L$6:$L$2989,$B$35)+SUMIFS('1UV5KI'!$K$6:$K$2989,'1UV5KI'!$J$6:$J$2989,"&gt;="&amp;AR7,'1UV5KI'!$J$6:$J$2989,"&lt;="&amp;EOMONTH(AR7,0),'1UV5KI'!$L$6:$L$2989,$B$35)+SUMIFS(#REF!,#REF!,"&gt;="&amp;AR7,#REF!,"&lt;="&amp;EOMONTH(AR7,0),#REF!,$B$35)+SUMIFS('1UL9RY'!$K$6:$K$2990,'1UL9RY'!$J$6:$J$2990,"&gt;="&amp;AR7,'1UL9RY'!$J$6:$J$2990,"&lt;="&amp;EOMONTH(AR7,0),'1UL9RY'!$L$6:$L$2990,$B$35)+SUMIFS('1OZ7GT'!$K$6:$K$2989,'1OZ7GT'!$J$6:$J$2989,"&gt;="&amp;AR7,'1OZ7GT'!$J$6:$J$2989,"&lt;="&amp;EOMONTH(AR7,0),'1OZ7GT'!$L$6:$L$2989,$B$35)+SUMIFS('1CN8DD'!$K$6:$K$2989,'1CN8DD'!$J$6:$J$2989,"&gt;="&amp;AR7,'1CN8DD'!$J$6:$J$2989,"&lt;="&amp;EOMONTH(AR7,0),'1CN8DD'!$L$6:$L$2989,$B$35)+SUMIFS('1UT9BR'!$K$6:$K$2990,'1UT9BR'!$J$6:$J$2990,"&gt;="&amp;AR7,'1UT9BR'!$J$6:$J$2990,"&lt;="&amp;EOMONTH(AR7,0),'1UT9BR'!$L$6:$L$2990,$B$35)+SUMIFS('1MK4UR'!$K$6:$K$2990,'1MK4UR'!$J$6:$J$2990,"&gt;="&amp;AR7,'1MK4UR'!$J$6:$J$2990,"&lt;="&amp;EOMONTH(AR7,0),'1MK4UR'!$L$6:$L$2990,$B$35)+SUMIFS(#REF!,#REF!,"&gt;="&amp;AR7,#REF!,"&lt;="&amp;EOMONTH(AR7,0),#REF!,$B$35)+SUMIFS('1JI2UE'!$K$6:$K$2989,'1JI2UE'!$J$6:$J$2989,"&gt;="&amp;AR7,'1JI2UE'!$J$6:$J$2989,"&lt;="&amp;EOMONTH(AR7,0),'1JI2UE'!$L$6:$L$2989,$B$35)+SUMIFS(#REF!,#REF!,"&gt;="&amp;AR7,#REF!,"&lt;="&amp;EOMONTH(AR7,0),#REF!,$B$35)+SUMIFS('1SI9BW'!$K$6:$K$2989,'1SI9BW'!$J$6:$J$2989,"&gt;="&amp;AR7,'1SI9BW'!$J$6:$J$2989,"&lt;="&amp;EOMONTH(AR7,0),'1SI9BW'!$L$6:$L$2989,$B$35)+SUMIFS(Suzuki!$K$6:$K$2989,Suzuki!$J$6:$J$2989,"&gt;="&amp;AR7,Suzuki!$J$6:$J$2989,"&lt;="&amp;EOMONTH(AR7,0),Suzuki!$L$6:$L$2989,$B$35)+SUMIFS('1SK3DD'!$K$6:$K$2989,'1SK3DD'!$J$6:$J$2989,"&gt;="&amp;AR7,'1SK3DD'!$J$6:$J$2989,"&lt;="&amp;EOMONTH(AR7,0),'1SK3DD'!$L$6:$L$2989,$B$35)+SUMIFS('1SX5TQ'!$K$6:$K$2989,'1SX5TQ'!$J$6:$J$2989,"&gt;="&amp;AR7,'1SX5TQ'!$J$6:$J$2989,"&lt;="&amp;EOMONTH(AR7,0),'1SX5TQ'!$L$6:$L$2989,$B$35)+SUMIFS('BMM465'!$K$6:$K$2989,'BMM465'!$J$6:$J$2989,"&gt;="&amp;AR7,'BMM465'!$J$6:$J$2989,"&lt;="&amp;EOMONTH(AR7,0),'BMM465'!$L$6:$L$2989,$B$35)+SUMIFS('1CF1ZO'!$K$6:$K$2989,'1CF1ZO'!$J$6:$J$2989,"&gt;="&amp;AR7,'1CF1ZO'!$J$6:$J$2989,"&lt;="&amp;EOMONTH(AR7,0),'1CF1ZO'!$L$6:$L$2989,$B$35)+SUMIFS('1UK1BK'!$K$6:$K$2989,'1UK1BK'!$J$6:$J$2989,"&gt;="&amp;AR7,'1UK1BK'!$J$6:$J$2989,"&lt;="&amp;EOMONTH(AR7,0),'1UK1BK'!$L$6:$L$2989,$B$35)</f>
        <v>#REF!</v>
      </c>
      <c r="AS35" s="110" t="e">
        <f>SUMIFS('CEI565'!$K$6:$K$2990,'CEI565'!$J$6:$J$2990,"&gt;="&amp;AS7,'CEI565'!$J$6:$J$2990,"&lt;="&amp;EOMONTH(AS7,0),'CEI565'!$L$6:$L$2990,$B$35)+SUMIFS('1SM3VL'!$K$6:$K$2990,'1SM3VL'!$J$6:$J$2990,"&gt;="&amp;AS7,'1SM3VL'!$J$6:$J$2990,"&lt;="&amp;EOMONTH(AS7,0),'1SM3VL'!$L$6:$L$2990,$B$35)+SUMIFS('1QF4SM'!$K$6:$K$2989,'1QF4SM'!$J$6:$J$2989,"&gt;="&amp;AS7,'1QF4SM'!$J$6:$J$2989,"&lt;="&amp;EOMONTH(AS7,0),'1QF4SM'!$L$6:$L$2989,$B$35)+SUMIFS('1UV5KI'!$K$6:$K$2989,'1UV5KI'!$J$6:$J$2989,"&gt;="&amp;AS7,'1UV5KI'!$J$6:$J$2989,"&lt;="&amp;EOMONTH(AS7,0),'1UV5KI'!$L$6:$L$2989,$B$35)+SUMIFS(#REF!,#REF!,"&gt;="&amp;AS7,#REF!,"&lt;="&amp;EOMONTH(AS7,0),#REF!,$B$35)+SUMIFS('1UL9RY'!$K$6:$K$2990,'1UL9RY'!$J$6:$J$2990,"&gt;="&amp;AS7,'1UL9RY'!$J$6:$J$2990,"&lt;="&amp;EOMONTH(AS7,0),'1UL9RY'!$L$6:$L$2990,$B$35)+SUMIFS('1OZ7GT'!$K$6:$K$2989,'1OZ7GT'!$J$6:$J$2989,"&gt;="&amp;AS7,'1OZ7GT'!$J$6:$J$2989,"&lt;="&amp;EOMONTH(AS7,0),'1OZ7GT'!$L$6:$L$2989,$B$35)+SUMIFS('1CN8DD'!$K$6:$K$2989,'1CN8DD'!$J$6:$J$2989,"&gt;="&amp;AS7,'1CN8DD'!$J$6:$J$2989,"&lt;="&amp;EOMONTH(AS7,0),'1CN8DD'!$L$6:$L$2989,$B$35)+SUMIFS('1UT9BR'!$K$6:$K$2990,'1UT9BR'!$J$6:$J$2990,"&gt;="&amp;AS7,'1UT9BR'!$J$6:$J$2990,"&lt;="&amp;EOMONTH(AS7,0),'1UT9BR'!$L$6:$L$2990,$B$35)+SUMIFS('1MK4UR'!$K$6:$K$2990,'1MK4UR'!$J$6:$J$2990,"&gt;="&amp;AS7,'1MK4UR'!$J$6:$J$2990,"&lt;="&amp;EOMONTH(AS7,0),'1MK4UR'!$L$6:$L$2990,$B$35)+SUMIFS(#REF!,#REF!,"&gt;="&amp;AS7,#REF!,"&lt;="&amp;EOMONTH(AS7,0),#REF!,$B$35)+SUMIFS('1JI2UE'!$K$6:$K$2989,'1JI2UE'!$J$6:$J$2989,"&gt;="&amp;AS7,'1JI2UE'!$J$6:$J$2989,"&lt;="&amp;EOMONTH(AS7,0),'1JI2UE'!$L$6:$L$2989,$B$35)+SUMIFS(#REF!,#REF!,"&gt;="&amp;AS7,#REF!,"&lt;="&amp;EOMONTH(AS7,0),#REF!,$B$35)+SUMIFS('1SI9BW'!$K$6:$K$2989,'1SI9BW'!$J$6:$J$2989,"&gt;="&amp;AS7,'1SI9BW'!$J$6:$J$2989,"&lt;="&amp;EOMONTH(AS7,0),'1SI9BW'!$L$6:$L$2989,$B$35)+SUMIFS(Suzuki!$K$6:$K$2989,Suzuki!$J$6:$J$2989,"&gt;="&amp;AS7,Suzuki!$J$6:$J$2989,"&lt;="&amp;EOMONTH(AS7,0),Suzuki!$L$6:$L$2989,$B$35)+SUMIFS('1SK3DD'!$K$6:$K$2989,'1SK3DD'!$J$6:$J$2989,"&gt;="&amp;AS7,'1SK3DD'!$J$6:$J$2989,"&lt;="&amp;EOMONTH(AS7,0),'1SK3DD'!$L$6:$L$2989,$B$35)+SUMIFS('1SX5TQ'!$K$6:$K$2989,'1SX5TQ'!$J$6:$J$2989,"&gt;="&amp;AS7,'1SX5TQ'!$J$6:$J$2989,"&lt;="&amp;EOMONTH(AS7,0),'1SX5TQ'!$L$6:$L$2989,$B$35)+SUMIFS('BMM465'!$K$6:$K$2989,'BMM465'!$J$6:$J$2989,"&gt;="&amp;AS7,'BMM465'!$J$6:$J$2989,"&lt;="&amp;EOMONTH(AS7,0),'BMM465'!$L$6:$L$2989,$B$35)+SUMIFS('1CF1ZO'!$K$6:$K$2989,'1CF1ZO'!$J$6:$J$2989,"&gt;="&amp;AS7,'1CF1ZO'!$J$6:$J$2989,"&lt;="&amp;EOMONTH(AS7,0),'1CF1ZO'!$L$6:$L$2989,$B$35)+SUMIFS('1UK1BK'!$K$6:$K$2989,'1UK1BK'!$J$6:$J$2989,"&gt;="&amp;AS7,'1UK1BK'!$J$6:$J$2989,"&lt;="&amp;EOMONTH(AS7,0),'1UK1BK'!$L$6:$L$2989,$B$35)</f>
        <v>#REF!</v>
      </c>
      <c r="AT35" s="110" t="e">
        <f>SUMIFS('CEI565'!$K$6:$K$2990,'CEI565'!$J$6:$J$2990,"&gt;="&amp;AT7,'CEI565'!$J$6:$J$2990,"&lt;="&amp;EOMONTH(AT7,0),'CEI565'!$L$6:$L$2990,$B$35)+SUMIFS('1SM3VL'!$K$6:$K$2990,'1SM3VL'!$J$6:$J$2990,"&gt;="&amp;AT7,'1SM3VL'!$J$6:$J$2990,"&lt;="&amp;EOMONTH(AT7,0),'1SM3VL'!$L$6:$L$2990,$B$35)+SUMIFS('1QF4SM'!$K$6:$K$2989,'1QF4SM'!$J$6:$J$2989,"&gt;="&amp;AT7,'1QF4SM'!$J$6:$J$2989,"&lt;="&amp;EOMONTH(AT7,0),'1QF4SM'!$L$6:$L$2989,$B$35)+SUMIFS('1UV5KI'!$K$6:$K$2989,'1UV5KI'!$J$6:$J$2989,"&gt;="&amp;AT7,'1UV5KI'!$J$6:$J$2989,"&lt;="&amp;EOMONTH(AT7,0),'1UV5KI'!$L$6:$L$2989,$B$35)+SUMIFS(#REF!,#REF!,"&gt;="&amp;AT7,#REF!,"&lt;="&amp;EOMONTH(AT7,0),#REF!,$B$35)+SUMIFS('1UL9RY'!$K$6:$K$2990,'1UL9RY'!$J$6:$J$2990,"&gt;="&amp;AT7,'1UL9RY'!$J$6:$J$2990,"&lt;="&amp;EOMONTH(AT7,0),'1UL9RY'!$L$6:$L$2990,$B$35)+SUMIFS('1OZ7GT'!$K$6:$K$2989,'1OZ7GT'!$J$6:$J$2989,"&gt;="&amp;AT7,'1OZ7GT'!$J$6:$J$2989,"&lt;="&amp;EOMONTH(AT7,0),'1OZ7GT'!$L$6:$L$2989,$B$35)+SUMIFS('1CN8DD'!$K$6:$K$2989,'1CN8DD'!$J$6:$J$2989,"&gt;="&amp;AT7,'1CN8DD'!$J$6:$J$2989,"&lt;="&amp;EOMONTH(AT7,0),'1CN8DD'!$L$6:$L$2989,$B$35)+SUMIFS('1UT9BR'!$K$6:$K$2990,'1UT9BR'!$J$6:$J$2990,"&gt;="&amp;AT7,'1UT9BR'!$J$6:$J$2990,"&lt;="&amp;EOMONTH(AT7,0),'1UT9BR'!$L$6:$L$2990,$B$35)+SUMIFS('1MK4UR'!$K$6:$K$2990,'1MK4UR'!$J$6:$J$2990,"&gt;="&amp;AT7,'1MK4UR'!$J$6:$J$2990,"&lt;="&amp;EOMONTH(AT7,0),'1MK4UR'!$L$6:$L$2990,$B$35)+SUMIFS(#REF!,#REF!,"&gt;="&amp;AT7,#REF!,"&lt;="&amp;EOMONTH(AT7,0),#REF!,$B$35)+SUMIFS('1JI2UE'!$K$6:$K$2989,'1JI2UE'!$J$6:$J$2989,"&gt;="&amp;AT7,'1JI2UE'!$J$6:$J$2989,"&lt;="&amp;EOMONTH(AT7,0),'1JI2UE'!$L$6:$L$2989,$B$35)+SUMIFS(#REF!,#REF!,"&gt;="&amp;AT7,#REF!,"&lt;="&amp;EOMONTH(AT7,0),#REF!,$B$35)+SUMIFS('1SI9BW'!$K$6:$K$2989,'1SI9BW'!$J$6:$J$2989,"&gt;="&amp;AT7,'1SI9BW'!$J$6:$J$2989,"&lt;="&amp;EOMONTH(AT7,0),'1SI9BW'!$L$6:$L$2989,$B$35)+SUMIFS(Suzuki!$K$6:$K$2989,Suzuki!$J$6:$J$2989,"&gt;="&amp;AT7,Suzuki!$J$6:$J$2989,"&lt;="&amp;EOMONTH(AT7,0),Suzuki!$L$6:$L$2989,$B$35)+SUMIFS('1SK3DD'!$K$6:$K$2989,'1SK3DD'!$J$6:$J$2989,"&gt;="&amp;AT7,'1SK3DD'!$J$6:$J$2989,"&lt;="&amp;EOMONTH(AT7,0),'1SK3DD'!$L$6:$L$2989,$B$35)+SUMIFS('1SX5TQ'!$K$6:$K$2989,'1SX5TQ'!$J$6:$J$2989,"&gt;="&amp;AT7,'1SX5TQ'!$J$6:$J$2989,"&lt;="&amp;EOMONTH(AT7,0),'1SX5TQ'!$L$6:$L$2989,$B$35)+SUMIFS('BMM465'!$K$6:$K$2989,'BMM465'!$J$6:$J$2989,"&gt;="&amp;AT7,'BMM465'!$J$6:$J$2989,"&lt;="&amp;EOMONTH(AT7,0),'BMM465'!$L$6:$L$2989,$B$35)+SUMIFS('1CF1ZO'!$K$6:$K$2989,'1CF1ZO'!$J$6:$J$2989,"&gt;="&amp;AT7,'1CF1ZO'!$J$6:$J$2989,"&lt;="&amp;EOMONTH(AT7,0),'1CF1ZO'!$L$6:$L$2989,$B$35)+SUMIFS('1UK1BK'!$K$6:$K$2989,'1UK1BK'!$J$6:$J$2989,"&gt;="&amp;AT7,'1UK1BK'!$J$6:$J$2989,"&lt;="&amp;EOMONTH(AT7,0),'1UK1BK'!$L$6:$L$2989,$B$35)</f>
        <v>#REF!</v>
      </c>
      <c r="AU35" s="110" t="e">
        <f>SUMIFS('CEI565'!$K$6:$K$2990,'CEI565'!$J$6:$J$2990,"&gt;="&amp;AU7,'CEI565'!$J$6:$J$2990,"&lt;="&amp;EOMONTH(AU7,0),'CEI565'!$L$6:$L$2990,$B$35)+SUMIFS('1SM3VL'!$K$6:$K$2990,'1SM3VL'!$J$6:$J$2990,"&gt;="&amp;AU7,'1SM3VL'!$J$6:$J$2990,"&lt;="&amp;EOMONTH(AU7,0),'1SM3VL'!$L$6:$L$2990,$B$35)+SUMIFS('1QF4SM'!$K$6:$K$2989,'1QF4SM'!$J$6:$J$2989,"&gt;="&amp;AU7,'1QF4SM'!$J$6:$J$2989,"&lt;="&amp;EOMONTH(AU7,0),'1QF4SM'!$L$6:$L$2989,$B$35)+SUMIFS('1UV5KI'!$K$6:$K$2989,'1UV5KI'!$J$6:$J$2989,"&gt;="&amp;AU7,'1UV5KI'!$J$6:$J$2989,"&lt;="&amp;EOMONTH(AU7,0),'1UV5KI'!$L$6:$L$2989,$B$35)+SUMIFS(#REF!,#REF!,"&gt;="&amp;AU7,#REF!,"&lt;="&amp;EOMONTH(AU7,0),#REF!,$B$35)+SUMIFS('1UL9RY'!$K$6:$K$2990,'1UL9RY'!$J$6:$J$2990,"&gt;="&amp;AU7,'1UL9RY'!$J$6:$J$2990,"&lt;="&amp;EOMONTH(AU7,0),'1UL9RY'!$L$6:$L$2990,$B$35)+SUMIFS('1OZ7GT'!$K$6:$K$2989,'1OZ7GT'!$J$6:$J$2989,"&gt;="&amp;AU7,'1OZ7GT'!$J$6:$J$2989,"&lt;="&amp;EOMONTH(AU7,0),'1OZ7GT'!$L$6:$L$2989,$B$35)+SUMIFS('1CN8DD'!$K$6:$K$2989,'1CN8DD'!$J$6:$J$2989,"&gt;="&amp;AU7,'1CN8DD'!$J$6:$J$2989,"&lt;="&amp;EOMONTH(AU7,0),'1CN8DD'!$L$6:$L$2989,$B$35)+SUMIFS('1UT9BR'!$K$6:$K$2990,'1UT9BR'!$J$6:$J$2990,"&gt;="&amp;AU7,'1UT9BR'!$J$6:$J$2990,"&lt;="&amp;EOMONTH(AU7,0),'1UT9BR'!$L$6:$L$2990,$B$35)+SUMIFS('1MK4UR'!$K$6:$K$2990,'1MK4UR'!$J$6:$J$2990,"&gt;="&amp;AU7,'1MK4UR'!$J$6:$J$2990,"&lt;="&amp;EOMONTH(AU7,0),'1MK4UR'!$L$6:$L$2990,$B$35)+SUMIFS(#REF!,#REF!,"&gt;="&amp;AU7,#REF!,"&lt;="&amp;EOMONTH(AU7,0),#REF!,$B$35)+SUMIFS('1JI2UE'!$K$6:$K$2989,'1JI2UE'!$J$6:$J$2989,"&gt;="&amp;AU7,'1JI2UE'!$J$6:$J$2989,"&lt;="&amp;EOMONTH(AU7,0),'1JI2UE'!$L$6:$L$2989,$B$35)+SUMIFS(#REF!,#REF!,"&gt;="&amp;AU7,#REF!,"&lt;="&amp;EOMONTH(AU7,0),#REF!,$B$35)+SUMIFS('1SI9BW'!$K$6:$K$2989,'1SI9BW'!$J$6:$J$2989,"&gt;="&amp;AU7,'1SI9BW'!$J$6:$J$2989,"&lt;="&amp;EOMONTH(AU7,0),'1SI9BW'!$L$6:$L$2989,$B$35)+SUMIFS(Suzuki!$K$6:$K$2989,Suzuki!$J$6:$J$2989,"&gt;="&amp;AU7,Suzuki!$J$6:$J$2989,"&lt;="&amp;EOMONTH(AU7,0),Suzuki!$L$6:$L$2989,$B$35)+SUMIFS('1SK3DD'!$K$6:$K$2989,'1SK3DD'!$J$6:$J$2989,"&gt;="&amp;AU7,'1SK3DD'!$J$6:$J$2989,"&lt;="&amp;EOMONTH(AU7,0),'1SK3DD'!$L$6:$L$2989,$B$35)+SUMIFS('1SX5TQ'!$K$6:$K$2989,'1SX5TQ'!$J$6:$J$2989,"&gt;="&amp;AU7,'1SX5TQ'!$J$6:$J$2989,"&lt;="&amp;EOMONTH(AU7,0),'1SX5TQ'!$L$6:$L$2989,$B$35)+SUMIFS('BMM465'!$K$6:$K$2989,'BMM465'!$J$6:$J$2989,"&gt;="&amp;AU7,'BMM465'!$J$6:$J$2989,"&lt;="&amp;EOMONTH(AU7,0),'BMM465'!$L$6:$L$2989,$B$35)+SUMIFS('1CF1ZO'!$K$6:$K$2989,'1CF1ZO'!$J$6:$J$2989,"&gt;="&amp;AU7,'1CF1ZO'!$J$6:$J$2989,"&lt;="&amp;EOMONTH(AU7,0),'1CF1ZO'!$L$6:$L$2989,$B$35)+SUMIFS('1UK1BK'!$K$6:$K$2989,'1UK1BK'!$J$6:$J$2989,"&gt;="&amp;AU7,'1UK1BK'!$J$6:$J$2989,"&lt;="&amp;EOMONTH(AU7,0),'1UK1BK'!$L$6:$L$2989,$B$35)</f>
        <v>#REF!</v>
      </c>
      <c r="AV35" s="110" t="e">
        <f>SUMIFS('CEI565'!$K$6:$K$2990,'CEI565'!$J$6:$J$2990,"&gt;="&amp;AV7,'CEI565'!$J$6:$J$2990,"&lt;="&amp;EOMONTH(AV7,0),'CEI565'!$L$6:$L$2990,$B$35)+SUMIFS('1SM3VL'!$K$6:$K$2990,'1SM3VL'!$J$6:$J$2990,"&gt;="&amp;AV7,'1SM3VL'!$J$6:$J$2990,"&lt;="&amp;EOMONTH(AV7,0),'1SM3VL'!$L$6:$L$2990,$B$35)+SUMIFS('1QF4SM'!$K$6:$K$2989,'1QF4SM'!$J$6:$J$2989,"&gt;="&amp;AV7,'1QF4SM'!$J$6:$J$2989,"&lt;="&amp;EOMONTH(AV7,0),'1QF4SM'!$L$6:$L$2989,$B$35)+SUMIFS('1UV5KI'!$K$6:$K$2989,'1UV5KI'!$J$6:$J$2989,"&gt;="&amp;AV7,'1UV5KI'!$J$6:$J$2989,"&lt;="&amp;EOMONTH(AV7,0),'1UV5KI'!$L$6:$L$2989,$B$35)+SUMIFS(#REF!,#REF!,"&gt;="&amp;AV7,#REF!,"&lt;="&amp;EOMONTH(AV7,0),#REF!,$B$35)+SUMIFS('1UL9RY'!$K$6:$K$2990,'1UL9RY'!$J$6:$J$2990,"&gt;="&amp;AV7,'1UL9RY'!$J$6:$J$2990,"&lt;="&amp;EOMONTH(AV7,0),'1UL9RY'!$L$6:$L$2990,$B$35)+SUMIFS('1OZ7GT'!$K$6:$K$2989,'1OZ7GT'!$J$6:$J$2989,"&gt;="&amp;AV7,'1OZ7GT'!$J$6:$J$2989,"&lt;="&amp;EOMONTH(AV7,0),'1OZ7GT'!$L$6:$L$2989,$B$35)+SUMIFS('1CN8DD'!$K$6:$K$2989,'1CN8DD'!$J$6:$J$2989,"&gt;="&amp;AV7,'1CN8DD'!$J$6:$J$2989,"&lt;="&amp;EOMONTH(AV7,0),'1CN8DD'!$L$6:$L$2989,$B$35)+SUMIFS('1UT9BR'!$K$6:$K$2990,'1UT9BR'!$J$6:$J$2990,"&gt;="&amp;AV7,'1UT9BR'!$J$6:$J$2990,"&lt;="&amp;EOMONTH(AV7,0),'1UT9BR'!$L$6:$L$2990,$B$35)+SUMIFS('1MK4UR'!$K$6:$K$2990,'1MK4UR'!$J$6:$J$2990,"&gt;="&amp;AV7,'1MK4UR'!$J$6:$J$2990,"&lt;="&amp;EOMONTH(AV7,0),'1MK4UR'!$L$6:$L$2990,$B$35)+SUMIFS(#REF!,#REF!,"&gt;="&amp;AV7,#REF!,"&lt;="&amp;EOMONTH(AV7,0),#REF!,$B$35)+SUMIFS('1JI2UE'!$K$6:$K$2989,'1JI2UE'!$J$6:$J$2989,"&gt;="&amp;AV7,'1JI2UE'!$J$6:$J$2989,"&lt;="&amp;EOMONTH(AV7,0),'1JI2UE'!$L$6:$L$2989,$B$35)+SUMIFS(#REF!,#REF!,"&gt;="&amp;AV7,#REF!,"&lt;="&amp;EOMONTH(AV7,0),#REF!,$B$35)+SUMIFS('1SI9BW'!$K$6:$K$2989,'1SI9BW'!$J$6:$J$2989,"&gt;="&amp;AV7,'1SI9BW'!$J$6:$J$2989,"&lt;="&amp;EOMONTH(AV7,0),'1SI9BW'!$L$6:$L$2989,$B$35)+SUMIFS(Suzuki!$K$6:$K$2989,Suzuki!$J$6:$J$2989,"&gt;="&amp;AV7,Suzuki!$J$6:$J$2989,"&lt;="&amp;EOMONTH(AV7,0),Suzuki!$L$6:$L$2989,$B$35)+SUMIFS('1SK3DD'!$K$6:$K$2989,'1SK3DD'!$J$6:$J$2989,"&gt;="&amp;AV7,'1SK3DD'!$J$6:$J$2989,"&lt;="&amp;EOMONTH(AV7,0),'1SK3DD'!$L$6:$L$2989,$B$35)+SUMIFS('1SX5TQ'!$K$6:$K$2989,'1SX5TQ'!$J$6:$J$2989,"&gt;="&amp;AV7,'1SX5TQ'!$J$6:$J$2989,"&lt;="&amp;EOMONTH(AV7,0),'1SX5TQ'!$L$6:$L$2989,$B$35)+SUMIFS('BMM465'!$K$6:$K$2989,'BMM465'!$J$6:$J$2989,"&gt;="&amp;AV7,'BMM465'!$J$6:$J$2989,"&lt;="&amp;EOMONTH(AV7,0),'BMM465'!$L$6:$L$2989,$B$35)+SUMIFS('1CF1ZO'!$K$6:$K$2989,'1CF1ZO'!$J$6:$J$2989,"&gt;="&amp;AV7,'1CF1ZO'!$J$6:$J$2989,"&lt;="&amp;EOMONTH(AV7,0),'1CF1ZO'!$L$6:$L$2989,$B$35)+SUMIFS('1UK1BK'!$K$6:$K$2989,'1UK1BK'!$J$6:$J$2989,"&gt;="&amp;AV7,'1UK1BK'!$J$6:$J$2989,"&lt;="&amp;EOMONTH(AV7,0),'1UK1BK'!$L$6:$L$2989,$B$35)</f>
        <v>#REF!</v>
      </c>
      <c r="AW35" s="110" t="e">
        <f>SUMIFS('CEI565'!$K$6:$K$2990,'CEI565'!$J$6:$J$2990,"&gt;="&amp;AW7,'CEI565'!$J$6:$J$2990,"&lt;="&amp;EOMONTH(AW7,0),'CEI565'!$L$6:$L$2990,$B$35)+SUMIFS('1SM3VL'!$K$6:$K$2990,'1SM3VL'!$J$6:$J$2990,"&gt;="&amp;AW7,'1SM3VL'!$J$6:$J$2990,"&lt;="&amp;EOMONTH(AW7,0),'1SM3VL'!$L$6:$L$2990,$B$35)+SUMIFS('1QF4SM'!$K$6:$K$2989,'1QF4SM'!$J$6:$J$2989,"&gt;="&amp;AW7,'1QF4SM'!$J$6:$J$2989,"&lt;="&amp;EOMONTH(AW7,0),'1QF4SM'!$L$6:$L$2989,$B$35)+SUMIFS('1UV5KI'!$K$6:$K$2989,'1UV5KI'!$J$6:$J$2989,"&gt;="&amp;AW7,'1UV5KI'!$J$6:$J$2989,"&lt;="&amp;EOMONTH(AW7,0),'1UV5KI'!$L$6:$L$2989,$B$35)+SUMIFS(#REF!,#REF!,"&gt;="&amp;AW7,#REF!,"&lt;="&amp;EOMONTH(AW7,0),#REF!,$B$35)+SUMIFS('1UL9RY'!$K$6:$K$2990,'1UL9RY'!$J$6:$J$2990,"&gt;="&amp;AW7,'1UL9RY'!$J$6:$J$2990,"&lt;="&amp;EOMONTH(AW7,0),'1UL9RY'!$L$6:$L$2990,$B$35)+SUMIFS('1OZ7GT'!$K$6:$K$2989,'1OZ7GT'!$J$6:$J$2989,"&gt;="&amp;AW7,'1OZ7GT'!$J$6:$J$2989,"&lt;="&amp;EOMONTH(AW7,0),'1OZ7GT'!$L$6:$L$2989,$B$35)+SUMIFS('1CN8DD'!$K$6:$K$2989,'1CN8DD'!$J$6:$J$2989,"&gt;="&amp;AW7,'1CN8DD'!$J$6:$J$2989,"&lt;="&amp;EOMONTH(AW7,0),'1CN8DD'!$L$6:$L$2989,$B$35)+SUMIFS('1UT9BR'!$K$6:$K$2990,'1UT9BR'!$J$6:$J$2990,"&gt;="&amp;AW7,'1UT9BR'!$J$6:$J$2990,"&lt;="&amp;EOMONTH(AW7,0),'1UT9BR'!$L$6:$L$2990,$B$35)+SUMIFS('1MK4UR'!$K$6:$K$2990,'1MK4UR'!$J$6:$J$2990,"&gt;="&amp;AW7,'1MK4UR'!$J$6:$J$2990,"&lt;="&amp;EOMONTH(AW7,0),'1MK4UR'!$L$6:$L$2990,$B$35)+SUMIFS(#REF!,#REF!,"&gt;="&amp;AW7,#REF!,"&lt;="&amp;EOMONTH(AW7,0),#REF!,$B$35)+SUMIFS('1JI2UE'!$K$6:$K$2989,'1JI2UE'!$J$6:$J$2989,"&gt;="&amp;AW7,'1JI2UE'!$J$6:$J$2989,"&lt;="&amp;EOMONTH(AW7,0),'1JI2UE'!$L$6:$L$2989,$B$35)+SUMIFS(#REF!,#REF!,"&gt;="&amp;AW7,#REF!,"&lt;="&amp;EOMONTH(AW7,0),#REF!,$B$35)+SUMIFS('1SI9BW'!$K$6:$K$2989,'1SI9BW'!$J$6:$J$2989,"&gt;="&amp;AW7,'1SI9BW'!$J$6:$J$2989,"&lt;="&amp;EOMONTH(AW7,0),'1SI9BW'!$L$6:$L$2989,$B$35)+SUMIFS(Suzuki!$K$6:$K$2989,Suzuki!$J$6:$J$2989,"&gt;="&amp;AW7,Suzuki!$J$6:$J$2989,"&lt;="&amp;EOMONTH(AW7,0),Suzuki!$L$6:$L$2989,$B$35)+SUMIFS('1SK3DD'!$K$6:$K$2989,'1SK3DD'!$J$6:$J$2989,"&gt;="&amp;AW7,'1SK3DD'!$J$6:$J$2989,"&lt;="&amp;EOMONTH(AW7,0),'1SK3DD'!$L$6:$L$2989,$B$35)+SUMIFS('1SX5TQ'!$K$6:$K$2989,'1SX5TQ'!$J$6:$J$2989,"&gt;="&amp;AW7,'1SX5TQ'!$J$6:$J$2989,"&lt;="&amp;EOMONTH(AW7,0),'1SX5TQ'!$L$6:$L$2989,$B$35)+SUMIFS('BMM465'!$K$6:$K$2989,'BMM465'!$J$6:$J$2989,"&gt;="&amp;AW7,'BMM465'!$J$6:$J$2989,"&lt;="&amp;EOMONTH(AW7,0),'BMM465'!$L$6:$L$2989,$B$35)+SUMIFS('1CF1ZO'!$K$6:$K$2989,'1CF1ZO'!$J$6:$J$2989,"&gt;="&amp;AW7,'1CF1ZO'!$J$6:$J$2989,"&lt;="&amp;EOMONTH(AW7,0),'1CF1ZO'!$L$6:$L$2989,$B$35)+SUMIFS('1UK1BK'!$K$6:$K$2989,'1UK1BK'!$J$6:$J$2989,"&gt;="&amp;AW7,'1UK1BK'!$J$6:$J$2989,"&lt;="&amp;EOMONTH(AW7,0),'1UK1BK'!$L$6:$L$2989,$B$35)</f>
        <v>#REF!</v>
      </c>
      <c r="AX35" s="110" t="e">
        <f>SUMIFS('CEI565'!$K$6:$K$2990,'CEI565'!$J$6:$J$2990,"&gt;="&amp;AX7,'CEI565'!$J$6:$J$2990,"&lt;="&amp;EOMONTH(AX7,0),'CEI565'!$L$6:$L$2990,$B$35)+SUMIFS('1SM3VL'!$K$6:$K$2990,'1SM3VL'!$J$6:$J$2990,"&gt;="&amp;AX7,'1SM3VL'!$J$6:$J$2990,"&lt;="&amp;EOMONTH(AX7,0),'1SM3VL'!$L$6:$L$2990,$B$35)+SUMIFS('1QF4SM'!$K$6:$K$2989,'1QF4SM'!$J$6:$J$2989,"&gt;="&amp;AX7,'1QF4SM'!$J$6:$J$2989,"&lt;="&amp;EOMONTH(AX7,0),'1QF4SM'!$L$6:$L$2989,$B$35)+SUMIFS('1UV5KI'!$K$6:$K$2989,'1UV5KI'!$J$6:$J$2989,"&gt;="&amp;AX7,'1UV5KI'!$J$6:$J$2989,"&lt;="&amp;EOMONTH(AX7,0),'1UV5KI'!$L$6:$L$2989,$B$35)+SUMIFS(#REF!,#REF!,"&gt;="&amp;AX7,#REF!,"&lt;="&amp;EOMONTH(AX7,0),#REF!,$B$35)+SUMIFS('1UL9RY'!$K$6:$K$2990,'1UL9RY'!$J$6:$J$2990,"&gt;="&amp;AX7,'1UL9RY'!$J$6:$J$2990,"&lt;="&amp;EOMONTH(AX7,0),'1UL9RY'!$L$6:$L$2990,$B$35)+SUMIFS('1OZ7GT'!$K$6:$K$2989,'1OZ7GT'!$J$6:$J$2989,"&gt;="&amp;AX7,'1OZ7GT'!$J$6:$J$2989,"&lt;="&amp;EOMONTH(AX7,0),'1OZ7GT'!$L$6:$L$2989,$B$35)+SUMIFS('1CN8DD'!$K$6:$K$2989,'1CN8DD'!$J$6:$J$2989,"&gt;="&amp;AX7,'1CN8DD'!$J$6:$J$2989,"&lt;="&amp;EOMONTH(AX7,0),'1CN8DD'!$L$6:$L$2989,$B$35)+SUMIFS('1UT9BR'!$K$6:$K$2990,'1UT9BR'!$J$6:$J$2990,"&gt;="&amp;AX7,'1UT9BR'!$J$6:$J$2990,"&lt;="&amp;EOMONTH(AX7,0),'1UT9BR'!$L$6:$L$2990,$B$35)+SUMIFS('1MK4UR'!$K$6:$K$2990,'1MK4UR'!$J$6:$J$2990,"&gt;="&amp;AX7,'1MK4UR'!$J$6:$J$2990,"&lt;="&amp;EOMONTH(AX7,0),'1MK4UR'!$L$6:$L$2990,$B$35)+SUMIFS(#REF!,#REF!,"&gt;="&amp;AX7,#REF!,"&lt;="&amp;EOMONTH(AX7,0),#REF!,$B$35)+SUMIFS('1JI2UE'!$K$6:$K$2989,'1JI2UE'!$J$6:$J$2989,"&gt;="&amp;AX7,'1JI2UE'!$J$6:$J$2989,"&lt;="&amp;EOMONTH(AX7,0),'1JI2UE'!$L$6:$L$2989,$B$35)+SUMIFS(#REF!,#REF!,"&gt;="&amp;AX7,#REF!,"&lt;="&amp;EOMONTH(AX7,0),#REF!,$B$35)+SUMIFS('1SI9BW'!$K$6:$K$2989,'1SI9BW'!$J$6:$J$2989,"&gt;="&amp;AX7,'1SI9BW'!$J$6:$J$2989,"&lt;="&amp;EOMONTH(AX7,0),'1SI9BW'!$L$6:$L$2989,$B$35)+SUMIFS(Suzuki!$K$6:$K$2989,Suzuki!$J$6:$J$2989,"&gt;="&amp;AX7,Suzuki!$J$6:$J$2989,"&lt;="&amp;EOMONTH(AX7,0),Suzuki!$L$6:$L$2989,$B$35)+SUMIFS('1SK3DD'!$K$6:$K$2989,'1SK3DD'!$J$6:$J$2989,"&gt;="&amp;AX7,'1SK3DD'!$J$6:$J$2989,"&lt;="&amp;EOMONTH(AX7,0),'1SK3DD'!$L$6:$L$2989,$B$35)+SUMIFS('1SX5TQ'!$K$6:$K$2989,'1SX5TQ'!$J$6:$J$2989,"&gt;="&amp;AX7,'1SX5TQ'!$J$6:$J$2989,"&lt;="&amp;EOMONTH(AX7,0),'1SX5TQ'!$L$6:$L$2989,$B$35)+SUMIFS('BMM465'!$K$6:$K$2989,'BMM465'!$J$6:$J$2989,"&gt;="&amp;AX7,'BMM465'!$J$6:$J$2989,"&lt;="&amp;EOMONTH(AX7,0),'BMM465'!$L$6:$L$2989,$B$35)+SUMIFS('1CF1ZO'!$K$6:$K$2989,'1CF1ZO'!$J$6:$J$2989,"&gt;="&amp;AX7,'1CF1ZO'!$J$6:$J$2989,"&lt;="&amp;EOMONTH(AX7,0),'1CF1ZO'!$L$6:$L$2989,$B$35)+SUMIFS('1UK1BK'!$K$6:$K$2989,'1UK1BK'!$J$6:$J$2989,"&gt;="&amp;AX7,'1UK1BK'!$J$6:$J$2989,"&lt;="&amp;EOMONTH(AX7,0),'1UK1BK'!$L$6:$L$2989,$B$35)</f>
        <v>#REF!</v>
      </c>
      <c r="AY35" s="110" t="e">
        <f>SUMIFS('CEI565'!$K$6:$K$2990,'CEI565'!$J$6:$J$2990,"&gt;="&amp;AY7,'CEI565'!$J$6:$J$2990,"&lt;="&amp;EOMONTH(AY7,0),'CEI565'!$L$6:$L$2990,$B$35)+SUMIFS('1SM3VL'!$K$6:$K$2990,'1SM3VL'!$J$6:$J$2990,"&gt;="&amp;AY7,'1SM3VL'!$J$6:$J$2990,"&lt;="&amp;EOMONTH(AY7,0),'1SM3VL'!$L$6:$L$2990,$B$35)+SUMIFS('1QF4SM'!$K$6:$K$2989,'1QF4SM'!$J$6:$J$2989,"&gt;="&amp;AY7,'1QF4SM'!$J$6:$J$2989,"&lt;="&amp;EOMONTH(AY7,0),'1QF4SM'!$L$6:$L$2989,$B$35)+SUMIFS('1UV5KI'!$K$6:$K$2989,'1UV5KI'!$J$6:$J$2989,"&gt;="&amp;AY7,'1UV5KI'!$J$6:$J$2989,"&lt;="&amp;EOMONTH(AY7,0),'1UV5KI'!$L$6:$L$2989,$B$35)+SUMIFS(#REF!,#REF!,"&gt;="&amp;AY7,#REF!,"&lt;="&amp;EOMONTH(AY7,0),#REF!,$B$35)+SUMIFS('1UL9RY'!$K$6:$K$2990,'1UL9RY'!$J$6:$J$2990,"&gt;="&amp;AY7,'1UL9RY'!$J$6:$J$2990,"&lt;="&amp;EOMONTH(AY7,0),'1UL9RY'!$L$6:$L$2990,$B$35)+SUMIFS('1OZ7GT'!$K$6:$K$2989,'1OZ7GT'!$J$6:$J$2989,"&gt;="&amp;AY7,'1OZ7GT'!$J$6:$J$2989,"&lt;="&amp;EOMONTH(AY7,0),'1OZ7GT'!$L$6:$L$2989,$B$35)+SUMIFS('1CN8DD'!$K$6:$K$2989,'1CN8DD'!$J$6:$J$2989,"&gt;="&amp;AY7,'1CN8DD'!$J$6:$J$2989,"&lt;="&amp;EOMONTH(AY7,0),'1CN8DD'!$L$6:$L$2989,$B$35)+SUMIFS('1UT9BR'!$K$6:$K$2990,'1UT9BR'!$J$6:$J$2990,"&gt;="&amp;AY7,'1UT9BR'!$J$6:$J$2990,"&lt;="&amp;EOMONTH(AY7,0),'1UT9BR'!$L$6:$L$2990,$B$35)+SUMIFS('1MK4UR'!$K$6:$K$2990,'1MK4UR'!$J$6:$J$2990,"&gt;="&amp;AY7,'1MK4UR'!$J$6:$J$2990,"&lt;="&amp;EOMONTH(AY7,0),'1MK4UR'!$L$6:$L$2990,$B$35)+SUMIFS(#REF!,#REF!,"&gt;="&amp;AY7,#REF!,"&lt;="&amp;EOMONTH(AY7,0),#REF!,$B$35)+SUMIFS('1JI2UE'!$K$6:$K$2989,'1JI2UE'!$J$6:$J$2989,"&gt;="&amp;AY7,'1JI2UE'!$J$6:$J$2989,"&lt;="&amp;EOMONTH(AY7,0),'1JI2UE'!$L$6:$L$2989,$B$35)+SUMIFS(#REF!,#REF!,"&gt;="&amp;AY7,#REF!,"&lt;="&amp;EOMONTH(AY7,0),#REF!,$B$35)+SUMIFS('1SI9BW'!$K$6:$K$2989,'1SI9BW'!$J$6:$J$2989,"&gt;="&amp;AY7,'1SI9BW'!$J$6:$J$2989,"&lt;="&amp;EOMONTH(AY7,0),'1SI9BW'!$L$6:$L$2989,$B$35)+SUMIFS(Suzuki!$K$6:$K$2989,Suzuki!$J$6:$J$2989,"&gt;="&amp;AY7,Suzuki!$J$6:$J$2989,"&lt;="&amp;EOMONTH(AY7,0),Suzuki!$L$6:$L$2989,$B$35)+SUMIFS('1SK3DD'!$K$6:$K$2989,'1SK3DD'!$J$6:$J$2989,"&gt;="&amp;AY7,'1SK3DD'!$J$6:$J$2989,"&lt;="&amp;EOMONTH(AY7,0),'1SK3DD'!$L$6:$L$2989,$B$35)+SUMIFS('1SX5TQ'!$K$6:$K$2989,'1SX5TQ'!$J$6:$J$2989,"&gt;="&amp;AY7,'1SX5TQ'!$J$6:$J$2989,"&lt;="&amp;EOMONTH(AY7,0),'1SX5TQ'!$L$6:$L$2989,$B$35)+SUMIFS('BMM465'!$K$6:$K$2989,'BMM465'!$J$6:$J$2989,"&gt;="&amp;AY7,'BMM465'!$J$6:$J$2989,"&lt;="&amp;EOMONTH(AY7,0),'BMM465'!$L$6:$L$2989,$B$35)+SUMIFS('1CF1ZO'!$K$6:$K$2989,'1CF1ZO'!$J$6:$J$2989,"&gt;="&amp;AY7,'1CF1ZO'!$J$6:$J$2989,"&lt;="&amp;EOMONTH(AY7,0),'1CF1ZO'!$L$6:$L$2989,$B$35)+SUMIFS('1UK1BK'!$K$6:$K$2989,'1UK1BK'!$J$6:$J$2989,"&gt;="&amp;AY7,'1UK1BK'!$J$6:$J$2989,"&lt;="&amp;EOMONTH(AY7,0),'1UK1BK'!$L$6:$L$2989,$B$35)</f>
        <v>#REF!</v>
      </c>
      <c r="AZ35" s="110" t="e">
        <f>SUMIFS('CEI565'!$K$6:$K$2990,'CEI565'!$J$6:$J$2990,"&gt;="&amp;AZ7,'CEI565'!$J$6:$J$2990,"&lt;="&amp;EOMONTH(AZ7,0),'CEI565'!$L$6:$L$2990,$B$35)+SUMIFS('1SM3VL'!$K$6:$K$2990,'1SM3VL'!$J$6:$J$2990,"&gt;="&amp;AZ7,'1SM3VL'!$J$6:$J$2990,"&lt;="&amp;EOMONTH(AZ7,0),'1SM3VL'!$L$6:$L$2990,$B$35)+SUMIFS('1QF4SM'!$K$6:$K$2989,'1QF4SM'!$J$6:$J$2989,"&gt;="&amp;AZ7,'1QF4SM'!$J$6:$J$2989,"&lt;="&amp;EOMONTH(AZ7,0),'1QF4SM'!$L$6:$L$2989,$B$35)+SUMIFS('1UV5KI'!$K$6:$K$2989,'1UV5KI'!$J$6:$J$2989,"&gt;="&amp;AZ7,'1UV5KI'!$J$6:$J$2989,"&lt;="&amp;EOMONTH(AZ7,0),'1UV5KI'!$L$6:$L$2989,$B$35)+SUMIFS(#REF!,#REF!,"&gt;="&amp;AZ7,#REF!,"&lt;="&amp;EOMONTH(AZ7,0),#REF!,$B$35)+SUMIFS('1UL9RY'!$K$6:$K$2990,'1UL9RY'!$J$6:$J$2990,"&gt;="&amp;AZ7,'1UL9RY'!$J$6:$J$2990,"&lt;="&amp;EOMONTH(AZ7,0),'1UL9RY'!$L$6:$L$2990,$B$35)+SUMIFS('1OZ7GT'!$K$6:$K$2989,'1OZ7GT'!$J$6:$J$2989,"&gt;="&amp;AZ7,'1OZ7GT'!$J$6:$J$2989,"&lt;="&amp;EOMONTH(AZ7,0),'1OZ7GT'!$L$6:$L$2989,$B$35)+SUMIFS('1CN8DD'!$K$6:$K$2989,'1CN8DD'!$J$6:$J$2989,"&gt;="&amp;AZ7,'1CN8DD'!$J$6:$J$2989,"&lt;="&amp;EOMONTH(AZ7,0),'1CN8DD'!$L$6:$L$2989,$B$35)+SUMIFS('1UT9BR'!$K$6:$K$2990,'1UT9BR'!$J$6:$J$2990,"&gt;="&amp;AZ7,'1UT9BR'!$J$6:$J$2990,"&lt;="&amp;EOMONTH(AZ7,0),'1UT9BR'!$L$6:$L$2990,$B$35)+SUMIFS('1MK4UR'!$K$6:$K$2990,'1MK4UR'!$J$6:$J$2990,"&gt;="&amp;AZ7,'1MK4UR'!$J$6:$J$2990,"&lt;="&amp;EOMONTH(AZ7,0),'1MK4UR'!$L$6:$L$2990,$B$35)+SUMIFS(#REF!,#REF!,"&gt;="&amp;AZ7,#REF!,"&lt;="&amp;EOMONTH(AZ7,0),#REF!,$B$35)+SUMIFS('1JI2UE'!$K$6:$K$2989,'1JI2UE'!$J$6:$J$2989,"&gt;="&amp;AZ7,'1JI2UE'!$J$6:$J$2989,"&lt;="&amp;EOMONTH(AZ7,0),'1JI2UE'!$L$6:$L$2989,$B$35)+SUMIFS(#REF!,#REF!,"&gt;="&amp;AZ7,#REF!,"&lt;="&amp;EOMONTH(AZ7,0),#REF!,$B$35)+SUMIFS('1SI9BW'!$K$6:$K$2989,'1SI9BW'!$J$6:$J$2989,"&gt;="&amp;AZ7,'1SI9BW'!$J$6:$J$2989,"&lt;="&amp;EOMONTH(AZ7,0),'1SI9BW'!$L$6:$L$2989,$B$35)+SUMIFS(Suzuki!$K$6:$K$2989,Suzuki!$J$6:$J$2989,"&gt;="&amp;AZ7,Suzuki!$J$6:$J$2989,"&lt;="&amp;EOMONTH(AZ7,0),Suzuki!$L$6:$L$2989,$B$35)+SUMIFS('1SK3DD'!$K$6:$K$2989,'1SK3DD'!$J$6:$J$2989,"&gt;="&amp;AZ7,'1SK3DD'!$J$6:$J$2989,"&lt;="&amp;EOMONTH(AZ7,0),'1SK3DD'!$L$6:$L$2989,$B$35)+SUMIFS('1SX5TQ'!$K$6:$K$2989,'1SX5TQ'!$J$6:$J$2989,"&gt;="&amp;AZ7,'1SX5TQ'!$J$6:$J$2989,"&lt;="&amp;EOMONTH(AZ7,0),'1SX5TQ'!$L$6:$L$2989,$B$35)+SUMIFS('BMM465'!$K$6:$K$2989,'BMM465'!$J$6:$J$2989,"&gt;="&amp;AZ7,'BMM465'!$J$6:$J$2989,"&lt;="&amp;EOMONTH(AZ7,0),'BMM465'!$L$6:$L$2989,$B$35)+SUMIFS('1CF1ZO'!$K$6:$K$2989,'1CF1ZO'!$J$6:$J$2989,"&gt;="&amp;AZ7,'1CF1ZO'!$J$6:$J$2989,"&lt;="&amp;EOMONTH(AZ7,0),'1CF1ZO'!$L$6:$L$2989,$B$35)+SUMIFS('1UK1BK'!$K$6:$K$2989,'1UK1BK'!$J$6:$J$2989,"&gt;="&amp;AZ7,'1UK1BK'!$J$6:$J$2989,"&lt;="&amp;EOMONTH(AZ7,0),'1UK1BK'!$L$6:$L$2989,$B$35)</f>
        <v>#REF!</v>
      </c>
      <c r="BA35" s="110" t="e">
        <f>SUMIFS('CEI565'!$K$6:$K$2990,'CEI565'!$J$6:$J$2990,"&gt;="&amp;BA7,'CEI565'!$J$6:$J$2990,"&lt;="&amp;EOMONTH(BA7,0),'CEI565'!$L$6:$L$2990,$B$35)+SUMIFS('1SM3VL'!$K$6:$K$2990,'1SM3VL'!$J$6:$J$2990,"&gt;="&amp;BA7,'1SM3VL'!$J$6:$J$2990,"&lt;="&amp;EOMONTH(BA7,0),'1SM3VL'!$L$6:$L$2990,$B$35)+SUMIFS('1QF4SM'!$K$6:$K$2989,'1QF4SM'!$J$6:$J$2989,"&gt;="&amp;BA7,'1QF4SM'!$J$6:$J$2989,"&lt;="&amp;EOMONTH(BA7,0),'1QF4SM'!$L$6:$L$2989,$B$35)+SUMIFS('1UV5KI'!$K$6:$K$2989,'1UV5KI'!$J$6:$J$2989,"&gt;="&amp;BA7,'1UV5KI'!$J$6:$J$2989,"&lt;="&amp;EOMONTH(BA7,0),'1UV5KI'!$L$6:$L$2989,$B$35)+SUMIFS(#REF!,#REF!,"&gt;="&amp;BA7,#REF!,"&lt;="&amp;EOMONTH(BA7,0),#REF!,$B$35)+SUMIFS('1UL9RY'!$K$6:$K$2990,'1UL9RY'!$J$6:$J$2990,"&gt;="&amp;BA7,'1UL9RY'!$J$6:$J$2990,"&lt;="&amp;EOMONTH(BA7,0),'1UL9RY'!$L$6:$L$2990,$B$35)+SUMIFS('1OZ7GT'!$K$6:$K$2989,'1OZ7GT'!$J$6:$J$2989,"&gt;="&amp;BA7,'1OZ7GT'!$J$6:$J$2989,"&lt;="&amp;EOMONTH(BA7,0),'1OZ7GT'!$L$6:$L$2989,$B$35)+SUMIFS('1CN8DD'!$K$6:$K$2989,'1CN8DD'!$J$6:$J$2989,"&gt;="&amp;BA7,'1CN8DD'!$J$6:$J$2989,"&lt;="&amp;EOMONTH(BA7,0),'1CN8DD'!$L$6:$L$2989,$B$35)+SUMIFS('1UT9BR'!$K$6:$K$2990,'1UT9BR'!$J$6:$J$2990,"&gt;="&amp;BA7,'1UT9BR'!$J$6:$J$2990,"&lt;="&amp;EOMONTH(BA7,0),'1UT9BR'!$L$6:$L$2990,$B$35)+SUMIFS('1MK4UR'!$K$6:$K$2990,'1MK4UR'!$J$6:$J$2990,"&gt;="&amp;BA7,'1MK4UR'!$J$6:$J$2990,"&lt;="&amp;EOMONTH(BA7,0),'1MK4UR'!$L$6:$L$2990,$B$35)+SUMIFS(#REF!,#REF!,"&gt;="&amp;BA7,#REF!,"&lt;="&amp;EOMONTH(BA7,0),#REF!,$B$35)+SUMIFS('1JI2UE'!$K$6:$K$2989,'1JI2UE'!$J$6:$J$2989,"&gt;="&amp;BA7,'1JI2UE'!$J$6:$J$2989,"&lt;="&amp;EOMONTH(BA7,0),'1JI2UE'!$L$6:$L$2989,$B$35)+SUMIFS(#REF!,#REF!,"&gt;="&amp;BA7,#REF!,"&lt;="&amp;EOMONTH(BA7,0),#REF!,$B$35)+SUMIFS('1SI9BW'!$K$6:$K$2989,'1SI9BW'!$J$6:$J$2989,"&gt;="&amp;BA7,'1SI9BW'!$J$6:$J$2989,"&lt;="&amp;EOMONTH(BA7,0),'1SI9BW'!$L$6:$L$2989,$B$35)+SUMIFS(Suzuki!$K$6:$K$2989,Suzuki!$J$6:$J$2989,"&gt;="&amp;BA7,Suzuki!$J$6:$J$2989,"&lt;="&amp;EOMONTH(BA7,0),Suzuki!$L$6:$L$2989,$B$35)+SUMIFS('1SK3DD'!$K$6:$K$2989,'1SK3DD'!$J$6:$J$2989,"&gt;="&amp;BA7,'1SK3DD'!$J$6:$J$2989,"&lt;="&amp;EOMONTH(BA7,0),'1SK3DD'!$L$6:$L$2989,$B$35)+SUMIFS('1SX5TQ'!$K$6:$K$2989,'1SX5TQ'!$J$6:$J$2989,"&gt;="&amp;BA7,'1SX5TQ'!$J$6:$J$2989,"&lt;="&amp;EOMONTH(BA7,0),'1SX5TQ'!$L$6:$L$2989,$B$35)+SUMIFS('BMM465'!$K$6:$K$2989,'BMM465'!$J$6:$J$2989,"&gt;="&amp;BA7,'BMM465'!$J$6:$J$2989,"&lt;="&amp;EOMONTH(BA7,0),'BMM465'!$L$6:$L$2989,$B$35)+SUMIFS('1CF1ZO'!$K$6:$K$2989,'1CF1ZO'!$J$6:$J$2989,"&gt;="&amp;BA7,'1CF1ZO'!$J$6:$J$2989,"&lt;="&amp;EOMONTH(BA7,0),'1CF1ZO'!$L$6:$L$2989,$B$35)+SUMIFS('1UK1BK'!$K$6:$K$2989,'1UK1BK'!$J$6:$J$2989,"&gt;="&amp;BA7,'1UK1BK'!$J$6:$J$2989,"&lt;="&amp;EOMONTH(BA7,0),'1UK1BK'!$L$6:$L$2989,$B$35)</f>
        <v>#REF!</v>
      </c>
    </row>
    <row r="36" spans="2:53" x14ac:dyDescent="0.25">
      <c r="B36" s="5" t="s">
        <v>858</v>
      </c>
      <c r="C36" s="69" t="str">
        <f t="shared" si="13"/>
        <v/>
      </c>
      <c r="D36" s="109">
        <f t="shared" si="2"/>
        <v>0</v>
      </c>
      <c r="E36" s="69" t="str">
        <f t="shared" si="14"/>
        <v/>
      </c>
      <c r="F36" s="109">
        <f t="shared" si="3"/>
        <v>0</v>
      </c>
      <c r="G36" s="69" t="str">
        <f>IFERROR(H36/$H$17,"")</f>
        <v/>
      </c>
      <c r="H36" s="109">
        <f t="shared" si="4"/>
        <v>0</v>
      </c>
      <c r="I36" s="110">
        <f>SUMIFS('Other Expense'!$G$8:$G$2966,'Other Expense'!$F$8:$F$2966,"&gt;="&amp;I7,'Other Expense'!$F$8:$F$2966,"&lt;="&amp;EOMONTH(I7,0),'Other Expense'!$H$8:$H$2966,$B$36)</f>
        <v>0</v>
      </c>
      <c r="J36" s="110">
        <f>SUMIFS('Other Expense'!$G$8:$G$2966,'Other Expense'!$F$8:$F$2966,"&gt;="&amp;J7,'Other Expense'!$F$8:$F$2966,"&lt;="&amp;EOMONTH(J7,0),'Other Expense'!$H$8:$H$2966,$B$36)</f>
        <v>0</v>
      </c>
      <c r="K36" s="110">
        <f>SUMIFS('Other Expense'!$G$8:$G$2966,'Other Expense'!$F$8:$F$2966,"&gt;="&amp;K7,'Other Expense'!$F$8:$F$2966,"&lt;="&amp;EOMONTH(K7,0),'Other Expense'!$H$8:$H$2966,$B$36)</f>
        <v>0</v>
      </c>
      <c r="L36" s="110">
        <f>SUMIFS('Other Expense'!$G$8:$G$2966,'Other Expense'!$F$8:$F$2966,"&gt;="&amp;L7,'Other Expense'!$F$8:$F$2966,"&lt;="&amp;EOMONTH(L7,0),'Other Expense'!$H$8:$H$2966,$B$36)</f>
        <v>0</v>
      </c>
      <c r="M36" s="110">
        <f>SUMIFS('Other Expense'!$G$8:$G$2966,'Other Expense'!$F$8:$F$2966,"&gt;="&amp;M7,'Other Expense'!$F$8:$F$2966,"&lt;="&amp;EOMONTH(M7,0),'Other Expense'!$H$8:$H$2966,$B$36)</f>
        <v>0</v>
      </c>
      <c r="N36" s="110">
        <f>SUMIFS('Other Expense'!$G$8:$G$2966,'Other Expense'!$F$8:$F$2966,"&gt;="&amp;N7,'Other Expense'!$F$8:$F$2966,"&lt;="&amp;EOMONTH(N7,0),'Other Expense'!$H$8:$H$2966,$B$36)</f>
        <v>0</v>
      </c>
      <c r="O36" s="110">
        <f>SUMIFS('Other Expense'!$G$8:$G$2966,'Other Expense'!$F$8:$F$2966,"&gt;="&amp;O7,'Other Expense'!$F$8:$F$2966,"&lt;="&amp;EOMONTH(O7,0),'Other Expense'!$H$8:$H$2966,$B$36)</f>
        <v>0</v>
      </c>
      <c r="P36" s="110">
        <f>SUMIFS('Other Expense'!$G$8:$G$2966,'Other Expense'!$F$8:$F$2966,"&gt;="&amp;P7,'Other Expense'!$F$8:$F$2966,"&lt;="&amp;EOMONTH(P7,0),'Other Expense'!$H$8:$H$2966,$B$36)</f>
        <v>0</v>
      </c>
      <c r="Q36" s="110">
        <f>SUMIFS('Other Expense'!$G$8:$G$2966,'Other Expense'!$F$8:$F$2966,"&gt;="&amp;Q7,'Other Expense'!$F$8:$F$2966,"&lt;="&amp;EOMONTH(Q7,0),'Other Expense'!$H$8:$H$2966,$B$36)</f>
        <v>0</v>
      </c>
      <c r="R36" s="110">
        <f>SUMIFS('Other Expense'!$G$8:$G$2966,'Other Expense'!$F$8:$F$2966,"&gt;="&amp;R7,'Other Expense'!$F$8:$F$2966,"&lt;="&amp;EOMONTH(R7,0),'Other Expense'!$H$8:$H$2966,$B$36)</f>
        <v>0</v>
      </c>
      <c r="S36" s="110">
        <f>SUMIFS('Other Expense'!$G$8:$G$2966,'Other Expense'!$F$8:$F$2966,"&gt;="&amp;S7,'Other Expense'!$F$8:$F$2966,"&lt;="&amp;EOMONTH(S7,0),'Other Expense'!$H$8:$H$2966,$B$36)</f>
        <v>0</v>
      </c>
      <c r="T36" s="110">
        <f>SUMIFS('Other Expense'!$G$8:$G$2966,'Other Expense'!$F$8:$F$2966,"&gt;="&amp;T7,'Other Expense'!$F$8:$F$2966,"&lt;="&amp;EOMONTH(T7,0),'Other Expense'!$H$8:$H$2966,$B$36)</f>
        <v>0</v>
      </c>
      <c r="U36" s="110">
        <f>SUMIFS('Other Expense'!$G$8:$G$2966,'Other Expense'!$F$8:$F$2966,"&gt;="&amp;U7,'Other Expense'!$F$8:$F$2966,"&lt;="&amp;EOMONTH(U7,0),'Other Expense'!$H$8:$H$2966,$B$36)</f>
        <v>0</v>
      </c>
      <c r="V36" s="110">
        <f>SUMIFS('Other Expense'!$G$8:$G$2966,'Other Expense'!$F$8:$F$2966,"&gt;="&amp;V7,'Other Expense'!$F$8:$F$2966,"&lt;="&amp;EOMONTH(V7,0),'Other Expense'!$H$8:$H$2966,$B$36)</f>
        <v>0</v>
      </c>
      <c r="W36" s="110">
        <f>SUMIFS('Other Expense'!$G$8:$G$2966,'Other Expense'!$F$8:$F$2966,"&gt;="&amp;W7,'Other Expense'!$F$8:$F$2966,"&lt;="&amp;EOMONTH(W7,0),'Other Expense'!$H$8:$H$2966,$B$36)</f>
        <v>0</v>
      </c>
      <c r="X36" s="110">
        <f>SUMIFS('Other Expense'!$G$8:$G$2966,'Other Expense'!$F$8:$F$2966,"&gt;="&amp;X7,'Other Expense'!$F$8:$F$2966,"&lt;="&amp;EOMONTH(X7,0),'Other Expense'!$H$8:$H$2966,$B$36)</f>
        <v>0</v>
      </c>
      <c r="Y36" s="110">
        <f>SUMIFS('Other Expense'!$G$8:$G$2966,'Other Expense'!$F$8:$F$2966,"&gt;="&amp;Y7,'Other Expense'!$F$8:$F$2966,"&lt;="&amp;EOMONTH(Y7,0),'Other Expense'!$H$8:$H$2966,$B$36)</f>
        <v>0</v>
      </c>
      <c r="Z36" s="110">
        <f>SUMIFS('Other Expense'!$G$8:$G$2966,'Other Expense'!$F$8:$F$2966,"&gt;="&amp;Z7,'Other Expense'!$F$8:$F$2966,"&lt;="&amp;EOMONTH(Z7,0),'Other Expense'!$H$8:$H$2966,$B$36)</f>
        <v>0</v>
      </c>
      <c r="AA36" s="110">
        <f>SUMIFS('Other Expense'!$G$8:$G$2966,'Other Expense'!$F$8:$F$2966,"&gt;="&amp;AA7,'Other Expense'!$F$8:$F$2966,"&lt;="&amp;EOMONTH(AA7,0),'Other Expense'!$H$8:$H$2966,$B$36)</f>
        <v>0</v>
      </c>
      <c r="AB36" s="110">
        <f>SUMIFS('Other Expense'!$G$8:$G$2966,'Other Expense'!$F$8:$F$2966,"&gt;="&amp;AB7,'Other Expense'!$F$8:$F$2966,"&lt;="&amp;EOMONTH(AB7,0),'Other Expense'!$H$8:$H$2966,$B$36)</f>
        <v>0</v>
      </c>
      <c r="AC36" s="110">
        <f>SUMIFS('Other Expense'!$G$8:$G$2966,'Other Expense'!$F$8:$F$2966,"&gt;="&amp;AC7,'Other Expense'!$F$8:$F$2966,"&lt;="&amp;EOMONTH(AC7,0),'Other Expense'!$H$8:$H$2966,$B$36)</f>
        <v>0</v>
      </c>
      <c r="AD36" s="110">
        <f>SUMIFS('Other Expense'!$G$8:$G$2966,'Other Expense'!$F$8:$F$2966,"&gt;="&amp;AD7,'Other Expense'!$F$8:$F$2966,"&lt;="&amp;EOMONTH(AD7,0),'Other Expense'!$H$8:$H$2966,$B$36)</f>
        <v>0</v>
      </c>
      <c r="AE36" s="110">
        <f>SUMIFS('Other Expense'!$G$8:$G$2966,'Other Expense'!$F$8:$F$2966,"&gt;="&amp;AE7,'Other Expense'!$F$8:$F$2966,"&lt;="&amp;EOMONTH(AE7,0),'Other Expense'!$H$8:$H$2966,$B$36)</f>
        <v>0</v>
      </c>
      <c r="AF36" s="110">
        <f>SUMIFS('Other Expense'!$G$8:$G$2966,'Other Expense'!$F$8:$F$2966,"&gt;="&amp;AF7,'Other Expense'!$F$8:$F$2966,"&lt;="&amp;EOMONTH(AF7,0),'Other Expense'!$H$8:$H$2966,$B$36)</f>
        <v>0</v>
      </c>
      <c r="AG36" s="110">
        <f>SUMIFS('Other Expense'!$G$8:$G$2966,'Other Expense'!$F$8:$F$2966,"&gt;="&amp;AG7,'Other Expense'!$F$8:$F$2966,"&lt;="&amp;EOMONTH(AG7,0),'Other Expense'!$H$8:$H$2966,$B$36)</f>
        <v>0</v>
      </c>
      <c r="AH36" s="110">
        <f>SUMIFS('Other Expense'!$G$8:$G$2966,'Other Expense'!$F$8:$F$2966,"&gt;="&amp;AH7,'Other Expense'!$F$8:$F$2966,"&lt;="&amp;EOMONTH(AH7,0),'Other Expense'!$H$8:$H$2966,$B$36)</f>
        <v>0</v>
      </c>
      <c r="AI36" s="110">
        <f>SUMIFS('Other Expense'!$G$8:$G$2966,'Other Expense'!$F$8:$F$2966,"&gt;="&amp;AI7,'Other Expense'!$F$8:$F$2966,"&lt;="&amp;EOMONTH(AI7,0),'Other Expense'!$H$8:$H$2966,$B$36)</f>
        <v>0</v>
      </c>
      <c r="AJ36" s="110">
        <f>SUMIFS('Other Expense'!$G$8:$G$2966,'Other Expense'!$F$8:$F$2966,"&gt;="&amp;AJ7,'Other Expense'!$F$8:$F$2966,"&lt;="&amp;EOMONTH(AJ7,0),'Other Expense'!$H$8:$H$2966,$B$36)</f>
        <v>0</v>
      </c>
      <c r="AK36" s="110">
        <f>SUMIFS('Other Expense'!$G$8:$G$2966,'Other Expense'!$F$8:$F$2966,"&gt;="&amp;AK7,'Other Expense'!$F$8:$F$2966,"&lt;="&amp;EOMONTH(AK7,0),'Other Expense'!$H$8:$H$2966,$B$36)</f>
        <v>0</v>
      </c>
      <c r="AL36" s="110">
        <f>SUMIFS('Other Expense'!$G$8:$G$2966,'Other Expense'!$F$8:$F$2966,"&gt;="&amp;AL7,'Other Expense'!$F$8:$F$2966,"&lt;="&amp;EOMONTH(AL7,0),'Other Expense'!$H$8:$H$2966,$B$36)</f>
        <v>0</v>
      </c>
      <c r="AM36" s="110">
        <f>SUMIFS('Other Expense'!$G$8:$G$2966,'Other Expense'!$F$8:$F$2966,"&gt;="&amp;AM7,'Other Expense'!$F$8:$F$2966,"&lt;="&amp;EOMONTH(AM7,0),'Other Expense'!$H$8:$H$2966,$B$36)</f>
        <v>0</v>
      </c>
      <c r="AN36" s="110">
        <f>SUMIFS('Other Expense'!$G$8:$G$2966,'Other Expense'!$F$8:$F$2966,"&gt;="&amp;AN7,'Other Expense'!$F$8:$F$2966,"&lt;="&amp;EOMONTH(AN7,0),'Other Expense'!$H$8:$H$2966,$B$36)</f>
        <v>0</v>
      </c>
      <c r="AO36" s="110">
        <f>SUMIFS('Other Expense'!$G$8:$G$2966,'Other Expense'!$F$8:$F$2966,"&gt;="&amp;AO7,'Other Expense'!$F$8:$F$2966,"&lt;="&amp;EOMONTH(AO7,0),'Other Expense'!$H$8:$H$2966,$B$36)</f>
        <v>0</v>
      </c>
      <c r="AP36" s="110">
        <f>SUMIFS('Other Expense'!$G$8:$G$2966,'Other Expense'!$F$8:$F$2966,"&gt;="&amp;AP7,'Other Expense'!$F$8:$F$2966,"&lt;="&amp;EOMONTH(AP7,0),'Other Expense'!$H$8:$H$2966,$B$36)</f>
        <v>0</v>
      </c>
      <c r="AQ36" s="110">
        <f>SUMIFS('Other Expense'!$G$8:$G$2966,'Other Expense'!$F$8:$F$2966,"&gt;="&amp;AQ7,'Other Expense'!$F$8:$F$2966,"&lt;="&amp;EOMONTH(AQ7,0),'Other Expense'!$H$8:$H$2966,$B$36)</f>
        <v>0</v>
      </c>
      <c r="AR36" s="110">
        <f>SUMIFS('Other Expense'!$G$8:$G$2966,'Other Expense'!$F$8:$F$2966,"&gt;="&amp;AR7,'Other Expense'!$F$8:$F$2966,"&lt;="&amp;EOMONTH(AR7,0),'Other Expense'!$H$8:$H$2966,$B$36)</f>
        <v>0</v>
      </c>
      <c r="AS36" s="110">
        <f>SUMIFS('Other Expense'!$G$8:$G$2966,'Other Expense'!$F$8:$F$2966,"&gt;="&amp;AS7,'Other Expense'!$F$8:$F$2966,"&lt;="&amp;EOMONTH(AS7,0),'Other Expense'!$H$8:$H$2966,$B$36)</f>
        <v>0</v>
      </c>
      <c r="AT36" s="110">
        <f>SUMIFS('Other Expense'!$G$8:$G$2966,'Other Expense'!$F$8:$F$2966,"&gt;="&amp;AT7,'Other Expense'!$F$8:$F$2966,"&lt;="&amp;EOMONTH(AT7,0),'Other Expense'!$H$8:$H$2966,$B$36)</f>
        <v>0</v>
      </c>
      <c r="AU36" s="110">
        <f>SUMIFS('Other Expense'!$G$8:$G$2966,'Other Expense'!$F$8:$F$2966,"&gt;="&amp;AU7,'Other Expense'!$F$8:$F$2966,"&lt;="&amp;EOMONTH(AU7,0),'Other Expense'!$H$8:$H$2966,$B$36)</f>
        <v>0</v>
      </c>
      <c r="AV36" s="110">
        <f>SUMIFS('Other Expense'!$G$8:$G$2966,'Other Expense'!$F$8:$F$2966,"&gt;="&amp;AV7,'Other Expense'!$F$8:$F$2966,"&lt;="&amp;EOMONTH(AV7,0),'Other Expense'!$H$8:$H$2966,$B$36)</f>
        <v>0</v>
      </c>
      <c r="AW36" s="110">
        <f>SUMIFS('Other Expense'!$G$8:$G$2966,'Other Expense'!$F$8:$F$2966,"&gt;="&amp;AW7,'Other Expense'!$F$8:$F$2966,"&lt;="&amp;EOMONTH(AW7,0),'Other Expense'!$H$8:$H$2966,$B$36)</f>
        <v>0</v>
      </c>
      <c r="AX36" s="110">
        <f>SUMIFS('Other Expense'!$G$8:$G$2966,'Other Expense'!$F$8:$F$2966,"&gt;="&amp;AX7,'Other Expense'!$F$8:$F$2966,"&lt;="&amp;EOMONTH(AX7,0),'Other Expense'!$H$8:$H$2966,$B$36)</f>
        <v>0</v>
      </c>
      <c r="AY36" s="110">
        <f>SUMIFS('Other Expense'!$G$8:$G$2966,'Other Expense'!$F$8:$F$2966,"&gt;="&amp;AY7,'Other Expense'!$F$8:$F$2966,"&lt;="&amp;EOMONTH(AY7,0),'Other Expense'!$H$8:$H$2966,$B$36)</f>
        <v>0</v>
      </c>
      <c r="AZ36" s="110">
        <f>SUMIFS('Other Expense'!$G$8:$G$2966,'Other Expense'!$F$8:$F$2966,"&gt;="&amp;AZ7,'Other Expense'!$F$8:$F$2966,"&lt;="&amp;EOMONTH(AZ7,0),'Other Expense'!$H$8:$H$2966,$B$36)</f>
        <v>0</v>
      </c>
      <c r="BA36" s="110">
        <f>SUMIFS('Other Expense'!$G$8:$G$2966,'Other Expense'!$F$8:$F$2966,"&gt;="&amp;BA7,'Other Expense'!$F$8:$F$2966,"&lt;="&amp;EOMONTH(BA7,0),'Other Expense'!$H$8:$H$2966,$B$36)</f>
        <v>0</v>
      </c>
    </row>
    <row r="37" spans="2:53" x14ac:dyDescent="0.25">
      <c r="B37" s="5" t="s">
        <v>36</v>
      </c>
      <c r="C37" s="69" t="str">
        <f t="shared" si="13"/>
        <v/>
      </c>
      <c r="D37" s="109">
        <f t="shared" si="2"/>
        <v>39.260000000000005</v>
      </c>
      <c r="E37" s="69" t="str">
        <f t="shared" si="14"/>
        <v/>
      </c>
      <c r="F37" s="109">
        <f t="shared" si="3"/>
        <v>6703.0499999999984</v>
      </c>
      <c r="G37" s="69" t="str">
        <f>IFERROR(H37/$H$17,"")</f>
        <v/>
      </c>
      <c r="H37" s="109">
        <f t="shared" si="4"/>
        <v>7474.6699999999955</v>
      </c>
      <c r="I37" s="110">
        <f>SUMIFS('Other Expense'!$G$8:$G$2966,'Other Expense'!$F$8:$F$2966,"&gt;="&amp;I7,'Other Expense'!$F$8:$F$2966,"&lt;="&amp;EOMONTH(I7,0),'Other Expense'!$H$8:$H$2966,$B$37)</f>
        <v>0</v>
      </c>
      <c r="J37" s="110">
        <f>SUMIFS('Other Expense'!$G$8:$G$2966,'Other Expense'!$F$8:$F$2966,"&gt;="&amp;J7,'Other Expense'!$F$8:$F$2966,"&lt;="&amp;EOMONTH(J7,0),'Other Expense'!$H$8:$H$2966,$B$37)</f>
        <v>0</v>
      </c>
      <c r="K37" s="110">
        <f>SUMIFS('Other Expense'!$G$8:$G$2966,'Other Expense'!$F$8:$F$2966,"&gt;="&amp;K7,'Other Expense'!$F$8:$F$2966,"&lt;="&amp;EOMONTH(K7,0),'Other Expense'!$H$8:$H$2966,$B$37)</f>
        <v>0</v>
      </c>
      <c r="L37" s="110">
        <f>SUMIFS('Other Expense'!$G$8:$G$2966,'Other Expense'!$F$8:$F$2966,"&gt;="&amp;L7,'Other Expense'!$F$8:$F$2966,"&lt;="&amp;EOMONTH(L7,0),'Other Expense'!$H$8:$H$2966,$B$37)</f>
        <v>31.16</v>
      </c>
      <c r="M37" s="110">
        <f>SUMIFS('Other Expense'!$G$8:$G$2966,'Other Expense'!$F$8:$F$2966,"&gt;="&amp;M7,'Other Expense'!$F$8:$F$2966,"&lt;="&amp;EOMONTH(M7,0),'Other Expense'!$H$8:$H$2966,$B$37)</f>
        <v>1.35</v>
      </c>
      <c r="N37" s="110">
        <f>SUMIFS('Other Expense'!$G$8:$G$2966,'Other Expense'!$F$8:$F$2966,"&gt;="&amp;N7,'Other Expense'!$F$8:$F$2966,"&lt;="&amp;EOMONTH(N7,0),'Other Expense'!$H$8:$H$2966,$B$37)</f>
        <v>1.35</v>
      </c>
      <c r="O37" s="110">
        <f>SUMIFS('Other Expense'!$G$8:$G$2966,'Other Expense'!$F$8:$F$2966,"&gt;="&amp;O7,'Other Expense'!$F$8:$F$2966,"&lt;="&amp;EOMONTH(O7,0),'Other Expense'!$H$8:$H$2966,$B$37)</f>
        <v>1.35</v>
      </c>
      <c r="P37" s="110">
        <f>SUMIFS('Other Expense'!$G$8:$G$2966,'Other Expense'!$F$8:$F$2966,"&gt;="&amp;P7,'Other Expense'!$F$8:$F$2966,"&lt;="&amp;EOMONTH(P7,0),'Other Expense'!$H$8:$H$2966,$B$37)</f>
        <v>1.35</v>
      </c>
      <c r="Q37" s="110">
        <f>SUMIFS('Other Expense'!$G$8:$G$2966,'Other Expense'!$F$8:$F$2966,"&gt;="&amp;Q7,'Other Expense'!$F$8:$F$2966,"&lt;="&amp;EOMONTH(Q7,0),'Other Expense'!$H$8:$H$2966,$B$37)</f>
        <v>1.35</v>
      </c>
      <c r="R37" s="110">
        <f>SUMIFS('Other Expense'!$G$8:$G$2966,'Other Expense'!$F$8:$F$2966,"&gt;="&amp;R7,'Other Expense'!$F$8:$F$2966,"&lt;="&amp;EOMONTH(R7,0),'Other Expense'!$H$8:$H$2966,$B$37)</f>
        <v>1.35</v>
      </c>
      <c r="S37" s="110">
        <f>SUMIFS('Other Expense'!$G$8:$G$2966,'Other Expense'!$F$8:$F$2966,"&gt;="&amp;S7,'Other Expense'!$F$8:$F$2966,"&lt;="&amp;EOMONTH(S7,0),'Other Expense'!$H$8:$H$2966,$B$37)</f>
        <v>1.35</v>
      </c>
      <c r="T37" s="110">
        <f>SUMIFS('Other Expense'!$G$8:$G$2966,'Other Expense'!$F$8:$F$2966,"&gt;="&amp;T7,'Other Expense'!$F$8:$F$2966,"&lt;="&amp;EOMONTH(T7,0),'Other Expense'!$H$8:$H$2966,$B$37)</f>
        <v>1.35</v>
      </c>
      <c r="U37" s="110">
        <f>SUMIFS('Other Expense'!$G$8:$G$2966,'Other Expense'!$F$8:$F$2966,"&gt;="&amp;U7,'Other Expense'!$F$8:$F$2966,"&lt;="&amp;EOMONTH(U7,0),'Other Expense'!$H$8:$H$2966,$B$37)</f>
        <v>6599.85</v>
      </c>
      <c r="V37" s="110">
        <f>SUMIFS('Other Expense'!$G$8:$G$2966,'Other Expense'!$F$8:$F$2966,"&gt;="&amp;V7,'Other Expense'!$F$8:$F$2966,"&lt;="&amp;EOMONTH(V7,0),'Other Expense'!$H$8:$H$2966,$B$37)</f>
        <v>1.35</v>
      </c>
      <c r="W37" s="110">
        <f>SUMIFS('Other Expense'!$G$8:$G$2966,'Other Expense'!$F$8:$F$2966,"&gt;="&amp;W7,'Other Expense'!$F$8:$F$2966,"&lt;="&amp;EOMONTH(W7,0),'Other Expense'!$H$8:$H$2966,$B$37)</f>
        <v>29.85</v>
      </c>
      <c r="X37" s="110">
        <f>SUMIFS('Other Expense'!$G$8:$G$2966,'Other Expense'!$F$8:$F$2966,"&gt;="&amp;X7,'Other Expense'!$F$8:$F$2966,"&lt;="&amp;EOMONTH(X7,0),'Other Expense'!$H$8:$H$2966,$B$37)</f>
        <v>9.9</v>
      </c>
      <c r="Y37" s="110">
        <f>SUMIFS('Other Expense'!$G$8:$G$2966,'Other Expense'!$F$8:$F$2966,"&gt;="&amp;Y7,'Other Expense'!$F$8:$F$2966,"&lt;="&amp;EOMONTH(Y7,0),'Other Expense'!$H$8:$H$2966,$B$37)</f>
        <v>9.9</v>
      </c>
      <c r="Z37" s="110">
        <f>SUMIFS('Other Expense'!$G$8:$G$2966,'Other Expense'!$F$8:$F$2966,"&gt;="&amp;Z7,'Other Expense'!$F$8:$F$2966,"&lt;="&amp;EOMONTH(Z7,0),'Other Expense'!$H$8:$H$2966,$B$37)</f>
        <v>9.9</v>
      </c>
      <c r="AA37" s="110">
        <f>SUMIFS('Other Expense'!$G$8:$G$2966,'Other Expense'!$F$8:$F$2966,"&gt;="&amp;AA7,'Other Expense'!$F$8:$F$2966,"&lt;="&amp;EOMONTH(AA7,0),'Other Expense'!$H$8:$H$2966,$B$37)</f>
        <v>9.9</v>
      </c>
      <c r="AB37" s="110">
        <f>SUMIFS('Other Expense'!$G$8:$G$2966,'Other Expense'!$F$8:$F$2966,"&gt;="&amp;AB7,'Other Expense'!$F$8:$F$2966,"&lt;="&amp;EOMONTH(AB7,0),'Other Expense'!$H$8:$H$2966,$B$37)</f>
        <v>9.9</v>
      </c>
      <c r="AC37" s="110">
        <f>SUMIFS('Other Expense'!$G$8:$G$2966,'Other Expense'!$F$8:$F$2966,"&gt;="&amp;AC7,'Other Expense'!$F$8:$F$2966,"&lt;="&amp;EOMONTH(AC7,0),'Other Expense'!$H$8:$H$2966,$B$37)</f>
        <v>9.9</v>
      </c>
      <c r="AD37" s="110">
        <f>SUMIFS('Other Expense'!$G$8:$G$2966,'Other Expense'!$F$8:$F$2966,"&gt;="&amp;AD7,'Other Expense'!$F$8:$F$2966,"&lt;="&amp;EOMONTH(AD7,0),'Other Expense'!$H$8:$H$2966,$B$37)</f>
        <v>9.9</v>
      </c>
      <c r="AE37" s="110">
        <f>SUMIFS('Other Expense'!$G$8:$G$2966,'Other Expense'!$F$8:$F$2966,"&gt;="&amp;AE7,'Other Expense'!$F$8:$F$2966,"&lt;="&amp;EOMONTH(AE7,0),'Other Expense'!$H$8:$H$2966,$B$37)</f>
        <v>9.9</v>
      </c>
      <c r="AF37" s="110">
        <f>SUMIFS('Other Expense'!$G$8:$G$2966,'Other Expense'!$F$8:$F$2966,"&gt;="&amp;AF7,'Other Expense'!$F$8:$F$2966,"&lt;="&amp;EOMONTH(AF7,0),'Other Expense'!$H$8:$H$2966,$B$37)</f>
        <v>173.65</v>
      </c>
      <c r="AG37" s="110">
        <f>SUMIFS('Other Expense'!$G$8:$G$2966,'Other Expense'!$F$8:$F$2966,"&gt;="&amp;AG7,'Other Expense'!$F$8:$F$2966,"&lt;="&amp;EOMONTH(AG7,0),'Other Expense'!$H$8:$H$2966,$B$37)</f>
        <v>39.39</v>
      </c>
      <c r="AH37" s="110">
        <f>SUMIFS('Other Expense'!$G$8:$G$2966,'Other Expense'!$F$8:$F$2966,"&gt;="&amp;AH7,'Other Expense'!$F$8:$F$2966,"&lt;="&amp;EOMONTH(AH7,0),'Other Expense'!$H$8:$H$2966,$B$37)</f>
        <v>9.9</v>
      </c>
      <c r="AI37" s="110">
        <f>SUMIFS('Other Expense'!$G$8:$G$2966,'Other Expense'!$F$8:$F$2966,"&gt;="&amp;AI7,'Other Expense'!$F$8:$F$2966,"&lt;="&amp;EOMONTH(AI7,0),'Other Expense'!$H$8:$H$2966,$B$37)</f>
        <v>29.85</v>
      </c>
      <c r="AJ37" s="110">
        <f>SUMIFS('Other Expense'!$G$8:$G$2966,'Other Expense'!$F$8:$F$2966,"&gt;="&amp;AJ7,'Other Expense'!$F$8:$F$2966,"&lt;="&amp;EOMONTH(AJ7,0),'Other Expense'!$H$8:$H$2966,$B$37)</f>
        <v>238.9</v>
      </c>
      <c r="AK37" s="110">
        <f>SUMIFS('Other Expense'!$G$8:$G$2966,'Other Expense'!$F$8:$F$2966,"&gt;="&amp;AK7,'Other Expense'!$F$8:$F$2966,"&lt;="&amp;EOMONTH(AK7,0),'Other Expense'!$H$8:$H$2966,$B$37)</f>
        <v>9.9</v>
      </c>
      <c r="AL37" s="110">
        <f>SUMIFS('Other Expense'!$G$8:$G$2966,'Other Expense'!$F$8:$F$2966,"&gt;="&amp;AL7,'Other Expense'!$F$8:$F$2966,"&lt;="&amp;EOMONTH(AL7,0),'Other Expense'!$H$8:$H$2966,$B$37)</f>
        <v>9.9</v>
      </c>
      <c r="AM37" s="110">
        <f>SUMIFS('Other Expense'!$G$8:$G$2966,'Other Expense'!$F$8:$F$2966,"&gt;="&amp;AM7,'Other Expense'!$F$8:$F$2966,"&lt;="&amp;EOMONTH(AM7,0),'Other Expense'!$H$8:$H$2966,$B$37)</f>
        <v>9.9</v>
      </c>
      <c r="AN37" s="110">
        <f>SUMIFS('Other Expense'!$G$8:$G$2966,'Other Expense'!$F$8:$F$2966,"&gt;="&amp;AN7,'Other Expense'!$F$8:$F$2966,"&lt;="&amp;EOMONTH(AN7,0),'Other Expense'!$H$8:$H$2966,$B$37)</f>
        <v>9.9</v>
      </c>
      <c r="AO37" s="110">
        <f>SUMIFS('Other Expense'!$G$8:$G$2966,'Other Expense'!$F$8:$F$2966,"&gt;="&amp;AO7,'Other Expense'!$F$8:$F$2966,"&lt;="&amp;EOMONTH(AO7,0),'Other Expense'!$H$8:$H$2966,$B$37)</f>
        <v>9.9</v>
      </c>
      <c r="AP37" s="110">
        <f>SUMIFS('Other Expense'!$G$8:$G$2966,'Other Expense'!$F$8:$F$2966,"&gt;="&amp;AP7,'Other Expense'!$F$8:$F$2966,"&lt;="&amp;EOMONTH(AP7,0),'Other Expense'!$H$8:$H$2966,$B$37)</f>
        <v>39.769999999999996</v>
      </c>
      <c r="AQ37" s="110">
        <f>SUMIFS('Other Expense'!$G$8:$G$2966,'Other Expense'!$F$8:$F$2966,"&gt;="&amp;AQ7,'Other Expense'!$F$8:$F$2966,"&lt;="&amp;EOMONTH(AQ7,0),'Other Expense'!$H$8:$H$2966,$B$37)</f>
        <v>9.9</v>
      </c>
      <c r="AR37" s="110">
        <f>SUMIFS('Other Expense'!$G$8:$G$2966,'Other Expense'!$F$8:$F$2966,"&gt;="&amp;AR7,'Other Expense'!$F$8:$F$2966,"&lt;="&amp;EOMONTH(AR7,0),'Other Expense'!$H$8:$H$2966,$B$37)</f>
        <v>29.85</v>
      </c>
      <c r="AS37" s="110">
        <f>SUMIFS('Other Expense'!$G$8:$G$2966,'Other Expense'!$F$8:$F$2966,"&gt;="&amp;AS7,'Other Expense'!$F$8:$F$2966,"&lt;="&amp;EOMONTH(AS7,0),'Other Expense'!$H$8:$H$2966,$B$37)</f>
        <v>39.9</v>
      </c>
      <c r="AT37" s="110">
        <f>SUMIFS('Other Expense'!$G$8:$G$2966,'Other Expense'!$F$8:$F$2966,"&gt;="&amp;AT7,'Other Expense'!$F$8:$F$2966,"&lt;="&amp;EOMONTH(AT7,0),'Other Expense'!$H$8:$H$2966,$B$37)</f>
        <v>0</v>
      </c>
      <c r="AU37" s="110">
        <f>SUMIFS('Other Expense'!$G$8:$G$2966,'Other Expense'!$F$8:$F$2966,"&gt;="&amp;AU7,'Other Expense'!$F$8:$F$2966,"&lt;="&amp;EOMONTH(AU7,0),'Other Expense'!$H$8:$H$2966,$B$37)</f>
        <v>0</v>
      </c>
      <c r="AV37" s="110">
        <f>SUMIFS('Other Expense'!$G$8:$G$2966,'Other Expense'!$F$8:$F$2966,"&gt;="&amp;AV7,'Other Expense'!$F$8:$F$2966,"&lt;="&amp;EOMONTH(AV7,0),'Other Expense'!$H$8:$H$2966,$B$37)</f>
        <v>21.95</v>
      </c>
      <c r="AW37" s="110">
        <f>SUMIFS('Other Expense'!$G$8:$G$2966,'Other Expense'!$F$8:$F$2966,"&gt;="&amp;AW7,'Other Expense'!$F$8:$F$2966,"&lt;="&amp;EOMONTH(AW7,0),'Other Expense'!$H$8:$H$2966,$B$37)</f>
        <v>0</v>
      </c>
      <c r="AX37" s="110">
        <f>SUMIFS('Other Expense'!$G$8:$G$2966,'Other Expense'!$F$8:$F$2966,"&gt;="&amp;AX7,'Other Expense'!$F$8:$F$2966,"&lt;="&amp;EOMONTH(AX7,0),'Other Expense'!$H$8:$H$2966,$B$37)</f>
        <v>0</v>
      </c>
      <c r="AY37" s="110">
        <f>SUMIFS('Other Expense'!$G$8:$G$2966,'Other Expense'!$F$8:$F$2966,"&gt;="&amp;AY7,'Other Expense'!$F$8:$F$2966,"&lt;="&amp;EOMONTH(AY7,0),'Other Expense'!$H$8:$H$2966,$B$37)</f>
        <v>39.9</v>
      </c>
      <c r="AZ37" s="110">
        <f>SUMIFS('Other Expense'!$G$8:$G$2966,'Other Expense'!$F$8:$F$2966,"&gt;="&amp;AZ7,'Other Expense'!$F$8:$F$2966,"&lt;="&amp;EOMONTH(AZ7,0),'Other Expense'!$H$8:$H$2966,$B$37)</f>
        <v>0</v>
      </c>
      <c r="BA37" s="110">
        <f>SUMIFS('Other Expense'!$G$8:$G$2966,'Other Expense'!$F$8:$F$2966,"&gt;="&amp;BA7,'Other Expense'!$F$8:$F$2966,"&lt;="&amp;EOMONTH(BA7,0),'Other Expense'!$H$8:$H$2966,$B$37)</f>
        <v>0</v>
      </c>
    </row>
    <row r="38" spans="2:53" x14ac:dyDescent="0.25">
      <c r="B38" s="5" t="s">
        <v>35</v>
      </c>
      <c r="C38" s="69" t="str">
        <f t="shared" si="13"/>
        <v/>
      </c>
      <c r="D38" s="109">
        <f t="shared" si="2"/>
        <v>0</v>
      </c>
      <c r="E38" s="69" t="str">
        <f t="shared" si="14"/>
        <v/>
      </c>
      <c r="F38" s="109">
        <f t="shared" si="3"/>
        <v>0</v>
      </c>
      <c r="G38" s="69" t="str">
        <f>IFERROR(H38/$H$17,"")</f>
        <v/>
      </c>
      <c r="H38" s="109">
        <f t="shared" si="4"/>
        <v>0</v>
      </c>
      <c r="I38" s="110">
        <f>SUMIFS('Other Expense'!$G$8:$G$2966,'Other Expense'!$F$8:$F$2966,"&gt;="&amp;I7,'Other Expense'!$F$8:$F$2966,"&lt;="&amp;EOMONTH(I7,0),'Other Expense'!$H$8:$H$2966,$B$38)</f>
        <v>0</v>
      </c>
      <c r="J38" s="110">
        <f>SUMIFS('Other Expense'!$G$8:$G$2966,'Other Expense'!$F$8:$F$2966,"&gt;="&amp;J7,'Other Expense'!$F$8:$F$2966,"&lt;="&amp;EOMONTH(J7,0),'Other Expense'!$H$8:$H$2966,$B$38)</f>
        <v>0</v>
      </c>
      <c r="K38" s="110">
        <f>SUMIFS('Other Expense'!$G$8:$G$2966,'Other Expense'!$F$8:$F$2966,"&gt;="&amp;K7,'Other Expense'!$F$8:$F$2966,"&lt;="&amp;EOMONTH(K7,0),'Other Expense'!$H$8:$H$2966,$B$38)</f>
        <v>0</v>
      </c>
      <c r="L38" s="110">
        <f>SUMIFS('Other Expense'!$G$8:$G$2966,'Other Expense'!$F$8:$F$2966,"&gt;="&amp;L7,'Other Expense'!$F$8:$F$2966,"&lt;="&amp;EOMONTH(L7,0),'Other Expense'!$H$8:$H$2966,$B$38)</f>
        <v>0</v>
      </c>
      <c r="M38" s="110">
        <f>SUMIFS('Other Expense'!$G$8:$G$2966,'Other Expense'!$F$8:$F$2966,"&gt;="&amp;M7,'Other Expense'!$F$8:$F$2966,"&lt;="&amp;EOMONTH(M7,0),'Other Expense'!$H$8:$H$2966,$B$38)</f>
        <v>0</v>
      </c>
      <c r="N38" s="110">
        <f>SUMIFS('Other Expense'!$G$8:$G$2966,'Other Expense'!$F$8:$F$2966,"&gt;="&amp;N7,'Other Expense'!$F$8:$F$2966,"&lt;="&amp;EOMONTH(N7,0),'Other Expense'!$H$8:$H$2966,$B$38)</f>
        <v>0</v>
      </c>
      <c r="O38" s="110">
        <f>SUMIFS('Other Expense'!$G$8:$G$2966,'Other Expense'!$F$8:$F$2966,"&gt;="&amp;O7,'Other Expense'!$F$8:$F$2966,"&lt;="&amp;EOMONTH(O7,0),'Other Expense'!$H$8:$H$2966,$B$38)</f>
        <v>0</v>
      </c>
      <c r="P38" s="110">
        <f>SUMIFS('Other Expense'!$G$8:$G$2966,'Other Expense'!$F$8:$F$2966,"&gt;="&amp;P7,'Other Expense'!$F$8:$F$2966,"&lt;="&amp;EOMONTH(P7,0),'Other Expense'!$H$8:$H$2966,$B$38)</f>
        <v>0</v>
      </c>
      <c r="Q38" s="110">
        <f>SUMIFS('Other Expense'!$G$8:$G$2966,'Other Expense'!$F$8:$F$2966,"&gt;="&amp;Q7,'Other Expense'!$F$8:$F$2966,"&lt;="&amp;EOMONTH(Q7,0),'Other Expense'!$H$8:$H$2966,$B$38)</f>
        <v>0</v>
      </c>
      <c r="R38" s="110">
        <f>SUMIFS('Other Expense'!$G$8:$G$2966,'Other Expense'!$F$8:$F$2966,"&gt;="&amp;R7,'Other Expense'!$F$8:$F$2966,"&lt;="&amp;EOMONTH(R7,0),'Other Expense'!$H$8:$H$2966,$B$38)</f>
        <v>0</v>
      </c>
      <c r="S38" s="110">
        <f>SUMIFS('Other Expense'!$G$8:$G$2966,'Other Expense'!$F$8:$F$2966,"&gt;="&amp;S7,'Other Expense'!$F$8:$F$2966,"&lt;="&amp;EOMONTH(S7,0),'Other Expense'!$H$8:$H$2966,$B$38)</f>
        <v>0</v>
      </c>
      <c r="T38" s="110">
        <f>SUMIFS('Other Expense'!$G$8:$G$2966,'Other Expense'!$F$8:$F$2966,"&gt;="&amp;T7,'Other Expense'!$F$8:$F$2966,"&lt;="&amp;EOMONTH(T7,0),'Other Expense'!$H$8:$H$2966,$B$38)</f>
        <v>0</v>
      </c>
      <c r="U38" s="110">
        <f>SUMIFS('Other Expense'!$G$8:$G$2966,'Other Expense'!$F$8:$F$2966,"&gt;="&amp;U7,'Other Expense'!$F$8:$F$2966,"&lt;="&amp;EOMONTH(U7,0),'Other Expense'!$H$8:$H$2966,$B$38)</f>
        <v>0</v>
      </c>
      <c r="V38" s="110">
        <f>SUMIFS('Other Expense'!$G$8:$G$2966,'Other Expense'!$F$8:$F$2966,"&gt;="&amp;V7,'Other Expense'!$F$8:$F$2966,"&lt;="&amp;EOMONTH(V7,0),'Other Expense'!$H$8:$H$2966,$B$38)</f>
        <v>0</v>
      </c>
      <c r="W38" s="110">
        <f>SUMIFS('Other Expense'!$G$8:$G$2966,'Other Expense'!$F$8:$F$2966,"&gt;="&amp;W7,'Other Expense'!$F$8:$F$2966,"&lt;="&amp;EOMONTH(W7,0),'Other Expense'!$H$8:$H$2966,$B$38)</f>
        <v>0</v>
      </c>
      <c r="X38" s="110">
        <f>SUMIFS('Other Expense'!$G$8:$G$2966,'Other Expense'!$F$8:$F$2966,"&gt;="&amp;X7,'Other Expense'!$F$8:$F$2966,"&lt;="&amp;EOMONTH(X7,0),'Other Expense'!$H$8:$H$2966,$B$38)</f>
        <v>0</v>
      </c>
      <c r="Y38" s="110">
        <f>SUMIFS('Other Expense'!$G$8:$G$2966,'Other Expense'!$F$8:$F$2966,"&gt;="&amp;Y7,'Other Expense'!$F$8:$F$2966,"&lt;="&amp;EOMONTH(Y7,0),'Other Expense'!$H$8:$H$2966,$B$38)</f>
        <v>0</v>
      </c>
      <c r="Z38" s="110">
        <f>SUMIFS('Other Expense'!$G$8:$G$2966,'Other Expense'!$F$8:$F$2966,"&gt;="&amp;Z7,'Other Expense'!$F$8:$F$2966,"&lt;="&amp;EOMONTH(Z7,0),'Other Expense'!$H$8:$H$2966,$B$38)</f>
        <v>0</v>
      </c>
      <c r="AA38" s="110">
        <f>SUMIFS('Other Expense'!$G$8:$G$2966,'Other Expense'!$F$8:$F$2966,"&gt;="&amp;AA7,'Other Expense'!$F$8:$F$2966,"&lt;="&amp;EOMONTH(AA7,0),'Other Expense'!$H$8:$H$2966,$B$38)</f>
        <v>0</v>
      </c>
      <c r="AB38" s="110">
        <f>SUMIFS('Other Expense'!$G$8:$G$2966,'Other Expense'!$F$8:$F$2966,"&gt;="&amp;AB7,'Other Expense'!$F$8:$F$2966,"&lt;="&amp;EOMONTH(AB7,0),'Other Expense'!$H$8:$H$2966,$B$38)</f>
        <v>0</v>
      </c>
      <c r="AC38" s="110">
        <f>SUMIFS('Other Expense'!$G$8:$G$2966,'Other Expense'!$F$8:$F$2966,"&gt;="&amp;AC7,'Other Expense'!$F$8:$F$2966,"&lt;="&amp;EOMONTH(AC7,0),'Other Expense'!$H$8:$H$2966,$B$38)</f>
        <v>0</v>
      </c>
      <c r="AD38" s="110">
        <f>SUMIFS('Other Expense'!$G$8:$G$2966,'Other Expense'!$F$8:$F$2966,"&gt;="&amp;AD7,'Other Expense'!$F$8:$F$2966,"&lt;="&amp;EOMONTH(AD7,0),'Other Expense'!$H$8:$H$2966,$B$38)</f>
        <v>0</v>
      </c>
      <c r="AE38" s="110">
        <f>SUMIFS('Other Expense'!$G$8:$G$2966,'Other Expense'!$F$8:$F$2966,"&gt;="&amp;AE7,'Other Expense'!$F$8:$F$2966,"&lt;="&amp;EOMONTH(AE7,0),'Other Expense'!$H$8:$H$2966,$B$38)</f>
        <v>0</v>
      </c>
      <c r="AF38" s="110">
        <f>SUMIFS('Other Expense'!$G$8:$G$2966,'Other Expense'!$F$8:$F$2966,"&gt;="&amp;AF7,'Other Expense'!$F$8:$F$2966,"&lt;="&amp;EOMONTH(AF7,0),'Other Expense'!$H$8:$H$2966,$B$38)</f>
        <v>0</v>
      </c>
      <c r="AG38" s="110">
        <f>SUMIFS('Other Expense'!$G$8:$G$2966,'Other Expense'!$F$8:$F$2966,"&gt;="&amp;AG7,'Other Expense'!$F$8:$F$2966,"&lt;="&amp;EOMONTH(AG7,0),'Other Expense'!$H$8:$H$2966,$B$38)</f>
        <v>0</v>
      </c>
      <c r="AH38" s="110">
        <f>SUMIFS('Other Expense'!$G$8:$G$2966,'Other Expense'!$F$8:$F$2966,"&gt;="&amp;AH7,'Other Expense'!$F$8:$F$2966,"&lt;="&amp;EOMONTH(AH7,0),'Other Expense'!$H$8:$H$2966,$B$38)</f>
        <v>0</v>
      </c>
      <c r="AI38" s="110">
        <f>SUMIFS('Other Expense'!$G$8:$G$2966,'Other Expense'!$F$8:$F$2966,"&gt;="&amp;AI7,'Other Expense'!$F$8:$F$2966,"&lt;="&amp;EOMONTH(AI7,0),'Other Expense'!$H$8:$H$2966,$B$38)</f>
        <v>0</v>
      </c>
      <c r="AJ38" s="110">
        <f>SUMIFS('Other Expense'!$G$8:$G$2966,'Other Expense'!$F$8:$F$2966,"&gt;="&amp;AJ7,'Other Expense'!$F$8:$F$2966,"&lt;="&amp;EOMONTH(AJ7,0),'Other Expense'!$H$8:$H$2966,$B$38)</f>
        <v>0</v>
      </c>
      <c r="AK38" s="110">
        <f>SUMIFS('Other Expense'!$G$8:$G$2966,'Other Expense'!$F$8:$F$2966,"&gt;="&amp;AK7,'Other Expense'!$F$8:$F$2966,"&lt;="&amp;EOMONTH(AK7,0),'Other Expense'!$H$8:$H$2966,$B$38)</f>
        <v>0</v>
      </c>
      <c r="AL38" s="110">
        <f>SUMIFS('Other Expense'!$G$8:$G$2966,'Other Expense'!$F$8:$F$2966,"&gt;="&amp;AL7,'Other Expense'!$F$8:$F$2966,"&lt;="&amp;EOMONTH(AL7,0),'Other Expense'!$H$8:$H$2966,$B$38)</f>
        <v>0</v>
      </c>
      <c r="AM38" s="110">
        <f>SUMIFS('Other Expense'!$G$8:$G$2966,'Other Expense'!$F$8:$F$2966,"&gt;="&amp;AM7,'Other Expense'!$F$8:$F$2966,"&lt;="&amp;EOMONTH(AM7,0),'Other Expense'!$H$8:$H$2966,$B$38)</f>
        <v>0</v>
      </c>
      <c r="AN38" s="110">
        <f>SUMIFS('Other Expense'!$G$8:$G$2966,'Other Expense'!$F$8:$F$2966,"&gt;="&amp;AN7,'Other Expense'!$F$8:$F$2966,"&lt;="&amp;EOMONTH(AN7,0),'Other Expense'!$H$8:$H$2966,$B$38)</f>
        <v>0</v>
      </c>
      <c r="AO38" s="110">
        <f>SUMIFS('Other Expense'!$G$8:$G$2966,'Other Expense'!$F$8:$F$2966,"&gt;="&amp;AO7,'Other Expense'!$F$8:$F$2966,"&lt;="&amp;EOMONTH(AO7,0),'Other Expense'!$H$8:$H$2966,$B$38)</f>
        <v>0</v>
      </c>
      <c r="AP38" s="110">
        <f>SUMIFS('Other Expense'!$G$8:$G$2966,'Other Expense'!$F$8:$F$2966,"&gt;="&amp;AP7,'Other Expense'!$F$8:$F$2966,"&lt;="&amp;EOMONTH(AP7,0),'Other Expense'!$H$8:$H$2966,$B$38)</f>
        <v>0</v>
      </c>
      <c r="AQ38" s="110">
        <f>SUMIFS('Other Expense'!$G$8:$G$2966,'Other Expense'!$F$8:$F$2966,"&gt;="&amp;AQ7,'Other Expense'!$F$8:$F$2966,"&lt;="&amp;EOMONTH(AQ7,0),'Other Expense'!$H$8:$H$2966,$B$38)</f>
        <v>0</v>
      </c>
      <c r="AR38" s="110">
        <f>SUMIFS('Other Expense'!$G$8:$G$2966,'Other Expense'!$F$8:$F$2966,"&gt;="&amp;AR7,'Other Expense'!$F$8:$F$2966,"&lt;="&amp;EOMONTH(AR7,0),'Other Expense'!$H$8:$H$2966,$B$38)</f>
        <v>0</v>
      </c>
      <c r="AS38" s="110">
        <f>SUMIFS('Other Expense'!$G$8:$G$2966,'Other Expense'!$F$8:$F$2966,"&gt;="&amp;AS7,'Other Expense'!$F$8:$F$2966,"&lt;="&amp;EOMONTH(AS7,0),'Other Expense'!$H$8:$H$2966,$B$38)</f>
        <v>0</v>
      </c>
      <c r="AT38" s="110">
        <f>SUMIFS('Other Expense'!$G$8:$G$2966,'Other Expense'!$F$8:$F$2966,"&gt;="&amp;AT7,'Other Expense'!$F$8:$F$2966,"&lt;="&amp;EOMONTH(AT7,0),'Other Expense'!$H$8:$H$2966,$B$38)</f>
        <v>0</v>
      </c>
      <c r="AU38" s="110">
        <f>SUMIFS('Other Expense'!$G$8:$G$2966,'Other Expense'!$F$8:$F$2966,"&gt;="&amp;AU7,'Other Expense'!$F$8:$F$2966,"&lt;="&amp;EOMONTH(AU7,0),'Other Expense'!$H$8:$H$2966,$B$38)</f>
        <v>0</v>
      </c>
      <c r="AV38" s="110">
        <f>SUMIFS('Other Expense'!$G$8:$G$2966,'Other Expense'!$F$8:$F$2966,"&gt;="&amp;AV7,'Other Expense'!$F$8:$F$2966,"&lt;="&amp;EOMONTH(AV7,0),'Other Expense'!$H$8:$H$2966,$B$38)</f>
        <v>0</v>
      </c>
      <c r="AW38" s="110">
        <f>SUMIFS('Other Expense'!$G$8:$G$2966,'Other Expense'!$F$8:$F$2966,"&gt;="&amp;AW7,'Other Expense'!$F$8:$F$2966,"&lt;="&amp;EOMONTH(AW7,0),'Other Expense'!$H$8:$H$2966,$B$38)</f>
        <v>0</v>
      </c>
      <c r="AX38" s="110">
        <f>SUMIFS('Other Expense'!$G$8:$G$2966,'Other Expense'!$F$8:$F$2966,"&gt;="&amp;AX7,'Other Expense'!$F$8:$F$2966,"&lt;="&amp;EOMONTH(AX7,0),'Other Expense'!$H$8:$H$2966,$B$38)</f>
        <v>0</v>
      </c>
      <c r="AY38" s="110">
        <f>SUMIFS('Other Expense'!$G$8:$G$2966,'Other Expense'!$F$8:$F$2966,"&gt;="&amp;AY7,'Other Expense'!$F$8:$F$2966,"&lt;="&amp;EOMONTH(AY7,0),'Other Expense'!$H$8:$H$2966,$B$38)</f>
        <v>0</v>
      </c>
      <c r="AZ38" s="110">
        <f>SUMIFS('Other Expense'!$G$8:$G$2966,'Other Expense'!$F$8:$F$2966,"&gt;="&amp;AZ7,'Other Expense'!$F$8:$F$2966,"&lt;="&amp;EOMONTH(AZ7,0),'Other Expense'!$H$8:$H$2966,$B$38)</f>
        <v>0</v>
      </c>
      <c r="BA38" s="110">
        <f>SUMIFS('Other Expense'!$G$8:$G$2966,'Other Expense'!$F$8:$F$2966,"&gt;="&amp;BA7,'Other Expense'!$F$8:$F$2966,"&lt;="&amp;EOMONTH(BA7,0),'Other Expense'!$H$8:$H$2966,$B$38)</f>
        <v>0</v>
      </c>
    </row>
    <row r="39" spans="2:53" ht="15.75" thickBot="1" x14ac:dyDescent="0.3">
      <c r="B39" s="5"/>
      <c r="C39" s="69"/>
      <c r="D39" s="109">
        <f t="shared" si="2"/>
        <v>0</v>
      </c>
      <c r="E39" s="69"/>
      <c r="F39" s="109">
        <f>SUM(S39:AD39)</f>
        <v>0</v>
      </c>
      <c r="G39" s="69"/>
      <c r="H39" s="156">
        <f>SUM(I39:AAD39)</f>
        <v>0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</row>
    <row r="40" spans="2:53" ht="15.75" thickBot="1" x14ac:dyDescent="0.3">
      <c r="B40" s="76" t="s">
        <v>55</v>
      </c>
      <c r="C40" s="84" t="str">
        <f>IFERROR(D40/$H$8,"")</f>
        <v/>
      </c>
      <c r="D40" s="6" t="e">
        <f>SUM(I40:R40)</f>
        <v>#REF!</v>
      </c>
      <c r="E40" s="84" t="str">
        <f>IFERROR(F40/$H$8,"")</f>
        <v/>
      </c>
      <c r="F40" s="6" t="e">
        <f>SUM(S40:AD40)</f>
        <v>#REF!</v>
      </c>
      <c r="G40" s="84" t="str">
        <f>IFERROR(H40/$H$8,"")</f>
        <v/>
      </c>
      <c r="H40" s="6" t="e">
        <f>SUM(I40:AAD40)</f>
        <v>#REF!</v>
      </c>
      <c r="I40" s="6" t="e">
        <f t="shared" ref="I40:AD40" si="17">I8-I17</f>
        <v>#REF!</v>
      </c>
      <c r="J40" s="6" t="e">
        <f t="shared" si="17"/>
        <v>#REF!</v>
      </c>
      <c r="K40" s="6" t="e">
        <f t="shared" si="17"/>
        <v>#REF!</v>
      </c>
      <c r="L40" s="6" t="e">
        <f t="shared" si="17"/>
        <v>#REF!</v>
      </c>
      <c r="M40" s="6" t="e">
        <f t="shared" si="17"/>
        <v>#REF!</v>
      </c>
      <c r="N40" s="6" t="e">
        <f t="shared" si="17"/>
        <v>#REF!</v>
      </c>
      <c r="O40" s="6" t="e">
        <f t="shared" si="17"/>
        <v>#REF!</v>
      </c>
      <c r="P40" s="6" t="e">
        <f t="shared" si="17"/>
        <v>#REF!</v>
      </c>
      <c r="Q40" s="6" t="e">
        <f t="shared" si="17"/>
        <v>#REF!</v>
      </c>
      <c r="R40" s="6" t="e">
        <f t="shared" si="17"/>
        <v>#REF!</v>
      </c>
      <c r="S40" s="6" t="e">
        <f t="shared" si="17"/>
        <v>#REF!</v>
      </c>
      <c r="T40" s="6" t="e">
        <f t="shared" si="17"/>
        <v>#REF!</v>
      </c>
      <c r="U40" s="6" t="e">
        <f t="shared" si="17"/>
        <v>#REF!</v>
      </c>
      <c r="V40" s="6" t="e">
        <f t="shared" si="17"/>
        <v>#REF!</v>
      </c>
      <c r="W40" s="6" t="e">
        <f t="shared" si="17"/>
        <v>#REF!</v>
      </c>
      <c r="X40" s="6" t="e">
        <f t="shared" si="17"/>
        <v>#REF!</v>
      </c>
      <c r="Y40" s="6" t="e">
        <f t="shared" si="17"/>
        <v>#REF!</v>
      </c>
      <c r="Z40" s="6" t="e">
        <f t="shared" si="17"/>
        <v>#REF!</v>
      </c>
      <c r="AA40" s="6" t="e">
        <f t="shared" si="17"/>
        <v>#REF!</v>
      </c>
      <c r="AB40" s="6" t="e">
        <f t="shared" si="17"/>
        <v>#REF!</v>
      </c>
      <c r="AC40" s="6" t="e">
        <f t="shared" si="17"/>
        <v>#REF!</v>
      </c>
      <c r="AD40" s="6" t="e">
        <f t="shared" si="17"/>
        <v>#REF!</v>
      </c>
      <c r="AE40" s="6" t="e">
        <f t="shared" ref="AE40:BA40" si="18">AE8-AE17</f>
        <v>#REF!</v>
      </c>
      <c r="AF40" s="6" t="e">
        <f t="shared" si="18"/>
        <v>#REF!</v>
      </c>
      <c r="AG40" s="6" t="e">
        <f t="shared" si="18"/>
        <v>#REF!</v>
      </c>
      <c r="AH40" s="6" t="e">
        <f t="shared" si="18"/>
        <v>#REF!</v>
      </c>
      <c r="AI40" s="6" t="e">
        <f t="shared" si="18"/>
        <v>#REF!</v>
      </c>
      <c r="AJ40" s="6" t="e">
        <f t="shared" si="18"/>
        <v>#REF!</v>
      </c>
      <c r="AK40" s="6" t="e">
        <f t="shared" si="18"/>
        <v>#REF!</v>
      </c>
      <c r="AL40" s="6" t="e">
        <f t="shared" si="18"/>
        <v>#REF!</v>
      </c>
      <c r="AM40" s="6" t="e">
        <f t="shared" si="18"/>
        <v>#REF!</v>
      </c>
      <c r="AN40" s="6" t="e">
        <f t="shared" si="18"/>
        <v>#REF!</v>
      </c>
      <c r="AO40" s="6" t="e">
        <f t="shared" si="18"/>
        <v>#REF!</v>
      </c>
      <c r="AP40" s="6" t="e">
        <f t="shared" si="18"/>
        <v>#REF!</v>
      </c>
      <c r="AQ40" s="6" t="e">
        <f t="shared" si="18"/>
        <v>#REF!</v>
      </c>
      <c r="AR40" s="6" t="e">
        <f t="shared" si="18"/>
        <v>#REF!</v>
      </c>
      <c r="AS40" s="6" t="e">
        <f t="shared" si="18"/>
        <v>#REF!</v>
      </c>
      <c r="AT40" s="6" t="e">
        <f t="shared" si="18"/>
        <v>#REF!</v>
      </c>
      <c r="AU40" s="6" t="e">
        <f t="shared" si="18"/>
        <v>#REF!</v>
      </c>
      <c r="AV40" s="6" t="e">
        <f t="shared" si="18"/>
        <v>#REF!</v>
      </c>
      <c r="AW40" s="6" t="e">
        <f t="shared" si="18"/>
        <v>#REF!</v>
      </c>
      <c r="AX40" s="6" t="e">
        <f t="shared" si="18"/>
        <v>#REF!</v>
      </c>
      <c r="AY40" s="6" t="e">
        <f t="shared" si="18"/>
        <v>#REF!</v>
      </c>
      <c r="AZ40" s="6" t="e">
        <f t="shared" si="18"/>
        <v>#REF!</v>
      </c>
      <c r="BA40" s="6" t="e">
        <f t="shared" si="18"/>
        <v>#REF!</v>
      </c>
    </row>
    <row r="41" spans="2:53" x14ac:dyDescent="0.25">
      <c r="B41" s="1"/>
      <c r="C41" s="1"/>
      <c r="D41" s="87" t="e">
        <f ca="1">Database!$D$3</f>
        <v>#REF!</v>
      </c>
      <c r="E41" s="1"/>
      <c r="F41" s="87" t="e">
        <f ca="1">Database!$D$3</f>
        <v>#REF!</v>
      </c>
      <c r="G41" s="1"/>
      <c r="H41" s="87" t="e">
        <f ca="1">Database!$D$3-H12</f>
        <v>#REF!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</row>
    <row r="42" spans="2:53" x14ac:dyDescent="0.25">
      <c r="B42" s="32" t="s">
        <v>56</v>
      </c>
      <c r="C42" s="144"/>
      <c r="D42" s="156" t="e">
        <f>SUM(I42:R42)</f>
        <v>#REF!</v>
      </c>
      <c r="E42" s="144"/>
      <c r="F42" s="156" t="e">
        <f>SUM(S42:AD42)</f>
        <v>#REF!</v>
      </c>
      <c r="G42" s="144"/>
      <c r="H42" s="156" t="e">
        <f t="shared" ref="H42:H47" si="19">SUM(I42:AAD42)</f>
        <v>#REF!</v>
      </c>
      <c r="I42" s="2" t="e">
        <f>SUMIFS('CEI565'!$D$6:$D$2994,'CEI565'!$E$6:$E$2994,"&gt;="&amp;I7,'CEI565'!$E$6:$E$2994,"&lt;="&amp;EOMONTH(I7,0),'CEI565'!$F$6:$F$2994,"Bond Received")+SUMIFS('1SM3VL'!$D$6:$D$2989,'1SM3VL'!$E$6:$E$2989,"&gt;="&amp;I7,'1SM3VL'!$E$6:$E$2989,"&lt;="&amp;EOMONTH(I7,0),'1SM3VL'!$F$6:$F$2989,"Bond Received")+SUMIFS('1QF4SM'!$D$6:$D$2989,'1QF4SM'!$E$6:$E$2989,"&gt;="&amp;I7,'1QF4SM'!$E$6:$E$2989,"&lt;="&amp;EOMONTH(I7,0),'1QF4SM'!$F$6:$F$2989,"Bond Received")+SUMIFS('1UV5KI'!$D$6:$D$2988,'1UV5KI'!$E$6:$E$2988,"&gt;="&amp;I7,'1UV5KI'!$E$6:$E$2988,"&lt;="&amp;EOMONTH(I7,0),'1UV5KI'!$F$6:$F$2988,"Bond Received")+SUMIFS(#REF!,#REF!,"&gt;="&amp;I7,#REF!,"&lt;="&amp;EOMONTH(I7,0),#REF!,"Bond Received")+SUMIFS('1UL9RY'!$D$6:$D$2989,'1UL9RY'!$E$6:$E$2989,"&gt;="&amp;I7,'1UL9RY'!$E$6:$E$2989,"&lt;="&amp;EOMONTH(I7,0),'1UL9RY'!$F$6:$F$2989,"Bond Received")+SUMIFS('1OZ7GT'!$D$6:$D$2989,'1OZ7GT'!$E$6:$E$2989,"&gt;="&amp;I7,'1OZ7GT'!$E$6:$E$2989,"&lt;="&amp;EOMONTH(I7,0),'1OZ7GT'!$F$6:$F$2989,"Bond Received")+SUMIFS('1CN8DD'!$D$6:$D$2989,'1CN8DD'!$E$6:$E$2989,"&gt;="&amp;I7,'1CN8DD'!$E$6:$E$2989,"&lt;="&amp;EOMONTH(I7,0),'1CN8DD'!$F$6:$F$2989,"Bond Received")+SUMIFS('1UT9BR'!$D$6:$D$2989,'1UT9BR'!$E$6:$E$2989,"&gt;="&amp;I7,'1UT9BR'!$E$6:$E$2989,"&lt;="&amp;EOMONTH(I7,0),'1UT9BR'!$F$6:$F$2989,"Bond Received")+SUMIFS('1MK4UR'!$D$6:$D$2989,'1MK4UR'!$E$6:$E$2989,"&gt;="&amp;I7,'1MK4UR'!$E$6:$E$2989,"&lt;="&amp;EOMONTH(I7,0),'1MK4UR'!$F$6:$F$2989,"Bond Received")+SUMIFS(#REF!,#REF!,"&gt;="&amp;I7,#REF!,"&lt;="&amp;EOMONTH(I7,0),#REF!,"Bond Received")+SUMIFS('1JI2UE'!$D$6:$D$2989,'1JI2UE'!$E$6:$E$2989,"&gt;="&amp;I7,'1JI2UE'!$E$6:$E$2989,"&lt;="&amp;EOMONTH(I7,0),'1JI2UE'!$F$6:$F$2989,"Bond Received")+SUMIFS(#REF!,#REF!,"&gt;="&amp;I7,#REF!,"&lt;="&amp;EOMONTH(I7,0),#REF!,"Bond Received")+SUMIFS('1SI9BW'!$D$6:$D$2989,'1SI9BW'!$E$6:$E$2989,"&gt;="&amp;I7,'1SI9BW'!$E$6:$E$2989,"&lt;="&amp;EOMONTH(I7,0),'1SI9BW'!$F$6:$F$2989,"Bond Received")+SUMIFS(Suzuki!$D$6:$D$2989,Suzuki!$E$6:$E$2989,"&gt;="&amp;I7,Suzuki!$E$6:$E$2989,"&lt;="&amp;EOMONTH(I7,0),Suzuki!$F$6:$F$2989,"Bond Received")+SUMIFS('1SK3DD'!$D$6:$D$2989,'1SK3DD'!$E$6:$E$2989,"&gt;="&amp;I7,'1SK3DD'!$E$6:$E$2989,"&lt;="&amp;EOMONTH(I7,0),'1SK3DD'!$F$6:$F$2989,"Bond Received")+SUMIFS('1SX5TQ'!$D$6:$D$2989,'1SX5TQ'!$E$6:$E$2989,"&gt;="&amp;I7,'1SX5TQ'!$E$6:$E$2989,"&lt;="&amp;EOMONTH(I7,0),'1SX5TQ'!$F$6:$F$2989,"Bond Received")+SUMIFS('BMM465'!$D$6:$D$2989,'BMM465'!$E$6:$E$2989,"&gt;="&amp;I7,'BMM465'!$E$6:$E$2989,"&lt;="&amp;EOMONTH(I7,0),'BMM465'!$F$6:$F$2989,"Bond Received")+SUMIFS('1CF1ZO'!$D$6:$D$2989,'1CF1ZO'!$E$6:$E$2989,"&gt;="&amp;I7,'1CF1ZO'!$E$6:$E$2989,"&lt;="&amp;EOMONTH(I7,0),'1CF1ZO'!$F$6:$F$2989,"Bond Received")+SUMIFS('1UK1BK'!$D$6:$D$2989,'1UK1BK'!$E$6:$E$2989,"&gt;="&amp;I7,'1UK1BK'!$E$6:$E$2989,"&lt;="&amp;EOMONTH(I7,0),'1UK1BK'!$F$6:$F$2989,"Bond Received")-(((SUMIFS('CEI565'!$K$6:$K$2990,'CEI565'!$J$6:$J$2990,"&gt;="&amp;I7,'CEI565'!$J$6:$J$2990,"&lt;="&amp;EOMONTH(I7,0),'CEI565'!$L$6:$L$2990,"Bond Return")+SUMIFS('1SM3VL'!$K$6:$K$2990,'1SM3VL'!$J$6:$J$2990,"&gt;="&amp;I7,'1SM3VL'!$J$6:$J$2990,"&lt;="&amp;EOMONTH(I7,0),'1SM3VL'!$L$6:$L$2990,"Bond Return")+SUMIFS('1QF4SM'!$K$6:$K$2989,'1QF4SM'!$J$6:$J$2989,"&gt;="&amp;I7,'1QF4SM'!$J$6:$J$2989,"&lt;="&amp;EOMONTH(I7,0),'1QF4SM'!$L$6:$L$2989,"Bond Return")+SUMIFS('1UV5KI'!$K$6:$K$2989,'1UV5KI'!$J$6:$J$2989,"&gt;="&amp;I7,'1UV5KI'!$J$6:$J$2989,"&lt;="&amp;EOMONTH(I7,0),'1UV5KI'!$L$6:$L$2989,"Bond Return")+SUMIFS(#REF!,#REF!,"&gt;="&amp;I7,#REF!,"&lt;="&amp;EOMONTH(I7,0),#REF!,"Bond Return")+SUMIFS('1UL9RY'!$K$6:$K$2990,'1UL9RY'!$J$6:$J$2990,"&gt;="&amp;I7,'1UL9RY'!$J$6:$J$2990,"&lt;="&amp;EOMONTH(I7,0),'1UL9RY'!$L$6:$L$2990,"Bond Return")+SUMIFS('1OZ7GT'!$K$6:$K$2989,'1OZ7GT'!$J$6:$J$2989,"&gt;="&amp;I7,'1OZ7GT'!$J$6:$J$2989,"&lt;="&amp;EOMONTH(I7,0),'1OZ7GT'!$L$6:$L$2989,"Bond Return")+SUMIFS('1CN8DD'!$K$6:$K$2989,'1CN8DD'!$J$6:$J$2989,"&gt;="&amp;I7,'1CN8DD'!$J$6:$J$2989,"&lt;="&amp;EOMONTH(I7,0),'1CN8DD'!$L$6:$L$2989,"Bond Return")+SUMIFS('1UT9BR'!$K$6:$K$2990,'1UT9BR'!$J$6:$J$2990,"&gt;="&amp;I7,'1UT9BR'!$J$6:$J$2990,"&lt;="&amp;EOMONTH(I7,0),'1UT9BR'!$L$6:$L$2990,"Bond Return")+SUMIFS('1MK4UR'!$K$6:$K$2990,'1MK4UR'!$J$6:$J$2990,"&gt;="&amp;I7,'1MK4UR'!$J$6:$J$2990,"&lt;="&amp;EOMONTH(I7,0),'1MK4UR'!$L$6:$L$2990,"Bond Return")+SUMIFS(#REF!,#REF!,"&gt;="&amp;I7,#REF!,"&lt;="&amp;EOMONTH(I7,0),#REF!,"Bond Return")+SUMIFS('1JI2UE'!$K$6:$K$2989,'1JI2UE'!$J$6:$J$2989,"&gt;="&amp;I7,'1JI2UE'!$J$6:$J$2989,"&lt;="&amp;EOMONTH(I7,0),'1JI2UE'!$L$6:$L$2989,"Bond Return")+SUMIFS(#REF!,#REF!,"&gt;="&amp;I7,#REF!,"&lt;="&amp;EOMONTH(I7,0),#REF!,"Bond Return")+SUMIFS('1SI9BW'!$K$6:$K$2989,'1SI9BW'!$J$6:$J$2989,"&gt;="&amp;I7,'1SI9BW'!$J$6:$J$2989,"&lt;="&amp;EOMONTH(I7,0),'1SI9BW'!$L$6:$L$2989,"Bond Return")+SUMIFS(Suzuki!$K$6:$K$2989,Suzuki!$J$6:$J$2989,"&gt;="&amp;I7,Suzuki!$J$6:$J$2989,"&lt;="&amp;EOMONTH(I7,0),Suzuki!$L$6:$L$2989,"Bond Return")+SUMIFS('1SK3DD'!$K$6:$K$2989,'1SK3DD'!$J$6:$J$2989,"&gt;="&amp;I7,'1SK3DD'!$J$6:$J$2989,"&lt;="&amp;EOMONTH(I7,0),'1SK3DD'!$L$6:$L$2989,"Bond Return")+SUMIFS('1SX5TQ'!$K$6:$K$2989,'1SX5TQ'!$J$6:$J$2989,"&gt;="&amp;I7,'1SX5TQ'!$J$6:$J$2989,"&lt;="&amp;EOMONTH(I7,0),'1SX5TQ'!$L$6:$L$2989,"Bond Return")+SUMIFS('BMM465'!$K$6:$K$2989,'BMM465'!$J$6:$J$2989,"&gt;="&amp;I7,'BMM465'!$J$6:$J$2989,"&lt;="&amp;EOMONTH(I7,0),'BMM465'!$L$6:$L$2989,"Bond Return")+SUMIFS('1CF1ZO'!$K$6:$K$2989,'1CF1ZO'!$J$6:$J$2989,"&gt;="&amp;I7,'1CF1ZO'!$J$6:$J$2989,"&lt;="&amp;EOMONTH(I7,0),'1CF1ZO'!$L$6:$L$2989,"Bond Return")+SUMIFS('1UK1BK'!$K$6:$K$2989,'1UK1BK'!$J$6:$J$2989,"&gt;="&amp;I7,'1UK1BK'!$J$6:$J$2989,"&lt;="&amp;EOMONTH(I7,0),'1UK1BK'!$L$6:$L$2989,"Bond Return"))))</f>
        <v>#REF!</v>
      </c>
      <c r="J42" s="2" t="e">
        <f>SUMIFS('CEI565'!$D$6:$D$2994,'CEI565'!$E$6:$E$2994,"&gt;="&amp;J7,'CEI565'!$E$6:$E$2994,"&lt;="&amp;EOMONTH(J7,0),'CEI565'!$F$6:$F$2994,"Bond Received")+SUMIFS('1SM3VL'!$D$6:$D$2989,'1SM3VL'!$E$6:$E$2989,"&gt;="&amp;J7,'1SM3VL'!$E$6:$E$2989,"&lt;="&amp;EOMONTH(J7,0),'1SM3VL'!$F$6:$F$2989,"Bond Received")+SUMIFS('1QF4SM'!$D$6:$D$2989,'1QF4SM'!$E$6:$E$2989,"&gt;="&amp;J7,'1QF4SM'!$E$6:$E$2989,"&lt;="&amp;EOMONTH(J7,0),'1QF4SM'!$F$6:$F$2989,"Bond Received")+SUMIFS('1UV5KI'!$D$6:$D$2988,'1UV5KI'!$E$6:$E$2988,"&gt;="&amp;J7,'1UV5KI'!$E$6:$E$2988,"&lt;="&amp;EOMONTH(J7,0),'1UV5KI'!$F$6:$F$2988,"Bond Received")+SUMIFS(#REF!,#REF!,"&gt;="&amp;J7,#REF!,"&lt;="&amp;EOMONTH(J7,0),#REF!,"Bond Received")+SUMIFS('1UL9RY'!$D$6:$D$2989,'1UL9RY'!$E$6:$E$2989,"&gt;="&amp;J7,'1UL9RY'!$E$6:$E$2989,"&lt;="&amp;EOMONTH(J7,0),'1UL9RY'!$F$6:$F$2989,"Bond Received")+SUMIFS('1OZ7GT'!$D$6:$D$2989,'1OZ7GT'!$E$6:$E$2989,"&gt;="&amp;J7,'1OZ7GT'!$E$6:$E$2989,"&lt;="&amp;EOMONTH(J7,0),'1OZ7GT'!$F$6:$F$2989,"Bond Received")+SUMIFS('1CN8DD'!$D$6:$D$2989,'1CN8DD'!$E$6:$E$2989,"&gt;="&amp;J7,'1CN8DD'!$E$6:$E$2989,"&lt;="&amp;EOMONTH(J7,0),'1CN8DD'!$F$6:$F$2989,"Bond Received")+SUMIFS('1UT9BR'!$D$6:$D$2989,'1UT9BR'!$E$6:$E$2989,"&gt;="&amp;J7,'1UT9BR'!$E$6:$E$2989,"&lt;="&amp;EOMONTH(J7,0),'1UT9BR'!$F$6:$F$2989,"Bond Received")+SUMIFS('1MK4UR'!$D$6:$D$2989,'1MK4UR'!$E$6:$E$2989,"&gt;="&amp;J7,'1MK4UR'!$E$6:$E$2989,"&lt;="&amp;EOMONTH(J7,0),'1MK4UR'!$F$6:$F$2989,"Bond Received")+SUMIFS(#REF!,#REF!,"&gt;="&amp;J7,#REF!,"&lt;="&amp;EOMONTH(J7,0),#REF!,"Bond Received")+SUMIFS('1JI2UE'!$D$6:$D$2989,'1JI2UE'!$E$6:$E$2989,"&gt;="&amp;J7,'1JI2UE'!$E$6:$E$2989,"&lt;="&amp;EOMONTH(J7,0),'1JI2UE'!$F$6:$F$2989,"Bond Received")+SUMIFS(#REF!,#REF!,"&gt;="&amp;J7,#REF!,"&lt;="&amp;EOMONTH(J7,0),#REF!,"Bond Received")+SUMIFS('1SI9BW'!$D$6:$D$2989,'1SI9BW'!$E$6:$E$2989,"&gt;="&amp;J7,'1SI9BW'!$E$6:$E$2989,"&lt;="&amp;EOMONTH(J7,0),'1SI9BW'!$F$6:$F$2989,"Bond Received")+SUMIFS(Suzuki!$D$6:$D$2989,Suzuki!$E$6:$E$2989,"&gt;="&amp;J7,Suzuki!$E$6:$E$2989,"&lt;="&amp;EOMONTH(J7,0),Suzuki!$F$6:$F$2989,"Bond Received")+SUMIFS('1SK3DD'!$D$6:$D$2989,'1SK3DD'!$E$6:$E$2989,"&gt;="&amp;J7,'1SK3DD'!$E$6:$E$2989,"&lt;="&amp;EOMONTH(J7,0),'1SK3DD'!$F$6:$F$2989,"Bond Received")+SUMIFS('1SX5TQ'!$D$6:$D$2989,'1SX5TQ'!$E$6:$E$2989,"&gt;="&amp;J7,'1SX5TQ'!$E$6:$E$2989,"&lt;="&amp;EOMONTH(J7,0),'1SX5TQ'!$F$6:$F$2989,"Bond Received")+SUMIFS('BMM465'!$D$6:$D$2989,'BMM465'!$E$6:$E$2989,"&gt;="&amp;J7,'BMM465'!$E$6:$E$2989,"&lt;="&amp;EOMONTH(J7,0),'BMM465'!$F$6:$F$2989,"Bond Received")+SUMIFS('1CF1ZO'!$D$6:$D$2989,'1CF1ZO'!$E$6:$E$2989,"&gt;="&amp;J7,'1CF1ZO'!$E$6:$E$2989,"&lt;="&amp;EOMONTH(J7,0),'1CF1ZO'!$F$6:$F$2989,"Bond Received")+SUMIFS('1UK1BK'!$D$6:$D$2989,'1UK1BK'!$E$6:$E$2989,"&gt;="&amp;J7,'1UK1BK'!$E$6:$E$2989,"&lt;="&amp;EOMONTH(J7,0),'1UK1BK'!$F$6:$F$2989,"Bond Received")-(((SUMIFS('CEI565'!$K$6:$K$2990,'CEI565'!$J$6:$J$2990,"&gt;="&amp;J7,'CEI565'!$J$6:$J$2990,"&lt;="&amp;EOMONTH(J7,0),'CEI565'!$L$6:$L$2990,"Bond Return")+SUMIFS('1SM3VL'!$K$6:$K$2990,'1SM3VL'!$J$6:$J$2990,"&gt;="&amp;J7,'1SM3VL'!$J$6:$J$2990,"&lt;="&amp;EOMONTH(J7,0),'1SM3VL'!$L$6:$L$2990,"Bond Return")+SUMIFS('1QF4SM'!$K$6:$K$2989,'1QF4SM'!$J$6:$J$2989,"&gt;="&amp;J7,'1QF4SM'!$J$6:$J$2989,"&lt;="&amp;EOMONTH(J7,0),'1QF4SM'!$L$6:$L$2989,"Bond Return")+SUMIFS('1UV5KI'!$K$6:$K$2989,'1UV5KI'!$J$6:$J$2989,"&gt;="&amp;J7,'1UV5KI'!$J$6:$J$2989,"&lt;="&amp;EOMONTH(J7,0),'1UV5KI'!$L$6:$L$2989,"Bond Return")+SUMIFS(#REF!,#REF!,"&gt;="&amp;J7,#REF!,"&lt;="&amp;EOMONTH(J7,0),#REF!,"Bond Return")+SUMIFS('1UL9RY'!$K$6:$K$2990,'1UL9RY'!$J$6:$J$2990,"&gt;="&amp;J7,'1UL9RY'!$J$6:$J$2990,"&lt;="&amp;EOMONTH(J7,0),'1UL9RY'!$L$6:$L$2990,"Bond Return")+SUMIFS('1OZ7GT'!$K$6:$K$2989,'1OZ7GT'!$J$6:$J$2989,"&gt;="&amp;J7,'1OZ7GT'!$J$6:$J$2989,"&lt;="&amp;EOMONTH(J7,0),'1OZ7GT'!$L$6:$L$2989,"Bond Return")+SUMIFS('1CN8DD'!$K$6:$K$2989,'1CN8DD'!$J$6:$J$2989,"&gt;="&amp;J7,'1CN8DD'!$J$6:$J$2989,"&lt;="&amp;EOMONTH(J7,0),'1CN8DD'!$L$6:$L$2989,"Bond Return")+SUMIFS('1UT9BR'!$K$6:$K$2990,'1UT9BR'!$J$6:$J$2990,"&gt;="&amp;J7,'1UT9BR'!$J$6:$J$2990,"&lt;="&amp;EOMONTH(J7,0),'1UT9BR'!$L$6:$L$2990,"Bond Return")+SUMIFS('1MK4UR'!$K$6:$K$2990,'1MK4UR'!$J$6:$J$2990,"&gt;="&amp;J7,'1MK4UR'!$J$6:$J$2990,"&lt;="&amp;EOMONTH(J7,0),'1MK4UR'!$L$6:$L$2990,"Bond Return")+SUMIFS(#REF!,#REF!,"&gt;="&amp;J7,#REF!,"&lt;="&amp;EOMONTH(J7,0),#REF!,"Bond Return")+SUMIFS('1JI2UE'!$K$6:$K$2989,'1JI2UE'!$J$6:$J$2989,"&gt;="&amp;J7,'1JI2UE'!$J$6:$J$2989,"&lt;="&amp;EOMONTH(J7,0),'1JI2UE'!$L$6:$L$2989,"Bond Return")+SUMIFS(#REF!,#REF!,"&gt;="&amp;J7,#REF!,"&lt;="&amp;EOMONTH(J7,0),#REF!,"Bond Return")+SUMIFS('1SI9BW'!$K$6:$K$2989,'1SI9BW'!$J$6:$J$2989,"&gt;="&amp;J7,'1SI9BW'!$J$6:$J$2989,"&lt;="&amp;EOMONTH(J7,0),'1SI9BW'!$L$6:$L$2989,"Bond Return")+SUMIFS(Suzuki!$K$6:$K$2989,Suzuki!$J$6:$J$2989,"&gt;="&amp;J7,Suzuki!$J$6:$J$2989,"&lt;="&amp;EOMONTH(J7,0),Suzuki!$L$6:$L$2989,"Bond Return")+SUMIFS('1SK3DD'!$K$6:$K$2989,'1SK3DD'!$J$6:$J$2989,"&gt;="&amp;J7,'1SK3DD'!$J$6:$J$2989,"&lt;="&amp;EOMONTH(J7,0),'1SK3DD'!$L$6:$L$2989,"Bond Return")+SUMIFS('1SX5TQ'!$K$6:$K$2989,'1SX5TQ'!$J$6:$J$2989,"&gt;="&amp;J7,'1SX5TQ'!$J$6:$J$2989,"&lt;="&amp;EOMONTH(J7,0),'1SX5TQ'!$L$6:$L$2989,"Bond Return")+SUMIFS('BMM465'!$K$6:$K$2989,'BMM465'!$J$6:$J$2989,"&gt;="&amp;J7,'BMM465'!$J$6:$J$2989,"&lt;="&amp;EOMONTH(J7,0),'BMM465'!$L$6:$L$2989,"Bond Return")+SUMIFS('1CF1ZO'!$K$6:$K$2989,'1CF1ZO'!$J$6:$J$2989,"&gt;="&amp;J7,'1CF1ZO'!$J$6:$J$2989,"&lt;="&amp;EOMONTH(J7,0),'1CF1ZO'!$L$6:$L$2989,"Bond Return")+SUMIFS('1UK1BK'!$K$6:$K$2989,'1UK1BK'!$J$6:$J$2989,"&gt;="&amp;J7,'1UK1BK'!$J$6:$J$2989,"&lt;="&amp;EOMONTH(J7,0),'1UK1BK'!$L$6:$L$2989,"Bond Return"))))</f>
        <v>#REF!</v>
      </c>
      <c r="K42" s="2" t="e">
        <f>SUMIFS('CEI565'!$D$6:$D$2994,'CEI565'!$E$6:$E$2994,"&gt;="&amp;K7,'CEI565'!$E$6:$E$2994,"&lt;="&amp;EOMONTH(K7,0),'CEI565'!$F$6:$F$2994,"Bond Received")+SUMIFS('1SM3VL'!$D$6:$D$2989,'1SM3VL'!$E$6:$E$2989,"&gt;="&amp;K7,'1SM3VL'!$E$6:$E$2989,"&lt;="&amp;EOMONTH(K7,0),'1SM3VL'!$F$6:$F$2989,"Bond Received")+SUMIFS('1QF4SM'!$D$6:$D$2989,'1QF4SM'!$E$6:$E$2989,"&gt;="&amp;K7,'1QF4SM'!$E$6:$E$2989,"&lt;="&amp;EOMONTH(K7,0),'1QF4SM'!$F$6:$F$2989,"Bond Received")+SUMIFS('1UV5KI'!$D$6:$D$2988,'1UV5KI'!$E$6:$E$2988,"&gt;="&amp;K7,'1UV5KI'!$E$6:$E$2988,"&lt;="&amp;EOMONTH(K7,0),'1UV5KI'!$F$6:$F$2988,"Bond Received")+SUMIFS(#REF!,#REF!,"&gt;="&amp;K7,#REF!,"&lt;="&amp;EOMONTH(K7,0),#REF!,"Bond Received")+SUMIFS('1UL9RY'!$D$6:$D$2989,'1UL9RY'!$E$6:$E$2989,"&gt;="&amp;K7,'1UL9RY'!$E$6:$E$2989,"&lt;="&amp;EOMONTH(K7,0),'1UL9RY'!$F$6:$F$2989,"Bond Received")+SUMIFS('1OZ7GT'!$D$6:$D$2989,'1OZ7GT'!$E$6:$E$2989,"&gt;="&amp;K7,'1OZ7GT'!$E$6:$E$2989,"&lt;="&amp;EOMONTH(K7,0),'1OZ7GT'!$F$6:$F$2989,"Bond Received")+SUMIFS('1CN8DD'!$D$6:$D$2989,'1CN8DD'!$E$6:$E$2989,"&gt;="&amp;K7,'1CN8DD'!$E$6:$E$2989,"&lt;="&amp;EOMONTH(K7,0),'1CN8DD'!$F$6:$F$2989,"Bond Received")+SUMIFS('1UT9BR'!$D$6:$D$2989,'1UT9BR'!$E$6:$E$2989,"&gt;="&amp;K7,'1UT9BR'!$E$6:$E$2989,"&lt;="&amp;EOMONTH(K7,0),'1UT9BR'!$F$6:$F$2989,"Bond Received")+SUMIFS('1MK4UR'!$D$6:$D$2989,'1MK4UR'!$E$6:$E$2989,"&gt;="&amp;K7,'1MK4UR'!$E$6:$E$2989,"&lt;="&amp;EOMONTH(K7,0),'1MK4UR'!$F$6:$F$2989,"Bond Received")+SUMIFS(#REF!,#REF!,"&gt;="&amp;K7,#REF!,"&lt;="&amp;EOMONTH(K7,0),#REF!,"Bond Received")+SUMIFS('1JI2UE'!$D$6:$D$2989,'1JI2UE'!$E$6:$E$2989,"&gt;="&amp;K7,'1JI2UE'!$E$6:$E$2989,"&lt;="&amp;EOMONTH(K7,0),'1JI2UE'!$F$6:$F$2989,"Bond Received")+SUMIFS(#REF!,#REF!,"&gt;="&amp;K7,#REF!,"&lt;="&amp;EOMONTH(K7,0),#REF!,"Bond Received")+SUMIFS('1SI9BW'!$D$6:$D$2989,'1SI9BW'!$E$6:$E$2989,"&gt;="&amp;K7,'1SI9BW'!$E$6:$E$2989,"&lt;="&amp;EOMONTH(K7,0),'1SI9BW'!$F$6:$F$2989,"Bond Received")+SUMIFS(Suzuki!$D$6:$D$2989,Suzuki!$E$6:$E$2989,"&gt;="&amp;K7,Suzuki!$E$6:$E$2989,"&lt;="&amp;EOMONTH(K7,0),Suzuki!$F$6:$F$2989,"Bond Received")+SUMIFS('1SK3DD'!$D$6:$D$2989,'1SK3DD'!$E$6:$E$2989,"&gt;="&amp;K7,'1SK3DD'!$E$6:$E$2989,"&lt;="&amp;EOMONTH(K7,0),'1SK3DD'!$F$6:$F$2989,"Bond Received")+SUMIFS('1SX5TQ'!$D$6:$D$2989,'1SX5TQ'!$E$6:$E$2989,"&gt;="&amp;K7,'1SX5TQ'!$E$6:$E$2989,"&lt;="&amp;EOMONTH(K7,0),'1SX5TQ'!$F$6:$F$2989,"Bond Received")+SUMIFS('BMM465'!$D$6:$D$2989,'BMM465'!$E$6:$E$2989,"&gt;="&amp;K7,'BMM465'!$E$6:$E$2989,"&lt;="&amp;EOMONTH(K7,0),'BMM465'!$F$6:$F$2989,"Bond Received")+SUMIFS('1CF1ZO'!$D$6:$D$2989,'1CF1ZO'!$E$6:$E$2989,"&gt;="&amp;K7,'1CF1ZO'!$E$6:$E$2989,"&lt;="&amp;EOMONTH(K7,0),'1CF1ZO'!$F$6:$F$2989,"Bond Received")+SUMIFS('1UK1BK'!$D$6:$D$2989,'1UK1BK'!$E$6:$E$2989,"&gt;="&amp;K7,'1UK1BK'!$E$6:$E$2989,"&lt;="&amp;EOMONTH(K7,0),'1UK1BK'!$F$6:$F$2989,"Bond Received")-(((SUMIFS('CEI565'!$K$6:$K$2990,'CEI565'!$J$6:$J$2990,"&gt;="&amp;K7,'CEI565'!$J$6:$J$2990,"&lt;="&amp;EOMONTH(K7,0),'CEI565'!$L$6:$L$2990,"Bond Return")+SUMIFS('1SM3VL'!$K$6:$K$2990,'1SM3VL'!$J$6:$J$2990,"&gt;="&amp;K7,'1SM3VL'!$J$6:$J$2990,"&lt;="&amp;EOMONTH(K7,0),'1SM3VL'!$L$6:$L$2990,"Bond Return")+SUMIFS('1QF4SM'!$K$6:$K$2989,'1QF4SM'!$J$6:$J$2989,"&gt;="&amp;K7,'1QF4SM'!$J$6:$J$2989,"&lt;="&amp;EOMONTH(K7,0),'1QF4SM'!$L$6:$L$2989,"Bond Return")+SUMIFS('1UV5KI'!$K$6:$K$2989,'1UV5KI'!$J$6:$J$2989,"&gt;="&amp;K7,'1UV5KI'!$J$6:$J$2989,"&lt;="&amp;EOMONTH(K7,0),'1UV5KI'!$L$6:$L$2989,"Bond Return")+SUMIFS(#REF!,#REF!,"&gt;="&amp;K7,#REF!,"&lt;="&amp;EOMONTH(K7,0),#REF!,"Bond Return")+SUMIFS('1UL9RY'!$K$6:$K$2990,'1UL9RY'!$J$6:$J$2990,"&gt;="&amp;K7,'1UL9RY'!$J$6:$J$2990,"&lt;="&amp;EOMONTH(K7,0),'1UL9RY'!$L$6:$L$2990,"Bond Return")+SUMIFS('1OZ7GT'!$K$6:$K$2989,'1OZ7GT'!$J$6:$J$2989,"&gt;="&amp;K7,'1OZ7GT'!$J$6:$J$2989,"&lt;="&amp;EOMONTH(K7,0),'1OZ7GT'!$L$6:$L$2989,"Bond Return")+SUMIFS('1CN8DD'!$K$6:$K$2989,'1CN8DD'!$J$6:$J$2989,"&gt;="&amp;K7,'1CN8DD'!$J$6:$J$2989,"&lt;="&amp;EOMONTH(K7,0),'1CN8DD'!$L$6:$L$2989,"Bond Return")+SUMIFS('1UT9BR'!$K$6:$K$2990,'1UT9BR'!$J$6:$J$2990,"&gt;="&amp;K7,'1UT9BR'!$J$6:$J$2990,"&lt;="&amp;EOMONTH(K7,0),'1UT9BR'!$L$6:$L$2990,"Bond Return")+SUMIFS('1MK4UR'!$K$6:$K$2990,'1MK4UR'!$J$6:$J$2990,"&gt;="&amp;K7,'1MK4UR'!$J$6:$J$2990,"&lt;="&amp;EOMONTH(K7,0),'1MK4UR'!$L$6:$L$2990,"Bond Return")+SUMIFS(#REF!,#REF!,"&gt;="&amp;K7,#REF!,"&lt;="&amp;EOMONTH(K7,0),#REF!,"Bond Return")+SUMIFS('1JI2UE'!$K$6:$K$2989,'1JI2UE'!$J$6:$J$2989,"&gt;="&amp;K7,'1JI2UE'!$J$6:$J$2989,"&lt;="&amp;EOMONTH(K7,0),'1JI2UE'!$L$6:$L$2989,"Bond Return")+SUMIFS(#REF!,#REF!,"&gt;="&amp;K7,#REF!,"&lt;="&amp;EOMONTH(K7,0),#REF!,"Bond Return")+SUMIFS('1SI9BW'!$K$6:$K$2989,'1SI9BW'!$J$6:$J$2989,"&gt;="&amp;K7,'1SI9BW'!$J$6:$J$2989,"&lt;="&amp;EOMONTH(K7,0),'1SI9BW'!$L$6:$L$2989,"Bond Return")+SUMIFS(Suzuki!$K$6:$K$2989,Suzuki!$J$6:$J$2989,"&gt;="&amp;K7,Suzuki!$J$6:$J$2989,"&lt;="&amp;EOMONTH(K7,0),Suzuki!$L$6:$L$2989,"Bond Return")+SUMIFS('1SK3DD'!$K$6:$K$2989,'1SK3DD'!$J$6:$J$2989,"&gt;="&amp;K7,'1SK3DD'!$J$6:$J$2989,"&lt;="&amp;EOMONTH(K7,0),'1SK3DD'!$L$6:$L$2989,"Bond Return")+SUMIFS('1SX5TQ'!$K$6:$K$2989,'1SX5TQ'!$J$6:$J$2989,"&gt;="&amp;K7,'1SX5TQ'!$J$6:$J$2989,"&lt;="&amp;EOMONTH(K7,0),'1SX5TQ'!$L$6:$L$2989,"Bond Return")+SUMIFS('BMM465'!$K$6:$K$2989,'BMM465'!$J$6:$J$2989,"&gt;="&amp;K7,'BMM465'!$J$6:$J$2989,"&lt;="&amp;EOMONTH(K7,0),'BMM465'!$L$6:$L$2989,"Bond Return")+SUMIFS('1CF1ZO'!$K$6:$K$2989,'1CF1ZO'!$J$6:$J$2989,"&gt;="&amp;K7,'1CF1ZO'!$J$6:$J$2989,"&lt;="&amp;EOMONTH(K7,0),'1CF1ZO'!$L$6:$L$2989,"Bond Return")+SUMIFS('1UK1BK'!$K$6:$K$2989,'1UK1BK'!$J$6:$J$2989,"&gt;="&amp;K7,'1UK1BK'!$J$6:$J$2989,"&lt;="&amp;EOMONTH(K7,0),'1UK1BK'!$L$6:$L$2989,"Bond Return"))))</f>
        <v>#REF!</v>
      </c>
      <c r="L42" s="2" t="e">
        <f>SUMIFS('CEI565'!$D$6:$D$2994,'CEI565'!$E$6:$E$2994,"&gt;="&amp;L7,'CEI565'!$E$6:$E$2994,"&lt;="&amp;EOMONTH(L7,0),'CEI565'!$F$6:$F$2994,"Bond Received")+SUMIFS('1SM3VL'!$D$6:$D$2989,'1SM3VL'!$E$6:$E$2989,"&gt;="&amp;L7,'1SM3VL'!$E$6:$E$2989,"&lt;="&amp;EOMONTH(L7,0),'1SM3VL'!$F$6:$F$2989,"Bond Received")+SUMIFS('1QF4SM'!$D$6:$D$2989,'1QF4SM'!$E$6:$E$2989,"&gt;="&amp;L7,'1QF4SM'!$E$6:$E$2989,"&lt;="&amp;EOMONTH(L7,0),'1QF4SM'!$F$6:$F$2989,"Bond Received")+SUMIFS('1UV5KI'!$D$6:$D$2988,'1UV5KI'!$E$6:$E$2988,"&gt;="&amp;L7,'1UV5KI'!$E$6:$E$2988,"&lt;="&amp;EOMONTH(L7,0),'1UV5KI'!$F$6:$F$2988,"Bond Received")+SUMIFS(#REF!,#REF!,"&gt;="&amp;L7,#REF!,"&lt;="&amp;EOMONTH(L7,0),#REF!,"Bond Received")+SUMIFS('1UL9RY'!$D$6:$D$2989,'1UL9RY'!$E$6:$E$2989,"&gt;="&amp;L7,'1UL9RY'!$E$6:$E$2989,"&lt;="&amp;EOMONTH(L7,0),'1UL9RY'!$F$6:$F$2989,"Bond Received")+SUMIFS('1OZ7GT'!$D$6:$D$2989,'1OZ7GT'!$E$6:$E$2989,"&gt;="&amp;L7,'1OZ7GT'!$E$6:$E$2989,"&lt;="&amp;EOMONTH(L7,0),'1OZ7GT'!$F$6:$F$2989,"Bond Received")+SUMIFS('1CN8DD'!$D$6:$D$2989,'1CN8DD'!$E$6:$E$2989,"&gt;="&amp;L7,'1CN8DD'!$E$6:$E$2989,"&lt;="&amp;EOMONTH(L7,0),'1CN8DD'!$F$6:$F$2989,"Bond Received")+SUMIFS('1UT9BR'!$D$6:$D$2989,'1UT9BR'!$E$6:$E$2989,"&gt;="&amp;L7,'1UT9BR'!$E$6:$E$2989,"&lt;="&amp;EOMONTH(L7,0),'1UT9BR'!$F$6:$F$2989,"Bond Received")+SUMIFS('1MK4UR'!$D$6:$D$2989,'1MK4UR'!$E$6:$E$2989,"&gt;="&amp;L7,'1MK4UR'!$E$6:$E$2989,"&lt;="&amp;EOMONTH(L7,0),'1MK4UR'!$F$6:$F$2989,"Bond Received")+SUMIFS(#REF!,#REF!,"&gt;="&amp;L7,#REF!,"&lt;="&amp;EOMONTH(L7,0),#REF!,"Bond Received")+SUMIFS('1JI2UE'!$D$6:$D$2989,'1JI2UE'!$E$6:$E$2989,"&gt;="&amp;L7,'1JI2UE'!$E$6:$E$2989,"&lt;="&amp;EOMONTH(L7,0),'1JI2UE'!$F$6:$F$2989,"Bond Received")+SUMIFS(#REF!,#REF!,"&gt;="&amp;L7,#REF!,"&lt;="&amp;EOMONTH(L7,0),#REF!,"Bond Received")+SUMIFS('1SI9BW'!$D$6:$D$2989,'1SI9BW'!$E$6:$E$2989,"&gt;="&amp;L7,'1SI9BW'!$E$6:$E$2989,"&lt;="&amp;EOMONTH(L7,0),'1SI9BW'!$F$6:$F$2989,"Bond Received")+SUMIFS(Suzuki!$D$6:$D$2989,Suzuki!$E$6:$E$2989,"&gt;="&amp;L7,Suzuki!$E$6:$E$2989,"&lt;="&amp;EOMONTH(L7,0),Suzuki!$F$6:$F$2989,"Bond Received")+SUMIFS('1SK3DD'!$D$6:$D$2989,'1SK3DD'!$E$6:$E$2989,"&gt;="&amp;L7,'1SK3DD'!$E$6:$E$2989,"&lt;="&amp;EOMONTH(L7,0),'1SK3DD'!$F$6:$F$2989,"Bond Received")+SUMIFS('1SX5TQ'!$D$6:$D$2989,'1SX5TQ'!$E$6:$E$2989,"&gt;="&amp;L7,'1SX5TQ'!$E$6:$E$2989,"&lt;="&amp;EOMONTH(L7,0),'1SX5TQ'!$F$6:$F$2989,"Bond Received")+SUMIFS('BMM465'!$D$6:$D$2989,'BMM465'!$E$6:$E$2989,"&gt;="&amp;L7,'BMM465'!$E$6:$E$2989,"&lt;="&amp;EOMONTH(L7,0),'BMM465'!$F$6:$F$2989,"Bond Received")+SUMIFS('1CF1ZO'!$D$6:$D$2989,'1CF1ZO'!$E$6:$E$2989,"&gt;="&amp;L7,'1CF1ZO'!$E$6:$E$2989,"&lt;="&amp;EOMONTH(L7,0),'1CF1ZO'!$F$6:$F$2989,"Bond Received")+SUMIFS('1UK1BK'!$D$6:$D$2989,'1UK1BK'!$E$6:$E$2989,"&gt;="&amp;L7,'1UK1BK'!$E$6:$E$2989,"&lt;="&amp;EOMONTH(L7,0),'1UK1BK'!$F$6:$F$2989,"Bond Received")-(((SUMIFS('CEI565'!$K$6:$K$2990,'CEI565'!$J$6:$J$2990,"&gt;="&amp;L7,'CEI565'!$J$6:$J$2990,"&lt;="&amp;EOMONTH(L7,0),'CEI565'!$L$6:$L$2990,"Bond Return")+SUMIFS('1SM3VL'!$K$6:$K$2990,'1SM3VL'!$J$6:$J$2990,"&gt;="&amp;L7,'1SM3VL'!$J$6:$J$2990,"&lt;="&amp;EOMONTH(L7,0),'1SM3VL'!$L$6:$L$2990,"Bond Return")+SUMIFS('1QF4SM'!$K$6:$K$2989,'1QF4SM'!$J$6:$J$2989,"&gt;="&amp;L7,'1QF4SM'!$J$6:$J$2989,"&lt;="&amp;EOMONTH(L7,0),'1QF4SM'!$L$6:$L$2989,"Bond Return")+SUMIFS('1UV5KI'!$K$6:$K$2989,'1UV5KI'!$J$6:$J$2989,"&gt;="&amp;L7,'1UV5KI'!$J$6:$J$2989,"&lt;="&amp;EOMONTH(L7,0),'1UV5KI'!$L$6:$L$2989,"Bond Return")+SUMIFS(#REF!,#REF!,"&gt;="&amp;L7,#REF!,"&lt;="&amp;EOMONTH(L7,0),#REF!,"Bond Return")+SUMIFS('1UL9RY'!$K$6:$K$2990,'1UL9RY'!$J$6:$J$2990,"&gt;="&amp;L7,'1UL9RY'!$J$6:$J$2990,"&lt;="&amp;EOMONTH(L7,0),'1UL9RY'!$L$6:$L$2990,"Bond Return")+SUMIFS('1OZ7GT'!$K$6:$K$2989,'1OZ7GT'!$J$6:$J$2989,"&gt;="&amp;L7,'1OZ7GT'!$J$6:$J$2989,"&lt;="&amp;EOMONTH(L7,0),'1OZ7GT'!$L$6:$L$2989,"Bond Return")+SUMIFS('1CN8DD'!$K$6:$K$2989,'1CN8DD'!$J$6:$J$2989,"&gt;="&amp;L7,'1CN8DD'!$J$6:$J$2989,"&lt;="&amp;EOMONTH(L7,0),'1CN8DD'!$L$6:$L$2989,"Bond Return")+SUMIFS('1UT9BR'!$K$6:$K$2990,'1UT9BR'!$J$6:$J$2990,"&gt;="&amp;L7,'1UT9BR'!$J$6:$J$2990,"&lt;="&amp;EOMONTH(L7,0),'1UT9BR'!$L$6:$L$2990,"Bond Return")+SUMIFS('1MK4UR'!$K$6:$K$2990,'1MK4UR'!$J$6:$J$2990,"&gt;="&amp;L7,'1MK4UR'!$J$6:$J$2990,"&lt;="&amp;EOMONTH(L7,0),'1MK4UR'!$L$6:$L$2990,"Bond Return")+SUMIFS(#REF!,#REF!,"&gt;="&amp;L7,#REF!,"&lt;="&amp;EOMONTH(L7,0),#REF!,"Bond Return")+SUMIFS('1JI2UE'!$K$6:$K$2989,'1JI2UE'!$J$6:$J$2989,"&gt;="&amp;L7,'1JI2UE'!$J$6:$J$2989,"&lt;="&amp;EOMONTH(L7,0),'1JI2UE'!$L$6:$L$2989,"Bond Return")+SUMIFS(#REF!,#REF!,"&gt;="&amp;L7,#REF!,"&lt;="&amp;EOMONTH(L7,0),#REF!,"Bond Return")+SUMIFS('1SI9BW'!$K$6:$K$2989,'1SI9BW'!$J$6:$J$2989,"&gt;="&amp;L7,'1SI9BW'!$J$6:$J$2989,"&lt;="&amp;EOMONTH(L7,0),'1SI9BW'!$L$6:$L$2989,"Bond Return")+SUMIFS(Suzuki!$K$6:$K$2989,Suzuki!$J$6:$J$2989,"&gt;="&amp;L7,Suzuki!$J$6:$J$2989,"&lt;="&amp;EOMONTH(L7,0),Suzuki!$L$6:$L$2989,"Bond Return")+SUMIFS('1SK3DD'!$K$6:$K$2989,'1SK3DD'!$J$6:$J$2989,"&gt;="&amp;L7,'1SK3DD'!$J$6:$J$2989,"&lt;="&amp;EOMONTH(L7,0),'1SK3DD'!$L$6:$L$2989,"Bond Return")+SUMIFS('1SX5TQ'!$K$6:$K$2989,'1SX5TQ'!$J$6:$J$2989,"&gt;="&amp;L7,'1SX5TQ'!$J$6:$J$2989,"&lt;="&amp;EOMONTH(L7,0),'1SX5TQ'!$L$6:$L$2989,"Bond Return")+SUMIFS('BMM465'!$K$6:$K$2989,'BMM465'!$J$6:$J$2989,"&gt;="&amp;L7,'BMM465'!$J$6:$J$2989,"&lt;="&amp;EOMONTH(L7,0),'BMM465'!$L$6:$L$2989,"Bond Return")+SUMIFS('1CF1ZO'!$K$6:$K$2989,'1CF1ZO'!$J$6:$J$2989,"&gt;="&amp;L7,'1CF1ZO'!$J$6:$J$2989,"&lt;="&amp;EOMONTH(L7,0),'1CF1ZO'!$L$6:$L$2989,"Bond Return")+SUMIFS('1UK1BK'!$K$6:$K$2989,'1UK1BK'!$J$6:$J$2989,"&gt;="&amp;L7,'1UK1BK'!$J$6:$J$2989,"&lt;="&amp;EOMONTH(L7,0),'1UK1BK'!$L$6:$L$2989,"Bond Return"))))</f>
        <v>#REF!</v>
      </c>
      <c r="M42" s="2" t="e">
        <f>SUMIFS('CEI565'!$D$6:$D$2994,'CEI565'!$E$6:$E$2994,"&gt;="&amp;M7,'CEI565'!$E$6:$E$2994,"&lt;="&amp;EOMONTH(M7,0),'CEI565'!$F$6:$F$2994,"Bond Received")+SUMIFS('1SM3VL'!$D$6:$D$2989,'1SM3VL'!$E$6:$E$2989,"&gt;="&amp;M7,'1SM3VL'!$E$6:$E$2989,"&lt;="&amp;EOMONTH(M7,0),'1SM3VL'!$F$6:$F$2989,"Bond Received")+SUMIFS('1QF4SM'!$D$6:$D$2989,'1QF4SM'!$E$6:$E$2989,"&gt;="&amp;M7,'1QF4SM'!$E$6:$E$2989,"&lt;="&amp;EOMONTH(M7,0),'1QF4SM'!$F$6:$F$2989,"Bond Received")+SUMIFS('1UV5KI'!$D$6:$D$2988,'1UV5KI'!$E$6:$E$2988,"&gt;="&amp;M7,'1UV5KI'!$E$6:$E$2988,"&lt;="&amp;EOMONTH(M7,0),'1UV5KI'!$F$6:$F$2988,"Bond Received")+SUMIFS(#REF!,#REF!,"&gt;="&amp;M7,#REF!,"&lt;="&amp;EOMONTH(M7,0),#REF!,"Bond Received")+SUMIFS('1UL9RY'!$D$6:$D$2989,'1UL9RY'!$E$6:$E$2989,"&gt;="&amp;M7,'1UL9RY'!$E$6:$E$2989,"&lt;="&amp;EOMONTH(M7,0),'1UL9RY'!$F$6:$F$2989,"Bond Received")+SUMIFS('1OZ7GT'!$D$6:$D$2989,'1OZ7GT'!$E$6:$E$2989,"&gt;="&amp;M7,'1OZ7GT'!$E$6:$E$2989,"&lt;="&amp;EOMONTH(M7,0),'1OZ7GT'!$F$6:$F$2989,"Bond Received")+SUMIFS('1CN8DD'!$D$6:$D$2989,'1CN8DD'!$E$6:$E$2989,"&gt;="&amp;M7,'1CN8DD'!$E$6:$E$2989,"&lt;="&amp;EOMONTH(M7,0),'1CN8DD'!$F$6:$F$2989,"Bond Received")+SUMIFS('1UT9BR'!$D$6:$D$2989,'1UT9BR'!$E$6:$E$2989,"&gt;="&amp;M7,'1UT9BR'!$E$6:$E$2989,"&lt;="&amp;EOMONTH(M7,0),'1UT9BR'!$F$6:$F$2989,"Bond Received")+SUMIFS('1MK4UR'!$D$6:$D$2989,'1MK4UR'!$E$6:$E$2989,"&gt;="&amp;M7,'1MK4UR'!$E$6:$E$2989,"&lt;="&amp;EOMONTH(M7,0),'1MK4UR'!$F$6:$F$2989,"Bond Received")+SUMIFS(#REF!,#REF!,"&gt;="&amp;M7,#REF!,"&lt;="&amp;EOMONTH(M7,0),#REF!,"Bond Received")+SUMIFS('1JI2UE'!$D$6:$D$2989,'1JI2UE'!$E$6:$E$2989,"&gt;="&amp;M7,'1JI2UE'!$E$6:$E$2989,"&lt;="&amp;EOMONTH(M7,0),'1JI2UE'!$F$6:$F$2989,"Bond Received")+SUMIFS(#REF!,#REF!,"&gt;="&amp;M7,#REF!,"&lt;="&amp;EOMONTH(M7,0),#REF!,"Bond Received")+SUMIFS('1SI9BW'!$D$6:$D$2989,'1SI9BW'!$E$6:$E$2989,"&gt;="&amp;M7,'1SI9BW'!$E$6:$E$2989,"&lt;="&amp;EOMONTH(M7,0),'1SI9BW'!$F$6:$F$2989,"Bond Received")+SUMIFS(Suzuki!$D$6:$D$2989,Suzuki!$E$6:$E$2989,"&gt;="&amp;M7,Suzuki!$E$6:$E$2989,"&lt;="&amp;EOMONTH(M7,0),Suzuki!$F$6:$F$2989,"Bond Received")+SUMIFS('1SK3DD'!$D$6:$D$2989,'1SK3DD'!$E$6:$E$2989,"&gt;="&amp;M7,'1SK3DD'!$E$6:$E$2989,"&lt;="&amp;EOMONTH(M7,0),'1SK3DD'!$F$6:$F$2989,"Bond Received")+SUMIFS('1SX5TQ'!$D$6:$D$2989,'1SX5TQ'!$E$6:$E$2989,"&gt;="&amp;M7,'1SX5TQ'!$E$6:$E$2989,"&lt;="&amp;EOMONTH(M7,0),'1SX5TQ'!$F$6:$F$2989,"Bond Received")+SUMIFS('BMM465'!$D$6:$D$2989,'BMM465'!$E$6:$E$2989,"&gt;="&amp;M7,'BMM465'!$E$6:$E$2989,"&lt;="&amp;EOMONTH(M7,0),'BMM465'!$F$6:$F$2989,"Bond Received")+SUMIFS('1CF1ZO'!$D$6:$D$2989,'1CF1ZO'!$E$6:$E$2989,"&gt;="&amp;M7,'1CF1ZO'!$E$6:$E$2989,"&lt;="&amp;EOMONTH(M7,0),'1CF1ZO'!$F$6:$F$2989,"Bond Received")+SUMIFS('1UK1BK'!$D$6:$D$2989,'1UK1BK'!$E$6:$E$2989,"&gt;="&amp;M7,'1UK1BK'!$E$6:$E$2989,"&lt;="&amp;EOMONTH(M7,0),'1UK1BK'!$F$6:$F$2989,"Bond Received")-(((SUMIFS('CEI565'!$K$6:$K$2990,'CEI565'!$J$6:$J$2990,"&gt;="&amp;M7,'CEI565'!$J$6:$J$2990,"&lt;="&amp;EOMONTH(M7,0),'CEI565'!$L$6:$L$2990,"Bond Return")+SUMIFS('1SM3VL'!$K$6:$K$2990,'1SM3VL'!$J$6:$J$2990,"&gt;="&amp;M7,'1SM3VL'!$J$6:$J$2990,"&lt;="&amp;EOMONTH(M7,0),'1SM3VL'!$L$6:$L$2990,"Bond Return")+SUMIFS('1QF4SM'!$K$6:$K$2989,'1QF4SM'!$J$6:$J$2989,"&gt;="&amp;M7,'1QF4SM'!$J$6:$J$2989,"&lt;="&amp;EOMONTH(M7,0),'1QF4SM'!$L$6:$L$2989,"Bond Return")+SUMIFS('1UV5KI'!$K$6:$K$2989,'1UV5KI'!$J$6:$J$2989,"&gt;="&amp;M7,'1UV5KI'!$J$6:$J$2989,"&lt;="&amp;EOMONTH(M7,0),'1UV5KI'!$L$6:$L$2989,"Bond Return")+SUMIFS(#REF!,#REF!,"&gt;="&amp;M7,#REF!,"&lt;="&amp;EOMONTH(M7,0),#REF!,"Bond Return")+SUMIFS('1UL9RY'!$K$6:$K$2990,'1UL9RY'!$J$6:$J$2990,"&gt;="&amp;M7,'1UL9RY'!$J$6:$J$2990,"&lt;="&amp;EOMONTH(M7,0),'1UL9RY'!$L$6:$L$2990,"Bond Return")+SUMIFS('1OZ7GT'!$K$6:$K$2989,'1OZ7GT'!$J$6:$J$2989,"&gt;="&amp;M7,'1OZ7GT'!$J$6:$J$2989,"&lt;="&amp;EOMONTH(M7,0),'1OZ7GT'!$L$6:$L$2989,"Bond Return")+SUMIFS('1CN8DD'!$K$6:$K$2989,'1CN8DD'!$J$6:$J$2989,"&gt;="&amp;M7,'1CN8DD'!$J$6:$J$2989,"&lt;="&amp;EOMONTH(M7,0),'1CN8DD'!$L$6:$L$2989,"Bond Return")+SUMIFS('1UT9BR'!$K$6:$K$2990,'1UT9BR'!$J$6:$J$2990,"&gt;="&amp;M7,'1UT9BR'!$J$6:$J$2990,"&lt;="&amp;EOMONTH(M7,0),'1UT9BR'!$L$6:$L$2990,"Bond Return")+SUMIFS('1MK4UR'!$K$6:$K$2990,'1MK4UR'!$J$6:$J$2990,"&gt;="&amp;M7,'1MK4UR'!$J$6:$J$2990,"&lt;="&amp;EOMONTH(M7,0),'1MK4UR'!$L$6:$L$2990,"Bond Return")+SUMIFS(#REF!,#REF!,"&gt;="&amp;M7,#REF!,"&lt;="&amp;EOMONTH(M7,0),#REF!,"Bond Return")+SUMIFS('1JI2UE'!$K$6:$K$2989,'1JI2UE'!$J$6:$J$2989,"&gt;="&amp;M7,'1JI2UE'!$J$6:$J$2989,"&lt;="&amp;EOMONTH(M7,0),'1JI2UE'!$L$6:$L$2989,"Bond Return")+SUMIFS(#REF!,#REF!,"&gt;="&amp;M7,#REF!,"&lt;="&amp;EOMONTH(M7,0),#REF!,"Bond Return")+SUMIFS('1SI9BW'!$K$6:$K$2989,'1SI9BW'!$J$6:$J$2989,"&gt;="&amp;M7,'1SI9BW'!$J$6:$J$2989,"&lt;="&amp;EOMONTH(M7,0),'1SI9BW'!$L$6:$L$2989,"Bond Return")+SUMIFS(Suzuki!$K$6:$K$2989,Suzuki!$J$6:$J$2989,"&gt;="&amp;M7,Suzuki!$J$6:$J$2989,"&lt;="&amp;EOMONTH(M7,0),Suzuki!$L$6:$L$2989,"Bond Return")+SUMIFS('1SK3DD'!$K$6:$K$2989,'1SK3DD'!$J$6:$J$2989,"&gt;="&amp;M7,'1SK3DD'!$J$6:$J$2989,"&lt;="&amp;EOMONTH(M7,0),'1SK3DD'!$L$6:$L$2989,"Bond Return")+SUMIFS('1SX5TQ'!$K$6:$K$2989,'1SX5TQ'!$J$6:$J$2989,"&gt;="&amp;M7,'1SX5TQ'!$J$6:$J$2989,"&lt;="&amp;EOMONTH(M7,0),'1SX5TQ'!$L$6:$L$2989,"Bond Return")+SUMIFS('BMM465'!$K$6:$K$2989,'BMM465'!$J$6:$J$2989,"&gt;="&amp;M7,'BMM465'!$J$6:$J$2989,"&lt;="&amp;EOMONTH(M7,0),'BMM465'!$L$6:$L$2989,"Bond Return")+SUMIFS('1CF1ZO'!$K$6:$K$2989,'1CF1ZO'!$J$6:$J$2989,"&gt;="&amp;M7,'1CF1ZO'!$J$6:$J$2989,"&lt;="&amp;EOMONTH(M7,0),'1CF1ZO'!$L$6:$L$2989,"Bond Return")+SUMIFS('1UK1BK'!$K$6:$K$2989,'1UK1BK'!$J$6:$J$2989,"&gt;="&amp;M7,'1UK1BK'!$J$6:$J$2989,"&lt;="&amp;EOMONTH(M7,0),'1UK1BK'!$L$6:$L$2989,"Bond Return"))))</f>
        <v>#REF!</v>
      </c>
      <c r="N42" s="2" t="e">
        <f>SUMIFS('CEI565'!$D$6:$D$2994,'CEI565'!$E$6:$E$2994,"&gt;="&amp;N7,'CEI565'!$E$6:$E$2994,"&lt;="&amp;EOMONTH(N7,0),'CEI565'!$F$6:$F$2994,"Bond Received")+SUMIFS('1SM3VL'!$D$6:$D$2989,'1SM3VL'!$E$6:$E$2989,"&gt;="&amp;N7,'1SM3VL'!$E$6:$E$2989,"&lt;="&amp;EOMONTH(N7,0),'1SM3VL'!$F$6:$F$2989,"Bond Received")+SUMIFS('1QF4SM'!$D$6:$D$2989,'1QF4SM'!$E$6:$E$2989,"&gt;="&amp;N7,'1QF4SM'!$E$6:$E$2989,"&lt;="&amp;EOMONTH(N7,0),'1QF4SM'!$F$6:$F$2989,"Bond Received")+SUMIFS('1UV5KI'!$D$6:$D$2988,'1UV5KI'!$E$6:$E$2988,"&gt;="&amp;N7,'1UV5KI'!$E$6:$E$2988,"&lt;="&amp;EOMONTH(N7,0),'1UV5KI'!$F$6:$F$2988,"Bond Received")+SUMIFS(#REF!,#REF!,"&gt;="&amp;N7,#REF!,"&lt;="&amp;EOMONTH(N7,0),#REF!,"Bond Received")+SUMIFS('1UL9RY'!$D$6:$D$2989,'1UL9RY'!$E$6:$E$2989,"&gt;="&amp;N7,'1UL9RY'!$E$6:$E$2989,"&lt;="&amp;EOMONTH(N7,0),'1UL9RY'!$F$6:$F$2989,"Bond Received")+SUMIFS('1OZ7GT'!$D$6:$D$2989,'1OZ7GT'!$E$6:$E$2989,"&gt;="&amp;N7,'1OZ7GT'!$E$6:$E$2989,"&lt;="&amp;EOMONTH(N7,0),'1OZ7GT'!$F$6:$F$2989,"Bond Received")+SUMIFS('1CN8DD'!$D$6:$D$2989,'1CN8DD'!$E$6:$E$2989,"&gt;="&amp;N7,'1CN8DD'!$E$6:$E$2989,"&lt;="&amp;EOMONTH(N7,0),'1CN8DD'!$F$6:$F$2989,"Bond Received")+SUMIFS('1UT9BR'!$D$6:$D$2989,'1UT9BR'!$E$6:$E$2989,"&gt;="&amp;N7,'1UT9BR'!$E$6:$E$2989,"&lt;="&amp;EOMONTH(N7,0),'1UT9BR'!$F$6:$F$2989,"Bond Received")+SUMIFS('1MK4UR'!$D$6:$D$2989,'1MK4UR'!$E$6:$E$2989,"&gt;="&amp;N7,'1MK4UR'!$E$6:$E$2989,"&lt;="&amp;EOMONTH(N7,0),'1MK4UR'!$F$6:$F$2989,"Bond Received")+SUMIFS(#REF!,#REF!,"&gt;="&amp;N7,#REF!,"&lt;="&amp;EOMONTH(N7,0),#REF!,"Bond Received")+SUMIFS('1JI2UE'!$D$6:$D$2989,'1JI2UE'!$E$6:$E$2989,"&gt;="&amp;N7,'1JI2UE'!$E$6:$E$2989,"&lt;="&amp;EOMONTH(N7,0),'1JI2UE'!$F$6:$F$2989,"Bond Received")+SUMIFS(#REF!,#REF!,"&gt;="&amp;N7,#REF!,"&lt;="&amp;EOMONTH(N7,0),#REF!,"Bond Received")+SUMIFS('1SI9BW'!$D$6:$D$2989,'1SI9BW'!$E$6:$E$2989,"&gt;="&amp;N7,'1SI9BW'!$E$6:$E$2989,"&lt;="&amp;EOMONTH(N7,0),'1SI9BW'!$F$6:$F$2989,"Bond Received")+SUMIFS(Suzuki!$D$6:$D$2989,Suzuki!$E$6:$E$2989,"&gt;="&amp;N7,Suzuki!$E$6:$E$2989,"&lt;="&amp;EOMONTH(N7,0),Suzuki!$F$6:$F$2989,"Bond Received")+SUMIFS('1SK3DD'!$D$6:$D$2989,'1SK3DD'!$E$6:$E$2989,"&gt;="&amp;N7,'1SK3DD'!$E$6:$E$2989,"&lt;="&amp;EOMONTH(N7,0),'1SK3DD'!$F$6:$F$2989,"Bond Received")+SUMIFS('1SX5TQ'!$D$6:$D$2989,'1SX5TQ'!$E$6:$E$2989,"&gt;="&amp;N7,'1SX5TQ'!$E$6:$E$2989,"&lt;="&amp;EOMONTH(N7,0),'1SX5TQ'!$F$6:$F$2989,"Bond Received")+SUMIFS('BMM465'!$D$6:$D$2989,'BMM465'!$E$6:$E$2989,"&gt;="&amp;N7,'BMM465'!$E$6:$E$2989,"&lt;="&amp;EOMONTH(N7,0),'BMM465'!$F$6:$F$2989,"Bond Received")+SUMIFS('1CF1ZO'!$D$6:$D$2989,'1CF1ZO'!$E$6:$E$2989,"&gt;="&amp;N7,'1CF1ZO'!$E$6:$E$2989,"&lt;="&amp;EOMONTH(N7,0),'1CF1ZO'!$F$6:$F$2989,"Bond Received")+SUMIFS('1UK1BK'!$D$6:$D$2989,'1UK1BK'!$E$6:$E$2989,"&gt;="&amp;N7,'1UK1BK'!$E$6:$E$2989,"&lt;="&amp;EOMONTH(N7,0),'1UK1BK'!$F$6:$F$2989,"Bond Received")-(((SUMIFS('CEI565'!$K$6:$K$2990,'CEI565'!$J$6:$J$2990,"&gt;="&amp;N7,'CEI565'!$J$6:$J$2990,"&lt;="&amp;EOMONTH(N7,0),'CEI565'!$L$6:$L$2990,"Bond Return")+SUMIFS('1SM3VL'!$K$6:$K$2990,'1SM3VL'!$J$6:$J$2990,"&gt;="&amp;N7,'1SM3VL'!$J$6:$J$2990,"&lt;="&amp;EOMONTH(N7,0),'1SM3VL'!$L$6:$L$2990,"Bond Return")+SUMIFS('1QF4SM'!$K$6:$K$2989,'1QF4SM'!$J$6:$J$2989,"&gt;="&amp;N7,'1QF4SM'!$J$6:$J$2989,"&lt;="&amp;EOMONTH(N7,0),'1QF4SM'!$L$6:$L$2989,"Bond Return")+SUMIFS('1UV5KI'!$K$6:$K$2989,'1UV5KI'!$J$6:$J$2989,"&gt;="&amp;N7,'1UV5KI'!$J$6:$J$2989,"&lt;="&amp;EOMONTH(N7,0),'1UV5KI'!$L$6:$L$2989,"Bond Return")+SUMIFS(#REF!,#REF!,"&gt;="&amp;N7,#REF!,"&lt;="&amp;EOMONTH(N7,0),#REF!,"Bond Return")+SUMIFS('1UL9RY'!$K$6:$K$2990,'1UL9RY'!$J$6:$J$2990,"&gt;="&amp;N7,'1UL9RY'!$J$6:$J$2990,"&lt;="&amp;EOMONTH(N7,0),'1UL9RY'!$L$6:$L$2990,"Bond Return")+SUMIFS('1OZ7GT'!$K$6:$K$2989,'1OZ7GT'!$J$6:$J$2989,"&gt;="&amp;N7,'1OZ7GT'!$J$6:$J$2989,"&lt;="&amp;EOMONTH(N7,0),'1OZ7GT'!$L$6:$L$2989,"Bond Return")+SUMIFS('1CN8DD'!$K$6:$K$2989,'1CN8DD'!$J$6:$J$2989,"&gt;="&amp;N7,'1CN8DD'!$J$6:$J$2989,"&lt;="&amp;EOMONTH(N7,0),'1CN8DD'!$L$6:$L$2989,"Bond Return")+SUMIFS('1UT9BR'!$K$6:$K$2990,'1UT9BR'!$J$6:$J$2990,"&gt;="&amp;N7,'1UT9BR'!$J$6:$J$2990,"&lt;="&amp;EOMONTH(N7,0),'1UT9BR'!$L$6:$L$2990,"Bond Return")+SUMIFS('1MK4UR'!$K$6:$K$2990,'1MK4UR'!$J$6:$J$2990,"&gt;="&amp;N7,'1MK4UR'!$J$6:$J$2990,"&lt;="&amp;EOMONTH(N7,0),'1MK4UR'!$L$6:$L$2990,"Bond Return")+SUMIFS(#REF!,#REF!,"&gt;="&amp;N7,#REF!,"&lt;="&amp;EOMONTH(N7,0),#REF!,"Bond Return")+SUMIFS('1JI2UE'!$K$6:$K$2989,'1JI2UE'!$J$6:$J$2989,"&gt;="&amp;N7,'1JI2UE'!$J$6:$J$2989,"&lt;="&amp;EOMONTH(N7,0),'1JI2UE'!$L$6:$L$2989,"Bond Return")+SUMIFS(#REF!,#REF!,"&gt;="&amp;N7,#REF!,"&lt;="&amp;EOMONTH(N7,0),#REF!,"Bond Return")+SUMIFS('1SI9BW'!$K$6:$K$2989,'1SI9BW'!$J$6:$J$2989,"&gt;="&amp;N7,'1SI9BW'!$J$6:$J$2989,"&lt;="&amp;EOMONTH(N7,0),'1SI9BW'!$L$6:$L$2989,"Bond Return")+SUMIFS(Suzuki!$K$6:$K$2989,Suzuki!$J$6:$J$2989,"&gt;="&amp;N7,Suzuki!$J$6:$J$2989,"&lt;="&amp;EOMONTH(N7,0),Suzuki!$L$6:$L$2989,"Bond Return")+SUMIFS('1SK3DD'!$K$6:$K$2989,'1SK3DD'!$J$6:$J$2989,"&gt;="&amp;N7,'1SK3DD'!$J$6:$J$2989,"&lt;="&amp;EOMONTH(N7,0),'1SK3DD'!$L$6:$L$2989,"Bond Return")+SUMIFS('1SX5TQ'!$K$6:$K$2989,'1SX5TQ'!$J$6:$J$2989,"&gt;="&amp;N7,'1SX5TQ'!$J$6:$J$2989,"&lt;="&amp;EOMONTH(N7,0),'1SX5TQ'!$L$6:$L$2989,"Bond Return")+SUMIFS('BMM465'!$K$6:$K$2989,'BMM465'!$J$6:$J$2989,"&gt;="&amp;N7,'BMM465'!$J$6:$J$2989,"&lt;="&amp;EOMONTH(N7,0),'BMM465'!$L$6:$L$2989,"Bond Return")+SUMIFS('1CF1ZO'!$K$6:$K$2989,'1CF1ZO'!$J$6:$J$2989,"&gt;="&amp;N7,'1CF1ZO'!$J$6:$J$2989,"&lt;="&amp;EOMONTH(N7,0),'1CF1ZO'!$L$6:$L$2989,"Bond Return")+SUMIFS('1UK1BK'!$K$6:$K$2989,'1UK1BK'!$J$6:$J$2989,"&gt;="&amp;N7,'1UK1BK'!$J$6:$J$2989,"&lt;="&amp;EOMONTH(N7,0),'1UK1BK'!$L$6:$L$2989,"Bond Return"))))</f>
        <v>#REF!</v>
      </c>
      <c r="O42" s="2" t="e">
        <f>SUMIFS('CEI565'!$D$6:$D$2994,'CEI565'!$E$6:$E$2994,"&gt;="&amp;O7,'CEI565'!$E$6:$E$2994,"&lt;="&amp;EOMONTH(O7,0),'CEI565'!$F$6:$F$2994,"Bond Received")+SUMIFS('1SM3VL'!$D$6:$D$2989,'1SM3VL'!$E$6:$E$2989,"&gt;="&amp;O7,'1SM3VL'!$E$6:$E$2989,"&lt;="&amp;EOMONTH(O7,0),'1SM3VL'!$F$6:$F$2989,"Bond Received")+SUMIFS('1QF4SM'!$D$6:$D$2989,'1QF4SM'!$E$6:$E$2989,"&gt;="&amp;O7,'1QF4SM'!$E$6:$E$2989,"&lt;="&amp;EOMONTH(O7,0),'1QF4SM'!$F$6:$F$2989,"Bond Received")+SUMIFS('1UV5KI'!$D$6:$D$2988,'1UV5KI'!$E$6:$E$2988,"&gt;="&amp;O7,'1UV5KI'!$E$6:$E$2988,"&lt;="&amp;EOMONTH(O7,0),'1UV5KI'!$F$6:$F$2988,"Bond Received")+SUMIFS(#REF!,#REF!,"&gt;="&amp;O7,#REF!,"&lt;="&amp;EOMONTH(O7,0),#REF!,"Bond Received")+SUMIFS('1UL9RY'!$D$6:$D$2989,'1UL9RY'!$E$6:$E$2989,"&gt;="&amp;O7,'1UL9RY'!$E$6:$E$2989,"&lt;="&amp;EOMONTH(O7,0),'1UL9RY'!$F$6:$F$2989,"Bond Received")+SUMIFS('1OZ7GT'!$D$6:$D$2989,'1OZ7GT'!$E$6:$E$2989,"&gt;="&amp;O7,'1OZ7GT'!$E$6:$E$2989,"&lt;="&amp;EOMONTH(O7,0),'1OZ7GT'!$F$6:$F$2989,"Bond Received")+SUMIFS('1CN8DD'!$D$6:$D$2989,'1CN8DD'!$E$6:$E$2989,"&gt;="&amp;O7,'1CN8DD'!$E$6:$E$2989,"&lt;="&amp;EOMONTH(O7,0),'1CN8DD'!$F$6:$F$2989,"Bond Received")+SUMIFS('1UT9BR'!$D$6:$D$2989,'1UT9BR'!$E$6:$E$2989,"&gt;="&amp;O7,'1UT9BR'!$E$6:$E$2989,"&lt;="&amp;EOMONTH(O7,0),'1UT9BR'!$F$6:$F$2989,"Bond Received")+SUMIFS('1MK4UR'!$D$6:$D$2989,'1MK4UR'!$E$6:$E$2989,"&gt;="&amp;O7,'1MK4UR'!$E$6:$E$2989,"&lt;="&amp;EOMONTH(O7,0),'1MK4UR'!$F$6:$F$2989,"Bond Received")+SUMIFS(#REF!,#REF!,"&gt;="&amp;O7,#REF!,"&lt;="&amp;EOMONTH(O7,0),#REF!,"Bond Received")+SUMIFS('1JI2UE'!$D$6:$D$2989,'1JI2UE'!$E$6:$E$2989,"&gt;="&amp;O7,'1JI2UE'!$E$6:$E$2989,"&lt;="&amp;EOMONTH(O7,0),'1JI2UE'!$F$6:$F$2989,"Bond Received")+SUMIFS(#REF!,#REF!,"&gt;="&amp;O7,#REF!,"&lt;="&amp;EOMONTH(O7,0),#REF!,"Bond Received")+SUMIFS('1SI9BW'!$D$6:$D$2989,'1SI9BW'!$E$6:$E$2989,"&gt;="&amp;O7,'1SI9BW'!$E$6:$E$2989,"&lt;="&amp;EOMONTH(O7,0),'1SI9BW'!$F$6:$F$2989,"Bond Received")+SUMIFS(Suzuki!$D$6:$D$2989,Suzuki!$E$6:$E$2989,"&gt;="&amp;O7,Suzuki!$E$6:$E$2989,"&lt;="&amp;EOMONTH(O7,0),Suzuki!$F$6:$F$2989,"Bond Received")+SUMIFS('1SK3DD'!$D$6:$D$2989,'1SK3DD'!$E$6:$E$2989,"&gt;="&amp;O7,'1SK3DD'!$E$6:$E$2989,"&lt;="&amp;EOMONTH(O7,0),'1SK3DD'!$F$6:$F$2989,"Bond Received")+SUMIFS('1SX5TQ'!$D$6:$D$2989,'1SX5TQ'!$E$6:$E$2989,"&gt;="&amp;O7,'1SX5TQ'!$E$6:$E$2989,"&lt;="&amp;EOMONTH(O7,0),'1SX5TQ'!$F$6:$F$2989,"Bond Received")+SUMIFS('BMM465'!$D$6:$D$2989,'BMM465'!$E$6:$E$2989,"&gt;="&amp;O7,'BMM465'!$E$6:$E$2989,"&lt;="&amp;EOMONTH(O7,0),'BMM465'!$F$6:$F$2989,"Bond Received")+SUMIFS('1CF1ZO'!$D$6:$D$2989,'1CF1ZO'!$E$6:$E$2989,"&gt;="&amp;O7,'1CF1ZO'!$E$6:$E$2989,"&lt;="&amp;EOMONTH(O7,0),'1CF1ZO'!$F$6:$F$2989,"Bond Received")+SUMIFS('1UK1BK'!$D$6:$D$2989,'1UK1BK'!$E$6:$E$2989,"&gt;="&amp;O7,'1UK1BK'!$E$6:$E$2989,"&lt;="&amp;EOMONTH(O7,0),'1UK1BK'!$F$6:$F$2989,"Bond Received")-(((SUMIFS('CEI565'!$K$6:$K$2990,'CEI565'!$J$6:$J$2990,"&gt;="&amp;O7,'CEI565'!$J$6:$J$2990,"&lt;="&amp;EOMONTH(O7,0),'CEI565'!$L$6:$L$2990,"Bond Return")+SUMIFS('1SM3VL'!$K$6:$K$2990,'1SM3VL'!$J$6:$J$2990,"&gt;="&amp;O7,'1SM3VL'!$J$6:$J$2990,"&lt;="&amp;EOMONTH(O7,0),'1SM3VL'!$L$6:$L$2990,"Bond Return")+SUMIFS('1QF4SM'!$K$6:$K$2989,'1QF4SM'!$J$6:$J$2989,"&gt;="&amp;O7,'1QF4SM'!$J$6:$J$2989,"&lt;="&amp;EOMONTH(O7,0),'1QF4SM'!$L$6:$L$2989,"Bond Return")+SUMIFS('1UV5KI'!$K$6:$K$2989,'1UV5KI'!$J$6:$J$2989,"&gt;="&amp;O7,'1UV5KI'!$J$6:$J$2989,"&lt;="&amp;EOMONTH(O7,0),'1UV5KI'!$L$6:$L$2989,"Bond Return")+SUMIFS(#REF!,#REF!,"&gt;="&amp;O7,#REF!,"&lt;="&amp;EOMONTH(O7,0),#REF!,"Bond Return")+SUMIFS('1UL9RY'!$K$6:$K$2990,'1UL9RY'!$J$6:$J$2990,"&gt;="&amp;O7,'1UL9RY'!$J$6:$J$2990,"&lt;="&amp;EOMONTH(O7,0),'1UL9RY'!$L$6:$L$2990,"Bond Return")+SUMIFS('1OZ7GT'!$K$6:$K$2989,'1OZ7GT'!$J$6:$J$2989,"&gt;="&amp;O7,'1OZ7GT'!$J$6:$J$2989,"&lt;="&amp;EOMONTH(O7,0),'1OZ7GT'!$L$6:$L$2989,"Bond Return")+SUMIFS('1CN8DD'!$K$6:$K$2989,'1CN8DD'!$J$6:$J$2989,"&gt;="&amp;O7,'1CN8DD'!$J$6:$J$2989,"&lt;="&amp;EOMONTH(O7,0),'1CN8DD'!$L$6:$L$2989,"Bond Return")+SUMIFS('1UT9BR'!$K$6:$K$2990,'1UT9BR'!$J$6:$J$2990,"&gt;="&amp;O7,'1UT9BR'!$J$6:$J$2990,"&lt;="&amp;EOMONTH(O7,0),'1UT9BR'!$L$6:$L$2990,"Bond Return")+SUMIFS('1MK4UR'!$K$6:$K$2990,'1MK4UR'!$J$6:$J$2990,"&gt;="&amp;O7,'1MK4UR'!$J$6:$J$2990,"&lt;="&amp;EOMONTH(O7,0),'1MK4UR'!$L$6:$L$2990,"Bond Return")+SUMIFS(#REF!,#REF!,"&gt;="&amp;O7,#REF!,"&lt;="&amp;EOMONTH(O7,0),#REF!,"Bond Return")+SUMIFS('1JI2UE'!$K$6:$K$2989,'1JI2UE'!$J$6:$J$2989,"&gt;="&amp;O7,'1JI2UE'!$J$6:$J$2989,"&lt;="&amp;EOMONTH(O7,0),'1JI2UE'!$L$6:$L$2989,"Bond Return")+SUMIFS(#REF!,#REF!,"&gt;="&amp;O7,#REF!,"&lt;="&amp;EOMONTH(O7,0),#REF!,"Bond Return")+SUMIFS('1SI9BW'!$K$6:$K$2989,'1SI9BW'!$J$6:$J$2989,"&gt;="&amp;O7,'1SI9BW'!$J$6:$J$2989,"&lt;="&amp;EOMONTH(O7,0),'1SI9BW'!$L$6:$L$2989,"Bond Return")+SUMIFS(Suzuki!$K$6:$K$2989,Suzuki!$J$6:$J$2989,"&gt;="&amp;O7,Suzuki!$J$6:$J$2989,"&lt;="&amp;EOMONTH(O7,0),Suzuki!$L$6:$L$2989,"Bond Return")+SUMIFS('1SK3DD'!$K$6:$K$2989,'1SK3DD'!$J$6:$J$2989,"&gt;="&amp;O7,'1SK3DD'!$J$6:$J$2989,"&lt;="&amp;EOMONTH(O7,0),'1SK3DD'!$L$6:$L$2989,"Bond Return")+SUMIFS('1SX5TQ'!$K$6:$K$2989,'1SX5TQ'!$J$6:$J$2989,"&gt;="&amp;O7,'1SX5TQ'!$J$6:$J$2989,"&lt;="&amp;EOMONTH(O7,0),'1SX5TQ'!$L$6:$L$2989,"Bond Return")+SUMIFS('BMM465'!$K$6:$K$2989,'BMM465'!$J$6:$J$2989,"&gt;="&amp;O7,'BMM465'!$J$6:$J$2989,"&lt;="&amp;EOMONTH(O7,0),'BMM465'!$L$6:$L$2989,"Bond Return")+SUMIFS('1CF1ZO'!$K$6:$K$2989,'1CF1ZO'!$J$6:$J$2989,"&gt;="&amp;O7,'1CF1ZO'!$J$6:$J$2989,"&lt;="&amp;EOMONTH(O7,0),'1CF1ZO'!$L$6:$L$2989,"Bond Return")+SUMIFS('1UK1BK'!$K$6:$K$2989,'1UK1BK'!$J$6:$J$2989,"&gt;="&amp;O7,'1UK1BK'!$J$6:$J$2989,"&lt;="&amp;EOMONTH(O7,0),'1UK1BK'!$L$6:$L$2989,"Bond Return"))))</f>
        <v>#REF!</v>
      </c>
      <c r="P42" s="2" t="e">
        <f>SUMIFS('CEI565'!$D$6:$D$2994,'CEI565'!$E$6:$E$2994,"&gt;="&amp;P7,'CEI565'!$E$6:$E$2994,"&lt;="&amp;EOMONTH(P7,0),'CEI565'!$F$6:$F$2994,"Bond Received")+SUMIFS('1SM3VL'!$D$6:$D$2989,'1SM3VL'!$E$6:$E$2989,"&gt;="&amp;P7,'1SM3VL'!$E$6:$E$2989,"&lt;="&amp;EOMONTH(P7,0),'1SM3VL'!$F$6:$F$2989,"Bond Received")+SUMIFS('1QF4SM'!$D$6:$D$2989,'1QF4SM'!$E$6:$E$2989,"&gt;="&amp;P7,'1QF4SM'!$E$6:$E$2989,"&lt;="&amp;EOMONTH(P7,0),'1QF4SM'!$F$6:$F$2989,"Bond Received")+SUMIFS('1UV5KI'!$D$6:$D$2988,'1UV5KI'!$E$6:$E$2988,"&gt;="&amp;P7,'1UV5KI'!$E$6:$E$2988,"&lt;="&amp;EOMONTH(P7,0),'1UV5KI'!$F$6:$F$2988,"Bond Received")+SUMIFS(#REF!,#REF!,"&gt;="&amp;P7,#REF!,"&lt;="&amp;EOMONTH(P7,0),#REF!,"Bond Received")+SUMIFS('1UL9RY'!$D$6:$D$2989,'1UL9RY'!$E$6:$E$2989,"&gt;="&amp;P7,'1UL9RY'!$E$6:$E$2989,"&lt;="&amp;EOMONTH(P7,0),'1UL9RY'!$F$6:$F$2989,"Bond Received")+SUMIFS('1OZ7GT'!$D$6:$D$2989,'1OZ7GT'!$E$6:$E$2989,"&gt;="&amp;P7,'1OZ7GT'!$E$6:$E$2989,"&lt;="&amp;EOMONTH(P7,0),'1OZ7GT'!$F$6:$F$2989,"Bond Received")+SUMIFS('1CN8DD'!$D$6:$D$2989,'1CN8DD'!$E$6:$E$2989,"&gt;="&amp;P7,'1CN8DD'!$E$6:$E$2989,"&lt;="&amp;EOMONTH(P7,0),'1CN8DD'!$F$6:$F$2989,"Bond Received")+SUMIFS('1UT9BR'!$D$6:$D$2989,'1UT9BR'!$E$6:$E$2989,"&gt;="&amp;P7,'1UT9BR'!$E$6:$E$2989,"&lt;="&amp;EOMONTH(P7,0),'1UT9BR'!$F$6:$F$2989,"Bond Received")+SUMIFS('1MK4UR'!$D$6:$D$2989,'1MK4UR'!$E$6:$E$2989,"&gt;="&amp;P7,'1MK4UR'!$E$6:$E$2989,"&lt;="&amp;EOMONTH(P7,0),'1MK4UR'!$F$6:$F$2989,"Bond Received")+SUMIFS(#REF!,#REF!,"&gt;="&amp;P7,#REF!,"&lt;="&amp;EOMONTH(P7,0),#REF!,"Bond Received")+SUMIFS('1JI2UE'!$D$6:$D$2989,'1JI2UE'!$E$6:$E$2989,"&gt;="&amp;P7,'1JI2UE'!$E$6:$E$2989,"&lt;="&amp;EOMONTH(P7,0),'1JI2UE'!$F$6:$F$2989,"Bond Received")+SUMIFS(#REF!,#REF!,"&gt;="&amp;P7,#REF!,"&lt;="&amp;EOMONTH(P7,0),#REF!,"Bond Received")+SUMIFS('1SI9BW'!$D$6:$D$2989,'1SI9BW'!$E$6:$E$2989,"&gt;="&amp;P7,'1SI9BW'!$E$6:$E$2989,"&lt;="&amp;EOMONTH(P7,0),'1SI9BW'!$F$6:$F$2989,"Bond Received")+SUMIFS(Suzuki!$D$6:$D$2989,Suzuki!$E$6:$E$2989,"&gt;="&amp;P7,Suzuki!$E$6:$E$2989,"&lt;="&amp;EOMONTH(P7,0),Suzuki!$F$6:$F$2989,"Bond Received")+SUMIFS('1SK3DD'!$D$6:$D$2989,'1SK3DD'!$E$6:$E$2989,"&gt;="&amp;P7,'1SK3DD'!$E$6:$E$2989,"&lt;="&amp;EOMONTH(P7,0),'1SK3DD'!$F$6:$F$2989,"Bond Received")+SUMIFS('1SX5TQ'!$D$6:$D$2989,'1SX5TQ'!$E$6:$E$2989,"&gt;="&amp;P7,'1SX5TQ'!$E$6:$E$2989,"&lt;="&amp;EOMONTH(P7,0),'1SX5TQ'!$F$6:$F$2989,"Bond Received")+SUMIFS('BMM465'!$D$6:$D$2989,'BMM465'!$E$6:$E$2989,"&gt;="&amp;P7,'BMM465'!$E$6:$E$2989,"&lt;="&amp;EOMONTH(P7,0),'BMM465'!$F$6:$F$2989,"Bond Received")+SUMIFS('1CF1ZO'!$D$6:$D$2989,'1CF1ZO'!$E$6:$E$2989,"&gt;="&amp;P7,'1CF1ZO'!$E$6:$E$2989,"&lt;="&amp;EOMONTH(P7,0),'1CF1ZO'!$F$6:$F$2989,"Bond Received")+SUMIFS('1UK1BK'!$D$6:$D$2989,'1UK1BK'!$E$6:$E$2989,"&gt;="&amp;P7,'1UK1BK'!$E$6:$E$2989,"&lt;="&amp;EOMONTH(P7,0),'1UK1BK'!$F$6:$F$2989,"Bond Received")-(((SUMIFS('CEI565'!$K$6:$K$2990,'CEI565'!$J$6:$J$2990,"&gt;="&amp;P7,'CEI565'!$J$6:$J$2990,"&lt;="&amp;EOMONTH(P7,0),'CEI565'!$L$6:$L$2990,"Bond Return")+SUMIFS('1SM3VL'!$K$6:$K$2990,'1SM3VL'!$J$6:$J$2990,"&gt;="&amp;P7,'1SM3VL'!$J$6:$J$2990,"&lt;="&amp;EOMONTH(P7,0),'1SM3VL'!$L$6:$L$2990,"Bond Return")+SUMIFS('1QF4SM'!$K$6:$K$2989,'1QF4SM'!$J$6:$J$2989,"&gt;="&amp;P7,'1QF4SM'!$J$6:$J$2989,"&lt;="&amp;EOMONTH(P7,0),'1QF4SM'!$L$6:$L$2989,"Bond Return")+SUMIFS('1UV5KI'!$K$6:$K$2989,'1UV5KI'!$J$6:$J$2989,"&gt;="&amp;P7,'1UV5KI'!$J$6:$J$2989,"&lt;="&amp;EOMONTH(P7,0),'1UV5KI'!$L$6:$L$2989,"Bond Return")+SUMIFS(#REF!,#REF!,"&gt;="&amp;P7,#REF!,"&lt;="&amp;EOMONTH(P7,0),#REF!,"Bond Return")+SUMIFS('1UL9RY'!$K$6:$K$2990,'1UL9RY'!$J$6:$J$2990,"&gt;="&amp;P7,'1UL9RY'!$J$6:$J$2990,"&lt;="&amp;EOMONTH(P7,0),'1UL9RY'!$L$6:$L$2990,"Bond Return")+SUMIFS('1OZ7GT'!$K$6:$K$2989,'1OZ7GT'!$J$6:$J$2989,"&gt;="&amp;P7,'1OZ7GT'!$J$6:$J$2989,"&lt;="&amp;EOMONTH(P7,0),'1OZ7GT'!$L$6:$L$2989,"Bond Return")+SUMIFS('1CN8DD'!$K$6:$K$2989,'1CN8DD'!$J$6:$J$2989,"&gt;="&amp;P7,'1CN8DD'!$J$6:$J$2989,"&lt;="&amp;EOMONTH(P7,0),'1CN8DD'!$L$6:$L$2989,"Bond Return")+SUMIFS('1UT9BR'!$K$6:$K$2990,'1UT9BR'!$J$6:$J$2990,"&gt;="&amp;P7,'1UT9BR'!$J$6:$J$2990,"&lt;="&amp;EOMONTH(P7,0),'1UT9BR'!$L$6:$L$2990,"Bond Return")+SUMIFS('1MK4UR'!$K$6:$K$2990,'1MK4UR'!$J$6:$J$2990,"&gt;="&amp;P7,'1MK4UR'!$J$6:$J$2990,"&lt;="&amp;EOMONTH(P7,0),'1MK4UR'!$L$6:$L$2990,"Bond Return")+SUMIFS(#REF!,#REF!,"&gt;="&amp;P7,#REF!,"&lt;="&amp;EOMONTH(P7,0),#REF!,"Bond Return")+SUMIFS('1JI2UE'!$K$6:$K$2989,'1JI2UE'!$J$6:$J$2989,"&gt;="&amp;P7,'1JI2UE'!$J$6:$J$2989,"&lt;="&amp;EOMONTH(P7,0),'1JI2UE'!$L$6:$L$2989,"Bond Return")+SUMIFS(#REF!,#REF!,"&gt;="&amp;P7,#REF!,"&lt;="&amp;EOMONTH(P7,0),#REF!,"Bond Return")+SUMIFS('1SI9BW'!$K$6:$K$2989,'1SI9BW'!$J$6:$J$2989,"&gt;="&amp;P7,'1SI9BW'!$J$6:$J$2989,"&lt;="&amp;EOMONTH(P7,0),'1SI9BW'!$L$6:$L$2989,"Bond Return")+SUMIFS(Suzuki!$K$6:$K$2989,Suzuki!$J$6:$J$2989,"&gt;="&amp;P7,Suzuki!$J$6:$J$2989,"&lt;="&amp;EOMONTH(P7,0),Suzuki!$L$6:$L$2989,"Bond Return")+SUMIFS('1SK3DD'!$K$6:$K$2989,'1SK3DD'!$J$6:$J$2989,"&gt;="&amp;P7,'1SK3DD'!$J$6:$J$2989,"&lt;="&amp;EOMONTH(P7,0),'1SK3DD'!$L$6:$L$2989,"Bond Return")+SUMIFS('1SX5TQ'!$K$6:$K$2989,'1SX5TQ'!$J$6:$J$2989,"&gt;="&amp;P7,'1SX5TQ'!$J$6:$J$2989,"&lt;="&amp;EOMONTH(P7,0),'1SX5TQ'!$L$6:$L$2989,"Bond Return")+SUMIFS('BMM465'!$K$6:$K$2989,'BMM465'!$J$6:$J$2989,"&gt;="&amp;P7,'BMM465'!$J$6:$J$2989,"&lt;="&amp;EOMONTH(P7,0),'BMM465'!$L$6:$L$2989,"Bond Return")+SUMIFS('1CF1ZO'!$K$6:$K$2989,'1CF1ZO'!$J$6:$J$2989,"&gt;="&amp;P7,'1CF1ZO'!$J$6:$J$2989,"&lt;="&amp;EOMONTH(P7,0),'1CF1ZO'!$L$6:$L$2989,"Bond Return")+SUMIFS('1UK1BK'!$K$6:$K$2989,'1UK1BK'!$J$6:$J$2989,"&gt;="&amp;P7,'1UK1BK'!$J$6:$J$2989,"&lt;="&amp;EOMONTH(P7,0),'1UK1BK'!$L$6:$L$2989,"Bond Return"))))</f>
        <v>#REF!</v>
      </c>
      <c r="Q42" s="2" t="e">
        <f>SUMIFS('CEI565'!$D$6:$D$2994,'CEI565'!$E$6:$E$2994,"&gt;="&amp;Q7,'CEI565'!$E$6:$E$2994,"&lt;="&amp;EOMONTH(Q7,0),'CEI565'!$F$6:$F$2994,"Bond Received")+SUMIFS('1SM3VL'!$D$6:$D$2989,'1SM3VL'!$E$6:$E$2989,"&gt;="&amp;Q7,'1SM3VL'!$E$6:$E$2989,"&lt;="&amp;EOMONTH(Q7,0),'1SM3VL'!$F$6:$F$2989,"Bond Received")+SUMIFS('1QF4SM'!$D$6:$D$2989,'1QF4SM'!$E$6:$E$2989,"&gt;="&amp;Q7,'1QF4SM'!$E$6:$E$2989,"&lt;="&amp;EOMONTH(Q7,0),'1QF4SM'!$F$6:$F$2989,"Bond Received")+SUMIFS('1UV5KI'!$D$6:$D$2988,'1UV5KI'!$E$6:$E$2988,"&gt;="&amp;Q7,'1UV5KI'!$E$6:$E$2988,"&lt;="&amp;EOMONTH(Q7,0),'1UV5KI'!$F$6:$F$2988,"Bond Received")+SUMIFS(#REF!,#REF!,"&gt;="&amp;Q7,#REF!,"&lt;="&amp;EOMONTH(Q7,0),#REF!,"Bond Received")+SUMIFS('1UL9RY'!$D$6:$D$2989,'1UL9RY'!$E$6:$E$2989,"&gt;="&amp;Q7,'1UL9RY'!$E$6:$E$2989,"&lt;="&amp;EOMONTH(Q7,0),'1UL9RY'!$F$6:$F$2989,"Bond Received")+SUMIFS('1OZ7GT'!$D$6:$D$2989,'1OZ7GT'!$E$6:$E$2989,"&gt;="&amp;Q7,'1OZ7GT'!$E$6:$E$2989,"&lt;="&amp;EOMONTH(Q7,0),'1OZ7GT'!$F$6:$F$2989,"Bond Received")+SUMIFS('1CN8DD'!$D$6:$D$2989,'1CN8DD'!$E$6:$E$2989,"&gt;="&amp;Q7,'1CN8DD'!$E$6:$E$2989,"&lt;="&amp;EOMONTH(Q7,0),'1CN8DD'!$F$6:$F$2989,"Bond Received")+SUMIFS('1UT9BR'!$D$6:$D$2989,'1UT9BR'!$E$6:$E$2989,"&gt;="&amp;Q7,'1UT9BR'!$E$6:$E$2989,"&lt;="&amp;EOMONTH(Q7,0),'1UT9BR'!$F$6:$F$2989,"Bond Received")+SUMIFS('1MK4UR'!$D$6:$D$2989,'1MK4UR'!$E$6:$E$2989,"&gt;="&amp;Q7,'1MK4UR'!$E$6:$E$2989,"&lt;="&amp;EOMONTH(Q7,0),'1MK4UR'!$F$6:$F$2989,"Bond Received")+SUMIFS(#REF!,#REF!,"&gt;="&amp;Q7,#REF!,"&lt;="&amp;EOMONTH(Q7,0),#REF!,"Bond Received")+SUMIFS('1JI2UE'!$D$6:$D$2989,'1JI2UE'!$E$6:$E$2989,"&gt;="&amp;Q7,'1JI2UE'!$E$6:$E$2989,"&lt;="&amp;EOMONTH(Q7,0),'1JI2UE'!$F$6:$F$2989,"Bond Received")+SUMIFS(#REF!,#REF!,"&gt;="&amp;Q7,#REF!,"&lt;="&amp;EOMONTH(Q7,0),#REF!,"Bond Received")+SUMIFS('1SI9BW'!$D$6:$D$2989,'1SI9BW'!$E$6:$E$2989,"&gt;="&amp;Q7,'1SI9BW'!$E$6:$E$2989,"&lt;="&amp;EOMONTH(Q7,0),'1SI9BW'!$F$6:$F$2989,"Bond Received")+SUMIFS(Suzuki!$D$6:$D$2989,Suzuki!$E$6:$E$2989,"&gt;="&amp;Q7,Suzuki!$E$6:$E$2989,"&lt;="&amp;EOMONTH(Q7,0),Suzuki!$F$6:$F$2989,"Bond Received")+SUMIFS('1SK3DD'!$D$6:$D$2989,'1SK3DD'!$E$6:$E$2989,"&gt;="&amp;Q7,'1SK3DD'!$E$6:$E$2989,"&lt;="&amp;EOMONTH(Q7,0),'1SK3DD'!$F$6:$F$2989,"Bond Received")+SUMIFS('1SX5TQ'!$D$6:$D$2989,'1SX5TQ'!$E$6:$E$2989,"&gt;="&amp;Q7,'1SX5TQ'!$E$6:$E$2989,"&lt;="&amp;EOMONTH(Q7,0),'1SX5TQ'!$F$6:$F$2989,"Bond Received")+SUMIFS('BMM465'!$D$6:$D$2989,'BMM465'!$E$6:$E$2989,"&gt;="&amp;Q7,'BMM465'!$E$6:$E$2989,"&lt;="&amp;EOMONTH(Q7,0),'BMM465'!$F$6:$F$2989,"Bond Received")+SUMIFS('1CF1ZO'!$D$6:$D$2989,'1CF1ZO'!$E$6:$E$2989,"&gt;="&amp;Q7,'1CF1ZO'!$E$6:$E$2989,"&lt;="&amp;EOMONTH(Q7,0),'1CF1ZO'!$F$6:$F$2989,"Bond Received")+SUMIFS('1UK1BK'!$D$6:$D$2989,'1UK1BK'!$E$6:$E$2989,"&gt;="&amp;Q7,'1UK1BK'!$E$6:$E$2989,"&lt;="&amp;EOMONTH(Q7,0),'1UK1BK'!$F$6:$F$2989,"Bond Received")-(((SUMIFS('CEI565'!$K$6:$K$2990,'CEI565'!$J$6:$J$2990,"&gt;="&amp;Q7,'CEI565'!$J$6:$J$2990,"&lt;="&amp;EOMONTH(Q7,0),'CEI565'!$L$6:$L$2990,"Bond Return")+SUMIFS('1SM3VL'!$K$6:$K$2990,'1SM3VL'!$J$6:$J$2990,"&gt;="&amp;Q7,'1SM3VL'!$J$6:$J$2990,"&lt;="&amp;EOMONTH(Q7,0),'1SM3VL'!$L$6:$L$2990,"Bond Return")+SUMIFS('1QF4SM'!$K$6:$K$2989,'1QF4SM'!$J$6:$J$2989,"&gt;="&amp;Q7,'1QF4SM'!$J$6:$J$2989,"&lt;="&amp;EOMONTH(Q7,0),'1QF4SM'!$L$6:$L$2989,"Bond Return")+SUMIFS('1UV5KI'!$K$6:$K$2989,'1UV5KI'!$J$6:$J$2989,"&gt;="&amp;Q7,'1UV5KI'!$J$6:$J$2989,"&lt;="&amp;EOMONTH(Q7,0),'1UV5KI'!$L$6:$L$2989,"Bond Return")+SUMIFS(#REF!,#REF!,"&gt;="&amp;Q7,#REF!,"&lt;="&amp;EOMONTH(Q7,0),#REF!,"Bond Return")+SUMIFS('1UL9RY'!$K$6:$K$2990,'1UL9RY'!$J$6:$J$2990,"&gt;="&amp;Q7,'1UL9RY'!$J$6:$J$2990,"&lt;="&amp;EOMONTH(Q7,0),'1UL9RY'!$L$6:$L$2990,"Bond Return")+SUMIFS('1OZ7GT'!$K$6:$K$2989,'1OZ7GT'!$J$6:$J$2989,"&gt;="&amp;Q7,'1OZ7GT'!$J$6:$J$2989,"&lt;="&amp;EOMONTH(Q7,0),'1OZ7GT'!$L$6:$L$2989,"Bond Return")+SUMIFS('1CN8DD'!$K$6:$K$2989,'1CN8DD'!$J$6:$J$2989,"&gt;="&amp;Q7,'1CN8DD'!$J$6:$J$2989,"&lt;="&amp;EOMONTH(Q7,0),'1CN8DD'!$L$6:$L$2989,"Bond Return")+SUMIFS('1UT9BR'!$K$6:$K$2990,'1UT9BR'!$J$6:$J$2990,"&gt;="&amp;Q7,'1UT9BR'!$J$6:$J$2990,"&lt;="&amp;EOMONTH(Q7,0),'1UT9BR'!$L$6:$L$2990,"Bond Return")+SUMIFS('1MK4UR'!$K$6:$K$2990,'1MK4UR'!$J$6:$J$2990,"&gt;="&amp;Q7,'1MK4UR'!$J$6:$J$2990,"&lt;="&amp;EOMONTH(Q7,0),'1MK4UR'!$L$6:$L$2990,"Bond Return")+SUMIFS(#REF!,#REF!,"&gt;="&amp;Q7,#REF!,"&lt;="&amp;EOMONTH(Q7,0),#REF!,"Bond Return")+SUMIFS('1JI2UE'!$K$6:$K$2989,'1JI2UE'!$J$6:$J$2989,"&gt;="&amp;Q7,'1JI2UE'!$J$6:$J$2989,"&lt;="&amp;EOMONTH(Q7,0),'1JI2UE'!$L$6:$L$2989,"Bond Return")+SUMIFS(#REF!,#REF!,"&gt;="&amp;Q7,#REF!,"&lt;="&amp;EOMONTH(Q7,0),#REF!,"Bond Return")+SUMIFS('1SI9BW'!$K$6:$K$2989,'1SI9BW'!$J$6:$J$2989,"&gt;="&amp;Q7,'1SI9BW'!$J$6:$J$2989,"&lt;="&amp;EOMONTH(Q7,0),'1SI9BW'!$L$6:$L$2989,"Bond Return")+SUMIFS(Suzuki!$K$6:$K$2989,Suzuki!$J$6:$J$2989,"&gt;="&amp;Q7,Suzuki!$J$6:$J$2989,"&lt;="&amp;EOMONTH(Q7,0),Suzuki!$L$6:$L$2989,"Bond Return")+SUMIFS('1SK3DD'!$K$6:$K$2989,'1SK3DD'!$J$6:$J$2989,"&gt;="&amp;Q7,'1SK3DD'!$J$6:$J$2989,"&lt;="&amp;EOMONTH(Q7,0),'1SK3DD'!$L$6:$L$2989,"Bond Return")+SUMIFS('1SX5TQ'!$K$6:$K$2989,'1SX5TQ'!$J$6:$J$2989,"&gt;="&amp;Q7,'1SX5TQ'!$J$6:$J$2989,"&lt;="&amp;EOMONTH(Q7,0),'1SX5TQ'!$L$6:$L$2989,"Bond Return")+SUMIFS('BMM465'!$K$6:$K$2989,'BMM465'!$J$6:$J$2989,"&gt;="&amp;Q7,'BMM465'!$J$6:$J$2989,"&lt;="&amp;EOMONTH(Q7,0),'BMM465'!$L$6:$L$2989,"Bond Return")+SUMIFS('1CF1ZO'!$K$6:$K$2989,'1CF1ZO'!$J$6:$J$2989,"&gt;="&amp;Q7,'1CF1ZO'!$J$6:$J$2989,"&lt;="&amp;EOMONTH(Q7,0),'1CF1ZO'!$L$6:$L$2989,"Bond Return")+SUMIFS('1UK1BK'!$K$6:$K$2989,'1UK1BK'!$J$6:$J$2989,"&gt;="&amp;Q7,'1UK1BK'!$J$6:$J$2989,"&lt;="&amp;EOMONTH(Q7,0),'1UK1BK'!$L$6:$L$2989,"Bond Return"))))</f>
        <v>#REF!</v>
      </c>
      <c r="R42" s="2" t="e">
        <f>SUMIFS('CEI565'!$D$6:$D$2994,'CEI565'!$E$6:$E$2994,"&gt;="&amp;R7,'CEI565'!$E$6:$E$2994,"&lt;="&amp;EOMONTH(R7,0),'CEI565'!$F$6:$F$2994,"Bond Received")+SUMIFS('1SM3VL'!$D$6:$D$2989,'1SM3VL'!$E$6:$E$2989,"&gt;="&amp;R7,'1SM3VL'!$E$6:$E$2989,"&lt;="&amp;EOMONTH(R7,0),'1SM3VL'!$F$6:$F$2989,"Bond Received")+SUMIFS('1QF4SM'!$D$6:$D$2989,'1QF4SM'!$E$6:$E$2989,"&gt;="&amp;R7,'1QF4SM'!$E$6:$E$2989,"&lt;="&amp;EOMONTH(R7,0),'1QF4SM'!$F$6:$F$2989,"Bond Received")+SUMIFS('1UV5KI'!$D$6:$D$2988,'1UV5KI'!$E$6:$E$2988,"&gt;="&amp;R7,'1UV5KI'!$E$6:$E$2988,"&lt;="&amp;EOMONTH(R7,0),'1UV5KI'!$F$6:$F$2988,"Bond Received")+SUMIFS(#REF!,#REF!,"&gt;="&amp;R7,#REF!,"&lt;="&amp;EOMONTH(R7,0),#REF!,"Bond Received")+SUMIFS('1UL9RY'!$D$6:$D$2989,'1UL9RY'!$E$6:$E$2989,"&gt;="&amp;R7,'1UL9RY'!$E$6:$E$2989,"&lt;="&amp;EOMONTH(R7,0),'1UL9RY'!$F$6:$F$2989,"Bond Received")+SUMIFS('1OZ7GT'!$D$6:$D$2989,'1OZ7GT'!$E$6:$E$2989,"&gt;="&amp;R7,'1OZ7GT'!$E$6:$E$2989,"&lt;="&amp;EOMONTH(R7,0),'1OZ7GT'!$F$6:$F$2989,"Bond Received")+SUMIFS('1CN8DD'!$D$6:$D$2989,'1CN8DD'!$E$6:$E$2989,"&gt;="&amp;R7,'1CN8DD'!$E$6:$E$2989,"&lt;="&amp;EOMONTH(R7,0),'1CN8DD'!$F$6:$F$2989,"Bond Received")+SUMIFS('1UT9BR'!$D$6:$D$2989,'1UT9BR'!$E$6:$E$2989,"&gt;="&amp;R7,'1UT9BR'!$E$6:$E$2989,"&lt;="&amp;EOMONTH(R7,0),'1UT9BR'!$F$6:$F$2989,"Bond Received")+SUMIFS('1MK4UR'!$D$6:$D$2989,'1MK4UR'!$E$6:$E$2989,"&gt;="&amp;R7,'1MK4UR'!$E$6:$E$2989,"&lt;="&amp;EOMONTH(R7,0),'1MK4UR'!$F$6:$F$2989,"Bond Received")+SUMIFS(#REF!,#REF!,"&gt;="&amp;R7,#REF!,"&lt;="&amp;EOMONTH(R7,0),#REF!,"Bond Received")+SUMIFS('1JI2UE'!$D$6:$D$2989,'1JI2UE'!$E$6:$E$2989,"&gt;="&amp;R7,'1JI2UE'!$E$6:$E$2989,"&lt;="&amp;EOMONTH(R7,0),'1JI2UE'!$F$6:$F$2989,"Bond Received")+SUMIFS(#REF!,#REF!,"&gt;="&amp;R7,#REF!,"&lt;="&amp;EOMONTH(R7,0),#REF!,"Bond Received")+SUMIFS('1SI9BW'!$D$6:$D$2989,'1SI9BW'!$E$6:$E$2989,"&gt;="&amp;R7,'1SI9BW'!$E$6:$E$2989,"&lt;="&amp;EOMONTH(R7,0),'1SI9BW'!$F$6:$F$2989,"Bond Received")+SUMIFS(Suzuki!$D$6:$D$2989,Suzuki!$E$6:$E$2989,"&gt;="&amp;R7,Suzuki!$E$6:$E$2989,"&lt;="&amp;EOMONTH(R7,0),Suzuki!$F$6:$F$2989,"Bond Received")+SUMIFS('1SK3DD'!$D$6:$D$2989,'1SK3DD'!$E$6:$E$2989,"&gt;="&amp;R7,'1SK3DD'!$E$6:$E$2989,"&lt;="&amp;EOMONTH(R7,0),'1SK3DD'!$F$6:$F$2989,"Bond Received")+SUMIFS('1SX5TQ'!$D$6:$D$2989,'1SX5TQ'!$E$6:$E$2989,"&gt;="&amp;R7,'1SX5TQ'!$E$6:$E$2989,"&lt;="&amp;EOMONTH(R7,0),'1SX5TQ'!$F$6:$F$2989,"Bond Received")+SUMIFS('BMM465'!$D$6:$D$2989,'BMM465'!$E$6:$E$2989,"&gt;="&amp;R7,'BMM465'!$E$6:$E$2989,"&lt;="&amp;EOMONTH(R7,0),'BMM465'!$F$6:$F$2989,"Bond Received")+SUMIFS('1CF1ZO'!$D$6:$D$2989,'1CF1ZO'!$E$6:$E$2989,"&gt;="&amp;R7,'1CF1ZO'!$E$6:$E$2989,"&lt;="&amp;EOMONTH(R7,0),'1CF1ZO'!$F$6:$F$2989,"Bond Received")+SUMIFS('1UK1BK'!$D$6:$D$2989,'1UK1BK'!$E$6:$E$2989,"&gt;="&amp;R7,'1UK1BK'!$E$6:$E$2989,"&lt;="&amp;EOMONTH(R7,0),'1UK1BK'!$F$6:$F$2989,"Bond Received")-(((SUMIFS('CEI565'!$K$6:$K$2990,'CEI565'!$J$6:$J$2990,"&gt;="&amp;R7,'CEI565'!$J$6:$J$2990,"&lt;="&amp;EOMONTH(R7,0),'CEI565'!$L$6:$L$2990,"Bond Return")+SUMIFS('1SM3VL'!$K$6:$K$2990,'1SM3VL'!$J$6:$J$2990,"&gt;="&amp;R7,'1SM3VL'!$J$6:$J$2990,"&lt;="&amp;EOMONTH(R7,0),'1SM3VL'!$L$6:$L$2990,"Bond Return")+SUMIFS('1QF4SM'!$K$6:$K$2989,'1QF4SM'!$J$6:$J$2989,"&gt;="&amp;R7,'1QF4SM'!$J$6:$J$2989,"&lt;="&amp;EOMONTH(R7,0),'1QF4SM'!$L$6:$L$2989,"Bond Return")+SUMIFS('1UV5KI'!$K$6:$K$2989,'1UV5KI'!$J$6:$J$2989,"&gt;="&amp;R7,'1UV5KI'!$J$6:$J$2989,"&lt;="&amp;EOMONTH(R7,0),'1UV5KI'!$L$6:$L$2989,"Bond Return")+SUMIFS(#REF!,#REF!,"&gt;="&amp;R7,#REF!,"&lt;="&amp;EOMONTH(R7,0),#REF!,"Bond Return")+SUMIFS('1UL9RY'!$K$6:$K$2990,'1UL9RY'!$J$6:$J$2990,"&gt;="&amp;R7,'1UL9RY'!$J$6:$J$2990,"&lt;="&amp;EOMONTH(R7,0),'1UL9RY'!$L$6:$L$2990,"Bond Return")+SUMIFS('1OZ7GT'!$K$6:$K$2989,'1OZ7GT'!$J$6:$J$2989,"&gt;="&amp;R7,'1OZ7GT'!$J$6:$J$2989,"&lt;="&amp;EOMONTH(R7,0),'1OZ7GT'!$L$6:$L$2989,"Bond Return")+SUMIFS('1CN8DD'!$K$6:$K$2989,'1CN8DD'!$J$6:$J$2989,"&gt;="&amp;R7,'1CN8DD'!$J$6:$J$2989,"&lt;="&amp;EOMONTH(R7,0),'1CN8DD'!$L$6:$L$2989,"Bond Return")+SUMIFS('1UT9BR'!$K$6:$K$2990,'1UT9BR'!$J$6:$J$2990,"&gt;="&amp;R7,'1UT9BR'!$J$6:$J$2990,"&lt;="&amp;EOMONTH(R7,0),'1UT9BR'!$L$6:$L$2990,"Bond Return")+SUMIFS('1MK4UR'!$K$6:$K$2990,'1MK4UR'!$J$6:$J$2990,"&gt;="&amp;R7,'1MK4UR'!$J$6:$J$2990,"&lt;="&amp;EOMONTH(R7,0),'1MK4UR'!$L$6:$L$2990,"Bond Return")+SUMIFS(#REF!,#REF!,"&gt;="&amp;R7,#REF!,"&lt;="&amp;EOMONTH(R7,0),#REF!,"Bond Return")+SUMIFS('1JI2UE'!$K$6:$K$2989,'1JI2UE'!$J$6:$J$2989,"&gt;="&amp;R7,'1JI2UE'!$J$6:$J$2989,"&lt;="&amp;EOMONTH(R7,0),'1JI2UE'!$L$6:$L$2989,"Bond Return")+SUMIFS(#REF!,#REF!,"&gt;="&amp;R7,#REF!,"&lt;="&amp;EOMONTH(R7,0),#REF!,"Bond Return")+SUMIFS('1SI9BW'!$K$6:$K$2989,'1SI9BW'!$J$6:$J$2989,"&gt;="&amp;R7,'1SI9BW'!$J$6:$J$2989,"&lt;="&amp;EOMONTH(R7,0),'1SI9BW'!$L$6:$L$2989,"Bond Return")+SUMIFS(Suzuki!$K$6:$K$2989,Suzuki!$J$6:$J$2989,"&gt;="&amp;R7,Suzuki!$J$6:$J$2989,"&lt;="&amp;EOMONTH(R7,0),Suzuki!$L$6:$L$2989,"Bond Return")+SUMIFS('1SK3DD'!$K$6:$K$2989,'1SK3DD'!$J$6:$J$2989,"&gt;="&amp;R7,'1SK3DD'!$J$6:$J$2989,"&lt;="&amp;EOMONTH(R7,0),'1SK3DD'!$L$6:$L$2989,"Bond Return")+SUMIFS('1SX5TQ'!$K$6:$K$2989,'1SX5TQ'!$J$6:$J$2989,"&gt;="&amp;R7,'1SX5TQ'!$J$6:$J$2989,"&lt;="&amp;EOMONTH(R7,0),'1SX5TQ'!$L$6:$L$2989,"Bond Return")+SUMIFS('BMM465'!$K$6:$K$2989,'BMM465'!$J$6:$J$2989,"&gt;="&amp;R7,'BMM465'!$J$6:$J$2989,"&lt;="&amp;EOMONTH(R7,0),'BMM465'!$L$6:$L$2989,"Bond Return")+SUMIFS('1CF1ZO'!$K$6:$K$2989,'1CF1ZO'!$J$6:$J$2989,"&gt;="&amp;R7,'1CF1ZO'!$J$6:$J$2989,"&lt;="&amp;EOMONTH(R7,0),'1CF1ZO'!$L$6:$L$2989,"Bond Return")+SUMIFS('1UK1BK'!$K$6:$K$2989,'1UK1BK'!$J$6:$J$2989,"&gt;="&amp;R7,'1UK1BK'!$J$6:$J$2989,"&lt;="&amp;EOMONTH(R7,0),'1UK1BK'!$L$6:$L$2989,"Bond Return"))))</f>
        <v>#REF!</v>
      </c>
      <c r="S42" s="2" t="e">
        <f>SUMIFS('CEI565'!$D$6:$D$2994,'CEI565'!$E$6:$E$2994,"&gt;="&amp;S7,'CEI565'!$E$6:$E$2994,"&lt;="&amp;EOMONTH(S7,0),'CEI565'!$F$6:$F$2994,"Bond Received")+SUMIFS('1SM3VL'!$D$6:$D$2989,'1SM3VL'!$E$6:$E$2989,"&gt;="&amp;S7,'1SM3VL'!$E$6:$E$2989,"&lt;="&amp;EOMONTH(S7,0),'1SM3VL'!$F$6:$F$2989,"Bond Received")+SUMIFS('1QF4SM'!$D$6:$D$2989,'1QF4SM'!$E$6:$E$2989,"&gt;="&amp;S7,'1QF4SM'!$E$6:$E$2989,"&lt;="&amp;EOMONTH(S7,0),'1QF4SM'!$F$6:$F$2989,"Bond Received")+SUMIFS('1UV5KI'!$D$6:$D$2988,'1UV5KI'!$E$6:$E$2988,"&gt;="&amp;S7,'1UV5KI'!$E$6:$E$2988,"&lt;="&amp;EOMONTH(S7,0),'1UV5KI'!$F$6:$F$2988,"Bond Received")+SUMIFS(#REF!,#REF!,"&gt;="&amp;S7,#REF!,"&lt;="&amp;EOMONTH(S7,0),#REF!,"Bond Received")+SUMIFS('1UL9RY'!$D$6:$D$2989,'1UL9RY'!$E$6:$E$2989,"&gt;="&amp;S7,'1UL9RY'!$E$6:$E$2989,"&lt;="&amp;EOMONTH(S7,0),'1UL9RY'!$F$6:$F$2989,"Bond Received")+SUMIFS('1OZ7GT'!$D$6:$D$2989,'1OZ7GT'!$E$6:$E$2989,"&gt;="&amp;S7,'1OZ7GT'!$E$6:$E$2989,"&lt;="&amp;EOMONTH(S7,0),'1OZ7GT'!$F$6:$F$2989,"Bond Received")+SUMIFS('1CN8DD'!$D$6:$D$2989,'1CN8DD'!$E$6:$E$2989,"&gt;="&amp;S7,'1CN8DD'!$E$6:$E$2989,"&lt;="&amp;EOMONTH(S7,0),'1CN8DD'!$F$6:$F$2989,"Bond Received")+SUMIFS('1UT9BR'!$D$6:$D$2989,'1UT9BR'!$E$6:$E$2989,"&gt;="&amp;S7,'1UT9BR'!$E$6:$E$2989,"&lt;="&amp;EOMONTH(S7,0),'1UT9BR'!$F$6:$F$2989,"Bond Received")+SUMIFS('1MK4UR'!$D$6:$D$2989,'1MK4UR'!$E$6:$E$2989,"&gt;="&amp;S7,'1MK4UR'!$E$6:$E$2989,"&lt;="&amp;EOMONTH(S7,0),'1MK4UR'!$F$6:$F$2989,"Bond Received")+SUMIFS(#REF!,#REF!,"&gt;="&amp;S7,#REF!,"&lt;="&amp;EOMONTH(S7,0),#REF!,"Bond Received")+SUMIFS('1JI2UE'!$D$6:$D$2989,'1JI2UE'!$E$6:$E$2989,"&gt;="&amp;S7,'1JI2UE'!$E$6:$E$2989,"&lt;="&amp;EOMONTH(S7,0),'1JI2UE'!$F$6:$F$2989,"Bond Received")+SUMIFS(#REF!,#REF!,"&gt;="&amp;S7,#REF!,"&lt;="&amp;EOMONTH(S7,0),#REF!,"Bond Received")+SUMIFS('1SI9BW'!$D$6:$D$2989,'1SI9BW'!$E$6:$E$2989,"&gt;="&amp;S7,'1SI9BW'!$E$6:$E$2989,"&lt;="&amp;EOMONTH(S7,0),'1SI9BW'!$F$6:$F$2989,"Bond Received")+SUMIFS(Suzuki!$D$6:$D$2989,Suzuki!$E$6:$E$2989,"&gt;="&amp;S7,Suzuki!$E$6:$E$2989,"&lt;="&amp;EOMONTH(S7,0),Suzuki!$F$6:$F$2989,"Bond Received")+SUMIFS('1SK3DD'!$D$6:$D$2989,'1SK3DD'!$E$6:$E$2989,"&gt;="&amp;S7,'1SK3DD'!$E$6:$E$2989,"&lt;="&amp;EOMONTH(S7,0),'1SK3DD'!$F$6:$F$2989,"Bond Received")+SUMIFS('1SX5TQ'!$D$6:$D$2989,'1SX5TQ'!$E$6:$E$2989,"&gt;="&amp;S7,'1SX5TQ'!$E$6:$E$2989,"&lt;="&amp;EOMONTH(S7,0),'1SX5TQ'!$F$6:$F$2989,"Bond Received")+SUMIFS('BMM465'!$D$6:$D$2989,'BMM465'!$E$6:$E$2989,"&gt;="&amp;S7,'BMM465'!$E$6:$E$2989,"&lt;="&amp;EOMONTH(S7,0),'BMM465'!$F$6:$F$2989,"Bond Received")+SUMIFS('1CF1ZO'!$D$6:$D$2989,'1CF1ZO'!$E$6:$E$2989,"&gt;="&amp;S7,'1CF1ZO'!$E$6:$E$2989,"&lt;="&amp;EOMONTH(S7,0),'1CF1ZO'!$F$6:$F$2989,"Bond Received")+SUMIFS('1UK1BK'!$D$6:$D$2989,'1UK1BK'!$E$6:$E$2989,"&gt;="&amp;S7,'1UK1BK'!$E$6:$E$2989,"&lt;="&amp;EOMONTH(S7,0),'1UK1BK'!$F$6:$F$2989,"Bond Received")-(((SUMIFS('CEI565'!$K$6:$K$2990,'CEI565'!$J$6:$J$2990,"&gt;="&amp;S7,'CEI565'!$J$6:$J$2990,"&lt;="&amp;EOMONTH(S7,0),'CEI565'!$L$6:$L$2990,"Bond Return")+SUMIFS('1SM3VL'!$K$6:$K$2990,'1SM3VL'!$J$6:$J$2990,"&gt;="&amp;S7,'1SM3VL'!$J$6:$J$2990,"&lt;="&amp;EOMONTH(S7,0),'1SM3VL'!$L$6:$L$2990,"Bond Return")+SUMIFS('1QF4SM'!$K$6:$K$2989,'1QF4SM'!$J$6:$J$2989,"&gt;="&amp;S7,'1QF4SM'!$J$6:$J$2989,"&lt;="&amp;EOMONTH(S7,0),'1QF4SM'!$L$6:$L$2989,"Bond Return")+SUMIFS('1UV5KI'!$K$6:$K$2989,'1UV5KI'!$J$6:$J$2989,"&gt;="&amp;S7,'1UV5KI'!$J$6:$J$2989,"&lt;="&amp;EOMONTH(S7,0),'1UV5KI'!$L$6:$L$2989,"Bond Return")+SUMIFS(#REF!,#REF!,"&gt;="&amp;S7,#REF!,"&lt;="&amp;EOMONTH(S7,0),#REF!,"Bond Return")+SUMIFS('1UL9RY'!$K$6:$K$2990,'1UL9RY'!$J$6:$J$2990,"&gt;="&amp;S7,'1UL9RY'!$J$6:$J$2990,"&lt;="&amp;EOMONTH(S7,0),'1UL9RY'!$L$6:$L$2990,"Bond Return")+SUMIFS('1OZ7GT'!$K$6:$K$2989,'1OZ7GT'!$J$6:$J$2989,"&gt;="&amp;S7,'1OZ7GT'!$J$6:$J$2989,"&lt;="&amp;EOMONTH(S7,0),'1OZ7GT'!$L$6:$L$2989,"Bond Return")+SUMIFS('1CN8DD'!$K$6:$K$2989,'1CN8DD'!$J$6:$J$2989,"&gt;="&amp;S7,'1CN8DD'!$J$6:$J$2989,"&lt;="&amp;EOMONTH(S7,0),'1CN8DD'!$L$6:$L$2989,"Bond Return")+SUMIFS('1UT9BR'!$K$6:$K$2990,'1UT9BR'!$J$6:$J$2990,"&gt;="&amp;S7,'1UT9BR'!$J$6:$J$2990,"&lt;="&amp;EOMONTH(S7,0),'1UT9BR'!$L$6:$L$2990,"Bond Return")+SUMIFS('1MK4UR'!$K$6:$K$2990,'1MK4UR'!$J$6:$J$2990,"&gt;="&amp;S7,'1MK4UR'!$J$6:$J$2990,"&lt;="&amp;EOMONTH(S7,0),'1MK4UR'!$L$6:$L$2990,"Bond Return")+SUMIFS(#REF!,#REF!,"&gt;="&amp;S7,#REF!,"&lt;="&amp;EOMONTH(S7,0),#REF!,"Bond Return")+SUMIFS('1JI2UE'!$K$6:$K$2989,'1JI2UE'!$J$6:$J$2989,"&gt;="&amp;S7,'1JI2UE'!$J$6:$J$2989,"&lt;="&amp;EOMONTH(S7,0),'1JI2UE'!$L$6:$L$2989,"Bond Return")+SUMIFS(#REF!,#REF!,"&gt;="&amp;S7,#REF!,"&lt;="&amp;EOMONTH(S7,0),#REF!,"Bond Return")+SUMIFS('1SI9BW'!$K$6:$K$2989,'1SI9BW'!$J$6:$J$2989,"&gt;="&amp;S7,'1SI9BW'!$J$6:$J$2989,"&lt;="&amp;EOMONTH(S7,0),'1SI9BW'!$L$6:$L$2989,"Bond Return")+SUMIFS(Suzuki!$K$6:$K$2989,Suzuki!$J$6:$J$2989,"&gt;="&amp;S7,Suzuki!$J$6:$J$2989,"&lt;="&amp;EOMONTH(S7,0),Suzuki!$L$6:$L$2989,"Bond Return")+SUMIFS('1SK3DD'!$K$6:$K$2989,'1SK3DD'!$J$6:$J$2989,"&gt;="&amp;S7,'1SK3DD'!$J$6:$J$2989,"&lt;="&amp;EOMONTH(S7,0),'1SK3DD'!$L$6:$L$2989,"Bond Return")+SUMIFS('1SX5TQ'!$K$6:$K$2989,'1SX5TQ'!$J$6:$J$2989,"&gt;="&amp;S7,'1SX5TQ'!$J$6:$J$2989,"&lt;="&amp;EOMONTH(S7,0),'1SX5TQ'!$L$6:$L$2989,"Bond Return")+SUMIFS('BMM465'!$K$6:$K$2989,'BMM465'!$J$6:$J$2989,"&gt;="&amp;S7,'BMM465'!$J$6:$J$2989,"&lt;="&amp;EOMONTH(S7,0),'BMM465'!$L$6:$L$2989,"Bond Return")+SUMIFS('1CF1ZO'!$K$6:$K$2989,'1CF1ZO'!$J$6:$J$2989,"&gt;="&amp;S7,'1CF1ZO'!$J$6:$J$2989,"&lt;="&amp;EOMONTH(S7,0),'1CF1ZO'!$L$6:$L$2989,"Bond Return")+SUMIFS('1UK1BK'!$K$6:$K$2989,'1UK1BK'!$J$6:$J$2989,"&gt;="&amp;S7,'1UK1BK'!$J$6:$J$2989,"&lt;="&amp;EOMONTH(S7,0),'1UK1BK'!$L$6:$L$2989,"Bond Return"))))</f>
        <v>#REF!</v>
      </c>
      <c r="T42" s="2" t="e">
        <f>SUMIFS('CEI565'!$D$6:$D$2994,'CEI565'!$E$6:$E$2994,"&gt;="&amp;T7,'CEI565'!$E$6:$E$2994,"&lt;="&amp;EOMONTH(T7,0),'CEI565'!$F$6:$F$2994,"Bond Received")+SUMIFS('1SM3VL'!$D$6:$D$2989,'1SM3VL'!$E$6:$E$2989,"&gt;="&amp;T7,'1SM3VL'!$E$6:$E$2989,"&lt;="&amp;EOMONTH(T7,0),'1SM3VL'!$F$6:$F$2989,"Bond Received")+SUMIFS('1QF4SM'!$D$6:$D$2989,'1QF4SM'!$E$6:$E$2989,"&gt;="&amp;T7,'1QF4SM'!$E$6:$E$2989,"&lt;="&amp;EOMONTH(T7,0),'1QF4SM'!$F$6:$F$2989,"Bond Received")+SUMIFS('1UV5KI'!$D$6:$D$2988,'1UV5KI'!$E$6:$E$2988,"&gt;="&amp;T7,'1UV5KI'!$E$6:$E$2988,"&lt;="&amp;EOMONTH(T7,0),'1UV5KI'!$F$6:$F$2988,"Bond Received")+SUMIFS(#REF!,#REF!,"&gt;="&amp;T7,#REF!,"&lt;="&amp;EOMONTH(T7,0),#REF!,"Bond Received")+SUMIFS('1UL9RY'!$D$6:$D$2989,'1UL9RY'!$E$6:$E$2989,"&gt;="&amp;T7,'1UL9RY'!$E$6:$E$2989,"&lt;="&amp;EOMONTH(T7,0),'1UL9RY'!$F$6:$F$2989,"Bond Received")+SUMIFS('1OZ7GT'!$D$6:$D$2989,'1OZ7GT'!$E$6:$E$2989,"&gt;="&amp;T7,'1OZ7GT'!$E$6:$E$2989,"&lt;="&amp;EOMONTH(T7,0),'1OZ7GT'!$F$6:$F$2989,"Bond Received")+SUMIFS('1CN8DD'!$D$6:$D$2989,'1CN8DD'!$E$6:$E$2989,"&gt;="&amp;T7,'1CN8DD'!$E$6:$E$2989,"&lt;="&amp;EOMONTH(T7,0),'1CN8DD'!$F$6:$F$2989,"Bond Received")+SUMIFS('1UT9BR'!$D$6:$D$2989,'1UT9BR'!$E$6:$E$2989,"&gt;="&amp;T7,'1UT9BR'!$E$6:$E$2989,"&lt;="&amp;EOMONTH(T7,0),'1UT9BR'!$F$6:$F$2989,"Bond Received")+SUMIFS('1MK4UR'!$D$6:$D$2989,'1MK4UR'!$E$6:$E$2989,"&gt;="&amp;T7,'1MK4UR'!$E$6:$E$2989,"&lt;="&amp;EOMONTH(T7,0),'1MK4UR'!$F$6:$F$2989,"Bond Received")+SUMIFS(#REF!,#REF!,"&gt;="&amp;T7,#REF!,"&lt;="&amp;EOMONTH(T7,0),#REF!,"Bond Received")+SUMIFS('1JI2UE'!$D$6:$D$2989,'1JI2UE'!$E$6:$E$2989,"&gt;="&amp;T7,'1JI2UE'!$E$6:$E$2989,"&lt;="&amp;EOMONTH(T7,0),'1JI2UE'!$F$6:$F$2989,"Bond Received")+SUMIFS(#REF!,#REF!,"&gt;="&amp;T7,#REF!,"&lt;="&amp;EOMONTH(T7,0),#REF!,"Bond Received")+SUMIFS('1SI9BW'!$D$6:$D$2989,'1SI9BW'!$E$6:$E$2989,"&gt;="&amp;T7,'1SI9BW'!$E$6:$E$2989,"&lt;="&amp;EOMONTH(T7,0),'1SI9BW'!$F$6:$F$2989,"Bond Received")+SUMIFS(Suzuki!$D$6:$D$2989,Suzuki!$E$6:$E$2989,"&gt;="&amp;T7,Suzuki!$E$6:$E$2989,"&lt;="&amp;EOMONTH(T7,0),Suzuki!$F$6:$F$2989,"Bond Received")+SUMIFS('1SK3DD'!$D$6:$D$2989,'1SK3DD'!$E$6:$E$2989,"&gt;="&amp;T7,'1SK3DD'!$E$6:$E$2989,"&lt;="&amp;EOMONTH(T7,0),'1SK3DD'!$F$6:$F$2989,"Bond Received")+SUMIFS('1SX5TQ'!$D$6:$D$2989,'1SX5TQ'!$E$6:$E$2989,"&gt;="&amp;T7,'1SX5TQ'!$E$6:$E$2989,"&lt;="&amp;EOMONTH(T7,0),'1SX5TQ'!$F$6:$F$2989,"Bond Received")+SUMIFS('BMM465'!$D$6:$D$2989,'BMM465'!$E$6:$E$2989,"&gt;="&amp;T7,'BMM465'!$E$6:$E$2989,"&lt;="&amp;EOMONTH(T7,0),'BMM465'!$F$6:$F$2989,"Bond Received")+SUMIFS('1CF1ZO'!$D$6:$D$2989,'1CF1ZO'!$E$6:$E$2989,"&gt;="&amp;T7,'1CF1ZO'!$E$6:$E$2989,"&lt;="&amp;EOMONTH(T7,0),'1CF1ZO'!$F$6:$F$2989,"Bond Received")+SUMIFS('1UK1BK'!$D$6:$D$2989,'1UK1BK'!$E$6:$E$2989,"&gt;="&amp;T7,'1UK1BK'!$E$6:$E$2989,"&lt;="&amp;EOMONTH(T7,0),'1UK1BK'!$F$6:$F$2989,"Bond Received")-(((SUMIFS('CEI565'!$K$6:$K$2990,'CEI565'!$J$6:$J$2990,"&gt;="&amp;T7,'CEI565'!$J$6:$J$2990,"&lt;="&amp;EOMONTH(T7,0),'CEI565'!$L$6:$L$2990,"Bond Return")+SUMIFS('1SM3VL'!$K$6:$K$2990,'1SM3VL'!$J$6:$J$2990,"&gt;="&amp;T7,'1SM3VL'!$J$6:$J$2990,"&lt;="&amp;EOMONTH(T7,0),'1SM3VL'!$L$6:$L$2990,"Bond Return")+SUMIFS('1QF4SM'!$K$6:$K$2989,'1QF4SM'!$J$6:$J$2989,"&gt;="&amp;T7,'1QF4SM'!$J$6:$J$2989,"&lt;="&amp;EOMONTH(T7,0),'1QF4SM'!$L$6:$L$2989,"Bond Return")+SUMIFS('1UV5KI'!$K$6:$K$2989,'1UV5KI'!$J$6:$J$2989,"&gt;="&amp;T7,'1UV5KI'!$J$6:$J$2989,"&lt;="&amp;EOMONTH(T7,0),'1UV5KI'!$L$6:$L$2989,"Bond Return")+SUMIFS(#REF!,#REF!,"&gt;="&amp;T7,#REF!,"&lt;="&amp;EOMONTH(T7,0),#REF!,"Bond Return")+SUMIFS('1UL9RY'!$K$6:$K$2990,'1UL9RY'!$J$6:$J$2990,"&gt;="&amp;T7,'1UL9RY'!$J$6:$J$2990,"&lt;="&amp;EOMONTH(T7,0),'1UL9RY'!$L$6:$L$2990,"Bond Return")+SUMIFS('1OZ7GT'!$K$6:$K$2989,'1OZ7GT'!$J$6:$J$2989,"&gt;="&amp;T7,'1OZ7GT'!$J$6:$J$2989,"&lt;="&amp;EOMONTH(T7,0),'1OZ7GT'!$L$6:$L$2989,"Bond Return")+SUMIFS('1CN8DD'!$K$6:$K$2989,'1CN8DD'!$J$6:$J$2989,"&gt;="&amp;T7,'1CN8DD'!$J$6:$J$2989,"&lt;="&amp;EOMONTH(T7,0),'1CN8DD'!$L$6:$L$2989,"Bond Return")+SUMIFS('1UT9BR'!$K$6:$K$2990,'1UT9BR'!$J$6:$J$2990,"&gt;="&amp;T7,'1UT9BR'!$J$6:$J$2990,"&lt;="&amp;EOMONTH(T7,0),'1UT9BR'!$L$6:$L$2990,"Bond Return")+SUMIFS('1MK4UR'!$K$6:$K$2990,'1MK4UR'!$J$6:$J$2990,"&gt;="&amp;T7,'1MK4UR'!$J$6:$J$2990,"&lt;="&amp;EOMONTH(T7,0),'1MK4UR'!$L$6:$L$2990,"Bond Return")+SUMIFS(#REF!,#REF!,"&gt;="&amp;T7,#REF!,"&lt;="&amp;EOMONTH(T7,0),#REF!,"Bond Return")+SUMIFS('1JI2UE'!$K$6:$K$2989,'1JI2UE'!$J$6:$J$2989,"&gt;="&amp;T7,'1JI2UE'!$J$6:$J$2989,"&lt;="&amp;EOMONTH(T7,0),'1JI2UE'!$L$6:$L$2989,"Bond Return")+SUMIFS(#REF!,#REF!,"&gt;="&amp;T7,#REF!,"&lt;="&amp;EOMONTH(T7,0),#REF!,"Bond Return")+SUMIFS('1SI9BW'!$K$6:$K$2989,'1SI9BW'!$J$6:$J$2989,"&gt;="&amp;T7,'1SI9BW'!$J$6:$J$2989,"&lt;="&amp;EOMONTH(T7,0),'1SI9BW'!$L$6:$L$2989,"Bond Return")+SUMIFS(Suzuki!$K$6:$K$2989,Suzuki!$J$6:$J$2989,"&gt;="&amp;T7,Suzuki!$J$6:$J$2989,"&lt;="&amp;EOMONTH(T7,0),Suzuki!$L$6:$L$2989,"Bond Return")+SUMIFS('1SK3DD'!$K$6:$K$2989,'1SK3DD'!$J$6:$J$2989,"&gt;="&amp;T7,'1SK3DD'!$J$6:$J$2989,"&lt;="&amp;EOMONTH(T7,0),'1SK3DD'!$L$6:$L$2989,"Bond Return")+SUMIFS('1SX5TQ'!$K$6:$K$2989,'1SX5TQ'!$J$6:$J$2989,"&gt;="&amp;T7,'1SX5TQ'!$J$6:$J$2989,"&lt;="&amp;EOMONTH(T7,0),'1SX5TQ'!$L$6:$L$2989,"Bond Return")+SUMIFS('BMM465'!$K$6:$K$2989,'BMM465'!$J$6:$J$2989,"&gt;="&amp;T7,'BMM465'!$J$6:$J$2989,"&lt;="&amp;EOMONTH(T7,0),'BMM465'!$L$6:$L$2989,"Bond Return")+SUMIFS('1CF1ZO'!$K$6:$K$2989,'1CF1ZO'!$J$6:$J$2989,"&gt;="&amp;T7,'1CF1ZO'!$J$6:$J$2989,"&lt;="&amp;EOMONTH(T7,0),'1CF1ZO'!$L$6:$L$2989,"Bond Return")+SUMIFS('1UK1BK'!$K$6:$K$2989,'1UK1BK'!$J$6:$J$2989,"&gt;="&amp;T7,'1UK1BK'!$J$6:$J$2989,"&lt;="&amp;EOMONTH(T7,0),'1UK1BK'!$L$6:$L$2989,"Bond Return"))))</f>
        <v>#REF!</v>
      </c>
      <c r="U42" s="2" t="e">
        <f>SUMIFS('CEI565'!$D$6:$D$2994,'CEI565'!$E$6:$E$2994,"&gt;="&amp;U7,'CEI565'!$E$6:$E$2994,"&lt;="&amp;EOMONTH(U7,0),'CEI565'!$F$6:$F$2994,"Bond Received")+SUMIFS('1SM3VL'!$D$6:$D$2989,'1SM3VL'!$E$6:$E$2989,"&gt;="&amp;U7,'1SM3VL'!$E$6:$E$2989,"&lt;="&amp;EOMONTH(U7,0),'1SM3VL'!$F$6:$F$2989,"Bond Received")+SUMIFS('1QF4SM'!$D$6:$D$2989,'1QF4SM'!$E$6:$E$2989,"&gt;="&amp;U7,'1QF4SM'!$E$6:$E$2989,"&lt;="&amp;EOMONTH(U7,0),'1QF4SM'!$F$6:$F$2989,"Bond Received")+SUMIFS('1UV5KI'!$D$6:$D$2988,'1UV5KI'!$E$6:$E$2988,"&gt;="&amp;U7,'1UV5KI'!$E$6:$E$2988,"&lt;="&amp;EOMONTH(U7,0),'1UV5KI'!$F$6:$F$2988,"Bond Received")+SUMIFS(#REF!,#REF!,"&gt;="&amp;U7,#REF!,"&lt;="&amp;EOMONTH(U7,0),#REF!,"Bond Received")+SUMIFS('1UL9RY'!$D$6:$D$2989,'1UL9RY'!$E$6:$E$2989,"&gt;="&amp;U7,'1UL9RY'!$E$6:$E$2989,"&lt;="&amp;EOMONTH(U7,0),'1UL9RY'!$F$6:$F$2989,"Bond Received")+SUMIFS('1OZ7GT'!$D$6:$D$2989,'1OZ7GT'!$E$6:$E$2989,"&gt;="&amp;U7,'1OZ7GT'!$E$6:$E$2989,"&lt;="&amp;EOMONTH(U7,0),'1OZ7GT'!$F$6:$F$2989,"Bond Received")+SUMIFS('1CN8DD'!$D$6:$D$2989,'1CN8DD'!$E$6:$E$2989,"&gt;="&amp;U7,'1CN8DD'!$E$6:$E$2989,"&lt;="&amp;EOMONTH(U7,0),'1CN8DD'!$F$6:$F$2989,"Bond Received")+SUMIFS('1UT9BR'!$D$6:$D$2989,'1UT9BR'!$E$6:$E$2989,"&gt;="&amp;U7,'1UT9BR'!$E$6:$E$2989,"&lt;="&amp;EOMONTH(U7,0),'1UT9BR'!$F$6:$F$2989,"Bond Received")+SUMIFS('1MK4UR'!$D$6:$D$2989,'1MK4UR'!$E$6:$E$2989,"&gt;="&amp;U7,'1MK4UR'!$E$6:$E$2989,"&lt;="&amp;EOMONTH(U7,0),'1MK4UR'!$F$6:$F$2989,"Bond Received")+SUMIFS(#REF!,#REF!,"&gt;="&amp;U7,#REF!,"&lt;="&amp;EOMONTH(U7,0),#REF!,"Bond Received")+SUMIFS('1JI2UE'!$D$6:$D$2989,'1JI2UE'!$E$6:$E$2989,"&gt;="&amp;U7,'1JI2UE'!$E$6:$E$2989,"&lt;="&amp;EOMONTH(U7,0),'1JI2UE'!$F$6:$F$2989,"Bond Received")+SUMIFS(#REF!,#REF!,"&gt;="&amp;U7,#REF!,"&lt;="&amp;EOMONTH(U7,0),#REF!,"Bond Received")+SUMIFS('1SI9BW'!$D$6:$D$2989,'1SI9BW'!$E$6:$E$2989,"&gt;="&amp;U7,'1SI9BW'!$E$6:$E$2989,"&lt;="&amp;EOMONTH(U7,0),'1SI9BW'!$F$6:$F$2989,"Bond Received")+SUMIFS(Suzuki!$D$6:$D$2989,Suzuki!$E$6:$E$2989,"&gt;="&amp;U7,Suzuki!$E$6:$E$2989,"&lt;="&amp;EOMONTH(U7,0),Suzuki!$F$6:$F$2989,"Bond Received")+SUMIFS('1SK3DD'!$D$6:$D$2989,'1SK3DD'!$E$6:$E$2989,"&gt;="&amp;U7,'1SK3DD'!$E$6:$E$2989,"&lt;="&amp;EOMONTH(U7,0),'1SK3DD'!$F$6:$F$2989,"Bond Received")+SUMIFS('1SX5TQ'!$D$6:$D$2989,'1SX5TQ'!$E$6:$E$2989,"&gt;="&amp;U7,'1SX5TQ'!$E$6:$E$2989,"&lt;="&amp;EOMONTH(U7,0),'1SX5TQ'!$F$6:$F$2989,"Bond Received")+SUMIFS('BMM465'!$D$6:$D$2989,'BMM465'!$E$6:$E$2989,"&gt;="&amp;U7,'BMM465'!$E$6:$E$2989,"&lt;="&amp;EOMONTH(U7,0),'BMM465'!$F$6:$F$2989,"Bond Received")+SUMIFS('1CF1ZO'!$D$6:$D$2989,'1CF1ZO'!$E$6:$E$2989,"&gt;="&amp;U7,'1CF1ZO'!$E$6:$E$2989,"&lt;="&amp;EOMONTH(U7,0),'1CF1ZO'!$F$6:$F$2989,"Bond Received")+SUMIFS('1UK1BK'!$D$6:$D$2989,'1UK1BK'!$E$6:$E$2989,"&gt;="&amp;U7,'1UK1BK'!$E$6:$E$2989,"&lt;="&amp;EOMONTH(U7,0),'1UK1BK'!$F$6:$F$2989,"Bond Received")-(((SUMIFS('CEI565'!$K$6:$K$2990,'CEI565'!$J$6:$J$2990,"&gt;="&amp;U7,'CEI565'!$J$6:$J$2990,"&lt;="&amp;EOMONTH(U7,0),'CEI565'!$L$6:$L$2990,"Bond Return")+SUMIFS('1SM3VL'!$K$6:$K$2990,'1SM3VL'!$J$6:$J$2990,"&gt;="&amp;U7,'1SM3VL'!$J$6:$J$2990,"&lt;="&amp;EOMONTH(U7,0),'1SM3VL'!$L$6:$L$2990,"Bond Return")+SUMIFS('1QF4SM'!$K$6:$K$2989,'1QF4SM'!$J$6:$J$2989,"&gt;="&amp;U7,'1QF4SM'!$J$6:$J$2989,"&lt;="&amp;EOMONTH(U7,0),'1QF4SM'!$L$6:$L$2989,"Bond Return")+SUMIFS('1UV5KI'!$K$6:$K$2989,'1UV5KI'!$J$6:$J$2989,"&gt;="&amp;U7,'1UV5KI'!$J$6:$J$2989,"&lt;="&amp;EOMONTH(U7,0),'1UV5KI'!$L$6:$L$2989,"Bond Return")+SUMIFS(#REF!,#REF!,"&gt;="&amp;U7,#REF!,"&lt;="&amp;EOMONTH(U7,0),#REF!,"Bond Return")+SUMIFS('1UL9RY'!$K$6:$K$2990,'1UL9RY'!$J$6:$J$2990,"&gt;="&amp;U7,'1UL9RY'!$J$6:$J$2990,"&lt;="&amp;EOMONTH(U7,0),'1UL9RY'!$L$6:$L$2990,"Bond Return")+SUMIFS('1OZ7GT'!$K$6:$K$2989,'1OZ7GT'!$J$6:$J$2989,"&gt;="&amp;U7,'1OZ7GT'!$J$6:$J$2989,"&lt;="&amp;EOMONTH(U7,0),'1OZ7GT'!$L$6:$L$2989,"Bond Return")+SUMIFS('1CN8DD'!$K$6:$K$2989,'1CN8DD'!$J$6:$J$2989,"&gt;="&amp;U7,'1CN8DD'!$J$6:$J$2989,"&lt;="&amp;EOMONTH(U7,0),'1CN8DD'!$L$6:$L$2989,"Bond Return")+SUMIFS('1UT9BR'!$K$6:$K$2990,'1UT9BR'!$J$6:$J$2990,"&gt;="&amp;U7,'1UT9BR'!$J$6:$J$2990,"&lt;="&amp;EOMONTH(U7,0),'1UT9BR'!$L$6:$L$2990,"Bond Return")+SUMIFS('1MK4UR'!$K$6:$K$2990,'1MK4UR'!$J$6:$J$2990,"&gt;="&amp;U7,'1MK4UR'!$J$6:$J$2990,"&lt;="&amp;EOMONTH(U7,0),'1MK4UR'!$L$6:$L$2990,"Bond Return")+SUMIFS(#REF!,#REF!,"&gt;="&amp;U7,#REF!,"&lt;="&amp;EOMONTH(U7,0),#REF!,"Bond Return")+SUMIFS('1JI2UE'!$K$6:$K$2989,'1JI2UE'!$J$6:$J$2989,"&gt;="&amp;U7,'1JI2UE'!$J$6:$J$2989,"&lt;="&amp;EOMONTH(U7,0),'1JI2UE'!$L$6:$L$2989,"Bond Return")+SUMIFS(#REF!,#REF!,"&gt;="&amp;U7,#REF!,"&lt;="&amp;EOMONTH(U7,0),#REF!,"Bond Return")+SUMIFS('1SI9BW'!$K$6:$K$2989,'1SI9BW'!$J$6:$J$2989,"&gt;="&amp;U7,'1SI9BW'!$J$6:$J$2989,"&lt;="&amp;EOMONTH(U7,0),'1SI9BW'!$L$6:$L$2989,"Bond Return")+SUMIFS(Suzuki!$K$6:$K$2989,Suzuki!$J$6:$J$2989,"&gt;="&amp;U7,Suzuki!$J$6:$J$2989,"&lt;="&amp;EOMONTH(U7,0),Suzuki!$L$6:$L$2989,"Bond Return")+SUMIFS('1SK3DD'!$K$6:$K$2989,'1SK3DD'!$J$6:$J$2989,"&gt;="&amp;U7,'1SK3DD'!$J$6:$J$2989,"&lt;="&amp;EOMONTH(U7,0),'1SK3DD'!$L$6:$L$2989,"Bond Return")+SUMIFS('1SX5TQ'!$K$6:$K$2989,'1SX5TQ'!$J$6:$J$2989,"&gt;="&amp;U7,'1SX5TQ'!$J$6:$J$2989,"&lt;="&amp;EOMONTH(U7,0),'1SX5TQ'!$L$6:$L$2989,"Bond Return")+SUMIFS('BMM465'!$K$6:$K$2989,'BMM465'!$J$6:$J$2989,"&gt;="&amp;U7,'BMM465'!$J$6:$J$2989,"&lt;="&amp;EOMONTH(U7,0),'BMM465'!$L$6:$L$2989,"Bond Return")+SUMIFS('1CF1ZO'!$K$6:$K$2989,'1CF1ZO'!$J$6:$J$2989,"&gt;="&amp;U7,'1CF1ZO'!$J$6:$J$2989,"&lt;="&amp;EOMONTH(U7,0),'1CF1ZO'!$L$6:$L$2989,"Bond Return")+SUMIFS('1UK1BK'!$K$6:$K$2989,'1UK1BK'!$J$6:$J$2989,"&gt;="&amp;U7,'1UK1BK'!$J$6:$J$2989,"&lt;="&amp;EOMONTH(U7,0),'1UK1BK'!$L$6:$L$2989,"Bond Return"))))</f>
        <v>#REF!</v>
      </c>
      <c r="V42" s="2" t="e">
        <f>SUMIFS('CEI565'!$D$6:$D$2994,'CEI565'!$E$6:$E$2994,"&gt;="&amp;V7,'CEI565'!$E$6:$E$2994,"&lt;="&amp;EOMONTH(V7,0),'CEI565'!$F$6:$F$2994,"Bond Received")+SUMIFS('1SM3VL'!$D$6:$D$2989,'1SM3VL'!$E$6:$E$2989,"&gt;="&amp;V7,'1SM3VL'!$E$6:$E$2989,"&lt;="&amp;EOMONTH(V7,0),'1SM3VL'!$F$6:$F$2989,"Bond Received")+SUMIFS('1QF4SM'!$D$6:$D$2989,'1QF4SM'!$E$6:$E$2989,"&gt;="&amp;V7,'1QF4SM'!$E$6:$E$2989,"&lt;="&amp;EOMONTH(V7,0),'1QF4SM'!$F$6:$F$2989,"Bond Received")+SUMIFS('1UV5KI'!$D$6:$D$2988,'1UV5KI'!$E$6:$E$2988,"&gt;="&amp;V7,'1UV5KI'!$E$6:$E$2988,"&lt;="&amp;EOMONTH(V7,0),'1UV5KI'!$F$6:$F$2988,"Bond Received")+SUMIFS(#REF!,#REF!,"&gt;="&amp;V7,#REF!,"&lt;="&amp;EOMONTH(V7,0),#REF!,"Bond Received")+SUMIFS('1UL9RY'!$D$6:$D$2989,'1UL9RY'!$E$6:$E$2989,"&gt;="&amp;V7,'1UL9RY'!$E$6:$E$2989,"&lt;="&amp;EOMONTH(V7,0),'1UL9RY'!$F$6:$F$2989,"Bond Received")+SUMIFS('1OZ7GT'!$D$6:$D$2989,'1OZ7GT'!$E$6:$E$2989,"&gt;="&amp;V7,'1OZ7GT'!$E$6:$E$2989,"&lt;="&amp;EOMONTH(V7,0),'1OZ7GT'!$F$6:$F$2989,"Bond Received")+SUMIFS('1CN8DD'!$D$6:$D$2989,'1CN8DD'!$E$6:$E$2989,"&gt;="&amp;V7,'1CN8DD'!$E$6:$E$2989,"&lt;="&amp;EOMONTH(V7,0),'1CN8DD'!$F$6:$F$2989,"Bond Received")+SUMIFS('1UT9BR'!$D$6:$D$2989,'1UT9BR'!$E$6:$E$2989,"&gt;="&amp;V7,'1UT9BR'!$E$6:$E$2989,"&lt;="&amp;EOMONTH(V7,0),'1UT9BR'!$F$6:$F$2989,"Bond Received")+SUMIFS('1MK4UR'!$D$6:$D$2989,'1MK4UR'!$E$6:$E$2989,"&gt;="&amp;V7,'1MK4UR'!$E$6:$E$2989,"&lt;="&amp;EOMONTH(V7,0),'1MK4UR'!$F$6:$F$2989,"Bond Received")+SUMIFS(#REF!,#REF!,"&gt;="&amp;V7,#REF!,"&lt;="&amp;EOMONTH(V7,0),#REF!,"Bond Received")+SUMIFS('1JI2UE'!$D$6:$D$2989,'1JI2UE'!$E$6:$E$2989,"&gt;="&amp;V7,'1JI2UE'!$E$6:$E$2989,"&lt;="&amp;EOMONTH(V7,0),'1JI2UE'!$F$6:$F$2989,"Bond Received")+SUMIFS(#REF!,#REF!,"&gt;="&amp;V7,#REF!,"&lt;="&amp;EOMONTH(V7,0),#REF!,"Bond Received")+SUMIFS('1SI9BW'!$D$6:$D$2989,'1SI9BW'!$E$6:$E$2989,"&gt;="&amp;V7,'1SI9BW'!$E$6:$E$2989,"&lt;="&amp;EOMONTH(V7,0),'1SI9BW'!$F$6:$F$2989,"Bond Received")+SUMIFS(Suzuki!$D$6:$D$2989,Suzuki!$E$6:$E$2989,"&gt;="&amp;V7,Suzuki!$E$6:$E$2989,"&lt;="&amp;EOMONTH(V7,0),Suzuki!$F$6:$F$2989,"Bond Received")+SUMIFS('1SK3DD'!$D$6:$D$2989,'1SK3DD'!$E$6:$E$2989,"&gt;="&amp;V7,'1SK3DD'!$E$6:$E$2989,"&lt;="&amp;EOMONTH(V7,0),'1SK3DD'!$F$6:$F$2989,"Bond Received")+SUMIFS('1SX5TQ'!$D$6:$D$2989,'1SX5TQ'!$E$6:$E$2989,"&gt;="&amp;V7,'1SX5TQ'!$E$6:$E$2989,"&lt;="&amp;EOMONTH(V7,0),'1SX5TQ'!$F$6:$F$2989,"Bond Received")+SUMIFS('BMM465'!$D$6:$D$2989,'BMM465'!$E$6:$E$2989,"&gt;="&amp;V7,'BMM465'!$E$6:$E$2989,"&lt;="&amp;EOMONTH(V7,0),'BMM465'!$F$6:$F$2989,"Bond Received")+SUMIFS('1CF1ZO'!$D$6:$D$2989,'1CF1ZO'!$E$6:$E$2989,"&gt;="&amp;V7,'1CF1ZO'!$E$6:$E$2989,"&lt;="&amp;EOMONTH(V7,0),'1CF1ZO'!$F$6:$F$2989,"Bond Received")+SUMIFS('1UK1BK'!$D$6:$D$2989,'1UK1BK'!$E$6:$E$2989,"&gt;="&amp;V7,'1UK1BK'!$E$6:$E$2989,"&lt;="&amp;EOMONTH(V7,0),'1UK1BK'!$F$6:$F$2989,"Bond Received")-(((SUMIFS('CEI565'!$K$6:$K$2990,'CEI565'!$J$6:$J$2990,"&gt;="&amp;V7,'CEI565'!$J$6:$J$2990,"&lt;="&amp;EOMONTH(V7,0),'CEI565'!$L$6:$L$2990,"Bond Return")+SUMIFS('1SM3VL'!$K$6:$K$2990,'1SM3VL'!$J$6:$J$2990,"&gt;="&amp;V7,'1SM3VL'!$J$6:$J$2990,"&lt;="&amp;EOMONTH(V7,0),'1SM3VL'!$L$6:$L$2990,"Bond Return")+SUMIFS('1QF4SM'!$K$6:$K$2989,'1QF4SM'!$J$6:$J$2989,"&gt;="&amp;V7,'1QF4SM'!$J$6:$J$2989,"&lt;="&amp;EOMONTH(V7,0),'1QF4SM'!$L$6:$L$2989,"Bond Return")+SUMIFS('1UV5KI'!$K$6:$K$2989,'1UV5KI'!$J$6:$J$2989,"&gt;="&amp;V7,'1UV5KI'!$J$6:$J$2989,"&lt;="&amp;EOMONTH(V7,0),'1UV5KI'!$L$6:$L$2989,"Bond Return")+SUMIFS(#REF!,#REF!,"&gt;="&amp;V7,#REF!,"&lt;="&amp;EOMONTH(V7,0),#REF!,"Bond Return")+SUMIFS('1UL9RY'!$K$6:$K$2990,'1UL9RY'!$J$6:$J$2990,"&gt;="&amp;V7,'1UL9RY'!$J$6:$J$2990,"&lt;="&amp;EOMONTH(V7,0),'1UL9RY'!$L$6:$L$2990,"Bond Return")+SUMIFS('1OZ7GT'!$K$6:$K$2989,'1OZ7GT'!$J$6:$J$2989,"&gt;="&amp;V7,'1OZ7GT'!$J$6:$J$2989,"&lt;="&amp;EOMONTH(V7,0),'1OZ7GT'!$L$6:$L$2989,"Bond Return")+SUMIFS('1CN8DD'!$K$6:$K$2989,'1CN8DD'!$J$6:$J$2989,"&gt;="&amp;V7,'1CN8DD'!$J$6:$J$2989,"&lt;="&amp;EOMONTH(V7,0),'1CN8DD'!$L$6:$L$2989,"Bond Return")+SUMIFS('1UT9BR'!$K$6:$K$2990,'1UT9BR'!$J$6:$J$2990,"&gt;="&amp;V7,'1UT9BR'!$J$6:$J$2990,"&lt;="&amp;EOMONTH(V7,0),'1UT9BR'!$L$6:$L$2990,"Bond Return")+SUMIFS('1MK4UR'!$K$6:$K$2990,'1MK4UR'!$J$6:$J$2990,"&gt;="&amp;V7,'1MK4UR'!$J$6:$J$2990,"&lt;="&amp;EOMONTH(V7,0),'1MK4UR'!$L$6:$L$2990,"Bond Return")+SUMIFS(#REF!,#REF!,"&gt;="&amp;V7,#REF!,"&lt;="&amp;EOMONTH(V7,0),#REF!,"Bond Return")+SUMIFS('1JI2UE'!$K$6:$K$2989,'1JI2UE'!$J$6:$J$2989,"&gt;="&amp;V7,'1JI2UE'!$J$6:$J$2989,"&lt;="&amp;EOMONTH(V7,0),'1JI2UE'!$L$6:$L$2989,"Bond Return")+SUMIFS(#REF!,#REF!,"&gt;="&amp;V7,#REF!,"&lt;="&amp;EOMONTH(V7,0),#REF!,"Bond Return")+SUMIFS('1SI9BW'!$K$6:$K$2989,'1SI9BW'!$J$6:$J$2989,"&gt;="&amp;V7,'1SI9BW'!$J$6:$J$2989,"&lt;="&amp;EOMONTH(V7,0),'1SI9BW'!$L$6:$L$2989,"Bond Return")+SUMIFS(Suzuki!$K$6:$K$2989,Suzuki!$J$6:$J$2989,"&gt;="&amp;V7,Suzuki!$J$6:$J$2989,"&lt;="&amp;EOMONTH(V7,0),Suzuki!$L$6:$L$2989,"Bond Return")+SUMIFS('1SK3DD'!$K$6:$K$2989,'1SK3DD'!$J$6:$J$2989,"&gt;="&amp;V7,'1SK3DD'!$J$6:$J$2989,"&lt;="&amp;EOMONTH(V7,0),'1SK3DD'!$L$6:$L$2989,"Bond Return")+SUMIFS('1SX5TQ'!$K$6:$K$2989,'1SX5TQ'!$J$6:$J$2989,"&gt;="&amp;V7,'1SX5TQ'!$J$6:$J$2989,"&lt;="&amp;EOMONTH(V7,0),'1SX5TQ'!$L$6:$L$2989,"Bond Return")+SUMIFS('BMM465'!$K$6:$K$2989,'BMM465'!$J$6:$J$2989,"&gt;="&amp;V7,'BMM465'!$J$6:$J$2989,"&lt;="&amp;EOMONTH(V7,0),'BMM465'!$L$6:$L$2989,"Bond Return")+SUMIFS('1CF1ZO'!$K$6:$K$2989,'1CF1ZO'!$J$6:$J$2989,"&gt;="&amp;V7,'1CF1ZO'!$J$6:$J$2989,"&lt;="&amp;EOMONTH(V7,0),'1CF1ZO'!$L$6:$L$2989,"Bond Return")+SUMIFS('1UK1BK'!$K$6:$K$2989,'1UK1BK'!$J$6:$J$2989,"&gt;="&amp;V7,'1UK1BK'!$J$6:$J$2989,"&lt;="&amp;EOMONTH(V7,0),'1UK1BK'!$L$6:$L$2989,"Bond Return"))))</f>
        <v>#REF!</v>
      </c>
      <c r="W42" s="2" t="e">
        <f>SUMIFS('CEI565'!$D$6:$D$2994,'CEI565'!$E$6:$E$2994,"&gt;="&amp;W7,'CEI565'!$E$6:$E$2994,"&lt;="&amp;EOMONTH(W7,0),'CEI565'!$F$6:$F$2994,"Bond Received")+SUMIFS('1SM3VL'!$D$6:$D$2989,'1SM3VL'!$E$6:$E$2989,"&gt;="&amp;W7,'1SM3VL'!$E$6:$E$2989,"&lt;="&amp;EOMONTH(W7,0),'1SM3VL'!$F$6:$F$2989,"Bond Received")+SUMIFS('1QF4SM'!$D$6:$D$2989,'1QF4SM'!$E$6:$E$2989,"&gt;="&amp;W7,'1QF4SM'!$E$6:$E$2989,"&lt;="&amp;EOMONTH(W7,0),'1QF4SM'!$F$6:$F$2989,"Bond Received")+SUMIFS('1UV5KI'!$D$6:$D$2988,'1UV5KI'!$E$6:$E$2988,"&gt;="&amp;W7,'1UV5KI'!$E$6:$E$2988,"&lt;="&amp;EOMONTH(W7,0),'1UV5KI'!$F$6:$F$2988,"Bond Received")+SUMIFS(#REF!,#REF!,"&gt;="&amp;W7,#REF!,"&lt;="&amp;EOMONTH(W7,0),#REF!,"Bond Received")+SUMIFS('1UL9RY'!$D$6:$D$2989,'1UL9RY'!$E$6:$E$2989,"&gt;="&amp;W7,'1UL9RY'!$E$6:$E$2989,"&lt;="&amp;EOMONTH(W7,0),'1UL9RY'!$F$6:$F$2989,"Bond Received")+SUMIFS('1OZ7GT'!$D$6:$D$2989,'1OZ7GT'!$E$6:$E$2989,"&gt;="&amp;W7,'1OZ7GT'!$E$6:$E$2989,"&lt;="&amp;EOMONTH(W7,0),'1OZ7GT'!$F$6:$F$2989,"Bond Received")+SUMIFS('1CN8DD'!$D$6:$D$2989,'1CN8DD'!$E$6:$E$2989,"&gt;="&amp;W7,'1CN8DD'!$E$6:$E$2989,"&lt;="&amp;EOMONTH(W7,0),'1CN8DD'!$F$6:$F$2989,"Bond Received")+SUMIFS('1UT9BR'!$D$6:$D$2989,'1UT9BR'!$E$6:$E$2989,"&gt;="&amp;W7,'1UT9BR'!$E$6:$E$2989,"&lt;="&amp;EOMONTH(W7,0),'1UT9BR'!$F$6:$F$2989,"Bond Received")+SUMIFS('1MK4UR'!$D$6:$D$2989,'1MK4UR'!$E$6:$E$2989,"&gt;="&amp;W7,'1MK4UR'!$E$6:$E$2989,"&lt;="&amp;EOMONTH(W7,0),'1MK4UR'!$F$6:$F$2989,"Bond Received")+SUMIFS(#REF!,#REF!,"&gt;="&amp;W7,#REF!,"&lt;="&amp;EOMONTH(W7,0),#REF!,"Bond Received")+SUMIFS('1JI2UE'!$D$6:$D$2989,'1JI2UE'!$E$6:$E$2989,"&gt;="&amp;W7,'1JI2UE'!$E$6:$E$2989,"&lt;="&amp;EOMONTH(W7,0),'1JI2UE'!$F$6:$F$2989,"Bond Received")+SUMIFS(#REF!,#REF!,"&gt;="&amp;W7,#REF!,"&lt;="&amp;EOMONTH(W7,0),#REF!,"Bond Received")+SUMIFS('1SI9BW'!$D$6:$D$2989,'1SI9BW'!$E$6:$E$2989,"&gt;="&amp;W7,'1SI9BW'!$E$6:$E$2989,"&lt;="&amp;EOMONTH(W7,0),'1SI9BW'!$F$6:$F$2989,"Bond Received")+SUMIFS(Suzuki!$D$6:$D$2989,Suzuki!$E$6:$E$2989,"&gt;="&amp;W7,Suzuki!$E$6:$E$2989,"&lt;="&amp;EOMONTH(W7,0),Suzuki!$F$6:$F$2989,"Bond Received")+SUMIFS('1SK3DD'!$D$6:$D$2989,'1SK3DD'!$E$6:$E$2989,"&gt;="&amp;W7,'1SK3DD'!$E$6:$E$2989,"&lt;="&amp;EOMONTH(W7,0),'1SK3DD'!$F$6:$F$2989,"Bond Received")+SUMIFS('1SX5TQ'!$D$6:$D$2989,'1SX5TQ'!$E$6:$E$2989,"&gt;="&amp;W7,'1SX5TQ'!$E$6:$E$2989,"&lt;="&amp;EOMONTH(W7,0),'1SX5TQ'!$F$6:$F$2989,"Bond Received")+SUMIFS('BMM465'!$D$6:$D$2989,'BMM465'!$E$6:$E$2989,"&gt;="&amp;W7,'BMM465'!$E$6:$E$2989,"&lt;="&amp;EOMONTH(W7,0),'BMM465'!$F$6:$F$2989,"Bond Received")+SUMIFS('1CF1ZO'!$D$6:$D$2989,'1CF1ZO'!$E$6:$E$2989,"&gt;="&amp;W7,'1CF1ZO'!$E$6:$E$2989,"&lt;="&amp;EOMONTH(W7,0),'1CF1ZO'!$F$6:$F$2989,"Bond Received")+SUMIFS('1UK1BK'!$D$6:$D$2989,'1UK1BK'!$E$6:$E$2989,"&gt;="&amp;W7,'1UK1BK'!$E$6:$E$2989,"&lt;="&amp;EOMONTH(W7,0),'1UK1BK'!$F$6:$F$2989,"Bond Received")-(((SUMIFS('CEI565'!$K$6:$K$2990,'CEI565'!$J$6:$J$2990,"&gt;="&amp;W7,'CEI565'!$J$6:$J$2990,"&lt;="&amp;EOMONTH(W7,0),'CEI565'!$L$6:$L$2990,"Bond Return")+SUMIFS('1SM3VL'!$K$6:$K$2990,'1SM3VL'!$J$6:$J$2990,"&gt;="&amp;W7,'1SM3VL'!$J$6:$J$2990,"&lt;="&amp;EOMONTH(W7,0),'1SM3VL'!$L$6:$L$2990,"Bond Return")+SUMIFS('1QF4SM'!$K$6:$K$2989,'1QF4SM'!$J$6:$J$2989,"&gt;="&amp;W7,'1QF4SM'!$J$6:$J$2989,"&lt;="&amp;EOMONTH(W7,0),'1QF4SM'!$L$6:$L$2989,"Bond Return")+SUMIFS('1UV5KI'!$K$6:$K$2989,'1UV5KI'!$J$6:$J$2989,"&gt;="&amp;W7,'1UV5KI'!$J$6:$J$2989,"&lt;="&amp;EOMONTH(W7,0),'1UV5KI'!$L$6:$L$2989,"Bond Return")+SUMIFS(#REF!,#REF!,"&gt;="&amp;W7,#REF!,"&lt;="&amp;EOMONTH(W7,0),#REF!,"Bond Return")+SUMIFS('1UL9RY'!$K$6:$K$2990,'1UL9RY'!$J$6:$J$2990,"&gt;="&amp;W7,'1UL9RY'!$J$6:$J$2990,"&lt;="&amp;EOMONTH(W7,0),'1UL9RY'!$L$6:$L$2990,"Bond Return")+SUMIFS('1OZ7GT'!$K$6:$K$2989,'1OZ7GT'!$J$6:$J$2989,"&gt;="&amp;W7,'1OZ7GT'!$J$6:$J$2989,"&lt;="&amp;EOMONTH(W7,0),'1OZ7GT'!$L$6:$L$2989,"Bond Return")+SUMIFS('1CN8DD'!$K$6:$K$2989,'1CN8DD'!$J$6:$J$2989,"&gt;="&amp;W7,'1CN8DD'!$J$6:$J$2989,"&lt;="&amp;EOMONTH(W7,0),'1CN8DD'!$L$6:$L$2989,"Bond Return")+SUMIFS('1UT9BR'!$K$6:$K$2990,'1UT9BR'!$J$6:$J$2990,"&gt;="&amp;W7,'1UT9BR'!$J$6:$J$2990,"&lt;="&amp;EOMONTH(W7,0),'1UT9BR'!$L$6:$L$2990,"Bond Return")+SUMIFS('1MK4UR'!$K$6:$K$2990,'1MK4UR'!$J$6:$J$2990,"&gt;="&amp;W7,'1MK4UR'!$J$6:$J$2990,"&lt;="&amp;EOMONTH(W7,0),'1MK4UR'!$L$6:$L$2990,"Bond Return")+SUMIFS(#REF!,#REF!,"&gt;="&amp;W7,#REF!,"&lt;="&amp;EOMONTH(W7,0),#REF!,"Bond Return")+SUMIFS('1JI2UE'!$K$6:$K$2989,'1JI2UE'!$J$6:$J$2989,"&gt;="&amp;W7,'1JI2UE'!$J$6:$J$2989,"&lt;="&amp;EOMONTH(W7,0),'1JI2UE'!$L$6:$L$2989,"Bond Return")+SUMIFS(#REF!,#REF!,"&gt;="&amp;W7,#REF!,"&lt;="&amp;EOMONTH(W7,0),#REF!,"Bond Return")+SUMIFS('1SI9BW'!$K$6:$K$2989,'1SI9BW'!$J$6:$J$2989,"&gt;="&amp;W7,'1SI9BW'!$J$6:$J$2989,"&lt;="&amp;EOMONTH(W7,0),'1SI9BW'!$L$6:$L$2989,"Bond Return")+SUMIFS(Suzuki!$K$6:$K$2989,Suzuki!$J$6:$J$2989,"&gt;="&amp;W7,Suzuki!$J$6:$J$2989,"&lt;="&amp;EOMONTH(W7,0),Suzuki!$L$6:$L$2989,"Bond Return")+SUMIFS('1SK3DD'!$K$6:$K$2989,'1SK3DD'!$J$6:$J$2989,"&gt;="&amp;W7,'1SK3DD'!$J$6:$J$2989,"&lt;="&amp;EOMONTH(W7,0),'1SK3DD'!$L$6:$L$2989,"Bond Return")+SUMIFS('1SX5TQ'!$K$6:$K$2989,'1SX5TQ'!$J$6:$J$2989,"&gt;="&amp;W7,'1SX5TQ'!$J$6:$J$2989,"&lt;="&amp;EOMONTH(W7,0),'1SX5TQ'!$L$6:$L$2989,"Bond Return")+SUMIFS('BMM465'!$K$6:$K$2989,'BMM465'!$J$6:$J$2989,"&gt;="&amp;W7,'BMM465'!$J$6:$J$2989,"&lt;="&amp;EOMONTH(W7,0),'BMM465'!$L$6:$L$2989,"Bond Return")+SUMIFS('1CF1ZO'!$K$6:$K$2989,'1CF1ZO'!$J$6:$J$2989,"&gt;="&amp;W7,'1CF1ZO'!$J$6:$J$2989,"&lt;="&amp;EOMONTH(W7,0),'1CF1ZO'!$L$6:$L$2989,"Bond Return")+SUMIFS('1UK1BK'!$K$6:$K$2989,'1UK1BK'!$J$6:$J$2989,"&gt;="&amp;W7,'1UK1BK'!$J$6:$J$2989,"&lt;="&amp;EOMONTH(W7,0),'1UK1BK'!$L$6:$L$2989,"Bond Return"))))</f>
        <v>#REF!</v>
      </c>
      <c r="X42" s="2" t="e">
        <f>SUMIFS('CEI565'!$D$6:$D$2994,'CEI565'!$E$6:$E$2994,"&gt;="&amp;X7,'CEI565'!$E$6:$E$2994,"&lt;="&amp;EOMONTH(X7,0),'CEI565'!$F$6:$F$2994,"Bond Received")+SUMIFS('1SM3VL'!$D$6:$D$2989,'1SM3VL'!$E$6:$E$2989,"&gt;="&amp;X7,'1SM3VL'!$E$6:$E$2989,"&lt;="&amp;EOMONTH(X7,0),'1SM3VL'!$F$6:$F$2989,"Bond Received")+SUMIFS('1QF4SM'!$D$6:$D$2989,'1QF4SM'!$E$6:$E$2989,"&gt;="&amp;X7,'1QF4SM'!$E$6:$E$2989,"&lt;="&amp;EOMONTH(X7,0),'1QF4SM'!$F$6:$F$2989,"Bond Received")+SUMIFS('1UV5KI'!$D$6:$D$2988,'1UV5KI'!$E$6:$E$2988,"&gt;="&amp;X7,'1UV5KI'!$E$6:$E$2988,"&lt;="&amp;EOMONTH(X7,0),'1UV5KI'!$F$6:$F$2988,"Bond Received")+SUMIFS(#REF!,#REF!,"&gt;="&amp;X7,#REF!,"&lt;="&amp;EOMONTH(X7,0),#REF!,"Bond Received")+SUMIFS('1UL9RY'!$D$6:$D$2989,'1UL9RY'!$E$6:$E$2989,"&gt;="&amp;X7,'1UL9RY'!$E$6:$E$2989,"&lt;="&amp;EOMONTH(X7,0),'1UL9RY'!$F$6:$F$2989,"Bond Received")+SUMIFS('1OZ7GT'!$D$6:$D$2989,'1OZ7GT'!$E$6:$E$2989,"&gt;="&amp;X7,'1OZ7GT'!$E$6:$E$2989,"&lt;="&amp;EOMONTH(X7,0),'1OZ7GT'!$F$6:$F$2989,"Bond Received")+SUMIFS('1CN8DD'!$D$6:$D$2989,'1CN8DD'!$E$6:$E$2989,"&gt;="&amp;X7,'1CN8DD'!$E$6:$E$2989,"&lt;="&amp;EOMONTH(X7,0),'1CN8DD'!$F$6:$F$2989,"Bond Received")+SUMIFS('1UT9BR'!$D$6:$D$2989,'1UT9BR'!$E$6:$E$2989,"&gt;="&amp;X7,'1UT9BR'!$E$6:$E$2989,"&lt;="&amp;EOMONTH(X7,0),'1UT9BR'!$F$6:$F$2989,"Bond Received")+SUMIFS('1MK4UR'!$D$6:$D$2989,'1MK4UR'!$E$6:$E$2989,"&gt;="&amp;X7,'1MK4UR'!$E$6:$E$2989,"&lt;="&amp;EOMONTH(X7,0),'1MK4UR'!$F$6:$F$2989,"Bond Received")+SUMIFS(#REF!,#REF!,"&gt;="&amp;X7,#REF!,"&lt;="&amp;EOMONTH(X7,0),#REF!,"Bond Received")+SUMIFS('1JI2UE'!$D$6:$D$2989,'1JI2UE'!$E$6:$E$2989,"&gt;="&amp;X7,'1JI2UE'!$E$6:$E$2989,"&lt;="&amp;EOMONTH(X7,0),'1JI2UE'!$F$6:$F$2989,"Bond Received")+SUMIFS(#REF!,#REF!,"&gt;="&amp;X7,#REF!,"&lt;="&amp;EOMONTH(X7,0),#REF!,"Bond Received")+SUMIFS('1SI9BW'!$D$6:$D$2989,'1SI9BW'!$E$6:$E$2989,"&gt;="&amp;X7,'1SI9BW'!$E$6:$E$2989,"&lt;="&amp;EOMONTH(X7,0),'1SI9BW'!$F$6:$F$2989,"Bond Received")+SUMIFS(Suzuki!$D$6:$D$2989,Suzuki!$E$6:$E$2989,"&gt;="&amp;X7,Suzuki!$E$6:$E$2989,"&lt;="&amp;EOMONTH(X7,0),Suzuki!$F$6:$F$2989,"Bond Received")+SUMIFS('1SK3DD'!$D$6:$D$2989,'1SK3DD'!$E$6:$E$2989,"&gt;="&amp;X7,'1SK3DD'!$E$6:$E$2989,"&lt;="&amp;EOMONTH(X7,0),'1SK3DD'!$F$6:$F$2989,"Bond Received")+SUMIFS('1SX5TQ'!$D$6:$D$2989,'1SX5TQ'!$E$6:$E$2989,"&gt;="&amp;X7,'1SX5TQ'!$E$6:$E$2989,"&lt;="&amp;EOMONTH(X7,0),'1SX5TQ'!$F$6:$F$2989,"Bond Received")+SUMIFS('BMM465'!$D$6:$D$2989,'BMM465'!$E$6:$E$2989,"&gt;="&amp;X7,'BMM465'!$E$6:$E$2989,"&lt;="&amp;EOMONTH(X7,0),'BMM465'!$F$6:$F$2989,"Bond Received")+SUMIFS('1CF1ZO'!$D$6:$D$2989,'1CF1ZO'!$E$6:$E$2989,"&gt;="&amp;X7,'1CF1ZO'!$E$6:$E$2989,"&lt;="&amp;EOMONTH(X7,0),'1CF1ZO'!$F$6:$F$2989,"Bond Received")+SUMIFS('1UK1BK'!$D$6:$D$2989,'1UK1BK'!$E$6:$E$2989,"&gt;="&amp;X7,'1UK1BK'!$E$6:$E$2989,"&lt;="&amp;EOMONTH(X7,0),'1UK1BK'!$F$6:$F$2989,"Bond Received")-(((SUMIFS('CEI565'!$K$6:$K$2990,'CEI565'!$J$6:$J$2990,"&gt;="&amp;X7,'CEI565'!$J$6:$J$2990,"&lt;="&amp;EOMONTH(X7,0),'CEI565'!$L$6:$L$2990,"Bond Return")+SUMIFS('1SM3VL'!$K$6:$K$2990,'1SM3VL'!$J$6:$J$2990,"&gt;="&amp;X7,'1SM3VL'!$J$6:$J$2990,"&lt;="&amp;EOMONTH(X7,0),'1SM3VL'!$L$6:$L$2990,"Bond Return")+SUMIFS('1QF4SM'!$K$6:$K$2989,'1QF4SM'!$J$6:$J$2989,"&gt;="&amp;X7,'1QF4SM'!$J$6:$J$2989,"&lt;="&amp;EOMONTH(X7,0),'1QF4SM'!$L$6:$L$2989,"Bond Return")+SUMIFS('1UV5KI'!$K$6:$K$2989,'1UV5KI'!$J$6:$J$2989,"&gt;="&amp;X7,'1UV5KI'!$J$6:$J$2989,"&lt;="&amp;EOMONTH(X7,0),'1UV5KI'!$L$6:$L$2989,"Bond Return")+SUMIFS(#REF!,#REF!,"&gt;="&amp;X7,#REF!,"&lt;="&amp;EOMONTH(X7,0),#REF!,"Bond Return")+SUMIFS('1UL9RY'!$K$6:$K$2990,'1UL9RY'!$J$6:$J$2990,"&gt;="&amp;X7,'1UL9RY'!$J$6:$J$2990,"&lt;="&amp;EOMONTH(X7,0),'1UL9RY'!$L$6:$L$2990,"Bond Return")+SUMIFS('1OZ7GT'!$K$6:$K$2989,'1OZ7GT'!$J$6:$J$2989,"&gt;="&amp;X7,'1OZ7GT'!$J$6:$J$2989,"&lt;="&amp;EOMONTH(X7,0),'1OZ7GT'!$L$6:$L$2989,"Bond Return")+SUMIFS('1CN8DD'!$K$6:$K$2989,'1CN8DD'!$J$6:$J$2989,"&gt;="&amp;X7,'1CN8DD'!$J$6:$J$2989,"&lt;="&amp;EOMONTH(X7,0),'1CN8DD'!$L$6:$L$2989,"Bond Return")+SUMIFS('1UT9BR'!$K$6:$K$2990,'1UT9BR'!$J$6:$J$2990,"&gt;="&amp;X7,'1UT9BR'!$J$6:$J$2990,"&lt;="&amp;EOMONTH(X7,0),'1UT9BR'!$L$6:$L$2990,"Bond Return")+SUMIFS('1MK4UR'!$K$6:$K$2990,'1MK4UR'!$J$6:$J$2990,"&gt;="&amp;X7,'1MK4UR'!$J$6:$J$2990,"&lt;="&amp;EOMONTH(X7,0),'1MK4UR'!$L$6:$L$2990,"Bond Return")+SUMIFS(#REF!,#REF!,"&gt;="&amp;X7,#REF!,"&lt;="&amp;EOMONTH(X7,0),#REF!,"Bond Return")+SUMIFS('1JI2UE'!$K$6:$K$2989,'1JI2UE'!$J$6:$J$2989,"&gt;="&amp;X7,'1JI2UE'!$J$6:$J$2989,"&lt;="&amp;EOMONTH(X7,0),'1JI2UE'!$L$6:$L$2989,"Bond Return")+SUMIFS(#REF!,#REF!,"&gt;="&amp;X7,#REF!,"&lt;="&amp;EOMONTH(X7,0),#REF!,"Bond Return")+SUMIFS('1SI9BW'!$K$6:$K$2989,'1SI9BW'!$J$6:$J$2989,"&gt;="&amp;X7,'1SI9BW'!$J$6:$J$2989,"&lt;="&amp;EOMONTH(X7,0),'1SI9BW'!$L$6:$L$2989,"Bond Return")+SUMIFS(Suzuki!$K$6:$K$2989,Suzuki!$J$6:$J$2989,"&gt;="&amp;X7,Suzuki!$J$6:$J$2989,"&lt;="&amp;EOMONTH(X7,0),Suzuki!$L$6:$L$2989,"Bond Return")+SUMIFS('1SK3DD'!$K$6:$K$2989,'1SK3DD'!$J$6:$J$2989,"&gt;="&amp;X7,'1SK3DD'!$J$6:$J$2989,"&lt;="&amp;EOMONTH(X7,0),'1SK3DD'!$L$6:$L$2989,"Bond Return")+SUMIFS('1SX5TQ'!$K$6:$K$2989,'1SX5TQ'!$J$6:$J$2989,"&gt;="&amp;X7,'1SX5TQ'!$J$6:$J$2989,"&lt;="&amp;EOMONTH(X7,0),'1SX5TQ'!$L$6:$L$2989,"Bond Return")+SUMIFS('BMM465'!$K$6:$K$2989,'BMM465'!$J$6:$J$2989,"&gt;="&amp;X7,'BMM465'!$J$6:$J$2989,"&lt;="&amp;EOMONTH(X7,0),'BMM465'!$L$6:$L$2989,"Bond Return")+SUMIFS('1CF1ZO'!$K$6:$K$2989,'1CF1ZO'!$J$6:$J$2989,"&gt;="&amp;X7,'1CF1ZO'!$J$6:$J$2989,"&lt;="&amp;EOMONTH(X7,0),'1CF1ZO'!$L$6:$L$2989,"Bond Return")+SUMIFS('1UK1BK'!$K$6:$K$2989,'1UK1BK'!$J$6:$J$2989,"&gt;="&amp;X7,'1UK1BK'!$J$6:$J$2989,"&lt;="&amp;EOMONTH(X7,0),'1UK1BK'!$L$6:$L$2989,"Bond Return"))))</f>
        <v>#REF!</v>
      </c>
      <c r="Y42" s="2" t="e">
        <f>SUMIFS('CEI565'!$D$6:$D$2994,'CEI565'!$E$6:$E$2994,"&gt;="&amp;Y7,'CEI565'!$E$6:$E$2994,"&lt;="&amp;EOMONTH(Y7,0),'CEI565'!$F$6:$F$2994,"Bond Received")+SUMIFS('1SM3VL'!$D$6:$D$2989,'1SM3VL'!$E$6:$E$2989,"&gt;="&amp;Y7,'1SM3VL'!$E$6:$E$2989,"&lt;="&amp;EOMONTH(Y7,0),'1SM3VL'!$F$6:$F$2989,"Bond Received")+SUMIFS('1QF4SM'!$D$6:$D$2989,'1QF4SM'!$E$6:$E$2989,"&gt;="&amp;Y7,'1QF4SM'!$E$6:$E$2989,"&lt;="&amp;EOMONTH(Y7,0),'1QF4SM'!$F$6:$F$2989,"Bond Received")+SUMIFS('1UV5KI'!$D$6:$D$2988,'1UV5KI'!$E$6:$E$2988,"&gt;="&amp;Y7,'1UV5KI'!$E$6:$E$2988,"&lt;="&amp;EOMONTH(Y7,0),'1UV5KI'!$F$6:$F$2988,"Bond Received")+SUMIFS(#REF!,#REF!,"&gt;="&amp;Y7,#REF!,"&lt;="&amp;EOMONTH(Y7,0),#REF!,"Bond Received")+SUMIFS('1UL9RY'!$D$6:$D$2989,'1UL9RY'!$E$6:$E$2989,"&gt;="&amp;Y7,'1UL9RY'!$E$6:$E$2989,"&lt;="&amp;EOMONTH(Y7,0),'1UL9RY'!$F$6:$F$2989,"Bond Received")+SUMIFS('1OZ7GT'!$D$6:$D$2989,'1OZ7GT'!$E$6:$E$2989,"&gt;="&amp;Y7,'1OZ7GT'!$E$6:$E$2989,"&lt;="&amp;EOMONTH(Y7,0),'1OZ7GT'!$F$6:$F$2989,"Bond Received")+SUMIFS('1CN8DD'!$D$6:$D$2989,'1CN8DD'!$E$6:$E$2989,"&gt;="&amp;Y7,'1CN8DD'!$E$6:$E$2989,"&lt;="&amp;EOMONTH(Y7,0),'1CN8DD'!$F$6:$F$2989,"Bond Received")+SUMIFS('1UT9BR'!$D$6:$D$2989,'1UT9BR'!$E$6:$E$2989,"&gt;="&amp;Y7,'1UT9BR'!$E$6:$E$2989,"&lt;="&amp;EOMONTH(Y7,0),'1UT9BR'!$F$6:$F$2989,"Bond Received")+SUMIFS('1MK4UR'!$D$6:$D$2989,'1MK4UR'!$E$6:$E$2989,"&gt;="&amp;Y7,'1MK4UR'!$E$6:$E$2989,"&lt;="&amp;EOMONTH(Y7,0),'1MK4UR'!$F$6:$F$2989,"Bond Received")+SUMIFS(#REF!,#REF!,"&gt;="&amp;Y7,#REF!,"&lt;="&amp;EOMONTH(Y7,0),#REF!,"Bond Received")+SUMIFS('1JI2UE'!$D$6:$D$2989,'1JI2UE'!$E$6:$E$2989,"&gt;="&amp;Y7,'1JI2UE'!$E$6:$E$2989,"&lt;="&amp;EOMONTH(Y7,0),'1JI2UE'!$F$6:$F$2989,"Bond Received")+SUMIFS(#REF!,#REF!,"&gt;="&amp;Y7,#REF!,"&lt;="&amp;EOMONTH(Y7,0),#REF!,"Bond Received")+SUMIFS('1SI9BW'!$D$6:$D$2989,'1SI9BW'!$E$6:$E$2989,"&gt;="&amp;Y7,'1SI9BW'!$E$6:$E$2989,"&lt;="&amp;EOMONTH(Y7,0),'1SI9BW'!$F$6:$F$2989,"Bond Received")+SUMIFS(Suzuki!$D$6:$D$2989,Suzuki!$E$6:$E$2989,"&gt;="&amp;Y7,Suzuki!$E$6:$E$2989,"&lt;="&amp;EOMONTH(Y7,0),Suzuki!$F$6:$F$2989,"Bond Received")+SUMIFS('1SK3DD'!$D$6:$D$2989,'1SK3DD'!$E$6:$E$2989,"&gt;="&amp;Y7,'1SK3DD'!$E$6:$E$2989,"&lt;="&amp;EOMONTH(Y7,0),'1SK3DD'!$F$6:$F$2989,"Bond Received")+SUMIFS('1SX5TQ'!$D$6:$D$2989,'1SX5TQ'!$E$6:$E$2989,"&gt;="&amp;Y7,'1SX5TQ'!$E$6:$E$2989,"&lt;="&amp;EOMONTH(Y7,0),'1SX5TQ'!$F$6:$F$2989,"Bond Received")+SUMIFS('BMM465'!$D$6:$D$2989,'BMM465'!$E$6:$E$2989,"&gt;="&amp;Y7,'BMM465'!$E$6:$E$2989,"&lt;="&amp;EOMONTH(Y7,0),'BMM465'!$F$6:$F$2989,"Bond Received")+SUMIFS('1CF1ZO'!$D$6:$D$2989,'1CF1ZO'!$E$6:$E$2989,"&gt;="&amp;Y7,'1CF1ZO'!$E$6:$E$2989,"&lt;="&amp;EOMONTH(Y7,0),'1CF1ZO'!$F$6:$F$2989,"Bond Received")+SUMIFS('1UK1BK'!$D$6:$D$2989,'1UK1BK'!$E$6:$E$2989,"&gt;="&amp;Y7,'1UK1BK'!$E$6:$E$2989,"&lt;="&amp;EOMONTH(Y7,0),'1UK1BK'!$F$6:$F$2989,"Bond Received")-(((SUMIFS('CEI565'!$K$6:$K$2990,'CEI565'!$J$6:$J$2990,"&gt;="&amp;Y7,'CEI565'!$J$6:$J$2990,"&lt;="&amp;EOMONTH(Y7,0),'CEI565'!$L$6:$L$2990,"Bond Return")+SUMIFS('1SM3VL'!$K$6:$K$2990,'1SM3VL'!$J$6:$J$2990,"&gt;="&amp;Y7,'1SM3VL'!$J$6:$J$2990,"&lt;="&amp;EOMONTH(Y7,0),'1SM3VL'!$L$6:$L$2990,"Bond Return")+SUMIFS('1QF4SM'!$K$6:$K$2989,'1QF4SM'!$J$6:$J$2989,"&gt;="&amp;Y7,'1QF4SM'!$J$6:$J$2989,"&lt;="&amp;EOMONTH(Y7,0),'1QF4SM'!$L$6:$L$2989,"Bond Return")+SUMIFS('1UV5KI'!$K$6:$K$2989,'1UV5KI'!$J$6:$J$2989,"&gt;="&amp;Y7,'1UV5KI'!$J$6:$J$2989,"&lt;="&amp;EOMONTH(Y7,0),'1UV5KI'!$L$6:$L$2989,"Bond Return")+SUMIFS(#REF!,#REF!,"&gt;="&amp;Y7,#REF!,"&lt;="&amp;EOMONTH(Y7,0),#REF!,"Bond Return")+SUMIFS('1UL9RY'!$K$6:$K$2990,'1UL9RY'!$J$6:$J$2990,"&gt;="&amp;Y7,'1UL9RY'!$J$6:$J$2990,"&lt;="&amp;EOMONTH(Y7,0),'1UL9RY'!$L$6:$L$2990,"Bond Return")+SUMIFS('1OZ7GT'!$K$6:$K$2989,'1OZ7GT'!$J$6:$J$2989,"&gt;="&amp;Y7,'1OZ7GT'!$J$6:$J$2989,"&lt;="&amp;EOMONTH(Y7,0),'1OZ7GT'!$L$6:$L$2989,"Bond Return")+SUMIFS('1CN8DD'!$K$6:$K$2989,'1CN8DD'!$J$6:$J$2989,"&gt;="&amp;Y7,'1CN8DD'!$J$6:$J$2989,"&lt;="&amp;EOMONTH(Y7,0),'1CN8DD'!$L$6:$L$2989,"Bond Return")+SUMIFS('1UT9BR'!$K$6:$K$2990,'1UT9BR'!$J$6:$J$2990,"&gt;="&amp;Y7,'1UT9BR'!$J$6:$J$2990,"&lt;="&amp;EOMONTH(Y7,0),'1UT9BR'!$L$6:$L$2990,"Bond Return")+SUMIFS('1MK4UR'!$K$6:$K$2990,'1MK4UR'!$J$6:$J$2990,"&gt;="&amp;Y7,'1MK4UR'!$J$6:$J$2990,"&lt;="&amp;EOMONTH(Y7,0),'1MK4UR'!$L$6:$L$2990,"Bond Return")+SUMIFS(#REF!,#REF!,"&gt;="&amp;Y7,#REF!,"&lt;="&amp;EOMONTH(Y7,0),#REF!,"Bond Return")+SUMIFS('1JI2UE'!$K$6:$K$2989,'1JI2UE'!$J$6:$J$2989,"&gt;="&amp;Y7,'1JI2UE'!$J$6:$J$2989,"&lt;="&amp;EOMONTH(Y7,0),'1JI2UE'!$L$6:$L$2989,"Bond Return")+SUMIFS(#REF!,#REF!,"&gt;="&amp;Y7,#REF!,"&lt;="&amp;EOMONTH(Y7,0),#REF!,"Bond Return")+SUMIFS('1SI9BW'!$K$6:$K$2989,'1SI9BW'!$J$6:$J$2989,"&gt;="&amp;Y7,'1SI9BW'!$J$6:$J$2989,"&lt;="&amp;EOMONTH(Y7,0),'1SI9BW'!$L$6:$L$2989,"Bond Return")+SUMIFS(Suzuki!$K$6:$K$2989,Suzuki!$J$6:$J$2989,"&gt;="&amp;Y7,Suzuki!$J$6:$J$2989,"&lt;="&amp;EOMONTH(Y7,0),Suzuki!$L$6:$L$2989,"Bond Return")+SUMIFS('1SK3DD'!$K$6:$K$2989,'1SK3DD'!$J$6:$J$2989,"&gt;="&amp;Y7,'1SK3DD'!$J$6:$J$2989,"&lt;="&amp;EOMONTH(Y7,0),'1SK3DD'!$L$6:$L$2989,"Bond Return")+SUMIFS('1SX5TQ'!$K$6:$K$2989,'1SX5TQ'!$J$6:$J$2989,"&gt;="&amp;Y7,'1SX5TQ'!$J$6:$J$2989,"&lt;="&amp;EOMONTH(Y7,0),'1SX5TQ'!$L$6:$L$2989,"Bond Return")+SUMIFS('BMM465'!$K$6:$K$2989,'BMM465'!$J$6:$J$2989,"&gt;="&amp;Y7,'BMM465'!$J$6:$J$2989,"&lt;="&amp;EOMONTH(Y7,0),'BMM465'!$L$6:$L$2989,"Bond Return")+SUMIFS('1CF1ZO'!$K$6:$K$2989,'1CF1ZO'!$J$6:$J$2989,"&gt;="&amp;Y7,'1CF1ZO'!$J$6:$J$2989,"&lt;="&amp;EOMONTH(Y7,0),'1CF1ZO'!$L$6:$L$2989,"Bond Return")+SUMIFS('1UK1BK'!$K$6:$K$2989,'1UK1BK'!$J$6:$J$2989,"&gt;="&amp;Y7,'1UK1BK'!$J$6:$J$2989,"&lt;="&amp;EOMONTH(Y7,0),'1UK1BK'!$L$6:$L$2989,"Bond Return"))))</f>
        <v>#REF!</v>
      </c>
      <c r="Z42" s="2" t="e">
        <f>SUMIFS('CEI565'!$D$6:$D$2994,'CEI565'!$E$6:$E$2994,"&gt;="&amp;Z7,'CEI565'!$E$6:$E$2994,"&lt;="&amp;EOMONTH(Z7,0),'CEI565'!$F$6:$F$2994,"Bond Received")+SUMIFS('1SM3VL'!$D$6:$D$2989,'1SM3VL'!$E$6:$E$2989,"&gt;="&amp;Z7,'1SM3VL'!$E$6:$E$2989,"&lt;="&amp;EOMONTH(Z7,0),'1SM3VL'!$F$6:$F$2989,"Bond Received")+SUMIFS('1QF4SM'!$D$6:$D$2989,'1QF4SM'!$E$6:$E$2989,"&gt;="&amp;Z7,'1QF4SM'!$E$6:$E$2989,"&lt;="&amp;EOMONTH(Z7,0),'1QF4SM'!$F$6:$F$2989,"Bond Received")+SUMIFS('1UV5KI'!$D$6:$D$2988,'1UV5KI'!$E$6:$E$2988,"&gt;="&amp;Z7,'1UV5KI'!$E$6:$E$2988,"&lt;="&amp;EOMONTH(Z7,0),'1UV5KI'!$F$6:$F$2988,"Bond Received")+SUMIFS(#REF!,#REF!,"&gt;="&amp;Z7,#REF!,"&lt;="&amp;EOMONTH(Z7,0),#REF!,"Bond Received")+SUMIFS('1UL9RY'!$D$6:$D$2989,'1UL9RY'!$E$6:$E$2989,"&gt;="&amp;Z7,'1UL9RY'!$E$6:$E$2989,"&lt;="&amp;EOMONTH(Z7,0),'1UL9RY'!$F$6:$F$2989,"Bond Received")+SUMIFS('1OZ7GT'!$D$6:$D$2989,'1OZ7GT'!$E$6:$E$2989,"&gt;="&amp;Z7,'1OZ7GT'!$E$6:$E$2989,"&lt;="&amp;EOMONTH(Z7,0),'1OZ7GT'!$F$6:$F$2989,"Bond Received")+SUMIFS('1CN8DD'!$D$6:$D$2989,'1CN8DD'!$E$6:$E$2989,"&gt;="&amp;Z7,'1CN8DD'!$E$6:$E$2989,"&lt;="&amp;EOMONTH(Z7,0),'1CN8DD'!$F$6:$F$2989,"Bond Received")+SUMIFS('1UT9BR'!$D$6:$D$2989,'1UT9BR'!$E$6:$E$2989,"&gt;="&amp;Z7,'1UT9BR'!$E$6:$E$2989,"&lt;="&amp;EOMONTH(Z7,0),'1UT9BR'!$F$6:$F$2989,"Bond Received")+SUMIFS('1MK4UR'!$D$6:$D$2989,'1MK4UR'!$E$6:$E$2989,"&gt;="&amp;Z7,'1MK4UR'!$E$6:$E$2989,"&lt;="&amp;EOMONTH(Z7,0),'1MK4UR'!$F$6:$F$2989,"Bond Received")+SUMIFS(#REF!,#REF!,"&gt;="&amp;Z7,#REF!,"&lt;="&amp;EOMONTH(Z7,0),#REF!,"Bond Received")+SUMIFS('1JI2UE'!$D$6:$D$2989,'1JI2UE'!$E$6:$E$2989,"&gt;="&amp;Z7,'1JI2UE'!$E$6:$E$2989,"&lt;="&amp;EOMONTH(Z7,0),'1JI2UE'!$F$6:$F$2989,"Bond Received")+SUMIFS(#REF!,#REF!,"&gt;="&amp;Z7,#REF!,"&lt;="&amp;EOMONTH(Z7,0),#REF!,"Bond Received")+SUMIFS('1SI9BW'!$D$6:$D$2989,'1SI9BW'!$E$6:$E$2989,"&gt;="&amp;Z7,'1SI9BW'!$E$6:$E$2989,"&lt;="&amp;EOMONTH(Z7,0),'1SI9BW'!$F$6:$F$2989,"Bond Received")+SUMIFS(Suzuki!$D$6:$D$2989,Suzuki!$E$6:$E$2989,"&gt;="&amp;Z7,Suzuki!$E$6:$E$2989,"&lt;="&amp;EOMONTH(Z7,0),Suzuki!$F$6:$F$2989,"Bond Received")+SUMIFS('1SK3DD'!$D$6:$D$2989,'1SK3DD'!$E$6:$E$2989,"&gt;="&amp;Z7,'1SK3DD'!$E$6:$E$2989,"&lt;="&amp;EOMONTH(Z7,0),'1SK3DD'!$F$6:$F$2989,"Bond Received")+SUMIFS('1SX5TQ'!$D$6:$D$2989,'1SX5TQ'!$E$6:$E$2989,"&gt;="&amp;Z7,'1SX5TQ'!$E$6:$E$2989,"&lt;="&amp;EOMONTH(Z7,0),'1SX5TQ'!$F$6:$F$2989,"Bond Received")+SUMIFS('BMM465'!$D$6:$D$2989,'BMM465'!$E$6:$E$2989,"&gt;="&amp;Z7,'BMM465'!$E$6:$E$2989,"&lt;="&amp;EOMONTH(Z7,0),'BMM465'!$F$6:$F$2989,"Bond Received")+SUMIFS('1CF1ZO'!$D$6:$D$2989,'1CF1ZO'!$E$6:$E$2989,"&gt;="&amp;Z7,'1CF1ZO'!$E$6:$E$2989,"&lt;="&amp;EOMONTH(Z7,0),'1CF1ZO'!$F$6:$F$2989,"Bond Received")+SUMIFS('1UK1BK'!$D$6:$D$2989,'1UK1BK'!$E$6:$E$2989,"&gt;="&amp;Z7,'1UK1BK'!$E$6:$E$2989,"&lt;="&amp;EOMONTH(Z7,0),'1UK1BK'!$F$6:$F$2989,"Bond Received")-(((SUMIFS('CEI565'!$K$6:$K$2990,'CEI565'!$J$6:$J$2990,"&gt;="&amp;Z7,'CEI565'!$J$6:$J$2990,"&lt;="&amp;EOMONTH(Z7,0),'CEI565'!$L$6:$L$2990,"Bond Return")+SUMIFS('1SM3VL'!$K$6:$K$2990,'1SM3VL'!$J$6:$J$2990,"&gt;="&amp;Z7,'1SM3VL'!$J$6:$J$2990,"&lt;="&amp;EOMONTH(Z7,0),'1SM3VL'!$L$6:$L$2990,"Bond Return")+SUMIFS('1QF4SM'!$K$6:$K$2989,'1QF4SM'!$J$6:$J$2989,"&gt;="&amp;Z7,'1QF4SM'!$J$6:$J$2989,"&lt;="&amp;EOMONTH(Z7,0),'1QF4SM'!$L$6:$L$2989,"Bond Return")+SUMIFS('1UV5KI'!$K$6:$K$2989,'1UV5KI'!$J$6:$J$2989,"&gt;="&amp;Z7,'1UV5KI'!$J$6:$J$2989,"&lt;="&amp;EOMONTH(Z7,0),'1UV5KI'!$L$6:$L$2989,"Bond Return")+SUMIFS(#REF!,#REF!,"&gt;="&amp;Z7,#REF!,"&lt;="&amp;EOMONTH(Z7,0),#REF!,"Bond Return")+SUMIFS('1UL9RY'!$K$6:$K$2990,'1UL9RY'!$J$6:$J$2990,"&gt;="&amp;Z7,'1UL9RY'!$J$6:$J$2990,"&lt;="&amp;EOMONTH(Z7,0),'1UL9RY'!$L$6:$L$2990,"Bond Return")+SUMIFS('1OZ7GT'!$K$6:$K$2989,'1OZ7GT'!$J$6:$J$2989,"&gt;="&amp;Z7,'1OZ7GT'!$J$6:$J$2989,"&lt;="&amp;EOMONTH(Z7,0),'1OZ7GT'!$L$6:$L$2989,"Bond Return")+SUMIFS('1CN8DD'!$K$6:$K$2989,'1CN8DD'!$J$6:$J$2989,"&gt;="&amp;Z7,'1CN8DD'!$J$6:$J$2989,"&lt;="&amp;EOMONTH(Z7,0),'1CN8DD'!$L$6:$L$2989,"Bond Return")+SUMIFS('1UT9BR'!$K$6:$K$2990,'1UT9BR'!$J$6:$J$2990,"&gt;="&amp;Z7,'1UT9BR'!$J$6:$J$2990,"&lt;="&amp;EOMONTH(Z7,0),'1UT9BR'!$L$6:$L$2990,"Bond Return")+SUMIFS('1MK4UR'!$K$6:$K$2990,'1MK4UR'!$J$6:$J$2990,"&gt;="&amp;Z7,'1MK4UR'!$J$6:$J$2990,"&lt;="&amp;EOMONTH(Z7,0),'1MK4UR'!$L$6:$L$2990,"Bond Return")+SUMIFS(#REF!,#REF!,"&gt;="&amp;Z7,#REF!,"&lt;="&amp;EOMONTH(Z7,0),#REF!,"Bond Return")+SUMIFS('1JI2UE'!$K$6:$K$2989,'1JI2UE'!$J$6:$J$2989,"&gt;="&amp;Z7,'1JI2UE'!$J$6:$J$2989,"&lt;="&amp;EOMONTH(Z7,0),'1JI2UE'!$L$6:$L$2989,"Bond Return")+SUMIFS(#REF!,#REF!,"&gt;="&amp;Z7,#REF!,"&lt;="&amp;EOMONTH(Z7,0),#REF!,"Bond Return")+SUMIFS('1SI9BW'!$K$6:$K$2989,'1SI9BW'!$J$6:$J$2989,"&gt;="&amp;Z7,'1SI9BW'!$J$6:$J$2989,"&lt;="&amp;EOMONTH(Z7,0),'1SI9BW'!$L$6:$L$2989,"Bond Return")+SUMIFS(Suzuki!$K$6:$K$2989,Suzuki!$J$6:$J$2989,"&gt;="&amp;Z7,Suzuki!$J$6:$J$2989,"&lt;="&amp;EOMONTH(Z7,0),Suzuki!$L$6:$L$2989,"Bond Return")+SUMIFS('1SK3DD'!$K$6:$K$2989,'1SK3DD'!$J$6:$J$2989,"&gt;="&amp;Z7,'1SK3DD'!$J$6:$J$2989,"&lt;="&amp;EOMONTH(Z7,0),'1SK3DD'!$L$6:$L$2989,"Bond Return")+SUMIFS('1SX5TQ'!$K$6:$K$2989,'1SX5TQ'!$J$6:$J$2989,"&gt;="&amp;Z7,'1SX5TQ'!$J$6:$J$2989,"&lt;="&amp;EOMONTH(Z7,0),'1SX5TQ'!$L$6:$L$2989,"Bond Return")+SUMIFS('BMM465'!$K$6:$K$2989,'BMM465'!$J$6:$J$2989,"&gt;="&amp;Z7,'BMM465'!$J$6:$J$2989,"&lt;="&amp;EOMONTH(Z7,0),'BMM465'!$L$6:$L$2989,"Bond Return")+SUMIFS('1CF1ZO'!$K$6:$K$2989,'1CF1ZO'!$J$6:$J$2989,"&gt;="&amp;Z7,'1CF1ZO'!$J$6:$J$2989,"&lt;="&amp;EOMONTH(Z7,0),'1CF1ZO'!$L$6:$L$2989,"Bond Return")+SUMIFS('1UK1BK'!$K$6:$K$2989,'1UK1BK'!$J$6:$J$2989,"&gt;="&amp;Z7,'1UK1BK'!$J$6:$J$2989,"&lt;="&amp;EOMONTH(Z7,0),'1UK1BK'!$L$6:$L$2989,"Bond Return"))))</f>
        <v>#REF!</v>
      </c>
      <c r="AA42" s="2" t="e">
        <f>SUMIFS('CEI565'!$D$6:$D$2994,'CEI565'!$E$6:$E$2994,"&gt;="&amp;AA7,'CEI565'!$E$6:$E$2994,"&lt;="&amp;EOMONTH(AA7,0),'CEI565'!$F$6:$F$2994,"Bond Received")+SUMIFS('1SM3VL'!$D$6:$D$2989,'1SM3VL'!$E$6:$E$2989,"&gt;="&amp;AA7,'1SM3VL'!$E$6:$E$2989,"&lt;="&amp;EOMONTH(AA7,0),'1SM3VL'!$F$6:$F$2989,"Bond Received")+SUMIFS('1QF4SM'!$D$6:$D$2989,'1QF4SM'!$E$6:$E$2989,"&gt;="&amp;AA7,'1QF4SM'!$E$6:$E$2989,"&lt;="&amp;EOMONTH(AA7,0),'1QF4SM'!$F$6:$F$2989,"Bond Received")+SUMIFS('1UV5KI'!$D$6:$D$2988,'1UV5KI'!$E$6:$E$2988,"&gt;="&amp;AA7,'1UV5KI'!$E$6:$E$2988,"&lt;="&amp;EOMONTH(AA7,0),'1UV5KI'!$F$6:$F$2988,"Bond Received")+SUMIFS(#REF!,#REF!,"&gt;="&amp;AA7,#REF!,"&lt;="&amp;EOMONTH(AA7,0),#REF!,"Bond Received")+SUMIFS('1UL9RY'!$D$6:$D$2989,'1UL9RY'!$E$6:$E$2989,"&gt;="&amp;AA7,'1UL9RY'!$E$6:$E$2989,"&lt;="&amp;EOMONTH(AA7,0),'1UL9RY'!$F$6:$F$2989,"Bond Received")+SUMIFS('1OZ7GT'!$D$6:$D$2989,'1OZ7GT'!$E$6:$E$2989,"&gt;="&amp;AA7,'1OZ7GT'!$E$6:$E$2989,"&lt;="&amp;EOMONTH(AA7,0),'1OZ7GT'!$F$6:$F$2989,"Bond Received")+SUMIFS('1CN8DD'!$D$6:$D$2989,'1CN8DD'!$E$6:$E$2989,"&gt;="&amp;AA7,'1CN8DD'!$E$6:$E$2989,"&lt;="&amp;EOMONTH(AA7,0),'1CN8DD'!$F$6:$F$2989,"Bond Received")+SUMIFS('1UT9BR'!$D$6:$D$2989,'1UT9BR'!$E$6:$E$2989,"&gt;="&amp;AA7,'1UT9BR'!$E$6:$E$2989,"&lt;="&amp;EOMONTH(AA7,0),'1UT9BR'!$F$6:$F$2989,"Bond Received")+SUMIFS('1MK4UR'!$D$6:$D$2989,'1MK4UR'!$E$6:$E$2989,"&gt;="&amp;AA7,'1MK4UR'!$E$6:$E$2989,"&lt;="&amp;EOMONTH(AA7,0),'1MK4UR'!$F$6:$F$2989,"Bond Received")+SUMIFS(#REF!,#REF!,"&gt;="&amp;AA7,#REF!,"&lt;="&amp;EOMONTH(AA7,0),#REF!,"Bond Received")+SUMIFS('1JI2UE'!$D$6:$D$2989,'1JI2UE'!$E$6:$E$2989,"&gt;="&amp;AA7,'1JI2UE'!$E$6:$E$2989,"&lt;="&amp;EOMONTH(AA7,0),'1JI2UE'!$F$6:$F$2989,"Bond Received")+SUMIFS(#REF!,#REF!,"&gt;="&amp;AA7,#REF!,"&lt;="&amp;EOMONTH(AA7,0),#REF!,"Bond Received")+SUMIFS('1SI9BW'!$D$6:$D$2989,'1SI9BW'!$E$6:$E$2989,"&gt;="&amp;AA7,'1SI9BW'!$E$6:$E$2989,"&lt;="&amp;EOMONTH(AA7,0),'1SI9BW'!$F$6:$F$2989,"Bond Received")+SUMIFS(Suzuki!$D$6:$D$2989,Suzuki!$E$6:$E$2989,"&gt;="&amp;AA7,Suzuki!$E$6:$E$2989,"&lt;="&amp;EOMONTH(AA7,0),Suzuki!$F$6:$F$2989,"Bond Received")+SUMIFS('1SK3DD'!$D$6:$D$2989,'1SK3DD'!$E$6:$E$2989,"&gt;="&amp;AA7,'1SK3DD'!$E$6:$E$2989,"&lt;="&amp;EOMONTH(AA7,0),'1SK3DD'!$F$6:$F$2989,"Bond Received")+SUMIFS('1SX5TQ'!$D$6:$D$2989,'1SX5TQ'!$E$6:$E$2989,"&gt;="&amp;AA7,'1SX5TQ'!$E$6:$E$2989,"&lt;="&amp;EOMONTH(AA7,0),'1SX5TQ'!$F$6:$F$2989,"Bond Received")+SUMIFS('BMM465'!$D$6:$D$2989,'BMM465'!$E$6:$E$2989,"&gt;="&amp;AA7,'BMM465'!$E$6:$E$2989,"&lt;="&amp;EOMONTH(AA7,0),'BMM465'!$F$6:$F$2989,"Bond Received")+SUMIFS('1CF1ZO'!$D$6:$D$2989,'1CF1ZO'!$E$6:$E$2989,"&gt;="&amp;AA7,'1CF1ZO'!$E$6:$E$2989,"&lt;="&amp;EOMONTH(AA7,0),'1CF1ZO'!$F$6:$F$2989,"Bond Received")+SUMIFS('1UK1BK'!$D$6:$D$2989,'1UK1BK'!$E$6:$E$2989,"&gt;="&amp;AA7,'1UK1BK'!$E$6:$E$2989,"&lt;="&amp;EOMONTH(AA7,0),'1UK1BK'!$F$6:$F$2989,"Bond Received")-(((SUMIFS('CEI565'!$K$6:$K$2990,'CEI565'!$J$6:$J$2990,"&gt;="&amp;AA7,'CEI565'!$J$6:$J$2990,"&lt;="&amp;EOMONTH(AA7,0),'CEI565'!$L$6:$L$2990,"Bond Return")+SUMIFS('1SM3VL'!$K$6:$K$2990,'1SM3VL'!$J$6:$J$2990,"&gt;="&amp;AA7,'1SM3VL'!$J$6:$J$2990,"&lt;="&amp;EOMONTH(AA7,0),'1SM3VL'!$L$6:$L$2990,"Bond Return")+SUMIFS('1QF4SM'!$K$6:$K$2989,'1QF4SM'!$J$6:$J$2989,"&gt;="&amp;AA7,'1QF4SM'!$J$6:$J$2989,"&lt;="&amp;EOMONTH(AA7,0),'1QF4SM'!$L$6:$L$2989,"Bond Return")+SUMIFS('1UV5KI'!$K$6:$K$2989,'1UV5KI'!$J$6:$J$2989,"&gt;="&amp;AA7,'1UV5KI'!$J$6:$J$2989,"&lt;="&amp;EOMONTH(AA7,0),'1UV5KI'!$L$6:$L$2989,"Bond Return")+SUMIFS(#REF!,#REF!,"&gt;="&amp;AA7,#REF!,"&lt;="&amp;EOMONTH(AA7,0),#REF!,"Bond Return")+SUMIFS('1UL9RY'!$K$6:$K$2990,'1UL9RY'!$J$6:$J$2990,"&gt;="&amp;AA7,'1UL9RY'!$J$6:$J$2990,"&lt;="&amp;EOMONTH(AA7,0),'1UL9RY'!$L$6:$L$2990,"Bond Return")+SUMIFS('1OZ7GT'!$K$6:$K$2989,'1OZ7GT'!$J$6:$J$2989,"&gt;="&amp;AA7,'1OZ7GT'!$J$6:$J$2989,"&lt;="&amp;EOMONTH(AA7,0),'1OZ7GT'!$L$6:$L$2989,"Bond Return")+SUMIFS('1CN8DD'!$K$6:$K$2989,'1CN8DD'!$J$6:$J$2989,"&gt;="&amp;AA7,'1CN8DD'!$J$6:$J$2989,"&lt;="&amp;EOMONTH(AA7,0),'1CN8DD'!$L$6:$L$2989,"Bond Return")+SUMIFS('1UT9BR'!$K$6:$K$2990,'1UT9BR'!$J$6:$J$2990,"&gt;="&amp;AA7,'1UT9BR'!$J$6:$J$2990,"&lt;="&amp;EOMONTH(AA7,0),'1UT9BR'!$L$6:$L$2990,"Bond Return")+SUMIFS('1MK4UR'!$K$6:$K$2990,'1MK4UR'!$J$6:$J$2990,"&gt;="&amp;AA7,'1MK4UR'!$J$6:$J$2990,"&lt;="&amp;EOMONTH(AA7,0),'1MK4UR'!$L$6:$L$2990,"Bond Return")+SUMIFS(#REF!,#REF!,"&gt;="&amp;AA7,#REF!,"&lt;="&amp;EOMONTH(AA7,0),#REF!,"Bond Return")+SUMIFS('1JI2UE'!$K$6:$K$2989,'1JI2UE'!$J$6:$J$2989,"&gt;="&amp;AA7,'1JI2UE'!$J$6:$J$2989,"&lt;="&amp;EOMONTH(AA7,0),'1JI2UE'!$L$6:$L$2989,"Bond Return")+SUMIFS(#REF!,#REF!,"&gt;="&amp;AA7,#REF!,"&lt;="&amp;EOMONTH(AA7,0),#REF!,"Bond Return")+SUMIFS('1SI9BW'!$K$6:$K$2989,'1SI9BW'!$J$6:$J$2989,"&gt;="&amp;AA7,'1SI9BW'!$J$6:$J$2989,"&lt;="&amp;EOMONTH(AA7,0),'1SI9BW'!$L$6:$L$2989,"Bond Return")+SUMIFS(Suzuki!$K$6:$K$2989,Suzuki!$J$6:$J$2989,"&gt;="&amp;AA7,Suzuki!$J$6:$J$2989,"&lt;="&amp;EOMONTH(AA7,0),Suzuki!$L$6:$L$2989,"Bond Return")+SUMIFS('1SK3DD'!$K$6:$K$2989,'1SK3DD'!$J$6:$J$2989,"&gt;="&amp;AA7,'1SK3DD'!$J$6:$J$2989,"&lt;="&amp;EOMONTH(AA7,0),'1SK3DD'!$L$6:$L$2989,"Bond Return")+SUMIFS('1SX5TQ'!$K$6:$K$2989,'1SX5TQ'!$J$6:$J$2989,"&gt;="&amp;AA7,'1SX5TQ'!$J$6:$J$2989,"&lt;="&amp;EOMONTH(AA7,0),'1SX5TQ'!$L$6:$L$2989,"Bond Return")+SUMIFS('BMM465'!$K$6:$K$2989,'BMM465'!$J$6:$J$2989,"&gt;="&amp;AA7,'BMM465'!$J$6:$J$2989,"&lt;="&amp;EOMONTH(AA7,0),'BMM465'!$L$6:$L$2989,"Bond Return")+SUMIFS('1CF1ZO'!$K$6:$K$2989,'1CF1ZO'!$J$6:$J$2989,"&gt;="&amp;AA7,'1CF1ZO'!$J$6:$J$2989,"&lt;="&amp;EOMONTH(AA7,0),'1CF1ZO'!$L$6:$L$2989,"Bond Return")+SUMIFS('1UK1BK'!$K$6:$K$2989,'1UK1BK'!$J$6:$J$2989,"&gt;="&amp;AA7,'1UK1BK'!$J$6:$J$2989,"&lt;="&amp;EOMONTH(AA7,0),'1UK1BK'!$L$6:$L$2989,"Bond Return"))))</f>
        <v>#REF!</v>
      </c>
      <c r="AB42" s="2" t="e">
        <f>SUMIFS('CEI565'!$D$6:$D$2994,'CEI565'!$E$6:$E$2994,"&gt;="&amp;AB7,'CEI565'!$E$6:$E$2994,"&lt;="&amp;EOMONTH(AB7,0),'CEI565'!$F$6:$F$2994,"Bond Received")+SUMIFS('1SM3VL'!$D$6:$D$2989,'1SM3VL'!$E$6:$E$2989,"&gt;="&amp;AB7,'1SM3VL'!$E$6:$E$2989,"&lt;="&amp;EOMONTH(AB7,0),'1SM3VL'!$F$6:$F$2989,"Bond Received")+SUMIFS('1QF4SM'!$D$6:$D$2989,'1QF4SM'!$E$6:$E$2989,"&gt;="&amp;AB7,'1QF4SM'!$E$6:$E$2989,"&lt;="&amp;EOMONTH(AB7,0),'1QF4SM'!$F$6:$F$2989,"Bond Received")+SUMIFS('1UV5KI'!$D$6:$D$2988,'1UV5KI'!$E$6:$E$2988,"&gt;="&amp;AB7,'1UV5KI'!$E$6:$E$2988,"&lt;="&amp;EOMONTH(AB7,0),'1UV5KI'!$F$6:$F$2988,"Bond Received")+SUMIFS(#REF!,#REF!,"&gt;="&amp;AB7,#REF!,"&lt;="&amp;EOMONTH(AB7,0),#REF!,"Bond Received")+SUMIFS('1UL9RY'!$D$6:$D$2989,'1UL9RY'!$E$6:$E$2989,"&gt;="&amp;AB7,'1UL9RY'!$E$6:$E$2989,"&lt;="&amp;EOMONTH(AB7,0),'1UL9RY'!$F$6:$F$2989,"Bond Received")+SUMIFS('1OZ7GT'!$D$6:$D$2989,'1OZ7GT'!$E$6:$E$2989,"&gt;="&amp;AB7,'1OZ7GT'!$E$6:$E$2989,"&lt;="&amp;EOMONTH(AB7,0),'1OZ7GT'!$F$6:$F$2989,"Bond Received")+SUMIFS('1CN8DD'!$D$6:$D$2989,'1CN8DD'!$E$6:$E$2989,"&gt;="&amp;AB7,'1CN8DD'!$E$6:$E$2989,"&lt;="&amp;EOMONTH(AB7,0),'1CN8DD'!$F$6:$F$2989,"Bond Received")+SUMIFS('1UT9BR'!$D$6:$D$2989,'1UT9BR'!$E$6:$E$2989,"&gt;="&amp;AB7,'1UT9BR'!$E$6:$E$2989,"&lt;="&amp;EOMONTH(AB7,0),'1UT9BR'!$F$6:$F$2989,"Bond Received")+SUMIFS('1MK4UR'!$D$6:$D$2989,'1MK4UR'!$E$6:$E$2989,"&gt;="&amp;AB7,'1MK4UR'!$E$6:$E$2989,"&lt;="&amp;EOMONTH(AB7,0),'1MK4UR'!$F$6:$F$2989,"Bond Received")+SUMIFS(#REF!,#REF!,"&gt;="&amp;AB7,#REF!,"&lt;="&amp;EOMONTH(AB7,0),#REF!,"Bond Received")+SUMIFS('1JI2UE'!$D$6:$D$2989,'1JI2UE'!$E$6:$E$2989,"&gt;="&amp;AB7,'1JI2UE'!$E$6:$E$2989,"&lt;="&amp;EOMONTH(AB7,0),'1JI2UE'!$F$6:$F$2989,"Bond Received")+SUMIFS(#REF!,#REF!,"&gt;="&amp;AB7,#REF!,"&lt;="&amp;EOMONTH(AB7,0),#REF!,"Bond Received")+SUMIFS('1SI9BW'!$D$6:$D$2989,'1SI9BW'!$E$6:$E$2989,"&gt;="&amp;AB7,'1SI9BW'!$E$6:$E$2989,"&lt;="&amp;EOMONTH(AB7,0),'1SI9BW'!$F$6:$F$2989,"Bond Received")+SUMIFS(Suzuki!$D$6:$D$2989,Suzuki!$E$6:$E$2989,"&gt;="&amp;AB7,Suzuki!$E$6:$E$2989,"&lt;="&amp;EOMONTH(AB7,0),Suzuki!$F$6:$F$2989,"Bond Received")+SUMIFS('1SK3DD'!$D$6:$D$2989,'1SK3DD'!$E$6:$E$2989,"&gt;="&amp;AB7,'1SK3DD'!$E$6:$E$2989,"&lt;="&amp;EOMONTH(AB7,0),'1SK3DD'!$F$6:$F$2989,"Bond Received")+SUMIFS('1SX5TQ'!$D$6:$D$2989,'1SX5TQ'!$E$6:$E$2989,"&gt;="&amp;AB7,'1SX5TQ'!$E$6:$E$2989,"&lt;="&amp;EOMONTH(AB7,0),'1SX5TQ'!$F$6:$F$2989,"Bond Received")+SUMIFS('BMM465'!$D$6:$D$2989,'BMM465'!$E$6:$E$2989,"&gt;="&amp;AB7,'BMM465'!$E$6:$E$2989,"&lt;="&amp;EOMONTH(AB7,0),'BMM465'!$F$6:$F$2989,"Bond Received")+SUMIFS('1CF1ZO'!$D$6:$D$2989,'1CF1ZO'!$E$6:$E$2989,"&gt;="&amp;AB7,'1CF1ZO'!$E$6:$E$2989,"&lt;="&amp;EOMONTH(AB7,0),'1CF1ZO'!$F$6:$F$2989,"Bond Received")+SUMIFS('1UK1BK'!$D$6:$D$2989,'1UK1BK'!$E$6:$E$2989,"&gt;="&amp;AB7,'1UK1BK'!$E$6:$E$2989,"&lt;="&amp;EOMONTH(AB7,0),'1UK1BK'!$F$6:$F$2989,"Bond Received")-(((SUMIFS('CEI565'!$K$6:$K$2990,'CEI565'!$J$6:$J$2990,"&gt;="&amp;AB7,'CEI565'!$J$6:$J$2990,"&lt;="&amp;EOMONTH(AB7,0),'CEI565'!$L$6:$L$2990,"Bond Return")+SUMIFS('1SM3VL'!$K$6:$K$2990,'1SM3VL'!$J$6:$J$2990,"&gt;="&amp;AB7,'1SM3VL'!$J$6:$J$2990,"&lt;="&amp;EOMONTH(AB7,0),'1SM3VL'!$L$6:$L$2990,"Bond Return")+SUMIFS('1QF4SM'!$K$6:$K$2989,'1QF4SM'!$J$6:$J$2989,"&gt;="&amp;AB7,'1QF4SM'!$J$6:$J$2989,"&lt;="&amp;EOMONTH(AB7,0),'1QF4SM'!$L$6:$L$2989,"Bond Return")+SUMIFS('1UV5KI'!$K$6:$K$2989,'1UV5KI'!$J$6:$J$2989,"&gt;="&amp;AB7,'1UV5KI'!$J$6:$J$2989,"&lt;="&amp;EOMONTH(AB7,0),'1UV5KI'!$L$6:$L$2989,"Bond Return")+SUMIFS(#REF!,#REF!,"&gt;="&amp;AB7,#REF!,"&lt;="&amp;EOMONTH(AB7,0),#REF!,"Bond Return")+SUMIFS('1UL9RY'!$K$6:$K$2990,'1UL9RY'!$J$6:$J$2990,"&gt;="&amp;AB7,'1UL9RY'!$J$6:$J$2990,"&lt;="&amp;EOMONTH(AB7,0),'1UL9RY'!$L$6:$L$2990,"Bond Return")+SUMIFS('1OZ7GT'!$K$6:$K$2989,'1OZ7GT'!$J$6:$J$2989,"&gt;="&amp;AB7,'1OZ7GT'!$J$6:$J$2989,"&lt;="&amp;EOMONTH(AB7,0),'1OZ7GT'!$L$6:$L$2989,"Bond Return")+SUMIFS('1CN8DD'!$K$6:$K$2989,'1CN8DD'!$J$6:$J$2989,"&gt;="&amp;AB7,'1CN8DD'!$J$6:$J$2989,"&lt;="&amp;EOMONTH(AB7,0),'1CN8DD'!$L$6:$L$2989,"Bond Return")+SUMIFS('1UT9BR'!$K$6:$K$2990,'1UT9BR'!$J$6:$J$2990,"&gt;="&amp;AB7,'1UT9BR'!$J$6:$J$2990,"&lt;="&amp;EOMONTH(AB7,0),'1UT9BR'!$L$6:$L$2990,"Bond Return")+SUMIFS('1MK4UR'!$K$6:$K$2990,'1MK4UR'!$J$6:$J$2990,"&gt;="&amp;AB7,'1MK4UR'!$J$6:$J$2990,"&lt;="&amp;EOMONTH(AB7,0),'1MK4UR'!$L$6:$L$2990,"Bond Return")+SUMIFS(#REF!,#REF!,"&gt;="&amp;AB7,#REF!,"&lt;="&amp;EOMONTH(AB7,0),#REF!,"Bond Return")+SUMIFS('1JI2UE'!$K$6:$K$2989,'1JI2UE'!$J$6:$J$2989,"&gt;="&amp;AB7,'1JI2UE'!$J$6:$J$2989,"&lt;="&amp;EOMONTH(AB7,0),'1JI2UE'!$L$6:$L$2989,"Bond Return")+SUMIFS(#REF!,#REF!,"&gt;="&amp;AB7,#REF!,"&lt;="&amp;EOMONTH(AB7,0),#REF!,"Bond Return")+SUMIFS('1SI9BW'!$K$6:$K$2989,'1SI9BW'!$J$6:$J$2989,"&gt;="&amp;AB7,'1SI9BW'!$J$6:$J$2989,"&lt;="&amp;EOMONTH(AB7,0),'1SI9BW'!$L$6:$L$2989,"Bond Return")+SUMIFS(Suzuki!$K$6:$K$2989,Suzuki!$J$6:$J$2989,"&gt;="&amp;AB7,Suzuki!$J$6:$J$2989,"&lt;="&amp;EOMONTH(AB7,0),Suzuki!$L$6:$L$2989,"Bond Return")+SUMIFS('1SK3DD'!$K$6:$K$2989,'1SK3DD'!$J$6:$J$2989,"&gt;="&amp;AB7,'1SK3DD'!$J$6:$J$2989,"&lt;="&amp;EOMONTH(AB7,0),'1SK3DD'!$L$6:$L$2989,"Bond Return")+SUMIFS('1SX5TQ'!$K$6:$K$2989,'1SX5TQ'!$J$6:$J$2989,"&gt;="&amp;AB7,'1SX5TQ'!$J$6:$J$2989,"&lt;="&amp;EOMONTH(AB7,0),'1SX5TQ'!$L$6:$L$2989,"Bond Return")+SUMIFS('BMM465'!$K$6:$K$2989,'BMM465'!$J$6:$J$2989,"&gt;="&amp;AB7,'BMM465'!$J$6:$J$2989,"&lt;="&amp;EOMONTH(AB7,0),'BMM465'!$L$6:$L$2989,"Bond Return")+SUMIFS('1CF1ZO'!$K$6:$K$2989,'1CF1ZO'!$J$6:$J$2989,"&gt;="&amp;AB7,'1CF1ZO'!$J$6:$J$2989,"&lt;="&amp;EOMONTH(AB7,0),'1CF1ZO'!$L$6:$L$2989,"Bond Return")+SUMIFS('1UK1BK'!$K$6:$K$2989,'1UK1BK'!$J$6:$J$2989,"&gt;="&amp;AB7,'1UK1BK'!$J$6:$J$2989,"&lt;="&amp;EOMONTH(AB7,0),'1UK1BK'!$L$6:$L$2989,"Bond Return"))))</f>
        <v>#REF!</v>
      </c>
      <c r="AC42" s="2" t="e">
        <f>SUMIFS('CEI565'!$D$6:$D$2994,'CEI565'!$E$6:$E$2994,"&gt;="&amp;AC7,'CEI565'!$E$6:$E$2994,"&lt;="&amp;EOMONTH(AC7,0),'CEI565'!$F$6:$F$2994,"Bond Received")+SUMIFS('1SM3VL'!$D$6:$D$2989,'1SM3VL'!$E$6:$E$2989,"&gt;="&amp;AC7,'1SM3VL'!$E$6:$E$2989,"&lt;="&amp;EOMONTH(AC7,0),'1SM3VL'!$F$6:$F$2989,"Bond Received")+SUMIFS('1QF4SM'!$D$6:$D$2989,'1QF4SM'!$E$6:$E$2989,"&gt;="&amp;AC7,'1QF4SM'!$E$6:$E$2989,"&lt;="&amp;EOMONTH(AC7,0),'1QF4SM'!$F$6:$F$2989,"Bond Received")+SUMIFS('1UV5KI'!$D$6:$D$2988,'1UV5KI'!$E$6:$E$2988,"&gt;="&amp;AC7,'1UV5KI'!$E$6:$E$2988,"&lt;="&amp;EOMONTH(AC7,0),'1UV5KI'!$F$6:$F$2988,"Bond Received")+SUMIFS(#REF!,#REF!,"&gt;="&amp;AC7,#REF!,"&lt;="&amp;EOMONTH(AC7,0),#REF!,"Bond Received")+SUMIFS('1UL9RY'!$D$6:$D$2989,'1UL9RY'!$E$6:$E$2989,"&gt;="&amp;AC7,'1UL9RY'!$E$6:$E$2989,"&lt;="&amp;EOMONTH(AC7,0),'1UL9RY'!$F$6:$F$2989,"Bond Received")+SUMIFS('1OZ7GT'!$D$6:$D$2989,'1OZ7GT'!$E$6:$E$2989,"&gt;="&amp;AC7,'1OZ7GT'!$E$6:$E$2989,"&lt;="&amp;EOMONTH(AC7,0),'1OZ7GT'!$F$6:$F$2989,"Bond Received")+SUMIFS('1CN8DD'!$D$6:$D$2989,'1CN8DD'!$E$6:$E$2989,"&gt;="&amp;AC7,'1CN8DD'!$E$6:$E$2989,"&lt;="&amp;EOMONTH(AC7,0),'1CN8DD'!$F$6:$F$2989,"Bond Received")+SUMIFS('1UT9BR'!$D$6:$D$2989,'1UT9BR'!$E$6:$E$2989,"&gt;="&amp;AC7,'1UT9BR'!$E$6:$E$2989,"&lt;="&amp;EOMONTH(AC7,0),'1UT9BR'!$F$6:$F$2989,"Bond Received")+SUMIFS('1MK4UR'!$D$6:$D$2989,'1MK4UR'!$E$6:$E$2989,"&gt;="&amp;AC7,'1MK4UR'!$E$6:$E$2989,"&lt;="&amp;EOMONTH(AC7,0),'1MK4UR'!$F$6:$F$2989,"Bond Received")+SUMIFS(#REF!,#REF!,"&gt;="&amp;AC7,#REF!,"&lt;="&amp;EOMONTH(AC7,0),#REF!,"Bond Received")+SUMIFS('1JI2UE'!$D$6:$D$2989,'1JI2UE'!$E$6:$E$2989,"&gt;="&amp;AC7,'1JI2UE'!$E$6:$E$2989,"&lt;="&amp;EOMONTH(AC7,0),'1JI2UE'!$F$6:$F$2989,"Bond Received")+SUMIFS(#REF!,#REF!,"&gt;="&amp;AC7,#REF!,"&lt;="&amp;EOMONTH(AC7,0),#REF!,"Bond Received")+SUMIFS('1SI9BW'!$D$6:$D$2989,'1SI9BW'!$E$6:$E$2989,"&gt;="&amp;AC7,'1SI9BW'!$E$6:$E$2989,"&lt;="&amp;EOMONTH(AC7,0),'1SI9BW'!$F$6:$F$2989,"Bond Received")+SUMIFS(Suzuki!$D$6:$D$2989,Suzuki!$E$6:$E$2989,"&gt;="&amp;AC7,Suzuki!$E$6:$E$2989,"&lt;="&amp;EOMONTH(AC7,0),Suzuki!$F$6:$F$2989,"Bond Received")+SUMIFS('1SK3DD'!$D$6:$D$2989,'1SK3DD'!$E$6:$E$2989,"&gt;="&amp;AC7,'1SK3DD'!$E$6:$E$2989,"&lt;="&amp;EOMONTH(AC7,0),'1SK3DD'!$F$6:$F$2989,"Bond Received")+SUMIFS('1SX5TQ'!$D$6:$D$2989,'1SX5TQ'!$E$6:$E$2989,"&gt;="&amp;AC7,'1SX5TQ'!$E$6:$E$2989,"&lt;="&amp;EOMONTH(AC7,0),'1SX5TQ'!$F$6:$F$2989,"Bond Received")+SUMIFS('BMM465'!$D$6:$D$2989,'BMM465'!$E$6:$E$2989,"&gt;="&amp;AC7,'BMM465'!$E$6:$E$2989,"&lt;="&amp;EOMONTH(AC7,0),'BMM465'!$F$6:$F$2989,"Bond Received")+SUMIFS('1CF1ZO'!$D$6:$D$2989,'1CF1ZO'!$E$6:$E$2989,"&gt;="&amp;AC7,'1CF1ZO'!$E$6:$E$2989,"&lt;="&amp;EOMONTH(AC7,0),'1CF1ZO'!$F$6:$F$2989,"Bond Received")+SUMIFS('1UK1BK'!$D$6:$D$2989,'1UK1BK'!$E$6:$E$2989,"&gt;="&amp;AC7,'1UK1BK'!$E$6:$E$2989,"&lt;="&amp;EOMONTH(AC7,0),'1UK1BK'!$F$6:$F$2989,"Bond Received")-(((SUMIFS('CEI565'!$K$6:$K$2990,'CEI565'!$J$6:$J$2990,"&gt;="&amp;AC7,'CEI565'!$J$6:$J$2990,"&lt;="&amp;EOMONTH(AC7,0),'CEI565'!$L$6:$L$2990,"Bond Return")+SUMIFS('1SM3VL'!$K$6:$K$2990,'1SM3VL'!$J$6:$J$2990,"&gt;="&amp;AC7,'1SM3VL'!$J$6:$J$2990,"&lt;="&amp;EOMONTH(AC7,0),'1SM3VL'!$L$6:$L$2990,"Bond Return")+SUMIFS('1QF4SM'!$K$6:$K$2989,'1QF4SM'!$J$6:$J$2989,"&gt;="&amp;AC7,'1QF4SM'!$J$6:$J$2989,"&lt;="&amp;EOMONTH(AC7,0),'1QF4SM'!$L$6:$L$2989,"Bond Return")+SUMIFS('1UV5KI'!$K$6:$K$2989,'1UV5KI'!$J$6:$J$2989,"&gt;="&amp;AC7,'1UV5KI'!$J$6:$J$2989,"&lt;="&amp;EOMONTH(AC7,0),'1UV5KI'!$L$6:$L$2989,"Bond Return")+SUMIFS(#REF!,#REF!,"&gt;="&amp;AC7,#REF!,"&lt;="&amp;EOMONTH(AC7,0),#REF!,"Bond Return")+SUMIFS('1UL9RY'!$K$6:$K$2990,'1UL9RY'!$J$6:$J$2990,"&gt;="&amp;AC7,'1UL9RY'!$J$6:$J$2990,"&lt;="&amp;EOMONTH(AC7,0),'1UL9RY'!$L$6:$L$2990,"Bond Return")+SUMIFS('1OZ7GT'!$K$6:$K$2989,'1OZ7GT'!$J$6:$J$2989,"&gt;="&amp;AC7,'1OZ7GT'!$J$6:$J$2989,"&lt;="&amp;EOMONTH(AC7,0),'1OZ7GT'!$L$6:$L$2989,"Bond Return")+SUMIFS('1CN8DD'!$K$6:$K$2989,'1CN8DD'!$J$6:$J$2989,"&gt;="&amp;AC7,'1CN8DD'!$J$6:$J$2989,"&lt;="&amp;EOMONTH(AC7,0),'1CN8DD'!$L$6:$L$2989,"Bond Return")+SUMIFS('1UT9BR'!$K$6:$K$2990,'1UT9BR'!$J$6:$J$2990,"&gt;="&amp;AC7,'1UT9BR'!$J$6:$J$2990,"&lt;="&amp;EOMONTH(AC7,0),'1UT9BR'!$L$6:$L$2990,"Bond Return")+SUMIFS('1MK4UR'!$K$6:$K$2990,'1MK4UR'!$J$6:$J$2990,"&gt;="&amp;AC7,'1MK4UR'!$J$6:$J$2990,"&lt;="&amp;EOMONTH(AC7,0),'1MK4UR'!$L$6:$L$2990,"Bond Return")+SUMIFS(#REF!,#REF!,"&gt;="&amp;AC7,#REF!,"&lt;="&amp;EOMONTH(AC7,0),#REF!,"Bond Return")+SUMIFS('1JI2UE'!$K$6:$K$2989,'1JI2UE'!$J$6:$J$2989,"&gt;="&amp;AC7,'1JI2UE'!$J$6:$J$2989,"&lt;="&amp;EOMONTH(AC7,0),'1JI2UE'!$L$6:$L$2989,"Bond Return")+SUMIFS(#REF!,#REF!,"&gt;="&amp;AC7,#REF!,"&lt;="&amp;EOMONTH(AC7,0),#REF!,"Bond Return")+SUMIFS('1SI9BW'!$K$6:$K$2989,'1SI9BW'!$J$6:$J$2989,"&gt;="&amp;AC7,'1SI9BW'!$J$6:$J$2989,"&lt;="&amp;EOMONTH(AC7,0),'1SI9BW'!$L$6:$L$2989,"Bond Return")+SUMIFS(Suzuki!$K$6:$K$2989,Suzuki!$J$6:$J$2989,"&gt;="&amp;AC7,Suzuki!$J$6:$J$2989,"&lt;="&amp;EOMONTH(AC7,0),Suzuki!$L$6:$L$2989,"Bond Return")+SUMIFS('1SK3DD'!$K$6:$K$2989,'1SK3DD'!$J$6:$J$2989,"&gt;="&amp;AC7,'1SK3DD'!$J$6:$J$2989,"&lt;="&amp;EOMONTH(AC7,0),'1SK3DD'!$L$6:$L$2989,"Bond Return")+SUMIFS('1SX5TQ'!$K$6:$K$2989,'1SX5TQ'!$J$6:$J$2989,"&gt;="&amp;AC7,'1SX5TQ'!$J$6:$J$2989,"&lt;="&amp;EOMONTH(AC7,0),'1SX5TQ'!$L$6:$L$2989,"Bond Return")+SUMIFS('BMM465'!$K$6:$K$2989,'BMM465'!$J$6:$J$2989,"&gt;="&amp;AC7,'BMM465'!$J$6:$J$2989,"&lt;="&amp;EOMONTH(AC7,0),'BMM465'!$L$6:$L$2989,"Bond Return")+SUMIFS('1CF1ZO'!$K$6:$K$2989,'1CF1ZO'!$J$6:$J$2989,"&gt;="&amp;AC7,'1CF1ZO'!$J$6:$J$2989,"&lt;="&amp;EOMONTH(AC7,0),'1CF1ZO'!$L$6:$L$2989,"Bond Return")+SUMIFS('1UK1BK'!$K$6:$K$2989,'1UK1BK'!$J$6:$J$2989,"&gt;="&amp;AC7,'1UK1BK'!$J$6:$J$2989,"&lt;="&amp;EOMONTH(AC7,0),'1UK1BK'!$L$6:$L$2989,"Bond Return"))))</f>
        <v>#REF!</v>
      </c>
      <c r="AD42" s="2" t="e">
        <f>SUMIFS('CEI565'!$D$6:$D$2994,'CEI565'!$E$6:$E$2994,"&gt;="&amp;AD7,'CEI565'!$E$6:$E$2994,"&lt;="&amp;EOMONTH(AD7,0),'CEI565'!$F$6:$F$2994,"Bond Received")+SUMIFS('1SM3VL'!$D$6:$D$2989,'1SM3VL'!$E$6:$E$2989,"&gt;="&amp;AD7,'1SM3VL'!$E$6:$E$2989,"&lt;="&amp;EOMONTH(AD7,0),'1SM3VL'!$F$6:$F$2989,"Bond Received")+SUMIFS('1QF4SM'!$D$6:$D$2989,'1QF4SM'!$E$6:$E$2989,"&gt;="&amp;AD7,'1QF4SM'!$E$6:$E$2989,"&lt;="&amp;EOMONTH(AD7,0),'1QF4SM'!$F$6:$F$2989,"Bond Received")+SUMIFS('1UV5KI'!$D$6:$D$2988,'1UV5KI'!$E$6:$E$2988,"&gt;="&amp;AD7,'1UV5KI'!$E$6:$E$2988,"&lt;="&amp;EOMONTH(AD7,0),'1UV5KI'!$F$6:$F$2988,"Bond Received")+SUMIFS(#REF!,#REF!,"&gt;="&amp;AD7,#REF!,"&lt;="&amp;EOMONTH(AD7,0),#REF!,"Bond Received")+SUMIFS('1UL9RY'!$D$6:$D$2989,'1UL9RY'!$E$6:$E$2989,"&gt;="&amp;AD7,'1UL9RY'!$E$6:$E$2989,"&lt;="&amp;EOMONTH(AD7,0),'1UL9RY'!$F$6:$F$2989,"Bond Received")+SUMIFS('1OZ7GT'!$D$6:$D$2989,'1OZ7GT'!$E$6:$E$2989,"&gt;="&amp;AD7,'1OZ7GT'!$E$6:$E$2989,"&lt;="&amp;EOMONTH(AD7,0),'1OZ7GT'!$F$6:$F$2989,"Bond Received")+SUMIFS('1CN8DD'!$D$6:$D$2989,'1CN8DD'!$E$6:$E$2989,"&gt;="&amp;AD7,'1CN8DD'!$E$6:$E$2989,"&lt;="&amp;EOMONTH(AD7,0),'1CN8DD'!$F$6:$F$2989,"Bond Received")+SUMIFS('1UT9BR'!$D$6:$D$2989,'1UT9BR'!$E$6:$E$2989,"&gt;="&amp;AD7,'1UT9BR'!$E$6:$E$2989,"&lt;="&amp;EOMONTH(AD7,0),'1UT9BR'!$F$6:$F$2989,"Bond Received")+SUMIFS('1MK4UR'!$D$6:$D$2989,'1MK4UR'!$E$6:$E$2989,"&gt;="&amp;AD7,'1MK4UR'!$E$6:$E$2989,"&lt;="&amp;EOMONTH(AD7,0),'1MK4UR'!$F$6:$F$2989,"Bond Received")+SUMIFS(#REF!,#REF!,"&gt;="&amp;AD7,#REF!,"&lt;="&amp;EOMONTH(AD7,0),#REF!,"Bond Received")+SUMIFS('1JI2UE'!$D$6:$D$2989,'1JI2UE'!$E$6:$E$2989,"&gt;="&amp;AD7,'1JI2UE'!$E$6:$E$2989,"&lt;="&amp;EOMONTH(AD7,0),'1JI2UE'!$F$6:$F$2989,"Bond Received")+SUMIFS(#REF!,#REF!,"&gt;="&amp;AD7,#REF!,"&lt;="&amp;EOMONTH(AD7,0),#REF!,"Bond Received")+SUMIFS('1SI9BW'!$D$6:$D$2989,'1SI9BW'!$E$6:$E$2989,"&gt;="&amp;AD7,'1SI9BW'!$E$6:$E$2989,"&lt;="&amp;EOMONTH(AD7,0),'1SI9BW'!$F$6:$F$2989,"Bond Received")+SUMIFS(Suzuki!$D$6:$D$2989,Suzuki!$E$6:$E$2989,"&gt;="&amp;AD7,Suzuki!$E$6:$E$2989,"&lt;="&amp;EOMONTH(AD7,0),Suzuki!$F$6:$F$2989,"Bond Received")+SUMIFS('1SK3DD'!$D$6:$D$2989,'1SK3DD'!$E$6:$E$2989,"&gt;="&amp;AD7,'1SK3DD'!$E$6:$E$2989,"&lt;="&amp;EOMONTH(AD7,0),'1SK3DD'!$F$6:$F$2989,"Bond Received")+SUMIFS('1SX5TQ'!$D$6:$D$2989,'1SX5TQ'!$E$6:$E$2989,"&gt;="&amp;AD7,'1SX5TQ'!$E$6:$E$2989,"&lt;="&amp;EOMONTH(AD7,0),'1SX5TQ'!$F$6:$F$2989,"Bond Received")+SUMIFS('BMM465'!$D$6:$D$2989,'BMM465'!$E$6:$E$2989,"&gt;="&amp;AD7,'BMM465'!$E$6:$E$2989,"&lt;="&amp;EOMONTH(AD7,0),'BMM465'!$F$6:$F$2989,"Bond Received")+SUMIFS('1CF1ZO'!$D$6:$D$2989,'1CF1ZO'!$E$6:$E$2989,"&gt;="&amp;AD7,'1CF1ZO'!$E$6:$E$2989,"&lt;="&amp;EOMONTH(AD7,0),'1CF1ZO'!$F$6:$F$2989,"Bond Received")+SUMIFS('1UK1BK'!$D$6:$D$2989,'1UK1BK'!$E$6:$E$2989,"&gt;="&amp;AD7,'1UK1BK'!$E$6:$E$2989,"&lt;="&amp;EOMONTH(AD7,0),'1UK1BK'!$F$6:$F$2989,"Bond Received")-(((SUMIFS('CEI565'!$K$6:$K$2990,'CEI565'!$J$6:$J$2990,"&gt;="&amp;AD7,'CEI565'!$J$6:$J$2990,"&lt;="&amp;EOMONTH(AD7,0),'CEI565'!$L$6:$L$2990,"Bond Return")+SUMIFS('1SM3VL'!$K$6:$K$2990,'1SM3VL'!$J$6:$J$2990,"&gt;="&amp;AD7,'1SM3VL'!$J$6:$J$2990,"&lt;="&amp;EOMONTH(AD7,0),'1SM3VL'!$L$6:$L$2990,"Bond Return")+SUMIFS('1QF4SM'!$K$6:$K$2989,'1QF4SM'!$J$6:$J$2989,"&gt;="&amp;AD7,'1QF4SM'!$J$6:$J$2989,"&lt;="&amp;EOMONTH(AD7,0),'1QF4SM'!$L$6:$L$2989,"Bond Return")+SUMIFS('1UV5KI'!$K$6:$K$2989,'1UV5KI'!$J$6:$J$2989,"&gt;="&amp;AD7,'1UV5KI'!$J$6:$J$2989,"&lt;="&amp;EOMONTH(AD7,0),'1UV5KI'!$L$6:$L$2989,"Bond Return")+SUMIFS(#REF!,#REF!,"&gt;="&amp;AD7,#REF!,"&lt;="&amp;EOMONTH(AD7,0),#REF!,"Bond Return")+SUMIFS('1UL9RY'!$K$6:$K$2990,'1UL9RY'!$J$6:$J$2990,"&gt;="&amp;AD7,'1UL9RY'!$J$6:$J$2990,"&lt;="&amp;EOMONTH(AD7,0),'1UL9RY'!$L$6:$L$2990,"Bond Return")+SUMIFS('1OZ7GT'!$K$6:$K$2989,'1OZ7GT'!$J$6:$J$2989,"&gt;="&amp;AD7,'1OZ7GT'!$J$6:$J$2989,"&lt;="&amp;EOMONTH(AD7,0),'1OZ7GT'!$L$6:$L$2989,"Bond Return")+SUMIFS('1CN8DD'!$K$6:$K$2989,'1CN8DD'!$J$6:$J$2989,"&gt;="&amp;AD7,'1CN8DD'!$J$6:$J$2989,"&lt;="&amp;EOMONTH(AD7,0),'1CN8DD'!$L$6:$L$2989,"Bond Return")+SUMIFS('1UT9BR'!$K$6:$K$2990,'1UT9BR'!$J$6:$J$2990,"&gt;="&amp;AD7,'1UT9BR'!$J$6:$J$2990,"&lt;="&amp;EOMONTH(AD7,0),'1UT9BR'!$L$6:$L$2990,"Bond Return")+SUMIFS('1MK4UR'!$K$6:$K$2990,'1MK4UR'!$J$6:$J$2990,"&gt;="&amp;AD7,'1MK4UR'!$J$6:$J$2990,"&lt;="&amp;EOMONTH(AD7,0),'1MK4UR'!$L$6:$L$2990,"Bond Return")+SUMIFS(#REF!,#REF!,"&gt;="&amp;AD7,#REF!,"&lt;="&amp;EOMONTH(AD7,0),#REF!,"Bond Return")+SUMIFS('1JI2UE'!$K$6:$K$2989,'1JI2UE'!$J$6:$J$2989,"&gt;="&amp;AD7,'1JI2UE'!$J$6:$J$2989,"&lt;="&amp;EOMONTH(AD7,0),'1JI2UE'!$L$6:$L$2989,"Bond Return")+SUMIFS(#REF!,#REF!,"&gt;="&amp;AD7,#REF!,"&lt;="&amp;EOMONTH(AD7,0),#REF!,"Bond Return")+SUMIFS('1SI9BW'!$K$6:$K$2989,'1SI9BW'!$J$6:$J$2989,"&gt;="&amp;AD7,'1SI9BW'!$J$6:$J$2989,"&lt;="&amp;EOMONTH(AD7,0),'1SI9BW'!$L$6:$L$2989,"Bond Return")+SUMIFS(Suzuki!$K$6:$K$2989,Suzuki!$J$6:$J$2989,"&gt;="&amp;AD7,Suzuki!$J$6:$J$2989,"&lt;="&amp;EOMONTH(AD7,0),Suzuki!$L$6:$L$2989,"Bond Return")+SUMIFS('1SK3DD'!$K$6:$K$2989,'1SK3DD'!$J$6:$J$2989,"&gt;="&amp;AD7,'1SK3DD'!$J$6:$J$2989,"&lt;="&amp;EOMONTH(AD7,0),'1SK3DD'!$L$6:$L$2989,"Bond Return")+SUMIFS('1SX5TQ'!$K$6:$K$2989,'1SX5TQ'!$J$6:$J$2989,"&gt;="&amp;AD7,'1SX5TQ'!$J$6:$J$2989,"&lt;="&amp;EOMONTH(AD7,0),'1SX5TQ'!$L$6:$L$2989,"Bond Return")+SUMIFS('BMM465'!$K$6:$K$2989,'BMM465'!$J$6:$J$2989,"&gt;="&amp;AD7,'BMM465'!$J$6:$J$2989,"&lt;="&amp;EOMONTH(AD7,0),'BMM465'!$L$6:$L$2989,"Bond Return")+SUMIFS('1CF1ZO'!$K$6:$K$2989,'1CF1ZO'!$J$6:$J$2989,"&gt;="&amp;AD7,'1CF1ZO'!$J$6:$J$2989,"&lt;="&amp;EOMONTH(AD7,0),'1CF1ZO'!$L$6:$L$2989,"Bond Return")+SUMIFS('1UK1BK'!$K$6:$K$2989,'1UK1BK'!$J$6:$J$2989,"&gt;="&amp;AD7,'1UK1BK'!$J$6:$J$2989,"&lt;="&amp;EOMONTH(AD7,0),'1UK1BK'!$L$6:$L$2989,"Bond Return"))))</f>
        <v>#REF!</v>
      </c>
      <c r="AE42" s="2" t="e">
        <f>SUMIFS('CEI565'!$D$6:$D$2994,'CEI565'!$E$6:$E$2994,"&gt;="&amp;AE7,'CEI565'!$E$6:$E$2994,"&lt;="&amp;EOMONTH(AE7,0),'CEI565'!$F$6:$F$2994,"Bond Received")+SUMIFS('1SM3VL'!$D$6:$D$2989,'1SM3VL'!$E$6:$E$2989,"&gt;="&amp;AE7,'1SM3VL'!$E$6:$E$2989,"&lt;="&amp;EOMONTH(AE7,0),'1SM3VL'!$F$6:$F$2989,"Bond Received")+SUMIFS('1QF4SM'!$D$6:$D$2989,'1QF4SM'!$E$6:$E$2989,"&gt;="&amp;AE7,'1QF4SM'!$E$6:$E$2989,"&lt;="&amp;EOMONTH(AE7,0),'1QF4SM'!$F$6:$F$2989,"Bond Received")+SUMIFS('1UV5KI'!$D$6:$D$2988,'1UV5KI'!$E$6:$E$2988,"&gt;="&amp;AE7,'1UV5KI'!$E$6:$E$2988,"&lt;="&amp;EOMONTH(AE7,0),'1UV5KI'!$F$6:$F$2988,"Bond Received")+SUMIFS(#REF!,#REF!,"&gt;="&amp;AE7,#REF!,"&lt;="&amp;EOMONTH(AE7,0),#REF!,"Bond Received")+SUMIFS('1UL9RY'!$D$6:$D$2989,'1UL9RY'!$E$6:$E$2989,"&gt;="&amp;AE7,'1UL9RY'!$E$6:$E$2989,"&lt;="&amp;EOMONTH(AE7,0),'1UL9RY'!$F$6:$F$2989,"Bond Received")+SUMIFS('1OZ7GT'!$D$6:$D$2989,'1OZ7GT'!$E$6:$E$2989,"&gt;="&amp;AE7,'1OZ7GT'!$E$6:$E$2989,"&lt;="&amp;EOMONTH(AE7,0),'1OZ7GT'!$F$6:$F$2989,"Bond Received")+SUMIFS('1CN8DD'!$D$6:$D$2989,'1CN8DD'!$E$6:$E$2989,"&gt;="&amp;AE7,'1CN8DD'!$E$6:$E$2989,"&lt;="&amp;EOMONTH(AE7,0),'1CN8DD'!$F$6:$F$2989,"Bond Received")+SUMIFS('1UT9BR'!$D$6:$D$2989,'1UT9BR'!$E$6:$E$2989,"&gt;="&amp;AE7,'1UT9BR'!$E$6:$E$2989,"&lt;="&amp;EOMONTH(AE7,0),'1UT9BR'!$F$6:$F$2989,"Bond Received")+SUMIFS('1MK4UR'!$D$6:$D$2989,'1MK4UR'!$E$6:$E$2989,"&gt;="&amp;AE7,'1MK4UR'!$E$6:$E$2989,"&lt;="&amp;EOMONTH(AE7,0),'1MK4UR'!$F$6:$F$2989,"Bond Received")+SUMIFS(#REF!,#REF!,"&gt;="&amp;AE7,#REF!,"&lt;="&amp;EOMONTH(AE7,0),#REF!,"Bond Received")+SUMIFS('1JI2UE'!$D$6:$D$2989,'1JI2UE'!$E$6:$E$2989,"&gt;="&amp;AE7,'1JI2UE'!$E$6:$E$2989,"&lt;="&amp;EOMONTH(AE7,0),'1JI2UE'!$F$6:$F$2989,"Bond Received")+SUMIFS(#REF!,#REF!,"&gt;="&amp;AE7,#REF!,"&lt;="&amp;EOMONTH(AE7,0),#REF!,"Bond Received")+SUMIFS('1SI9BW'!$D$6:$D$2989,'1SI9BW'!$E$6:$E$2989,"&gt;="&amp;AE7,'1SI9BW'!$E$6:$E$2989,"&lt;="&amp;EOMONTH(AE7,0),'1SI9BW'!$F$6:$F$2989,"Bond Received")+SUMIFS(Suzuki!$D$6:$D$2989,Suzuki!$E$6:$E$2989,"&gt;="&amp;AE7,Suzuki!$E$6:$E$2989,"&lt;="&amp;EOMONTH(AE7,0),Suzuki!$F$6:$F$2989,"Bond Received")+SUMIFS('1SK3DD'!$D$6:$D$2989,'1SK3DD'!$E$6:$E$2989,"&gt;="&amp;AE7,'1SK3DD'!$E$6:$E$2989,"&lt;="&amp;EOMONTH(AE7,0),'1SK3DD'!$F$6:$F$2989,"Bond Received")+SUMIFS('1SX5TQ'!$D$6:$D$2989,'1SX5TQ'!$E$6:$E$2989,"&gt;="&amp;AE7,'1SX5TQ'!$E$6:$E$2989,"&lt;="&amp;EOMONTH(AE7,0),'1SX5TQ'!$F$6:$F$2989,"Bond Received")+SUMIFS('BMM465'!$D$6:$D$2989,'BMM465'!$E$6:$E$2989,"&gt;="&amp;AE7,'BMM465'!$E$6:$E$2989,"&lt;="&amp;EOMONTH(AE7,0),'BMM465'!$F$6:$F$2989,"Bond Received")+SUMIFS('1CF1ZO'!$D$6:$D$2989,'1CF1ZO'!$E$6:$E$2989,"&gt;="&amp;AE7,'1CF1ZO'!$E$6:$E$2989,"&lt;="&amp;EOMONTH(AE7,0),'1CF1ZO'!$F$6:$F$2989,"Bond Received")+SUMIFS('1UK1BK'!$D$6:$D$2989,'1UK1BK'!$E$6:$E$2989,"&gt;="&amp;AE7,'1UK1BK'!$E$6:$E$2989,"&lt;="&amp;EOMONTH(AE7,0),'1UK1BK'!$F$6:$F$2989,"Bond Received")-(((SUMIFS('CEI565'!$K$6:$K$2990,'CEI565'!$J$6:$J$2990,"&gt;="&amp;AE7,'CEI565'!$J$6:$J$2990,"&lt;="&amp;EOMONTH(AE7,0),'CEI565'!$L$6:$L$2990,"Bond Return")+SUMIFS('1SM3VL'!$K$6:$K$2990,'1SM3VL'!$J$6:$J$2990,"&gt;="&amp;AE7,'1SM3VL'!$J$6:$J$2990,"&lt;="&amp;EOMONTH(AE7,0),'1SM3VL'!$L$6:$L$2990,"Bond Return")+SUMIFS('1QF4SM'!$K$6:$K$2989,'1QF4SM'!$J$6:$J$2989,"&gt;="&amp;AE7,'1QF4SM'!$J$6:$J$2989,"&lt;="&amp;EOMONTH(AE7,0),'1QF4SM'!$L$6:$L$2989,"Bond Return")+SUMIFS('1UV5KI'!$K$6:$K$2989,'1UV5KI'!$J$6:$J$2989,"&gt;="&amp;AE7,'1UV5KI'!$J$6:$J$2989,"&lt;="&amp;EOMONTH(AE7,0),'1UV5KI'!$L$6:$L$2989,"Bond Return")+SUMIFS(#REF!,#REF!,"&gt;="&amp;AE7,#REF!,"&lt;="&amp;EOMONTH(AE7,0),#REF!,"Bond Return")+SUMIFS('1UL9RY'!$K$6:$K$2990,'1UL9RY'!$J$6:$J$2990,"&gt;="&amp;AE7,'1UL9RY'!$J$6:$J$2990,"&lt;="&amp;EOMONTH(AE7,0),'1UL9RY'!$L$6:$L$2990,"Bond Return")+SUMIFS('1OZ7GT'!$K$6:$K$2989,'1OZ7GT'!$J$6:$J$2989,"&gt;="&amp;AE7,'1OZ7GT'!$J$6:$J$2989,"&lt;="&amp;EOMONTH(AE7,0),'1OZ7GT'!$L$6:$L$2989,"Bond Return")+SUMIFS('1CN8DD'!$K$6:$K$2989,'1CN8DD'!$J$6:$J$2989,"&gt;="&amp;AE7,'1CN8DD'!$J$6:$J$2989,"&lt;="&amp;EOMONTH(AE7,0),'1CN8DD'!$L$6:$L$2989,"Bond Return")+SUMIFS('1UT9BR'!$K$6:$K$2990,'1UT9BR'!$J$6:$J$2990,"&gt;="&amp;AE7,'1UT9BR'!$J$6:$J$2990,"&lt;="&amp;EOMONTH(AE7,0),'1UT9BR'!$L$6:$L$2990,"Bond Return")+SUMIFS('1MK4UR'!$K$6:$K$2990,'1MK4UR'!$J$6:$J$2990,"&gt;="&amp;AE7,'1MK4UR'!$J$6:$J$2990,"&lt;="&amp;EOMONTH(AE7,0),'1MK4UR'!$L$6:$L$2990,"Bond Return")+SUMIFS(#REF!,#REF!,"&gt;="&amp;AE7,#REF!,"&lt;="&amp;EOMONTH(AE7,0),#REF!,"Bond Return")+SUMIFS('1JI2UE'!$K$6:$K$2989,'1JI2UE'!$J$6:$J$2989,"&gt;="&amp;AE7,'1JI2UE'!$J$6:$J$2989,"&lt;="&amp;EOMONTH(AE7,0),'1JI2UE'!$L$6:$L$2989,"Bond Return")+SUMIFS(#REF!,#REF!,"&gt;="&amp;AE7,#REF!,"&lt;="&amp;EOMONTH(AE7,0),#REF!,"Bond Return")+SUMIFS('1SI9BW'!$K$6:$K$2989,'1SI9BW'!$J$6:$J$2989,"&gt;="&amp;AE7,'1SI9BW'!$J$6:$J$2989,"&lt;="&amp;EOMONTH(AE7,0),'1SI9BW'!$L$6:$L$2989,"Bond Return")+SUMIFS(Suzuki!$K$6:$K$2989,Suzuki!$J$6:$J$2989,"&gt;="&amp;AE7,Suzuki!$J$6:$J$2989,"&lt;="&amp;EOMONTH(AE7,0),Suzuki!$L$6:$L$2989,"Bond Return")+SUMIFS('1SK3DD'!$K$6:$K$2989,'1SK3DD'!$J$6:$J$2989,"&gt;="&amp;AE7,'1SK3DD'!$J$6:$J$2989,"&lt;="&amp;EOMONTH(AE7,0),'1SK3DD'!$L$6:$L$2989,"Bond Return")+SUMIFS('1SX5TQ'!$K$6:$K$2989,'1SX5TQ'!$J$6:$J$2989,"&gt;="&amp;AE7,'1SX5TQ'!$J$6:$J$2989,"&lt;="&amp;EOMONTH(AE7,0),'1SX5TQ'!$L$6:$L$2989,"Bond Return")+SUMIFS('BMM465'!$K$6:$K$2989,'BMM465'!$J$6:$J$2989,"&gt;="&amp;AE7,'BMM465'!$J$6:$J$2989,"&lt;="&amp;EOMONTH(AE7,0),'BMM465'!$L$6:$L$2989,"Bond Return")+SUMIFS('1CF1ZO'!$K$6:$K$2989,'1CF1ZO'!$J$6:$J$2989,"&gt;="&amp;AE7,'1CF1ZO'!$J$6:$J$2989,"&lt;="&amp;EOMONTH(AE7,0),'1CF1ZO'!$L$6:$L$2989,"Bond Return")+SUMIFS('1UK1BK'!$K$6:$K$2989,'1UK1BK'!$J$6:$J$2989,"&gt;="&amp;AE7,'1UK1BK'!$J$6:$J$2989,"&lt;="&amp;EOMONTH(AE7,0),'1UK1BK'!$L$6:$L$2989,"Bond Return"))))</f>
        <v>#REF!</v>
      </c>
      <c r="AF42" s="2" t="e">
        <f>SUMIFS('CEI565'!$D$6:$D$2994,'CEI565'!$E$6:$E$2994,"&gt;="&amp;AF7,'CEI565'!$E$6:$E$2994,"&lt;="&amp;EOMONTH(AF7,0),'CEI565'!$F$6:$F$2994,"Bond Received")+SUMIFS('1SM3VL'!$D$6:$D$2989,'1SM3VL'!$E$6:$E$2989,"&gt;="&amp;AF7,'1SM3VL'!$E$6:$E$2989,"&lt;="&amp;EOMONTH(AF7,0),'1SM3VL'!$F$6:$F$2989,"Bond Received")+SUMIFS('1QF4SM'!$D$6:$D$2989,'1QF4SM'!$E$6:$E$2989,"&gt;="&amp;AF7,'1QF4SM'!$E$6:$E$2989,"&lt;="&amp;EOMONTH(AF7,0),'1QF4SM'!$F$6:$F$2989,"Bond Received")+SUMIFS('1UV5KI'!$D$6:$D$2988,'1UV5KI'!$E$6:$E$2988,"&gt;="&amp;AF7,'1UV5KI'!$E$6:$E$2988,"&lt;="&amp;EOMONTH(AF7,0),'1UV5KI'!$F$6:$F$2988,"Bond Received")+SUMIFS(#REF!,#REF!,"&gt;="&amp;AF7,#REF!,"&lt;="&amp;EOMONTH(AF7,0),#REF!,"Bond Received")+SUMIFS('1UL9RY'!$D$6:$D$2989,'1UL9RY'!$E$6:$E$2989,"&gt;="&amp;AF7,'1UL9RY'!$E$6:$E$2989,"&lt;="&amp;EOMONTH(AF7,0),'1UL9RY'!$F$6:$F$2989,"Bond Received")+SUMIFS('1OZ7GT'!$D$6:$D$2989,'1OZ7GT'!$E$6:$E$2989,"&gt;="&amp;AF7,'1OZ7GT'!$E$6:$E$2989,"&lt;="&amp;EOMONTH(AF7,0),'1OZ7GT'!$F$6:$F$2989,"Bond Received")+SUMIFS('1CN8DD'!$D$6:$D$2989,'1CN8DD'!$E$6:$E$2989,"&gt;="&amp;AF7,'1CN8DD'!$E$6:$E$2989,"&lt;="&amp;EOMONTH(AF7,0),'1CN8DD'!$F$6:$F$2989,"Bond Received")+SUMIFS('1UT9BR'!$D$6:$D$2989,'1UT9BR'!$E$6:$E$2989,"&gt;="&amp;AF7,'1UT9BR'!$E$6:$E$2989,"&lt;="&amp;EOMONTH(AF7,0),'1UT9BR'!$F$6:$F$2989,"Bond Received")+SUMIFS('1MK4UR'!$D$6:$D$2989,'1MK4UR'!$E$6:$E$2989,"&gt;="&amp;AF7,'1MK4UR'!$E$6:$E$2989,"&lt;="&amp;EOMONTH(AF7,0),'1MK4UR'!$F$6:$F$2989,"Bond Received")+SUMIFS(#REF!,#REF!,"&gt;="&amp;AF7,#REF!,"&lt;="&amp;EOMONTH(AF7,0),#REF!,"Bond Received")+SUMIFS('1JI2UE'!$D$6:$D$2989,'1JI2UE'!$E$6:$E$2989,"&gt;="&amp;AF7,'1JI2UE'!$E$6:$E$2989,"&lt;="&amp;EOMONTH(AF7,0),'1JI2UE'!$F$6:$F$2989,"Bond Received")+SUMIFS(#REF!,#REF!,"&gt;="&amp;AF7,#REF!,"&lt;="&amp;EOMONTH(AF7,0),#REF!,"Bond Received")+SUMIFS('1SI9BW'!$D$6:$D$2989,'1SI9BW'!$E$6:$E$2989,"&gt;="&amp;AF7,'1SI9BW'!$E$6:$E$2989,"&lt;="&amp;EOMONTH(AF7,0),'1SI9BW'!$F$6:$F$2989,"Bond Received")+SUMIFS(Suzuki!$D$6:$D$2989,Suzuki!$E$6:$E$2989,"&gt;="&amp;AF7,Suzuki!$E$6:$E$2989,"&lt;="&amp;EOMONTH(AF7,0),Suzuki!$F$6:$F$2989,"Bond Received")+SUMIFS('1SK3DD'!$D$6:$D$2989,'1SK3DD'!$E$6:$E$2989,"&gt;="&amp;AF7,'1SK3DD'!$E$6:$E$2989,"&lt;="&amp;EOMONTH(AF7,0),'1SK3DD'!$F$6:$F$2989,"Bond Received")+SUMIFS('1SX5TQ'!$D$6:$D$2989,'1SX5TQ'!$E$6:$E$2989,"&gt;="&amp;AF7,'1SX5TQ'!$E$6:$E$2989,"&lt;="&amp;EOMONTH(AF7,0),'1SX5TQ'!$F$6:$F$2989,"Bond Received")+SUMIFS('BMM465'!$D$6:$D$2989,'BMM465'!$E$6:$E$2989,"&gt;="&amp;AF7,'BMM465'!$E$6:$E$2989,"&lt;="&amp;EOMONTH(AF7,0),'BMM465'!$F$6:$F$2989,"Bond Received")+SUMIFS('1CF1ZO'!$D$6:$D$2989,'1CF1ZO'!$E$6:$E$2989,"&gt;="&amp;AF7,'1CF1ZO'!$E$6:$E$2989,"&lt;="&amp;EOMONTH(AF7,0),'1CF1ZO'!$F$6:$F$2989,"Bond Received")+SUMIFS('1UK1BK'!$D$6:$D$2989,'1UK1BK'!$E$6:$E$2989,"&gt;="&amp;AF7,'1UK1BK'!$E$6:$E$2989,"&lt;="&amp;EOMONTH(AF7,0),'1UK1BK'!$F$6:$F$2989,"Bond Received")-(((SUMIFS('CEI565'!$K$6:$K$2990,'CEI565'!$J$6:$J$2990,"&gt;="&amp;AF7,'CEI565'!$J$6:$J$2990,"&lt;="&amp;EOMONTH(AF7,0),'CEI565'!$L$6:$L$2990,"Bond Return")+SUMIFS('1SM3VL'!$K$6:$K$2990,'1SM3VL'!$J$6:$J$2990,"&gt;="&amp;AF7,'1SM3VL'!$J$6:$J$2990,"&lt;="&amp;EOMONTH(AF7,0),'1SM3VL'!$L$6:$L$2990,"Bond Return")+SUMIFS('1QF4SM'!$K$6:$K$2989,'1QF4SM'!$J$6:$J$2989,"&gt;="&amp;AF7,'1QF4SM'!$J$6:$J$2989,"&lt;="&amp;EOMONTH(AF7,0),'1QF4SM'!$L$6:$L$2989,"Bond Return")+SUMIFS('1UV5KI'!$K$6:$K$2989,'1UV5KI'!$J$6:$J$2989,"&gt;="&amp;AF7,'1UV5KI'!$J$6:$J$2989,"&lt;="&amp;EOMONTH(AF7,0),'1UV5KI'!$L$6:$L$2989,"Bond Return")+SUMIFS(#REF!,#REF!,"&gt;="&amp;AF7,#REF!,"&lt;="&amp;EOMONTH(AF7,0),#REF!,"Bond Return")+SUMIFS('1UL9RY'!$K$6:$K$2990,'1UL9RY'!$J$6:$J$2990,"&gt;="&amp;AF7,'1UL9RY'!$J$6:$J$2990,"&lt;="&amp;EOMONTH(AF7,0),'1UL9RY'!$L$6:$L$2990,"Bond Return")+SUMIFS('1OZ7GT'!$K$6:$K$2989,'1OZ7GT'!$J$6:$J$2989,"&gt;="&amp;AF7,'1OZ7GT'!$J$6:$J$2989,"&lt;="&amp;EOMONTH(AF7,0),'1OZ7GT'!$L$6:$L$2989,"Bond Return")+SUMIFS('1CN8DD'!$K$6:$K$2989,'1CN8DD'!$J$6:$J$2989,"&gt;="&amp;AF7,'1CN8DD'!$J$6:$J$2989,"&lt;="&amp;EOMONTH(AF7,0),'1CN8DD'!$L$6:$L$2989,"Bond Return")+SUMIFS('1UT9BR'!$K$6:$K$2990,'1UT9BR'!$J$6:$J$2990,"&gt;="&amp;AF7,'1UT9BR'!$J$6:$J$2990,"&lt;="&amp;EOMONTH(AF7,0),'1UT9BR'!$L$6:$L$2990,"Bond Return")+SUMIFS('1MK4UR'!$K$6:$K$2990,'1MK4UR'!$J$6:$J$2990,"&gt;="&amp;AF7,'1MK4UR'!$J$6:$J$2990,"&lt;="&amp;EOMONTH(AF7,0),'1MK4UR'!$L$6:$L$2990,"Bond Return")+SUMIFS(#REF!,#REF!,"&gt;="&amp;AF7,#REF!,"&lt;="&amp;EOMONTH(AF7,0),#REF!,"Bond Return")+SUMIFS('1JI2UE'!$K$6:$K$2989,'1JI2UE'!$J$6:$J$2989,"&gt;="&amp;AF7,'1JI2UE'!$J$6:$J$2989,"&lt;="&amp;EOMONTH(AF7,0),'1JI2UE'!$L$6:$L$2989,"Bond Return")+SUMIFS(#REF!,#REF!,"&gt;="&amp;AF7,#REF!,"&lt;="&amp;EOMONTH(AF7,0),#REF!,"Bond Return")+SUMIFS('1SI9BW'!$K$6:$K$2989,'1SI9BW'!$J$6:$J$2989,"&gt;="&amp;AF7,'1SI9BW'!$J$6:$J$2989,"&lt;="&amp;EOMONTH(AF7,0),'1SI9BW'!$L$6:$L$2989,"Bond Return")+SUMIFS(Suzuki!$K$6:$K$2989,Suzuki!$J$6:$J$2989,"&gt;="&amp;AF7,Suzuki!$J$6:$J$2989,"&lt;="&amp;EOMONTH(AF7,0),Suzuki!$L$6:$L$2989,"Bond Return")+SUMIFS('1SK3DD'!$K$6:$K$2989,'1SK3DD'!$J$6:$J$2989,"&gt;="&amp;AF7,'1SK3DD'!$J$6:$J$2989,"&lt;="&amp;EOMONTH(AF7,0),'1SK3DD'!$L$6:$L$2989,"Bond Return")+SUMIFS('1SX5TQ'!$K$6:$K$2989,'1SX5TQ'!$J$6:$J$2989,"&gt;="&amp;AF7,'1SX5TQ'!$J$6:$J$2989,"&lt;="&amp;EOMONTH(AF7,0),'1SX5TQ'!$L$6:$L$2989,"Bond Return")+SUMIFS('BMM465'!$K$6:$K$2989,'BMM465'!$J$6:$J$2989,"&gt;="&amp;AF7,'BMM465'!$J$6:$J$2989,"&lt;="&amp;EOMONTH(AF7,0),'BMM465'!$L$6:$L$2989,"Bond Return")+SUMIFS('1CF1ZO'!$K$6:$K$2989,'1CF1ZO'!$J$6:$J$2989,"&gt;="&amp;AF7,'1CF1ZO'!$J$6:$J$2989,"&lt;="&amp;EOMONTH(AF7,0),'1CF1ZO'!$L$6:$L$2989,"Bond Return")+SUMIFS('1UK1BK'!$K$6:$K$2989,'1UK1BK'!$J$6:$J$2989,"&gt;="&amp;AF7,'1UK1BK'!$J$6:$J$2989,"&lt;="&amp;EOMONTH(AF7,0),'1UK1BK'!$L$6:$L$2989,"Bond Return"))))</f>
        <v>#REF!</v>
      </c>
      <c r="AG42" s="2" t="e">
        <f>SUMIFS('CEI565'!$D$6:$D$2994,'CEI565'!$E$6:$E$2994,"&gt;="&amp;AG7,'CEI565'!$E$6:$E$2994,"&lt;="&amp;EOMONTH(AG7,0),'CEI565'!$F$6:$F$2994,"Bond Received")+SUMIFS('1SM3VL'!$D$6:$D$2989,'1SM3VL'!$E$6:$E$2989,"&gt;="&amp;AG7,'1SM3VL'!$E$6:$E$2989,"&lt;="&amp;EOMONTH(AG7,0),'1SM3VL'!$F$6:$F$2989,"Bond Received")+SUMIFS('1QF4SM'!$D$6:$D$2989,'1QF4SM'!$E$6:$E$2989,"&gt;="&amp;AG7,'1QF4SM'!$E$6:$E$2989,"&lt;="&amp;EOMONTH(AG7,0),'1QF4SM'!$F$6:$F$2989,"Bond Received")+SUMIFS('1UV5KI'!$D$6:$D$2988,'1UV5KI'!$E$6:$E$2988,"&gt;="&amp;AG7,'1UV5KI'!$E$6:$E$2988,"&lt;="&amp;EOMONTH(AG7,0),'1UV5KI'!$F$6:$F$2988,"Bond Received")+SUMIFS(#REF!,#REF!,"&gt;="&amp;AG7,#REF!,"&lt;="&amp;EOMONTH(AG7,0),#REF!,"Bond Received")+SUMIFS('1UL9RY'!$D$6:$D$2989,'1UL9RY'!$E$6:$E$2989,"&gt;="&amp;AG7,'1UL9RY'!$E$6:$E$2989,"&lt;="&amp;EOMONTH(AG7,0),'1UL9RY'!$F$6:$F$2989,"Bond Received")+SUMIFS('1OZ7GT'!$D$6:$D$2989,'1OZ7GT'!$E$6:$E$2989,"&gt;="&amp;AG7,'1OZ7GT'!$E$6:$E$2989,"&lt;="&amp;EOMONTH(AG7,0),'1OZ7GT'!$F$6:$F$2989,"Bond Received")+SUMIFS('1CN8DD'!$D$6:$D$2989,'1CN8DD'!$E$6:$E$2989,"&gt;="&amp;AG7,'1CN8DD'!$E$6:$E$2989,"&lt;="&amp;EOMONTH(AG7,0),'1CN8DD'!$F$6:$F$2989,"Bond Received")+SUMIFS('1UT9BR'!$D$6:$D$2989,'1UT9BR'!$E$6:$E$2989,"&gt;="&amp;AG7,'1UT9BR'!$E$6:$E$2989,"&lt;="&amp;EOMONTH(AG7,0),'1UT9BR'!$F$6:$F$2989,"Bond Received")+SUMIFS('1MK4UR'!$D$6:$D$2989,'1MK4UR'!$E$6:$E$2989,"&gt;="&amp;AG7,'1MK4UR'!$E$6:$E$2989,"&lt;="&amp;EOMONTH(AG7,0),'1MK4UR'!$F$6:$F$2989,"Bond Received")+SUMIFS(#REF!,#REF!,"&gt;="&amp;AG7,#REF!,"&lt;="&amp;EOMONTH(AG7,0),#REF!,"Bond Received")+SUMIFS('1JI2UE'!$D$6:$D$2989,'1JI2UE'!$E$6:$E$2989,"&gt;="&amp;AG7,'1JI2UE'!$E$6:$E$2989,"&lt;="&amp;EOMONTH(AG7,0),'1JI2UE'!$F$6:$F$2989,"Bond Received")+SUMIFS(#REF!,#REF!,"&gt;="&amp;AG7,#REF!,"&lt;="&amp;EOMONTH(AG7,0),#REF!,"Bond Received")+SUMIFS('1SI9BW'!$D$6:$D$2989,'1SI9BW'!$E$6:$E$2989,"&gt;="&amp;AG7,'1SI9BW'!$E$6:$E$2989,"&lt;="&amp;EOMONTH(AG7,0),'1SI9BW'!$F$6:$F$2989,"Bond Received")+SUMIFS(Suzuki!$D$6:$D$2989,Suzuki!$E$6:$E$2989,"&gt;="&amp;AG7,Suzuki!$E$6:$E$2989,"&lt;="&amp;EOMONTH(AG7,0),Suzuki!$F$6:$F$2989,"Bond Received")+SUMIFS('1SK3DD'!$D$6:$D$2989,'1SK3DD'!$E$6:$E$2989,"&gt;="&amp;AG7,'1SK3DD'!$E$6:$E$2989,"&lt;="&amp;EOMONTH(AG7,0),'1SK3DD'!$F$6:$F$2989,"Bond Received")+SUMIFS('1SX5TQ'!$D$6:$D$2989,'1SX5TQ'!$E$6:$E$2989,"&gt;="&amp;AG7,'1SX5TQ'!$E$6:$E$2989,"&lt;="&amp;EOMONTH(AG7,0),'1SX5TQ'!$F$6:$F$2989,"Bond Received")+SUMIFS('BMM465'!$D$6:$D$2989,'BMM465'!$E$6:$E$2989,"&gt;="&amp;AG7,'BMM465'!$E$6:$E$2989,"&lt;="&amp;EOMONTH(AG7,0),'BMM465'!$F$6:$F$2989,"Bond Received")+SUMIFS('1CF1ZO'!$D$6:$D$2989,'1CF1ZO'!$E$6:$E$2989,"&gt;="&amp;AG7,'1CF1ZO'!$E$6:$E$2989,"&lt;="&amp;EOMONTH(AG7,0),'1CF1ZO'!$F$6:$F$2989,"Bond Received")+SUMIFS('1UK1BK'!$D$6:$D$2989,'1UK1BK'!$E$6:$E$2989,"&gt;="&amp;AG7,'1UK1BK'!$E$6:$E$2989,"&lt;="&amp;EOMONTH(AG7,0),'1UK1BK'!$F$6:$F$2989,"Bond Received")-(((SUMIFS('CEI565'!$K$6:$K$2990,'CEI565'!$J$6:$J$2990,"&gt;="&amp;AG7,'CEI565'!$J$6:$J$2990,"&lt;="&amp;EOMONTH(AG7,0),'CEI565'!$L$6:$L$2990,"Bond Return")+SUMIFS('1SM3VL'!$K$6:$K$2990,'1SM3VL'!$J$6:$J$2990,"&gt;="&amp;AG7,'1SM3VL'!$J$6:$J$2990,"&lt;="&amp;EOMONTH(AG7,0),'1SM3VL'!$L$6:$L$2990,"Bond Return")+SUMIFS('1QF4SM'!$K$6:$K$2989,'1QF4SM'!$J$6:$J$2989,"&gt;="&amp;AG7,'1QF4SM'!$J$6:$J$2989,"&lt;="&amp;EOMONTH(AG7,0),'1QF4SM'!$L$6:$L$2989,"Bond Return")+SUMIFS('1UV5KI'!$K$6:$K$2989,'1UV5KI'!$J$6:$J$2989,"&gt;="&amp;AG7,'1UV5KI'!$J$6:$J$2989,"&lt;="&amp;EOMONTH(AG7,0),'1UV5KI'!$L$6:$L$2989,"Bond Return")+SUMIFS(#REF!,#REF!,"&gt;="&amp;AG7,#REF!,"&lt;="&amp;EOMONTH(AG7,0),#REF!,"Bond Return")+SUMIFS('1UL9RY'!$K$6:$K$2990,'1UL9RY'!$J$6:$J$2990,"&gt;="&amp;AG7,'1UL9RY'!$J$6:$J$2990,"&lt;="&amp;EOMONTH(AG7,0),'1UL9RY'!$L$6:$L$2990,"Bond Return")+SUMIFS('1OZ7GT'!$K$6:$K$2989,'1OZ7GT'!$J$6:$J$2989,"&gt;="&amp;AG7,'1OZ7GT'!$J$6:$J$2989,"&lt;="&amp;EOMONTH(AG7,0),'1OZ7GT'!$L$6:$L$2989,"Bond Return")+SUMIFS('1CN8DD'!$K$6:$K$2989,'1CN8DD'!$J$6:$J$2989,"&gt;="&amp;AG7,'1CN8DD'!$J$6:$J$2989,"&lt;="&amp;EOMONTH(AG7,0),'1CN8DD'!$L$6:$L$2989,"Bond Return")+SUMIFS('1UT9BR'!$K$6:$K$2990,'1UT9BR'!$J$6:$J$2990,"&gt;="&amp;AG7,'1UT9BR'!$J$6:$J$2990,"&lt;="&amp;EOMONTH(AG7,0),'1UT9BR'!$L$6:$L$2990,"Bond Return")+SUMIFS('1MK4UR'!$K$6:$K$2990,'1MK4UR'!$J$6:$J$2990,"&gt;="&amp;AG7,'1MK4UR'!$J$6:$J$2990,"&lt;="&amp;EOMONTH(AG7,0),'1MK4UR'!$L$6:$L$2990,"Bond Return")+SUMIFS(#REF!,#REF!,"&gt;="&amp;AG7,#REF!,"&lt;="&amp;EOMONTH(AG7,0),#REF!,"Bond Return")+SUMIFS('1JI2UE'!$K$6:$K$2989,'1JI2UE'!$J$6:$J$2989,"&gt;="&amp;AG7,'1JI2UE'!$J$6:$J$2989,"&lt;="&amp;EOMONTH(AG7,0),'1JI2UE'!$L$6:$L$2989,"Bond Return")+SUMIFS(#REF!,#REF!,"&gt;="&amp;AG7,#REF!,"&lt;="&amp;EOMONTH(AG7,0),#REF!,"Bond Return")+SUMIFS('1SI9BW'!$K$6:$K$2989,'1SI9BW'!$J$6:$J$2989,"&gt;="&amp;AG7,'1SI9BW'!$J$6:$J$2989,"&lt;="&amp;EOMONTH(AG7,0),'1SI9BW'!$L$6:$L$2989,"Bond Return")+SUMIFS(Suzuki!$K$6:$K$2989,Suzuki!$J$6:$J$2989,"&gt;="&amp;AG7,Suzuki!$J$6:$J$2989,"&lt;="&amp;EOMONTH(AG7,0),Suzuki!$L$6:$L$2989,"Bond Return")+SUMIFS('1SK3DD'!$K$6:$K$2989,'1SK3DD'!$J$6:$J$2989,"&gt;="&amp;AG7,'1SK3DD'!$J$6:$J$2989,"&lt;="&amp;EOMONTH(AG7,0),'1SK3DD'!$L$6:$L$2989,"Bond Return")+SUMIFS('1SX5TQ'!$K$6:$K$2989,'1SX5TQ'!$J$6:$J$2989,"&gt;="&amp;AG7,'1SX5TQ'!$J$6:$J$2989,"&lt;="&amp;EOMONTH(AG7,0),'1SX5TQ'!$L$6:$L$2989,"Bond Return")+SUMIFS('BMM465'!$K$6:$K$2989,'BMM465'!$J$6:$J$2989,"&gt;="&amp;AG7,'BMM465'!$J$6:$J$2989,"&lt;="&amp;EOMONTH(AG7,0),'BMM465'!$L$6:$L$2989,"Bond Return")+SUMIFS('1CF1ZO'!$K$6:$K$2989,'1CF1ZO'!$J$6:$J$2989,"&gt;="&amp;AG7,'1CF1ZO'!$J$6:$J$2989,"&lt;="&amp;EOMONTH(AG7,0),'1CF1ZO'!$L$6:$L$2989,"Bond Return")+SUMIFS('1UK1BK'!$K$6:$K$2989,'1UK1BK'!$J$6:$J$2989,"&gt;="&amp;AG7,'1UK1BK'!$J$6:$J$2989,"&lt;="&amp;EOMONTH(AG7,0),'1UK1BK'!$L$6:$L$2989,"Bond Return"))))</f>
        <v>#REF!</v>
      </c>
      <c r="AH42" s="2" t="e">
        <f>SUMIFS('CEI565'!$D$6:$D$2994,'CEI565'!$E$6:$E$2994,"&gt;="&amp;AH7,'CEI565'!$E$6:$E$2994,"&lt;="&amp;EOMONTH(AH7,0),'CEI565'!$F$6:$F$2994,"Bond Received")+SUMIFS('1SM3VL'!$D$6:$D$2989,'1SM3VL'!$E$6:$E$2989,"&gt;="&amp;AH7,'1SM3VL'!$E$6:$E$2989,"&lt;="&amp;EOMONTH(AH7,0),'1SM3VL'!$F$6:$F$2989,"Bond Received")+SUMIFS('1QF4SM'!$D$6:$D$2989,'1QF4SM'!$E$6:$E$2989,"&gt;="&amp;AH7,'1QF4SM'!$E$6:$E$2989,"&lt;="&amp;EOMONTH(AH7,0),'1QF4SM'!$F$6:$F$2989,"Bond Received")+SUMIFS('1UV5KI'!$D$6:$D$2988,'1UV5KI'!$E$6:$E$2988,"&gt;="&amp;AH7,'1UV5KI'!$E$6:$E$2988,"&lt;="&amp;EOMONTH(AH7,0),'1UV5KI'!$F$6:$F$2988,"Bond Received")+SUMIFS(#REF!,#REF!,"&gt;="&amp;AH7,#REF!,"&lt;="&amp;EOMONTH(AH7,0),#REF!,"Bond Received")+SUMIFS('1UL9RY'!$D$6:$D$2989,'1UL9RY'!$E$6:$E$2989,"&gt;="&amp;AH7,'1UL9RY'!$E$6:$E$2989,"&lt;="&amp;EOMONTH(AH7,0),'1UL9RY'!$F$6:$F$2989,"Bond Received")+SUMIFS('1OZ7GT'!$D$6:$D$2989,'1OZ7GT'!$E$6:$E$2989,"&gt;="&amp;AH7,'1OZ7GT'!$E$6:$E$2989,"&lt;="&amp;EOMONTH(AH7,0),'1OZ7GT'!$F$6:$F$2989,"Bond Received")+SUMIFS('1CN8DD'!$D$6:$D$2989,'1CN8DD'!$E$6:$E$2989,"&gt;="&amp;AH7,'1CN8DD'!$E$6:$E$2989,"&lt;="&amp;EOMONTH(AH7,0),'1CN8DD'!$F$6:$F$2989,"Bond Received")+SUMIFS('1UT9BR'!$D$6:$D$2989,'1UT9BR'!$E$6:$E$2989,"&gt;="&amp;AH7,'1UT9BR'!$E$6:$E$2989,"&lt;="&amp;EOMONTH(AH7,0),'1UT9BR'!$F$6:$F$2989,"Bond Received")+SUMIFS('1MK4UR'!$D$6:$D$2989,'1MK4UR'!$E$6:$E$2989,"&gt;="&amp;AH7,'1MK4UR'!$E$6:$E$2989,"&lt;="&amp;EOMONTH(AH7,0),'1MK4UR'!$F$6:$F$2989,"Bond Received")+SUMIFS(#REF!,#REF!,"&gt;="&amp;AH7,#REF!,"&lt;="&amp;EOMONTH(AH7,0),#REF!,"Bond Received")+SUMIFS('1JI2UE'!$D$6:$D$2989,'1JI2UE'!$E$6:$E$2989,"&gt;="&amp;AH7,'1JI2UE'!$E$6:$E$2989,"&lt;="&amp;EOMONTH(AH7,0),'1JI2UE'!$F$6:$F$2989,"Bond Received")+SUMIFS(#REF!,#REF!,"&gt;="&amp;AH7,#REF!,"&lt;="&amp;EOMONTH(AH7,0),#REF!,"Bond Received")+SUMIFS('1SI9BW'!$D$6:$D$2989,'1SI9BW'!$E$6:$E$2989,"&gt;="&amp;AH7,'1SI9BW'!$E$6:$E$2989,"&lt;="&amp;EOMONTH(AH7,0),'1SI9BW'!$F$6:$F$2989,"Bond Received")+SUMIFS(Suzuki!$D$6:$D$2989,Suzuki!$E$6:$E$2989,"&gt;="&amp;AH7,Suzuki!$E$6:$E$2989,"&lt;="&amp;EOMONTH(AH7,0),Suzuki!$F$6:$F$2989,"Bond Received")+SUMIFS('1SK3DD'!$D$6:$D$2989,'1SK3DD'!$E$6:$E$2989,"&gt;="&amp;AH7,'1SK3DD'!$E$6:$E$2989,"&lt;="&amp;EOMONTH(AH7,0),'1SK3DD'!$F$6:$F$2989,"Bond Received")+SUMIFS('1SX5TQ'!$D$6:$D$2989,'1SX5TQ'!$E$6:$E$2989,"&gt;="&amp;AH7,'1SX5TQ'!$E$6:$E$2989,"&lt;="&amp;EOMONTH(AH7,0),'1SX5TQ'!$F$6:$F$2989,"Bond Received")+SUMIFS('BMM465'!$D$6:$D$2989,'BMM465'!$E$6:$E$2989,"&gt;="&amp;AH7,'BMM465'!$E$6:$E$2989,"&lt;="&amp;EOMONTH(AH7,0),'BMM465'!$F$6:$F$2989,"Bond Received")+SUMIFS('1CF1ZO'!$D$6:$D$2989,'1CF1ZO'!$E$6:$E$2989,"&gt;="&amp;AH7,'1CF1ZO'!$E$6:$E$2989,"&lt;="&amp;EOMONTH(AH7,0),'1CF1ZO'!$F$6:$F$2989,"Bond Received")+SUMIFS('1UK1BK'!$D$6:$D$2989,'1UK1BK'!$E$6:$E$2989,"&gt;="&amp;AH7,'1UK1BK'!$E$6:$E$2989,"&lt;="&amp;EOMONTH(AH7,0),'1UK1BK'!$F$6:$F$2989,"Bond Received")-(((SUMIFS('CEI565'!$K$6:$K$2990,'CEI565'!$J$6:$J$2990,"&gt;="&amp;AH7,'CEI565'!$J$6:$J$2990,"&lt;="&amp;EOMONTH(AH7,0),'CEI565'!$L$6:$L$2990,"Bond Return")+SUMIFS('1SM3VL'!$K$6:$K$2990,'1SM3VL'!$J$6:$J$2990,"&gt;="&amp;AH7,'1SM3VL'!$J$6:$J$2990,"&lt;="&amp;EOMONTH(AH7,0),'1SM3VL'!$L$6:$L$2990,"Bond Return")+SUMIFS('1QF4SM'!$K$6:$K$2989,'1QF4SM'!$J$6:$J$2989,"&gt;="&amp;AH7,'1QF4SM'!$J$6:$J$2989,"&lt;="&amp;EOMONTH(AH7,0),'1QF4SM'!$L$6:$L$2989,"Bond Return")+SUMIFS('1UV5KI'!$K$6:$K$2989,'1UV5KI'!$J$6:$J$2989,"&gt;="&amp;AH7,'1UV5KI'!$J$6:$J$2989,"&lt;="&amp;EOMONTH(AH7,0),'1UV5KI'!$L$6:$L$2989,"Bond Return")+SUMIFS(#REF!,#REF!,"&gt;="&amp;AH7,#REF!,"&lt;="&amp;EOMONTH(AH7,0),#REF!,"Bond Return")+SUMIFS('1UL9RY'!$K$6:$K$2990,'1UL9RY'!$J$6:$J$2990,"&gt;="&amp;AH7,'1UL9RY'!$J$6:$J$2990,"&lt;="&amp;EOMONTH(AH7,0),'1UL9RY'!$L$6:$L$2990,"Bond Return")+SUMIFS('1OZ7GT'!$K$6:$K$2989,'1OZ7GT'!$J$6:$J$2989,"&gt;="&amp;AH7,'1OZ7GT'!$J$6:$J$2989,"&lt;="&amp;EOMONTH(AH7,0),'1OZ7GT'!$L$6:$L$2989,"Bond Return")+SUMIFS('1CN8DD'!$K$6:$K$2989,'1CN8DD'!$J$6:$J$2989,"&gt;="&amp;AH7,'1CN8DD'!$J$6:$J$2989,"&lt;="&amp;EOMONTH(AH7,0),'1CN8DD'!$L$6:$L$2989,"Bond Return")+SUMIFS('1UT9BR'!$K$6:$K$2990,'1UT9BR'!$J$6:$J$2990,"&gt;="&amp;AH7,'1UT9BR'!$J$6:$J$2990,"&lt;="&amp;EOMONTH(AH7,0),'1UT9BR'!$L$6:$L$2990,"Bond Return")+SUMIFS('1MK4UR'!$K$6:$K$2990,'1MK4UR'!$J$6:$J$2990,"&gt;="&amp;AH7,'1MK4UR'!$J$6:$J$2990,"&lt;="&amp;EOMONTH(AH7,0),'1MK4UR'!$L$6:$L$2990,"Bond Return")+SUMIFS(#REF!,#REF!,"&gt;="&amp;AH7,#REF!,"&lt;="&amp;EOMONTH(AH7,0),#REF!,"Bond Return")+SUMIFS('1JI2UE'!$K$6:$K$2989,'1JI2UE'!$J$6:$J$2989,"&gt;="&amp;AH7,'1JI2UE'!$J$6:$J$2989,"&lt;="&amp;EOMONTH(AH7,0),'1JI2UE'!$L$6:$L$2989,"Bond Return")+SUMIFS(#REF!,#REF!,"&gt;="&amp;AH7,#REF!,"&lt;="&amp;EOMONTH(AH7,0),#REF!,"Bond Return")+SUMIFS('1SI9BW'!$K$6:$K$2989,'1SI9BW'!$J$6:$J$2989,"&gt;="&amp;AH7,'1SI9BW'!$J$6:$J$2989,"&lt;="&amp;EOMONTH(AH7,0),'1SI9BW'!$L$6:$L$2989,"Bond Return")+SUMIFS(Suzuki!$K$6:$K$2989,Suzuki!$J$6:$J$2989,"&gt;="&amp;AH7,Suzuki!$J$6:$J$2989,"&lt;="&amp;EOMONTH(AH7,0),Suzuki!$L$6:$L$2989,"Bond Return")+SUMIFS('1SK3DD'!$K$6:$K$2989,'1SK3DD'!$J$6:$J$2989,"&gt;="&amp;AH7,'1SK3DD'!$J$6:$J$2989,"&lt;="&amp;EOMONTH(AH7,0),'1SK3DD'!$L$6:$L$2989,"Bond Return")+SUMIFS('1SX5TQ'!$K$6:$K$2989,'1SX5TQ'!$J$6:$J$2989,"&gt;="&amp;AH7,'1SX5TQ'!$J$6:$J$2989,"&lt;="&amp;EOMONTH(AH7,0),'1SX5TQ'!$L$6:$L$2989,"Bond Return")+SUMIFS('BMM465'!$K$6:$K$2989,'BMM465'!$J$6:$J$2989,"&gt;="&amp;AH7,'BMM465'!$J$6:$J$2989,"&lt;="&amp;EOMONTH(AH7,0),'BMM465'!$L$6:$L$2989,"Bond Return")+SUMIFS('1CF1ZO'!$K$6:$K$2989,'1CF1ZO'!$J$6:$J$2989,"&gt;="&amp;AH7,'1CF1ZO'!$J$6:$J$2989,"&lt;="&amp;EOMONTH(AH7,0),'1CF1ZO'!$L$6:$L$2989,"Bond Return")+SUMIFS('1UK1BK'!$K$6:$K$2989,'1UK1BK'!$J$6:$J$2989,"&gt;="&amp;AH7,'1UK1BK'!$J$6:$J$2989,"&lt;="&amp;EOMONTH(AH7,0),'1UK1BK'!$L$6:$L$2989,"Bond Return"))))</f>
        <v>#REF!</v>
      </c>
      <c r="AI42" s="2" t="e">
        <f>SUMIFS('CEI565'!$D$6:$D$2994,'CEI565'!$E$6:$E$2994,"&gt;="&amp;AI7,'CEI565'!$E$6:$E$2994,"&lt;="&amp;EOMONTH(AI7,0),'CEI565'!$F$6:$F$2994,"Bond Received")+SUMIFS('1SM3VL'!$D$6:$D$2989,'1SM3VL'!$E$6:$E$2989,"&gt;="&amp;AI7,'1SM3VL'!$E$6:$E$2989,"&lt;="&amp;EOMONTH(AI7,0),'1SM3VL'!$F$6:$F$2989,"Bond Received")+SUMIFS('1QF4SM'!$D$6:$D$2989,'1QF4SM'!$E$6:$E$2989,"&gt;="&amp;AI7,'1QF4SM'!$E$6:$E$2989,"&lt;="&amp;EOMONTH(AI7,0),'1QF4SM'!$F$6:$F$2989,"Bond Received")+SUMIFS('1UV5KI'!$D$6:$D$2988,'1UV5KI'!$E$6:$E$2988,"&gt;="&amp;AI7,'1UV5KI'!$E$6:$E$2988,"&lt;="&amp;EOMONTH(AI7,0),'1UV5KI'!$F$6:$F$2988,"Bond Received")+SUMIFS(#REF!,#REF!,"&gt;="&amp;AI7,#REF!,"&lt;="&amp;EOMONTH(AI7,0),#REF!,"Bond Received")+SUMIFS('1UL9RY'!$D$6:$D$2989,'1UL9RY'!$E$6:$E$2989,"&gt;="&amp;AI7,'1UL9RY'!$E$6:$E$2989,"&lt;="&amp;EOMONTH(AI7,0),'1UL9RY'!$F$6:$F$2989,"Bond Received")+SUMIFS('1OZ7GT'!$D$6:$D$2989,'1OZ7GT'!$E$6:$E$2989,"&gt;="&amp;AI7,'1OZ7GT'!$E$6:$E$2989,"&lt;="&amp;EOMONTH(AI7,0),'1OZ7GT'!$F$6:$F$2989,"Bond Received")+SUMIFS('1CN8DD'!$D$6:$D$2989,'1CN8DD'!$E$6:$E$2989,"&gt;="&amp;AI7,'1CN8DD'!$E$6:$E$2989,"&lt;="&amp;EOMONTH(AI7,0),'1CN8DD'!$F$6:$F$2989,"Bond Received")+SUMIFS('1UT9BR'!$D$6:$D$2989,'1UT9BR'!$E$6:$E$2989,"&gt;="&amp;AI7,'1UT9BR'!$E$6:$E$2989,"&lt;="&amp;EOMONTH(AI7,0),'1UT9BR'!$F$6:$F$2989,"Bond Received")+SUMIFS('1MK4UR'!$D$6:$D$2989,'1MK4UR'!$E$6:$E$2989,"&gt;="&amp;AI7,'1MK4UR'!$E$6:$E$2989,"&lt;="&amp;EOMONTH(AI7,0),'1MK4UR'!$F$6:$F$2989,"Bond Received")+SUMIFS(#REF!,#REF!,"&gt;="&amp;AI7,#REF!,"&lt;="&amp;EOMONTH(AI7,0),#REF!,"Bond Received")+SUMIFS('1JI2UE'!$D$6:$D$2989,'1JI2UE'!$E$6:$E$2989,"&gt;="&amp;AI7,'1JI2UE'!$E$6:$E$2989,"&lt;="&amp;EOMONTH(AI7,0),'1JI2UE'!$F$6:$F$2989,"Bond Received")+SUMIFS(#REF!,#REF!,"&gt;="&amp;AI7,#REF!,"&lt;="&amp;EOMONTH(AI7,0),#REF!,"Bond Received")+SUMIFS('1SI9BW'!$D$6:$D$2989,'1SI9BW'!$E$6:$E$2989,"&gt;="&amp;AI7,'1SI9BW'!$E$6:$E$2989,"&lt;="&amp;EOMONTH(AI7,0),'1SI9BW'!$F$6:$F$2989,"Bond Received")+SUMIFS(Suzuki!$D$6:$D$2989,Suzuki!$E$6:$E$2989,"&gt;="&amp;AI7,Suzuki!$E$6:$E$2989,"&lt;="&amp;EOMONTH(AI7,0),Suzuki!$F$6:$F$2989,"Bond Received")+SUMIFS('1SK3DD'!$D$6:$D$2989,'1SK3DD'!$E$6:$E$2989,"&gt;="&amp;AI7,'1SK3DD'!$E$6:$E$2989,"&lt;="&amp;EOMONTH(AI7,0),'1SK3DD'!$F$6:$F$2989,"Bond Received")+SUMIFS('1SX5TQ'!$D$6:$D$2989,'1SX5TQ'!$E$6:$E$2989,"&gt;="&amp;AI7,'1SX5TQ'!$E$6:$E$2989,"&lt;="&amp;EOMONTH(AI7,0),'1SX5TQ'!$F$6:$F$2989,"Bond Received")+SUMIFS('BMM465'!$D$6:$D$2989,'BMM465'!$E$6:$E$2989,"&gt;="&amp;AI7,'BMM465'!$E$6:$E$2989,"&lt;="&amp;EOMONTH(AI7,0),'BMM465'!$F$6:$F$2989,"Bond Received")+SUMIFS('1CF1ZO'!$D$6:$D$2989,'1CF1ZO'!$E$6:$E$2989,"&gt;="&amp;AI7,'1CF1ZO'!$E$6:$E$2989,"&lt;="&amp;EOMONTH(AI7,0),'1CF1ZO'!$F$6:$F$2989,"Bond Received")+SUMIFS('1UK1BK'!$D$6:$D$2989,'1UK1BK'!$E$6:$E$2989,"&gt;="&amp;AI7,'1UK1BK'!$E$6:$E$2989,"&lt;="&amp;EOMONTH(AI7,0),'1UK1BK'!$F$6:$F$2989,"Bond Received")-(((SUMIFS('CEI565'!$K$6:$K$2990,'CEI565'!$J$6:$J$2990,"&gt;="&amp;AI7,'CEI565'!$J$6:$J$2990,"&lt;="&amp;EOMONTH(AI7,0),'CEI565'!$L$6:$L$2990,"Bond Return")+SUMIFS('1SM3VL'!$K$6:$K$2990,'1SM3VL'!$J$6:$J$2990,"&gt;="&amp;AI7,'1SM3VL'!$J$6:$J$2990,"&lt;="&amp;EOMONTH(AI7,0),'1SM3VL'!$L$6:$L$2990,"Bond Return")+SUMIFS('1QF4SM'!$K$6:$K$2989,'1QF4SM'!$J$6:$J$2989,"&gt;="&amp;AI7,'1QF4SM'!$J$6:$J$2989,"&lt;="&amp;EOMONTH(AI7,0),'1QF4SM'!$L$6:$L$2989,"Bond Return")+SUMIFS('1UV5KI'!$K$6:$K$2989,'1UV5KI'!$J$6:$J$2989,"&gt;="&amp;AI7,'1UV5KI'!$J$6:$J$2989,"&lt;="&amp;EOMONTH(AI7,0),'1UV5KI'!$L$6:$L$2989,"Bond Return")+SUMIFS(#REF!,#REF!,"&gt;="&amp;AI7,#REF!,"&lt;="&amp;EOMONTH(AI7,0),#REF!,"Bond Return")+SUMIFS('1UL9RY'!$K$6:$K$2990,'1UL9RY'!$J$6:$J$2990,"&gt;="&amp;AI7,'1UL9RY'!$J$6:$J$2990,"&lt;="&amp;EOMONTH(AI7,0),'1UL9RY'!$L$6:$L$2990,"Bond Return")+SUMIFS('1OZ7GT'!$K$6:$K$2989,'1OZ7GT'!$J$6:$J$2989,"&gt;="&amp;AI7,'1OZ7GT'!$J$6:$J$2989,"&lt;="&amp;EOMONTH(AI7,0),'1OZ7GT'!$L$6:$L$2989,"Bond Return")+SUMIFS('1CN8DD'!$K$6:$K$2989,'1CN8DD'!$J$6:$J$2989,"&gt;="&amp;AI7,'1CN8DD'!$J$6:$J$2989,"&lt;="&amp;EOMONTH(AI7,0),'1CN8DD'!$L$6:$L$2989,"Bond Return")+SUMIFS('1UT9BR'!$K$6:$K$2990,'1UT9BR'!$J$6:$J$2990,"&gt;="&amp;AI7,'1UT9BR'!$J$6:$J$2990,"&lt;="&amp;EOMONTH(AI7,0),'1UT9BR'!$L$6:$L$2990,"Bond Return")+SUMIFS('1MK4UR'!$K$6:$K$2990,'1MK4UR'!$J$6:$J$2990,"&gt;="&amp;AI7,'1MK4UR'!$J$6:$J$2990,"&lt;="&amp;EOMONTH(AI7,0),'1MK4UR'!$L$6:$L$2990,"Bond Return")+SUMIFS(#REF!,#REF!,"&gt;="&amp;AI7,#REF!,"&lt;="&amp;EOMONTH(AI7,0),#REF!,"Bond Return")+SUMIFS('1JI2UE'!$K$6:$K$2989,'1JI2UE'!$J$6:$J$2989,"&gt;="&amp;AI7,'1JI2UE'!$J$6:$J$2989,"&lt;="&amp;EOMONTH(AI7,0),'1JI2UE'!$L$6:$L$2989,"Bond Return")+SUMIFS(#REF!,#REF!,"&gt;="&amp;AI7,#REF!,"&lt;="&amp;EOMONTH(AI7,0),#REF!,"Bond Return")+SUMIFS('1SI9BW'!$K$6:$K$2989,'1SI9BW'!$J$6:$J$2989,"&gt;="&amp;AI7,'1SI9BW'!$J$6:$J$2989,"&lt;="&amp;EOMONTH(AI7,0),'1SI9BW'!$L$6:$L$2989,"Bond Return")+SUMIFS(Suzuki!$K$6:$K$2989,Suzuki!$J$6:$J$2989,"&gt;="&amp;AI7,Suzuki!$J$6:$J$2989,"&lt;="&amp;EOMONTH(AI7,0),Suzuki!$L$6:$L$2989,"Bond Return")+SUMIFS('1SK3DD'!$K$6:$K$2989,'1SK3DD'!$J$6:$J$2989,"&gt;="&amp;AI7,'1SK3DD'!$J$6:$J$2989,"&lt;="&amp;EOMONTH(AI7,0),'1SK3DD'!$L$6:$L$2989,"Bond Return")+SUMIFS('1SX5TQ'!$K$6:$K$2989,'1SX5TQ'!$J$6:$J$2989,"&gt;="&amp;AI7,'1SX5TQ'!$J$6:$J$2989,"&lt;="&amp;EOMONTH(AI7,0),'1SX5TQ'!$L$6:$L$2989,"Bond Return")+SUMIFS('BMM465'!$K$6:$K$2989,'BMM465'!$J$6:$J$2989,"&gt;="&amp;AI7,'BMM465'!$J$6:$J$2989,"&lt;="&amp;EOMONTH(AI7,0),'BMM465'!$L$6:$L$2989,"Bond Return")+SUMIFS('1CF1ZO'!$K$6:$K$2989,'1CF1ZO'!$J$6:$J$2989,"&gt;="&amp;AI7,'1CF1ZO'!$J$6:$J$2989,"&lt;="&amp;EOMONTH(AI7,0),'1CF1ZO'!$L$6:$L$2989,"Bond Return")+SUMIFS('1UK1BK'!$K$6:$K$2989,'1UK1BK'!$J$6:$J$2989,"&gt;="&amp;AI7,'1UK1BK'!$J$6:$J$2989,"&lt;="&amp;EOMONTH(AI7,0),'1UK1BK'!$L$6:$L$2989,"Bond Return"))))</f>
        <v>#REF!</v>
      </c>
      <c r="AJ42" s="2" t="e">
        <f>SUMIFS('CEI565'!$D$6:$D$2994,'CEI565'!$E$6:$E$2994,"&gt;="&amp;AJ7,'CEI565'!$E$6:$E$2994,"&lt;="&amp;EOMONTH(AJ7,0),'CEI565'!$F$6:$F$2994,"Bond Received")+SUMIFS('1SM3VL'!$D$6:$D$2989,'1SM3VL'!$E$6:$E$2989,"&gt;="&amp;AJ7,'1SM3VL'!$E$6:$E$2989,"&lt;="&amp;EOMONTH(AJ7,0),'1SM3VL'!$F$6:$F$2989,"Bond Received")+SUMIFS('1QF4SM'!$D$6:$D$2989,'1QF4SM'!$E$6:$E$2989,"&gt;="&amp;AJ7,'1QF4SM'!$E$6:$E$2989,"&lt;="&amp;EOMONTH(AJ7,0),'1QF4SM'!$F$6:$F$2989,"Bond Received")+SUMIFS('1UV5KI'!$D$6:$D$2988,'1UV5KI'!$E$6:$E$2988,"&gt;="&amp;AJ7,'1UV5KI'!$E$6:$E$2988,"&lt;="&amp;EOMONTH(AJ7,0),'1UV5KI'!$F$6:$F$2988,"Bond Received")+SUMIFS(#REF!,#REF!,"&gt;="&amp;AJ7,#REF!,"&lt;="&amp;EOMONTH(AJ7,0),#REF!,"Bond Received")+SUMIFS('1UL9RY'!$D$6:$D$2989,'1UL9RY'!$E$6:$E$2989,"&gt;="&amp;AJ7,'1UL9RY'!$E$6:$E$2989,"&lt;="&amp;EOMONTH(AJ7,0),'1UL9RY'!$F$6:$F$2989,"Bond Received")+SUMIFS('1OZ7GT'!$D$6:$D$2989,'1OZ7GT'!$E$6:$E$2989,"&gt;="&amp;AJ7,'1OZ7GT'!$E$6:$E$2989,"&lt;="&amp;EOMONTH(AJ7,0),'1OZ7GT'!$F$6:$F$2989,"Bond Received")+SUMIFS('1CN8DD'!$D$6:$D$2989,'1CN8DD'!$E$6:$E$2989,"&gt;="&amp;AJ7,'1CN8DD'!$E$6:$E$2989,"&lt;="&amp;EOMONTH(AJ7,0),'1CN8DD'!$F$6:$F$2989,"Bond Received")+SUMIFS('1UT9BR'!$D$6:$D$2989,'1UT9BR'!$E$6:$E$2989,"&gt;="&amp;AJ7,'1UT9BR'!$E$6:$E$2989,"&lt;="&amp;EOMONTH(AJ7,0),'1UT9BR'!$F$6:$F$2989,"Bond Received")+SUMIFS('1MK4UR'!$D$6:$D$2989,'1MK4UR'!$E$6:$E$2989,"&gt;="&amp;AJ7,'1MK4UR'!$E$6:$E$2989,"&lt;="&amp;EOMONTH(AJ7,0),'1MK4UR'!$F$6:$F$2989,"Bond Received")+SUMIFS(#REF!,#REF!,"&gt;="&amp;AJ7,#REF!,"&lt;="&amp;EOMONTH(AJ7,0),#REF!,"Bond Received")+SUMIFS('1JI2UE'!$D$6:$D$2989,'1JI2UE'!$E$6:$E$2989,"&gt;="&amp;AJ7,'1JI2UE'!$E$6:$E$2989,"&lt;="&amp;EOMONTH(AJ7,0),'1JI2UE'!$F$6:$F$2989,"Bond Received")+SUMIFS(#REF!,#REF!,"&gt;="&amp;AJ7,#REF!,"&lt;="&amp;EOMONTH(AJ7,0),#REF!,"Bond Received")+SUMIFS('1SI9BW'!$D$6:$D$2989,'1SI9BW'!$E$6:$E$2989,"&gt;="&amp;AJ7,'1SI9BW'!$E$6:$E$2989,"&lt;="&amp;EOMONTH(AJ7,0),'1SI9BW'!$F$6:$F$2989,"Bond Received")+SUMIFS(Suzuki!$D$6:$D$2989,Suzuki!$E$6:$E$2989,"&gt;="&amp;AJ7,Suzuki!$E$6:$E$2989,"&lt;="&amp;EOMONTH(AJ7,0),Suzuki!$F$6:$F$2989,"Bond Received")+SUMIFS('1SK3DD'!$D$6:$D$2989,'1SK3DD'!$E$6:$E$2989,"&gt;="&amp;AJ7,'1SK3DD'!$E$6:$E$2989,"&lt;="&amp;EOMONTH(AJ7,0),'1SK3DD'!$F$6:$F$2989,"Bond Received")+SUMIFS('1SX5TQ'!$D$6:$D$2989,'1SX5TQ'!$E$6:$E$2989,"&gt;="&amp;AJ7,'1SX5TQ'!$E$6:$E$2989,"&lt;="&amp;EOMONTH(AJ7,0),'1SX5TQ'!$F$6:$F$2989,"Bond Received")+SUMIFS('BMM465'!$D$6:$D$2989,'BMM465'!$E$6:$E$2989,"&gt;="&amp;AJ7,'BMM465'!$E$6:$E$2989,"&lt;="&amp;EOMONTH(AJ7,0),'BMM465'!$F$6:$F$2989,"Bond Received")+SUMIFS('1CF1ZO'!$D$6:$D$2989,'1CF1ZO'!$E$6:$E$2989,"&gt;="&amp;AJ7,'1CF1ZO'!$E$6:$E$2989,"&lt;="&amp;EOMONTH(AJ7,0),'1CF1ZO'!$F$6:$F$2989,"Bond Received")+SUMIFS('1UK1BK'!$D$6:$D$2989,'1UK1BK'!$E$6:$E$2989,"&gt;="&amp;AJ7,'1UK1BK'!$E$6:$E$2989,"&lt;="&amp;EOMONTH(AJ7,0),'1UK1BK'!$F$6:$F$2989,"Bond Received")-(((SUMIFS('CEI565'!$K$6:$K$2990,'CEI565'!$J$6:$J$2990,"&gt;="&amp;AJ7,'CEI565'!$J$6:$J$2990,"&lt;="&amp;EOMONTH(AJ7,0),'CEI565'!$L$6:$L$2990,"Bond Return")+SUMIFS('1SM3VL'!$K$6:$K$2990,'1SM3VL'!$J$6:$J$2990,"&gt;="&amp;AJ7,'1SM3VL'!$J$6:$J$2990,"&lt;="&amp;EOMONTH(AJ7,0),'1SM3VL'!$L$6:$L$2990,"Bond Return")+SUMIFS('1QF4SM'!$K$6:$K$2989,'1QF4SM'!$J$6:$J$2989,"&gt;="&amp;AJ7,'1QF4SM'!$J$6:$J$2989,"&lt;="&amp;EOMONTH(AJ7,0),'1QF4SM'!$L$6:$L$2989,"Bond Return")+SUMIFS('1UV5KI'!$K$6:$K$2989,'1UV5KI'!$J$6:$J$2989,"&gt;="&amp;AJ7,'1UV5KI'!$J$6:$J$2989,"&lt;="&amp;EOMONTH(AJ7,0),'1UV5KI'!$L$6:$L$2989,"Bond Return")+SUMIFS(#REF!,#REF!,"&gt;="&amp;AJ7,#REF!,"&lt;="&amp;EOMONTH(AJ7,0),#REF!,"Bond Return")+SUMIFS('1UL9RY'!$K$6:$K$2990,'1UL9RY'!$J$6:$J$2990,"&gt;="&amp;AJ7,'1UL9RY'!$J$6:$J$2990,"&lt;="&amp;EOMONTH(AJ7,0),'1UL9RY'!$L$6:$L$2990,"Bond Return")+SUMIFS('1OZ7GT'!$K$6:$K$2989,'1OZ7GT'!$J$6:$J$2989,"&gt;="&amp;AJ7,'1OZ7GT'!$J$6:$J$2989,"&lt;="&amp;EOMONTH(AJ7,0),'1OZ7GT'!$L$6:$L$2989,"Bond Return")+SUMIFS('1CN8DD'!$K$6:$K$2989,'1CN8DD'!$J$6:$J$2989,"&gt;="&amp;AJ7,'1CN8DD'!$J$6:$J$2989,"&lt;="&amp;EOMONTH(AJ7,0),'1CN8DD'!$L$6:$L$2989,"Bond Return")+SUMIFS('1UT9BR'!$K$6:$K$2990,'1UT9BR'!$J$6:$J$2990,"&gt;="&amp;AJ7,'1UT9BR'!$J$6:$J$2990,"&lt;="&amp;EOMONTH(AJ7,0),'1UT9BR'!$L$6:$L$2990,"Bond Return")+SUMIFS('1MK4UR'!$K$6:$K$2990,'1MK4UR'!$J$6:$J$2990,"&gt;="&amp;AJ7,'1MK4UR'!$J$6:$J$2990,"&lt;="&amp;EOMONTH(AJ7,0),'1MK4UR'!$L$6:$L$2990,"Bond Return")+SUMIFS(#REF!,#REF!,"&gt;="&amp;AJ7,#REF!,"&lt;="&amp;EOMONTH(AJ7,0),#REF!,"Bond Return")+SUMIFS('1JI2UE'!$K$6:$K$2989,'1JI2UE'!$J$6:$J$2989,"&gt;="&amp;AJ7,'1JI2UE'!$J$6:$J$2989,"&lt;="&amp;EOMONTH(AJ7,0),'1JI2UE'!$L$6:$L$2989,"Bond Return")+SUMIFS(#REF!,#REF!,"&gt;="&amp;AJ7,#REF!,"&lt;="&amp;EOMONTH(AJ7,0),#REF!,"Bond Return")+SUMIFS('1SI9BW'!$K$6:$K$2989,'1SI9BW'!$J$6:$J$2989,"&gt;="&amp;AJ7,'1SI9BW'!$J$6:$J$2989,"&lt;="&amp;EOMONTH(AJ7,0),'1SI9BW'!$L$6:$L$2989,"Bond Return")+SUMIFS(Suzuki!$K$6:$K$2989,Suzuki!$J$6:$J$2989,"&gt;="&amp;AJ7,Suzuki!$J$6:$J$2989,"&lt;="&amp;EOMONTH(AJ7,0),Suzuki!$L$6:$L$2989,"Bond Return")+SUMIFS('1SK3DD'!$K$6:$K$2989,'1SK3DD'!$J$6:$J$2989,"&gt;="&amp;AJ7,'1SK3DD'!$J$6:$J$2989,"&lt;="&amp;EOMONTH(AJ7,0),'1SK3DD'!$L$6:$L$2989,"Bond Return")+SUMIFS('1SX5TQ'!$K$6:$K$2989,'1SX5TQ'!$J$6:$J$2989,"&gt;="&amp;AJ7,'1SX5TQ'!$J$6:$J$2989,"&lt;="&amp;EOMONTH(AJ7,0),'1SX5TQ'!$L$6:$L$2989,"Bond Return")+SUMIFS('BMM465'!$K$6:$K$2989,'BMM465'!$J$6:$J$2989,"&gt;="&amp;AJ7,'BMM465'!$J$6:$J$2989,"&lt;="&amp;EOMONTH(AJ7,0),'BMM465'!$L$6:$L$2989,"Bond Return")+SUMIFS('1CF1ZO'!$K$6:$K$2989,'1CF1ZO'!$J$6:$J$2989,"&gt;="&amp;AJ7,'1CF1ZO'!$J$6:$J$2989,"&lt;="&amp;EOMONTH(AJ7,0),'1CF1ZO'!$L$6:$L$2989,"Bond Return")+SUMIFS('1UK1BK'!$K$6:$K$2989,'1UK1BK'!$J$6:$J$2989,"&gt;="&amp;AJ7,'1UK1BK'!$J$6:$J$2989,"&lt;="&amp;EOMONTH(AJ7,0),'1UK1BK'!$L$6:$L$2989,"Bond Return"))))</f>
        <v>#REF!</v>
      </c>
      <c r="AK42" s="2" t="e">
        <f>SUMIFS('CEI565'!$D$6:$D$2994,'CEI565'!$E$6:$E$2994,"&gt;="&amp;AK7,'CEI565'!$E$6:$E$2994,"&lt;="&amp;EOMONTH(AK7,0),'CEI565'!$F$6:$F$2994,"Bond Received")+SUMIFS('1SM3VL'!$D$6:$D$2989,'1SM3VL'!$E$6:$E$2989,"&gt;="&amp;AK7,'1SM3VL'!$E$6:$E$2989,"&lt;="&amp;EOMONTH(AK7,0),'1SM3VL'!$F$6:$F$2989,"Bond Received")+SUMIFS('1QF4SM'!$D$6:$D$2989,'1QF4SM'!$E$6:$E$2989,"&gt;="&amp;AK7,'1QF4SM'!$E$6:$E$2989,"&lt;="&amp;EOMONTH(AK7,0),'1QF4SM'!$F$6:$F$2989,"Bond Received")+SUMIFS('1UV5KI'!$D$6:$D$2988,'1UV5KI'!$E$6:$E$2988,"&gt;="&amp;AK7,'1UV5KI'!$E$6:$E$2988,"&lt;="&amp;EOMONTH(AK7,0),'1UV5KI'!$F$6:$F$2988,"Bond Received")+SUMIFS(#REF!,#REF!,"&gt;="&amp;AK7,#REF!,"&lt;="&amp;EOMONTH(AK7,0),#REF!,"Bond Received")+SUMIFS('1UL9RY'!$D$6:$D$2989,'1UL9RY'!$E$6:$E$2989,"&gt;="&amp;AK7,'1UL9RY'!$E$6:$E$2989,"&lt;="&amp;EOMONTH(AK7,0),'1UL9RY'!$F$6:$F$2989,"Bond Received")+SUMIFS('1OZ7GT'!$D$6:$D$2989,'1OZ7GT'!$E$6:$E$2989,"&gt;="&amp;AK7,'1OZ7GT'!$E$6:$E$2989,"&lt;="&amp;EOMONTH(AK7,0),'1OZ7GT'!$F$6:$F$2989,"Bond Received")+SUMIFS('1CN8DD'!$D$6:$D$2989,'1CN8DD'!$E$6:$E$2989,"&gt;="&amp;AK7,'1CN8DD'!$E$6:$E$2989,"&lt;="&amp;EOMONTH(AK7,0),'1CN8DD'!$F$6:$F$2989,"Bond Received")+SUMIFS('1UT9BR'!$D$6:$D$2989,'1UT9BR'!$E$6:$E$2989,"&gt;="&amp;AK7,'1UT9BR'!$E$6:$E$2989,"&lt;="&amp;EOMONTH(AK7,0),'1UT9BR'!$F$6:$F$2989,"Bond Received")+SUMIFS('1MK4UR'!$D$6:$D$2989,'1MK4UR'!$E$6:$E$2989,"&gt;="&amp;AK7,'1MK4UR'!$E$6:$E$2989,"&lt;="&amp;EOMONTH(AK7,0),'1MK4UR'!$F$6:$F$2989,"Bond Received")+SUMIFS(#REF!,#REF!,"&gt;="&amp;AK7,#REF!,"&lt;="&amp;EOMONTH(AK7,0),#REF!,"Bond Received")+SUMIFS('1JI2UE'!$D$6:$D$2989,'1JI2UE'!$E$6:$E$2989,"&gt;="&amp;AK7,'1JI2UE'!$E$6:$E$2989,"&lt;="&amp;EOMONTH(AK7,0),'1JI2UE'!$F$6:$F$2989,"Bond Received")+SUMIFS(#REF!,#REF!,"&gt;="&amp;AK7,#REF!,"&lt;="&amp;EOMONTH(AK7,0),#REF!,"Bond Received")+SUMIFS('1SI9BW'!$D$6:$D$2989,'1SI9BW'!$E$6:$E$2989,"&gt;="&amp;AK7,'1SI9BW'!$E$6:$E$2989,"&lt;="&amp;EOMONTH(AK7,0),'1SI9BW'!$F$6:$F$2989,"Bond Received")+SUMIFS(Suzuki!$D$6:$D$2989,Suzuki!$E$6:$E$2989,"&gt;="&amp;AK7,Suzuki!$E$6:$E$2989,"&lt;="&amp;EOMONTH(AK7,0),Suzuki!$F$6:$F$2989,"Bond Received")+SUMIFS('1SK3DD'!$D$6:$D$2989,'1SK3DD'!$E$6:$E$2989,"&gt;="&amp;AK7,'1SK3DD'!$E$6:$E$2989,"&lt;="&amp;EOMONTH(AK7,0),'1SK3DD'!$F$6:$F$2989,"Bond Received")+SUMIFS('1SX5TQ'!$D$6:$D$2989,'1SX5TQ'!$E$6:$E$2989,"&gt;="&amp;AK7,'1SX5TQ'!$E$6:$E$2989,"&lt;="&amp;EOMONTH(AK7,0),'1SX5TQ'!$F$6:$F$2989,"Bond Received")+SUMIFS('BMM465'!$D$6:$D$2989,'BMM465'!$E$6:$E$2989,"&gt;="&amp;AK7,'BMM465'!$E$6:$E$2989,"&lt;="&amp;EOMONTH(AK7,0),'BMM465'!$F$6:$F$2989,"Bond Received")+SUMIFS('1CF1ZO'!$D$6:$D$2989,'1CF1ZO'!$E$6:$E$2989,"&gt;="&amp;AK7,'1CF1ZO'!$E$6:$E$2989,"&lt;="&amp;EOMONTH(AK7,0),'1CF1ZO'!$F$6:$F$2989,"Bond Received")+SUMIFS('1UK1BK'!$D$6:$D$2989,'1UK1BK'!$E$6:$E$2989,"&gt;="&amp;AK7,'1UK1BK'!$E$6:$E$2989,"&lt;="&amp;EOMONTH(AK7,0),'1UK1BK'!$F$6:$F$2989,"Bond Received")-(((SUMIFS('CEI565'!$K$6:$K$2990,'CEI565'!$J$6:$J$2990,"&gt;="&amp;AK7,'CEI565'!$J$6:$J$2990,"&lt;="&amp;EOMONTH(AK7,0),'CEI565'!$L$6:$L$2990,"Bond Return")+SUMIFS('1SM3VL'!$K$6:$K$2990,'1SM3VL'!$J$6:$J$2990,"&gt;="&amp;AK7,'1SM3VL'!$J$6:$J$2990,"&lt;="&amp;EOMONTH(AK7,0),'1SM3VL'!$L$6:$L$2990,"Bond Return")+SUMIFS('1QF4SM'!$K$6:$K$2989,'1QF4SM'!$J$6:$J$2989,"&gt;="&amp;AK7,'1QF4SM'!$J$6:$J$2989,"&lt;="&amp;EOMONTH(AK7,0),'1QF4SM'!$L$6:$L$2989,"Bond Return")+SUMIFS('1UV5KI'!$K$6:$K$2989,'1UV5KI'!$J$6:$J$2989,"&gt;="&amp;AK7,'1UV5KI'!$J$6:$J$2989,"&lt;="&amp;EOMONTH(AK7,0),'1UV5KI'!$L$6:$L$2989,"Bond Return")+SUMIFS(#REF!,#REF!,"&gt;="&amp;AK7,#REF!,"&lt;="&amp;EOMONTH(AK7,0),#REF!,"Bond Return")+SUMIFS('1UL9RY'!$K$6:$K$2990,'1UL9RY'!$J$6:$J$2990,"&gt;="&amp;AK7,'1UL9RY'!$J$6:$J$2990,"&lt;="&amp;EOMONTH(AK7,0),'1UL9RY'!$L$6:$L$2990,"Bond Return")+SUMIFS('1OZ7GT'!$K$6:$K$2989,'1OZ7GT'!$J$6:$J$2989,"&gt;="&amp;AK7,'1OZ7GT'!$J$6:$J$2989,"&lt;="&amp;EOMONTH(AK7,0),'1OZ7GT'!$L$6:$L$2989,"Bond Return")+SUMIFS('1CN8DD'!$K$6:$K$2989,'1CN8DD'!$J$6:$J$2989,"&gt;="&amp;AK7,'1CN8DD'!$J$6:$J$2989,"&lt;="&amp;EOMONTH(AK7,0),'1CN8DD'!$L$6:$L$2989,"Bond Return")+SUMIFS('1UT9BR'!$K$6:$K$2990,'1UT9BR'!$J$6:$J$2990,"&gt;="&amp;AK7,'1UT9BR'!$J$6:$J$2990,"&lt;="&amp;EOMONTH(AK7,0),'1UT9BR'!$L$6:$L$2990,"Bond Return")+SUMIFS('1MK4UR'!$K$6:$K$2990,'1MK4UR'!$J$6:$J$2990,"&gt;="&amp;AK7,'1MK4UR'!$J$6:$J$2990,"&lt;="&amp;EOMONTH(AK7,0),'1MK4UR'!$L$6:$L$2990,"Bond Return")+SUMIFS(#REF!,#REF!,"&gt;="&amp;AK7,#REF!,"&lt;="&amp;EOMONTH(AK7,0),#REF!,"Bond Return")+SUMIFS('1JI2UE'!$K$6:$K$2989,'1JI2UE'!$J$6:$J$2989,"&gt;="&amp;AK7,'1JI2UE'!$J$6:$J$2989,"&lt;="&amp;EOMONTH(AK7,0),'1JI2UE'!$L$6:$L$2989,"Bond Return")+SUMIFS(#REF!,#REF!,"&gt;="&amp;AK7,#REF!,"&lt;="&amp;EOMONTH(AK7,0),#REF!,"Bond Return")+SUMIFS('1SI9BW'!$K$6:$K$2989,'1SI9BW'!$J$6:$J$2989,"&gt;="&amp;AK7,'1SI9BW'!$J$6:$J$2989,"&lt;="&amp;EOMONTH(AK7,0),'1SI9BW'!$L$6:$L$2989,"Bond Return")+SUMIFS(Suzuki!$K$6:$K$2989,Suzuki!$J$6:$J$2989,"&gt;="&amp;AK7,Suzuki!$J$6:$J$2989,"&lt;="&amp;EOMONTH(AK7,0),Suzuki!$L$6:$L$2989,"Bond Return")+SUMIFS('1SK3DD'!$K$6:$K$2989,'1SK3DD'!$J$6:$J$2989,"&gt;="&amp;AK7,'1SK3DD'!$J$6:$J$2989,"&lt;="&amp;EOMONTH(AK7,0),'1SK3DD'!$L$6:$L$2989,"Bond Return")+SUMIFS('1SX5TQ'!$K$6:$K$2989,'1SX5TQ'!$J$6:$J$2989,"&gt;="&amp;AK7,'1SX5TQ'!$J$6:$J$2989,"&lt;="&amp;EOMONTH(AK7,0),'1SX5TQ'!$L$6:$L$2989,"Bond Return")+SUMIFS('BMM465'!$K$6:$K$2989,'BMM465'!$J$6:$J$2989,"&gt;="&amp;AK7,'BMM465'!$J$6:$J$2989,"&lt;="&amp;EOMONTH(AK7,0),'BMM465'!$L$6:$L$2989,"Bond Return")+SUMIFS('1CF1ZO'!$K$6:$K$2989,'1CF1ZO'!$J$6:$J$2989,"&gt;="&amp;AK7,'1CF1ZO'!$J$6:$J$2989,"&lt;="&amp;EOMONTH(AK7,0),'1CF1ZO'!$L$6:$L$2989,"Bond Return")+SUMIFS('1UK1BK'!$K$6:$K$2989,'1UK1BK'!$J$6:$J$2989,"&gt;="&amp;AK7,'1UK1BK'!$J$6:$J$2989,"&lt;="&amp;EOMONTH(AK7,0),'1UK1BK'!$L$6:$L$2989,"Bond Return"))))</f>
        <v>#REF!</v>
      </c>
      <c r="AL42" s="2" t="e">
        <f>SUMIFS('CEI565'!$D$6:$D$2994,'CEI565'!$E$6:$E$2994,"&gt;="&amp;AL7,'CEI565'!$E$6:$E$2994,"&lt;="&amp;EOMONTH(AL7,0),'CEI565'!$F$6:$F$2994,"Bond Received")+SUMIFS('1SM3VL'!$D$6:$D$2989,'1SM3VL'!$E$6:$E$2989,"&gt;="&amp;AL7,'1SM3VL'!$E$6:$E$2989,"&lt;="&amp;EOMONTH(AL7,0),'1SM3VL'!$F$6:$F$2989,"Bond Received")+SUMIFS('1QF4SM'!$D$6:$D$2989,'1QF4SM'!$E$6:$E$2989,"&gt;="&amp;AL7,'1QF4SM'!$E$6:$E$2989,"&lt;="&amp;EOMONTH(AL7,0),'1QF4SM'!$F$6:$F$2989,"Bond Received")+SUMIFS('1UV5KI'!$D$6:$D$2988,'1UV5KI'!$E$6:$E$2988,"&gt;="&amp;AL7,'1UV5KI'!$E$6:$E$2988,"&lt;="&amp;EOMONTH(AL7,0),'1UV5KI'!$F$6:$F$2988,"Bond Received")+SUMIFS(#REF!,#REF!,"&gt;="&amp;AL7,#REF!,"&lt;="&amp;EOMONTH(AL7,0),#REF!,"Bond Received")+SUMIFS('1UL9RY'!$D$6:$D$2989,'1UL9RY'!$E$6:$E$2989,"&gt;="&amp;AL7,'1UL9RY'!$E$6:$E$2989,"&lt;="&amp;EOMONTH(AL7,0),'1UL9RY'!$F$6:$F$2989,"Bond Received")+SUMIFS('1OZ7GT'!$D$6:$D$2989,'1OZ7GT'!$E$6:$E$2989,"&gt;="&amp;AL7,'1OZ7GT'!$E$6:$E$2989,"&lt;="&amp;EOMONTH(AL7,0),'1OZ7GT'!$F$6:$F$2989,"Bond Received")+SUMIFS('1CN8DD'!$D$6:$D$2989,'1CN8DD'!$E$6:$E$2989,"&gt;="&amp;AL7,'1CN8DD'!$E$6:$E$2989,"&lt;="&amp;EOMONTH(AL7,0),'1CN8DD'!$F$6:$F$2989,"Bond Received")+SUMIFS('1UT9BR'!$D$6:$D$2989,'1UT9BR'!$E$6:$E$2989,"&gt;="&amp;AL7,'1UT9BR'!$E$6:$E$2989,"&lt;="&amp;EOMONTH(AL7,0),'1UT9BR'!$F$6:$F$2989,"Bond Received")+SUMIFS('1MK4UR'!$D$6:$D$2989,'1MK4UR'!$E$6:$E$2989,"&gt;="&amp;AL7,'1MK4UR'!$E$6:$E$2989,"&lt;="&amp;EOMONTH(AL7,0),'1MK4UR'!$F$6:$F$2989,"Bond Received")+SUMIFS(#REF!,#REF!,"&gt;="&amp;AL7,#REF!,"&lt;="&amp;EOMONTH(AL7,0),#REF!,"Bond Received")+SUMIFS('1JI2UE'!$D$6:$D$2989,'1JI2UE'!$E$6:$E$2989,"&gt;="&amp;AL7,'1JI2UE'!$E$6:$E$2989,"&lt;="&amp;EOMONTH(AL7,0),'1JI2UE'!$F$6:$F$2989,"Bond Received")+SUMIFS(#REF!,#REF!,"&gt;="&amp;AL7,#REF!,"&lt;="&amp;EOMONTH(AL7,0),#REF!,"Bond Received")+SUMIFS('1SI9BW'!$D$6:$D$2989,'1SI9BW'!$E$6:$E$2989,"&gt;="&amp;AL7,'1SI9BW'!$E$6:$E$2989,"&lt;="&amp;EOMONTH(AL7,0),'1SI9BW'!$F$6:$F$2989,"Bond Received")+SUMIFS(Suzuki!$D$6:$D$2989,Suzuki!$E$6:$E$2989,"&gt;="&amp;AL7,Suzuki!$E$6:$E$2989,"&lt;="&amp;EOMONTH(AL7,0),Suzuki!$F$6:$F$2989,"Bond Received")+SUMIFS('1SK3DD'!$D$6:$D$2989,'1SK3DD'!$E$6:$E$2989,"&gt;="&amp;AL7,'1SK3DD'!$E$6:$E$2989,"&lt;="&amp;EOMONTH(AL7,0),'1SK3DD'!$F$6:$F$2989,"Bond Received")+SUMIFS('1SX5TQ'!$D$6:$D$2989,'1SX5TQ'!$E$6:$E$2989,"&gt;="&amp;AL7,'1SX5TQ'!$E$6:$E$2989,"&lt;="&amp;EOMONTH(AL7,0),'1SX5TQ'!$F$6:$F$2989,"Bond Received")+SUMIFS('BMM465'!$D$6:$D$2989,'BMM465'!$E$6:$E$2989,"&gt;="&amp;AL7,'BMM465'!$E$6:$E$2989,"&lt;="&amp;EOMONTH(AL7,0),'BMM465'!$F$6:$F$2989,"Bond Received")+SUMIFS('1CF1ZO'!$D$6:$D$2989,'1CF1ZO'!$E$6:$E$2989,"&gt;="&amp;AL7,'1CF1ZO'!$E$6:$E$2989,"&lt;="&amp;EOMONTH(AL7,0),'1CF1ZO'!$F$6:$F$2989,"Bond Received")+SUMIFS('1UK1BK'!$D$6:$D$2989,'1UK1BK'!$E$6:$E$2989,"&gt;="&amp;AL7,'1UK1BK'!$E$6:$E$2989,"&lt;="&amp;EOMONTH(AL7,0),'1UK1BK'!$F$6:$F$2989,"Bond Received")-(((SUMIFS('CEI565'!$K$6:$K$2990,'CEI565'!$J$6:$J$2990,"&gt;="&amp;AL7,'CEI565'!$J$6:$J$2990,"&lt;="&amp;EOMONTH(AL7,0),'CEI565'!$L$6:$L$2990,"Bond Return")+SUMIFS('1SM3VL'!$K$6:$K$2990,'1SM3VL'!$J$6:$J$2990,"&gt;="&amp;AL7,'1SM3VL'!$J$6:$J$2990,"&lt;="&amp;EOMONTH(AL7,0),'1SM3VL'!$L$6:$L$2990,"Bond Return")+SUMIFS('1QF4SM'!$K$6:$K$2989,'1QF4SM'!$J$6:$J$2989,"&gt;="&amp;AL7,'1QF4SM'!$J$6:$J$2989,"&lt;="&amp;EOMONTH(AL7,0),'1QF4SM'!$L$6:$L$2989,"Bond Return")+SUMIFS('1UV5KI'!$K$6:$K$2989,'1UV5KI'!$J$6:$J$2989,"&gt;="&amp;AL7,'1UV5KI'!$J$6:$J$2989,"&lt;="&amp;EOMONTH(AL7,0),'1UV5KI'!$L$6:$L$2989,"Bond Return")+SUMIFS(#REF!,#REF!,"&gt;="&amp;AL7,#REF!,"&lt;="&amp;EOMONTH(AL7,0),#REF!,"Bond Return")+SUMIFS('1UL9RY'!$K$6:$K$2990,'1UL9RY'!$J$6:$J$2990,"&gt;="&amp;AL7,'1UL9RY'!$J$6:$J$2990,"&lt;="&amp;EOMONTH(AL7,0),'1UL9RY'!$L$6:$L$2990,"Bond Return")+SUMIFS('1OZ7GT'!$K$6:$K$2989,'1OZ7GT'!$J$6:$J$2989,"&gt;="&amp;AL7,'1OZ7GT'!$J$6:$J$2989,"&lt;="&amp;EOMONTH(AL7,0),'1OZ7GT'!$L$6:$L$2989,"Bond Return")+SUMIFS('1CN8DD'!$K$6:$K$2989,'1CN8DD'!$J$6:$J$2989,"&gt;="&amp;AL7,'1CN8DD'!$J$6:$J$2989,"&lt;="&amp;EOMONTH(AL7,0),'1CN8DD'!$L$6:$L$2989,"Bond Return")+SUMIFS('1UT9BR'!$K$6:$K$2990,'1UT9BR'!$J$6:$J$2990,"&gt;="&amp;AL7,'1UT9BR'!$J$6:$J$2990,"&lt;="&amp;EOMONTH(AL7,0),'1UT9BR'!$L$6:$L$2990,"Bond Return")+SUMIFS('1MK4UR'!$K$6:$K$2990,'1MK4UR'!$J$6:$J$2990,"&gt;="&amp;AL7,'1MK4UR'!$J$6:$J$2990,"&lt;="&amp;EOMONTH(AL7,0),'1MK4UR'!$L$6:$L$2990,"Bond Return")+SUMIFS(#REF!,#REF!,"&gt;="&amp;AL7,#REF!,"&lt;="&amp;EOMONTH(AL7,0),#REF!,"Bond Return")+SUMIFS('1JI2UE'!$K$6:$K$2989,'1JI2UE'!$J$6:$J$2989,"&gt;="&amp;AL7,'1JI2UE'!$J$6:$J$2989,"&lt;="&amp;EOMONTH(AL7,0),'1JI2UE'!$L$6:$L$2989,"Bond Return")+SUMIFS(#REF!,#REF!,"&gt;="&amp;AL7,#REF!,"&lt;="&amp;EOMONTH(AL7,0),#REF!,"Bond Return")+SUMIFS('1SI9BW'!$K$6:$K$2989,'1SI9BW'!$J$6:$J$2989,"&gt;="&amp;AL7,'1SI9BW'!$J$6:$J$2989,"&lt;="&amp;EOMONTH(AL7,0),'1SI9BW'!$L$6:$L$2989,"Bond Return")+SUMIFS(Suzuki!$K$6:$K$2989,Suzuki!$J$6:$J$2989,"&gt;="&amp;AL7,Suzuki!$J$6:$J$2989,"&lt;="&amp;EOMONTH(AL7,0),Suzuki!$L$6:$L$2989,"Bond Return")+SUMIFS('1SK3DD'!$K$6:$K$2989,'1SK3DD'!$J$6:$J$2989,"&gt;="&amp;AL7,'1SK3DD'!$J$6:$J$2989,"&lt;="&amp;EOMONTH(AL7,0),'1SK3DD'!$L$6:$L$2989,"Bond Return")+SUMIFS('1SX5TQ'!$K$6:$K$2989,'1SX5TQ'!$J$6:$J$2989,"&gt;="&amp;AL7,'1SX5TQ'!$J$6:$J$2989,"&lt;="&amp;EOMONTH(AL7,0),'1SX5TQ'!$L$6:$L$2989,"Bond Return")+SUMIFS('BMM465'!$K$6:$K$2989,'BMM465'!$J$6:$J$2989,"&gt;="&amp;AL7,'BMM465'!$J$6:$J$2989,"&lt;="&amp;EOMONTH(AL7,0),'BMM465'!$L$6:$L$2989,"Bond Return")+SUMIFS('1CF1ZO'!$K$6:$K$2989,'1CF1ZO'!$J$6:$J$2989,"&gt;="&amp;AL7,'1CF1ZO'!$J$6:$J$2989,"&lt;="&amp;EOMONTH(AL7,0),'1CF1ZO'!$L$6:$L$2989,"Bond Return")+SUMIFS('1UK1BK'!$K$6:$K$2989,'1UK1BK'!$J$6:$J$2989,"&gt;="&amp;AL7,'1UK1BK'!$J$6:$J$2989,"&lt;="&amp;EOMONTH(AL7,0),'1UK1BK'!$L$6:$L$2989,"Bond Return"))))</f>
        <v>#REF!</v>
      </c>
      <c r="AM42" s="2" t="e">
        <f>SUMIFS('CEI565'!$D$6:$D$2994,'CEI565'!$E$6:$E$2994,"&gt;="&amp;AM7,'CEI565'!$E$6:$E$2994,"&lt;="&amp;EOMONTH(AM7,0),'CEI565'!$F$6:$F$2994,"Bond Received")+SUMIFS('1SM3VL'!$D$6:$D$2989,'1SM3VL'!$E$6:$E$2989,"&gt;="&amp;AM7,'1SM3VL'!$E$6:$E$2989,"&lt;="&amp;EOMONTH(AM7,0),'1SM3VL'!$F$6:$F$2989,"Bond Received")+SUMIFS('1QF4SM'!$D$6:$D$2989,'1QF4SM'!$E$6:$E$2989,"&gt;="&amp;AM7,'1QF4SM'!$E$6:$E$2989,"&lt;="&amp;EOMONTH(AM7,0),'1QF4SM'!$F$6:$F$2989,"Bond Received")+SUMIFS('1UV5KI'!$D$6:$D$2988,'1UV5KI'!$E$6:$E$2988,"&gt;="&amp;AM7,'1UV5KI'!$E$6:$E$2988,"&lt;="&amp;EOMONTH(AM7,0),'1UV5KI'!$F$6:$F$2988,"Bond Received")+SUMIFS(#REF!,#REF!,"&gt;="&amp;AM7,#REF!,"&lt;="&amp;EOMONTH(AM7,0),#REF!,"Bond Received")+SUMIFS('1UL9RY'!$D$6:$D$2989,'1UL9RY'!$E$6:$E$2989,"&gt;="&amp;AM7,'1UL9RY'!$E$6:$E$2989,"&lt;="&amp;EOMONTH(AM7,0),'1UL9RY'!$F$6:$F$2989,"Bond Received")+SUMIFS('1OZ7GT'!$D$6:$D$2989,'1OZ7GT'!$E$6:$E$2989,"&gt;="&amp;AM7,'1OZ7GT'!$E$6:$E$2989,"&lt;="&amp;EOMONTH(AM7,0),'1OZ7GT'!$F$6:$F$2989,"Bond Received")+SUMIFS('1CN8DD'!$D$6:$D$2989,'1CN8DD'!$E$6:$E$2989,"&gt;="&amp;AM7,'1CN8DD'!$E$6:$E$2989,"&lt;="&amp;EOMONTH(AM7,0),'1CN8DD'!$F$6:$F$2989,"Bond Received")+SUMIFS('1UT9BR'!$D$6:$D$2989,'1UT9BR'!$E$6:$E$2989,"&gt;="&amp;AM7,'1UT9BR'!$E$6:$E$2989,"&lt;="&amp;EOMONTH(AM7,0),'1UT9BR'!$F$6:$F$2989,"Bond Received")+SUMIFS('1MK4UR'!$D$6:$D$2989,'1MK4UR'!$E$6:$E$2989,"&gt;="&amp;AM7,'1MK4UR'!$E$6:$E$2989,"&lt;="&amp;EOMONTH(AM7,0),'1MK4UR'!$F$6:$F$2989,"Bond Received")+SUMIFS(#REF!,#REF!,"&gt;="&amp;AM7,#REF!,"&lt;="&amp;EOMONTH(AM7,0),#REF!,"Bond Received")+SUMIFS('1JI2UE'!$D$6:$D$2989,'1JI2UE'!$E$6:$E$2989,"&gt;="&amp;AM7,'1JI2UE'!$E$6:$E$2989,"&lt;="&amp;EOMONTH(AM7,0),'1JI2UE'!$F$6:$F$2989,"Bond Received")+SUMIFS(#REF!,#REF!,"&gt;="&amp;AM7,#REF!,"&lt;="&amp;EOMONTH(AM7,0),#REF!,"Bond Received")+SUMIFS('1SI9BW'!$D$6:$D$2989,'1SI9BW'!$E$6:$E$2989,"&gt;="&amp;AM7,'1SI9BW'!$E$6:$E$2989,"&lt;="&amp;EOMONTH(AM7,0),'1SI9BW'!$F$6:$F$2989,"Bond Received")+SUMIFS(Suzuki!$D$6:$D$2989,Suzuki!$E$6:$E$2989,"&gt;="&amp;AM7,Suzuki!$E$6:$E$2989,"&lt;="&amp;EOMONTH(AM7,0),Suzuki!$F$6:$F$2989,"Bond Received")+SUMIFS('1SK3DD'!$D$6:$D$2989,'1SK3DD'!$E$6:$E$2989,"&gt;="&amp;AM7,'1SK3DD'!$E$6:$E$2989,"&lt;="&amp;EOMONTH(AM7,0),'1SK3DD'!$F$6:$F$2989,"Bond Received")+SUMIFS('1SX5TQ'!$D$6:$D$2989,'1SX5TQ'!$E$6:$E$2989,"&gt;="&amp;AM7,'1SX5TQ'!$E$6:$E$2989,"&lt;="&amp;EOMONTH(AM7,0),'1SX5TQ'!$F$6:$F$2989,"Bond Received")+SUMIFS('BMM465'!$D$6:$D$2989,'BMM465'!$E$6:$E$2989,"&gt;="&amp;AM7,'BMM465'!$E$6:$E$2989,"&lt;="&amp;EOMONTH(AM7,0),'BMM465'!$F$6:$F$2989,"Bond Received")+SUMIFS('1CF1ZO'!$D$6:$D$2989,'1CF1ZO'!$E$6:$E$2989,"&gt;="&amp;AM7,'1CF1ZO'!$E$6:$E$2989,"&lt;="&amp;EOMONTH(AM7,0),'1CF1ZO'!$F$6:$F$2989,"Bond Received")+SUMIFS('1UK1BK'!$D$6:$D$2989,'1UK1BK'!$E$6:$E$2989,"&gt;="&amp;AM7,'1UK1BK'!$E$6:$E$2989,"&lt;="&amp;EOMONTH(AM7,0),'1UK1BK'!$F$6:$F$2989,"Bond Received")-(((SUMIFS('CEI565'!$K$6:$K$2990,'CEI565'!$J$6:$J$2990,"&gt;="&amp;AM7,'CEI565'!$J$6:$J$2990,"&lt;="&amp;EOMONTH(AM7,0),'CEI565'!$L$6:$L$2990,"Bond Return")+SUMIFS('1SM3VL'!$K$6:$K$2990,'1SM3VL'!$J$6:$J$2990,"&gt;="&amp;AM7,'1SM3VL'!$J$6:$J$2990,"&lt;="&amp;EOMONTH(AM7,0),'1SM3VL'!$L$6:$L$2990,"Bond Return")+SUMIFS('1QF4SM'!$K$6:$K$2989,'1QF4SM'!$J$6:$J$2989,"&gt;="&amp;AM7,'1QF4SM'!$J$6:$J$2989,"&lt;="&amp;EOMONTH(AM7,0),'1QF4SM'!$L$6:$L$2989,"Bond Return")+SUMIFS('1UV5KI'!$K$6:$K$2989,'1UV5KI'!$J$6:$J$2989,"&gt;="&amp;AM7,'1UV5KI'!$J$6:$J$2989,"&lt;="&amp;EOMONTH(AM7,0),'1UV5KI'!$L$6:$L$2989,"Bond Return")+SUMIFS(#REF!,#REF!,"&gt;="&amp;AM7,#REF!,"&lt;="&amp;EOMONTH(AM7,0),#REF!,"Bond Return")+SUMIFS('1UL9RY'!$K$6:$K$2990,'1UL9RY'!$J$6:$J$2990,"&gt;="&amp;AM7,'1UL9RY'!$J$6:$J$2990,"&lt;="&amp;EOMONTH(AM7,0),'1UL9RY'!$L$6:$L$2990,"Bond Return")+SUMIFS('1OZ7GT'!$K$6:$K$2989,'1OZ7GT'!$J$6:$J$2989,"&gt;="&amp;AM7,'1OZ7GT'!$J$6:$J$2989,"&lt;="&amp;EOMONTH(AM7,0),'1OZ7GT'!$L$6:$L$2989,"Bond Return")+SUMIFS('1CN8DD'!$K$6:$K$2989,'1CN8DD'!$J$6:$J$2989,"&gt;="&amp;AM7,'1CN8DD'!$J$6:$J$2989,"&lt;="&amp;EOMONTH(AM7,0),'1CN8DD'!$L$6:$L$2989,"Bond Return")+SUMIFS('1UT9BR'!$K$6:$K$2990,'1UT9BR'!$J$6:$J$2990,"&gt;="&amp;AM7,'1UT9BR'!$J$6:$J$2990,"&lt;="&amp;EOMONTH(AM7,0),'1UT9BR'!$L$6:$L$2990,"Bond Return")+SUMIFS('1MK4UR'!$K$6:$K$2990,'1MK4UR'!$J$6:$J$2990,"&gt;="&amp;AM7,'1MK4UR'!$J$6:$J$2990,"&lt;="&amp;EOMONTH(AM7,0),'1MK4UR'!$L$6:$L$2990,"Bond Return")+SUMIFS(#REF!,#REF!,"&gt;="&amp;AM7,#REF!,"&lt;="&amp;EOMONTH(AM7,0),#REF!,"Bond Return")+SUMIFS('1JI2UE'!$K$6:$K$2989,'1JI2UE'!$J$6:$J$2989,"&gt;="&amp;AM7,'1JI2UE'!$J$6:$J$2989,"&lt;="&amp;EOMONTH(AM7,0),'1JI2UE'!$L$6:$L$2989,"Bond Return")+SUMIFS(#REF!,#REF!,"&gt;="&amp;AM7,#REF!,"&lt;="&amp;EOMONTH(AM7,0),#REF!,"Bond Return")+SUMIFS('1SI9BW'!$K$6:$K$2989,'1SI9BW'!$J$6:$J$2989,"&gt;="&amp;AM7,'1SI9BW'!$J$6:$J$2989,"&lt;="&amp;EOMONTH(AM7,0),'1SI9BW'!$L$6:$L$2989,"Bond Return")+SUMIFS(Suzuki!$K$6:$K$2989,Suzuki!$J$6:$J$2989,"&gt;="&amp;AM7,Suzuki!$J$6:$J$2989,"&lt;="&amp;EOMONTH(AM7,0),Suzuki!$L$6:$L$2989,"Bond Return")+SUMIFS('1SK3DD'!$K$6:$K$2989,'1SK3DD'!$J$6:$J$2989,"&gt;="&amp;AM7,'1SK3DD'!$J$6:$J$2989,"&lt;="&amp;EOMONTH(AM7,0),'1SK3DD'!$L$6:$L$2989,"Bond Return")+SUMIFS('1SX5TQ'!$K$6:$K$2989,'1SX5TQ'!$J$6:$J$2989,"&gt;="&amp;AM7,'1SX5TQ'!$J$6:$J$2989,"&lt;="&amp;EOMONTH(AM7,0),'1SX5TQ'!$L$6:$L$2989,"Bond Return")+SUMIFS('BMM465'!$K$6:$K$2989,'BMM465'!$J$6:$J$2989,"&gt;="&amp;AM7,'BMM465'!$J$6:$J$2989,"&lt;="&amp;EOMONTH(AM7,0),'BMM465'!$L$6:$L$2989,"Bond Return")+SUMIFS('1CF1ZO'!$K$6:$K$2989,'1CF1ZO'!$J$6:$J$2989,"&gt;="&amp;AM7,'1CF1ZO'!$J$6:$J$2989,"&lt;="&amp;EOMONTH(AM7,0),'1CF1ZO'!$L$6:$L$2989,"Bond Return")+SUMIFS('1UK1BK'!$K$6:$K$2989,'1UK1BK'!$J$6:$J$2989,"&gt;="&amp;AM7,'1UK1BK'!$J$6:$J$2989,"&lt;="&amp;EOMONTH(AM7,0),'1UK1BK'!$L$6:$L$2989,"Bond Return"))))</f>
        <v>#REF!</v>
      </c>
      <c r="AN42" s="2" t="e">
        <f>SUMIFS('CEI565'!$D$6:$D$2994,'CEI565'!$E$6:$E$2994,"&gt;="&amp;AN7,'CEI565'!$E$6:$E$2994,"&lt;="&amp;EOMONTH(AN7,0),'CEI565'!$F$6:$F$2994,"Bond Received")+SUMIFS('1SM3VL'!$D$6:$D$2989,'1SM3VL'!$E$6:$E$2989,"&gt;="&amp;AN7,'1SM3VL'!$E$6:$E$2989,"&lt;="&amp;EOMONTH(AN7,0),'1SM3VL'!$F$6:$F$2989,"Bond Received")+SUMIFS('1QF4SM'!$D$6:$D$2989,'1QF4SM'!$E$6:$E$2989,"&gt;="&amp;AN7,'1QF4SM'!$E$6:$E$2989,"&lt;="&amp;EOMONTH(AN7,0),'1QF4SM'!$F$6:$F$2989,"Bond Received")+SUMIFS('1UV5KI'!$D$6:$D$2988,'1UV5KI'!$E$6:$E$2988,"&gt;="&amp;AN7,'1UV5KI'!$E$6:$E$2988,"&lt;="&amp;EOMONTH(AN7,0),'1UV5KI'!$F$6:$F$2988,"Bond Received")+SUMIFS(#REF!,#REF!,"&gt;="&amp;AN7,#REF!,"&lt;="&amp;EOMONTH(AN7,0),#REF!,"Bond Received")+SUMIFS('1UL9RY'!$D$6:$D$2989,'1UL9RY'!$E$6:$E$2989,"&gt;="&amp;AN7,'1UL9RY'!$E$6:$E$2989,"&lt;="&amp;EOMONTH(AN7,0),'1UL9RY'!$F$6:$F$2989,"Bond Received")+SUMIFS('1OZ7GT'!$D$6:$D$2989,'1OZ7GT'!$E$6:$E$2989,"&gt;="&amp;AN7,'1OZ7GT'!$E$6:$E$2989,"&lt;="&amp;EOMONTH(AN7,0),'1OZ7GT'!$F$6:$F$2989,"Bond Received")+SUMIFS('1CN8DD'!$D$6:$D$2989,'1CN8DD'!$E$6:$E$2989,"&gt;="&amp;AN7,'1CN8DD'!$E$6:$E$2989,"&lt;="&amp;EOMONTH(AN7,0),'1CN8DD'!$F$6:$F$2989,"Bond Received")+SUMIFS('1UT9BR'!$D$6:$D$2989,'1UT9BR'!$E$6:$E$2989,"&gt;="&amp;AN7,'1UT9BR'!$E$6:$E$2989,"&lt;="&amp;EOMONTH(AN7,0),'1UT9BR'!$F$6:$F$2989,"Bond Received")+SUMIFS('1MK4UR'!$D$6:$D$2989,'1MK4UR'!$E$6:$E$2989,"&gt;="&amp;AN7,'1MK4UR'!$E$6:$E$2989,"&lt;="&amp;EOMONTH(AN7,0),'1MK4UR'!$F$6:$F$2989,"Bond Received")+SUMIFS(#REF!,#REF!,"&gt;="&amp;AN7,#REF!,"&lt;="&amp;EOMONTH(AN7,0),#REF!,"Bond Received")+SUMIFS('1JI2UE'!$D$6:$D$2989,'1JI2UE'!$E$6:$E$2989,"&gt;="&amp;AN7,'1JI2UE'!$E$6:$E$2989,"&lt;="&amp;EOMONTH(AN7,0),'1JI2UE'!$F$6:$F$2989,"Bond Received")+SUMIFS(#REF!,#REF!,"&gt;="&amp;AN7,#REF!,"&lt;="&amp;EOMONTH(AN7,0),#REF!,"Bond Received")+SUMIFS('1SI9BW'!$D$6:$D$2989,'1SI9BW'!$E$6:$E$2989,"&gt;="&amp;AN7,'1SI9BW'!$E$6:$E$2989,"&lt;="&amp;EOMONTH(AN7,0),'1SI9BW'!$F$6:$F$2989,"Bond Received")+SUMIFS(Suzuki!$D$6:$D$2989,Suzuki!$E$6:$E$2989,"&gt;="&amp;AN7,Suzuki!$E$6:$E$2989,"&lt;="&amp;EOMONTH(AN7,0),Suzuki!$F$6:$F$2989,"Bond Received")+SUMIFS('1SK3DD'!$D$6:$D$2989,'1SK3DD'!$E$6:$E$2989,"&gt;="&amp;AN7,'1SK3DD'!$E$6:$E$2989,"&lt;="&amp;EOMONTH(AN7,0),'1SK3DD'!$F$6:$F$2989,"Bond Received")+SUMIFS('1SX5TQ'!$D$6:$D$2989,'1SX5TQ'!$E$6:$E$2989,"&gt;="&amp;AN7,'1SX5TQ'!$E$6:$E$2989,"&lt;="&amp;EOMONTH(AN7,0),'1SX5TQ'!$F$6:$F$2989,"Bond Received")+SUMIFS('BMM465'!$D$6:$D$2989,'BMM465'!$E$6:$E$2989,"&gt;="&amp;AN7,'BMM465'!$E$6:$E$2989,"&lt;="&amp;EOMONTH(AN7,0),'BMM465'!$F$6:$F$2989,"Bond Received")+SUMIFS('1CF1ZO'!$D$6:$D$2989,'1CF1ZO'!$E$6:$E$2989,"&gt;="&amp;AN7,'1CF1ZO'!$E$6:$E$2989,"&lt;="&amp;EOMONTH(AN7,0),'1CF1ZO'!$F$6:$F$2989,"Bond Received")+SUMIFS('1UK1BK'!$D$6:$D$2989,'1UK1BK'!$E$6:$E$2989,"&gt;="&amp;AN7,'1UK1BK'!$E$6:$E$2989,"&lt;="&amp;EOMONTH(AN7,0),'1UK1BK'!$F$6:$F$2989,"Bond Received")-(((SUMIFS('CEI565'!$K$6:$K$2990,'CEI565'!$J$6:$J$2990,"&gt;="&amp;AN7,'CEI565'!$J$6:$J$2990,"&lt;="&amp;EOMONTH(AN7,0),'CEI565'!$L$6:$L$2990,"Bond Return")+SUMIFS('1SM3VL'!$K$6:$K$2990,'1SM3VL'!$J$6:$J$2990,"&gt;="&amp;AN7,'1SM3VL'!$J$6:$J$2990,"&lt;="&amp;EOMONTH(AN7,0),'1SM3VL'!$L$6:$L$2990,"Bond Return")+SUMIFS('1QF4SM'!$K$6:$K$2989,'1QF4SM'!$J$6:$J$2989,"&gt;="&amp;AN7,'1QF4SM'!$J$6:$J$2989,"&lt;="&amp;EOMONTH(AN7,0),'1QF4SM'!$L$6:$L$2989,"Bond Return")+SUMIFS('1UV5KI'!$K$6:$K$2989,'1UV5KI'!$J$6:$J$2989,"&gt;="&amp;AN7,'1UV5KI'!$J$6:$J$2989,"&lt;="&amp;EOMONTH(AN7,0),'1UV5KI'!$L$6:$L$2989,"Bond Return")+SUMIFS(#REF!,#REF!,"&gt;="&amp;AN7,#REF!,"&lt;="&amp;EOMONTH(AN7,0),#REF!,"Bond Return")+SUMIFS('1UL9RY'!$K$6:$K$2990,'1UL9RY'!$J$6:$J$2990,"&gt;="&amp;AN7,'1UL9RY'!$J$6:$J$2990,"&lt;="&amp;EOMONTH(AN7,0),'1UL9RY'!$L$6:$L$2990,"Bond Return")+SUMIFS('1OZ7GT'!$K$6:$K$2989,'1OZ7GT'!$J$6:$J$2989,"&gt;="&amp;AN7,'1OZ7GT'!$J$6:$J$2989,"&lt;="&amp;EOMONTH(AN7,0),'1OZ7GT'!$L$6:$L$2989,"Bond Return")+SUMIFS('1CN8DD'!$K$6:$K$2989,'1CN8DD'!$J$6:$J$2989,"&gt;="&amp;AN7,'1CN8DD'!$J$6:$J$2989,"&lt;="&amp;EOMONTH(AN7,0),'1CN8DD'!$L$6:$L$2989,"Bond Return")+SUMIFS('1UT9BR'!$K$6:$K$2990,'1UT9BR'!$J$6:$J$2990,"&gt;="&amp;AN7,'1UT9BR'!$J$6:$J$2990,"&lt;="&amp;EOMONTH(AN7,0),'1UT9BR'!$L$6:$L$2990,"Bond Return")+SUMIFS('1MK4UR'!$K$6:$K$2990,'1MK4UR'!$J$6:$J$2990,"&gt;="&amp;AN7,'1MK4UR'!$J$6:$J$2990,"&lt;="&amp;EOMONTH(AN7,0),'1MK4UR'!$L$6:$L$2990,"Bond Return")+SUMIFS(#REF!,#REF!,"&gt;="&amp;AN7,#REF!,"&lt;="&amp;EOMONTH(AN7,0),#REF!,"Bond Return")+SUMIFS('1JI2UE'!$K$6:$K$2989,'1JI2UE'!$J$6:$J$2989,"&gt;="&amp;AN7,'1JI2UE'!$J$6:$J$2989,"&lt;="&amp;EOMONTH(AN7,0),'1JI2UE'!$L$6:$L$2989,"Bond Return")+SUMIFS(#REF!,#REF!,"&gt;="&amp;AN7,#REF!,"&lt;="&amp;EOMONTH(AN7,0),#REF!,"Bond Return")+SUMIFS('1SI9BW'!$K$6:$K$2989,'1SI9BW'!$J$6:$J$2989,"&gt;="&amp;AN7,'1SI9BW'!$J$6:$J$2989,"&lt;="&amp;EOMONTH(AN7,0),'1SI9BW'!$L$6:$L$2989,"Bond Return")+SUMIFS(Suzuki!$K$6:$K$2989,Suzuki!$J$6:$J$2989,"&gt;="&amp;AN7,Suzuki!$J$6:$J$2989,"&lt;="&amp;EOMONTH(AN7,0),Suzuki!$L$6:$L$2989,"Bond Return")+SUMIFS('1SK3DD'!$K$6:$K$2989,'1SK3DD'!$J$6:$J$2989,"&gt;="&amp;AN7,'1SK3DD'!$J$6:$J$2989,"&lt;="&amp;EOMONTH(AN7,0),'1SK3DD'!$L$6:$L$2989,"Bond Return")+SUMIFS('1SX5TQ'!$K$6:$K$2989,'1SX5TQ'!$J$6:$J$2989,"&gt;="&amp;AN7,'1SX5TQ'!$J$6:$J$2989,"&lt;="&amp;EOMONTH(AN7,0),'1SX5TQ'!$L$6:$L$2989,"Bond Return")+SUMIFS('BMM465'!$K$6:$K$2989,'BMM465'!$J$6:$J$2989,"&gt;="&amp;AN7,'BMM465'!$J$6:$J$2989,"&lt;="&amp;EOMONTH(AN7,0),'BMM465'!$L$6:$L$2989,"Bond Return")+SUMIFS('1CF1ZO'!$K$6:$K$2989,'1CF1ZO'!$J$6:$J$2989,"&gt;="&amp;AN7,'1CF1ZO'!$J$6:$J$2989,"&lt;="&amp;EOMONTH(AN7,0),'1CF1ZO'!$L$6:$L$2989,"Bond Return")+SUMIFS('1UK1BK'!$K$6:$K$2989,'1UK1BK'!$J$6:$J$2989,"&gt;="&amp;AN7,'1UK1BK'!$J$6:$J$2989,"&lt;="&amp;EOMONTH(AN7,0),'1UK1BK'!$L$6:$L$2989,"Bond Return"))))</f>
        <v>#REF!</v>
      </c>
      <c r="AO42" s="2" t="e">
        <f>SUMIFS('CEI565'!$D$6:$D$2994,'CEI565'!$E$6:$E$2994,"&gt;="&amp;AO7,'CEI565'!$E$6:$E$2994,"&lt;="&amp;EOMONTH(AO7,0),'CEI565'!$F$6:$F$2994,"Bond Received")+SUMIFS('1SM3VL'!$D$6:$D$2989,'1SM3VL'!$E$6:$E$2989,"&gt;="&amp;AO7,'1SM3VL'!$E$6:$E$2989,"&lt;="&amp;EOMONTH(AO7,0),'1SM3VL'!$F$6:$F$2989,"Bond Received")+SUMIFS('1QF4SM'!$D$6:$D$2989,'1QF4SM'!$E$6:$E$2989,"&gt;="&amp;AO7,'1QF4SM'!$E$6:$E$2989,"&lt;="&amp;EOMONTH(AO7,0),'1QF4SM'!$F$6:$F$2989,"Bond Received")+SUMIFS('1UV5KI'!$D$6:$D$2988,'1UV5KI'!$E$6:$E$2988,"&gt;="&amp;AO7,'1UV5KI'!$E$6:$E$2988,"&lt;="&amp;EOMONTH(AO7,0),'1UV5KI'!$F$6:$F$2988,"Bond Received")+SUMIFS(#REF!,#REF!,"&gt;="&amp;AO7,#REF!,"&lt;="&amp;EOMONTH(AO7,0),#REF!,"Bond Received")+SUMIFS('1UL9RY'!$D$6:$D$2989,'1UL9RY'!$E$6:$E$2989,"&gt;="&amp;AO7,'1UL9RY'!$E$6:$E$2989,"&lt;="&amp;EOMONTH(AO7,0),'1UL9RY'!$F$6:$F$2989,"Bond Received")+SUMIFS('1OZ7GT'!$D$6:$D$2989,'1OZ7GT'!$E$6:$E$2989,"&gt;="&amp;AO7,'1OZ7GT'!$E$6:$E$2989,"&lt;="&amp;EOMONTH(AO7,0),'1OZ7GT'!$F$6:$F$2989,"Bond Received")+SUMIFS('1CN8DD'!$D$6:$D$2989,'1CN8DD'!$E$6:$E$2989,"&gt;="&amp;AO7,'1CN8DD'!$E$6:$E$2989,"&lt;="&amp;EOMONTH(AO7,0),'1CN8DD'!$F$6:$F$2989,"Bond Received")+SUMIFS('1UT9BR'!$D$6:$D$2989,'1UT9BR'!$E$6:$E$2989,"&gt;="&amp;AO7,'1UT9BR'!$E$6:$E$2989,"&lt;="&amp;EOMONTH(AO7,0),'1UT9BR'!$F$6:$F$2989,"Bond Received")+SUMIFS('1MK4UR'!$D$6:$D$2989,'1MK4UR'!$E$6:$E$2989,"&gt;="&amp;AO7,'1MK4UR'!$E$6:$E$2989,"&lt;="&amp;EOMONTH(AO7,0),'1MK4UR'!$F$6:$F$2989,"Bond Received")+SUMIFS(#REF!,#REF!,"&gt;="&amp;AO7,#REF!,"&lt;="&amp;EOMONTH(AO7,0),#REF!,"Bond Received")+SUMIFS('1JI2UE'!$D$6:$D$2989,'1JI2UE'!$E$6:$E$2989,"&gt;="&amp;AO7,'1JI2UE'!$E$6:$E$2989,"&lt;="&amp;EOMONTH(AO7,0),'1JI2UE'!$F$6:$F$2989,"Bond Received")+SUMIFS(#REF!,#REF!,"&gt;="&amp;AO7,#REF!,"&lt;="&amp;EOMONTH(AO7,0),#REF!,"Bond Received")+SUMIFS('1SI9BW'!$D$6:$D$2989,'1SI9BW'!$E$6:$E$2989,"&gt;="&amp;AO7,'1SI9BW'!$E$6:$E$2989,"&lt;="&amp;EOMONTH(AO7,0),'1SI9BW'!$F$6:$F$2989,"Bond Received")+SUMIFS(Suzuki!$D$6:$D$2989,Suzuki!$E$6:$E$2989,"&gt;="&amp;AO7,Suzuki!$E$6:$E$2989,"&lt;="&amp;EOMONTH(AO7,0),Suzuki!$F$6:$F$2989,"Bond Received")+SUMIFS('1SK3DD'!$D$6:$D$2989,'1SK3DD'!$E$6:$E$2989,"&gt;="&amp;AO7,'1SK3DD'!$E$6:$E$2989,"&lt;="&amp;EOMONTH(AO7,0),'1SK3DD'!$F$6:$F$2989,"Bond Received")+SUMIFS('1SX5TQ'!$D$6:$D$2989,'1SX5TQ'!$E$6:$E$2989,"&gt;="&amp;AO7,'1SX5TQ'!$E$6:$E$2989,"&lt;="&amp;EOMONTH(AO7,0),'1SX5TQ'!$F$6:$F$2989,"Bond Received")+SUMIFS('BMM465'!$D$6:$D$2989,'BMM465'!$E$6:$E$2989,"&gt;="&amp;AO7,'BMM465'!$E$6:$E$2989,"&lt;="&amp;EOMONTH(AO7,0),'BMM465'!$F$6:$F$2989,"Bond Received")+SUMIFS('1CF1ZO'!$D$6:$D$2989,'1CF1ZO'!$E$6:$E$2989,"&gt;="&amp;AO7,'1CF1ZO'!$E$6:$E$2989,"&lt;="&amp;EOMONTH(AO7,0),'1CF1ZO'!$F$6:$F$2989,"Bond Received")+SUMIFS('1UK1BK'!$D$6:$D$2989,'1UK1BK'!$E$6:$E$2989,"&gt;="&amp;AO7,'1UK1BK'!$E$6:$E$2989,"&lt;="&amp;EOMONTH(AO7,0),'1UK1BK'!$F$6:$F$2989,"Bond Received")-(((SUMIFS('CEI565'!$K$6:$K$2990,'CEI565'!$J$6:$J$2990,"&gt;="&amp;AO7,'CEI565'!$J$6:$J$2990,"&lt;="&amp;EOMONTH(AO7,0),'CEI565'!$L$6:$L$2990,"Bond Return")+SUMIFS('1SM3VL'!$K$6:$K$2990,'1SM3VL'!$J$6:$J$2990,"&gt;="&amp;AO7,'1SM3VL'!$J$6:$J$2990,"&lt;="&amp;EOMONTH(AO7,0),'1SM3VL'!$L$6:$L$2990,"Bond Return")+SUMIFS('1QF4SM'!$K$6:$K$2989,'1QF4SM'!$J$6:$J$2989,"&gt;="&amp;AO7,'1QF4SM'!$J$6:$J$2989,"&lt;="&amp;EOMONTH(AO7,0),'1QF4SM'!$L$6:$L$2989,"Bond Return")+SUMIFS('1UV5KI'!$K$6:$K$2989,'1UV5KI'!$J$6:$J$2989,"&gt;="&amp;AO7,'1UV5KI'!$J$6:$J$2989,"&lt;="&amp;EOMONTH(AO7,0),'1UV5KI'!$L$6:$L$2989,"Bond Return")+SUMIFS(#REF!,#REF!,"&gt;="&amp;AO7,#REF!,"&lt;="&amp;EOMONTH(AO7,0),#REF!,"Bond Return")+SUMIFS('1UL9RY'!$K$6:$K$2990,'1UL9RY'!$J$6:$J$2990,"&gt;="&amp;AO7,'1UL9RY'!$J$6:$J$2990,"&lt;="&amp;EOMONTH(AO7,0),'1UL9RY'!$L$6:$L$2990,"Bond Return")+SUMIFS('1OZ7GT'!$K$6:$K$2989,'1OZ7GT'!$J$6:$J$2989,"&gt;="&amp;AO7,'1OZ7GT'!$J$6:$J$2989,"&lt;="&amp;EOMONTH(AO7,0),'1OZ7GT'!$L$6:$L$2989,"Bond Return")+SUMIFS('1CN8DD'!$K$6:$K$2989,'1CN8DD'!$J$6:$J$2989,"&gt;="&amp;AO7,'1CN8DD'!$J$6:$J$2989,"&lt;="&amp;EOMONTH(AO7,0),'1CN8DD'!$L$6:$L$2989,"Bond Return")+SUMIFS('1UT9BR'!$K$6:$K$2990,'1UT9BR'!$J$6:$J$2990,"&gt;="&amp;AO7,'1UT9BR'!$J$6:$J$2990,"&lt;="&amp;EOMONTH(AO7,0),'1UT9BR'!$L$6:$L$2990,"Bond Return")+SUMIFS('1MK4UR'!$K$6:$K$2990,'1MK4UR'!$J$6:$J$2990,"&gt;="&amp;AO7,'1MK4UR'!$J$6:$J$2990,"&lt;="&amp;EOMONTH(AO7,0),'1MK4UR'!$L$6:$L$2990,"Bond Return")+SUMIFS(#REF!,#REF!,"&gt;="&amp;AO7,#REF!,"&lt;="&amp;EOMONTH(AO7,0),#REF!,"Bond Return")+SUMIFS('1JI2UE'!$K$6:$K$2989,'1JI2UE'!$J$6:$J$2989,"&gt;="&amp;AO7,'1JI2UE'!$J$6:$J$2989,"&lt;="&amp;EOMONTH(AO7,0),'1JI2UE'!$L$6:$L$2989,"Bond Return")+SUMIFS(#REF!,#REF!,"&gt;="&amp;AO7,#REF!,"&lt;="&amp;EOMONTH(AO7,0),#REF!,"Bond Return")+SUMIFS('1SI9BW'!$K$6:$K$2989,'1SI9BW'!$J$6:$J$2989,"&gt;="&amp;AO7,'1SI9BW'!$J$6:$J$2989,"&lt;="&amp;EOMONTH(AO7,0),'1SI9BW'!$L$6:$L$2989,"Bond Return")+SUMIFS(Suzuki!$K$6:$K$2989,Suzuki!$J$6:$J$2989,"&gt;="&amp;AO7,Suzuki!$J$6:$J$2989,"&lt;="&amp;EOMONTH(AO7,0),Suzuki!$L$6:$L$2989,"Bond Return")+SUMIFS('1SK3DD'!$K$6:$K$2989,'1SK3DD'!$J$6:$J$2989,"&gt;="&amp;AO7,'1SK3DD'!$J$6:$J$2989,"&lt;="&amp;EOMONTH(AO7,0),'1SK3DD'!$L$6:$L$2989,"Bond Return")+SUMIFS('1SX5TQ'!$K$6:$K$2989,'1SX5TQ'!$J$6:$J$2989,"&gt;="&amp;AO7,'1SX5TQ'!$J$6:$J$2989,"&lt;="&amp;EOMONTH(AO7,0),'1SX5TQ'!$L$6:$L$2989,"Bond Return")+SUMIFS('BMM465'!$K$6:$K$2989,'BMM465'!$J$6:$J$2989,"&gt;="&amp;AO7,'BMM465'!$J$6:$J$2989,"&lt;="&amp;EOMONTH(AO7,0),'BMM465'!$L$6:$L$2989,"Bond Return")+SUMIFS('1CF1ZO'!$K$6:$K$2989,'1CF1ZO'!$J$6:$J$2989,"&gt;="&amp;AO7,'1CF1ZO'!$J$6:$J$2989,"&lt;="&amp;EOMONTH(AO7,0),'1CF1ZO'!$L$6:$L$2989,"Bond Return")+SUMIFS('1UK1BK'!$K$6:$K$2989,'1UK1BK'!$J$6:$J$2989,"&gt;="&amp;AO7,'1UK1BK'!$J$6:$J$2989,"&lt;="&amp;EOMONTH(AO7,0),'1UK1BK'!$L$6:$L$2989,"Bond Return"))))</f>
        <v>#REF!</v>
      </c>
      <c r="AP42" s="2" t="e">
        <f>SUMIFS('CEI565'!$D$6:$D$2994,'CEI565'!$E$6:$E$2994,"&gt;="&amp;AP7,'CEI565'!$E$6:$E$2994,"&lt;="&amp;EOMONTH(AP7,0),'CEI565'!$F$6:$F$2994,"Bond Received")+SUMIFS('1SM3VL'!$D$6:$D$2989,'1SM3VL'!$E$6:$E$2989,"&gt;="&amp;AP7,'1SM3VL'!$E$6:$E$2989,"&lt;="&amp;EOMONTH(AP7,0),'1SM3VL'!$F$6:$F$2989,"Bond Received")+SUMIFS('1QF4SM'!$D$6:$D$2989,'1QF4SM'!$E$6:$E$2989,"&gt;="&amp;AP7,'1QF4SM'!$E$6:$E$2989,"&lt;="&amp;EOMONTH(AP7,0),'1QF4SM'!$F$6:$F$2989,"Bond Received")+SUMIFS('1UV5KI'!$D$6:$D$2988,'1UV5KI'!$E$6:$E$2988,"&gt;="&amp;AP7,'1UV5KI'!$E$6:$E$2988,"&lt;="&amp;EOMONTH(AP7,0),'1UV5KI'!$F$6:$F$2988,"Bond Received")+SUMIFS(#REF!,#REF!,"&gt;="&amp;AP7,#REF!,"&lt;="&amp;EOMONTH(AP7,0),#REF!,"Bond Received")+SUMIFS('1UL9RY'!$D$6:$D$2989,'1UL9RY'!$E$6:$E$2989,"&gt;="&amp;AP7,'1UL9RY'!$E$6:$E$2989,"&lt;="&amp;EOMONTH(AP7,0),'1UL9RY'!$F$6:$F$2989,"Bond Received")+SUMIFS('1OZ7GT'!$D$6:$D$2989,'1OZ7GT'!$E$6:$E$2989,"&gt;="&amp;AP7,'1OZ7GT'!$E$6:$E$2989,"&lt;="&amp;EOMONTH(AP7,0),'1OZ7GT'!$F$6:$F$2989,"Bond Received")+SUMIFS('1CN8DD'!$D$6:$D$2989,'1CN8DD'!$E$6:$E$2989,"&gt;="&amp;AP7,'1CN8DD'!$E$6:$E$2989,"&lt;="&amp;EOMONTH(AP7,0),'1CN8DD'!$F$6:$F$2989,"Bond Received")+SUMIFS('1UT9BR'!$D$6:$D$2989,'1UT9BR'!$E$6:$E$2989,"&gt;="&amp;AP7,'1UT9BR'!$E$6:$E$2989,"&lt;="&amp;EOMONTH(AP7,0),'1UT9BR'!$F$6:$F$2989,"Bond Received")+SUMIFS('1MK4UR'!$D$6:$D$2989,'1MK4UR'!$E$6:$E$2989,"&gt;="&amp;AP7,'1MK4UR'!$E$6:$E$2989,"&lt;="&amp;EOMONTH(AP7,0),'1MK4UR'!$F$6:$F$2989,"Bond Received")+SUMIFS(#REF!,#REF!,"&gt;="&amp;AP7,#REF!,"&lt;="&amp;EOMONTH(AP7,0),#REF!,"Bond Received")+SUMIFS('1JI2UE'!$D$6:$D$2989,'1JI2UE'!$E$6:$E$2989,"&gt;="&amp;AP7,'1JI2UE'!$E$6:$E$2989,"&lt;="&amp;EOMONTH(AP7,0),'1JI2UE'!$F$6:$F$2989,"Bond Received")+SUMIFS(#REF!,#REF!,"&gt;="&amp;AP7,#REF!,"&lt;="&amp;EOMONTH(AP7,0),#REF!,"Bond Received")+SUMIFS('1SI9BW'!$D$6:$D$2989,'1SI9BW'!$E$6:$E$2989,"&gt;="&amp;AP7,'1SI9BW'!$E$6:$E$2989,"&lt;="&amp;EOMONTH(AP7,0),'1SI9BW'!$F$6:$F$2989,"Bond Received")+SUMIFS(Suzuki!$D$6:$D$2989,Suzuki!$E$6:$E$2989,"&gt;="&amp;AP7,Suzuki!$E$6:$E$2989,"&lt;="&amp;EOMONTH(AP7,0),Suzuki!$F$6:$F$2989,"Bond Received")+SUMIFS('1SK3DD'!$D$6:$D$2989,'1SK3DD'!$E$6:$E$2989,"&gt;="&amp;AP7,'1SK3DD'!$E$6:$E$2989,"&lt;="&amp;EOMONTH(AP7,0),'1SK3DD'!$F$6:$F$2989,"Bond Received")+SUMIFS('1SX5TQ'!$D$6:$D$2989,'1SX5TQ'!$E$6:$E$2989,"&gt;="&amp;AP7,'1SX5TQ'!$E$6:$E$2989,"&lt;="&amp;EOMONTH(AP7,0),'1SX5TQ'!$F$6:$F$2989,"Bond Received")+SUMIFS('BMM465'!$D$6:$D$2989,'BMM465'!$E$6:$E$2989,"&gt;="&amp;AP7,'BMM465'!$E$6:$E$2989,"&lt;="&amp;EOMONTH(AP7,0),'BMM465'!$F$6:$F$2989,"Bond Received")+SUMIFS('1CF1ZO'!$D$6:$D$2989,'1CF1ZO'!$E$6:$E$2989,"&gt;="&amp;AP7,'1CF1ZO'!$E$6:$E$2989,"&lt;="&amp;EOMONTH(AP7,0),'1CF1ZO'!$F$6:$F$2989,"Bond Received")+SUMIFS('1UK1BK'!$D$6:$D$2989,'1UK1BK'!$E$6:$E$2989,"&gt;="&amp;AP7,'1UK1BK'!$E$6:$E$2989,"&lt;="&amp;EOMONTH(AP7,0),'1UK1BK'!$F$6:$F$2989,"Bond Received")-(((SUMIFS('CEI565'!$K$6:$K$2990,'CEI565'!$J$6:$J$2990,"&gt;="&amp;AP7,'CEI565'!$J$6:$J$2990,"&lt;="&amp;EOMONTH(AP7,0),'CEI565'!$L$6:$L$2990,"Bond Return")+SUMIFS('1SM3VL'!$K$6:$K$2990,'1SM3VL'!$J$6:$J$2990,"&gt;="&amp;AP7,'1SM3VL'!$J$6:$J$2990,"&lt;="&amp;EOMONTH(AP7,0),'1SM3VL'!$L$6:$L$2990,"Bond Return")+SUMIFS('1QF4SM'!$K$6:$K$2989,'1QF4SM'!$J$6:$J$2989,"&gt;="&amp;AP7,'1QF4SM'!$J$6:$J$2989,"&lt;="&amp;EOMONTH(AP7,0),'1QF4SM'!$L$6:$L$2989,"Bond Return")+SUMIFS('1UV5KI'!$K$6:$K$2989,'1UV5KI'!$J$6:$J$2989,"&gt;="&amp;AP7,'1UV5KI'!$J$6:$J$2989,"&lt;="&amp;EOMONTH(AP7,0),'1UV5KI'!$L$6:$L$2989,"Bond Return")+SUMIFS(#REF!,#REF!,"&gt;="&amp;AP7,#REF!,"&lt;="&amp;EOMONTH(AP7,0),#REF!,"Bond Return")+SUMIFS('1UL9RY'!$K$6:$K$2990,'1UL9RY'!$J$6:$J$2990,"&gt;="&amp;AP7,'1UL9RY'!$J$6:$J$2990,"&lt;="&amp;EOMONTH(AP7,0),'1UL9RY'!$L$6:$L$2990,"Bond Return")+SUMIFS('1OZ7GT'!$K$6:$K$2989,'1OZ7GT'!$J$6:$J$2989,"&gt;="&amp;AP7,'1OZ7GT'!$J$6:$J$2989,"&lt;="&amp;EOMONTH(AP7,0),'1OZ7GT'!$L$6:$L$2989,"Bond Return")+SUMIFS('1CN8DD'!$K$6:$K$2989,'1CN8DD'!$J$6:$J$2989,"&gt;="&amp;AP7,'1CN8DD'!$J$6:$J$2989,"&lt;="&amp;EOMONTH(AP7,0),'1CN8DD'!$L$6:$L$2989,"Bond Return")+SUMIFS('1UT9BR'!$K$6:$K$2990,'1UT9BR'!$J$6:$J$2990,"&gt;="&amp;AP7,'1UT9BR'!$J$6:$J$2990,"&lt;="&amp;EOMONTH(AP7,0),'1UT9BR'!$L$6:$L$2990,"Bond Return")+SUMIFS('1MK4UR'!$K$6:$K$2990,'1MK4UR'!$J$6:$J$2990,"&gt;="&amp;AP7,'1MK4UR'!$J$6:$J$2990,"&lt;="&amp;EOMONTH(AP7,0),'1MK4UR'!$L$6:$L$2990,"Bond Return")+SUMIFS(#REF!,#REF!,"&gt;="&amp;AP7,#REF!,"&lt;="&amp;EOMONTH(AP7,0),#REF!,"Bond Return")+SUMIFS('1JI2UE'!$K$6:$K$2989,'1JI2UE'!$J$6:$J$2989,"&gt;="&amp;AP7,'1JI2UE'!$J$6:$J$2989,"&lt;="&amp;EOMONTH(AP7,0),'1JI2UE'!$L$6:$L$2989,"Bond Return")+SUMIFS(#REF!,#REF!,"&gt;="&amp;AP7,#REF!,"&lt;="&amp;EOMONTH(AP7,0),#REF!,"Bond Return")+SUMIFS('1SI9BW'!$K$6:$K$2989,'1SI9BW'!$J$6:$J$2989,"&gt;="&amp;AP7,'1SI9BW'!$J$6:$J$2989,"&lt;="&amp;EOMONTH(AP7,0),'1SI9BW'!$L$6:$L$2989,"Bond Return")+SUMIFS(Suzuki!$K$6:$K$2989,Suzuki!$J$6:$J$2989,"&gt;="&amp;AP7,Suzuki!$J$6:$J$2989,"&lt;="&amp;EOMONTH(AP7,0),Suzuki!$L$6:$L$2989,"Bond Return")+SUMIFS('1SK3DD'!$K$6:$K$2989,'1SK3DD'!$J$6:$J$2989,"&gt;="&amp;AP7,'1SK3DD'!$J$6:$J$2989,"&lt;="&amp;EOMONTH(AP7,0),'1SK3DD'!$L$6:$L$2989,"Bond Return")+SUMIFS('1SX5TQ'!$K$6:$K$2989,'1SX5TQ'!$J$6:$J$2989,"&gt;="&amp;AP7,'1SX5TQ'!$J$6:$J$2989,"&lt;="&amp;EOMONTH(AP7,0),'1SX5TQ'!$L$6:$L$2989,"Bond Return")+SUMIFS('BMM465'!$K$6:$K$2989,'BMM465'!$J$6:$J$2989,"&gt;="&amp;AP7,'BMM465'!$J$6:$J$2989,"&lt;="&amp;EOMONTH(AP7,0),'BMM465'!$L$6:$L$2989,"Bond Return")+SUMIFS('1CF1ZO'!$K$6:$K$2989,'1CF1ZO'!$J$6:$J$2989,"&gt;="&amp;AP7,'1CF1ZO'!$J$6:$J$2989,"&lt;="&amp;EOMONTH(AP7,0),'1CF1ZO'!$L$6:$L$2989,"Bond Return")+SUMIFS('1UK1BK'!$K$6:$K$2989,'1UK1BK'!$J$6:$J$2989,"&gt;="&amp;AP7,'1UK1BK'!$J$6:$J$2989,"&lt;="&amp;EOMONTH(AP7,0),'1UK1BK'!$L$6:$L$2989,"Bond Return"))))</f>
        <v>#REF!</v>
      </c>
      <c r="AQ42" s="2" t="e">
        <f>SUMIFS('CEI565'!$D$6:$D$2994,'CEI565'!$E$6:$E$2994,"&gt;="&amp;AQ7,'CEI565'!$E$6:$E$2994,"&lt;="&amp;EOMONTH(AQ7,0),'CEI565'!$F$6:$F$2994,"Bond Received")+SUMIFS('1SM3VL'!$D$6:$D$2989,'1SM3VL'!$E$6:$E$2989,"&gt;="&amp;AQ7,'1SM3VL'!$E$6:$E$2989,"&lt;="&amp;EOMONTH(AQ7,0),'1SM3VL'!$F$6:$F$2989,"Bond Received")+SUMIFS('1QF4SM'!$D$6:$D$2989,'1QF4SM'!$E$6:$E$2989,"&gt;="&amp;AQ7,'1QF4SM'!$E$6:$E$2989,"&lt;="&amp;EOMONTH(AQ7,0),'1QF4SM'!$F$6:$F$2989,"Bond Received")+SUMIFS('1UV5KI'!$D$6:$D$2988,'1UV5KI'!$E$6:$E$2988,"&gt;="&amp;AQ7,'1UV5KI'!$E$6:$E$2988,"&lt;="&amp;EOMONTH(AQ7,0),'1UV5KI'!$F$6:$F$2988,"Bond Received")+SUMIFS(#REF!,#REF!,"&gt;="&amp;AQ7,#REF!,"&lt;="&amp;EOMONTH(AQ7,0),#REF!,"Bond Received")+SUMIFS('1UL9RY'!$D$6:$D$2989,'1UL9RY'!$E$6:$E$2989,"&gt;="&amp;AQ7,'1UL9RY'!$E$6:$E$2989,"&lt;="&amp;EOMONTH(AQ7,0),'1UL9RY'!$F$6:$F$2989,"Bond Received")+SUMIFS('1OZ7GT'!$D$6:$D$2989,'1OZ7GT'!$E$6:$E$2989,"&gt;="&amp;AQ7,'1OZ7GT'!$E$6:$E$2989,"&lt;="&amp;EOMONTH(AQ7,0),'1OZ7GT'!$F$6:$F$2989,"Bond Received")+SUMIFS('1CN8DD'!$D$6:$D$2989,'1CN8DD'!$E$6:$E$2989,"&gt;="&amp;AQ7,'1CN8DD'!$E$6:$E$2989,"&lt;="&amp;EOMONTH(AQ7,0),'1CN8DD'!$F$6:$F$2989,"Bond Received")+SUMIFS('1UT9BR'!$D$6:$D$2989,'1UT9BR'!$E$6:$E$2989,"&gt;="&amp;AQ7,'1UT9BR'!$E$6:$E$2989,"&lt;="&amp;EOMONTH(AQ7,0),'1UT9BR'!$F$6:$F$2989,"Bond Received")+SUMIFS('1MK4UR'!$D$6:$D$2989,'1MK4UR'!$E$6:$E$2989,"&gt;="&amp;AQ7,'1MK4UR'!$E$6:$E$2989,"&lt;="&amp;EOMONTH(AQ7,0),'1MK4UR'!$F$6:$F$2989,"Bond Received")+SUMIFS(#REF!,#REF!,"&gt;="&amp;AQ7,#REF!,"&lt;="&amp;EOMONTH(AQ7,0),#REF!,"Bond Received")+SUMIFS('1JI2UE'!$D$6:$D$2989,'1JI2UE'!$E$6:$E$2989,"&gt;="&amp;AQ7,'1JI2UE'!$E$6:$E$2989,"&lt;="&amp;EOMONTH(AQ7,0),'1JI2UE'!$F$6:$F$2989,"Bond Received")+SUMIFS(#REF!,#REF!,"&gt;="&amp;AQ7,#REF!,"&lt;="&amp;EOMONTH(AQ7,0),#REF!,"Bond Received")+SUMIFS('1SI9BW'!$D$6:$D$2989,'1SI9BW'!$E$6:$E$2989,"&gt;="&amp;AQ7,'1SI9BW'!$E$6:$E$2989,"&lt;="&amp;EOMONTH(AQ7,0),'1SI9BW'!$F$6:$F$2989,"Bond Received")+SUMIFS(Suzuki!$D$6:$D$2989,Suzuki!$E$6:$E$2989,"&gt;="&amp;AQ7,Suzuki!$E$6:$E$2989,"&lt;="&amp;EOMONTH(AQ7,0),Suzuki!$F$6:$F$2989,"Bond Received")+SUMIFS('1SK3DD'!$D$6:$D$2989,'1SK3DD'!$E$6:$E$2989,"&gt;="&amp;AQ7,'1SK3DD'!$E$6:$E$2989,"&lt;="&amp;EOMONTH(AQ7,0),'1SK3DD'!$F$6:$F$2989,"Bond Received")+SUMIFS('1SX5TQ'!$D$6:$D$2989,'1SX5TQ'!$E$6:$E$2989,"&gt;="&amp;AQ7,'1SX5TQ'!$E$6:$E$2989,"&lt;="&amp;EOMONTH(AQ7,0),'1SX5TQ'!$F$6:$F$2989,"Bond Received")+SUMIFS('BMM465'!$D$6:$D$2989,'BMM465'!$E$6:$E$2989,"&gt;="&amp;AQ7,'BMM465'!$E$6:$E$2989,"&lt;="&amp;EOMONTH(AQ7,0),'BMM465'!$F$6:$F$2989,"Bond Received")+SUMIFS('1CF1ZO'!$D$6:$D$2989,'1CF1ZO'!$E$6:$E$2989,"&gt;="&amp;AQ7,'1CF1ZO'!$E$6:$E$2989,"&lt;="&amp;EOMONTH(AQ7,0),'1CF1ZO'!$F$6:$F$2989,"Bond Received")+SUMIFS('1UK1BK'!$D$6:$D$2989,'1UK1BK'!$E$6:$E$2989,"&gt;="&amp;AQ7,'1UK1BK'!$E$6:$E$2989,"&lt;="&amp;EOMONTH(AQ7,0),'1UK1BK'!$F$6:$F$2989,"Bond Received")-(((SUMIFS('CEI565'!$K$6:$K$2990,'CEI565'!$J$6:$J$2990,"&gt;="&amp;AQ7,'CEI565'!$J$6:$J$2990,"&lt;="&amp;EOMONTH(AQ7,0),'CEI565'!$L$6:$L$2990,"Bond Return")+SUMIFS('1SM3VL'!$K$6:$K$2990,'1SM3VL'!$J$6:$J$2990,"&gt;="&amp;AQ7,'1SM3VL'!$J$6:$J$2990,"&lt;="&amp;EOMONTH(AQ7,0),'1SM3VL'!$L$6:$L$2990,"Bond Return")+SUMIFS('1QF4SM'!$K$6:$K$2989,'1QF4SM'!$J$6:$J$2989,"&gt;="&amp;AQ7,'1QF4SM'!$J$6:$J$2989,"&lt;="&amp;EOMONTH(AQ7,0),'1QF4SM'!$L$6:$L$2989,"Bond Return")+SUMIFS('1UV5KI'!$K$6:$K$2989,'1UV5KI'!$J$6:$J$2989,"&gt;="&amp;AQ7,'1UV5KI'!$J$6:$J$2989,"&lt;="&amp;EOMONTH(AQ7,0),'1UV5KI'!$L$6:$L$2989,"Bond Return")+SUMIFS(#REF!,#REF!,"&gt;="&amp;AQ7,#REF!,"&lt;="&amp;EOMONTH(AQ7,0),#REF!,"Bond Return")+SUMIFS('1UL9RY'!$K$6:$K$2990,'1UL9RY'!$J$6:$J$2990,"&gt;="&amp;AQ7,'1UL9RY'!$J$6:$J$2990,"&lt;="&amp;EOMONTH(AQ7,0),'1UL9RY'!$L$6:$L$2990,"Bond Return")+SUMIFS('1OZ7GT'!$K$6:$K$2989,'1OZ7GT'!$J$6:$J$2989,"&gt;="&amp;AQ7,'1OZ7GT'!$J$6:$J$2989,"&lt;="&amp;EOMONTH(AQ7,0),'1OZ7GT'!$L$6:$L$2989,"Bond Return")+SUMIFS('1CN8DD'!$K$6:$K$2989,'1CN8DD'!$J$6:$J$2989,"&gt;="&amp;AQ7,'1CN8DD'!$J$6:$J$2989,"&lt;="&amp;EOMONTH(AQ7,0),'1CN8DD'!$L$6:$L$2989,"Bond Return")+SUMIFS('1UT9BR'!$K$6:$K$2990,'1UT9BR'!$J$6:$J$2990,"&gt;="&amp;AQ7,'1UT9BR'!$J$6:$J$2990,"&lt;="&amp;EOMONTH(AQ7,0),'1UT9BR'!$L$6:$L$2990,"Bond Return")+SUMIFS('1MK4UR'!$K$6:$K$2990,'1MK4UR'!$J$6:$J$2990,"&gt;="&amp;AQ7,'1MK4UR'!$J$6:$J$2990,"&lt;="&amp;EOMONTH(AQ7,0),'1MK4UR'!$L$6:$L$2990,"Bond Return")+SUMIFS(#REF!,#REF!,"&gt;="&amp;AQ7,#REF!,"&lt;="&amp;EOMONTH(AQ7,0),#REF!,"Bond Return")+SUMIFS('1JI2UE'!$K$6:$K$2989,'1JI2UE'!$J$6:$J$2989,"&gt;="&amp;AQ7,'1JI2UE'!$J$6:$J$2989,"&lt;="&amp;EOMONTH(AQ7,0),'1JI2UE'!$L$6:$L$2989,"Bond Return")+SUMIFS(#REF!,#REF!,"&gt;="&amp;AQ7,#REF!,"&lt;="&amp;EOMONTH(AQ7,0),#REF!,"Bond Return")+SUMIFS('1SI9BW'!$K$6:$K$2989,'1SI9BW'!$J$6:$J$2989,"&gt;="&amp;AQ7,'1SI9BW'!$J$6:$J$2989,"&lt;="&amp;EOMONTH(AQ7,0),'1SI9BW'!$L$6:$L$2989,"Bond Return")+SUMIFS(Suzuki!$K$6:$K$2989,Suzuki!$J$6:$J$2989,"&gt;="&amp;AQ7,Suzuki!$J$6:$J$2989,"&lt;="&amp;EOMONTH(AQ7,0),Suzuki!$L$6:$L$2989,"Bond Return")+SUMIFS('1SK3DD'!$K$6:$K$2989,'1SK3DD'!$J$6:$J$2989,"&gt;="&amp;AQ7,'1SK3DD'!$J$6:$J$2989,"&lt;="&amp;EOMONTH(AQ7,0),'1SK3DD'!$L$6:$L$2989,"Bond Return")+SUMIFS('1SX5TQ'!$K$6:$K$2989,'1SX5TQ'!$J$6:$J$2989,"&gt;="&amp;AQ7,'1SX5TQ'!$J$6:$J$2989,"&lt;="&amp;EOMONTH(AQ7,0),'1SX5TQ'!$L$6:$L$2989,"Bond Return")+SUMIFS('BMM465'!$K$6:$K$2989,'BMM465'!$J$6:$J$2989,"&gt;="&amp;AQ7,'BMM465'!$J$6:$J$2989,"&lt;="&amp;EOMONTH(AQ7,0),'BMM465'!$L$6:$L$2989,"Bond Return")+SUMIFS('1CF1ZO'!$K$6:$K$2989,'1CF1ZO'!$J$6:$J$2989,"&gt;="&amp;AQ7,'1CF1ZO'!$J$6:$J$2989,"&lt;="&amp;EOMONTH(AQ7,0),'1CF1ZO'!$L$6:$L$2989,"Bond Return")+SUMIFS('1UK1BK'!$K$6:$K$2989,'1UK1BK'!$J$6:$J$2989,"&gt;="&amp;AQ7,'1UK1BK'!$J$6:$J$2989,"&lt;="&amp;EOMONTH(AQ7,0),'1UK1BK'!$L$6:$L$2989,"Bond Return"))))</f>
        <v>#REF!</v>
      </c>
      <c r="AR42" s="2" t="e">
        <f>SUMIFS('CEI565'!$D$6:$D$2994,'CEI565'!$E$6:$E$2994,"&gt;="&amp;AR7,'CEI565'!$E$6:$E$2994,"&lt;="&amp;EOMONTH(AR7,0),'CEI565'!$F$6:$F$2994,"Bond Received")+SUMIFS('1SM3VL'!$D$6:$D$2989,'1SM3VL'!$E$6:$E$2989,"&gt;="&amp;AR7,'1SM3VL'!$E$6:$E$2989,"&lt;="&amp;EOMONTH(AR7,0),'1SM3VL'!$F$6:$F$2989,"Bond Received")+SUMIFS('1QF4SM'!$D$6:$D$2989,'1QF4SM'!$E$6:$E$2989,"&gt;="&amp;AR7,'1QF4SM'!$E$6:$E$2989,"&lt;="&amp;EOMONTH(AR7,0),'1QF4SM'!$F$6:$F$2989,"Bond Received")+SUMIFS('1UV5KI'!$D$6:$D$2988,'1UV5KI'!$E$6:$E$2988,"&gt;="&amp;AR7,'1UV5KI'!$E$6:$E$2988,"&lt;="&amp;EOMONTH(AR7,0),'1UV5KI'!$F$6:$F$2988,"Bond Received")+SUMIFS(#REF!,#REF!,"&gt;="&amp;AR7,#REF!,"&lt;="&amp;EOMONTH(AR7,0),#REF!,"Bond Received")+SUMIFS('1UL9RY'!$D$6:$D$2989,'1UL9RY'!$E$6:$E$2989,"&gt;="&amp;AR7,'1UL9RY'!$E$6:$E$2989,"&lt;="&amp;EOMONTH(AR7,0),'1UL9RY'!$F$6:$F$2989,"Bond Received")+SUMIFS('1OZ7GT'!$D$6:$D$2989,'1OZ7GT'!$E$6:$E$2989,"&gt;="&amp;AR7,'1OZ7GT'!$E$6:$E$2989,"&lt;="&amp;EOMONTH(AR7,0),'1OZ7GT'!$F$6:$F$2989,"Bond Received")+SUMIFS('1CN8DD'!$D$6:$D$2989,'1CN8DD'!$E$6:$E$2989,"&gt;="&amp;AR7,'1CN8DD'!$E$6:$E$2989,"&lt;="&amp;EOMONTH(AR7,0),'1CN8DD'!$F$6:$F$2989,"Bond Received")+SUMIFS('1UT9BR'!$D$6:$D$2989,'1UT9BR'!$E$6:$E$2989,"&gt;="&amp;AR7,'1UT9BR'!$E$6:$E$2989,"&lt;="&amp;EOMONTH(AR7,0),'1UT9BR'!$F$6:$F$2989,"Bond Received")+SUMIFS('1MK4UR'!$D$6:$D$2989,'1MK4UR'!$E$6:$E$2989,"&gt;="&amp;AR7,'1MK4UR'!$E$6:$E$2989,"&lt;="&amp;EOMONTH(AR7,0),'1MK4UR'!$F$6:$F$2989,"Bond Received")+SUMIFS(#REF!,#REF!,"&gt;="&amp;AR7,#REF!,"&lt;="&amp;EOMONTH(AR7,0),#REF!,"Bond Received")+SUMIFS('1JI2UE'!$D$6:$D$2989,'1JI2UE'!$E$6:$E$2989,"&gt;="&amp;AR7,'1JI2UE'!$E$6:$E$2989,"&lt;="&amp;EOMONTH(AR7,0),'1JI2UE'!$F$6:$F$2989,"Bond Received")+SUMIFS(#REF!,#REF!,"&gt;="&amp;AR7,#REF!,"&lt;="&amp;EOMONTH(AR7,0),#REF!,"Bond Received")+SUMIFS('1SI9BW'!$D$6:$D$2989,'1SI9BW'!$E$6:$E$2989,"&gt;="&amp;AR7,'1SI9BW'!$E$6:$E$2989,"&lt;="&amp;EOMONTH(AR7,0),'1SI9BW'!$F$6:$F$2989,"Bond Received")+SUMIFS(Suzuki!$D$6:$D$2989,Suzuki!$E$6:$E$2989,"&gt;="&amp;AR7,Suzuki!$E$6:$E$2989,"&lt;="&amp;EOMONTH(AR7,0),Suzuki!$F$6:$F$2989,"Bond Received")+SUMIFS('1SK3DD'!$D$6:$D$2989,'1SK3DD'!$E$6:$E$2989,"&gt;="&amp;AR7,'1SK3DD'!$E$6:$E$2989,"&lt;="&amp;EOMONTH(AR7,0),'1SK3DD'!$F$6:$F$2989,"Bond Received")+SUMIFS('1SX5TQ'!$D$6:$D$2989,'1SX5TQ'!$E$6:$E$2989,"&gt;="&amp;AR7,'1SX5TQ'!$E$6:$E$2989,"&lt;="&amp;EOMONTH(AR7,0),'1SX5TQ'!$F$6:$F$2989,"Bond Received")+SUMIFS('BMM465'!$D$6:$D$2989,'BMM465'!$E$6:$E$2989,"&gt;="&amp;AR7,'BMM465'!$E$6:$E$2989,"&lt;="&amp;EOMONTH(AR7,0),'BMM465'!$F$6:$F$2989,"Bond Received")+SUMIFS('1CF1ZO'!$D$6:$D$2989,'1CF1ZO'!$E$6:$E$2989,"&gt;="&amp;AR7,'1CF1ZO'!$E$6:$E$2989,"&lt;="&amp;EOMONTH(AR7,0),'1CF1ZO'!$F$6:$F$2989,"Bond Received")+SUMIFS('1UK1BK'!$D$6:$D$2989,'1UK1BK'!$E$6:$E$2989,"&gt;="&amp;AR7,'1UK1BK'!$E$6:$E$2989,"&lt;="&amp;EOMONTH(AR7,0),'1UK1BK'!$F$6:$F$2989,"Bond Received")-(((SUMIFS('CEI565'!$K$6:$K$2990,'CEI565'!$J$6:$J$2990,"&gt;="&amp;AR7,'CEI565'!$J$6:$J$2990,"&lt;="&amp;EOMONTH(AR7,0),'CEI565'!$L$6:$L$2990,"Bond Return")+SUMIFS('1SM3VL'!$K$6:$K$2990,'1SM3VL'!$J$6:$J$2990,"&gt;="&amp;AR7,'1SM3VL'!$J$6:$J$2990,"&lt;="&amp;EOMONTH(AR7,0),'1SM3VL'!$L$6:$L$2990,"Bond Return")+SUMIFS('1QF4SM'!$K$6:$K$2989,'1QF4SM'!$J$6:$J$2989,"&gt;="&amp;AR7,'1QF4SM'!$J$6:$J$2989,"&lt;="&amp;EOMONTH(AR7,0),'1QF4SM'!$L$6:$L$2989,"Bond Return")+SUMIFS('1UV5KI'!$K$6:$K$2989,'1UV5KI'!$J$6:$J$2989,"&gt;="&amp;AR7,'1UV5KI'!$J$6:$J$2989,"&lt;="&amp;EOMONTH(AR7,0),'1UV5KI'!$L$6:$L$2989,"Bond Return")+SUMIFS(#REF!,#REF!,"&gt;="&amp;AR7,#REF!,"&lt;="&amp;EOMONTH(AR7,0),#REF!,"Bond Return")+SUMIFS('1UL9RY'!$K$6:$K$2990,'1UL9RY'!$J$6:$J$2990,"&gt;="&amp;AR7,'1UL9RY'!$J$6:$J$2990,"&lt;="&amp;EOMONTH(AR7,0),'1UL9RY'!$L$6:$L$2990,"Bond Return")+SUMIFS('1OZ7GT'!$K$6:$K$2989,'1OZ7GT'!$J$6:$J$2989,"&gt;="&amp;AR7,'1OZ7GT'!$J$6:$J$2989,"&lt;="&amp;EOMONTH(AR7,0),'1OZ7GT'!$L$6:$L$2989,"Bond Return")+SUMIFS('1CN8DD'!$K$6:$K$2989,'1CN8DD'!$J$6:$J$2989,"&gt;="&amp;AR7,'1CN8DD'!$J$6:$J$2989,"&lt;="&amp;EOMONTH(AR7,0),'1CN8DD'!$L$6:$L$2989,"Bond Return")+SUMIFS('1UT9BR'!$K$6:$K$2990,'1UT9BR'!$J$6:$J$2990,"&gt;="&amp;AR7,'1UT9BR'!$J$6:$J$2990,"&lt;="&amp;EOMONTH(AR7,0),'1UT9BR'!$L$6:$L$2990,"Bond Return")+SUMIFS('1MK4UR'!$K$6:$K$2990,'1MK4UR'!$J$6:$J$2990,"&gt;="&amp;AR7,'1MK4UR'!$J$6:$J$2990,"&lt;="&amp;EOMONTH(AR7,0),'1MK4UR'!$L$6:$L$2990,"Bond Return")+SUMIFS(#REF!,#REF!,"&gt;="&amp;AR7,#REF!,"&lt;="&amp;EOMONTH(AR7,0),#REF!,"Bond Return")+SUMIFS('1JI2UE'!$K$6:$K$2989,'1JI2UE'!$J$6:$J$2989,"&gt;="&amp;AR7,'1JI2UE'!$J$6:$J$2989,"&lt;="&amp;EOMONTH(AR7,0),'1JI2UE'!$L$6:$L$2989,"Bond Return")+SUMIFS(#REF!,#REF!,"&gt;="&amp;AR7,#REF!,"&lt;="&amp;EOMONTH(AR7,0),#REF!,"Bond Return")+SUMIFS('1SI9BW'!$K$6:$K$2989,'1SI9BW'!$J$6:$J$2989,"&gt;="&amp;AR7,'1SI9BW'!$J$6:$J$2989,"&lt;="&amp;EOMONTH(AR7,0),'1SI9BW'!$L$6:$L$2989,"Bond Return")+SUMIFS(Suzuki!$K$6:$K$2989,Suzuki!$J$6:$J$2989,"&gt;="&amp;AR7,Suzuki!$J$6:$J$2989,"&lt;="&amp;EOMONTH(AR7,0),Suzuki!$L$6:$L$2989,"Bond Return")+SUMIFS('1SK3DD'!$K$6:$K$2989,'1SK3DD'!$J$6:$J$2989,"&gt;="&amp;AR7,'1SK3DD'!$J$6:$J$2989,"&lt;="&amp;EOMONTH(AR7,0),'1SK3DD'!$L$6:$L$2989,"Bond Return")+SUMIFS('1SX5TQ'!$K$6:$K$2989,'1SX5TQ'!$J$6:$J$2989,"&gt;="&amp;AR7,'1SX5TQ'!$J$6:$J$2989,"&lt;="&amp;EOMONTH(AR7,0),'1SX5TQ'!$L$6:$L$2989,"Bond Return")+SUMIFS('BMM465'!$K$6:$K$2989,'BMM465'!$J$6:$J$2989,"&gt;="&amp;AR7,'BMM465'!$J$6:$J$2989,"&lt;="&amp;EOMONTH(AR7,0),'BMM465'!$L$6:$L$2989,"Bond Return")+SUMIFS('1CF1ZO'!$K$6:$K$2989,'1CF1ZO'!$J$6:$J$2989,"&gt;="&amp;AR7,'1CF1ZO'!$J$6:$J$2989,"&lt;="&amp;EOMONTH(AR7,0),'1CF1ZO'!$L$6:$L$2989,"Bond Return")+SUMIFS('1UK1BK'!$K$6:$K$2989,'1UK1BK'!$J$6:$J$2989,"&gt;="&amp;AR7,'1UK1BK'!$J$6:$J$2989,"&lt;="&amp;EOMONTH(AR7,0),'1UK1BK'!$L$6:$L$2989,"Bond Return"))))</f>
        <v>#REF!</v>
      </c>
      <c r="AS42" s="2" t="e">
        <f>SUMIFS('CEI565'!$D$6:$D$2994,'CEI565'!$E$6:$E$2994,"&gt;="&amp;AS7,'CEI565'!$E$6:$E$2994,"&lt;="&amp;EOMONTH(AS7,0),'CEI565'!$F$6:$F$2994,"Bond Received")+SUMIFS('1SM3VL'!$D$6:$D$2989,'1SM3VL'!$E$6:$E$2989,"&gt;="&amp;AS7,'1SM3VL'!$E$6:$E$2989,"&lt;="&amp;EOMONTH(AS7,0),'1SM3VL'!$F$6:$F$2989,"Bond Received")+SUMIFS('1QF4SM'!$D$6:$D$2989,'1QF4SM'!$E$6:$E$2989,"&gt;="&amp;AS7,'1QF4SM'!$E$6:$E$2989,"&lt;="&amp;EOMONTH(AS7,0),'1QF4SM'!$F$6:$F$2989,"Bond Received")+SUMIFS('1UV5KI'!$D$6:$D$2988,'1UV5KI'!$E$6:$E$2988,"&gt;="&amp;AS7,'1UV5KI'!$E$6:$E$2988,"&lt;="&amp;EOMONTH(AS7,0),'1UV5KI'!$F$6:$F$2988,"Bond Received")+SUMIFS(#REF!,#REF!,"&gt;="&amp;AS7,#REF!,"&lt;="&amp;EOMONTH(AS7,0),#REF!,"Bond Received")+SUMIFS('1UL9RY'!$D$6:$D$2989,'1UL9RY'!$E$6:$E$2989,"&gt;="&amp;AS7,'1UL9RY'!$E$6:$E$2989,"&lt;="&amp;EOMONTH(AS7,0),'1UL9RY'!$F$6:$F$2989,"Bond Received")+SUMIFS('1OZ7GT'!$D$6:$D$2989,'1OZ7GT'!$E$6:$E$2989,"&gt;="&amp;AS7,'1OZ7GT'!$E$6:$E$2989,"&lt;="&amp;EOMONTH(AS7,0),'1OZ7GT'!$F$6:$F$2989,"Bond Received")+SUMIFS('1CN8DD'!$D$6:$D$2989,'1CN8DD'!$E$6:$E$2989,"&gt;="&amp;AS7,'1CN8DD'!$E$6:$E$2989,"&lt;="&amp;EOMONTH(AS7,0),'1CN8DD'!$F$6:$F$2989,"Bond Received")+SUMIFS('1UT9BR'!$D$6:$D$2989,'1UT9BR'!$E$6:$E$2989,"&gt;="&amp;AS7,'1UT9BR'!$E$6:$E$2989,"&lt;="&amp;EOMONTH(AS7,0),'1UT9BR'!$F$6:$F$2989,"Bond Received")+SUMIFS('1MK4UR'!$D$6:$D$2989,'1MK4UR'!$E$6:$E$2989,"&gt;="&amp;AS7,'1MK4UR'!$E$6:$E$2989,"&lt;="&amp;EOMONTH(AS7,0),'1MK4UR'!$F$6:$F$2989,"Bond Received")+SUMIFS(#REF!,#REF!,"&gt;="&amp;AS7,#REF!,"&lt;="&amp;EOMONTH(AS7,0),#REF!,"Bond Received")+SUMIFS('1JI2UE'!$D$6:$D$2989,'1JI2UE'!$E$6:$E$2989,"&gt;="&amp;AS7,'1JI2UE'!$E$6:$E$2989,"&lt;="&amp;EOMONTH(AS7,0),'1JI2UE'!$F$6:$F$2989,"Bond Received")+SUMIFS(#REF!,#REF!,"&gt;="&amp;AS7,#REF!,"&lt;="&amp;EOMONTH(AS7,0),#REF!,"Bond Received")+SUMIFS('1SI9BW'!$D$6:$D$2989,'1SI9BW'!$E$6:$E$2989,"&gt;="&amp;AS7,'1SI9BW'!$E$6:$E$2989,"&lt;="&amp;EOMONTH(AS7,0),'1SI9BW'!$F$6:$F$2989,"Bond Received")+SUMIFS(Suzuki!$D$6:$D$2989,Suzuki!$E$6:$E$2989,"&gt;="&amp;AS7,Suzuki!$E$6:$E$2989,"&lt;="&amp;EOMONTH(AS7,0),Suzuki!$F$6:$F$2989,"Bond Received")+SUMIFS('1SK3DD'!$D$6:$D$2989,'1SK3DD'!$E$6:$E$2989,"&gt;="&amp;AS7,'1SK3DD'!$E$6:$E$2989,"&lt;="&amp;EOMONTH(AS7,0),'1SK3DD'!$F$6:$F$2989,"Bond Received")+SUMIFS('1SX5TQ'!$D$6:$D$2989,'1SX5TQ'!$E$6:$E$2989,"&gt;="&amp;AS7,'1SX5TQ'!$E$6:$E$2989,"&lt;="&amp;EOMONTH(AS7,0),'1SX5TQ'!$F$6:$F$2989,"Bond Received")+SUMIFS('BMM465'!$D$6:$D$2989,'BMM465'!$E$6:$E$2989,"&gt;="&amp;AS7,'BMM465'!$E$6:$E$2989,"&lt;="&amp;EOMONTH(AS7,0),'BMM465'!$F$6:$F$2989,"Bond Received")+SUMIFS('1CF1ZO'!$D$6:$D$2989,'1CF1ZO'!$E$6:$E$2989,"&gt;="&amp;AS7,'1CF1ZO'!$E$6:$E$2989,"&lt;="&amp;EOMONTH(AS7,0),'1CF1ZO'!$F$6:$F$2989,"Bond Received")+SUMIFS('1UK1BK'!$D$6:$D$2989,'1UK1BK'!$E$6:$E$2989,"&gt;="&amp;AS7,'1UK1BK'!$E$6:$E$2989,"&lt;="&amp;EOMONTH(AS7,0),'1UK1BK'!$F$6:$F$2989,"Bond Received")-(((SUMIFS('CEI565'!$K$6:$K$2990,'CEI565'!$J$6:$J$2990,"&gt;="&amp;AS7,'CEI565'!$J$6:$J$2990,"&lt;="&amp;EOMONTH(AS7,0),'CEI565'!$L$6:$L$2990,"Bond Return")+SUMIFS('1SM3VL'!$K$6:$K$2990,'1SM3VL'!$J$6:$J$2990,"&gt;="&amp;AS7,'1SM3VL'!$J$6:$J$2990,"&lt;="&amp;EOMONTH(AS7,0),'1SM3VL'!$L$6:$L$2990,"Bond Return")+SUMIFS('1QF4SM'!$K$6:$K$2989,'1QF4SM'!$J$6:$J$2989,"&gt;="&amp;AS7,'1QF4SM'!$J$6:$J$2989,"&lt;="&amp;EOMONTH(AS7,0),'1QF4SM'!$L$6:$L$2989,"Bond Return")+SUMIFS('1UV5KI'!$K$6:$K$2989,'1UV5KI'!$J$6:$J$2989,"&gt;="&amp;AS7,'1UV5KI'!$J$6:$J$2989,"&lt;="&amp;EOMONTH(AS7,0),'1UV5KI'!$L$6:$L$2989,"Bond Return")+SUMIFS(#REF!,#REF!,"&gt;="&amp;AS7,#REF!,"&lt;="&amp;EOMONTH(AS7,0),#REF!,"Bond Return")+SUMIFS('1UL9RY'!$K$6:$K$2990,'1UL9RY'!$J$6:$J$2990,"&gt;="&amp;AS7,'1UL9RY'!$J$6:$J$2990,"&lt;="&amp;EOMONTH(AS7,0),'1UL9RY'!$L$6:$L$2990,"Bond Return")+SUMIFS('1OZ7GT'!$K$6:$K$2989,'1OZ7GT'!$J$6:$J$2989,"&gt;="&amp;AS7,'1OZ7GT'!$J$6:$J$2989,"&lt;="&amp;EOMONTH(AS7,0),'1OZ7GT'!$L$6:$L$2989,"Bond Return")+SUMIFS('1CN8DD'!$K$6:$K$2989,'1CN8DD'!$J$6:$J$2989,"&gt;="&amp;AS7,'1CN8DD'!$J$6:$J$2989,"&lt;="&amp;EOMONTH(AS7,0),'1CN8DD'!$L$6:$L$2989,"Bond Return")+SUMIFS('1UT9BR'!$K$6:$K$2990,'1UT9BR'!$J$6:$J$2990,"&gt;="&amp;AS7,'1UT9BR'!$J$6:$J$2990,"&lt;="&amp;EOMONTH(AS7,0),'1UT9BR'!$L$6:$L$2990,"Bond Return")+SUMIFS('1MK4UR'!$K$6:$K$2990,'1MK4UR'!$J$6:$J$2990,"&gt;="&amp;AS7,'1MK4UR'!$J$6:$J$2990,"&lt;="&amp;EOMONTH(AS7,0),'1MK4UR'!$L$6:$L$2990,"Bond Return")+SUMIFS(#REF!,#REF!,"&gt;="&amp;AS7,#REF!,"&lt;="&amp;EOMONTH(AS7,0),#REF!,"Bond Return")+SUMIFS('1JI2UE'!$K$6:$K$2989,'1JI2UE'!$J$6:$J$2989,"&gt;="&amp;AS7,'1JI2UE'!$J$6:$J$2989,"&lt;="&amp;EOMONTH(AS7,0),'1JI2UE'!$L$6:$L$2989,"Bond Return")+SUMIFS(#REF!,#REF!,"&gt;="&amp;AS7,#REF!,"&lt;="&amp;EOMONTH(AS7,0),#REF!,"Bond Return")+SUMIFS('1SI9BW'!$K$6:$K$2989,'1SI9BW'!$J$6:$J$2989,"&gt;="&amp;AS7,'1SI9BW'!$J$6:$J$2989,"&lt;="&amp;EOMONTH(AS7,0),'1SI9BW'!$L$6:$L$2989,"Bond Return")+SUMIFS(Suzuki!$K$6:$K$2989,Suzuki!$J$6:$J$2989,"&gt;="&amp;AS7,Suzuki!$J$6:$J$2989,"&lt;="&amp;EOMONTH(AS7,0),Suzuki!$L$6:$L$2989,"Bond Return")+SUMIFS('1SK3DD'!$K$6:$K$2989,'1SK3DD'!$J$6:$J$2989,"&gt;="&amp;AS7,'1SK3DD'!$J$6:$J$2989,"&lt;="&amp;EOMONTH(AS7,0),'1SK3DD'!$L$6:$L$2989,"Bond Return")+SUMIFS('1SX5TQ'!$K$6:$K$2989,'1SX5TQ'!$J$6:$J$2989,"&gt;="&amp;AS7,'1SX5TQ'!$J$6:$J$2989,"&lt;="&amp;EOMONTH(AS7,0),'1SX5TQ'!$L$6:$L$2989,"Bond Return")+SUMIFS('BMM465'!$K$6:$K$2989,'BMM465'!$J$6:$J$2989,"&gt;="&amp;AS7,'BMM465'!$J$6:$J$2989,"&lt;="&amp;EOMONTH(AS7,0),'BMM465'!$L$6:$L$2989,"Bond Return")+SUMIFS('1CF1ZO'!$K$6:$K$2989,'1CF1ZO'!$J$6:$J$2989,"&gt;="&amp;AS7,'1CF1ZO'!$J$6:$J$2989,"&lt;="&amp;EOMONTH(AS7,0),'1CF1ZO'!$L$6:$L$2989,"Bond Return")+SUMIFS('1UK1BK'!$K$6:$K$2989,'1UK1BK'!$J$6:$J$2989,"&gt;="&amp;AS7,'1UK1BK'!$J$6:$J$2989,"&lt;="&amp;EOMONTH(AS7,0),'1UK1BK'!$L$6:$L$2989,"Bond Return"))))</f>
        <v>#REF!</v>
      </c>
      <c r="AT42" s="2" t="e">
        <f>SUMIFS('CEI565'!$D$6:$D$2994,'CEI565'!$E$6:$E$2994,"&gt;="&amp;AT7,'CEI565'!$E$6:$E$2994,"&lt;="&amp;EOMONTH(AT7,0),'CEI565'!$F$6:$F$2994,"Bond Received")+SUMIFS('1SM3VL'!$D$6:$D$2989,'1SM3VL'!$E$6:$E$2989,"&gt;="&amp;AT7,'1SM3VL'!$E$6:$E$2989,"&lt;="&amp;EOMONTH(AT7,0),'1SM3VL'!$F$6:$F$2989,"Bond Received")+SUMIFS('1QF4SM'!$D$6:$D$2989,'1QF4SM'!$E$6:$E$2989,"&gt;="&amp;AT7,'1QF4SM'!$E$6:$E$2989,"&lt;="&amp;EOMONTH(AT7,0),'1QF4SM'!$F$6:$F$2989,"Bond Received")+SUMIFS('1UV5KI'!$D$6:$D$2988,'1UV5KI'!$E$6:$E$2988,"&gt;="&amp;AT7,'1UV5KI'!$E$6:$E$2988,"&lt;="&amp;EOMONTH(AT7,0),'1UV5KI'!$F$6:$F$2988,"Bond Received")+SUMIFS(#REF!,#REF!,"&gt;="&amp;AT7,#REF!,"&lt;="&amp;EOMONTH(AT7,0),#REF!,"Bond Received")+SUMIFS('1UL9RY'!$D$6:$D$2989,'1UL9RY'!$E$6:$E$2989,"&gt;="&amp;AT7,'1UL9RY'!$E$6:$E$2989,"&lt;="&amp;EOMONTH(AT7,0),'1UL9RY'!$F$6:$F$2989,"Bond Received")+SUMIFS('1OZ7GT'!$D$6:$D$2989,'1OZ7GT'!$E$6:$E$2989,"&gt;="&amp;AT7,'1OZ7GT'!$E$6:$E$2989,"&lt;="&amp;EOMONTH(AT7,0),'1OZ7GT'!$F$6:$F$2989,"Bond Received")+SUMIFS('1CN8DD'!$D$6:$D$2989,'1CN8DD'!$E$6:$E$2989,"&gt;="&amp;AT7,'1CN8DD'!$E$6:$E$2989,"&lt;="&amp;EOMONTH(AT7,0),'1CN8DD'!$F$6:$F$2989,"Bond Received")+SUMIFS('1UT9BR'!$D$6:$D$2989,'1UT9BR'!$E$6:$E$2989,"&gt;="&amp;AT7,'1UT9BR'!$E$6:$E$2989,"&lt;="&amp;EOMONTH(AT7,0),'1UT9BR'!$F$6:$F$2989,"Bond Received")+SUMIFS('1MK4UR'!$D$6:$D$2989,'1MK4UR'!$E$6:$E$2989,"&gt;="&amp;AT7,'1MK4UR'!$E$6:$E$2989,"&lt;="&amp;EOMONTH(AT7,0),'1MK4UR'!$F$6:$F$2989,"Bond Received")+SUMIFS(#REF!,#REF!,"&gt;="&amp;AT7,#REF!,"&lt;="&amp;EOMONTH(AT7,0),#REF!,"Bond Received")+SUMIFS('1JI2UE'!$D$6:$D$2989,'1JI2UE'!$E$6:$E$2989,"&gt;="&amp;AT7,'1JI2UE'!$E$6:$E$2989,"&lt;="&amp;EOMONTH(AT7,0),'1JI2UE'!$F$6:$F$2989,"Bond Received")+SUMIFS(#REF!,#REF!,"&gt;="&amp;AT7,#REF!,"&lt;="&amp;EOMONTH(AT7,0),#REF!,"Bond Received")+SUMIFS('1SI9BW'!$D$6:$D$2989,'1SI9BW'!$E$6:$E$2989,"&gt;="&amp;AT7,'1SI9BW'!$E$6:$E$2989,"&lt;="&amp;EOMONTH(AT7,0),'1SI9BW'!$F$6:$F$2989,"Bond Received")+SUMIFS(Suzuki!$D$6:$D$2989,Suzuki!$E$6:$E$2989,"&gt;="&amp;AT7,Suzuki!$E$6:$E$2989,"&lt;="&amp;EOMONTH(AT7,0),Suzuki!$F$6:$F$2989,"Bond Received")+SUMIFS('1SK3DD'!$D$6:$D$2989,'1SK3DD'!$E$6:$E$2989,"&gt;="&amp;AT7,'1SK3DD'!$E$6:$E$2989,"&lt;="&amp;EOMONTH(AT7,0),'1SK3DD'!$F$6:$F$2989,"Bond Received")+SUMIFS('1SX5TQ'!$D$6:$D$2989,'1SX5TQ'!$E$6:$E$2989,"&gt;="&amp;AT7,'1SX5TQ'!$E$6:$E$2989,"&lt;="&amp;EOMONTH(AT7,0),'1SX5TQ'!$F$6:$F$2989,"Bond Received")+SUMIFS('BMM465'!$D$6:$D$2989,'BMM465'!$E$6:$E$2989,"&gt;="&amp;AT7,'BMM465'!$E$6:$E$2989,"&lt;="&amp;EOMONTH(AT7,0),'BMM465'!$F$6:$F$2989,"Bond Received")+SUMIFS('1CF1ZO'!$D$6:$D$2989,'1CF1ZO'!$E$6:$E$2989,"&gt;="&amp;AT7,'1CF1ZO'!$E$6:$E$2989,"&lt;="&amp;EOMONTH(AT7,0),'1CF1ZO'!$F$6:$F$2989,"Bond Received")+SUMIFS('1UK1BK'!$D$6:$D$2989,'1UK1BK'!$E$6:$E$2989,"&gt;="&amp;AT7,'1UK1BK'!$E$6:$E$2989,"&lt;="&amp;EOMONTH(AT7,0),'1UK1BK'!$F$6:$F$2989,"Bond Received")-(((SUMIFS('CEI565'!$K$6:$K$2990,'CEI565'!$J$6:$J$2990,"&gt;="&amp;AT7,'CEI565'!$J$6:$J$2990,"&lt;="&amp;EOMONTH(AT7,0),'CEI565'!$L$6:$L$2990,"Bond Return")+SUMIFS('1SM3VL'!$K$6:$K$2990,'1SM3VL'!$J$6:$J$2990,"&gt;="&amp;AT7,'1SM3VL'!$J$6:$J$2990,"&lt;="&amp;EOMONTH(AT7,0),'1SM3VL'!$L$6:$L$2990,"Bond Return")+SUMIFS('1QF4SM'!$K$6:$K$2989,'1QF4SM'!$J$6:$J$2989,"&gt;="&amp;AT7,'1QF4SM'!$J$6:$J$2989,"&lt;="&amp;EOMONTH(AT7,0),'1QF4SM'!$L$6:$L$2989,"Bond Return")+SUMIFS('1UV5KI'!$K$6:$K$2989,'1UV5KI'!$J$6:$J$2989,"&gt;="&amp;AT7,'1UV5KI'!$J$6:$J$2989,"&lt;="&amp;EOMONTH(AT7,0),'1UV5KI'!$L$6:$L$2989,"Bond Return")+SUMIFS(#REF!,#REF!,"&gt;="&amp;AT7,#REF!,"&lt;="&amp;EOMONTH(AT7,0),#REF!,"Bond Return")+SUMIFS('1UL9RY'!$K$6:$K$2990,'1UL9RY'!$J$6:$J$2990,"&gt;="&amp;AT7,'1UL9RY'!$J$6:$J$2990,"&lt;="&amp;EOMONTH(AT7,0),'1UL9RY'!$L$6:$L$2990,"Bond Return")+SUMIFS('1OZ7GT'!$K$6:$K$2989,'1OZ7GT'!$J$6:$J$2989,"&gt;="&amp;AT7,'1OZ7GT'!$J$6:$J$2989,"&lt;="&amp;EOMONTH(AT7,0),'1OZ7GT'!$L$6:$L$2989,"Bond Return")+SUMIFS('1CN8DD'!$K$6:$K$2989,'1CN8DD'!$J$6:$J$2989,"&gt;="&amp;AT7,'1CN8DD'!$J$6:$J$2989,"&lt;="&amp;EOMONTH(AT7,0),'1CN8DD'!$L$6:$L$2989,"Bond Return")+SUMIFS('1UT9BR'!$K$6:$K$2990,'1UT9BR'!$J$6:$J$2990,"&gt;="&amp;AT7,'1UT9BR'!$J$6:$J$2990,"&lt;="&amp;EOMONTH(AT7,0),'1UT9BR'!$L$6:$L$2990,"Bond Return")+SUMIFS('1MK4UR'!$K$6:$K$2990,'1MK4UR'!$J$6:$J$2990,"&gt;="&amp;AT7,'1MK4UR'!$J$6:$J$2990,"&lt;="&amp;EOMONTH(AT7,0),'1MK4UR'!$L$6:$L$2990,"Bond Return")+SUMIFS(#REF!,#REF!,"&gt;="&amp;AT7,#REF!,"&lt;="&amp;EOMONTH(AT7,0),#REF!,"Bond Return")+SUMIFS('1JI2UE'!$K$6:$K$2989,'1JI2UE'!$J$6:$J$2989,"&gt;="&amp;AT7,'1JI2UE'!$J$6:$J$2989,"&lt;="&amp;EOMONTH(AT7,0),'1JI2UE'!$L$6:$L$2989,"Bond Return")+SUMIFS(#REF!,#REF!,"&gt;="&amp;AT7,#REF!,"&lt;="&amp;EOMONTH(AT7,0),#REF!,"Bond Return")+SUMIFS('1SI9BW'!$K$6:$K$2989,'1SI9BW'!$J$6:$J$2989,"&gt;="&amp;AT7,'1SI9BW'!$J$6:$J$2989,"&lt;="&amp;EOMONTH(AT7,0),'1SI9BW'!$L$6:$L$2989,"Bond Return")+SUMIFS(Suzuki!$K$6:$K$2989,Suzuki!$J$6:$J$2989,"&gt;="&amp;AT7,Suzuki!$J$6:$J$2989,"&lt;="&amp;EOMONTH(AT7,0),Suzuki!$L$6:$L$2989,"Bond Return")+SUMIFS('1SK3DD'!$K$6:$K$2989,'1SK3DD'!$J$6:$J$2989,"&gt;="&amp;AT7,'1SK3DD'!$J$6:$J$2989,"&lt;="&amp;EOMONTH(AT7,0),'1SK3DD'!$L$6:$L$2989,"Bond Return")+SUMIFS('1SX5TQ'!$K$6:$K$2989,'1SX5TQ'!$J$6:$J$2989,"&gt;="&amp;AT7,'1SX5TQ'!$J$6:$J$2989,"&lt;="&amp;EOMONTH(AT7,0),'1SX5TQ'!$L$6:$L$2989,"Bond Return")+SUMIFS('BMM465'!$K$6:$K$2989,'BMM465'!$J$6:$J$2989,"&gt;="&amp;AT7,'BMM465'!$J$6:$J$2989,"&lt;="&amp;EOMONTH(AT7,0),'BMM465'!$L$6:$L$2989,"Bond Return")+SUMIFS('1CF1ZO'!$K$6:$K$2989,'1CF1ZO'!$J$6:$J$2989,"&gt;="&amp;AT7,'1CF1ZO'!$J$6:$J$2989,"&lt;="&amp;EOMONTH(AT7,0),'1CF1ZO'!$L$6:$L$2989,"Bond Return")+SUMIFS('1UK1BK'!$K$6:$K$2989,'1UK1BK'!$J$6:$J$2989,"&gt;="&amp;AT7,'1UK1BK'!$J$6:$J$2989,"&lt;="&amp;EOMONTH(AT7,0),'1UK1BK'!$L$6:$L$2989,"Bond Return"))))</f>
        <v>#REF!</v>
      </c>
      <c r="AU42" s="2" t="e">
        <f>SUMIFS('CEI565'!$D$6:$D$2994,'CEI565'!$E$6:$E$2994,"&gt;="&amp;AU7,'CEI565'!$E$6:$E$2994,"&lt;="&amp;EOMONTH(AU7,0),'CEI565'!$F$6:$F$2994,"Bond Received")+SUMIFS('1SM3VL'!$D$6:$D$2989,'1SM3VL'!$E$6:$E$2989,"&gt;="&amp;AU7,'1SM3VL'!$E$6:$E$2989,"&lt;="&amp;EOMONTH(AU7,0),'1SM3VL'!$F$6:$F$2989,"Bond Received")+SUMIFS('1QF4SM'!$D$6:$D$2989,'1QF4SM'!$E$6:$E$2989,"&gt;="&amp;AU7,'1QF4SM'!$E$6:$E$2989,"&lt;="&amp;EOMONTH(AU7,0),'1QF4SM'!$F$6:$F$2989,"Bond Received")+SUMIFS('1UV5KI'!$D$6:$D$2988,'1UV5KI'!$E$6:$E$2988,"&gt;="&amp;AU7,'1UV5KI'!$E$6:$E$2988,"&lt;="&amp;EOMONTH(AU7,0),'1UV5KI'!$F$6:$F$2988,"Bond Received")+SUMIFS(#REF!,#REF!,"&gt;="&amp;AU7,#REF!,"&lt;="&amp;EOMONTH(AU7,0),#REF!,"Bond Received")+SUMIFS('1UL9RY'!$D$6:$D$2989,'1UL9RY'!$E$6:$E$2989,"&gt;="&amp;AU7,'1UL9RY'!$E$6:$E$2989,"&lt;="&amp;EOMONTH(AU7,0),'1UL9RY'!$F$6:$F$2989,"Bond Received")+SUMIFS('1OZ7GT'!$D$6:$D$2989,'1OZ7GT'!$E$6:$E$2989,"&gt;="&amp;AU7,'1OZ7GT'!$E$6:$E$2989,"&lt;="&amp;EOMONTH(AU7,0),'1OZ7GT'!$F$6:$F$2989,"Bond Received")+SUMIFS('1CN8DD'!$D$6:$D$2989,'1CN8DD'!$E$6:$E$2989,"&gt;="&amp;AU7,'1CN8DD'!$E$6:$E$2989,"&lt;="&amp;EOMONTH(AU7,0),'1CN8DD'!$F$6:$F$2989,"Bond Received")+SUMIFS('1UT9BR'!$D$6:$D$2989,'1UT9BR'!$E$6:$E$2989,"&gt;="&amp;AU7,'1UT9BR'!$E$6:$E$2989,"&lt;="&amp;EOMONTH(AU7,0),'1UT9BR'!$F$6:$F$2989,"Bond Received")+SUMIFS('1MK4UR'!$D$6:$D$2989,'1MK4UR'!$E$6:$E$2989,"&gt;="&amp;AU7,'1MK4UR'!$E$6:$E$2989,"&lt;="&amp;EOMONTH(AU7,0),'1MK4UR'!$F$6:$F$2989,"Bond Received")+SUMIFS(#REF!,#REF!,"&gt;="&amp;AU7,#REF!,"&lt;="&amp;EOMONTH(AU7,0),#REF!,"Bond Received")+SUMIFS('1JI2UE'!$D$6:$D$2989,'1JI2UE'!$E$6:$E$2989,"&gt;="&amp;AU7,'1JI2UE'!$E$6:$E$2989,"&lt;="&amp;EOMONTH(AU7,0),'1JI2UE'!$F$6:$F$2989,"Bond Received")+SUMIFS(#REF!,#REF!,"&gt;="&amp;AU7,#REF!,"&lt;="&amp;EOMONTH(AU7,0),#REF!,"Bond Received")+SUMIFS('1SI9BW'!$D$6:$D$2989,'1SI9BW'!$E$6:$E$2989,"&gt;="&amp;AU7,'1SI9BW'!$E$6:$E$2989,"&lt;="&amp;EOMONTH(AU7,0),'1SI9BW'!$F$6:$F$2989,"Bond Received")+SUMIFS(Suzuki!$D$6:$D$2989,Suzuki!$E$6:$E$2989,"&gt;="&amp;AU7,Suzuki!$E$6:$E$2989,"&lt;="&amp;EOMONTH(AU7,0),Suzuki!$F$6:$F$2989,"Bond Received")+SUMIFS('1SK3DD'!$D$6:$D$2989,'1SK3DD'!$E$6:$E$2989,"&gt;="&amp;AU7,'1SK3DD'!$E$6:$E$2989,"&lt;="&amp;EOMONTH(AU7,0),'1SK3DD'!$F$6:$F$2989,"Bond Received")+SUMIFS('1SX5TQ'!$D$6:$D$2989,'1SX5TQ'!$E$6:$E$2989,"&gt;="&amp;AU7,'1SX5TQ'!$E$6:$E$2989,"&lt;="&amp;EOMONTH(AU7,0),'1SX5TQ'!$F$6:$F$2989,"Bond Received")+SUMIFS('BMM465'!$D$6:$D$2989,'BMM465'!$E$6:$E$2989,"&gt;="&amp;AU7,'BMM465'!$E$6:$E$2989,"&lt;="&amp;EOMONTH(AU7,0),'BMM465'!$F$6:$F$2989,"Bond Received")+SUMIFS('1CF1ZO'!$D$6:$D$2989,'1CF1ZO'!$E$6:$E$2989,"&gt;="&amp;AU7,'1CF1ZO'!$E$6:$E$2989,"&lt;="&amp;EOMONTH(AU7,0),'1CF1ZO'!$F$6:$F$2989,"Bond Received")+SUMIFS('1UK1BK'!$D$6:$D$2989,'1UK1BK'!$E$6:$E$2989,"&gt;="&amp;AU7,'1UK1BK'!$E$6:$E$2989,"&lt;="&amp;EOMONTH(AU7,0),'1UK1BK'!$F$6:$F$2989,"Bond Received")-(((SUMIFS('CEI565'!$K$6:$K$2990,'CEI565'!$J$6:$J$2990,"&gt;="&amp;AU7,'CEI565'!$J$6:$J$2990,"&lt;="&amp;EOMONTH(AU7,0),'CEI565'!$L$6:$L$2990,"Bond Return")+SUMIFS('1SM3VL'!$K$6:$K$2990,'1SM3VL'!$J$6:$J$2990,"&gt;="&amp;AU7,'1SM3VL'!$J$6:$J$2990,"&lt;="&amp;EOMONTH(AU7,0),'1SM3VL'!$L$6:$L$2990,"Bond Return")+SUMIFS('1QF4SM'!$K$6:$K$2989,'1QF4SM'!$J$6:$J$2989,"&gt;="&amp;AU7,'1QF4SM'!$J$6:$J$2989,"&lt;="&amp;EOMONTH(AU7,0),'1QF4SM'!$L$6:$L$2989,"Bond Return")+SUMIFS('1UV5KI'!$K$6:$K$2989,'1UV5KI'!$J$6:$J$2989,"&gt;="&amp;AU7,'1UV5KI'!$J$6:$J$2989,"&lt;="&amp;EOMONTH(AU7,0),'1UV5KI'!$L$6:$L$2989,"Bond Return")+SUMIFS(#REF!,#REF!,"&gt;="&amp;AU7,#REF!,"&lt;="&amp;EOMONTH(AU7,0),#REF!,"Bond Return")+SUMIFS('1UL9RY'!$K$6:$K$2990,'1UL9RY'!$J$6:$J$2990,"&gt;="&amp;AU7,'1UL9RY'!$J$6:$J$2990,"&lt;="&amp;EOMONTH(AU7,0),'1UL9RY'!$L$6:$L$2990,"Bond Return")+SUMIFS('1OZ7GT'!$K$6:$K$2989,'1OZ7GT'!$J$6:$J$2989,"&gt;="&amp;AU7,'1OZ7GT'!$J$6:$J$2989,"&lt;="&amp;EOMONTH(AU7,0),'1OZ7GT'!$L$6:$L$2989,"Bond Return")+SUMIFS('1CN8DD'!$K$6:$K$2989,'1CN8DD'!$J$6:$J$2989,"&gt;="&amp;AU7,'1CN8DD'!$J$6:$J$2989,"&lt;="&amp;EOMONTH(AU7,0),'1CN8DD'!$L$6:$L$2989,"Bond Return")+SUMIFS('1UT9BR'!$K$6:$K$2990,'1UT9BR'!$J$6:$J$2990,"&gt;="&amp;AU7,'1UT9BR'!$J$6:$J$2990,"&lt;="&amp;EOMONTH(AU7,0),'1UT9BR'!$L$6:$L$2990,"Bond Return")+SUMIFS('1MK4UR'!$K$6:$K$2990,'1MK4UR'!$J$6:$J$2990,"&gt;="&amp;AU7,'1MK4UR'!$J$6:$J$2990,"&lt;="&amp;EOMONTH(AU7,0),'1MK4UR'!$L$6:$L$2990,"Bond Return")+SUMIFS(#REF!,#REF!,"&gt;="&amp;AU7,#REF!,"&lt;="&amp;EOMONTH(AU7,0),#REF!,"Bond Return")+SUMIFS('1JI2UE'!$K$6:$K$2989,'1JI2UE'!$J$6:$J$2989,"&gt;="&amp;AU7,'1JI2UE'!$J$6:$J$2989,"&lt;="&amp;EOMONTH(AU7,0),'1JI2UE'!$L$6:$L$2989,"Bond Return")+SUMIFS(#REF!,#REF!,"&gt;="&amp;AU7,#REF!,"&lt;="&amp;EOMONTH(AU7,0),#REF!,"Bond Return")+SUMIFS('1SI9BW'!$K$6:$K$2989,'1SI9BW'!$J$6:$J$2989,"&gt;="&amp;AU7,'1SI9BW'!$J$6:$J$2989,"&lt;="&amp;EOMONTH(AU7,0),'1SI9BW'!$L$6:$L$2989,"Bond Return")+SUMIFS(Suzuki!$K$6:$K$2989,Suzuki!$J$6:$J$2989,"&gt;="&amp;AU7,Suzuki!$J$6:$J$2989,"&lt;="&amp;EOMONTH(AU7,0),Suzuki!$L$6:$L$2989,"Bond Return")+SUMIFS('1SK3DD'!$K$6:$K$2989,'1SK3DD'!$J$6:$J$2989,"&gt;="&amp;AU7,'1SK3DD'!$J$6:$J$2989,"&lt;="&amp;EOMONTH(AU7,0),'1SK3DD'!$L$6:$L$2989,"Bond Return")+SUMIFS('1SX5TQ'!$K$6:$K$2989,'1SX5TQ'!$J$6:$J$2989,"&gt;="&amp;AU7,'1SX5TQ'!$J$6:$J$2989,"&lt;="&amp;EOMONTH(AU7,0),'1SX5TQ'!$L$6:$L$2989,"Bond Return")+SUMIFS('BMM465'!$K$6:$K$2989,'BMM465'!$J$6:$J$2989,"&gt;="&amp;AU7,'BMM465'!$J$6:$J$2989,"&lt;="&amp;EOMONTH(AU7,0),'BMM465'!$L$6:$L$2989,"Bond Return")+SUMIFS('1CF1ZO'!$K$6:$K$2989,'1CF1ZO'!$J$6:$J$2989,"&gt;="&amp;AU7,'1CF1ZO'!$J$6:$J$2989,"&lt;="&amp;EOMONTH(AU7,0),'1CF1ZO'!$L$6:$L$2989,"Bond Return")+SUMIFS('1UK1BK'!$K$6:$K$2989,'1UK1BK'!$J$6:$J$2989,"&gt;="&amp;AU7,'1UK1BK'!$J$6:$J$2989,"&lt;="&amp;EOMONTH(AU7,0),'1UK1BK'!$L$6:$L$2989,"Bond Return"))))</f>
        <v>#REF!</v>
      </c>
      <c r="AV42" s="2" t="e">
        <f>SUMIFS('CEI565'!$D$6:$D$2994,'CEI565'!$E$6:$E$2994,"&gt;="&amp;AV7,'CEI565'!$E$6:$E$2994,"&lt;="&amp;EOMONTH(AV7,0),'CEI565'!$F$6:$F$2994,"Bond Received")+SUMIFS('1SM3VL'!$D$6:$D$2989,'1SM3VL'!$E$6:$E$2989,"&gt;="&amp;AV7,'1SM3VL'!$E$6:$E$2989,"&lt;="&amp;EOMONTH(AV7,0),'1SM3VL'!$F$6:$F$2989,"Bond Received")+SUMIFS('1QF4SM'!$D$6:$D$2989,'1QF4SM'!$E$6:$E$2989,"&gt;="&amp;AV7,'1QF4SM'!$E$6:$E$2989,"&lt;="&amp;EOMONTH(AV7,0),'1QF4SM'!$F$6:$F$2989,"Bond Received")+SUMIFS('1UV5KI'!$D$6:$D$2988,'1UV5KI'!$E$6:$E$2988,"&gt;="&amp;AV7,'1UV5KI'!$E$6:$E$2988,"&lt;="&amp;EOMONTH(AV7,0),'1UV5KI'!$F$6:$F$2988,"Bond Received")+SUMIFS(#REF!,#REF!,"&gt;="&amp;AV7,#REF!,"&lt;="&amp;EOMONTH(AV7,0),#REF!,"Bond Received")+SUMIFS('1UL9RY'!$D$6:$D$2989,'1UL9RY'!$E$6:$E$2989,"&gt;="&amp;AV7,'1UL9RY'!$E$6:$E$2989,"&lt;="&amp;EOMONTH(AV7,0),'1UL9RY'!$F$6:$F$2989,"Bond Received")+SUMIFS('1OZ7GT'!$D$6:$D$2989,'1OZ7GT'!$E$6:$E$2989,"&gt;="&amp;AV7,'1OZ7GT'!$E$6:$E$2989,"&lt;="&amp;EOMONTH(AV7,0),'1OZ7GT'!$F$6:$F$2989,"Bond Received")+SUMIFS('1CN8DD'!$D$6:$D$2989,'1CN8DD'!$E$6:$E$2989,"&gt;="&amp;AV7,'1CN8DD'!$E$6:$E$2989,"&lt;="&amp;EOMONTH(AV7,0),'1CN8DD'!$F$6:$F$2989,"Bond Received")+SUMIFS('1UT9BR'!$D$6:$D$2989,'1UT9BR'!$E$6:$E$2989,"&gt;="&amp;AV7,'1UT9BR'!$E$6:$E$2989,"&lt;="&amp;EOMONTH(AV7,0),'1UT9BR'!$F$6:$F$2989,"Bond Received")+SUMIFS('1MK4UR'!$D$6:$D$2989,'1MK4UR'!$E$6:$E$2989,"&gt;="&amp;AV7,'1MK4UR'!$E$6:$E$2989,"&lt;="&amp;EOMONTH(AV7,0),'1MK4UR'!$F$6:$F$2989,"Bond Received")+SUMIFS(#REF!,#REF!,"&gt;="&amp;AV7,#REF!,"&lt;="&amp;EOMONTH(AV7,0),#REF!,"Bond Received")+SUMIFS('1JI2UE'!$D$6:$D$2989,'1JI2UE'!$E$6:$E$2989,"&gt;="&amp;AV7,'1JI2UE'!$E$6:$E$2989,"&lt;="&amp;EOMONTH(AV7,0),'1JI2UE'!$F$6:$F$2989,"Bond Received")+SUMIFS(#REF!,#REF!,"&gt;="&amp;AV7,#REF!,"&lt;="&amp;EOMONTH(AV7,0),#REF!,"Bond Received")+SUMIFS('1SI9BW'!$D$6:$D$2989,'1SI9BW'!$E$6:$E$2989,"&gt;="&amp;AV7,'1SI9BW'!$E$6:$E$2989,"&lt;="&amp;EOMONTH(AV7,0),'1SI9BW'!$F$6:$F$2989,"Bond Received")+SUMIFS(Suzuki!$D$6:$D$2989,Suzuki!$E$6:$E$2989,"&gt;="&amp;AV7,Suzuki!$E$6:$E$2989,"&lt;="&amp;EOMONTH(AV7,0),Suzuki!$F$6:$F$2989,"Bond Received")+SUMIFS('1SK3DD'!$D$6:$D$2989,'1SK3DD'!$E$6:$E$2989,"&gt;="&amp;AV7,'1SK3DD'!$E$6:$E$2989,"&lt;="&amp;EOMONTH(AV7,0),'1SK3DD'!$F$6:$F$2989,"Bond Received")+SUMIFS('1SX5TQ'!$D$6:$D$2989,'1SX5TQ'!$E$6:$E$2989,"&gt;="&amp;AV7,'1SX5TQ'!$E$6:$E$2989,"&lt;="&amp;EOMONTH(AV7,0),'1SX5TQ'!$F$6:$F$2989,"Bond Received")+SUMIFS('BMM465'!$D$6:$D$2989,'BMM465'!$E$6:$E$2989,"&gt;="&amp;AV7,'BMM465'!$E$6:$E$2989,"&lt;="&amp;EOMONTH(AV7,0),'BMM465'!$F$6:$F$2989,"Bond Received")+SUMIFS('1CF1ZO'!$D$6:$D$2989,'1CF1ZO'!$E$6:$E$2989,"&gt;="&amp;AV7,'1CF1ZO'!$E$6:$E$2989,"&lt;="&amp;EOMONTH(AV7,0),'1CF1ZO'!$F$6:$F$2989,"Bond Received")+SUMIFS('1UK1BK'!$D$6:$D$2989,'1UK1BK'!$E$6:$E$2989,"&gt;="&amp;AV7,'1UK1BK'!$E$6:$E$2989,"&lt;="&amp;EOMONTH(AV7,0),'1UK1BK'!$F$6:$F$2989,"Bond Received")-(((SUMIFS('CEI565'!$K$6:$K$2990,'CEI565'!$J$6:$J$2990,"&gt;="&amp;AV7,'CEI565'!$J$6:$J$2990,"&lt;="&amp;EOMONTH(AV7,0),'CEI565'!$L$6:$L$2990,"Bond Return")+SUMIFS('1SM3VL'!$K$6:$K$2990,'1SM3VL'!$J$6:$J$2990,"&gt;="&amp;AV7,'1SM3VL'!$J$6:$J$2990,"&lt;="&amp;EOMONTH(AV7,0),'1SM3VL'!$L$6:$L$2990,"Bond Return")+SUMIFS('1QF4SM'!$K$6:$K$2989,'1QF4SM'!$J$6:$J$2989,"&gt;="&amp;AV7,'1QF4SM'!$J$6:$J$2989,"&lt;="&amp;EOMONTH(AV7,0),'1QF4SM'!$L$6:$L$2989,"Bond Return")+SUMIFS('1UV5KI'!$K$6:$K$2989,'1UV5KI'!$J$6:$J$2989,"&gt;="&amp;AV7,'1UV5KI'!$J$6:$J$2989,"&lt;="&amp;EOMONTH(AV7,0),'1UV5KI'!$L$6:$L$2989,"Bond Return")+SUMIFS(#REF!,#REF!,"&gt;="&amp;AV7,#REF!,"&lt;="&amp;EOMONTH(AV7,0),#REF!,"Bond Return")+SUMIFS('1UL9RY'!$K$6:$K$2990,'1UL9RY'!$J$6:$J$2990,"&gt;="&amp;AV7,'1UL9RY'!$J$6:$J$2990,"&lt;="&amp;EOMONTH(AV7,0),'1UL9RY'!$L$6:$L$2990,"Bond Return")+SUMIFS('1OZ7GT'!$K$6:$K$2989,'1OZ7GT'!$J$6:$J$2989,"&gt;="&amp;AV7,'1OZ7GT'!$J$6:$J$2989,"&lt;="&amp;EOMONTH(AV7,0),'1OZ7GT'!$L$6:$L$2989,"Bond Return")+SUMIFS('1CN8DD'!$K$6:$K$2989,'1CN8DD'!$J$6:$J$2989,"&gt;="&amp;AV7,'1CN8DD'!$J$6:$J$2989,"&lt;="&amp;EOMONTH(AV7,0),'1CN8DD'!$L$6:$L$2989,"Bond Return")+SUMIFS('1UT9BR'!$K$6:$K$2990,'1UT9BR'!$J$6:$J$2990,"&gt;="&amp;AV7,'1UT9BR'!$J$6:$J$2990,"&lt;="&amp;EOMONTH(AV7,0),'1UT9BR'!$L$6:$L$2990,"Bond Return")+SUMIFS('1MK4UR'!$K$6:$K$2990,'1MK4UR'!$J$6:$J$2990,"&gt;="&amp;AV7,'1MK4UR'!$J$6:$J$2990,"&lt;="&amp;EOMONTH(AV7,0),'1MK4UR'!$L$6:$L$2990,"Bond Return")+SUMIFS(#REF!,#REF!,"&gt;="&amp;AV7,#REF!,"&lt;="&amp;EOMONTH(AV7,0),#REF!,"Bond Return")+SUMIFS('1JI2UE'!$K$6:$K$2989,'1JI2UE'!$J$6:$J$2989,"&gt;="&amp;AV7,'1JI2UE'!$J$6:$J$2989,"&lt;="&amp;EOMONTH(AV7,0),'1JI2UE'!$L$6:$L$2989,"Bond Return")+SUMIFS(#REF!,#REF!,"&gt;="&amp;AV7,#REF!,"&lt;="&amp;EOMONTH(AV7,0),#REF!,"Bond Return")+SUMIFS('1SI9BW'!$K$6:$K$2989,'1SI9BW'!$J$6:$J$2989,"&gt;="&amp;AV7,'1SI9BW'!$J$6:$J$2989,"&lt;="&amp;EOMONTH(AV7,0),'1SI9BW'!$L$6:$L$2989,"Bond Return")+SUMIFS(Suzuki!$K$6:$K$2989,Suzuki!$J$6:$J$2989,"&gt;="&amp;AV7,Suzuki!$J$6:$J$2989,"&lt;="&amp;EOMONTH(AV7,0),Suzuki!$L$6:$L$2989,"Bond Return")+SUMIFS('1SK3DD'!$K$6:$K$2989,'1SK3DD'!$J$6:$J$2989,"&gt;="&amp;AV7,'1SK3DD'!$J$6:$J$2989,"&lt;="&amp;EOMONTH(AV7,0),'1SK3DD'!$L$6:$L$2989,"Bond Return")+SUMIFS('1SX5TQ'!$K$6:$K$2989,'1SX5TQ'!$J$6:$J$2989,"&gt;="&amp;AV7,'1SX5TQ'!$J$6:$J$2989,"&lt;="&amp;EOMONTH(AV7,0),'1SX5TQ'!$L$6:$L$2989,"Bond Return")+SUMIFS('BMM465'!$K$6:$K$2989,'BMM465'!$J$6:$J$2989,"&gt;="&amp;AV7,'BMM465'!$J$6:$J$2989,"&lt;="&amp;EOMONTH(AV7,0),'BMM465'!$L$6:$L$2989,"Bond Return")+SUMIFS('1CF1ZO'!$K$6:$K$2989,'1CF1ZO'!$J$6:$J$2989,"&gt;="&amp;AV7,'1CF1ZO'!$J$6:$J$2989,"&lt;="&amp;EOMONTH(AV7,0),'1CF1ZO'!$L$6:$L$2989,"Bond Return")+SUMIFS('1UK1BK'!$K$6:$K$2989,'1UK1BK'!$J$6:$J$2989,"&gt;="&amp;AV7,'1UK1BK'!$J$6:$J$2989,"&lt;="&amp;EOMONTH(AV7,0),'1UK1BK'!$L$6:$L$2989,"Bond Return"))))</f>
        <v>#REF!</v>
      </c>
      <c r="AW42" s="2" t="e">
        <f>SUMIFS('CEI565'!$D$6:$D$2994,'CEI565'!$E$6:$E$2994,"&gt;="&amp;AW7,'CEI565'!$E$6:$E$2994,"&lt;="&amp;EOMONTH(AW7,0),'CEI565'!$F$6:$F$2994,"Bond Received")+SUMIFS('1SM3VL'!$D$6:$D$2989,'1SM3VL'!$E$6:$E$2989,"&gt;="&amp;AW7,'1SM3VL'!$E$6:$E$2989,"&lt;="&amp;EOMONTH(AW7,0),'1SM3VL'!$F$6:$F$2989,"Bond Received")+SUMIFS('1QF4SM'!$D$6:$D$2989,'1QF4SM'!$E$6:$E$2989,"&gt;="&amp;AW7,'1QF4SM'!$E$6:$E$2989,"&lt;="&amp;EOMONTH(AW7,0),'1QF4SM'!$F$6:$F$2989,"Bond Received")+SUMIFS('1UV5KI'!$D$6:$D$2988,'1UV5KI'!$E$6:$E$2988,"&gt;="&amp;AW7,'1UV5KI'!$E$6:$E$2988,"&lt;="&amp;EOMONTH(AW7,0),'1UV5KI'!$F$6:$F$2988,"Bond Received")+SUMIFS(#REF!,#REF!,"&gt;="&amp;AW7,#REF!,"&lt;="&amp;EOMONTH(AW7,0),#REF!,"Bond Received")+SUMIFS('1UL9RY'!$D$6:$D$2989,'1UL9RY'!$E$6:$E$2989,"&gt;="&amp;AW7,'1UL9RY'!$E$6:$E$2989,"&lt;="&amp;EOMONTH(AW7,0),'1UL9RY'!$F$6:$F$2989,"Bond Received")+SUMIFS('1OZ7GT'!$D$6:$D$2989,'1OZ7GT'!$E$6:$E$2989,"&gt;="&amp;AW7,'1OZ7GT'!$E$6:$E$2989,"&lt;="&amp;EOMONTH(AW7,0),'1OZ7GT'!$F$6:$F$2989,"Bond Received")+SUMIFS('1CN8DD'!$D$6:$D$2989,'1CN8DD'!$E$6:$E$2989,"&gt;="&amp;AW7,'1CN8DD'!$E$6:$E$2989,"&lt;="&amp;EOMONTH(AW7,0),'1CN8DD'!$F$6:$F$2989,"Bond Received")+SUMIFS('1UT9BR'!$D$6:$D$2989,'1UT9BR'!$E$6:$E$2989,"&gt;="&amp;AW7,'1UT9BR'!$E$6:$E$2989,"&lt;="&amp;EOMONTH(AW7,0),'1UT9BR'!$F$6:$F$2989,"Bond Received")+SUMIFS('1MK4UR'!$D$6:$D$2989,'1MK4UR'!$E$6:$E$2989,"&gt;="&amp;AW7,'1MK4UR'!$E$6:$E$2989,"&lt;="&amp;EOMONTH(AW7,0),'1MK4UR'!$F$6:$F$2989,"Bond Received")+SUMIFS(#REF!,#REF!,"&gt;="&amp;AW7,#REF!,"&lt;="&amp;EOMONTH(AW7,0),#REF!,"Bond Received")+SUMIFS('1JI2UE'!$D$6:$D$2989,'1JI2UE'!$E$6:$E$2989,"&gt;="&amp;AW7,'1JI2UE'!$E$6:$E$2989,"&lt;="&amp;EOMONTH(AW7,0),'1JI2UE'!$F$6:$F$2989,"Bond Received")+SUMIFS(#REF!,#REF!,"&gt;="&amp;AW7,#REF!,"&lt;="&amp;EOMONTH(AW7,0),#REF!,"Bond Received")+SUMIFS('1SI9BW'!$D$6:$D$2989,'1SI9BW'!$E$6:$E$2989,"&gt;="&amp;AW7,'1SI9BW'!$E$6:$E$2989,"&lt;="&amp;EOMONTH(AW7,0),'1SI9BW'!$F$6:$F$2989,"Bond Received")+SUMIFS(Suzuki!$D$6:$D$2989,Suzuki!$E$6:$E$2989,"&gt;="&amp;AW7,Suzuki!$E$6:$E$2989,"&lt;="&amp;EOMONTH(AW7,0),Suzuki!$F$6:$F$2989,"Bond Received")+SUMIFS('1SK3DD'!$D$6:$D$2989,'1SK3DD'!$E$6:$E$2989,"&gt;="&amp;AW7,'1SK3DD'!$E$6:$E$2989,"&lt;="&amp;EOMONTH(AW7,0),'1SK3DD'!$F$6:$F$2989,"Bond Received")+SUMIFS('1SX5TQ'!$D$6:$D$2989,'1SX5TQ'!$E$6:$E$2989,"&gt;="&amp;AW7,'1SX5TQ'!$E$6:$E$2989,"&lt;="&amp;EOMONTH(AW7,0),'1SX5TQ'!$F$6:$F$2989,"Bond Received")+SUMIFS('BMM465'!$D$6:$D$2989,'BMM465'!$E$6:$E$2989,"&gt;="&amp;AW7,'BMM465'!$E$6:$E$2989,"&lt;="&amp;EOMONTH(AW7,0),'BMM465'!$F$6:$F$2989,"Bond Received")+SUMIFS('1CF1ZO'!$D$6:$D$2989,'1CF1ZO'!$E$6:$E$2989,"&gt;="&amp;AW7,'1CF1ZO'!$E$6:$E$2989,"&lt;="&amp;EOMONTH(AW7,0),'1CF1ZO'!$F$6:$F$2989,"Bond Received")+SUMIFS('1UK1BK'!$D$6:$D$2989,'1UK1BK'!$E$6:$E$2989,"&gt;="&amp;AW7,'1UK1BK'!$E$6:$E$2989,"&lt;="&amp;EOMONTH(AW7,0),'1UK1BK'!$F$6:$F$2989,"Bond Received")-(((SUMIFS('CEI565'!$K$6:$K$2990,'CEI565'!$J$6:$J$2990,"&gt;="&amp;AW7,'CEI565'!$J$6:$J$2990,"&lt;="&amp;EOMONTH(AW7,0),'CEI565'!$L$6:$L$2990,"Bond Return")+SUMIFS('1SM3VL'!$K$6:$K$2990,'1SM3VL'!$J$6:$J$2990,"&gt;="&amp;AW7,'1SM3VL'!$J$6:$J$2990,"&lt;="&amp;EOMONTH(AW7,0),'1SM3VL'!$L$6:$L$2990,"Bond Return")+SUMIFS('1QF4SM'!$K$6:$K$2989,'1QF4SM'!$J$6:$J$2989,"&gt;="&amp;AW7,'1QF4SM'!$J$6:$J$2989,"&lt;="&amp;EOMONTH(AW7,0),'1QF4SM'!$L$6:$L$2989,"Bond Return")+SUMIFS('1UV5KI'!$K$6:$K$2989,'1UV5KI'!$J$6:$J$2989,"&gt;="&amp;AW7,'1UV5KI'!$J$6:$J$2989,"&lt;="&amp;EOMONTH(AW7,0),'1UV5KI'!$L$6:$L$2989,"Bond Return")+SUMIFS(#REF!,#REF!,"&gt;="&amp;AW7,#REF!,"&lt;="&amp;EOMONTH(AW7,0),#REF!,"Bond Return")+SUMIFS('1UL9RY'!$K$6:$K$2990,'1UL9RY'!$J$6:$J$2990,"&gt;="&amp;AW7,'1UL9RY'!$J$6:$J$2990,"&lt;="&amp;EOMONTH(AW7,0),'1UL9RY'!$L$6:$L$2990,"Bond Return")+SUMIFS('1OZ7GT'!$K$6:$K$2989,'1OZ7GT'!$J$6:$J$2989,"&gt;="&amp;AW7,'1OZ7GT'!$J$6:$J$2989,"&lt;="&amp;EOMONTH(AW7,0),'1OZ7GT'!$L$6:$L$2989,"Bond Return")+SUMIFS('1CN8DD'!$K$6:$K$2989,'1CN8DD'!$J$6:$J$2989,"&gt;="&amp;AW7,'1CN8DD'!$J$6:$J$2989,"&lt;="&amp;EOMONTH(AW7,0),'1CN8DD'!$L$6:$L$2989,"Bond Return")+SUMIFS('1UT9BR'!$K$6:$K$2990,'1UT9BR'!$J$6:$J$2990,"&gt;="&amp;AW7,'1UT9BR'!$J$6:$J$2990,"&lt;="&amp;EOMONTH(AW7,0),'1UT9BR'!$L$6:$L$2990,"Bond Return")+SUMIFS('1MK4UR'!$K$6:$K$2990,'1MK4UR'!$J$6:$J$2990,"&gt;="&amp;AW7,'1MK4UR'!$J$6:$J$2990,"&lt;="&amp;EOMONTH(AW7,0),'1MK4UR'!$L$6:$L$2990,"Bond Return")+SUMIFS(#REF!,#REF!,"&gt;="&amp;AW7,#REF!,"&lt;="&amp;EOMONTH(AW7,0),#REF!,"Bond Return")+SUMIFS('1JI2UE'!$K$6:$K$2989,'1JI2UE'!$J$6:$J$2989,"&gt;="&amp;AW7,'1JI2UE'!$J$6:$J$2989,"&lt;="&amp;EOMONTH(AW7,0),'1JI2UE'!$L$6:$L$2989,"Bond Return")+SUMIFS(#REF!,#REF!,"&gt;="&amp;AW7,#REF!,"&lt;="&amp;EOMONTH(AW7,0),#REF!,"Bond Return")+SUMIFS('1SI9BW'!$K$6:$K$2989,'1SI9BW'!$J$6:$J$2989,"&gt;="&amp;AW7,'1SI9BW'!$J$6:$J$2989,"&lt;="&amp;EOMONTH(AW7,0),'1SI9BW'!$L$6:$L$2989,"Bond Return")+SUMIFS(Suzuki!$K$6:$K$2989,Suzuki!$J$6:$J$2989,"&gt;="&amp;AW7,Suzuki!$J$6:$J$2989,"&lt;="&amp;EOMONTH(AW7,0),Suzuki!$L$6:$L$2989,"Bond Return")+SUMIFS('1SK3DD'!$K$6:$K$2989,'1SK3DD'!$J$6:$J$2989,"&gt;="&amp;AW7,'1SK3DD'!$J$6:$J$2989,"&lt;="&amp;EOMONTH(AW7,0),'1SK3DD'!$L$6:$L$2989,"Bond Return")+SUMIFS('1SX5TQ'!$K$6:$K$2989,'1SX5TQ'!$J$6:$J$2989,"&gt;="&amp;AW7,'1SX5TQ'!$J$6:$J$2989,"&lt;="&amp;EOMONTH(AW7,0),'1SX5TQ'!$L$6:$L$2989,"Bond Return")+SUMIFS('BMM465'!$K$6:$K$2989,'BMM465'!$J$6:$J$2989,"&gt;="&amp;AW7,'BMM465'!$J$6:$J$2989,"&lt;="&amp;EOMONTH(AW7,0),'BMM465'!$L$6:$L$2989,"Bond Return")+SUMIFS('1CF1ZO'!$K$6:$K$2989,'1CF1ZO'!$J$6:$J$2989,"&gt;="&amp;AW7,'1CF1ZO'!$J$6:$J$2989,"&lt;="&amp;EOMONTH(AW7,0),'1CF1ZO'!$L$6:$L$2989,"Bond Return")+SUMIFS('1UK1BK'!$K$6:$K$2989,'1UK1BK'!$J$6:$J$2989,"&gt;="&amp;AW7,'1UK1BK'!$J$6:$J$2989,"&lt;="&amp;EOMONTH(AW7,0),'1UK1BK'!$L$6:$L$2989,"Bond Return"))))</f>
        <v>#REF!</v>
      </c>
      <c r="AX42" s="2" t="e">
        <f>SUMIFS('CEI565'!$D$6:$D$2994,'CEI565'!$E$6:$E$2994,"&gt;="&amp;AX7,'CEI565'!$E$6:$E$2994,"&lt;="&amp;EOMONTH(AX7,0),'CEI565'!$F$6:$F$2994,"Bond Received")+SUMIFS('1SM3VL'!$D$6:$D$2989,'1SM3VL'!$E$6:$E$2989,"&gt;="&amp;AX7,'1SM3VL'!$E$6:$E$2989,"&lt;="&amp;EOMONTH(AX7,0),'1SM3VL'!$F$6:$F$2989,"Bond Received")+SUMIFS('1QF4SM'!$D$6:$D$2989,'1QF4SM'!$E$6:$E$2989,"&gt;="&amp;AX7,'1QF4SM'!$E$6:$E$2989,"&lt;="&amp;EOMONTH(AX7,0),'1QF4SM'!$F$6:$F$2989,"Bond Received")+SUMIFS('1UV5KI'!$D$6:$D$2988,'1UV5KI'!$E$6:$E$2988,"&gt;="&amp;AX7,'1UV5KI'!$E$6:$E$2988,"&lt;="&amp;EOMONTH(AX7,0),'1UV5KI'!$F$6:$F$2988,"Bond Received")+SUMIFS(#REF!,#REF!,"&gt;="&amp;AX7,#REF!,"&lt;="&amp;EOMONTH(AX7,0),#REF!,"Bond Received")+SUMIFS('1UL9RY'!$D$6:$D$2989,'1UL9RY'!$E$6:$E$2989,"&gt;="&amp;AX7,'1UL9RY'!$E$6:$E$2989,"&lt;="&amp;EOMONTH(AX7,0),'1UL9RY'!$F$6:$F$2989,"Bond Received")+SUMIFS('1OZ7GT'!$D$6:$D$2989,'1OZ7GT'!$E$6:$E$2989,"&gt;="&amp;AX7,'1OZ7GT'!$E$6:$E$2989,"&lt;="&amp;EOMONTH(AX7,0),'1OZ7GT'!$F$6:$F$2989,"Bond Received")+SUMIFS('1CN8DD'!$D$6:$D$2989,'1CN8DD'!$E$6:$E$2989,"&gt;="&amp;AX7,'1CN8DD'!$E$6:$E$2989,"&lt;="&amp;EOMONTH(AX7,0),'1CN8DD'!$F$6:$F$2989,"Bond Received")+SUMIFS('1UT9BR'!$D$6:$D$2989,'1UT9BR'!$E$6:$E$2989,"&gt;="&amp;AX7,'1UT9BR'!$E$6:$E$2989,"&lt;="&amp;EOMONTH(AX7,0),'1UT9BR'!$F$6:$F$2989,"Bond Received")+SUMIFS('1MK4UR'!$D$6:$D$2989,'1MK4UR'!$E$6:$E$2989,"&gt;="&amp;AX7,'1MK4UR'!$E$6:$E$2989,"&lt;="&amp;EOMONTH(AX7,0),'1MK4UR'!$F$6:$F$2989,"Bond Received")+SUMIFS(#REF!,#REF!,"&gt;="&amp;AX7,#REF!,"&lt;="&amp;EOMONTH(AX7,0),#REF!,"Bond Received")+SUMIFS('1JI2UE'!$D$6:$D$2989,'1JI2UE'!$E$6:$E$2989,"&gt;="&amp;AX7,'1JI2UE'!$E$6:$E$2989,"&lt;="&amp;EOMONTH(AX7,0),'1JI2UE'!$F$6:$F$2989,"Bond Received")+SUMIFS(#REF!,#REF!,"&gt;="&amp;AX7,#REF!,"&lt;="&amp;EOMONTH(AX7,0),#REF!,"Bond Received")+SUMIFS('1SI9BW'!$D$6:$D$2989,'1SI9BW'!$E$6:$E$2989,"&gt;="&amp;AX7,'1SI9BW'!$E$6:$E$2989,"&lt;="&amp;EOMONTH(AX7,0),'1SI9BW'!$F$6:$F$2989,"Bond Received")+SUMIFS(Suzuki!$D$6:$D$2989,Suzuki!$E$6:$E$2989,"&gt;="&amp;AX7,Suzuki!$E$6:$E$2989,"&lt;="&amp;EOMONTH(AX7,0),Suzuki!$F$6:$F$2989,"Bond Received")+SUMIFS('1SK3DD'!$D$6:$D$2989,'1SK3DD'!$E$6:$E$2989,"&gt;="&amp;AX7,'1SK3DD'!$E$6:$E$2989,"&lt;="&amp;EOMONTH(AX7,0),'1SK3DD'!$F$6:$F$2989,"Bond Received")+SUMIFS('1SX5TQ'!$D$6:$D$2989,'1SX5TQ'!$E$6:$E$2989,"&gt;="&amp;AX7,'1SX5TQ'!$E$6:$E$2989,"&lt;="&amp;EOMONTH(AX7,0),'1SX5TQ'!$F$6:$F$2989,"Bond Received")+SUMIFS('BMM465'!$D$6:$D$2989,'BMM465'!$E$6:$E$2989,"&gt;="&amp;AX7,'BMM465'!$E$6:$E$2989,"&lt;="&amp;EOMONTH(AX7,0),'BMM465'!$F$6:$F$2989,"Bond Received")+SUMIFS('1CF1ZO'!$D$6:$D$2989,'1CF1ZO'!$E$6:$E$2989,"&gt;="&amp;AX7,'1CF1ZO'!$E$6:$E$2989,"&lt;="&amp;EOMONTH(AX7,0),'1CF1ZO'!$F$6:$F$2989,"Bond Received")+SUMIFS('1UK1BK'!$D$6:$D$2989,'1UK1BK'!$E$6:$E$2989,"&gt;="&amp;AX7,'1UK1BK'!$E$6:$E$2989,"&lt;="&amp;EOMONTH(AX7,0),'1UK1BK'!$F$6:$F$2989,"Bond Received")-(((SUMIFS('CEI565'!$K$6:$K$2990,'CEI565'!$J$6:$J$2990,"&gt;="&amp;AX7,'CEI565'!$J$6:$J$2990,"&lt;="&amp;EOMONTH(AX7,0),'CEI565'!$L$6:$L$2990,"Bond Return")+SUMIFS('1SM3VL'!$K$6:$K$2990,'1SM3VL'!$J$6:$J$2990,"&gt;="&amp;AX7,'1SM3VL'!$J$6:$J$2990,"&lt;="&amp;EOMONTH(AX7,0),'1SM3VL'!$L$6:$L$2990,"Bond Return")+SUMIFS('1QF4SM'!$K$6:$K$2989,'1QF4SM'!$J$6:$J$2989,"&gt;="&amp;AX7,'1QF4SM'!$J$6:$J$2989,"&lt;="&amp;EOMONTH(AX7,0),'1QF4SM'!$L$6:$L$2989,"Bond Return")+SUMIFS('1UV5KI'!$K$6:$K$2989,'1UV5KI'!$J$6:$J$2989,"&gt;="&amp;AX7,'1UV5KI'!$J$6:$J$2989,"&lt;="&amp;EOMONTH(AX7,0),'1UV5KI'!$L$6:$L$2989,"Bond Return")+SUMIFS(#REF!,#REF!,"&gt;="&amp;AX7,#REF!,"&lt;="&amp;EOMONTH(AX7,0),#REF!,"Bond Return")+SUMIFS('1UL9RY'!$K$6:$K$2990,'1UL9RY'!$J$6:$J$2990,"&gt;="&amp;AX7,'1UL9RY'!$J$6:$J$2990,"&lt;="&amp;EOMONTH(AX7,0),'1UL9RY'!$L$6:$L$2990,"Bond Return")+SUMIFS('1OZ7GT'!$K$6:$K$2989,'1OZ7GT'!$J$6:$J$2989,"&gt;="&amp;AX7,'1OZ7GT'!$J$6:$J$2989,"&lt;="&amp;EOMONTH(AX7,0),'1OZ7GT'!$L$6:$L$2989,"Bond Return")+SUMIFS('1CN8DD'!$K$6:$K$2989,'1CN8DD'!$J$6:$J$2989,"&gt;="&amp;AX7,'1CN8DD'!$J$6:$J$2989,"&lt;="&amp;EOMONTH(AX7,0),'1CN8DD'!$L$6:$L$2989,"Bond Return")+SUMIFS('1UT9BR'!$K$6:$K$2990,'1UT9BR'!$J$6:$J$2990,"&gt;="&amp;AX7,'1UT9BR'!$J$6:$J$2990,"&lt;="&amp;EOMONTH(AX7,0),'1UT9BR'!$L$6:$L$2990,"Bond Return")+SUMIFS('1MK4UR'!$K$6:$K$2990,'1MK4UR'!$J$6:$J$2990,"&gt;="&amp;AX7,'1MK4UR'!$J$6:$J$2990,"&lt;="&amp;EOMONTH(AX7,0),'1MK4UR'!$L$6:$L$2990,"Bond Return")+SUMIFS(#REF!,#REF!,"&gt;="&amp;AX7,#REF!,"&lt;="&amp;EOMONTH(AX7,0),#REF!,"Bond Return")+SUMIFS('1JI2UE'!$K$6:$K$2989,'1JI2UE'!$J$6:$J$2989,"&gt;="&amp;AX7,'1JI2UE'!$J$6:$J$2989,"&lt;="&amp;EOMONTH(AX7,0),'1JI2UE'!$L$6:$L$2989,"Bond Return")+SUMIFS(#REF!,#REF!,"&gt;="&amp;AX7,#REF!,"&lt;="&amp;EOMONTH(AX7,0),#REF!,"Bond Return")+SUMIFS('1SI9BW'!$K$6:$K$2989,'1SI9BW'!$J$6:$J$2989,"&gt;="&amp;AX7,'1SI9BW'!$J$6:$J$2989,"&lt;="&amp;EOMONTH(AX7,0),'1SI9BW'!$L$6:$L$2989,"Bond Return")+SUMIFS(Suzuki!$K$6:$K$2989,Suzuki!$J$6:$J$2989,"&gt;="&amp;AX7,Suzuki!$J$6:$J$2989,"&lt;="&amp;EOMONTH(AX7,0),Suzuki!$L$6:$L$2989,"Bond Return")+SUMIFS('1SK3DD'!$K$6:$K$2989,'1SK3DD'!$J$6:$J$2989,"&gt;="&amp;AX7,'1SK3DD'!$J$6:$J$2989,"&lt;="&amp;EOMONTH(AX7,0),'1SK3DD'!$L$6:$L$2989,"Bond Return")+SUMIFS('1SX5TQ'!$K$6:$K$2989,'1SX5TQ'!$J$6:$J$2989,"&gt;="&amp;AX7,'1SX5TQ'!$J$6:$J$2989,"&lt;="&amp;EOMONTH(AX7,0),'1SX5TQ'!$L$6:$L$2989,"Bond Return")+SUMIFS('BMM465'!$K$6:$K$2989,'BMM465'!$J$6:$J$2989,"&gt;="&amp;AX7,'BMM465'!$J$6:$J$2989,"&lt;="&amp;EOMONTH(AX7,0),'BMM465'!$L$6:$L$2989,"Bond Return")+SUMIFS('1CF1ZO'!$K$6:$K$2989,'1CF1ZO'!$J$6:$J$2989,"&gt;="&amp;AX7,'1CF1ZO'!$J$6:$J$2989,"&lt;="&amp;EOMONTH(AX7,0),'1CF1ZO'!$L$6:$L$2989,"Bond Return")+SUMIFS('1UK1BK'!$K$6:$K$2989,'1UK1BK'!$J$6:$J$2989,"&gt;="&amp;AX7,'1UK1BK'!$J$6:$J$2989,"&lt;="&amp;EOMONTH(AX7,0),'1UK1BK'!$L$6:$L$2989,"Bond Return"))))</f>
        <v>#REF!</v>
      </c>
      <c r="AY42" s="2" t="e">
        <f>SUMIFS('CEI565'!$D$6:$D$2994,'CEI565'!$E$6:$E$2994,"&gt;="&amp;AY7,'CEI565'!$E$6:$E$2994,"&lt;="&amp;EOMONTH(AY7,0),'CEI565'!$F$6:$F$2994,"Bond Received")+SUMIFS('1SM3VL'!$D$6:$D$2989,'1SM3VL'!$E$6:$E$2989,"&gt;="&amp;AY7,'1SM3VL'!$E$6:$E$2989,"&lt;="&amp;EOMONTH(AY7,0),'1SM3VL'!$F$6:$F$2989,"Bond Received")+SUMIFS('1QF4SM'!$D$6:$D$2989,'1QF4SM'!$E$6:$E$2989,"&gt;="&amp;AY7,'1QF4SM'!$E$6:$E$2989,"&lt;="&amp;EOMONTH(AY7,0),'1QF4SM'!$F$6:$F$2989,"Bond Received")+SUMIFS('1UV5KI'!$D$6:$D$2988,'1UV5KI'!$E$6:$E$2988,"&gt;="&amp;AY7,'1UV5KI'!$E$6:$E$2988,"&lt;="&amp;EOMONTH(AY7,0),'1UV5KI'!$F$6:$F$2988,"Bond Received")+SUMIFS(#REF!,#REF!,"&gt;="&amp;AY7,#REF!,"&lt;="&amp;EOMONTH(AY7,0),#REF!,"Bond Received")+SUMIFS('1UL9RY'!$D$6:$D$2989,'1UL9RY'!$E$6:$E$2989,"&gt;="&amp;AY7,'1UL9RY'!$E$6:$E$2989,"&lt;="&amp;EOMONTH(AY7,0),'1UL9RY'!$F$6:$F$2989,"Bond Received")+SUMIFS('1OZ7GT'!$D$6:$D$2989,'1OZ7GT'!$E$6:$E$2989,"&gt;="&amp;AY7,'1OZ7GT'!$E$6:$E$2989,"&lt;="&amp;EOMONTH(AY7,0),'1OZ7GT'!$F$6:$F$2989,"Bond Received")+SUMIFS('1CN8DD'!$D$6:$D$2989,'1CN8DD'!$E$6:$E$2989,"&gt;="&amp;AY7,'1CN8DD'!$E$6:$E$2989,"&lt;="&amp;EOMONTH(AY7,0),'1CN8DD'!$F$6:$F$2989,"Bond Received")+SUMIFS('1UT9BR'!$D$6:$D$2989,'1UT9BR'!$E$6:$E$2989,"&gt;="&amp;AY7,'1UT9BR'!$E$6:$E$2989,"&lt;="&amp;EOMONTH(AY7,0),'1UT9BR'!$F$6:$F$2989,"Bond Received")+SUMIFS('1MK4UR'!$D$6:$D$2989,'1MK4UR'!$E$6:$E$2989,"&gt;="&amp;AY7,'1MK4UR'!$E$6:$E$2989,"&lt;="&amp;EOMONTH(AY7,0),'1MK4UR'!$F$6:$F$2989,"Bond Received")+SUMIFS(#REF!,#REF!,"&gt;="&amp;AY7,#REF!,"&lt;="&amp;EOMONTH(AY7,0),#REF!,"Bond Received")+SUMIFS('1JI2UE'!$D$6:$D$2989,'1JI2UE'!$E$6:$E$2989,"&gt;="&amp;AY7,'1JI2UE'!$E$6:$E$2989,"&lt;="&amp;EOMONTH(AY7,0),'1JI2UE'!$F$6:$F$2989,"Bond Received")+SUMIFS(#REF!,#REF!,"&gt;="&amp;AY7,#REF!,"&lt;="&amp;EOMONTH(AY7,0),#REF!,"Bond Received")+SUMIFS('1SI9BW'!$D$6:$D$2989,'1SI9BW'!$E$6:$E$2989,"&gt;="&amp;AY7,'1SI9BW'!$E$6:$E$2989,"&lt;="&amp;EOMONTH(AY7,0),'1SI9BW'!$F$6:$F$2989,"Bond Received")+SUMIFS(Suzuki!$D$6:$D$2989,Suzuki!$E$6:$E$2989,"&gt;="&amp;AY7,Suzuki!$E$6:$E$2989,"&lt;="&amp;EOMONTH(AY7,0),Suzuki!$F$6:$F$2989,"Bond Received")+SUMIFS('1SK3DD'!$D$6:$D$2989,'1SK3DD'!$E$6:$E$2989,"&gt;="&amp;AY7,'1SK3DD'!$E$6:$E$2989,"&lt;="&amp;EOMONTH(AY7,0),'1SK3DD'!$F$6:$F$2989,"Bond Received")+SUMIFS('1SX5TQ'!$D$6:$D$2989,'1SX5TQ'!$E$6:$E$2989,"&gt;="&amp;AY7,'1SX5TQ'!$E$6:$E$2989,"&lt;="&amp;EOMONTH(AY7,0),'1SX5TQ'!$F$6:$F$2989,"Bond Received")+SUMIFS('BMM465'!$D$6:$D$2989,'BMM465'!$E$6:$E$2989,"&gt;="&amp;AY7,'BMM465'!$E$6:$E$2989,"&lt;="&amp;EOMONTH(AY7,0),'BMM465'!$F$6:$F$2989,"Bond Received")+SUMIFS('1CF1ZO'!$D$6:$D$2989,'1CF1ZO'!$E$6:$E$2989,"&gt;="&amp;AY7,'1CF1ZO'!$E$6:$E$2989,"&lt;="&amp;EOMONTH(AY7,0),'1CF1ZO'!$F$6:$F$2989,"Bond Received")+SUMIFS('1UK1BK'!$D$6:$D$2989,'1UK1BK'!$E$6:$E$2989,"&gt;="&amp;AY7,'1UK1BK'!$E$6:$E$2989,"&lt;="&amp;EOMONTH(AY7,0),'1UK1BK'!$F$6:$F$2989,"Bond Received")-(((SUMIFS('CEI565'!$K$6:$K$2990,'CEI565'!$J$6:$J$2990,"&gt;="&amp;AY7,'CEI565'!$J$6:$J$2990,"&lt;="&amp;EOMONTH(AY7,0),'CEI565'!$L$6:$L$2990,"Bond Return")+SUMIFS('1SM3VL'!$K$6:$K$2990,'1SM3VL'!$J$6:$J$2990,"&gt;="&amp;AY7,'1SM3VL'!$J$6:$J$2990,"&lt;="&amp;EOMONTH(AY7,0),'1SM3VL'!$L$6:$L$2990,"Bond Return")+SUMIFS('1QF4SM'!$K$6:$K$2989,'1QF4SM'!$J$6:$J$2989,"&gt;="&amp;AY7,'1QF4SM'!$J$6:$J$2989,"&lt;="&amp;EOMONTH(AY7,0),'1QF4SM'!$L$6:$L$2989,"Bond Return")+SUMIFS('1UV5KI'!$K$6:$K$2989,'1UV5KI'!$J$6:$J$2989,"&gt;="&amp;AY7,'1UV5KI'!$J$6:$J$2989,"&lt;="&amp;EOMONTH(AY7,0),'1UV5KI'!$L$6:$L$2989,"Bond Return")+SUMIFS(#REF!,#REF!,"&gt;="&amp;AY7,#REF!,"&lt;="&amp;EOMONTH(AY7,0),#REF!,"Bond Return")+SUMIFS('1UL9RY'!$K$6:$K$2990,'1UL9RY'!$J$6:$J$2990,"&gt;="&amp;AY7,'1UL9RY'!$J$6:$J$2990,"&lt;="&amp;EOMONTH(AY7,0),'1UL9RY'!$L$6:$L$2990,"Bond Return")+SUMIFS('1OZ7GT'!$K$6:$K$2989,'1OZ7GT'!$J$6:$J$2989,"&gt;="&amp;AY7,'1OZ7GT'!$J$6:$J$2989,"&lt;="&amp;EOMONTH(AY7,0),'1OZ7GT'!$L$6:$L$2989,"Bond Return")+SUMIFS('1CN8DD'!$K$6:$K$2989,'1CN8DD'!$J$6:$J$2989,"&gt;="&amp;AY7,'1CN8DD'!$J$6:$J$2989,"&lt;="&amp;EOMONTH(AY7,0),'1CN8DD'!$L$6:$L$2989,"Bond Return")+SUMIFS('1UT9BR'!$K$6:$K$2990,'1UT9BR'!$J$6:$J$2990,"&gt;="&amp;AY7,'1UT9BR'!$J$6:$J$2990,"&lt;="&amp;EOMONTH(AY7,0),'1UT9BR'!$L$6:$L$2990,"Bond Return")+SUMIFS('1MK4UR'!$K$6:$K$2990,'1MK4UR'!$J$6:$J$2990,"&gt;="&amp;AY7,'1MK4UR'!$J$6:$J$2990,"&lt;="&amp;EOMONTH(AY7,0),'1MK4UR'!$L$6:$L$2990,"Bond Return")+SUMIFS(#REF!,#REF!,"&gt;="&amp;AY7,#REF!,"&lt;="&amp;EOMONTH(AY7,0),#REF!,"Bond Return")+SUMIFS('1JI2UE'!$K$6:$K$2989,'1JI2UE'!$J$6:$J$2989,"&gt;="&amp;AY7,'1JI2UE'!$J$6:$J$2989,"&lt;="&amp;EOMONTH(AY7,0),'1JI2UE'!$L$6:$L$2989,"Bond Return")+SUMIFS(#REF!,#REF!,"&gt;="&amp;AY7,#REF!,"&lt;="&amp;EOMONTH(AY7,0),#REF!,"Bond Return")+SUMIFS('1SI9BW'!$K$6:$K$2989,'1SI9BW'!$J$6:$J$2989,"&gt;="&amp;AY7,'1SI9BW'!$J$6:$J$2989,"&lt;="&amp;EOMONTH(AY7,0),'1SI9BW'!$L$6:$L$2989,"Bond Return")+SUMIFS(Suzuki!$K$6:$K$2989,Suzuki!$J$6:$J$2989,"&gt;="&amp;AY7,Suzuki!$J$6:$J$2989,"&lt;="&amp;EOMONTH(AY7,0),Suzuki!$L$6:$L$2989,"Bond Return")+SUMIFS('1SK3DD'!$K$6:$K$2989,'1SK3DD'!$J$6:$J$2989,"&gt;="&amp;AY7,'1SK3DD'!$J$6:$J$2989,"&lt;="&amp;EOMONTH(AY7,0),'1SK3DD'!$L$6:$L$2989,"Bond Return")+SUMIFS('1SX5TQ'!$K$6:$K$2989,'1SX5TQ'!$J$6:$J$2989,"&gt;="&amp;AY7,'1SX5TQ'!$J$6:$J$2989,"&lt;="&amp;EOMONTH(AY7,0),'1SX5TQ'!$L$6:$L$2989,"Bond Return")+SUMIFS('BMM465'!$K$6:$K$2989,'BMM465'!$J$6:$J$2989,"&gt;="&amp;AY7,'BMM465'!$J$6:$J$2989,"&lt;="&amp;EOMONTH(AY7,0),'BMM465'!$L$6:$L$2989,"Bond Return")+SUMIFS('1CF1ZO'!$K$6:$K$2989,'1CF1ZO'!$J$6:$J$2989,"&gt;="&amp;AY7,'1CF1ZO'!$J$6:$J$2989,"&lt;="&amp;EOMONTH(AY7,0),'1CF1ZO'!$L$6:$L$2989,"Bond Return")+SUMIFS('1UK1BK'!$K$6:$K$2989,'1UK1BK'!$J$6:$J$2989,"&gt;="&amp;AY7,'1UK1BK'!$J$6:$J$2989,"&lt;="&amp;EOMONTH(AY7,0),'1UK1BK'!$L$6:$L$2989,"Bond Return"))))</f>
        <v>#REF!</v>
      </c>
      <c r="AZ42" s="2" t="e">
        <f>SUMIFS('CEI565'!$D$6:$D$2994,'CEI565'!$E$6:$E$2994,"&gt;="&amp;AZ7,'CEI565'!$E$6:$E$2994,"&lt;="&amp;EOMONTH(AZ7,0),'CEI565'!$F$6:$F$2994,"Bond Received")+SUMIFS('1SM3VL'!$D$6:$D$2989,'1SM3VL'!$E$6:$E$2989,"&gt;="&amp;AZ7,'1SM3VL'!$E$6:$E$2989,"&lt;="&amp;EOMONTH(AZ7,0),'1SM3VL'!$F$6:$F$2989,"Bond Received")+SUMIFS('1QF4SM'!$D$6:$D$2989,'1QF4SM'!$E$6:$E$2989,"&gt;="&amp;AZ7,'1QF4SM'!$E$6:$E$2989,"&lt;="&amp;EOMONTH(AZ7,0),'1QF4SM'!$F$6:$F$2989,"Bond Received")+SUMIFS('1UV5KI'!$D$6:$D$2988,'1UV5KI'!$E$6:$E$2988,"&gt;="&amp;AZ7,'1UV5KI'!$E$6:$E$2988,"&lt;="&amp;EOMONTH(AZ7,0),'1UV5KI'!$F$6:$F$2988,"Bond Received")+SUMIFS(#REF!,#REF!,"&gt;="&amp;AZ7,#REF!,"&lt;="&amp;EOMONTH(AZ7,0),#REF!,"Bond Received")+SUMIFS('1UL9RY'!$D$6:$D$2989,'1UL9RY'!$E$6:$E$2989,"&gt;="&amp;AZ7,'1UL9RY'!$E$6:$E$2989,"&lt;="&amp;EOMONTH(AZ7,0),'1UL9RY'!$F$6:$F$2989,"Bond Received")+SUMIFS('1OZ7GT'!$D$6:$D$2989,'1OZ7GT'!$E$6:$E$2989,"&gt;="&amp;AZ7,'1OZ7GT'!$E$6:$E$2989,"&lt;="&amp;EOMONTH(AZ7,0),'1OZ7GT'!$F$6:$F$2989,"Bond Received")+SUMIFS('1CN8DD'!$D$6:$D$2989,'1CN8DD'!$E$6:$E$2989,"&gt;="&amp;AZ7,'1CN8DD'!$E$6:$E$2989,"&lt;="&amp;EOMONTH(AZ7,0),'1CN8DD'!$F$6:$F$2989,"Bond Received")+SUMIFS('1UT9BR'!$D$6:$D$2989,'1UT9BR'!$E$6:$E$2989,"&gt;="&amp;AZ7,'1UT9BR'!$E$6:$E$2989,"&lt;="&amp;EOMONTH(AZ7,0),'1UT9BR'!$F$6:$F$2989,"Bond Received")+SUMIFS('1MK4UR'!$D$6:$D$2989,'1MK4UR'!$E$6:$E$2989,"&gt;="&amp;AZ7,'1MK4UR'!$E$6:$E$2989,"&lt;="&amp;EOMONTH(AZ7,0),'1MK4UR'!$F$6:$F$2989,"Bond Received")+SUMIFS(#REF!,#REF!,"&gt;="&amp;AZ7,#REF!,"&lt;="&amp;EOMONTH(AZ7,0),#REF!,"Bond Received")+SUMIFS('1JI2UE'!$D$6:$D$2989,'1JI2UE'!$E$6:$E$2989,"&gt;="&amp;AZ7,'1JI2UE'!$E$6:$E$2989,"&lt;="&amp;EOMONTH(AZ7,0),'1JI2UE'!$F$6:$F$2989,"Bond Received")+SUMIFS(#REF!,#REF!,"&gt;="&amp;AZ7,#REF!,"&lt;="&amp;EOMONTH(AZ7,0),#REF!,"Bond Received")+SUMIFS('1SI9BW'!$D$6:$D$2989,'1SI9BW'!$E$6:$E$2989,"&gt;="&amp;AZ7,'1SI9BW'!$E$6:$E$2989,"&lt;="&amp;EOMONTH(AZ7,0),'1SI9BW'!$F$6:$F$2989,"Bond Received")+SUMIFS(Suzuki!$D$6:$D$2989,Suzuki!$E$6:$E$2989,"&gt;="&amp;AZ7,Suzuki!$E$6:$E$2989,"&lt;="&amp;EOMONTH(AZ7,0),Suzuki!$F$6:$F$2989,"Bond Received")+SUMIFS('1SK3DD'!$D$6:$D$2989,'1SK3DD'!$E$6:$E$2989,"&gt;="&amp;AZ7,'1SK3DD'!$E$6:$E$2989,"&lt;="&amp;EOMONTH(AZ7,0),'1SK3DD'!$F$6:$F$2989,"Bond Received")+SUMIFS('1SX5TQ'!$D$6:$D$2989,'1SX5TQ'!$E$6:$E$2989,"&gt;="&amp;AZ7,'1SX5TQ'!$E$6:$E$2989,"&lt;="&amp;EOMONTH(AZ7,0),'1SX5TQ'!$F$6:$F$2989,"Bond Received")+SUMIFS('BMM465'!$D$6:$D$2989,'BMM465'!$E$6:$E$2989,"&gt;="&amp;AZ7,'BMM465'!$E$6:$E$2989,"&lt;="&amp;EOMONTH(AZ7,0),'BMM465'!$F$6:$F$2989,"Bond Received")+SUMIFS('1CF1ZO'!$D$6:$D$2989,'1CF1ZO'!$E$6:$E$2989,"&gt;="&amp;AZ7,'1CF1ZO'!$E$6:$E$2989,"&lt;="&amp;EOMONTH(AZ7,0),'1CF1ZO'!$F$6:$F$2989,"Bond Received")+SUMIFS('1UK1BK'!$D$6:$D$2989,'1UK1BK'!$E$6:$E$2989,"&gt;="&amp;AZ7,'1UK1BK'!$E$6:$E$2989,"&lt;="&amp;EOMONTH(AZ7,0),'1UK1BK'!$F$6:$F$2989,"Bond Received")-(((SUMIFS('CEI565'!$K$6:$K$2990,'CEI565'!$J$6:$J$2990,"&gt;="&amp;AZ7,'CEI565'!$J$6:$J$2990,"&lt;="&amp;EOMONTH(AZ7,0),'CEI565'!$L$6:$L$2990,"Bond Return")+SUMIFS('1SM3VL'!$K$6:$K$2990,'1SM3VL'!$J$6:$J$2990,"&gt;="&amp;AZ7,'1SM3VL'!$J$6:$J$2990,"&lt;="&amp;EOMONTH(AZ7,0),'1SM3VL'!$L$6:$L$2990,"Bond Return")+SUMIFS('1QF4SM'!$K$6:$K$2989,'1QF4SM'!$J$6:$J$2989,"&gt;="&amp;AZ7,'1QF4SM'!$J$6:$J$2989,"&lt;="&amp;EOMONTH(AZ7,0),'1QF4SM'!$L$6:$L$2989,"Bond Return")+SUMIFS('1UV5KI'!$K$6:$K$2989,'1UV5KI'!$J$6:$J$2989,"&gt;="&amp;AZ7,'1UV5KI'!$J$6:$J$2989,"&lt;="&amp;EOMONTH(AZ7,0),'1UV5KI'!$L$6:$L$2989,"Bond Return")+SUMIFS(#REF!,#REF!,"&gt;="&amp;AZ7,#REF!,"&lt;="&amp;EOMONTH(AZ7,0),#REF!,"Bond Return")+SUMIFS('1UL9RY'!$K$6:$K$2990,'1UL9RY'!$J$6:$J$2990,"&gt;="&amp;AZ7,'1UL9RY'!$J$6:$J$2990,"&lt;="&amp;EOMONTH(AZ7,0),'1UL9RY'!$L$6:$L$2990,"Bond Return")+SUMIFS('1OZ7GT'!$K$6:$K$2989,'1OZ7GT'!$J$6:$J$2989,"&gt;="&amp;AZ7,'1OZ7GT'!$J$6:$J$2989,"&lt;="&amp;EOMONTH(AZ7,0),'1OZ7GT'!$L$6:$L$2989,"Bond Return")+SUMIFS('1CN8DD'!$K$6:$K$2989,'1CN8DD'!$J$6:$J$2989,"&gt;="&amp;AZ7,'1CN8DD'!$J$6:$J$2989,"&lt;="&amp;EOMONTH(AZ7,0),'1CN8DD'!$L$6:$L$2989,"Bond Return")+SUMIFS('1UT9BR'!$K$6:$K$2990,'1UT9BR'!$J$6:$J$2990,"&gt;="&amp;AZ7,'1UT9BR'!$J$6:$J$2990,"&lt;="&amp;EOMONTH(AZ7,0),'1UT9BR'!$L$6:$L$2990,"Bond Return")+SUMIFS('1MK4UR'!$K$6:$K$2990,'1MK4UR'!$J$6:$J$2990,"&gt;="&amp;AZ7,'1MK4UR'!$J$6:$J$2990,"&lt;="&amp;EOMONTH(AZ7,0),'1MK4UR'!$L$6:$L$2990,"Bond Return")+SUMIFS(#REF!,#REF!,"&gt;="&amp;AZ7,#REF!,"&lt;="&amp;EOMONTH(AZ7,0),#REF!,"Bond Return")+SUMIFS('1JI2UE'!$K$6:$K$2989,'1JI2UE'!$J$6:$J$2989,"&gt;="&amp;AZ7,'1JI2UE'!$J$6:$J$2989,"&lt;="&amp;EOMONTH(AZ7,0),'1JI2UE'!$L$6:$L$2989,"Bond Return")+SUMIFS(#REF!,#REF!,"&gt;="&amp;AZ7,#REF!,"&lt;="&amp;EOMONTH(AZ7,0),#REF!,"Bond Return")+SUMIFS('1SI9BW'!$K$6:$K$2989,'1SI9BW'!$J$6:$J$2989,"&gt;="&amp;AZ7,'1SI9BW'!$J$6:$J$2989,"&lt;="&amp;EOMONTH(AZ7,0),'1SI9BW'!$L$6:$L$2989,"Bond Return")+SUMIFS(Suzuki!$K$6:$K$2989,Suzuki!$J$6:$J$2989,"&gt;="&amp;AZ7,Suzuki!$J$6:$J$2989,"&lt;="&amp;EOMONTH(AZ7,0),Suzuki!$L$6:$L$2989,"Bond Return")+SUMIFS('1SK3DD'!$K$6:$K$2989,'1SK3DD'!$J$6:$J$2989,"&gt;="&amp;AZ7,'1SK3DD'!$J$6:$J$2989,"&lt;="&amp;EOMONTH(AZ7,0),'1SK3DD'!$L$6:$L$2989,"Bond Return")+SUMIFS('1SX5TQ'!$K$6:$K$2989,'1SX5TQ'!$J$6:$J$2989,"&gt;="&amp;AZ7,'1SX5TQ'!$J$6:$J$2989,"&lt;="&amp;EOMONTH(AZ7,0),'1SX5TQ'!$L$6:$L$2989,"Bond Return")+SUMIFS('BMM465'!$K$6:$K$2989,'BMM465'!$J$6:$J$2989,"&gt;="&amp;AZ7,'BMM465'!$J$6:$J$2989,"&lt;="&amp;EOMONTH(AZ7,0),'BMM465'!$L$6:$L$2989,"Bond Return")+SUMIFS('1CF1ZO'!$K$6:$K$2989,'1CF1ZO'!$J$6:$J$2989,"&gt;="&amp;AZ7,'1CF1ZO'!$J$6:$J$2989,"&lt;="&amp;EOMONTH(AZ7,0),'1CF1ZO'!$L$6:$L$2989,"Bond Return")+SUMIFS('1UK1BK'!$K$6:$K$2989,'1UK1BK'!$J$6:$J$2989,"&gt;="&amp;AZ7,'1UK1BK'!$J$6:$J$2989,"&lt;="&amp;EOMONTH(AZ7,0),'1UK1BK'!$L$6:$L$2989,"Bond Return"))))</f>
        <v>#REF!</v>
      </c>
      <c r="BA42" s="2" t="e">
        <f>SUMIFS('CEI565'!$D$6:$D$2994,'CEI565'!$E$6:$E$2994,"&gt;="&amp;BA7,'CEI565'!$E$6:$E$2994,"&lt;="&amp;EOMONTH(BA7,0),'CEI565'!$F$6:$F$2994,"Bond Received")+SUMIFS('1SM3VL'!$D$6:$D$2989,'1SM3VL'!$E$6:$E$2989,"&gt;="&amp;BA7,'1SM3VL'!$E$6:$E$2989,"&lt;="&amp;EOMONTH(BA7,0),'1SM3VL'!$F$6:$F$2989,"Bond Received")+SUMIFS('1QF4SM'!$D$6:$D$2989,'1QF4SM'!$E$6:$E$2989,"&gt;="&amp;BA7,'1QF4SM'!$E$6:$E$2989,"&lt;="&amp;EOMONTH(BA7,0),'1QF4SM'!$F$6:$F$2989,"Bond Received")+SUMIFS('1UV5KI'!$D$6:$D$2988,'1UV5KI'!$E$6:$E$2988,"&gt;="&amp;BA7,'1UV5KI'!$E$6:$E$2988,"&lt;="&amp;EOMONTH(BA7,0),'1UV5KI'!$F$6:$F$2988,"Bond Received")+SUMIFS(#REF!,#REF!,"&gt;="&amp;BA7,#REF!,"&lt;="&amp;EOMONTH(BA7,0),#REF!,"Bond Received")+SUMIFS('1UL9RY'!$D$6:$D$2989,'1UL9RY'!$E$6:$E$2989,"&gt;="&amp;BA7,'1UL9RY'!$E$6:$E$2989,"&lt;="&amp;EOMONTH(BA7,0),'1UL9RY'!$F$6:$F$2989,"Bond Received")+SUMIFS('1OZ7GT'!$D$6:$D$2989,'1OZ7GT'!$E$6:$E$2989,"&gt;="&amp;BA7,'1OZ7GT'!$E$6:$E$2989,"&lt;="&amp;EOMONTH(BA7,0),'1OZ7GT'!$F$6:$F$2989,"Bond Received")+SUMIFS('1CN8DD'!$D$6:$D$2989,'1CN8DD'!$E$6:$E$2989,"&gt;="&amp;BA7,'1CN8DD'!$E$6:$E$2989,"&lt;="&amp;EOMONTH(BA7,0),'1CN8DD'!$F$6:$F$2989,"Bond Received")+SUMIFS('1UT9BR'!$D$6:$D$2989,'1UT9BR'!$E$6:$E$2989,"&gt;="&amp;BA7,'1UT9BR'!$E$6:$E$2989,"&lt;="&amp;EOMONTH(BA7,0),'1UT9BR'!$F$6:$F$2989,"Bond Received")+SUMIFS('1MK4UR'!$D$6:$D$2989,'1MK4UR'!$E$6:$E$2989,"&gt;="&amp;BA7,'1MK4UR'!$E$6:$E$2989,"&lt;="&amp;EOMONTH(BA7,0),'1MK4UR'!$F$6:$F$2989,"Bond Received")+SUMIFS(#REF!,#REF!,"&gt;="&amp;BA7,#REF!,"&lt;="&amp;EOMONTH(BA7,0),#REF!,"Bond Received")+SUMIFS('1JI2UE'!$D$6:$D$2989,'1JI2UE'!$E$6:$E$2989,"&gt;="&amp;BA7,'1JI2UE'!$E$6:$E$2989,"&lt;="&amp;EOMONTH(BA7,0),'1JI2UE'!$F$6:$F$2989,"Bond Received")+SUMIFS(#REF!,#REF!,"&gt;="&amp;BA7,#REF!,"&lt;="&amp;EOMONTH(BA7,0),#REF!,"Bond Received")+SUMIFS('1SI9BW'!$D$6:$D$2989,'1SI9BW'!$E$6:$E$2989,"&gt;="&amp;BA7,'1SI9BW'!$E$6:$E$2989,"&lt;="&amp;EOMONTH(BA7,0),'1SI9BW'!$F$6:$F$2989,"Bond Received")+SUMIFS(Suzuki!$D$6:$D$2989,Suzuki!$E$6:$E$2989,"&gt;="&amp;BA7,Suzuki!$E$6:$E$2989,"&lt;="&amp;EOMONTH(BA7,0),Suzuki!$F$6:$F$2989,"Bond Received")+SUMIFS('1SK3DD'!$D$6:$D$2989,'1SK3DD'!$E$6:$E$2989,"&gt;="&amp;BA7,'1SK3DD'!$E$6:$E$2989,"&lt;="&amp;EOMONTH(BA7,0),'1SK3DD'!$F$6:$F$2989,"Bond Received")+SUMIFS('1SX5TQ'!$D$6:$D$2989,'1SX5TQ'!$E$6:$E$2989,"&gt;="&amp;BA7,'1SX5TQ'!$E$6:$E$2989,"&lt;="&amp;EOMONTH(BA7,0),'1SX5TQ'!$F$6:$F$2989,"Bond Received")+SUMIFS('BMM465'!$D$6:$D$2989,'BMM465'!$E$6:$E$2989,"&gt;="&amp;BA7,'BMM465'!$E$6:$E$2989,"&lt;="&amp;EOMONTH(BA7,0),'BMM465'!$F$6:$F$2989,"Bond Received")+SUMIFS('1CF1ZO'!$D$6:$D$2989,'1CF1ZO'!$E$6:$E$2989,"&gt;="&amp;BA7,'1CF1ZO'!$E$6:$E$2989,"&lt;="&amp;EOMONTH(BA7,0),'1CF1ZO'!$F$6:$F$2989,"Bond Received")+SUMIFS('1UK1BK'!$D$6:$D$2989,'1UK1BK'!$E$6:$E$2989,"&gt;="&amp;BA7,'1UK1BK'!$E$6:$E$2989,"&lt;="&amp;EOMONTH(BA7,0),'1UK1BK'!$F$6:$F$2989,"Bond Received")-(((SUMIFS('CEI565'!$K$6:$K$2990,'CEI565'!$J$6:$J$2990,"&gt;="&amp;BA7,'CEI565'!$J$6:$J$2990,"&lt;="&amp;EOMONTH(BA7,0),'CEI565'!$L$6:$L$2990,"Bond Return")+SUMIFS('1SM3VL'!$K$6:$K$2990,'1SM3VL'!$J$6:$J$2990,"&gt;="&amp;BA7,'1SM3VL'!$J$6:$J$2990,"&lt;="&amp;EOMONTH(BA7,0),'1SM3VL'!$L$6:$L$2990,"Bond Return")+SUMIFS('1QF4SM'!$K$6:$K$2989,'1QF4SM'!$J$6:$J$2989,"&gt;="&amp;BA7,'1QF4SM'!$J$6:$J$2989,"&lt;="&amp;EOMONTH(BA7,0),'1QF4SM'!$L$6:$L$2989,"Bond Return")+SUMIFS('1UV5KI'!$K$6:$K$2989,'1UV5KI'!$J$6:$J$2989,"&gt;="&amp;BA7,'1UV5KI'!$J$6:$J$2989,"&lt;="&amp;EOMONTH(BA7,0),'1UV5KI'!$L$6:$L$2989,"Bond Return")+SUMIFS(#REF!,#REF!,"&gt;="&amp;BA7,#REF!,"&lt;="&amp;EOMONTH(BA7,0),#REF!,"Bond Return")+SUMIFS('1UL9RY'!$K$6:$K$2990,'1UL9RY'!$J$6:$J$2990,"&gt;="&amp;BA7,'1UL9RY'!$J$6:$J$2990,"&lt;="&amp;EOMONTH(BA7,0),'1UL9RY'!$L$6:$L$2990,"Bond Return")+SUMIFS('1OZ7GT'!$K$6:$K$2989,'1OZ7GT'!$J$6:$J$2989,"&gt;="&amp;BA7,'1OZ7GT'!$J$6:$J$2989,"&lt;="&amp;EOMONTH(BA7,0),'1OZ7GT'!$L$6:$L$2989,"Bond Return")+SUMIFS('1CN8DD'!$K$6:$K$2989,'1CN8DD'!$J$6:$J$2989,"&gt;="&amp;BA7,'1CN8DD'!$J$6:$J$2989,"&lt;="&amp;EOMONTH(BA7,0),'1CN8DD'!$L$6:$L$2989,"Bond Return")+SUMIFS('1UT9BR'!$K$6:$K$2990,'1UT9BR'!$J$6:$J$2990,"&gt;="&amp;BA7,'1UT9BR'!$J$6:$J$2990,"&lt;="&amp;EOMONTH(BA7,0),'1UT9BR'!$L$6:$L$2990,"Bond Return")+SUMIFS('1MK4UR'!$K$6:$K$2990,'1MK4UR'!$J$6:$J$2990,"&gt;="&amp;BA7,'1MK4UR'!$J$6:$J$2990,"&lt;="&amp;EOMONTH(BA7,0),'1MK4UR'!$L$6:$L$2990,"Bond Return")+SUMIFS(#REF!,#REF!,"&gt;="&amp;BA7,#REF!,"&lt;="&amp;EOMONTH(BA7,0),#REF!,"Bond Return")+SUMIFS('1JI2UE'!$K$6:$K$2989,'1JI2UE'!$J$6:$J$2989,"&gt;="&amp;BA7,'1JI2UE'!$J$6:$J$2989,"&lt;="&amp;EOMONTH(BA7,0),'1JI2UE'!$L$6:$L$2989,"Bond Return")+SUMIFS(#REF!,#REF!,"&gt;="&amp;BA7,#REF!,"&lt;="&amp;EOMONTH(BA7,0),#REF!,"Bond Return")+SUMIFS('1SI9BW'!$K$6:$K$2989,'1SI9BW'!$J$6:$J$2989,"&gt;="&amp;BA7,'1SI9BW'!$J$6:$J$2989,"&lt;="&amp;EOMONTH(BA7,0),'1SI9BW'!$L$6:$L$2989,"Bond Return")+SUMIFS(Suzuki!$K$6:$K$2989,Suzuki!$J$6:$J$2989,"&gt;="&amp;BA7,Suzuki!$J$6:$J$2989,"&lt;="&amp;EOMONTH(BA7,0),Suzuki!$L$6:$L$2989,"Bond Return")+SUMIFS('1SK3DD'!$K$6:$K$2989,'1SK3DD'!$J$6:$J$2989,"&gt;="&amp;BA7,'1SK3DD'!$J$6:$J$2989,"&lt;="&amp;EOMONTH(BA7,0),'1SK3DD'!$L$6:$L$2989,"Bond Return")+SUMIFS('1SX5TQ'!$K$6:$K$2989,'1SX5TQ'!$J$6:$J$2989,"&gt;="&amp;BA7,'1SX5TQ'!$J$6:$J$2989,"&lt;="&amp;EOMONTH(BA7,0),'1SX5TQ'!$L$6:$L$2989,"Bond Return")+SUMIFS('BMM465'!$K$6:$K$2989,'BMM465'!$J$6:$J$2989,"&gt;="&amp;BA7,'BMM465'!$J$6:$J$2989,"&lt;="&amp;EOMONTH(BA7,0),'BMM465'!$L$6:$L$2989,"Bond Return")+SUMIFS('1CF1ZO'!$K$6:$K$2989,'1CF1ZO'!$J$6:$J$2989,"&gt;="&amp;BA7,'1CF1ZO'!$J$6:$J$2989,"&lt;="&amp;EOMONTH(BA7,0),'1CF1ZO'!$L$6:$L$2989,"Bond Return")+SUMIFS('1UK1BK'!$K$6:$K$2989,'1UK1BK'!$J$6:$J$2989,"&gt;="&amp;BA7,'1UK1BK'!$J$6:$J$2989,"&lt;="&amp;EOMONTH(BA7,0),'1UK1BK'!$L$6:$L$2989,"Bond Return"))))</f>
        <v>#REF!</v>
      </c>
    </row>
    <row r="43" spans="2:53" x14ac:dyDescent="0.25">
      <c r="B43" s="32" t="s">
        <v>128</v>
      </c>
      <c r="C43" s="307">
        <f>D43+D44+D45</f>
        <v>174220</v>
      </c>
      <c r="D43" s="156">
        <f>SUM(I43:R43)</f>
        <v>29800</v>
      </c>
      <c r="E43" s="307">
        <f>F43+F44+F45</f>
        <v>137614.16999999998</v>
      </c>
      <c r="F43" s="156">
        <f>SUM(I43:AD43)</f>
        <v>9007.1700000000019</v>
      </c>
      <c r="G43" s="307">
        <f>H43+H44+H45</f>
        <v>229927.15</v>
      </c>
      <c r="H43" s="109">
        <f t="shared" si="19"/>
        <v>15050.000000000004</v>
      </c>
      <c r="I43" s="2">
        <f>SUMIFS('Other Expense'!$C$8:$C$3017,'Other Expense'!$B$8:$B$3017,"&gt;="&amp;I7,'Other Expense'!$B$8:$B$3017,"&lt;="&amp;EOMONTH(I7,0),'Other Expense'!$D$8:$D$3017,$B$43)-SUMIFS('Other Expense'!$G$8:$G$2966,'Other Expense'!$F$8:$F$2966,"&gt;="&amp;I7,'Other Expense'!$F$8:$F$2966,"&lt;="&amp;EOMONTH(I7,0),'Other Expense'!$H$8:$H$2966,"Loan Return Riad")</f>
        <v>6700</v>
      </c>
      <c r="J43" s="2">
        <f>SUMIFS('Other Expense'!$C$8:$C$3017,'Other Expense'!$B$8:$B$3017,"&gt;="&amp;J7,'Other Expense'!$B$8:$B$3017,"&lt;="&amp;EOMONTH(J7,0),'Other Expense'!$D$8:$D$3017,$B$43)-SUMIFS('Other Expense'!$G$8:$G$2966,'Other Expense'!$F$8:$F$2966,"&gt;="&amp;J7,'Other Expense'!$F$8:$F$2966,"&lt;="&amp;EOMONTH(J7,0),'Other Expense'!$H$8:$H$2966,"Loan Return Riad")</f>
        <v>9100</v>
      </c>
      <c r="K43" s="2">
        <f>SUMIFS('Other Expense'!$C$8:$C$3017,'Other Expense'!$B$8:$B$3017,"&gt;="&amp;K7,'Other Expense'!$B$8:$B$3017,"&lt;="&amp;EOMONTH(K7,0),'Other Expense'!$D$8:$D$3017,$B$43)-SUMIFS('Other Expense'!$G$8:$G$2966,'Other Expense'!$F$8:$F$2966,"&gt;="&amp;K7,'Other Expense'!$F$8:$F$2966,"&lt;="&amp;EOMONTH(K7,0),'Other Expense'!$H$8:$H$2966,"Loan Return Riad")</f>
        <v>8650</v>
      </c>
      <c r="L43" s="2">
        <f>SUMIFS('Other Expense'!$C$8:$C$3017,'Other Expense'!$B$8:$B$3017,"&gt;="&amp;L7,'Other Expense'!$B$8:$B$3017,"&lt;="&amp;EOMONTH(L7,0),'Other Expense'!$D$8:$D$3017,$B$43)-SUMIFS('Other Expense'!$G$8:$G$2966,'Other Expense'!$F$8:$F$2966,"&gt;="&amp;L7,'Other Expense'!$F$8:$F$2966,"&lt;="&amp;EOMONTH(L7,0),'Other Expense'!$H$8:$H$2966,"Loan Return Riad")</f>
        <v>5350</v>
      </c>
      <c r="M43" s="2">
        <f>SUMIFS('Other Expense'!$C$8:$C$3017,'Other Expense'!$B$8:$B$3017,"&gt;="&amp;M7,'Other Expense'!$B$8:$B$3017,"&lt;="&amp;EOMONTH(M7,0),'Other Expense'!$D$8:$D$3017,$B$43)-SUMIFS('Other Expense'!$G$8:$G$2966,'Other Expense'!$F$8:$F$2966,"&gt;="&amp;M7,'Other Expense'!$F$8:$F$2966,"&lt;="&amp;EOMONTH(M7,0),'Other Expense'!$H$8:$H$2966,"Loan Return Riad")</f>
        <v>0</v>
      </c>
      <c r="N43" s="2">
        <f>SUMIFS('Other Expense'!$C$8:$C$3017,'Other Expense'!$B$8:$B$3017,"&gt;="&amp;N7,'Other Expense'!$B$8:$B$3017,"&lt;="&amp;EOMONTH(N7,0),'Other Expense'!$D$8:$D$3017,$B$43)-SUMIFS('Other Expense'!$G$8:$G$2966,'Other Expense'!$F$8:$F$2966,"&gt;="&amp;N7,'Other Expense'!$F$8:$F$2966,"&lt;="&amp;EOMONTH(N7,0),'Other Expense'!$H$8:$H$2966,"Loan Return Riad")</f>
        <v>0</v>
      </c>
      <c r="O43" s="2">
        <f>SUMIFS('Other Expense'!$C$8:$C$3017,'Other Expense'!$B$8:$B$3017,"&gt;="&amp;O7,'Other Expense'!$B$8:$B$3017,"&lt;="&amp;EOMONTH(O7,0),'Other Expense'!$D$8:$D$3017,$B$43)-SUMIFS('Other Expense'!$G$8:$G$2966,'Other Expense'!$F$8:$F$2966,"&gt;="&amp;O7,'Other Expense'!$F$8:$F$2966,"&lt;="&amp;EOMONTH(O7,0),'Other Expense'!$H$8:$H$2966,"Loan Return Riad")</f>
        <v>0</v>
      </c>
      <c r="P43" s="2">
        <f>SUMIFS('Other Expense'!$C$8:$C$3017,'Other Expense'!$B$8:$B$3017,"&gt;="&amp;P7,'Other Expense'!$B$8:$B$3017,"&lt;="&amp;EOMONTH(P7,0),'Other Expense'!$D$8:$D$3017,$B$43)-SUMIFS('Other Expense'!$G$8:$G$2966,'Other Expense'!$F$8:$F$2966,"&gt;="&amp;P7,'Other Expense'!$F$8:$F$2966,"&lt;="&amp;EOMONTH(P7,0),'Other Expense'!$H$8:$H$2966,"Loan Return Riad")</f>
        <v>0</v>
      </c>
      <c r="Q43" s="2">
        <f>SUMIFS('Other Expense'!$C$8:$C$3017,'Other Expense'!$B$8:$B$3017,"&gt;="&amp;Q7,'Other Expense'!$B$8:$B$3017,"&lt;="&amp;EOMONTH(Q7,0),'Other Expense'!$D$8:$D$3017,$B$43)-SUMIFS('Other Expense'!$G$8:$G$2966,'Other Expense'!$F$8:$F$2966,"&gt;="&amp;Q7,'Other Expense'!$F$8:$F$2966,"&lt;="&amp;EOMONTH(Q7,0),'Other Expense'!$H$8:$H$2966,"Loan Return Riad")</f>
        <v>0</v>
      </c>
      <c r="R43" s="2">
        <f>SUMIFS('Other Expense'!$C$8:$C$3017,'Other Expense'!$B$8:$B$3017,"&gt;="&amp;R7,'Other Expense'!$B$8:$B$3017,"&lt;="&amp;EOMONTH(R7,0),'Other Expense'!$D$8:$D$3017,$B$43)-SUMIFS('Other Expense'!$G$8:$G$2966,'Other Expense'!$F$8:$F$2966,"&gt;="&amp;R7,'Other Expense'!$F$8:$F$2966,"&lt;="&amp;EOMONTH(R7,0),'Other Expense'!$H$8:$H$2966,"Loan Return Riad")</f>
        <v>0</v>
      </c>
      <c r="S43" s="2">
        <f>SUMIFS('Other Expense'!$C$8:$C$3017,'Other Expense'!$B$8:$B$3017,"&gt;="&amp;S7,'Other Expense'!$B$8:$B$3017,"&lt;="&amp;EOMONTH(S7,0),'Other Expense'!$D$8:$D$3017,$B$43)-SUMIFS('Other Expense'!$G$8:$G$2966,'Other Expense'!$F$8:$F$2966,"&gt;="&amp;S7,'Other Expense'!$F$8:$F$2966,"&lt;="&amp;EOMONTH(S7,0),'Other Expense'!$H$8:$H$2966,"Loan Return Riad")</f>
        <v>8013</v>
      </c>
      <c r="T43" s="2">
        <f>SUMIFS('Other Expense'!$C$8:$C$3017,'Other Expense'!$B$8:$B$3017,"&gt;="&amp;T7,'Other Expense'!$B$8:$B$3017,"&lt;="&amp;EOMONTH(T7,0),'Other Expense'!$D$8:$D$3017,$B$43)-SUMIFS('Other Expense'!$G$8:$G$2966,'Other Expense'!$F$8:$F$2966,"&gt;="&amp;T7,'Other Expense'!$F$8:$F$2966,"&lt;="&amp;EOMONTH(T7,0),'Other Expense'!$H$8:$H$2966,"Loan Return Riad")</f>
        <v>-3300</v>
      </c>
      <c r="U43" s="2">
        <f>SUMIFS('Other Expense'!$C$8:$C$3017,'Other Expense'!$B$8:$B$3017,"&gt;="&amp;U7,'Other Expense'!$B$8:$B$3017,"&lt;="&amp;EOMONTH(U7,0),'Other Expense'!$D$8:$D$3017,$B$43)-SUMIFS('Other Expense'!$G$8:$G$2966,'Other Expense'!$F$8:$F$2966,"&gt;="&amp;U7,'Other Expense'!$F$8:$F$2966,"&lt;="&amp;EOMONTH(U7,0),'Other Expense'!$H$8:$H$2966,"Loan Return Riad")</f>
        <v>-10500</v>
      </c>
      <c r="V43" s="2">
        <f>SUMIFS('Other Expense'!$C$8:$C$3017,'Other Expense'!$B$8:$B$3017,"&gt;="&amp;V7,'Other Expense'!$B$8:$B$3017,"&lt;="&amp;EOMONTH(V7,0),'Other Expense'!$D$8:$D$3017,$B$43)-SUMIFS('Other Expense'!$G$8:$G$2966,'Other Expense'!$F$8:$F$2966,"&gt;="&amp;V7,'Other Expense'!$F$8:$F$2966,"&lt;="&amp;EOMONTH(V7,0),'Other Expense'!$H$8:$H$2966,"Loan Return Riad")</f>
        <v>-6180</v>
      </c>
      <c r="W43" s="2">
        <f>SUMIFS('Other Expense'!$C$8:$C$3017,'Other Expense'!$B$8:$B$3017,"&gt;="&amp;W7,'Other Expense'!$B$8:$B$3017,"&lt;="&amp;EOMONTH(W7,0),'Other Expense'!$D$8:$D$3017,$B$43)-SUMIFS('Other Expense'!$G$8:$G$2966,'Other Expense'!$F$8:$F$2966,"&gt;="&amp;W7,'Other Expense'!$F$8:$F$2966,"&lt;="&amp;EOMONTH(W7,0),'Other Expense'!$H$8:$H$2966,"Loan Return Riad")</f>
        <v>400</v>
      </c>
      <c r="X43" s="2">
        <f>SUMIFS('Other Expense'!$C$8:$C$3017,'Other Expense'!$B$8:$B$3017,"&gt;="&amp;X7,'Other Expense'!$B$8:$B$3017,"&lt;="&amp;EOMONTH(X7,0),'Other Expense'!$D$8:$D$3017,$B$43)-SUMIFS('Other Expense'!$G$8:$G$2966,'Other Expense'!$F$8:$F$2966,"&gt;="&amp;X7,'Other Expense'!$F$8:$F$2966,"&lt;="&amp;EOMONTH(X7,0),'Other Expense'!$H$8:$H$2966,"Loan Return Riad")</f>
        <v>-2370</v>
      </c>
      <c r="Y43" s="2">
        <f>SUMIFS('Other Expense'!$C$8:$C$3017,'Other Expense'!$B$8:$B$3017,"&gt;="&amp;Y7,'Other Expense'!$B$8:$B$3017,"&lt;="&amp;EOMONTH(Y7,0),'Other Expense'!$D$8:$D$3017,$B$43)-SUMIFS('Other Expense'!$G$8:$G$2966,'Other Expense'!$F$8:$F$2966,"&gt;="&amp;Y7,'Other Expense'!$F$8:$F$2966,"&lt;="&amp;EOMONTH(Y7,0),'Other Expense'!$H$8:$H$2966,"Loan Return Riad")</f>
        <v>-400</v>
      </c>
      <c r="Z43" s="2">
        <f>SUMIFS('Other Expense'!$C$8:$C$3017,'Other Expense'!$B$8:$B$3017,"&gt;="&amp;Z7,'Other Expense'!$B$8:$B$3017,"&lt;="&amp;EOMONTH(Z7,0),'Other Expense'!$D$8:$D$3017,$B$43)-SUMIFS('Other Expense'!$G$8:$G$2966,'Other Expense'!$F$8:$F$2966,"&gt;="&amp;Z7,'Other Expense'!$F$8:$F$2966,"&lt;="&amp;EOMONTH(Z7,0),'Other Expense'!$H$8:$H$2966,"Loan Return Riad")</f>
        <v>-19863</v>
      </c>
      <c r="AA43" s="2">
        <f>SUMIFS('Other Expense'!$C$8:$C$3017,'Other Expense'!$B$8:$B$3017,"&gt;="&amp;AA7,'Other Expense'!$B$8:$B$3017,"&lt;="&amp;EOMONTH(AA7,0),'Other Expense'!$D$8:$D$3017,$B$43)-SUMIFS('Other Expense'!$G$8:$G$2966,'Other Expense'!$F$8:$F$2966,"&gt;="&amp;AA7,'Other Expense'!$F$8:$F$2966,"&lt;="&amp;EOMONTH(AA7,0),'Other Expense'!$H$8:$H$2966,"Loan Return Riad")</f>
        <v>3909.7299999999996</v>
      </c>
      <c r="AB43" s="2">
        <f>SUMIFS('Other Expense'!$C$8:$C$3017,'Other Expense'!$B$8:$B$3017,"&gt;="&amp;AB7,'Other Expense'!$B$8:$B$3017,"&lt;="&amp;EOMONTH(AB7,0),'Other Expense'!$D$8:$D$3017,$B$43)-SUMIFS('Other Expense'!$G$8:$G$2966,'Other Expense'!$F$8:$F$2966,"&gt;="&amp;AB7,'Other Expense'!$F$8:$F$2966,"&lt;="&amp;EOMONTH(AB7,0),'Other Expense'!$H$8:$H$2966,"Loan Return Riad")</f>
        <v>2700</v>
      </c>
      <c r="AC43" s="2">
        <f>SUMIFS('Other Expense'!$C$8:$C$3017,'Other Expense'!$B$8:$B$3017,"&gt;="&amp;AC7,'Other Expense'!$B$8:$B$3017,"&lt;="&amp;EOMONTH(AC7,0),'Other Expense'!$D$8:$D$3017,$B$43)-SUMIFS('Other Expense'!$G$8:$G$2966,'Other Expense'!$F$8:$F$2966,"&gt;="&amp;AC7,'Other Expense'!$F$8:$F$2966,"&lt;="&amp;EOMONTH(AC7,0),'Other Expense'!$H$8:$H$2966,"Loan Return Riad")</f>
        <v>-3609.73</v>
      </c>
      <c r="AD43" s="2">
        <f>SUMIFS('Other Expense'!$C$8:$C$3017,'Other Expense'!$B$8:$B$3017,"&gt;="&amp;AD7,'Other Expense'!$B$8:$B$3017,"&lt;="&amp;EOMONTH(AD7,0),'Other Expense'!$D$8:$D$3017,$B$43)-SUMIFS('Other Expense'!$G$8:$G$2966,'Other Expense'!$F$8:$F$2966,"&gt;="&amp;AD7,'Other Expense'!$F$8:$F$2966,"&lt;="&amp;EOMONTH(AD7,0),'Other Expense'!$H$8:$H$2966,"Loan Return Riad")</f>
        <v>10407.170000000002</v>
      </c>
      <c r="AE43" s="2">
        <f>SUMIFS('Other Expense'!$C$8:$C$3017,'Other Expense'!$B$8:$B$3017,"&gt;="&amp;AE7,'Other Expense'!$B$8:$B$3017,"&lt;="&amp;EOMONTH(AE7,0),'Other Expense'!$D$8:$D$3017,$B$43)-SUMIFS('Other Expense'!$G$8:$G$2966,'Other Expense'!$F$8:$F$2966,"&gt;="&amp;AE7,'Other Expense'!$F$8:$F$2966,"&lt;="&amp;EOMONTH(AE7,0),'Other Expense'!$H$8:$H$2966,"Loan Return Riad")</f>
        <v>438</v>
      </c>
      <c r="AF43" s="2">
        <f>SUMIFS('Other Expense'!$C$8:$C$3017,'Other Expense'!$B$8:$B$3017,"&gt;="&amp;AF7,'Other Expense'!$B$8:$B$3017,"&lt;="&amp;EOMONTH(AF7,0),'Other Expense'!$D$8:$D$3017,$B$43)-SUMIFS('Other Expense'!$G$8:$G$2966,'Other Expense'!$F$8:$F$2966,"&gt;="&amp;AF7,'Other Expense'!$F$8:$F$2966,"&lt;="&amp;EOMONTH(AF7,0),'Other Expense'!$H$8:$H$2966,"Loan Return Riad")</f>
        <v>-5800</v>
      </c>
      <c r="AG43" s="2">
        <f>SUMIFS('Other Expense'!$C$8:$C$3017,'Other Expense'!$B$8:$B$3017,"&gt;="&amp;AG7,'Other Expense'!$B$8:$B$3017,"&lt;="&amp;EOMONTH(AG7,0),'Other Expense'!$D$8:$D$3017,$B$43)-SUMIFS('Other Expense'!$G$8:$G$2966,'Other Expense'!$F$8:$F$2966,"&gt;="&amp;AG7,'Other Expense'!$F$8:$F$2966,"&lt;="&amp;EOMONTH(AG7,0),'Other Expense'!$H$8:$H$2966,"Loan Return Riad")</f>
        <v>-8940</v>
      </c>
      <c r="AH43" s="2">
        <f>SUMIFS('Other Expense'!$C$8:$C$3017,'Other Expense'!$B$8:$B$3017,"&gt;="&amp;AH7,'Other Expense'!$B$8:$B$3017,"&lt;="&amp;EOMONTH(AH7,0),'Other Expense'!$D$8:$D$3017,$B$43)-SUMIFS('Other Expense'!$G$8:$G$2966,'Other Expense'!$F$8:$F$2966,"&gt;="&amp;AH7,'Other Expense'!$F$8:$F$2966,"&lt;="&amp;EOMONTH(AH7,0),'Other Expense'!$H$8:$H$2966,"Loan Return Riad")</f>
        <v>10880.310000000001</v>
      </c>
      <c r="AI43" s="2">
        <f>SUMIFS('Other Expense'!$C$8:$C$3017,'Other Expense'!$B$8:$B$3017,"&gt;="&amp;AI7,'Other Expense'!$B$8:$B$3017,"&lt;="&amp;EOMONTH(AI7,0),'Other Expense'!$D$8:$D$3017,$B$43)-SUMIFS('Other Expense'!$G$8:$G$2966,'Other Expense'!$F$8:$F$2966,"&gt;="&amp;AI7,'Other Expense'!$F$8:$F$2966,"&lt;="&amp;EOMONTH(AI7,0),'Other Expense'!$H$8:$H$2966,"Loan Return Riad")</f>
        <v>-1000</v>
      </c>
      <c r="AJ43" s="2">
        <f>SUMIFS('Other Expense'!$C$8:$C$3017,'Other Expense'!$B$8:$B$3017,"&gt;="&amp;AJ7,'Other Expense'!$B$8:$B$3017,"&lt;="&amp;EOMONTH(AJ7,0),'Other Expense'!$D$8:$D$3017,$B$43)-SUMIFS('Other Expense'!$G$8:$G$2966,'Other Expense'!$F$8:$F$2966,"&gt;="&amp;AJ7,'Other Expense'!$F$8:$F$2966,"&lt;="&amp;EOMONTH(AJ7,0),'Other Expense'!$H$8:$H$2966,"Loan Return Riad")</f>
        <v>-4585.4799999999996</v>
      </c>
      <c r="AK43" s="2">
        <f>SUMIFS('Other Expense'!$C$8:$C$3017,'Other Expense'!$B$8:$B$3017,"&gt;="&amp;AK7,'Other Expense'!$B$8:$B$3017,"&lt;="&amp;EOMONTH(AK7,0),'Other Expense'!$D$8:$D$3017,$B$43)-SUMIFS('Other Expense'!$G$8:$G$2966,'Other Expense'!$F$8:$F$2966,"&gt;="&amp;AK7,'Other Expense'!$F$8:$F$2966,"&lt;="&amp;EOMONTH(AK7,0),'Other Expense'!$H$8:$H$2966,"Loan Return Riad")</f>
        <v>9133</v>
      </c>
      <c r="AL43" s="2">
        <f>SUMIFS('Other Expense'!$C$8:$C$3017,'Other Expense'!$B$8:$B$3017,"&gt;="&amp;AL7,'Other Expense'!$B$8:$B$3017,"&lt;="&amp;EOMONTH(AL7,0),'Other Expense'!$D$8:$D$3017,$B$43)-SUMIFS('Other Expense'!$G$8:$G$2966,'Other Expense'!$F$8:$F$2966,"&gt;="&amp;AL7,'Other Expense'!$F$8:$F$2966,"&lt;="&amp;EOMONTH(AL7,0),'Other Expense'!$H$8:$H$2966,"Loan Return Riad")</f>
        <v>-605</v>
      </c>
      <c r="AM43" s="2">
        <f>SUMIFS('Other Expense'!$C$8:$C$3017,'Other Expense'!$B$8:$B$3017,"&gt;="&amp;AM7,'Other Expense'!$B$8:$B$3017,"&lt;="&amp;EOMONTH(AM7,0),'Other Expense'!$D$8:$D$3017,$B$43)-SUMIFS('Other Expense'!$G$8:$G$2966,'Other Expense'!$F$8:$F$2966,"&gt;="&amp;AM7,'Other Expense'!$F$8:$F$2966,"&lt;="&amp;EOMONTH(AM7,0),'Other Expense'!$H$8:$H$2966,"Loan Return Riad")</f>
        <v>-6178</v>
      </c>
      <c r="AN43" s="2">
        <f>SUMIFS('Other Expense'!$C$8:$C$3017,'Other Expense'!$B$8:$B$3017,"&gt;="&amp;AN7,'Other Expense'!$B$8:$B$3017,"&lt;="&amp;EOMONTH(AN7,0),'Other Expense'!$D$8:$D$3017,$B$43)-SUMIFS('Other Expense'!$G$8:$G$2966,'Other Expense'!$F$8:$F$2966,"&gt;="&amp;AN7,'Other Expense'!$F$8:$F$2966,"&lt;="&amp;EOMONTH(AN7,0),'Other Expense'!$H$8:$H$2966,"Loan Return Riad")</f>
        <v>-9900</v>
      </c>
      <c r="AO43" s="2">
        <f>SUMIFS('Other Expense'!$C$8:$C$3017,'Other Expense'!$B$8:$B$3017,"&gt;="&amp;AO7,'Other Expense'!$B$8:$B$3017,"&lt;="&amp;EOMONTH(AO7,0),'Other Expense'!$D$8:$D$3017,$B$43)-SUMIFS('Other Expense'!$G$8:$G$2966,'Other Expense'!$F$8:$F$2966,"&gt;="&amp;AO7,'Other Expense'!$F$8:$F$2966,"&lt;="&amp;EOMONTH(AO7,0),'Other Expense'!$H$8:$H$2966,"Loan Return Riad")</f>
        <v>-13128.19</v>
      </c>
      <c r="AP43" s="2">
        <f>SUMIFS('Other Expense'!$C$8:$C$3017,'Other Expense'!$B$8:$B$3017,"&gt;="&amp;AP7,'Other Expense'!$B$8:$B$3017,"&lt;="&amp;EOMONTH(AP7,0),'Other Expense'!$D$8:$D$3017,$B$43)-SUMIFS('Other Expense'!$G$8:$G$2966,'Other Expense'!$F$8:$F$2966,"&gt;="&amp;AP7,'Other Expense'!$F$8:$F$2966,"&lt;="&amp;EOMONTH(AP7,0),'Other Expense'!$H$8:$H$2966,"Loan Return Riad")</f>
        <v>-3321.8100000000004</v>
      </c>
      <c r="AQ43" s="2">
        <f>SUMIFS('Other Expense'!$C$8:$C$3017,'Other Expense'!$B$8:$B$3017,"&gt;="&amp;AQ7,'Other Expense'!$B$8:$B$3017,"&lt;="&amp;EOMONTH(AQ7,0),'Other Expense'!$D$8:$D$3017,$B$43)-SUMIFS('Other Expense'!$G$8:$G$2966,'Other Expense'!$F$8:$F$2966,"&gt;="&amp;AQ7,'Other Expense'!$F$8:$F$2966,"&lt;="&amp;EOMONTH(AQ7,0),'Other Expense'!$H$8:$H$2966,"Loan Return Riad")</f>
        <v>0</v>
      </c>
      <c r="AR43" s="2">
        <f>SUMIFS('Other Expense'!$C$8:$C$3017,'Other Expense'!$B$8:$B$3017,"&gt;="&amp;AR7,'Other Expense'!$B$8:$B$3017,"&lt;="&amp;EOMONTH(AR7,0),'Other Expense'!$D$8:$D$3017,$B$43)-SUMIFS('Other Expense'!$G$8:$G$2966,'Other Expense'!$F$8:$F$2966,"&gt;="&amp;AR7,'Other Expense'!$F$8:$F$2966,"&lt;="&amp;EOMONTH(AR7,0),'Other Expense'!$H$8:$H$2966,"Loan Return Riad")</f>
        <v>0</v>
      </c>
      <c r="AS43" s="2">
        <f>SUMIFS('Other Expense'!$C$8:$C$3017,'Other Expense'!$B$8:$B$3017,"&gt;="&amp;AS7,'Other Expense'!$B$8:$B$3017,"&lt;="&amp;EOMONTH(AS7,0),'Other Expense'!$D$8:$D$3017,$B$43)-SUMIFS('Other Expense'!$G$8:$G$2966,'Other Expense'!$F$8:$F$2966,"&gt;="&amp;AS7,'Other Expense'!$F$8:$F$2966,"&lt;="&amp;EOMONTH(AS7,0),'Other Expense'!$H$8:$H$2966,"Loan Return Riad")</f>
        <v>0</v>
      </c>
      <c r="AT43" s="2">
        <f>SUMIFS('Other Expense'!$C$8:$C$3017,'Other Expense'!$B$8:$B$3017,"&gt;="&amp;AT7,'Other Expense'!$B$8:$B$3017,"&lt;="&amp;EOMONTH(AT7,0),'Other Expense'!$D$8:$D$3017,$B$43)-SUMIFS('Other Expense'!$G$8:$G$2966,'Other Expense'!$F$8:$F$2966,"&gt;="&amp;AT7,'Other Expense'!$F$8:$F$2966,"&lt;="&amp;EOMONTH(AT7,0),'Other Expense'!$H$8:$H$2966,"Loan Return Riad")</f>
        <v>28000</v>
      </c>
      <c r="AU43" s="2">
        <f>SUMIFS('Other Expense'!$C$8:$C$3017,'Other Expense'!$B$8:$B$3017,"&gt;="&amp;AU7,'Other Expense'!$B$8:$B$3017,"&lt;="&amp;EOMONTH(AU7,0),'Other Expense'!$D$8:$D$3017,$B$43)-SUMIFS('Other Expense'!$G$8:$G$2966,'Other Expense'!$F$8:$F$2966,"&gt;="&amp;AU7,'Other Expense'!$F$8:$F$2966,"&lt;="&amp;EOMONTH(AU7,0),'Other Expense'!$H$8:$H$2966,"Loan Return Riad")</f>
        <v>5000</v>
      </c>
      <c r="AV43" s="2">
        <f>SUMIFS('Other Expense'!$C$8:$C$3017,'Other Expense'!$B$8:$B$3017,"&gt;="&amp;AV7,'Other Expense'!$B$8:$B$3017,"&lt;="&amp;EOMONTH(AV7,0),'Other Expense'!$D$8:$D$3017,$B$43)-SUMIFS('Other Expense'!$G$8:$G$2966,'Other Expense'!$F$8:$F$2966,"&gt;="&amp;AV7,'Other Expense'!$F$8:$F$2966,"&lt;="&amp;EOMONTH(AV7,0),'Other Expense'!$H$8:$H$2966,"Loan Return Riad")</f>
        <v>-1000</v>
      </c>
      <c r="AW43" s="2">
        <f>SUMIFS('Other Expense'!$C$8:$C$3017,'Other Expense'!$B$8:$B$3017,"&gt;="&amp;AW7,'Other Expense'!$B$8:$B$3017,"&lt;="&amp;EOMONTH(AW7,0),'Other Expense'!$D$8:$D$3017,$B$43)-SUMIFS('Other Expense'!$G$8:$G$2966,'Other Expense'!$F$8:$F$2966,"&gt;="&amp;AW7,'Other Expense'!$F$8:$F$2966,"&lt;="&amp;EOMONTH(AW7,0),'Other Expense'!$H$8:$H$2966,"Loan Return Riad")</f>
        <v>0</v>
      </c>
      <c r="AX43" s="2">
        <f>SUMIFS('Other Expense'!$C$8:$C$3017,'Other Expense'!$B$8:$B$3017,"&gt;="&amp;AX7,'Other Expense'!$B$8:$B$3017,"&lt;="&amp;EOMONTH(AX7,0),'Other Expense'!$D$8:$D$3017,$B$43)-SUMIFS('Other Expense'!$G$8:$G$2966,'Other Expense'!$F$8:$F$2966,"&gt;="&amp;AX7,'Other Expense'!$F$8:$F$2966,"&lt;="&amp;EOMONTH(AX7,0),'Other Expense'!$H$8:$H$2966,"Loan Return Riad")</f>
        <v>0</v>
      </c>
      <c r="AY43" s="2">
        <f>SUMIFS('Other Expense'!$C$8:$C$3017,'Other Expense'!$B$8:$B$3017,"&gt;="&amp;AY7,'Other Expense'!$B$8:$B$3017,"&lt;="&amp;EOMONTH(AY7,0),'Other Expense'!$D$8:$D$3017,$B$43)-SUMIFS('Other Expense'!$G$8:$G$2966,'Other Expense'!$F$8:$F$2966,"&gt;="&amp;AY7,'Other Expense'!$F$8:$F$2966,"&lt;="&amp;EOMONTH(AY7,0),'Other Expense'!$H$8:$H$2966,"Loan Return Riad")</f>
        <v>0</v>
      </c>
      <c r="AZ43" s="2">
        <f>SUMIFS('Other Expense'!$C$8:$C$3017,'Other Expense'!$B$8:$B$3017,"&gt;="&amp;AZ7,'Other Expense'!$B$8:$B$3017,"&lt;="&amp;EOMONTH(AZ7,0),'Other Expense'!$D$8:$D$3017,$B$43)-SUMIFS('Other Expense'!$G$8:$G$2966,'Other Expense'!$F$8:$F$2966,"&gt;="&amp;AZ7,'Other Expense'!$F$8:$F$2966,"&lt;="&amp;EOMONTH(AZ7,0),'Other Expense'!$H$8:$H$2966,"Loan Return Riad")</f>
        <v>5700</v>
      </c>
      <c r="BA43" s="2">
        <f>SUMIFS('Other Expense'!$C$8:$C$3017,'Other Expense'!$B$8:$B$3017,"&gt;="&amp;BA7,'Other Expense'!$B$8:$B$3017,"&lt;="&amp;EOMONTH(BA7,0),'Other Expense'!$D$8:$D$3017,$B$43)-SUMIFS('Other Expense'!$G$8:$G$2966,'Other Expense'!$F$8:$F$2966,"&gt;="&amp;BA7,'Other Expense'!$F$8:$F$2966,"&lt;="&amp;EOMONTH(BA7,0),'Other Expense'!$H$8:$H$2966,"Loan Return Riad")</f>
        <v>1350</v>
      </c>
    </row>
    <row r="44" spans="2:53" x14ac:dyDescent="0.25">
      <c r="B44" s="32" t="s">
        <v>129</v>
      </c>
      <c r="C44" s="307"/>
      <c r="D44" s="156">
        <f>SUM(I44:R44)</f>
        <v>25170</v>
      </c>
      <c r="E44" s="307"/>
      <c r="F44" s="156">
        <f>SUM(I44:AD44)</f>
        <v>92707</v>
      </c>
      <c r="G44" s="307"/>
      <c r="H44" s="109">
        <f t="shared" si="19"/>
        <v>107127.15</v>
      </c>
      <c r="I44" s="2">
        <f>SUMIFS('Other Expense'!$C$8:$C$3017,'Other Expense'!$B$8:$B$3017,"&gt;="&amp;I7,'Other Expense'!$B$8:$B$3017,"&lt;="&amp;EOMONTH(I7,0),'Other Expense'!$D$8:$D$3017,$B$44)-SUMIFS('Other Expense'!$G$8:$G$2966,'Other Expense'!$F$8:$F$2966,"&gt;="&amp;I7,'Other Expense'!$F$8:$F$2966,"&lt;="&amp;EOMONTH(I7,0),'Other Expense'!$H$8:$H$2966,"Loan Return Refat")</f>
        <v>6700</v>
      </c>
      <c r="J44" s="2">
        <f>SUMIFS('Other Expense'!$C$8:$C$3017,'Other Expense'!$B$8:$B$3017,"&gt;="&amp;J7,'Other Expense'!$B$8:$B$3017,"&lt;="&amp;EOMONTH(J7,0),'Other Expense'!$D$8:$D$3017,$B$44)-SUMIFS('Other Expense'!$G$8:$G$2966,'Other Expense'!$F$8:$F$2966,"&gt;="&amp;J7,'Other Expense'!$F$8:$F$2966,"&lt;="&amp;EOMONTH(J7,0),'Other Expense'!$H$8:$H$2966,"Loan Return Refat")</f>
        <v>9100</v>
      </c>
      <c r="K44" s="2">
        <f>SUMIFS('Other Expense'!$C$8:$C$3017,'Other Expense'!$B$8:$B$3017,"&gt;="&amp;K7,'Other Expense'!$B$8:$B$3017,"&lt;="&amp;EOMONTH(K7,0),'Other Expense'!$D$8:$D$3017,$B$44)-SUMIFS('Other Expense'!$G$8:$G$2966,'Other Expense'!$F$8:$F$2966,"&gt;="&amp;K7,'Other Expense'!$F$8:$F$2966,"&lt;="&amp;EOMONTH(K7,0),'Other Expense'!$H$8:$H$2966,"Loan Return Refat")</f>
        <v>8650</v>
      </c>
      <c r="L44" s="2">
        <f>SUMIFS('Other Expense'!$C$8:$C$3017,'Other Expense'!$B$8:$B$3017,"&gt;="&amp;L7,'Other Expense'!$B$8:$B$3017,"&lt;="&amp;EOMONTH(L7,0),'Other Expense'!$D$8:$D$3017,$B$44)-SUMIFS('Other Expense'!$G$8:$G$2966,'Other Expense'!$F$8:$F$2966,"&gt;="&amp;L7,'Other Expense'!$F$8:$F$2966,"&lt;="&amp;EOMONTH(L7,0),'Other Expense'!$H$8:$H$2966,"Loan Return Refat")</f>
        <v>5350</v>
      </c>
      <c r="M44" s="2">
        <f>SUMIFS('Other Expense'!$C$8:$C$3017,'Other Expense'!$B$8:$B$3017,"&gt;="&amp;M7,'Other Expense'!$B$8:$B$3017,"&lt;="&amp;EOMONTH(M7,0),'Other Expense'!$D$8:$D$3017,$B$44)-SUMIFS('Other Expense'!$G$8:$G$2966,'Other Expense'!$F$8:$F$2966,"&gt;="&amp;M7,'Other Expense'!$F$8:$F$2966,"&lt;="&amp;EOMONTH(M7,0),'Other Expense'!$H$8:$H$2966,"Loan Return Refat")</f>
        <v>0</v>
      </c>
      <c r="N44" s="2">
        <f>SUMIFS('Other Expense'!$C$8:$C$3017,'Other Expense'!$B$8:$B$3017,"&gt;="&amp;N7,'Other Expense'!$B$8:$B$3017,"&lt;="&amp;EOMONTH(N7,0),'Other Expense'!$D$8:$D$3017,$B$44)-SUMIFS('Other Expense'!$G$8:$G$2966,'Other Expense'!$F$8:$F$2966,"&gt;="&amp;N7,'Other Expense'!$F$8:$F$2966,"&lt;="&amp;EOMONTH(N7,0),'Other Expense'!$H$8:$H$2966,"Loan Return Refat")</f>
        <v>0</v>
      </c>
      <c r="O44" s="2">
        <f>SUMIFS('Other Expense'!$C$8:$C$3017,'Other Expense'!$B$8:$B$3017,"&gt;="&amp;O7,'Other Expense'!$B$8:$B$3017,"&lt;="&amp;EOMONTH(O7,0),'Other Expense'!$D$8:$D$3017,$B$44)-SUMIFS('Other Expense'!$G$8:$G$2966,'Other Expense'!$F$8:$F$2966,"&gt;="&amp;O7,'Other Expense'!$F$8:$F$2966,"&lt;="&amp;EOMONTH(O7,0),'Other Expense'!$H$8:$H$2966,"Loan Return Refat")</f>
        <v>-5750</v>
      </c>
      <c r="P44" s="2">
        <f>SUMIFS('Other Expense'!$C$8:$C$3017,'Other Expense'!$B$8:$B$3017,"&gt;="&amp;P7,'Other Expense'!$B$8:$B$3017,"&lt;="&amp;EOMONTH(P7,0),'Other Expense'!$D$8:$D$3017,$B$44)-SUMIFS('Other Expense'!$G$8:$G$2966,'Other Expense'!$F$8:$F$2966,"&gt;="&amp;P7,'Other Expense'!$F$8:$F$2966,"&lt;="&amp;EOMONTH(P7,0),'Other Expense'!$H$8:$H$2966,"Loan Return Refat")</f>
        <v>0</v>
      </c>
      <c r="Q44" s="2">
        <f>SUMIFS('Other Expense'!$C$8:$C$3017,'Other Expense'!$B$8:$B$3017,"&gt;="&amp;Q7,'Other Expense'!$B$8:$B$3017,"&lt;="&amp;EOMONTH(Q7,0),'Other Expense'!$D$8:$D$3017,$B$44)-SUMIFS('Other Expense'!$G$8:$G$2966,'Other Expense'!$F$8:$F$2966,"&gt;="&amp;Q7,'Other Expense'!$F$8:$F$2966,"&lt;="&amp;EOMONTH(Q7,0),'Other Expense'!$H$8:$H$2966,"Loan Return Refat")</f>
        <v>0</v>
      </c>
      <c r="R44" s="2">
        <f>SUMIFS('Other Expense'!$C$8:$C$3017,'Other Expense'!$B$8:$B$3017,"&gt;="&amp;R7,'Other Expense'!$B$8:$B$3017,"&lt;="&amp;EOMONTH(R7,0),'Other Expense'!$D$8:$D$3017,$B$44)-SUMIFS('Other Expense'!$G$8:$G$2966,'Other Expense'!$F$8:$F$2966,"&gt;="&amp;R7,'Other Expense'!$F$8:$F$2966,"&lt;="&amp;EOMONTH(R7,0),'Other Expense'!$H$8:$H$2966,"Loan Return Refat")</f>
        <v>1120</v>
      </c>
      <c r="S44" s="2">
        <f>SUMIFS('Other Expense'!$C$8:$C$3017,'Other Expense'!$B$8:$B$3017,"&gt;="&amp;S7,'Other Expense'!$B$8:$B$3017,"&lt;="&amp;EOMONTH(S7,0),'Other Expense'!$D$8:$D$3017,$B$44)-SUMIFS('Other Expense'!$G$8:$G$2966,'Other Expense'!$F$8:$F$2966,"&gt;="&amp;S7,'Other Expense'!$F$8:$F$2966,"&lt;="&amp;EOMONTH(S7,0),'Other Expense'!$H$8:$H$2966,"Loan Return Refat")</f>
        <v>27672</v>
      </c>
      <c r="T44" s="2">
        <f>SUMIFS('Other Expense'!$C$8:$C$3017,'Other Expense'!$B$8:$B$3017,"&gt;="&amp;T7,'Other Expense'!$B$8:$B$3017,"&lt;="&amp;EOMONTH(T7,0),'Other Expense'!$D$8:$D$3017,$B$44)-SUMIFS('Other Expense'!$G$8:$G$2966,'Other Expense'!$F$8:$F$2966,"&gt;="&amp;T7,'Other Expense'!$F$8:$F$2966,"&lt;="&amp;EOMONTH(T7,0),'Other Expense'!$H$8:$H$2966,"Loan Return Refat")</f>
        <v>4500</v>
      </c>
      <c r="U44" s="2">
        <f>SUMIFS('Other Expense'!$C$8:$C$3017,'Other Expense'!$B$8:$B$3017,"&gt;="&amp;U7,'Other Expense'!$B$8:$B$3017,"&lt;="&amp;EOMONTH(U7,0),'Other Expense'!$D$8:$D$3017,$B$44)-SUMIFS('Other Expense'!$G$8:$G$2966,'Other Expense'!$F$8:$F$2966,"&gt;="&amp;U7,'Other Expense'!$F$8:$F$2966,"&lt;="&amp;EOMONTH(U7,0),'Other Expense'!$H$8:$H$2966,"Loan Return Refat")</f>
        <v>6567</v>
      </c>
      <c r="V44" s="2">
        <f>SUMIFS('Other Expense'!$C$8:$C$3017,'Other Expense'!$B$8:$B$3017,"&gt;="&amp;V7,'Other Expense'!$B$8:$B$3017,"&lt;="&amp;EOMONTH(V7,0),'Other Expense'!$D$8:$D$3017,$B$44)-SUMIFS('Other Expense'!$G$8:$G$2966,'Other Expense'!$F$8:$F$2966,"&gt;="&amp;V7,'Other Expense'!$F$8:$F$2966,"&lt;="&amp;EOMONTH(V7,0),'Other Expense'!$H$8:$H$2966,"Loan Return Refat")</f>
        <v>5270</v>
      </c>
      <c r="W44" s="2">
        <f>SUMIFS('Other Expense'!$C$8:$C$3017,'Other Expense'!$B$8:$B$3017,"&gt;="&amp;W7,'Other Expense'!$B$8:$B$3017,"&lt;="&amp;EOMONTH(W7,0),'Other Expense'!$D$8:$D$3017,$B$44)-SUMIFS('Other Expense'!$G$8:$G$2966,'Other Expense'!$F$8:$F$2966,"&gt;="&amp;W7,'Other Expense'!$F$8:$F$2966,"&lt;="&amp;EOMONTH(W7,0),'Other Expense'!$H$8:$H$2966,"Loan Return Refat")</f>
        <v>15500</v>
      </c>
      <c r="X44" s="2">
        <f>SUMIFS('Other Expense'!$C$8:$C$3017,'Other Expense'!$B$8:$B$3017,"&gt;="&amp;X7,'Other Expense'!$B$8:$B$3017,"&lt;="&amp;EOMONTH(X7,0),'Other Expense'!$D$8:$D$3017,$B$44)-SUMIFS('Other Expense'!$G$8:$G$2966,'Other Expense'!$F$8:$F$2966,"&gt;="&amp;X7,'Other Expense'!$F$8:$F$2966,"&lt;="&amp;EOMONTH(X7,0),'Other Expense'!$H$8:$H$2966,"Loan Return Refat")</f>
        <v>0</v>
      </c>
      <c r="Y44" s="2">
        <f>SUMIFS('Other Expense'!$C$8:$C$3017,'Other Expense'!$B$8:$B$3017,"&gt;="&amp;Y7,'Other Expense'!$B$8:$B$3017,"&lt;="&amp;EOMONTH(Y7,0),'Other Expense'!$D$8:$D$3017,$B$44)-SUMIFS('Other Expense'!$G$8:$G$2966,'Other Expense'!$F$8:$F$2966,"&gt;="&amp;Y7,'Other Expense'!$F$8:$F$2966,"&lt;="&amp;EOMONTH(Y7,0),'Other Expense'!$H$8:$H$2966,"Loan Return Refat")</f>
        <v>-11197</v>
      </c>
      <c r="Z44" s="2">
        <f>SUMIFS('Other Expense'!$C$8:$C$3017,'Other Expense'!$B$8:$B$3017,"&gt;="&amp;Z7,'Other Expense'!$B$8:$B$3017,"&lt;="&amp;EOMONTH(Z7,0),'Other Expense'!$D$8:$D$3017,$B$44)-SUMIFS('Other Expense'!$G$8:$G$2966,'Other Expense'!$F$8:$F$2966,"&gt;="&amp;Z7,'Other Expense'!$F$8:$F$2966,"&lt;="&amp;EOMONTH(Z7,0),'Other Expense'!$H$8:$H$2966,"Loan Return Refat")</f>
        <v>0</v>
      </c>
      <c r="AA44" s="2">
        <f>SUMIFS('Other Expense'!$C$8:$C$3017,'Other Expense'!$B$8:$B$3017,"&gt;="&amp;AA7,'Other Expense'!$B$8:$B$3017,"&lt;="&amp;EOMONTH(AA7,0),'Other Expense'!$D$8:$D$3017,$B$44)-SUMIFS('Other Expense'!$G$8:$G$2966,'Other Expense'!$F$8:$F$2966,"&gt;="&amp;AA7,'Other Expense'!$F$8:$F$2966,"&lt;="&amp;EOMONTH(AA7,0),'Other Expense'!$H$8:$H$2966,"Loan Return Refat")</f>
        <v>-4975</v>
      </c>
      <c r="AB44" s="2">
        <f>SUMIFS('Other Expense'!$C$8:$C$3017,'Other Expense'!$B$8:$B$3017,"&gt;="&amp;AB7,'Other Expense'!$B$8:$B$3017,"&lt;="&amp;EOMONTH(AB7,0),'Other Expense'!$D$8:$D$3017,$B$44)-SUMIFS('Other Expense'!$G$8:$G$2966,'Other Expense'!$F$8:$F$2966,"&gt;="&amp;AB7,'Other Expense'!$F$8:$F$2966,"&lt;="&amp;EOMONTH(AB7,0),'Other Expense'!$H$8:$H$2966,"Loan Return Refat")</f>
        <v>6000</v>
      </c>
      <c r="AC44" s="2">
        <f>SUMIFS('Other Expense'!$C$8:$C$3017,'Other Expense'!$B$8:$B$3017,"&gt;="&amp;AC7,'Other Expense'!$B$8:$B$3017,"&lt;="&amp;EOMONTH(AC7,0),'Other Expense'!$D$8:$D$3017,$B$44)-SUMIFS('Other Expense'!$G$8:$G$2966,'Other Expense'!$F$8:$F$2966,"&gt;="&amp;AC7,'Other Expense'!$F$8:$F$2966,"&lt;="&amp;EOMONTH(AC7,0),'Other Expense'!$H$8:$H$2966,"Loan Return Refat")</f>
        <v>14700</v>
      </c>
      <c r="AD44" s="2">
        <f>SUMIFS('Other Expense'!$C$8:$C$3017,'Other Expense'!$B$8:$B$3017,"&gt;="&amp;AD7,'Other Expense'!$B$8:$B$3017,"&lt;="&amp;EOMONTH(AD7,0),'Other Expense'!$D$8:$D$3017,$B$44)-SUMIFS('Other Expense'!$G$8:$G$2966,'Other Expense'!$F$8:$F$2966,"&gt;="&amp;AD7,'Other Expense'!$F$8:$F$2966,"&lt;="&amp;EOMONTH(AD7,0),'Other Expense'!$H$8:$H$2966,"Loan Return Refat")</f>
        <v>3500</v>
      </c>
      <c r="AE44" s="2">
        <f>SUMIFS('Other Expense'!$C$8:$C$3017,'Other Expense'!$B$8:$B$3017,"&gt;="&amp;AE7,'Other Expense'!$B$8:$B$3017,"&lt;="&amp;EOMONTH(AE7,0),'Other Expense'!$D$8:$D$3017,$B$44)-SUMIFS('Other Expense'!$G$8:$G$2966,'Other Expense'!$F$8:$F$2966,"&gt;="&amp;AE7,'Other Expense'!$F$8:$F$2966,"&lt;="&amp;EOMONTH(AE7,0),'Other Expense'!$H$8:$H$2966,"Loan Return Refat")</f>
        <v>-600</v>
      </c>
      <c r="AF44" s="2">
        <f>SUMIFS('Other Expense'!$C$8:$C$3017,'Other Expense'!$B$8:$B$3017,"&gt;="&amp;AF7,'Other Expense'!$B$8:$B$3017,"&lt;="&amp;EOMONTH(AF7,0),'Other Expense'!$D$8:$D$3017,$B$44)-SUMIFS('Other Expense'!$G$8:$G$2966,'Other Expense'!$F$8:$F$2966,"&gt;="&amp;AF7,'Other Expense'!$F$8:$F$2966,"&lt;="&amp;EOMONTH(AF7,0),'Other Expense'!$H$8:$H$2966,"Loan Return Refat")</f>
        <v>29500</v>
      </c>
      <c r="AG44" s="2">
        <f>SUMIFS('Other Expense'!$C$8:$C$3017,'Other Expense'!$B$8:$B$3017,"&gt;="&amp;AG7,'Other Expense'!$B$8:$B$3017,"&lt;="&amp;EOMONTH(AG7,0),'Other Expense'!$D$8:$D$3017,$B$44)-SUMIFS('Other Expense'!$G$8:$G$2966,'Other Expense'!$F$8:$F$2966,"&gt;="&amp;AG7,'Other Expense'!$F$8:$F$2966,"&lt;="&amp;EOMONTH(AG7,0),'Other Expense'!$H$8:$H$2966,"Loan Return Refat")</f>
        <v>-5500</v>
      </c>
      <c r="AH44" s="2">
        <f>SUMIFS('Other Expense'!$C$8:$C$3017,'Other Expense'!$B$8:$B$3017,"&gt;="&amp;AH7,'Other Expense'!$B$8:$B$3017,"&lt;="&amp;EOMONTH(AH7,0),'Other Expense'!$D$8:$D$3017,$B$44)-SUMIFS('Other Expense'!$G$8:$G$2966,'Other Expense'!$F$8:$F$2966,"&gt;="&amp;AH7,'Other Expense'!$F$8:$F$2966,"&lt;="&amp;EOMONTH(AH7,0),'Other Expense'!$H$8:$H$2966,"Loan Return Refat")</f>
        <v>-5880</v>
      </c>
      <c r="AI44" s="2">
        <f>SUMIFS('Other Expense'!$C$8:$C$3017,'Other Expense'!$B$8:$B$3017,"&gt;="&amp;AI7,'Other Expense'!$B$8:$B$3017,"&lt;="&amp;EOMONTH(AI7,0),'Other Expense'!$D$8:$D$3017,$B$44)-SUMIFS('Other Expense'!$G$8:$G$2966,'Other Expense'!$F$8:$F$2966,"&gt;="&amp;AI7,'Other Expense'!$F$8:$F$2966,"&lt;="&amp;EOMONTH(AI7,0),'Other Expense'!$H$8:$H$2966,"Loan Return Refat")</f>
        <v>-157.24</v>
      </c>
      <c r="AJ44" s="2">
        <f>SUMIFS('Other Expense'!$C$8:$C$3017,'Other Expense'!$B$8:$B$3017,"&gt;="&amp;AJ7,'Other Expense'!$B$8:$B$3017,"&lt;="&amp;EOMONTH(AJ7,0),'Other Expense'!$D$8:$D$3017,$B$44)-SUMIFS('Other Expense'!$G$8:$G$2966,'Other Expense'!$F$8:$F$2966,"&gt;="&amp;AJ7,'Other Expense'!$F$8:$F$2966,"&lt;="&amp;EOMONTH(AJ7,0),'Other Expense'!$H$8:$H$2966,"Loan Return Refat")</f>
        <v>13584.630000000001</v>
      </c>
      <c r="AK44" s="2">
        <f>SUMIFS('Other Expense'!$C$8:$C$3017,'Other Expense'!$B$8:$B$3017,"&gt;="&amp;AK7,'Other Expense'!$B$8:$B$3017,"&lt;="&amp;EOMONTH(AK7,0),'Other Expense'!$D$8:$D$3017,$B$44)-SUMIFS('Other Expense'!$G$8:$G$2966,'Other Expense'!$F$8:$F$2966,"&gt;="&amp;AK7,'Other Expense'!$F$8:$F$2966,"&lt;="&amp;EOMONTH(AK7,0),'Other Expense'!$H$8:$H$2966,"Loan Return Refat")</f>
        <v>0</v>
      </c>
      <c r="AL44" s="2">
        <f>SUMIFS('Other Expense'!$C$8:$C$3017,'Other Expense'!$B$8:$B$3017,"&gt;="&amp;AL7,'Other Expense'!$B$8:$B$3017,"&lt;="&amp;EOMONTH(AL7,0),'Other Expense'!$D$8:$D$3017,$B$44)-SUMIFS('Other Expense'!$G$8:$G$2966,'Other Expense'!$F$8:$F$2966,"&gt;="&amp;AL7,'Other Expense'!$F$8:$F$2966,"&lt;="&amp;EOMONTH(AL7,0),'Other Expense'!$H$8:$H$2966,"Loan Return Refat")</f>
        <v>-9800</v>
      </c>
      <c r="AM44" s="2">
        <f>SUMIFS('Other Expense'!$C$8:$C$3017,'Other Expense'!$B$8:$B$3017,"&gt;="&amp;AM7,'Other Expense'!$B$8:$B$3017,"&lt;="&amp;EOMONTH(AM7,0),'Other Expense'!$D$8:$D$3017,$B$44)-SUMIFS('Other Expense'!$G$8:$G$2966,'Other Expense'!$F$8:$F$2966,"&gt;="&amp;AM7,'Other Expense'!$F$8:$F$2966,"&lt;="&amp;EOMONTH(AM7,0),'Other Expense'!$H$8:$H$2966,"Loan Return Refat")</f>
        <v>-120</v>
      </c>
      <c r="AN44" s="2">
        <f>SUMIFS('Other Expense'!$C$8:$C$3017,'Other Expense'!$B$8:$B$3017,"&gt;="&amp;AN7,'Other Expense'!$B$8:$B$3017,"&lt;="&amp;EOMONTH(AN7,0),'Other Expense'!$D$8:$D$3017,$B$44)-SUMIFS('Other Expense'!$G$8:$G$2966,'Other Expense'!$F$8:$F$2966,"&gt;="&amp;AN7,'Other Expense'!$F$8:$F$2966,"&lt;="&amp;EOMONTH(AN7,0),'Other Expense'!$H$8:$H$2966,"Loan Return Refat")</f>
        <v>0</v>
      </c>
      <c r="AO44" s="2">
        <f>SUMIFS('Other Expense'!$C$8:$C$3017,'Other Expense'!$B$8:$B$3017,"&gt;="&amp;AO7,'Other Expense'!$B$8:$B$3017,"&lt;="&amp;EOMONTH(AO7,0),'Other Expense'!$D$8:$D$3017,$B$44)-SUMIFS('Other Expense'!$G$8:$G$2966,'Other Expense'!$F$8:$F$2966,"&gt;="&amp;AO7,'Other Expense'!$F$8:$F$2966,"&lt;="&amp;EOMONTH(AO7,0),'Other Expense'!$H$8:$H$2966,"Loan Return Refat")</f>
        <v>0</v>
      </c>
      <c r="AP44" s="2">
        <f>SUMIFS('Other Expense'!$C$8:$C$3017,'Other Expense'!$B$8:$B$3017,"&gt;="&amp;AP7,'Other Expense'!$B$8:$B$3017,"&lt;="&amp;EOMONTH(AP7,0),'Other Expense'!$D$8:$D$3017,$B$44)-SUMIFS('Other Expense'!$G$8:$G$2966,'Other Expense'!$F$8:$F$2966,"&gt;="&amp;AP7,'Other Expense'!$F$8:$F$2966,"&lt;="&amp;EOMONTH(AP7,0),'Other Expense'!$H$8:$H$2966,"Loan Return Refat")</f>
        <v>0</v>
      </c>
      <c r="AQ44" s="2">
        <f>SUMIFS('Other Expense'!$C$8:$C$3017,'Other Expense'!$B$8:$B$3017,"&gt;="&amp;AQ7,'Other Expense'!$B$8:$B$3017,"&lt;="&amp;EOMONTH(AQ7,0),'Other Expense'!$D$8:$D$3017,$B$44)-SUMIFS('Other Expense'!$G$8:$G$2966,'Other Expense'!$F$8:$F$2966,"&gt;="&amp;AQ7,'Other Expense'!$F$8:$F$2966,"&lt;="&amp;EOMONTH(AQ7,0),'Other Expense'!$H$8:$H$2966,"Loan Return Refat")</f>
        <v>0</v>
      </c>
      <c r="AR44" s="2">
        <f>SUMIFS('Other Expense'!$C$8:$C$3017,'Other Expense'!$B$8:$B$3017,"&gt;="&amp;AR7,'Other Expense'!$B$8:$B$3017,"&lt;="&amp;EOMONTH(AR7,0),'Other Expense'!$D$8:$D$3017,$B$44)-SUMIFS('Other Expense'!$G$8:$G$2966,'Other Expense'!$F$8:$F$2966,"&gt;="&amp;AR7,'Other Expense'!$F$8:$F$2966,"&lt;="&amp;EOMONTH(AR7,0),'Other Expense'!$H$8:$H$2966,"Loan Return Refat")</f>
        <v>0</v>
      </c>
      <c r="AS44" s="2">
        <f>SUMIFS('Other Expense'!$C$8:$C$3017,'Other Expense'!$B$8:$B$3017,"&gt;="&amp;AS7,'Other Expense'!$B$8:$B$3017,"&lt;="&amp;EOMONTH(AS7,0),'Other Expense'!$D$8:$D$3017,$B$44)-SUMIFS('Other Expense'!$G$8:$G$2966,'Other Expense'!$F$8:$F$2966,"&gt;="&amp;AS7,'Other Expense'!$F$8:$F$2966,"&lt;="&amp;EOMONTH(AS7,0),'Other Expense'!$H$8:$H$2966,"Loan Return Refat")</f>
        <v>-15000</v>
      </c>
      <c r="AT44" s="2">
        <f>SUMIFS('Other Expense'!$C$8:$C$3017,'Other Expense'!$B$8:$B$3017,"&gt;="&amp;AT7,'Other Expense'!$B$8:$B$3017,"&lt;="&amp;EOMONTH(AT7,0),'Other Expense'!$D$8:$D$3017,$B$44)-SUMIFS('Other Expense'!$G$8:$G$2966,'Other Expense'!$F$8:$F$2966,"&gt;="&amp;AT7,'Other Expense'!$F$8:$F$2966,"&lt;="&amp;EOMONTH(AT7,0),'Other Expense'!$H$8:$H$2966,"Loan Return Refat")</f>
        <v>950</v>
      </c>
      <c r="AU44" s="2">
        <f>SUMIFS('Other Expense'!$C$8:$C$3017,'Other Expense'!$B$8:$B$3017,"&gt;="&amp;AU7,'Other Expense'!$B$8:$B$3017,"&lt;="&amp;EOMONTH(AU7,0),'Other Expense'!$D$8:$D$3017,$B$44)-SUMIFS('Other Expense'!$G$8:$G$2966,'Other Expense'!$F$8:$F$2966,"&gt;="&amp;AU7,'Other Expense'!$F$8:$F$2966,"&lt;="&amp;EOMONTH(AU7,0),'Other Expense'!$H$8:$H$2966,"Loan Return Refat")</f>
        <v>0</v>
      </c>
      <c r="AV44" s="2">
        <f>SUMIFS('Other Expense'!$C$8:$C$3017,'Other Expense'!$B$8:$B$3017,"&gt;="&amp;AV7,'Other Expense'!$B$8:$B$3017,"&lt;="&amp;EOMONTH(AV7,0),'Other Expense'!$D$8:$D$3017,$B$44)-SUMIFS('Other Expense'!$G$8:$G$2966,'Other Expense'!$F$8:$F$2966,"&gt;="&amp;AV7,'Other Expense'!$F$8:$F$2966,"&lt;="&amp;EOMONTH(AV7,0),'Other Expense'!$H$8:$H$2966,"Loan Return Refat")</f>
        <v>-1109.57</v>
      </c>
      <c r="AW44" s="2">
        <f>SUMIFS('Other Expense'!$C$8:$C$3017,'Other Expense'!$B$8:$B$3017,"&gt;="&amp;AW7,'Other Expense'!$B$8:$B$3017,"&lt;="&amp;EOMONTH(AW7,0),'Other Expense'!$D$8:$D$3017,$B$44)-SUMIFS('Other Expense'!$G$8:$G$2966,'Other Expense'!$F$8:$F$2966,"&gt;="&amp;AW7,'Other Expense'!$F$8:$F$2966,"&lt;="&amp;EOMONTH(AW7,0),'Other Expense'!$H$8:$H$2966,"Loan Return Refat")</f>
        <v>12092.33</v>
      </c>
      <c r="AX44" s="2">
        <f>SUMIFS('Other Expense'!$C$8:$C$3017,'Other Expense'!$B$8:$B$3017,"&gt;="&amp;AX7,'Other Expense'!$B$8:$B$3017,"&lt;="&amp;EOMONTH(AX7,0),'Other Expense'!$D$8:$D$3017,$B$44)-SUMIFS('Other Expense'!$G$8:$G$2966,'Other Expense'!$F$8:$F$2966,"&gt;="&amp;AX7,'Other Expense'!$F$8:$F$2966,"&lt;="&amp;EOMONTH(AX7,0),'Other Expense'!$H$8:$H$2966,"Loan Return Refat")</f>
        <v>0</v>
      </c>
      <c r="AY44" s="2">
        <f>SUMIFS('Other Expense'!$C$8:$C$3017,'Other Expense'!$B$8:$B$3017,"&gt;="&amp;AY7,'Other Expense'!$B$8:$B$3017,"&lt;="&amp;EOMONTH(AY7,0),'Other Expense'!$D$8:$D$3017,$B$44)-SUMIFS('Other Expense'!$G$8:$G$2966,'Other Expense'!$F$8:$F$2966,"&gt;="&amp;AY7,'Other Expense'!$F$8:$F$2966,"&lt;="&amp;EOMONTH(AY7,0),'Other Expense'!$H$8:$H$2966,"Loan Return Refat")</f>
        <v>-170</v>
      </c>
      <c r="AZ44" s="2">
        <f>SUMIFS('Other Expense'!$C$8:$C$3017,'Other Expense'!$B$8:$B$3017,"&gt;="&amp;AZ7,'Other Expense'!$B$8:$B$3017,"&lt;="&amp;EOMONTH(AZ7,0),'Other Expense'!$D$8:$D$3017,$B$44)-SUMIFS('Other Expense'!$G$8:$G$2966,'Other Expense'!$F$8:$F$2966,"&gt;="&amp;AZ7,'Other Expense'!$F$8:$F$2966,"&lt;="&amp;EOMONTH(AZ7,0),'Other Expense'!$H$8:$H$2966,"Loan Return Refat")</f>
        <v>4145</v>
      </c>
      <c r="BA44" s="2">
        <f>SUMIFS('Other Expense'!$C$8:$C$3017,'Other Expense'!$B$8:$B$3017,"&gt;="&amp;BA7,'Other Expense'!$B$8:$B$3017,"&lt;="&amp;EOMONTH(BA7,0),'Other Expense'!$D$8:$D$3017,$B$44)-SUMIFS('Other Expense'!$G$8:$G$2966,'Other Expense'!$F$8:$F$2966,"&gt;="&amp;BA7,'Other Expense'!$F$8:$F$2966,"&lt;="&amp;EOMONTH(BA7,0),'Other Expense'!$H$8:$H$2966,"Loan Return Refat")</f>
        <v>-7515</v>
      </c>
    </row>
    <row r="45" spans="2:53" x14ac:dyDescent="0.25">
      <c r="B45" s="32" t="s">
        <v>205</v>
      </c>
      <c r="C45" s="307"/>
      <c r="D45" s="193">
        <f>SUM(G45:R45)</f>
        <v>119250</v>
      </c>
      <c r="E45" s="307"/>
      <c r="F45" s="193">
        <f>SUM(I45:AD45)</f>
        <v>35900</v>
      </c>
      <c r="G45" s="307"/>
      <c r="H45" s="109">
        <f t="shared" si="19"/>
        <v>107750</v>
      </c>
      <c r="I45" s="2">
        <f>SUMIFS('Other Expense'!$C$8:$C$3017,'Other Expense'!$B$8:$B$3017,"&gt;="&amp;I7,'Other Expense'!$B$8:$B$3017,"&lt;="&amp;EOMONTH(I7,0),'Other Expense'!$D$8:$D$3017,$B$45)-SUMIFS('Other Expense'!$G$8:$G$2966,'Other Expense'!$F$8:$F$2966,"&gt;="&amp;I7,'Other Expense'!$F$8:$F$2966,"&lt;="&amp;EOMONTH(I7,0),'Other Expense'!$H$8:$H$2966,"Loan Return Other")</f>
        <v>0</v>
      </c>
      <c r="J45" s="2">
        <f>SUMIFS('Other Expense'!$C$8:$C$3017,'Other Expense'!$B$8:$B$3017,"&gt;="&amp;J7,'Other Expense'!$B$8:$B$3017,"&lt;="&amp;EOMONTH(J7,0),'Other Expense'!$D$8:$D$3017,$B$45)-SUMIFS('Other Expense'!$G$8:$G$2966,'Other Expense'!$F$8:$F$2966,"&gt;="&amp;J7,'Other Expense'!$F$8:$F$2966,"&lt;="&amp;EOMONTH(J7,0),'Other Expense'!$H$8:$H$2966,"Loan Payment Other")</f>
        <v>0</v>
      </c>
      <c r="K45" s="2">
        <f>SUMIFS('Other Expense'!$C$8:$C$3017,'Other Expense'!$B$8:$B$3017,"&gt;="&amp;K7,'Other Expense'!$B$8:$B$3017,"&lt;="&amp;EOMONTH(K7,0),'Other Expense'!$D$8:$D$3017,$B$45)-SUMIFS('Other Expense'!$G$8:$G$2966,'Other Expense'!$F$8:$F$2966,"&gt;="&amp;K7,'Other Expense'!$F$8:$F$2966,"&lt;="&amp;EOMONTH(K7,0),'Other Expense'!$H$8:$H$2966,"Loan Payment Other")</f>
        <v>0</v>
      </c>
      <c r="L45" s="2">
        <f>SUMIFS('Other Expense'!$C$8:$C$3017,'Other Expense'!$B$8:$B$3017,"&gt;="&amp;L7,'Other Expense'!$B$8:$B$3017,"&lt;="&amp;EOMONTH(L7,0),'Other Expense'!$D$8:$D$3017,$B$45)-SUMIFS('Other Expense'!$G$8:$G$2966,'Other Expense'!$F$8:$F$2966,"&gt;="&amp;L7,'Other Expense'!$F$8:$F$2966,"&lt;="&amp;EOMONTH(L7,0),'Other Expense'!$H$8:$H$2966,"Loan Payment Other")</f>
        <v>0</v>
      </c>
      <c r="M45" s="2">
        <f>SUMIFS('Other Expense'!$C$8:$C$3017,'Other Expense'!$B$8:$B$3017,"&gt;="&amp;M7,'Other Expense'!$B$8:$B$3017,"&lt;="&amp;EOMONTH(M7,0),'Other Expense'!$D$8:$D$3017,$B$45)-SUMIFS('Other Expense'!$G$8:$G$2966,'Other Expense'!$F$8:$F$2966,"&gt;="&amp;M7,'Other Expense'!$F$8:$F$2966,"&lt;="&amp;EOMONTH(M7,0),'Other Expense'!$H$8:$H$2966,"Loan Payment Other")</f>
        <v>11500</v>
      </c>
      <c r="N45" s="2">
        <f>SUMIFS('Other Expense'!$C$8:$C$3017,'Other Expense'!$B$8:$B$3017,"&gt;="&amp;N7,'Other Expense'!$B$8:$B$3017,"&lt;="&amp;EOMONTH(N7,0),'Other Expense'!$D$8:$D$3017,$B$45)-SUMIFS('Other Expense'!$G$8:$G$2966,'Other Expense'!$F$8:$F$2966,"&gt;="&amp;N7,'Other Expense'!$F$8:$F$2966,"&lt;="&amp;EOMONTH(N7,0),'Other Expense'!$H$8:$H$2966,"Loan Payment Other")</f>
        <v>0</v>
      </c>
      <c r="O45" s="2">
        <f>SUMIFS('Other Expense'!$C$8:$C$3017,'Other Expense'!$B$8:$B$3017,"&gt;="&amp;O7,'Other Expense'!$B$8:$B$3017,"&lt;="&amp;EOMONTH(O7,0),'Other Expense'!$D$8:$D$3017,$B$45)-SUMIFS('Other Expense'!$G$8:$G$2966,'Other Expense'!$F$8:$F$2966,"&gt;="&amp;O7,'Other Expense'!$F$8:$F$2966,"&lt;="&amp;EOMONTH(O7,0),'Other Expense'!$H$8:$H$2966,"Loan Payment Other")</f>
        <v>0</v>
      </c>
      <c r="P45" s="2">
        <f>SUMIFS('Other Expense'!$C$8:$C$3017,'Other Expense'!$B$8:$B$3017,"&gt;="&amp;P7,'Other Expense'!$B$8:$B$3017,"&lt;="&amp;EOMONTH(P7,0),'Other Expense'!$D$8:$D$3017,$B$45)-SUMIFS('Other Expense'!$G$8:$G$2966,'Other Expense'!$F$8:$F$2966,"&gt;="&amp;P7,'Other Expense'!$F$8:$F$2966,"&lt;="&amp;EOMONTH(P7,0),'Other Expense'!$H$8:$H$2966,"Loan Payment Other")</f>
        <v>0</v>
      </c>
      <c r="Q45" s="2">
        <f>SUMIFS('Other Expense'!$C$8:$C$3017,'Other Expense'!$B$8:$B$3017,"&gt;="&amp;Q7,'Other Expense'!$B$8:$B$3017,"&lt;="&amp;EOMONTH(Q7,0),'Other Expense'!$D$8:$D$3017,$B$45)-SUMIFS('Other Expense'!$G$8:$G$2966,'Other Expense'!$F$8:$F$2966,"&gt;="&amp;Q7,'Other Expense'!$F$8:$F$2966,"&lt;="&amp;EOMONTH(Q7,0),'Other Expense'!$H$8:$H$2966,"Loan Payment Other")</f>
        <v>0</v>
      </c>
      <c r="R45" s="2">
        <f>SUMIFS('Other Expense'!$C$8:$C$3017,'Other Expense'!$B$8:$B$3017,"&gt;="&amp;R7,'Other Expense'!$B$8:$B$3017,"&lt;="&amp;EOMONTH(R7,0),'Other Expense'!$D$8:$D$3017,$B$45)-SUMIFS('Other Expense'!$G$8:$G$2966,'Other Expense'!$F$8:$F$2966,"&gt;="&amp;R7,'Other Expense'!$F$8:$F$2966,"&lt;="&amp;EOMONTH(R7,0),'Other Expense'!$H$8:$H$2966,"Loan Payment Other")</f>
        <v>0</v>
      </c>
      <c r="S45" s="2">
        <f>SUMIFS('Other Expense'!$C$8:$C$3017,'Other Expense'!$B$8:$B$3017,"&gt;="&amp;S7,'Other Expense'!$B$8:$B$3017,"&lt;="&amp;EOMONTH(S7,0),'Other Expense'!$D$8:$D$3017,$B$45)-SUMIFS('Other Expense'!$G$8:$G$2966,'Other Expense'!$F$8:$F$2966,"&gt;="&amp;S7,'Other Expense'!$F$8:$F$2966,"&lt;="&amp;EOMONTH(S7,0),'Other Expense'!$H$8:$H$2966,"Loan Payment Other")</f>
        <v>6000</v>
      </c>
      <c r="T45" s="2">
        <f>SUMIFS('Other Expense'!$C$8:$C$3017,'Other Expense'!$B$8:$B$3017,"&gt;="&amp;T7,'Other Expense'!$B$8:$B$3017,"&lt;="&amp;EOMONTH(T7,0),'Other Expense'!$D$8:$D$3017,$B$45)-SUMIFS('Other Expense'!$G$8:$G$2966,'Other Expense'!$F$8:$F$2966,"&gt;="&amp;T7,'Other Expense'!$F$8:$F$2966,"&lt;="&amp;EOMONTH(T7,0),'Other Expense'!$H$8:$H$2966,"Loan Payment Other")</f>
        <v>3000</v>
      </c>
      <c r="U45" s="2">
        <f>SUMIFS('Other Expense'!$C$8:$C$3017,'Other Expense'!$B$8:$B$3017,"&gt;="&amp;U7,'Other Expense'!$B$8:$B$3017,"&lt;="&amp;EOMONTH(U7,0),'Other Expense'!$D$8:$D$3017,$B$45)-SUMIFS('Other Expense'!$G$8:$G$2966,'Other Expense'!$F$8:$F$2966,"&gt;="&amp;U7,'Other Expense'!$F$8:$F$2966,"&lt;="&amp;EOMONTH(U7,0),'Other Expense'!$H$8:$H$2966,"Loan Payment Other")</f>
        <v>4500</v>
      </c>
      <c r="V45" s="2">
        <f>SUMIFS('Other Expense'!$C$8:$C$3017,'Other Expense'!$B$8:$B$3017,"&gt;="&amp;V7,'Other Expense'!$B$8:$B$3017,"&lt;="&amp;EOMONTH(V7,0),'Other Expense'!$D$8:$D$3017,$B$45)-SUMIFS('Other Expense'!$G$8:$G$2966,'Other Expense'!$F$8:$F$2966,"&gt;="&amp;V7,'Other Expense'!$F$8:$F$2966,"&lt;="&amp;EOMONTH(V7,0),'Other Expense'!$H$8:$H$2966,"Loan Payment Other")</f>
        <v>3000</v>
      </c>
      <c r="W45" s="2">
        <f>SUMIFS('Other Expense'!$C$8:$C$3017,'Other Expense'!$B$8:$B$3017,"&gt;="&amp;W7,'Other Expense'!$B$8:$B$3017,"&lt;="&amp;EOMONTH(W7,0),'Other Expense'!$D$8:$D$3017,$B$45)-SUMIFS('Other Expense'!$G$8:$G$2966,'Other Expense'!$F$8:$F$2966,"&gt;="&amp;W7,'Other Expense'!$F$8:$F$2966,"&lt;="&amp;EOMONTH(W7,0),'Other Expense'!$H$8:$H$2966,"Loan Payment Other")</f>
        <v>2400</v>
      </c>
      <c r="X45" s="2">
        <f>SUMIFS('Other Expense'!$C$8:$C$3017,'Other Expense'!$B$8:$B$3017,"&gt;="&amp;X7,'Other Expense'!$B$8:$B$3017,"&lt;="&amp;EOMONTH(X7,0),'Other Expense'!$D$8:$D$3017,$B$45)-SUMIFS('Other Expense'!$G$8:$G$2966,'Other Expense'!$F$8:$F$2966,"&gt;="&amp;X7,'Other Expense'!$F$8:$F$2966,"&lt;="&amp;EOMONTH(X7,0),'Other Expense'!$H$8:$H$2966,"Loan Payment Other")</f>
        <v>2400</v>
      </c>
      <c r="Y45" s="2">
        <f>SUMIFS('Other Expense'!$C$8:$C$3017,'Other Expense'!$B$8:$B$3017,"&gt;="&amp;Y7,'Other Expense'!$B$8:$B$3017,"&lt;="&amp;EOMONTH(Y7,0),'Other Expense'!$D$8:$D$3017,$B$45)-SUMIFS('Other Expense'!$G$8:$G$2966,'Other Expense'!$F$8:$F$2966,"&gt;="&amp;Y7,'Other Expense'!$F$8:$F$2966,"&lt;="&amp;EOMONTH(Y7,0),'Other Expense'!$H$8:$H$2966,"Loan Payment Other")</f>
        <v>3600</v>
      </c>
      <c r="Z45" s="2">
        <f>SUMIFS('Other Expense'!$C$8:$C$3017,'Other Expense'!$B$8:$B$3017,"&gt;="&amp;Z7,'Other Expense'!$B$8:$B$3017,"&lt;="&amp;EOMONTH(Z7,0),'Other Expense'!$D$8:$D$3017,$B$45)-SUMIFS('Other Expense'!$G$8:$G$2966,'Other Expense'!$F$8:$F$2966,"&gt;="&amp;Z7,'Other Expense'!$F$8:$F$2966,"&lt;="&amp;EOMONTH(Z7,0),'Other Expense'!$H$8:$H$2966,"Loan Payment Other")</f>
        <v>2000</v>
      </c>
      <c r="AA45" s="2">
        <f>SUMIFS('Other Expense'!$C$8:$C$3017,'Other Expense'!$B$8:$B$3017,"&gt;="&amp;AA7,'Other Expense'!$B$8:$B$3017,"&lt;="&amp;EOMONTH(AA7,0),'Other Expense'!$D$8:$D$3017,$B$45)-SUMIFS('Other Expense'!$G$8:$G$2966,'Other Expense'!$F$8:$F$2966,"&gt;="&amp;AA7,'Other Expense'!$F$8:$F$2966,"&lt;="&amp;EOMONTH(AA7,0),'Other Expense'!$H$8:$H$2966,"Loan Return Other")</f>
        <v>-9500</v>
      </c>
      <c r="AB45" s="2">
        <f>SUMIFS('Other Expense'!$C$8:$C$3017,'Other Expense'!$B$8:$B$3017,"&gt;="&amp;AB7,'Other Expense'!$B$8:$B$3017,"&lt;="&amp;EOMONTH(AB7,0),'Other Expense'!$D$8:$D$3017,$B$45)-SUMIFS('Other Expense'!$G$8:$G$2966,'Other Expense'!$F$8:$F$2966,"&gt;="&amp;AB7,'Other Expense'!$F$8:$F$2966,"&lt;="&amp;EOMONTH(AB7,0),'Other Expense'!$H$8:$H$2966,"Loan Return Other")</f>
        <v>2000</v>
      </c>
      <c r="AC45" s="2">
        <f>SUMIFS('Other Expense'!$C$8:$C$3017,'Other Expense'!$B$8:$B$3017,"&gt;="&amp;AC7,'Other Expense'!$B$8:$B$3017,"&lt;="&amp;EOMONTH(AC7,0),'Other Expense'!$D$8:$D$3017,$B$45)-SUMIFS('Other Expense'!$G$8:$G$2966,'Other Expense'!$F$8:$F$2966,"&gt;="&amp;AC7,'Other Expense'!$F$8:$F$2966,"&lt;="&amp;EOMONTH(AC7,0),'Other Expense'!$H$8:$H$2966,"Loan Return Other")</f>
        <v>0</v>
      </c>
      <c r="AD45" s="2">
        <f>SUMIFS('Other Expense'!$C$8:$C$3017,'Other Expense'!$B$8:$B$3017,"&gt;="&amp;AD7,'Other Expense'!$B$8:$B$3017,"&lt;="&amp;EOMONTH(AD7,0),'Other Expense'!$D$8:$D$3017,$B$45)-SUMIFS('Other Expense'!$G$8:$G$2966,'Other Expense'!$F$8:$F$2966,"&gt;="&amp;AD7,'Other Expense'!$F$8:$F$2966,"&lt;="&amp;EOMONTH(AD7,0),'Other Expense'!$H$8:$H$2966,"Loan Return Other")</f>
        <v>5000</v>
      </c>
      <c r="AE45" s="2">
        <f>SUMIFS('Other Expense'!$C$8:$C$3017,'Other Expense'!$B$8:$B$3017,"&gt;="&amp;AE7,'Other Expense'!$B$8:$B$3017,"&lt;="&amp;EOMONTH(AE7,0),'Other Expense'!$D$8:$D$3017,$B$45)-SUMIFS('Other Expense'!$G$8:$G$2966,'Other Expense'!$F$8:$F$2966,"&gt;="&amp;AE7,'Other Expense'!$F$8:$F$2966,"&lt;="&amp;EOMONTH(AE7,0),'Other Expense'!$H$8:$H$2966,"Loan Return Other")</f>
        <v>2000</v>
      </c>
      <c r="AF45" s="2">
        <f>SUMIFS('Other Expense'!$C$8:$C$3017,'Other Expense'!$B$8:$B$3017,"&gt;="&amp;AF7,'Other Expense'!$B$8:$B$3017,"&lt;="&amp;EOMONTH(AF7,0),'Other Expense'!$D$8:$D$3017,$B$45)-SUMIFS('Other Expense'!$G$8:$G$2966,'Other Expense'!$F$8:$F$2966,"&gt;="&amp;AF7,'Other Expense'!$F$8:$F$2966,"&lt;="&amp;EOMONTH(AF7,0),'Other Expense'!$H$8:$H$2966,"Loan Return Other")</f>
        <v>16650</v>
      </c>
      <c r="AG45" s="2">
        <f>SUMIFS('Other Expense'!$C$8:$C$3017,'Other Expense'!$B$8:$B$3017,"&gt;="&amp;AG7,'Other Expense'!$B$8:$B$3017,"&lt;="&amp;EOMONTH(AG7,0),'Other Expense'!$D$8:$D$3017,$B$45)-SUMIFS('Other Expense'!$G$8:$G$2966,'Other Expense'!$F$8:$F$2966,"&gt;="&amp;AG7,'Other Expense'!$F$8:$F$2966,"&lt;="&amp;EOMONTH(AG7,0),'Other Expense'!$H$8:$H$2966,"Loan Return Other")</f>
        <v>31000</v>
      </c>
      <c r="AH45" s="2">
        <f>SUMIFS('Other Expense'!$C$8:$C$3017,'Other Expense'!$B$8:$B$3017,"&gt;="&amp;AH7,'Other Expense'!$B$8:$B$3017,"&lt;="&amp;EOMONTH(AH7,0),'Other Expense'!$D$8:$D$3017,$B$45)-SUMIFS('Other Expense'!$G$8:$G$2966,'Other Expense'!$F$8:$F$2966,"&gt;="&amp;AH7,'Other Expense'!$F$8:$F$2966,"&lt;="&amp;EOMONTH(AH7,0),'Other Expense'!$H$8:$H$2966,"Loan Return Other")</f>
        <v>22200</v>
      </c>
      <c r="AI45" s="2">
        <f>SUMIFS('Other Expense'!$C$8:$C$3017,'Other Expense'!$B$8:$B$3017,"&gt;="&amp;AI7,'Other Expense'!$B$8:$B$3017,"&lt;="&amp;EOMONTH(AI7,0),'Other Expense'!$D$8:$D$3017,$B$45)-SUMIFS('Other Expense'!$G$8:$G$2966,'Other Expense'!$F$8:$F$2966,"&gt;="&amp;AI7,'Other Expense'!$F$8:$F$2966,"&lt;="&amp;EOMONTH(AI7,0),'Other Expense'!$H$8:$H$2966,"Loan Return Other")</f>
        <v>0</v>
      </c>
      <c r="AJ45" s="2">
        <f>SUMIFS('Other Expense'!$C$8:$C$3017,'Other Expense'!$B$8:$B$3017,"&gt;="&amp;AJ7,'Other Expense'!$B$8:$B$3017,"&lt;="&amp;EOMONTH(AJ7,0),'Other Expense'!$D$8:$D$3017,$B$45)-SUMIFS('Other Expense'!$G$8:$G$2966,'Other Expense'!$F$8:$F$2966,"&gt;="&amp;AJ7,'Other Expense'!$F$8:$F$2966,"&lt;="&amp;EOMONTH(AJ7,0),'Other Expense'!$H$8:$H$2966,"Loan Return Other")</f>
        <v>0</v>
      </c>
      <c r="AK45" s="2">
        <f>SUMIFS('Other Expense'!$C$8:$C$3017,'Other Expense'!$B$8:$B$3017,"&gt;="&amp;AK7,'Other Expense'!$B$8:$B$3017,"&lt;="&amp;EOMONTH(AK7,0),'Other Expense'!$D$8:$D$3017,$B$45)-SUMIFS('Other Expense'!$G$8:$G$2966,'Other Expense'!$F$8:$F$2966,"&gt;="&amp;AK7,'Other Expense'!$F$8:$F$2966,"&lt;="&amp;EOMONTH(AK7,0),'Other Expense'!$H$8:$H$2966,"Loan Return Other")</f>
        <v>0</v>
      </c>
      <c r="AL45" s="2">
        <f>SUMIFS('Other Expense'!$C$8:$C$3017,'Other Expense'!$B$8:$B$3017,"&gt;="&amp;AL7,'Other Expense'!$B$8:$B$3017,"&lt;="&amp;EOMONTH(AL7,0),'Other Expense'!$D$8:$D$3017,$B$45)-SUMIFS('Other Expense'!$G$8:$G$2966,'Other Expense'!$F$8:$F$2966,"&gt;="&amp;AL7,'Other Expense'!$F$8:$F$2966,"&lt;="&amp;EOMONTH(AL7,0),'Other Expense'!$H$8:$H$2966,"Loan Return Other")</f>
        <v>0</v>
      </c>
      <c r="AM45" s="2">
        <f>SUMIFS('Other Expense'!$C$8:$C$3017,'Other Expense'!$B$8:$B$3017,"&gt;="&amp;AM7,'Other Expense'!$B$8:$B$3017,"&lt;="&amp;EOMONTH(AM7,0),'Other Expense'!$D$8:$D$3017,$B$45)-SUMIFS('Other Expense'!$G$8:$G$2966,'Other Expense'!$F$8:$F$2966,"&gt;="&amp;AM7,'Other Expense'!$F$8:$F$2966,"&lt;="&amp;EOMONTH(AM7,0),'Other Expense'!$H$8:$H$2966,"Loan Return Other")</f>
        <v>0</v>
      </c>
      <c r="AN45" s="2">
        <f>SUMIFS('Other Expense'!$C$8:$C$3017,'Other Expense'!$B$8:$B$3017,"&gt;="&amp;AN7,'Other Expense'!$B$8:$B$3017,"&lt;="&amp;EOMONTH(AN7,0),'Other Expense'!$D$8:$D$3017,$B$45)-SUMIFS('Other Expense'!$G$8:$G$2966,'Other Expense'!$F$8:$F$2966,"&gt;="&amp;AN7,'Other Expense'!$F$8:$F$2966,"&lt;="&amp;EOMONTH(AN7,0),'Other Expense'!$H$8:$H$2966,"Loan Return Other")</f>
        <v>0</v>
      </c>
      <c r="AO45" s="2">
        <f>SUMIFS('Other Expense'!$C$8:$C$3017,'Other Expense'!$B$8:$B$3017,"&gt;="&amp;AO7,'Other Expense'!$B$8:$B$3017,"&lt;="&amp;EOMONTH(AO7,0),'Other Expense'!$D$8:$D$3017,$B$45)-SUMIFS('Other Expense'!$G$8:$G$2966,'Other Expense'!$F$8:$F$2966,"&gt;="&amp;AO7,'Other Expense'!$F$8:$F$2966,"&lt;="&amp;EOMONTH(AO7,0),'Other Expense'!$H$8:$H$2966,"Loan Return Other")</f>
        <v>0</v>
      </c>
      <c r="AP45" s="2">
        <f>SUMIFS('Other Expense'!$C$8:$C$3017,'Other Expense'!$B$8:$B$3017,"&gt;="&amp;AP7,'Other Expense'!$B$8:$B$3017,"&lt;="&amp;EOMONTH(AP7,0),'Other Expense'!$D$8:$D$3017,$B$45)-SUMIFS('Other Expense'!$G$8:$G$2966,'Other Expense'!$F$8:$F$2966,"&gt;="&amp;AP7,'Other Expense'!$F$8:$F$2966,"&lt;="&amp;EOMONTH(AP7,0),'Other Expense'!$H$8:$H$2966,"Loan Return Other")</f>
        <v>0</v>
      </c>
      <c r="AQ45" s="2">
        <f>SUMIFS('Other Expense'!$C$8:$C$3017,'Other Expense'!$B$8:$B$3017,"&gt;="&amp;AQ7,'Other Expense'!$B$8:$B$3017,"&lt;="&amp;EOMONTH(AQ7,0),'Other Expense'!$D$8:$D$3017,$B$45)-SUMIFS('Other Expense'!$G$8:$G$2966,'Other Expense'!$F$8:$F$2966,"&gt;="&amp;AQ7,'Other Expense'!$F$8:$F$2966,"&lt;="&amp;EOMONTH(AQ7,0),'Other Expense'!$H$8:$H$2966,"Loan Return Other")</f>
        <v>0</v>
      </c>
      <c r="AR45" s="2">
        <f>SUMIFS('Other Expense'!$C$8:$C$3017,'Other Expense'!$B$8:$B$3017,"&gt;="&amp;AR7,'Other Expense'!$B$8:$B$3017,"&lt;="&amp;EOMONTH(AR7,0),'Other Expense'!$D$8:$D$3017,$B$45)-SUMIFS('Other Expense'!$G$8:$G$2966,'Other Expense'!$F$8:$F$2966,"&gt;="&amp;AR7,'Other Expense'!$F$8:$F$2966,"&lt;="&amp;EOMONTH(AR7,0),'Other Expense'!$H$8:$H$2966,"Loan Return Other")</f>
        <v>0</v>
      </c>
      <c r="AS45" s="2">
        <f>SUMIFS('Other Expense'!$C$8:$C$3017,'Other Expense'!$B$8:$B$3017,"&gt;="&amp;AS7,'Other Expense'!$B$8:$B$3017,"&lt;="&amp;EOMONTH(AS7,0),'Other Expense'!$D$8:$D$3017,$B$45)-SUMIFS('Other Expense'!$G$8:$G$2966,'Other Expense'!$F$8:$F$2966,"&gt;="&amp;AS7,'Other Expense'!$F$8:$F$2966,"&lt;="&amp;EOMONTH(AS7,0),'Other Expense'!$H$8:$H$2966,"Loan Return Other")</f>
        <v>0</v>
      </c>
      <c r="AT45" s="2">
        <f>SUMIFS('Other Expense'!$C$8:$C$3017,'Other Expense'!$B$8:$B$3017,"&gt;="&amp;AT7,'Other Expense'!$B$8:$B$3017,"&lt;="&amp;EOMONTH(AT7,0),'Other Expense'!$D$8:$D$3017,$B$45)-SUMIFS('Other Expense'!$G$8:$G$2966,'Other Expense'!$F$8:$F$2966,"&gt;="&amp;AT7,'Other Expense'!$F$8:$F$2966,"&lt;="&amp;EOMONTH(AT7,0),'Other Expense'!$H$8:$H$2966,"Loan Return Other")</f>
        <v>0</v>
      </c>
      <c r="AU45" s="2">
        <f>SUMIFS('Other Expense'!$C$8:$C$3017,'Other Expense'!$B$8:$B$3017,"&gt;="&amp;AU7,'Other Expense'!$B$8:$B$3017,"&lt;="&amp;EOMONTH(AU7,0),'Other Expense'!$D$8:$D$3017,$B$45)-SUMIFS('Other Expense'!$G$8:$G$2966,'Other Expense'!$F$8:$F$2966,"&gt;="&amp;AU7,'Other Expense'!$F$8:$F$2966,"&lt;="&amp;EOMONTH(AU7,0),'Other Expense'!$H$8:$H$2966,"Loan Return Other")</f>
        <v>0</v>
      </c>
      <c r="AV45" s="2">
        <f>SUMIFS('Other Expense'!$C$8:$C$3017,'Other Expense'!$B$8:$B$3017,"&gt;="&amp;AV7,'Other Expense'!$B$8:$B$3017,"&lt;="&amp;EOMONTH(AV7,0),'Other Expense'!$D$8:$D$3017,$B$45)-SUMIFS('Other Expense'!$G$8:$G$2966,'Other Expense'!$F$8:$F$2966,"&gt;="&amp;AV7,'Other Expense'!$F$8:$F$2966,"&lt;="&amp;EOMONTH(AV7,0),'Other Expense'!$H$8:$H$2966,"Loan Return Other")</f>
        <v>0</v>
      </c>
      <c r="AW45" s="2">
        <f>SUMIFS('Other Expense'!$C$8:$C$3017,'Other Expense'!$B$8:$B$3017,"&gt;="&amp;AW7,'Other Expense'!$B$8:$B$3017,"&lt;="&amp;EOMONTH(AW7,0),'Other Expense'!$D$8:$D$3017,$B$45)-SUMIFS('Other Expense'!$G$8:$G$2966,'Other Expense'!$F$8:$F$2966,"&gt;="&amp;AW7,'Other Expense'!$F$8:$F$2966,"&lt;="&amp;EOMONTH(AW7,0),'Other Expense'!$H$8:$H$2966,"Loan Return Other")</f>
        <v>0</v>
      </c>
      <c r="AX45" s="2">
        <f>SUMIFS('Other Expense'!$C$8:$C$3017,'Other Expense'!$B$8:$B$3017,"&gt;="&amp;AX7,'Other Expense'!$B$8:$B$3017,"&lt;="&amp;EOMONTH(AX7,0),'Other Expense'!$D$8:$D$3017,$B$45)-SUMIFS('Other Expense'!$G$8:$G$2966,'Other Expense'!$F$8:$F$2966,"&gt;="&amp;AX7,'Other Expense'!$F$8:$F$2966,"&lt;="&amp;EOMONTH(AX7,0),'Other Expense'!$H$8:$H$2966,"Loan Return Other")</f>
        <v>0</v>
      </c>
      <c r="AY45" s="2">
        <f>SUMIFS('Other Expense'!$C$8:$C$3017,'Other Expense'!$B$8:$B$3017,"&gt;="&amp;AY7,'Other Expense'!$B$8:$B$3017,"&lt;="&amp;EOMONTH(AY7,0),'Other Expense'!$D$8:$D$3017,$B$45)-SUMIFS('Other Expense'!$G$8:$G$2966,'Other Expense'!$F$8:$F$2966,"&gt;="&amp;AY7,'Other Expense'!$F$8:$F$2966,"&lt;="&amp;EOMONTH(AY7,0),'Other Expense'!$H$8:$H$2966,"Loan Return Other")</f>
        <v>0</v>
      </c>
      <c r="AZ45" s="2">
        <f>SUMIFS('Other Expense'!$C$8:$C$3017,'Other Expense'!$B$8:$B$3017,"&gt;="&amp;AZ7,'Other Expense'!$B$8:$B$3017,"&lt;="&amp;EOMONTH(AZ7,0),'Other Expense'!$D$8:$D$3017,$B$45)-SUMIFS('Other Expense'!$G$8:$G$2966,'Other Expense'!$F$8:$F$2966,"&gt;="&amp;AZ7,'Other Expense'!$F$8:$F$2966,"&lt;="&amp;EOMONTH(AZ7,0),'Other Expense'!$H$8:$H$2966,"Loan Return Other")</f>
        <v>0</v>
      </c>
      <c r="BA45" s="2">
        <f>SUMIFS('Other Expense'!$C$8:$C$3017,'Other Expense'!$B$8:$B$3017,"&gt;="&amp;BA7,'Other Expense'!$B$8:$B$3017,"&lt;="&amp;EOMONTH(BA7,0),'Other Expense'!$D$8:$D$3017,$B$45)-SUMIFS('Other Expense'!$G$8:$G$2966,'Other Expense'!$F$8:$F$2966,"&gt;="&amp;BA7,'Other Expense'!$F$8:$F$2966,"&lt;="&amp;EOMONTH(BA7,0),'Other Expense'!$H$8:$H$2966,"Loan Return Other")</f>
        <v>0</v>
      </c>
    </row>
    <row r="46" spans="2:53" ht="15.75" thickBot="1" x14ac:dyDescent="0.3">
      <c r="B46" s="32" t="s">
        <v>119</v>
      </c>
      <c r="C46" s="32"/>
      <c r="D46" s="156" t="e">
        <f>SUM(I46:R46)</f>
        <v>#REF!</v>
      </c>
      <c r="E46" s="32"/>
      <c r="F46" s="156" t="e">
        <f>SUM(K46:T46)</f>
        <v>#REF!</v>
      </c>
      <c r="G46" s="32"/>
      <c r="H46" s="109" t="e">
        <f t="shared" si="19"/>
        <v>#REF!</v>
      </c>
      <c r="I46" s="2" t="e">
        <f>SUMIFS('CEI565'!$H$6:$H$2994,'CEI565'!$E$6:$E$2994,"&gt;="&amp;I7,'CEI565'!$E$6:$E$2994,"&lt;="&amp;EOMONTH(I7,0),'CEI565'!$F$6:$F$2994,"Closed Account")+SUMIFS('1SM3VL'!$H$6:$H$2989,'1SM3VL'!$E$6:$E$2989,"&gt;="&amp;I7,'1SM3VL'!$E$6:$E$2989,"&lt;="&amp;EOMONTH(I7,0),'1SM3VL'!$F$6:$F$2989,"Closed Aaccount")+SUMIFS('1QF4SM'!$H$6:$H$2989,'1QF4SM'!$E$6:$E$2989,"&gt;="&amp;I7,'1QF4SM'!$E$6:$E$2989,"&lt;="&amp;EOMONTH(I7,0),'1QF4SM'!$F$6:$F$2989,"Closed Account")+SUMIFS('1UV5KI'!$H$6:$H$2988,'1UV5KI'!$E$6:$E$2988,"&gt;="&amp;I7,'1UV5KI'!$E$6:$E$2988,"&lt;="&amp;EOMONTH(I7,0),'1UV5KI'!$F$6:$F$2988,"Closed Account")+SUMIFS(#REF!,#REF!,"&gt;="&amp;I7,#REF!,"&lt;="&amp;EOMONTH(I7,0),#REF!,"Closed Account")+SUMIFS('1UL9RY'!$H$6:$H$2989,'1UL9RY'!$E$6:$E$2989,"&gt;="&amp;I7,'1UL9RY'!$E$6:$E$2989,"&lt;="&amp;EOMONTH(I7,0),'1UL9RY'!$F$6:$F$2989,"Closed Account")+SUMIFS('1OZ7GT'!$H$6:$H$2989,'1OZ7GT'!$E$6:$E$2989,"&gt;="&amp;I7,'1OZ7GT'!$E$6:$E$2989,"&lt;="&amp;EOMONTH(I7,0),'1OZ7GT'!$F$6:$F$2989,"Closed Account")+SUMIFS('1CN8DD'!$H$6:$H$2989,'1CN8DD'!$E$6:$E$2989,"&gt;="&amp;I7,'1CN8DD'!$E$6:$E$2989,"&lt;="&amp;EOMONTH(I7,0),'1CN8DD'!$F$6:$F$2989,"Closed Account")+SUMIFS('1UT9BR'!$H$6:$H$2989,'1UT9BR'!$E$6:$E$2989,"&gt;="&amp;I7,'1UT9BR'!$E$6:$E$2989,"&lt;="&amp;EOMONTH(I7,0),'1UT9BR'!$F$6:$F$2989,"Closed Account")+SUMIFS('1MK4UR'!$H$6:$H$2989,'1MK4UR'!$E$6:$E$2989,"&gt;="&amp;I7,'1MK4UR'!$E$6:$E$2989,"&lt;="&amp;EOMONTH(I7,0),'1MK4UR'!$F$6:$F$2989,"Closed Account")+SUMIFS(#REF!,#REF!,"&gt;="&amp;I7,#REF!,"&lt;="&amp;EOMONTH(I7,0),#REF!,"Closed Account")+SUMIFS('1JI2UE'!$H$6:$H$2989,'1JI2UE'!$E$6:$E$2989,"&gt;="&amp;I7,'1JI2UE'!$E$6:$E$2989,"&lt;="&amp;EOMONTH(I7,0),'1JI2UE'!$F$6:$F$2989,"Closed Account")+SUMIFS(#REF!,#REF!,"&gt;="&amp;I7,#REF!,"&lt;="&amp;EOMONTH(I7,0),#REF!,"Closed Account")+SUMIFS('1SI9BW'!$H$6:$H$2989,'1SI9BW'!$E$6:$E$2989,"&gt;="&amp;I7,'1SI9BW'!$E$6:$E$2989,"&lt;="&amp;EOMONTH(I7,0),'1SI9BW'!$F$6:$F$2989,"Closed Account")+SUMIFS(Suzuki!$H$6:$H$2989,Suzuki!$E$6:$E$2989,"&gt;="&amp;I7,Suzuki!$E$6:$E$2989,"&lt;="&amp;EOMONTH(I7,0),Suzuki!$F$6:$F$2989,"Closed Account")+SUMIFS('1SK3DD'!$H$6:$H$2989,'1SK3DD'!$E$6:$E$2989,"&gt;="&amp;I7,'1SK3DD'!$E$6:$E$2989,"&lt;="&amp;EOMONTH(I7,0),'1SK3DD'!$F$6:$F$2989,"Closed Account")+SUMIFS('1SX5TQ'!$H$6:$H$2989,'1SX5TQ'!$E$6:$E$2989,"&gt;="&amp;I7,'1SX5TQ'!$E$6:$E$2989,"&lt;="&amp;EOMONTH(I7,0),'1SX5TQ'!$F$6:$F$2989,"Closed Account")+SUMIFS('BMM465'!$H$6:$H$2989,'BMM465'!$E$6:$E$2989,"&gt;="&amp;I7,'BMM465'!$E$6:$E$2989,"&lt;="&amp;EOMONTH(I7,0),'BMM465'!$F$6:$F$2989,"Closed Account")+SUMIFS('1CF1ZO'!$H$6:$H$2989,'1CF1ZO'!$E$6:$E$2989,"&gt;="&amp;I7,'1CF1ZO'!$E$6:$E$2989,"&lt;="&amp;EOMONTH(I7,0),'1CF1ZO'!$F$6:$F$2989,"Closed Account")+SUMIFS('1UK1BK'!$H$6:$H$2989,'1UK1BK'!$E$6:$E$2989,"&gt;="&amp;I7,'1UK1BK'!$E$6:$E$2989,"&lt;="&amp;EOMONTH(I7,0),'1UK1BK'!$F$6:$F$2989,"Closed Account")</f>
        <v>#REF!</v>
      </c>
      <c r="J46" s="2" t="e">
        <f>SUMIFS('CEI565'!$H$6:$H$2994,'CEI565'!$E$6:$E$2994,"&gt;="&amp;J7,'CEI565'!$E$6:$E$2994,"&lt;="&amp;EOMONTH(J7,0),'CEI565'!$F$6:$F$2994,"Closed Account")+SUMIFS('1SM3VL'!$H$6:$H$2989,'1SM3VL'!$E$6:$E$2989,"&gt;="&amp;J7,'1SM3VL'!$E$6:$E$2989,"&lt;="&amp;EOMONTH(J7,0),'1SM3VL'!$F$6:$F$2989,"Closed Aaccount")+SUMIFS('1QF4SM'!$H$6:$H$2989,'1QF4SM'!$E$6:$E$2989,"&gt;="&amp;J7,'1QF4SM'!$E$6:$E$2989,"&lt;="&amp;EOMONTH(J7,0),'1QF4SM'!$F$6:$F$2989,"Closed Account")+SUMIFS('1UV5KI'!$H$6:$H$2988,'1UV5KI'!$E$6:$E$2988,"&gt;="&amp;J7,'1UV5KI'!$E$6:$E$2988,"&lt;="&amp;EOMONTH(J7,0),'1UV5KI'!$F$6:$F$2988,"Closed Account")+SUMIFS(#REF!,#REF!,"&gt;="&amp;J7,#REF!,"&lt;="&amp;EOMONTH(J7,0),#REF!,"Closed Account")+SUMIFS('1UL9RY'!$H$6:$H$2989,'1UL9RY'!$E$6:$E$2989,"&gt;="&amp;J7,'1UL9RY'!$E$6:$E$2989,"&lt;="&amp;EOMONTH(J7,0),'1UL9RY'!$F$6:$F$2989,"Closed Account")+SUMIFS('1OZ7GT'!$H$6:$H$2989,'1OZ7GT'!$E$6:$E$2989,"&gt;="&amp;J7,'1OZ7GT'!$E$6:$E$2989,"&lt;="&amp;EOMONTH(J7,0),'1OZ7GT'!$F$6:$F$2989,"Closed Account")+SUMIFS('1CN8DD'!$H$6:$H$2989,'1CN8DD'!$E$6:$E$2989,"&gt;="&amp;J7,'1CN8DD'!$E$6:$E$2989,"&lt;="&amp;EOMONTH(J7,0),'1CN8DD'!$F$6:$F$2989,"Closed Account")+SUMIFS('1UT9BR'!$H$6:$H$2989,'1UT9BR'!$E$6:$E$2989,"&gt;="&amp;J7,'1UT9BR'!$E$6:$E$2989,"&lt;="&amp;EOMONTH(J7,0),'1UT9BR'!$F$6:$F$2989,"Closed Account")+SUMIFS('1MK4UR'!$H$6:$H$2989,'1MK4UR'!$E$6:$E$2989,"&gt;="&amp;J7,'1MK4UR'!$E$6:$E$2989,"&lt;="&amp;EOMONTH(J7,0),'1MK4UR'!$F$6:$F$2989,"Closed Account")+SUMIFS(#REF!,#REF!,"&gt;="&amp;J7,#REF!,"&lt;="&amp;EOMONTH(J7,0),#REF!,"Closed Account")+SUMIFS('1JI2UE'!$H$6:$H$2989,'1JI2UE'!$E$6:$E$2989,"&gt;="&amp;J7,'1JI2UE'!$E$6:$E$2989,"&lt;="&amp;EOMONTH(J7,0),'1JI2UE'!$F$6:$F$2989,"Closed Account")+SUMIFS(#REF!,#REF!,"&gt;="&amp;J7,#REF!,"&lt;="&amp;EOMONTH(J7,0),#REF!,"Closed Account")+SUMIFS('1SI9BW'!$H$6:$H$2989,'1SI9BW'!$E$6:$E$2989,"&gt;="&amp;J7,'1SI9BW'!$E$6:$E$2989,"&lt;="&amp;EOMONTH(J7,0),'1SI9BW'!$F$6:$F$2989,"Closed Account")+SUMIFS(Suzuki!$H$6:$H$2989,Suzuki!$E$6:$E$2989,"&gt;="&amp;J7,Suzuki!$E$6:$E$2989,"&lt;="&amp;EOMONTH(J7,0),Suzuki!$F$6:$F$2989,"Closed Account")+SUMIFS('1SK3DD'!$H$6:$H$2989,'1SK3DD'!$E$6:$E$2989,"&gt;="&amp;J7,'1SK3DD'!$E$6:$E$2989,"&lt;="&amp;EOMONTH(J7,0),'1SK3DD'!$F$6:$F$2989,"Closed Account")+SUMIFS('1SX5TQ'!$H$6:$H$2989,'1SX5TQ'!$E$6:$E$2989,"&gt;="&amp;J7,'1SX5TQ'!$E$6:$E$2989,"&lt;="&amp;EOMONTH(J7,0),'1SX5TQ'!$F$6:$F$2989,"Closed Account")+SUMIFS('BMM465'!$H$6:$H$2989,'BMM465'!$E$6:$E$2989,"&gt;="&amp;J7,'BMM465'!$E$6:$E$2989,"&lt;="&amp;EOMONTH(J7,0),'BMM465'!$F$6:$F$2989,"Closed Account")+SUMIFS('1CF1ZO'!$H$6:$H$2989,'1CF1ZO'!$E$6:$E$2989,"&gt;="&amp;J7,'1CF1ZO'!$E$6:$E$2989,"&lt;="&amp;EOMONTH(J7,0),'1CF1ZO'!$F$6:$F$2989,"Closed Account")+SUMIFS('1UK1BK'!$H$6:$H$2989,'1UK1BK'!$E$6:$E$2989,"&gt;="&amp;J7,'1UK1BK'!$E$6:$E$2989,"&lt;="&amp;EOMONTH(J7,0),'1UK1BK'!$F$6:$F$2989,"Closed Account")</f>
        <v>#REF!</v>
      </c>
      <c r="K46" s="2" t="e">
        <f>SUMIFS('CEI565'!$H$6:$H$2994,'CEI565'!$E$6:$E$2994,"&gt;="&amp;K7,'CEI565'!$E$6:$E$2994,"&lt;="&amp;EOMONTH(K7,0),'CEI565'!$F$6:$F$2994,"Closed Account")+SUMIFS('1SM3VL'!$H$6:$H$2989,'1SM3VL'!$E$6:$E$2989,"&gt;="&amp;K7,'1SM3VL'!$E$6:$E$2989,"&lt;="&amp;EOMONTH(K7,0),'1SM3VL'!$F$6:$F$2989,"Closed Aaccount")+SUMIFS('1QF4SM'!$H$6:$H$2989,'1QF4SM'!$E$6:$E$2989,"&gt;="&amp;K7,'1QF4SM'!$E$6:$E$2989,"&lt;="&amp;EOMONTH(K7,0),'1QF4SM'!$F$6:$F$2989,"Closed Account")+SUMIFS('1UV5KI'!$H$6:$H$2988,'1UV5KI'!$E$6:$E$2988,"&gt;="&amp;K7,'1UV5KI'!$E$6:$E$2988,"&lt;="&amp;EOMONTH(K7,0),'1UV5KI'!$F$6:$F$2988,"Closed Account")+SUMIFS(#REF!,#REF!,"&gt;="&amp;K7,#REF!,"&lt;="&amp;EOMONTH(K7,0),#REF!,"Closed Account")+SUMIFS('1UL9RY'!$H$6:$H$2989,'1UL9RY'!$E$6:$E$2989,"&gt;="&amp;K7,'1UL9RY'!$E$6:$E$2989,"&lt;="&amp;EOMONTH(K7,0),'1UL9RY'!$F$6:$F$2989,"Closed Account")+SUMIFS('1OZ7GT'!$H$6:$H$2989,'1OZ7GT'!$E$6:$E$2989,"&gt;="&amp;K7,'1OZ7GT'!$E$6:$E$2989,"&lt;="&amp;EOMONTH(K7,0),'1OZ7GT'!$F$6:$F$2989,"Closed Account")+SUMIFS('1CN8DD'!$H$6:$H$2989,'1CN8DD'!$E$6:$E$2989,"&gt;="&amp;K7,'1CN8DD'!$E$6:$E$2989,"&lt;="&amp;EOMONTH(K7,0),'1CN8DD'!$F$6:$F$2989,"Closed Account")+SUMIFS('1UT9BR'!$H$6:$H$2989,'1UT9BR'!$E$6:$E$2989,"&gt;="&amp;K7,'1UT9BR'!$E$6:$E$2989,"&lt;="&amp;EOMONTH(K7,0),'1UT9BR'!$F$6:$F$2989,"Closed Account")+SUMIFS('1MK4UR'!$H$6:$H$2989,'1MK4UR'!$E$6:$E$2989,"&gt;="&amp;K7,'1MK4UR'!$E$6:$E$2989,"&lt;="&amp;EOMONTH(K7,0),'1MK4UR'!$F$6:$F$2989,"Closed Account")+SUMIFS(#REF!,#REF!,"&gt;="&amp;K7,#REF!,"&lt;="&amp;EOMONTH(K7,0),#REF!,"Closed Account")+SUMIFS('1JI2UE'!$H$6:$H$2989,'1JI2UE'!$E$6:$E$2989,"&gt;="&amp;K7,'1JI2UE'!$E$6:$E$2989,"&lt;="&amp;EOMONTH(K7,0),'1JI2UE'!$F$6:$F$2989,"Closed Account")+SUMIFS(#REF!,#REF!,"&gt;="&amp;K7,#REF!,"&lt;="&amp;EOMONTH(K7,0),#REF!,"Closed Account")+SUMIFS('1SI9BW'!$H$6:$H$2989,'1SI9BW'!$E$6:$E$2989,"&gt;="&amp;K7,'1SI9BW'!$E$6:$E$2989,"&lt;="&amp;EOMONTH(K7,0),'1SI9BW'!$F$6:$F$2989,"Closed Account")+SUMIFS(Suzuki!$H$6:$H$2989,Suzuki!$E$6:$E$2989,"&gt;="&amp;K7,Suzuki!$E$6:$E$2989,"&lt;="&amp;EOMONTH(K7,0),Suzuki!$F$6:$F$2989,"Closed Account")+SUMIFS('1SK3DD'!$H$6:$H$2989,'1SK3DD'!$E$6:$E$2989,"&gt;="&amp;K7,'1SK3DD'!$E$6:$E$2989,"&lt;="&amp;EOMONTH(K7,0),'1SK3DD'!$F$6:$F$2989,"Closed Account")+SUMIFS('1SX5TQ'!$H$6:$H$2989,'1SX5TQ'!$E$6:$E$2989,"&gt;="&amp;K7,'1SX5TQ'!$E$6:$E$2989,"&lt;="&amp;EOMONTH(K7,0),'1SX5TQ'!$F$6:$F$2989,"Closed Account")+SUMIFS('BMM465'!$H$6:$H$2989,'BMM465'!$E$6:$E$2989,"&gt;="&amp;K7,'BMM465'!$E$6:$E$2989,"&lt;="&amp;EOMONTH(K7,0),'BMM465'!$F$6:$F$2989,"Closed Account")+SUMIFS('1CF1ZO'!$H$6:$H$2989,'1CF1ZO'!$E$6:$E$2989,"&gt;="&amp;K7,'1CF1ZO'!$E$6:$E$2989,"&lt;="&amp;EOMONTH(K7,0),'1CF1ZO'!$F$6:$F$2989,"Closed Account")+SUMIFS('1UK1BK'!$H$6:$H$2989,'1UK1BK'!$E$6:$E$2989,"&gt;="&amp;K7,'1UK1BK'!$E$6:$E$2989,"&lt;="&amp;EOMONTH(K7,0),'1UK1BK'!$F$6:$F$2989,"Closed Account")</f>
        <v>#REF!</v>
      </c>
      <c r="L46" s="2" t="e">
        <f>SUMIFS('CEI565'!$H$6:$H$2994,'CEI565'!$E$6:$E$2994,"&gt;="&amp;L7,'CEI565'!$E$6:$E$2994,"&lt;="&amp;EOMONTH(L7,0),'CEI565'!$F$6:$F$2994,"Closed Account")+SUMIFS('1SM3VL'!$H$6:$H$2989,'1SM3VL'!$E$6:$E$2989,"&gt;="&amp;L7,'1SM3VL'!$E$6:$E$2989,"&lt;="&amp;EOMONTH(L7,0),'1SM3VL'!$F$6:$F$2989,"Closed Aaccount")+SUMIFS('1QF4SM'!$H$6:$H$2989,'1QF4SM'!$E$6:$E$2989,"&gt;="&amp;L7,'1QF4SM'!$E$6:$E$2989,"&lt;="&amp;EOMONTH(L7,0),'1QF4SM'!$F$6:$F$2989,"Closed Account")+SUMIFS('1UV5KI'!$H$6:$H$2988,'1UV5KI'!$E$6:$E$2988,"&gt;="&amp;L7,'1UV5KI'!$E$6:$E$2988,"&lt;="&amp;EOMONTH(L7,0),'1UV5KI'!$F$6:$F$2988,"Closed Account")+SUMIFS(#REF!,#REF!,"&gt;="&amp;L7,#REF!,"&lt;="&amp;EOMONTH(L7,0),#REF!,"Closed Account")+SUMIFS('1UL9RY'!$H$6:$H$2989,'1UL9RY'!$E$6:$E$2989,"&gt;="&amp;L7,'1UL9RY'!$E$6:$E$2989,"&lt;="&amp;EOMONTH(L7,0),'1UL9RY'!$F$6:$F$2989,"Closed Account")+SUMIFS('1OZ7GT'!$H$6:$H$2989,'1OZ7GT'!$E$6:$E$2989,"&gt;="&amp;L7,'1OZ7GT'!$E$6:$E$2989,"&lt;="&amp;EOMONTH(L7,0),'1OZ7GT'!$F$6:$F$2989,"Closed Account")+SUMIFS('1CN8DD'!$H$6:$H$2989,'1CN8DD'!$E$6:$E$2989,"&gt;="&amp;L7,'1CN8DD'!$E$6:$E$2989,"&lt;="&amp;EOMONTH(L7,0),'1CN8DD'!$F$6:$F$2989,"Closed Account")+SUMIFS('1UT9BR'!$H$6:$H$2989,'1UT9BR'!$E$6:$E$2989,"&gt;="&amp;L7,'1UT9BR'!$E$6:$E$2989,"&lt;="&amp;EOMONTH(L7,0),'1UT9BR'!$F$6:$F$2989,"Closed Account")+SUMIFS('1MK4UR'!$H$6:$H$2989,'1MK4UR'!$E$6:$E$2989,"&gt;="&amp;L7,'1MK4UR'!$E$6:$E$2989,"&lt;="&amp;EOMONTH(L7,0),'1MK4UR'!$F$6:$F$2989,"Closed Account")+SUMIFS(#REF!,#REF!,"&gt;="&amp;L7,#REF!,"&lt;="&amp;EOMONTH(L7,0),#REF!,"Closed Account")+SUMIFS('1JI2UE'!$H$6:$H$2989,'1JI2UE'!$E$6:$E$2989,"&gt;="&amp;L7,'1JI2UE'!$E$6:$E$2989,"&lt;="&amp;EOMONTH(L7,0),'1JI2UE'!$F$6:$F$2989,"Closed Account")+SUMIFS(#REF!,#REF!,"&gt;="&amp;L7,#REF!,"&lt;="&amp;EOMONTH(L7,0),#REF!,"Closed Account")+SUMIFS('1SI9BW'!$H$6:$H$2989,'1SI9BW'!$E$6:$E$2989,"&gt;="&amp;L7,'1SI9BW'!$E$6:$E$2989,"&lt;="&amp;EOMONTH(L7,0),'1SI9BW'!$F$6:$F$2989,"Closed Account")+SUMIFS(Suzuki!$H$6:$H$2989,Suzuki!$E$6:$E$2989,"&gt;="&amp;L7,Suzuki!$E$6:$E$2989,"&lt;="&amp;EOMONTH(L7,0),Suzuki!$F$6:$F$2989,"Closed Account")+SUMIFS('1SK3DD'!$H$6:$H$2989,'1SK3DD'!$E$6:$E$2989,"&gt;="&amp;L7,'1SK3DD'!$E$6:$E$2989,"&lt;="&amp;EOMONTH(L7,0),'1SK3DD'!$F$6:$F$2989,"Closed Account")+SUMIFS('1SX5TQ'!$H$6:$H$2989,'1SX5TQ'!$E$6:$E$2989,"&gt;="&amp;L7,'1SX5TQ'!$E$6:$E$2989,"&lt;="&amp;EOMONTH(L7,0),'1SX5TQ'!$F$6:$F$2989,"Closed Account")+SUMIFS('BMM465'!$H$6:$H$2989,'BMM465'!$E$6:$E$2989,"&gt;="&amp;L7,'BMM465'!$E$6:$E$2989,"&lt;="&amp;EOMONTH(L7,0),'BMM465'!$F$6:$F$2989,"Closed Account")+SUMIFS('1CF1ZO'!$H$6:$H$2989,'1CF1ZO'!$E$6:$E$2989,"&gt;="&amp;L7,'1CF1ZO'!$E$6:$E$2989,"&lt;="&amp;EOMONTH(L7,0),'1CF1ZO'!$F$6:$F$2989,"Closed Account")+SUMIFS('1UK1BK'!$H$6:$H$2989,'1UK1BK'!$E$6:$E$2989,"&gt;="&amp;L7,'1UK1BK'!$E$6:$E$2989,"&lt;="&amp;EOMONTH(L7,0),'1UK1BK'!$F$6:$F$2989,"Closed Account")</f>
        <v>#REF!</v>
      </c>
      <c r="M46" s="2" t="e">
        <f>SUMIFS('CEI565'!$H$6:$H$2994,'CEI565'!$E$6:$E$2994,"&gt;="&amp;M7,'CEI565'!$E$6:$E$2994,"&lt;="&amp;EOMONTH(M7,0),'CEI565'!$F$6:$F$2994,"Closed Account")+SUMIFS('1SM3VL'!$H$6:$H$2989,'1SM3VL'!$E$6:$E$2989,"&gt;="&amp;M7,'1SM3VL'!$E$6:$E$2989,"&lt;="&amp;EOMONTH(M7,0),'1SM3VL'!$F$6:$F$2989,"Closed Aaccount")+SUMIFS('1QF4SM'!$H$6:$H$2989,'1QF4SM'!$E$6:$E$2989,"&gt;="&amp;M7,'1QF4SM'!$E$6:$E$2989,"&lt;="&amp;EOMONTH(M7,0),'1QF4SM'!$F$6:$F$2989,"Closed Account")+SUMIFS('1UV5KI'!$H$6:$H$2988,'1UV5KI'!$E$6:$E$2988,"&gt;="&amp;M7,'1UV5KI'!$E$6:$E$2988,"&lt;="&amp;EOMONTH(M7,0),'1UV5KI'!$F$6:$F$2988,"Closed Account")+SUMIFS(#REF!,#REF!,"&gt;="&amp;M7,#REF!,"&lt;="&amp;EOMONTH(M7,0),#REF!,"Closed Account")+SUMIFS('1UL9RY'!$H$6:$H$2989,'1UL9RY'!$E$6:$E$2989,"&gt;="&amp;M7,'1UL9RY'!$E$6:$E$2989,"&lt;="&amp;EOMONTH(M7,0),'1UL9RY'!$F$6:$F$2989,"Closed Account")+SUMIFS('1OZ7GT'!$H$6:$H$2989,'1OZ7GT'!$E$6:$E$2989,"&gt;="&amp;M7,'1OZ7GT'!$E$6:$E$2989,"&lt;="&amp;EOMONTH(M7,0),'1OZ7GT'!$F$6:$F$2989,"Closed Account")+SUMIFS('1CN8DD'!$H$6:$H$2989,'1CN8DD'!$E$6:$E$2989,"&gt;="&amp;M7,'1CN8DD'!$E$6:$E$2989,"&lt;="&amp;EOMONTH(M7,0),'1CN8DD'!$F$6:$F$2989,"Closed Account")+SUMIFS('1UT9BR'!$H$6:$H$2989,'1UT9BR'!$E$6:$E$2989,"&gt;="&amp;M7,'1UT9BR'!$E$6:$E$2989,"&lt;="&amp;EOMONTH(M7,0),'1UT9BR'!$F$6:$F$2989,"Closed Account")+SUMIFS('1MK4UR'!$H$6:$H$2989,'1MK4UR'!$E$6:$E$2989,"&gt;="&amp;M7,'1MK4UR'!$E$6:$E$2989,"&lt;="&amp;EOMONTH(M7,0),'1MK4UR'!$F$6:$F$2989,"Closed Account")+SUMIFS(#REF!,#REF!,"&gt;="&amp;M7,#REF!,"&lt;="&amp;EOMONTH(M7,0),#REF!,"Closed Account")+SUMIFS('1JI2UE'!$H$6:$H$2989,'1JI2UE'!$E$6:$E$2989,"&gt;="&amp;M7,'1JI2UE'!$E$6:$E$2989,"&lt;="&amp;EOMONTH(M7,0),'1JI2UE'!$F$6:$F$2989,"Closed Account")+SUMIFS(#REF!,#REF!,"&gt;="&amp;M7,#REF!,"&lt;="&amp;EOMONTH(M7,0),#REF!,"Closed Account")+SUMIFS('1SI9BW'!$H$6:$H$2989,'1SI9BW'!$E$6:$E$2989,"&gt;="&amp;M7,'1SI9BW'!$E$6:$E$2989,"&lt;="&amp;EOMONTH(M7,0),'1SI9BW'!$F$6:$F$2989,"Closed Account")+SUMIFS(Suzuki!$H$6:$H$2989,Suzuki!$E$6:$E$2989,"&gt;="&amp;M7,Suzuki!$E$6:$E$2989,"&lt;="&amp;EOMONTH(M7,0),Suzuki!$F$6:$F$2989,"Closed Account")+SUMIFS('1SK3DD'!$H$6:$H$2989,'1SK3DD'!$E$6:$E$2989,"&gt;="&amp;M7,'1SK3DD'!$E$6:$E$2989,"&lt;="&amp;EOMONTH(M7,0),'1SK3DD'!$F$6:$F$2989,"Closed Account")+SUMIFS('1SX5TQ'!$H$6:$H$2989,'1SX5TQ'!$E$6:$E$2989,"&gt;="&amp;M7,'1SX5TQ'!$E$6:$E$2989,"&lt;="&amp;EOMONTH(M7,0),'1SX5TQ'!$F$6:$F$2989,"Closed Account")+SUMIFS('BMM465'!$H$6:$H$2989,'BMM465'!$E$6:$E$2989,"&gt;="&amp;M7,'BMM465'!$E$6:$E$2989,"&lt;="&amp;EOMONTH(M7,0),'BMM465'!$F$6:$F$2989,"Closed Account")+SUMIFS('1CF1ZO'!$H$6:$H$2989,'1CF1ZO'!$E$6:$E$2989,"&gt;="&amp;M7,'1CF1ZO'!$E$6:$E$2989,"&lt;="&amp;EOMONTH(M7,0),'1CF1ZO'!$F$6:$F$2989,"Closed Account")+SUMIFS('1UK1BK'!$H$6:$H$2989,'1UK1BK'!$E$6:$E$2989,"&gt;="&amp;M7,'1UK1BK'!$E$6:$E$2989,"&lt;="&amp;EOMONTH(M7,0),'1UK1BK'!$F$6:$F$2989,"Closed Account")</f>
        <v>#REF!</v>
      </c>
      <c r="N46" s="2" t="e">
        <f>SUMIFS('CEI565'!$H$6:$H$2994,'CEI565'!$E$6:$E$2994,"&gt;="&amp;N7,'CEI565'!$E$6:$E$2994,"&lt;="&amp;EOMONTH(N7,0),'CEI565'!$F$6:$F$2994,"Closed Account")+SUMIFS('1SM3VL'!$H$6:$H$2989,'1SM3VL'!$E$6:$E$2989,"&gt;="&amp;N7,'1SM3VL'!$E$6:$E$2989,"&lt;="&amp;EOMONTH(N7,0),'1SM3VL'!$F$6:$F$2989,"Closed Aaccount")+SUMIFS('1QF4SM'!$H$6:$H$2989,'1QF4SM'!$E$6:$E$2989,"&gt;="&amp;N7,'1QF4SM'!$E$6:$E$2989,"&lt;="&amp;EOMONTH(N7,0),'1QF4SM'!$F$6:$F$2989,"Closed Account")+SUMIFS('1UV5KI'!$H$6:$H$2988,'1UV5KI'!$E$6:$E$2988,"&gt;="&amp;N7,'1UV5KI'!$E$6:$E$2988,"&lt;="&amp;EOMONTH(N7,0),'1UV5KI'!$F$6:$F$2988,"Closed Account")+SUMIFS(#REF!,#REF!,"&gt;="&amp;N7,#REF!,"&lt;="&amp;EOMONTH(N7,0),#REF!,"Closed Account")+SUMIFS('1UL9RY'!$H$6:$H$2989,'1UL9RY'!$E$6:$E$2989,"&gt;="&amp;N7,'1UL9RY'!$E$6:$E$2989,"&lt;="&amp;EOMONTH(N7,0),'1UL9RY'!$F$6:$F$2989,"Closed Account")+SUMIFS('1OZ7GT'!$H$6:$H$2989,'1OZ7GT'!$E$6:$E$2989,"&gt;="&amp;N7,'1OZ7GT'!$E$6:$E$2989,"&lt;="&amp;EOMONTH(N7,0),'1OZ7GT'!$F$6:$F$2989,"Closed Account")+SUMIFS('1CN8DD'!$H$6:$H$2989,'1CN8DD'!$E$6:$E$2989,"&gt;="&amp;N7,'1CN8DD'!$E$6:$E$2989,"&lt;="&amp;EOMONTH(N7,0),'1CN8DD'!$F$6:$F$2989,"Closed Account")+SUMIFS('1UT9BR'!$H$6:$H$2989,'1UT9BR'!$E$6:$E$2989,"&gt;="&amp;N7,'1UT9BR'!$E$6:$E$2989,"&lt;="&amp;EOMONTH(N7,0),'1UT9BR'!$F$6:$F$2989,"Closed Account")+SUMIFS('1MK4UR'!$H$6:$H$2989,'1MK4UR'!$E$6:$E$2989,"&gt;="&amp;N7,'1MK4UR'!$E$6:$E$2989,"&lt;="&amp;EOMONTH(N7,0),'1MK4UR'!$F$6:$F$2989,"Closed Account")+SUMIFS(#REF!,#REF!,"&gt;="&amp;N7,#REF!,"&lt;="&amp;EOMONTH(N7,0),#REF!,"Closed Account")+SUMIFS('1JI2UE'!$H$6:$H$2989,'1JI2UE'!$E$6:$E$2989,"&gt;="&amp;N7,'1JI2UE'!$E$6:$E$2989,"&lt;="&amp;EOMONTH(N7,0),'1JI2UE'!$F$6:$F$2989,"Closed Account")+SUMIFS(#REF!,#REF!,"&gt;="&amp;N7,#REF!,"&lt;="&amp;EOMONTH(N7,0),#REF!,"Closed Account")+SUMIFS('1SI9BW'!$H$6:$H$2989,'1SI9BW'!$E$6:$E$2989,"&gt;="&amp;N7,'1SI9BW'!$E$6:$E$2989,"&lt;="&amp;EOMONTH(N7,0),'1SI9BW'!$F$6:$F$2989,"Closed Account")+SUMIFS(Suzuki!$H$6:$H$2989,Suzuki!$E$6:$E$2989,"&gt;="&amp;N7,Suzuki!$E$6:$E$2989,"&lt;="&amp;EOMONTH(N7,0),Suzuki!$F$6:$F$2989,"Closed Account")+SUMIFS('1SK3DD'!$H$6:$H$2989,'1SK3DD'!$E$6:$E$2989,"&gt;="&amp;N7,'1SK3DD'!$E$6:$E$2989,"&lt;="&amp;EOMONTH(N7,0),'1SK3DD'!$F$6:$F$2989,"Closed Account")+SUMIFS('1SX5TQ'!$H$6:$H$2989,'1SX5TQ'!$E$6:$E$2989,"&gt;="&amp;N7,'1SX5TQ'!$E$6:$E$2989,"&lt;="&amp;EOMONTH(N7,0),'1SX5TQ'!$F$6:$F$2989,"Closed Account")+SUMIFS('BMM465'!$H$6:$H$2989,'BMM465'!$E$6:$E$2989,"&gt;="&amp;N7,'BMM465'!$E$6:$E$2989,"&lt;="&amp;EOMONTH(N7,0),'BMM465'!$F$6:$F$2989,"Closed Account")+SUMIFS('1CF1ZO'!$H$6:$H$2989,'1CF1ZO'!$E$6:$E$2989,"&gt;="&amp;N7,'1CF1ZO'!$E$6:$E$2989,"&lt;="&amp;EOMONTH(N7,0),'1CF1ZO'!$F$6:$F$2989,"Closed Account")+SUMIFS('1UK1BK'!$H$6:$H$2989,'1UK1BK'!$E$6:$E$2989,"&gt;="&amp;N7,'1UK1BK'!$E$6:$E$2989,"&lt;="&amp;EOMONTH(N7,0),'1UK1BK'!$F$6:$F$2989,"Closed Account")</f>
        <v>#REF!</v>
      </c>
      <c r="O46" s="2" t="e">
        <f>SUMIFS('CEI565'!$H$6:$H$2994,'CEI565'!$E$6:$E$2994,"&gt;="&amp;O7,'CEI565'!$E$6:$E$2994,"&lt;="&amp;EOMONTH(O7,0),'CEI565'!$F$6:$F$2994,"Closed Account")+SUMIFS('1SM3VL'!$H$6:$H$2989,'1SM3VL'!$E$6:$E$2989,"&gt;="&amp;O7,'1SM3VL'!$E$6:$E$2989,"&lt;="&amp;EOMONTH(O7,0),'1SM3VL'!$F$6:$F$2989,"Closed Aaccount")+SUMIFS('1QF4SM'!$H$6:$H$2989,'1QF4SM'!$E$6:$E$2989,"&gt;="&amp;O7,'1QF4SM'!$E$6:$E$2989,"&lt;="&amp;EOMONTH(O7,0),'1QF4SM'!$F$6:$F$2989,"Closed Account")+SUMIFS('1UV5KI'!$H$6:$H$2988,'1UV5KI'!$E$6:$E$2988,"&gt;="&amp;O7,'1UV5KI'!$E$6:$E$2988,"&lt;="&amp;EOMONTH(O7,0),'1UV5KI'!$F$6:$F$2988,"Closed Account")+SUMIFS(#REF!,#REF!,"&gt;="&amp;O7,#REF!,"&lt;="&amp;EOMONTH(O7,0),#REF!,"Closed Account")+SUMIFS('1UL9RY'!$H$6:$H$2989,'1UL9RY'!$E$6:$E$2989,"&gt;="&amp;O7,'1UL9RY'!$E$6:$E$2989,"&lt;="&amp;EOMONTH(O7,0),'1UL9RY'!$F$6:$F$2989,"Closed Account")+SUMIFS('1OZ7GT'!$H$6:$H$2989,'1OZ7GT'!$E$6:$E$2989,"&gt;="&amp;O7,'1OZ7GT'!$E$6:$E$2989,"&lt;="&amp;EOMONTH(O7,0),'1OZ7GT'!$F$6:$F$2989,"Closed Account")+SUMIFS('1CN8DD'!$H$6:$H$2989,'1CN8DD'!$E$6:$E$2989,"&gt;="&amp;O7,'1CN8DD'!$E$6:$E$2989,"&lt;="&amp;EOMONTH(O7,0),'1CN8DD'!$F$6:$F$2989,"Closed Account")+SUMIFS('1UT9BR'!$H$6:$H$2989,'1UT9BR'!$E$6:$E$2989,"&gt;="&amp;O7,'1UT9BR'!$E$6:$E$2989,"&lt;="&amp;EOMONTH(O7,0),'1UT9BR'!$F$6:$F$2989,"Closed Account")+SUMIFS('1MK4UR'!$H$6:$H$2989,'1MK4UR'!$E$6:$E$2989,"&gt;="&amp;O7,'1MK4UR'!$E$6:$E$2989,"&lt;="&amp;EOMONTH(O7,0),'1MK4UR'!$F$6:$F$2989,"Closed Account")+SUMIFS(#REF!,#REF!,"&gt;="&amp;O7,#REF!,"&lt;="&amp;EOMONTH(O7,0),#REF!,"Closed Account")+SUMIFS('1JI2UE'!$H$6:$H$2989,'1JI2UE'!$E$6:$E$2989,"&gt;="&amp;O7,'1JI2UE'!$E$6:$E$2989,"&lt;="&amp;EOMONTH(O7,0),'1JI2UE'!$F$6:$F$2989,"Closed Account")+SUMIFS(#REF!,#REF!,"&gt;="&amp;O7,#REF!,"&lt;="&amp;EOMONTH(O7,0),#REF!,"Closed Account")+SUMIFS('1SI9BW'!$H$6:$H$2989,'1SI9BW'!$E$6:$E$2989,"&gt;="&amp;O7,'1SI9BW'!$E$6:$E$2989,"&lt;="&amp;EOMONTH(O7,0),'1SI9BW'!$F$6:$F$2989,"Closed Account")+SUMIFS(Suzuki!$H$6:$H$2989,Suzuki!$E$6:$E$2989,"&gt;="&amp;O7,Suzuki!$E$6:$E$2989,"&lt;="&amp;EOMONTH(O7,0),Suzuki!$F$6:$F$2989,"Closed Account")+SUMIFS('1SK3DD'!$H$6:$H$2989,'1SK3DD'!$E$6:$E$2989,"&gt;="&amp;O7,'1SK3DD'!$E$6:$E$2989,"&lt;="&amp;EOMONTH(O7,0),'1SK3DD'!$F$6:$F$2989,"Closed Account")+SUMIFS('1SX5TQ'!$H$6:$H$2989,'1SX5TQ'!$E$6:$E$2989,"&gt;="&amp;O7,'1SX5TQ'!$E$6:$E$2989,"&lt;="&amp;EOMONTH(O7,0),'1SX5TQ'!$F$6:$F$2989,"Closed Account")+SUMIFS('BMM465'!$H$6:$H$2989,'BMM465'!$E$6:$E$2989,"&gt;="&amp;O7,'BMM465'!$E$6:$E$2989,"&lt;="&amp;EOMONTH(O7,0),'BMM465'!$F$6:$F$2989,"Closed Account")+SUMIFS('1CF1ZO'!$H$6:$H$2989,'1CF1ZO'!$E$6:$E$2989,"&gt;="&amp;O7,'1CF1ZO'!$E$6:$E$2989,"&lt;="&amp;EOMONTH(O7,0),'1CF1ZO'!$F$6:$F$2989,"Closed Account")+SUMIFS('1UK1BK'!$H$6:$H$2989,'1UK1BK'!$E$6:$E$2989,"&gt;="&amp;O7,'1UK1BK'!$E$6:$E$2989,"&lt;="&amp;EOMONTH(O7,0),'1UK1BK'!$F$6:$F$2989,"Closed Account")</f>
        <v>#REF!</v>
      </c>
      <c r="P46" s="2" t="e">
        <f>SUMIFS('CEI565'!$H$6:$H$2994,'CEI565'!$E$6:$E$2994,"&gt;="&amp;P7,'CEI565'!$E$6:$E$2994,"&lt;="&amp;EOMONTH(P7,0),'CEI565'!$F$6:$F$2994,"Closed Account")+SUMIFS('1SM3VL'!$H$6:$H$2989,'1SM3VL'!$E$6:$E$2989,"&gt;="&amp;P7,'1SM3VL'!$E$6:$E$2989,"&lt;="&amp;EOMONTH(P7,0),'1SM3VL'!$F$6:$F$2989,"Closed Aaccount")+SUMIFS('1QF4SM'!$H$6:$H$2989,'1QF4SM'!$E$6:$E$2989,"&gt;="&amp;P7,'1QF4SM'!$E$6:$E$2989,"&lt;="&amp;EOMONTH(P7,0),'1QF4SM'!$F$6:$F$2989,"Closed Account")+SUMIFS('1UV5KI'!$H$6:$H$2988,'1UV5KI'!$E$6:$E$2988,"&gt;="&amp;P7,'1UV5KI'!$E$6:$E$2988,"&lt;="&amp;EOMONTH(P7,0),'1UV5KI'!$F$6:$F$2988,"Closed Account")+SUMIFS(#REF!,#REF!,"&gt;="&amp;P7,#REF!,"&lt;="&amp;EOMONTH(P7,0),#REF!,"Closed Account")+SUMIFS('1UL9RY'!$H$6:$H$2989,'1UL9RY'!$E$6:$E$2989,"&gt;="&amp;P7,'1UL9RY'!$E$6:$E$2989,"&lt;="&amp;EOMONTH(P7,0),'1UL9RY'!$F$6:$F$2989,"Closed Account")+SUMIFS('1OZ7GT'!$H$6:$H$2989,'1OZ7GT'!$E$6:$E$2989,"&gt;="&amp;P7,'1OZ7GT'!$E$6:$E$2989,"&lt;="&amp;EOMONTH(P7,0),'1OZ7GT'!$F$6:$F$2989,"Closed Account")+SUMIFS('1CN8DD'!$H$6:$H$2989,'1CN8DD'!$E$6:$E$2989,"&gt;="&amp;P7,'1CN8DD'!$E$6:$E$2989,"&lt;="&amp;EOMONTH(P7,0),'1CN8DD'!$F$6:$F$2989,"Closed Account")+SUMIFS('1UT9BR'!$H$6:$H$2989,'1UT9BR'!$E$6:$E$2989,"&gt;="&amp;P7,'1UT9BR'!$E$6:$E$2989,"&lt;="&amp;EOMONTH(P7,0),'1UT9BR'!$F$6:$F$2989,"Closed Account")+SUMIFS('1MK4UR'!$H$6:$H$2989,'1MK4UR'!$E$6:$E$2989,"&gt;="&amp;P7,'1MK4UR'!$E$6:$E$2989,"&lt;="&amp;EOMONTH(P7,0),'1MK4UR'!$F$6:$F$2989,"Closed Account")+SUMIFS(#REF!,#REF!,"&gt;="&amp;P7,#REF!,"&lt;="&amp;EOMONTH(P7,0),#REF!,"Closed Account")+SUMIFS('1JI2UE'!$H$6:$H$2989,'1JI2UE'!$E$6:$E$2989,"&gt;="&amp;P7,'1JI2UE'!$E$6:$E$2989,"&lt;="&amp;EOMONTH(P7,0),'1JI2UE'!$F$6:$F$2989,"Closed Account")+SUMIFS(#REF!,#REF!,"&gt;="&amp;P7,#REF!,"&lt;="&amp;EOMONTH(P7,0),#REF!,"Closed Account")+SUMIFS('1SI9BW'!$H$6:$H$2989,'1SI9BW'!$E$6:$E$2989,"&gt;="&amp;P7,'1SI9BW'!$E$6:$E$2989,"&lt;="&amp;EOMONTH(P7,0),'1SI9BW'!$F$6:$F$2989,"Closed Account")+SUMIFS(Suzuki!$H$6:$H$2989,Suzuki!$E$6:$E$2989,"&gt;="&amp;P7,Suzuki!$E$6:$E$2989,"&lt;="&amp;EOMONTH(P7,0),Suzuki!$F$6:$F$2989,"Closed Account")+SUMIFS('1SK3DD'!$H$6:$H$2989,'1SK3DD'!$E$6:$E$2989,"&gt;="&amp;P7,'1SK3DD'!$E$6:$E$2989,"&lt;="&amp;EOMONTH(P7,0),'1SK3DD'!$F$6:$F$2989,"Closed Account")+SUMIFS('1SX5TQ'!$H$6:$H$2989,'1SX5TQ'!$E$6:$E$2989,"&gt;="&amp;P7,'1SX5TQ'!$E$6:$E$2989,"&lt;="&amp;EOMONTH(P7,0),'1SX5TQ'!$F$6:$F$2989,"Closed Account")+SUMIFS('BMM465'!$H$6:$H$2989,'BMM465'!$E$6:$E$2989,"&gt;="&amp;P7,'BMM465'!$E$6:$E$2989,"&lt;="&amp;EOMONTH(P7,0),'BMM465'!$F$6:$F$2989,"Closed Account")+SUMIFS('1CF1ZO'!$H$6:$H$2989,'1CF1ZO'!$E$6:$E$2989,"&gt;="&amp;P7,'1CF1ZO'!$E$6:$E$2989,"&lt;="&amp;EOMONTH(P7,0),'1CF1ZO'!$F$6:$F$2989,"Closed Account")+SUMIFS('1UK1BK'!$H$6:$H$2989,'1UK1BK'!$E$6:$E$2989,"&gt;="&amp;P7,'1UK1BK'!$E$6:$E$2989,"&lt;="&amp;EOMONTH(P7,0),'1UK1BK'!$F$6:$F$2989,"Closed Account")</f>
        <v>#REF!</v>
      </c>
      <c r="Q46" s="2" t="e">
        <f>SUMIFS('CEI565'!$H$6:$H$2994,'CEI565'!$E$6:$E$2994,"&gt;="&amp;Q7,'CEI565'!$E$6:$E$2994,"&lt;="&amp;EOMONTH(Q7,0),'CEI565'!$F$6:$F$2994,"Closed Account")+SUMIFS('1SM3VL'!$H$6:$H$2989,'1SM3VL'!$E$6:$E$2989,"&gt;="&amp;Q7,'1SM3VL'!$E$6:$E$2989,"&lt;="&amp;EOMONTH(Q7,0),'1SM3VL'!$F$6:$F$2989,"Closed Aaccount")+SUMIFS('1QF4SM'!$H$6:$H$2989,'1QF4SM'!$E$6:$E$2989,"&gt;="&amp;Q7,'1QF4SM'!$E$6:$E$2989,"&lt;="&amp;EOMONTH(Q7,0),'1QF4SM'!$F$6:$F$2989,"Closed Account")+SUMIFS('1UV5KI'!$H$6:$H$2988,'1UV5KI'!$E$6:$E$2988,"&gt;="&amp;Q7,'1UV5KI'!$E$6:$E$2988,"&lt;="&amp;EOMONTH(Q7,0),'1UV5KI'!$F$6:$F$2988,"Closed Account")+SUMIFS(#REF!,#REF!,"&gt;="&amp;Q7,#REF!,"&lt;="&amp;EOMONTH(Q7,0),#REF!,"Closed Account")+SUMIFS('1UL9RY'!$H$6:$H$2989,'1UL9RY'!$E$6:$E$2989,"&gt;="&amp;Q7,'1UL9RY'!$E$6:$E$2989,"&lt;="&amp;EOMONTH(Q7,0),'1UL9RY'!$F$6:$F$2989,"Closed Account")+SUMIFS('1OZ7GT'!$H$6:$H$2989,'1OZ7GT'!$E$6:$E$2989,"&gt;="&amp;Q7,'1OZ7GT'!$E$6:$E$2989,"&lt;="&amp;EOMONTH(Q7,0),'1OZ7GT'!$F$6:$F$2989,"Closed Account")+SUMIFS('1CN8DD'!$H$6:$H$2989,'1CN8DD'!$E$6:$E$2989,"&gt;="&amp;Q7,'1CN8DD'!$E$6:$E$2989,"&lt;="&amp;EOMONTH(Q7,0),'1CN8DD'!$F$6:$F$2989,"Closed Account")+SUMIFS('1UT9BR'!$H$6:$H$2989,'1UT9BR'!$E$6:$E$2989,"&gt;="&amp;Q7,'1UT9BR'!$E$6:$E$2989,"&lt;="&amp;EOMONTH(Q7,0),'1UT9BR'!$F$6:$F$2989,"Closed Account")+SUMIFS('1MK4UR'!$H$6:$H$2989,'1MK4UR'!$E$6:$E$2989,"&gt;="&amp;Q7,'1MK4UR'!$E$6:$E$2989,"&lt;="&amp;EOMONTH(Q7,0),'1MK4UR'!$F$6:$F$2989,"Closed Account")+SUMIFS(#REF!,#REF!,"&gt;="&amp;Q7,#REF!,"&lt;="&amp;EOMONTH(Q7,0),#REF!,"Closed Account")+SUMIFS('1JI2UE'!$H$6:$H$2989,'1JI2UE'!$E$6:$E$2989,"&gt;="&amp;Q7,'1JI2UE'!$E$6:$E$2989,"&lt;="&amp;EOMONTH(Q7,0),'1JI2UE'!$F$6:$F$2989,"Closed Account")+SUMIFS(#REF!,#REF!,"&gt;="&amp;Q7,#REF!,"&lt;="&amp;EOMONTH(Q7,0),#REF!,"Closed Account")+SUMIFS('1SI9BW'!$H$6:$H$2989,'1SI9BW'!$E$6:$E$2989,"&gt;="&amp;Q7,'1SI9BW'!$E$6:$E$2989,"&lt;="&amp;EOMONTH(Q7,0),'1SI9BW'!$F$6:$F$2989,"Closed Account")+SUMIFS(Suzuki!$H$6:$H$2989,Suzuki!$E$6:$E$2989,"&gt;="&amp;Q7,Suzuki!$E$6:$E$2989,"&lt;="&amp;EOMONTH(Q7,0),Suzuki!$F$6:$F$2989,"Closed Account")+SUMIFS('1SK3DD'!$H$6:$H$2989,'1SK3DD'!$E$6:$E$2989,"&gt;="&amp;Q7,'1SK3DD'!$E$6:$E$2989,"&lt;="&amp;EOMONTH(Q7,0),'1SK3DD'!$F$6:$F$2989,"Closed Account")+SUMIFS('1SX5TQ'!$H$6:$H$2989,'1SX5TQ'!$E$6:$E$2989,"&gt;="&amp;Q7,'1SX5TQ'!$E$6:$E$2989,"&lt;="&amp;EOMONTH(Q7,0),'1SX5TQ'!$F$6:$F$2989,"Closed Account")+SUMIFS('BMM465'!$H$6:$H$2989,'BMM465'!$E$6:$E$2989,"&gt;="&amp;Q7,'BMM465'!$E$6:$E$2989,"&lt;="&amp;EOMONTH(Q7,0),'BMM465'!$F$6:$F$2989,"Closed Account")+SUMIFS('1CF1ZO'!$H$6:$H$2989,'1CF1ZO'!$E$6:$E$2989,"&gt;="&amp;Q7,'1CF1ZO'!$E$6:$E$2989,"&lt;="&amp;EOMONTH(Q7,0),'1CF1ZO'!$F$6:$F$2989,"Closed Account")+SUMIFS('1UK1BK'!$H$6:$H$2989,'1UK1BK'!$E$6:$E$2989,"&gt;="&amp;Q7,'1UK1BK'!$E$6:$E$2989,"&lt;="&amp;EOMONTH(Q7,0),'1UK1BK'!$F$6:$F$2989,"Closed Account")</f>
        <v>#REF!</v>
      </c>
      <c r="R46" s="2" t="e">
        <f>SUMIFS('CEI565'!$H$6:$H$2994,'CEI565'!$E$6:$E$2994,"&gt;="&amp;R7,'CEI565'!$E$6:$E$2994,"&lt;="&amp;EOMONTH(R7,0),'CEI565'!$F$6:$F$2994,"Closed Account")+SUMIFS('1SM3VL'!$H$6:$H$2989,'1SM3VL'!$E$6:$E$2989,"&gt;="&amp;R7,'1SM3VL'!$E$6:$E$2989,"&lt;="&amp;EOMONTH(R7,0),'1SM3VL'!$F$6:$F$2989,"Closed Aaccount")+SUMIFS('1QF4SM'!$H$6:$H$2989,'1QF4SM'!$E$6:$E$2989,"&gt;="&amp;R7,'1QF4SM'!$E$6:$E$2989,"&lt;="&amp;EOMONTH(R7,0),'1QF4SM'!$F$6:$F$2989,"Closed Account")+SUMIFS('1UV5KI'!$H$6:$H$2988,'1UV5KI'!$E$6:$E$2988,"&gt;="&amp;R7,'1UV5KI'!$E$6:$E$2988,"&lt;="&amp;EOMONTH(R7,0),'1UV5KI'!$F$6:$F$2988,"Closed Account")+SUMIFS(#REF!,#REF!,"&gt;="&amp;R7,#REF!,"&lt;="&amp;EOMONTH(R7,0),#REF!,"Closed Account")+SUMIFS('1UL9RY'!$H$6:$H$2989,'1UL9RY'!$E$6:$E$2989,"&gt;="&amp;R7,'1UL9RY'!$E$6:$E$2989,"&lt;="&amp;EOMONTH(R7,0),'1UL9RY'!$F$6:$F$2989,"Closed Account")+SUMIFS('1OZ7GT'!$H$6:$H$2989,'1OZ7GT'!$E$6:$E$2989,"&gt;="&amp;R7,'1OZ7GT'!$E$6:$E$2989,"&lt;="&amp;EOMONTH(R7,0),'1OZ7GT'!$F$6:$F$2989,"Closed Account")+SUMIFS('1CN8DD'!$H$6:$H$2989,'1CN8DD'!$E$6:$E$2989,"&gt;="&amp;R7,'1CN8DD'!$E$6:$E$2989,"&lt;="&amp;EOMONTH(R7,0),'1CN8DD'!$F$6:$F$2989,"Closed Account")+SUMIFS('1UT9BR'!$H$6:$H$2989,'1UT9BR'!$E$6:$E$2989,"&gt;="&amp;R7,'1UT9BR'!$E$6:$E$2989,"&lt;="&amp;EOMONTH(R7,0),'1UT9BR'!$F$6:$F$2989,"Closed Account")+SUMIFS('1MK4UR'!$H$6:$H$2989,'1MK4UR'!$E$6:$E$2989,"&gt;="&amp;R7,'1MK4UR'!$E$6:$E$2989,"&lt;="&amp;EOMONTH(R7,0),'1MK4UR'!$F$6:$F$2989,"Closed Account")+SUMIFS(#REF!,#REF!,"&gt;="&amp;R7,#REF!,"&lt;="&amp;EOMONTH(R7,0),#REF!,"Closed Account")+SUMIFS('1JI2UE'!$H$6:$H$2989,'1JI2UE'!$E$6:$E$2989,"&gt;="&amp;R7,'1JI2UE'!$E$6:$E$2989,"&lt;="&amp;EOMONTH(R7,0),'1JI2UE'!$F$6:$F$2989,"Closed Account")+SUMIFS(#REF!,#REF!,"&gt;="&amp;R7,#REF!,"&lt;="&amp;EOMONTH(R7,0),#REF!,"Closed Account")+SUMIFS('1SI9BW'!$H$6:$H$2989,'1SI9BW'!$E$6:$E$2989,"&gt;="&amp;R7,'1SI9BW'!$E$6:$E$2989,"&lt;="&amp;EOMONTH(R7,0),'1SI9BW'!$F$6:$F$2989,"Closed Account")+SUMIFS(Suzuki!$H$6:$H$2989,Suzuki!$E$6:$E$2989,"&gt;="&amp;R7,Suzuki!$E$6:$E$2989,"&lt;="&amp;EOMONTH(R7,0),Suzuki!$F$6:$F$2989,"Closed Account")+SUMIFS('1SK3DD'!$H$6:$H$2989,'1SK3DD'!$E$6:$E$2989,"&gt;="&amp;R7,'1SK3DD'!$E$6:$E$2989,"&lt;="&amp;EOMONTH(R7,0),'1SK3DD'!$F$6:$F$2989,"Closed Account")+SUMIFS('1SX5TQ'!$H$6:$H$2989,'1SX5TQ'!$E$6:$E$2989,"&gt;="&amp;R7,'1SX5TQ'!$E$6:$E$2989,"&lt;="&amp;EOMONTH(R7,0),'1SX5TQ'!$F$6:$F$2989,"Closed Account")+SUMIFS('BMM465'!$H$6:$H$2989,'BMM465'!$E$6:$E$2989,"&gt;="&amp;R7,'BMM465'!$E$6:$E$2989,"&lt;="&amp;EOMONTH(R7,0),'BMM465'!$F$6:$F$2989,"Closed Account")+SUMIFS('1CF1ZO'!$H$6:$H$2989,'1CF1ZO'!$E$6:$E$2989,"&gt;="&amp;R7,'1CF1ZO'!$E$6:$E$2989,"&lt;="&amp;EOMONTH(R7,0),'1CF1ZO'!$F$6:$F$2989,"Closed Account")+SUMIFS('1UK1BK'!$H$6:$H$2989,'1UK1BK'!$E$6:$E$2989,"&gt;="&amp;R7,'1UK1BK'!$E$6:$E$2989,"&lt;="&amp;EOMONTH(R7,0),'1UK1BK'!$F$6:$F$2989,"Closed Account")</f>
        <v>#REF!</v>
      </c>
      <c r="S46" s="2" t="e">
        <f>SUMIFS('CEI565'!$H$6:$H$2994,'CEI565'!$E$6:$E$2994,"&gt;="&amp;S7,'CEI565'!$E$6:$E$2994,"&lt;="&amp;EOMONTH(S7,0),'CEI565'!$F$6:$F$2994,"Closed Account")+SUMIFS('1SM3VL'!$H$6:$H$2989,'1SM3VL'!$E$6:$E$2989,"&gt;="&amp;S7,'1SM3VL'!$E$6:$E$2989,"&lt;="&amp;EOMONTH(S7,0),'1SM3VL'!$F$6:$F$2989,"Closed Aaccount")+SUMIFS('1QF4SM'!$H$6:$H$2989,'1QF4SM'!$E$6:$E$2989,"&gt;="&amp;S7,'1QF4SM'!$E$6:$E$2989,"&lt;="&amp;EOMONTH(S7,0),'1QF4SM'!$F$6:$F$2989,"Closed Account")+SUMIFS('1UV5KI'!$H$6:$H$2988,'1UV5KI'!$E$6:$E$2988,"&gt;="&amp;S7,'1UV5KI'!$E$6:$E$2988,"&lt;="&amp;EOMONTH(S7,0),'1UV5KI'!$F$6:$F$2988,"Closed Account")+SUMIFS(#REF!,#REF!,"&gt;="&amp;S7,#REF!,"&lt;="&amp;EOMONTH(S7,0),#REF!,"Closed Account")+SUMIFS('1UL9RY'!$H$6:$H$2989,'1UL9RY'!$E$6:$E$2989,"&gt;="&amp;S7,'1UL9RY'!$E$6:$E$2989,"&lt;="&amp;EOMONTH(S7,0),'1UL9RY'!$F$6:$F$2989,"Closed Account")+SUMIFS('1OZ7GT'!$H$6:$H$2989,'1OZ7GT'!$E$6:$E$2989,"&gt;="&amp;S7,'1OZ7GT'!$E$6:$E$2989,"&lt;="&amp;EOMONTH(S7,0),'1OZ7GT'!$F$6:$F$2989,"Closed Account")+SUMIFS('1CN8DD'!$H$6:$H$2989,'1CN8DD'!$E$6:$E$2989,"&gt;="&amp;S7,'1CN8DD'!$E$6:$E$2989,"&lt;="&amp;EOMONTH(S7,0),'1CN8DD'!$F$6:$F$2989,"Closed Account")+SUMIFS('1UT9BR'!$H$6:$H$2989,'1UT9BR'!$E$6:$E$2989,"&gt;="&amp;S7,'1UT9BR'!$E$6:$E$2989,"&lt;="&amp;EOMONTH(S7,0),'1UT9BR'!$F$6:$F$2989,"Closed Account")+SUMIFS('1MK4UR'!$H$6:$H$2989,'1MK4UR'!$E$6:$E$2989,"&gt;="&amp;S7,'1MK4UR'!$E$6:$E$2989,"&lt;="&amp;EOMONTH(S7,0),'1MK4UR'!$F$6:$F$2989,"Closed Account")+SUMIFS(#REF!,#REF!,"&gt;="&amp;S7,#REF!,"&lt;="&amp;EOMONTH(S7,0),#REF!,"Closed Account")+SUMIFS('1JI2UE'!$H$6:$H$2989,'1JI2UE'!$E$6:$E$2989,"&gt;="&amp;S7,'1JI2UE'!$E$6:$E$2989,"&lt;="&amp;EOMONTH(S7,0),'1JI2UE'!$F$6:$F$2989,"Closed Account")+SUMIFS(#REF!,#REF!,"&gt;="&amp;S7,#REF!,"&lt;="&amp;EOMONTH(S7,0),#REF!,"Closed Account")+SUMIFS('1SI9BW'!$H$6:$H$2989,'1SI9BW'!$E$6:$E$2989,"&gt;="&amp;S7,'1SI9BW'!$E$6:$E$2989,"&lt;="&amp;EOMONTH(S7,0),'1SI9BW'!$F$6:$F$2989,"Closed Account")+SUMIFS(Suzuki!$H$6:$H$2989,Suzuki!$E$6:$E$2989,"&gt;="&amp;S7,Suzuki!$E$6:$E$2989,"&lt;="&amp;EOMONTH(S7,0),Suzuki!$F$6:$F$2989,"Closed Account")+SUMIFS('1SK3DD'!$H$6:$H$2989,'1SK3DD'!$E$6:$E$2989,"&gt;="&amp;S7,'1SK3DD'!$E$6:$E$2989,"&lt;="&amp;EOMONTH(S7,0),'1SK3DD'!$F$6:$F$2989,"Closed Account")+SUMIFS('1SX5TQ'!$H$6:$H$2989,'1SX5TQ'!$E$6:$E$2989,"&gt;="&amp;S7,'1SX5TQ'!$E$6:$E$2989,"&lt;="&amp;EOMONTH(S7,0),'1SX5TQ'!$F$6:$F$2989,"Closed Account")+SUMIFS('BMM465'!$H$6:$H$2989,'BMM465'!$E$6:$E$2989,"&gt;="&amp;S7,'BMM465'!$E$6:$E$2989,"&lt;="&amp;EOMONTH(S7,0),'BMM465'!$F$6:$F$2989,"Closed Account")+SUMIFS('1CF1ZO'!$H$6:$H$2989,'1CF1ZO'!$E$6:$E$2989,"&gt;="&amp;S7,'1CF1ZO'!$E$6:$E$2989,"&lt;="&amp;EOMONTH(S7,0),'1CF1ZO'!$F$6:$F$2989,"Closed Account")+SUMIFS('1UK1BK'!$H$6:$H$2989,'1UK1BK'!$E$6:$E$2989,"&gt;="&amp;S7,'1UK1BK'!$E$6:$E$2989,"&lt;="&amp;EOMONTH(S7,0),'1UK1BK'!$F$6:$F$2989,"Closed Account")</f>
        <v>#REF!</v>
      </c>
      <c r="T46" s="2" t="e">
        <f>SUMIFS('CEI565'!$H$6:$H$2994,'CEI565'!$E$6:$E$2994,"&gt;="&amp;T7,'CEI565'!$E$6:$E$2994,"&lt;="&amp;EOMONTH(T7,0),'CEI565'!$F$6:$F$2994,"Closed Account")+SUMIFS('1SM3VL'!$H$6:$H$2989,'1SM3VL'!$E$6:$E$2989,"&gt;="&amp;T7,'1SM3VL'!$E$6:$E$2989,"&lt;="&amp;EOMONTH(T7,0),'1SM3VL'!$F$6:$F$2989,"Closed Aaccount")+SUMIFS('1QF4SM'!$H$6:$H$2989,'1QF4SM'!$E$6:$E$2989,"&gt;="&amp;T7,'1QF4SM'!$E$6:$E$2989,"&lt;="&amp;EOMONTH(T7,0),'1QF4SM'!$F$6:$F$2989,"Closed Account")+SUMIFS('1UV5KI'!$H$6:$H$2988,'1UV5KI'!$E$6:$E$2988,"&gt;="&amp;T7,'1UV5KI'!$E$6:$E$2988,"&lt;="&amp;EOMONTH(T7,0),'1UV5KI'!$F$6:$F$2988,"Closed Account")+SUMIFS(#REF!,#REF!,"&gt;="&amp;T7,#REF!,"&lt;="&amp;EOMONTH(T7,0),#REF!,"Closed Account")+SUMIFS('1UL9RY'!$H$6:$H$2989,'1UL9RY'!$E$6:$E$2989,"&gt;="&amp;T7,'1UL9RY'!$E$6:$E$2989,"&lt;="&amp;EOMONTH(T7,0),'1UL9RY'!$F$6:$F$2989,"Closed Account")+SUMIFS('1OZ7GT'!$H$6:$H$2989,'1OZ7GT'!$E$6:$E$2989,"&gt;="&amp;T7,'1OZ7GT'!$E$6:$E$2989,"&lt;="&amp;EOMONTH(T7,0),'1OZ7GT'!$F$6:$F$2989,"Closed Account")+SUMIFS('1CN8DD'!$H$6:$H$2989,'1CN8DD'!$E$6:$E$2989,"&gt;="&amp;T7,'1CN8DD'!$E$6:$E$2989,"&lt;="&amp;EOMONTH(T7,0),'1CN8DD'!$F$6:$F$2989,"Closed Account")+SUMIFS('1UT9BR'!$H$6:$H$2989,'1UT9BR'!$E$6:$E$2989,"&gt;="&amp;T7,'1UT9BR'!$E$6:$E$2989,"&lt;="&amp;EOMONTH(T7,0),'1UT9BR'!$F$6:$F$2989,"Closed Account")+SUMIFS('1MK4UR'!$H$6:$H$2989,'1MK4UR'!$E$6:$E$2989,"&gt;="&amp;T7,'1MK4UR'!$E$6:$E$2989,"&lt;="&amp;EOMONTH(T7,0),'1MK4UR'!$F$6:$F$2989,"Closed Account")+SUMIFS(#REF!,#REF!,"&gt;="&amp;T7,#REF!,"&lt;="&amp;EOMONTH(T7,0),#REF!,"Closed Account")+SUMIFS('1JI2UE'!$H$6:$H$2989,'1JI2UE'!$E$6:$E$2989,"&gt;="&amp;T7,'1JI2UE'!$E$6:$E$2989,"&lt;="&amp;EOMONTH(T7,0),'1JI2UE'!$F$6:$F$2989,"Closed Account")+SUMIFS(#REF!,#REF!,"&gt;="&amp;T7,#REF!,"&lt;="&amp;EOMONTH(T7,0),#REF!,"Closed Account")+SUMIFS('1SI9BW'!$H$6:$H$2989,'1SI9BW'!$E$6:$E$2989,"&gt;="&amp;T7,'1SI9BW'!$E$6:$E$2989,"&lt;="&amp;EOMONTH(T7,0),'1SI9BW'!$F$6:$F$2989,"Closed Account")+SUMIFS(Suzuki!$H$6:$H$2989,Suzuki!$E$6:$E$2989,"&gt;="&amp;T7,Suzuki!$E$6:$E$2989,"&lt;="&amp;EOMONTH(T7,0),Suzuki!$F$6:$F$2989,"Closed Account")+SUMIFS('1SK3DD'!$H$6:$H$2989,'1SK3DD'!$E$6:$E$2989,"&gt;="&amp;T7,'1SK3DD'!$E$6:$E$2989,"&lt;="&amp;EOMONTH(T7,0),'1SK3DD'!$F$6:$F$2989,"Closed Account")+SUMIFS('1SX5TQ'!$H$6:$H$2989,'1SX5TQ'!$E$6:$E$2989,"&gt;="&amp;T7,'1SX5TQ'!$E$6:$E$2989,"&lt;="&amp;EOMONTH(T7,0),'1SX5TQ'!$F$6:$F$2989,"Closed Account")+SUMIFS('BMM465'!$H$6:$H$2989,'BMM465'!$E$6:$E$2989,"&gt;="&amp;T7,'BMM465'!$E$6:$E$2989,"&lt;="&amp;EOMONTH(T7,0),'BMM465'!$F$6:$F$2989,"Closed Account")+SUMIFS('1CF1ZO'!$H$6:$H$2989,'1CF1ZO'!$E$6:$E$2989,"&gt;="&amp;T7,'1CF1ZO'!$E$6:$E$2989,"&lt;="&amp;EOMONTH(T7,0),'1CF1ZO'!$F$6:$F$2989,"Closed Account")+SUMIFS('1UK1BK'!$H$6:$H$2989,'1UK1BK'!$E$6:$E$2989,"&gt;="&amp;T7,'1UK1BK'!$E$6:$E$2989,"&lt;="&amp;EOMONTH(T7,0),'1UK1BK'!$F$6:$F$2989,"Closed Account")</f>
        <v>#REF!</v>
      </c>
      <c r="U46" s="2" t="e">
        <f>SUMIFS('CEI565'!$H$6:$H$2994,'CEI565'!$E$6:$E$2994,"&gt;="&amp;U7,'CEI565'!$E$6:$E$2994,"&lt;="&amp;EOMONTH(U7,0),'CEI565'!$F$6:$F$2994,"Closed Account")+SUMIFS('1SM3VL'!$H$6:$H$2989,'1SM3VL'!$E$6:$E$2989,"&gt;="&amp;U7,'1SM3VL'!$E$6:$E$2989,"&lt;="&amp;EOMONTH(U7,0),'1SM3VL'!$F$6:$F$2989,"Closed Aaccount")+SUMIFS('1QF4SM'!$H$6:$H$2989,'1QF4SM'!$E$6:$E$2989,"&gt;="&amp;U7,'1QF4SM'!$E$6:$E$2989,"&lt;="&amp;EOMONTH(U7,0),'1QF4SM'!$F$6:$F$2989,"Closed Account")+SUMIFS('1UV5KI'!$H$6:$H$2988,'1UV5KI'!$E$6:$E$2988,"&gt;="&amp;U7,'1UV5KI'!$E$6:$E$2988,"&lt;="&amp;EOMONTH(U7,0),'1UV5KI'!$F$6:$F$2988,"Closed Account")+SUMIFS(#REF!,#REF!,"&gt;="&amp;U7,#REF!,"&lt;="&amp;EOMONTH(U7,0),#REF!,"Closed Account")+SUMIFS('1UL9RY'!$H$6:$H$2989,'1UL9RY'!$E$6:$E$2989,"&gt;="&amp;U7,'1UL9RY'!$E$6:$E$2989,"&lt;="&amp;EOMONTH(U7,0),'1UL9RY'!$F$6:$F$2989,"Closed Account")+SUMIFS('1OZ7GT'!$H$6:$H$2989,'1OZ7GT'!$E$6:$E$2989,"&gt;="&amp;U7,'1OZ7GT'!$E$6:$E$2989,"&lt;="&amp;EOMONTH(U7,0),'1OZ7GT'!$F$6:$F$2989,"Closed Account")+SUMIFS('1CN8DD'!$H$6:$H$2989,'1CN8DD'!$E$6:$E$2989,"&gt;="&amp;U7,'1CN8DD'!$E$6:$E$2989,"&lt;="&amp;EOMONTH(U7,0),'1CN8DD'!$F$6:$F$2989,"Closed Account")+SUMIFS('1UT9BR'!$H$6:$H$2989,'1UT9BR'!$E$6:$E$2989,"&gt;="&amp;U7,'1UT9BR'!$E$6:$E$2989,"&lt;="&amp;EOMONTH(U7,0),'1UT9BR'!$F$6:$F$2989,"Closed Account")+SUMIFS('1MK4UR'!$H$6:$H$2989,'1MK4UR'!$E$6:$E$2989,"&gt;="&amp;U7,'1MK4UR'!$E$6:$E$2989,"&lt;="&amp;EOMONTH(U7,0),'1MK4UR'!$F$6:$F$2989,"Closed Account")+SUMIFS(#REF!,#REF!,"&gt;="&amp;U7,#REF!,"&lt;="&amp;EOMONTH(U7,0),#REF!,"Closed Account")+SUMIFS('1JI2UE'!$H$6:$H$2989,'1JI2UE'!$E$6:$E$2989,"&gt;="&amp;U7,'1JI2UE'!$E$6:$E$2989,"&lt;="&amp;EOMONTH(U7,0),'1JI2UE'!$F$6:$F$2989,"Closed Account")+SUMIFS(#REF!,#REF!,"&gt;="&amp;U7,#REF!,"&lt;="&amp;EOMONTH(U7,0),#REF!,"Closed Account")+SUMIFS('1SI9BW'!$H$6:$H$2989,'1SI9BW'!$E$6:$E$2989,"&gt;="&amp;U7,'1SI9BW'!$E$6:$E$2989,"&lt;="&amp;EOMONTH(U7,0),'1SI9BW'!$F$6:$F$2989,"Closed Account")+SUMIFS(Suzuki!$H$6:$H$2989,Suzuki!$E$6:$E$2989,"&gt;="&amp;U7,Suzuki!$E$6:$E$2989,"&lt;="&amp;EOMONTH(U7,0),Suzuki!$F$6:$F$2989,"Closed Account")+SUMIFS('1SK3DD'!$H$6:$H$2989,'1SK3DD'!$E$6:$E$2989,"&gt;="&amp;U7,'1SK3DD'!$E$6:$E$2989,"&lt;="&amp;EOMONTH(U7,0),'1SK3DD'!$F$6:$F$2989,"Closed Account")+SUMIFS('1SX5TQ'!$H$6:$H$2989,'1SX5TQ'!$E$6:$E$2989,"&gt;="&amp;U7,'1SX5TQ'!$E$6:$E$2989,"&lt;="&amp;EOMONTH(U7,0),'1SX5TQ'!$F$6:$F$2989,"Closed Account")+SUMIFS('BMM465'!$H$6:$H$2989,'BMM465'!$E$6:$E$2989,"&gt;="&amp;U7,'BMM465'!$E$6:$E$2989,"&lt;="&amp;EOMONTH(U7,0),'BMM465'!$F$6:$F$2989,"Closed Account")+SUMIFS('1CF1ZO'!$H$6:$H$2989,'1CF1ZO'!$E$6:$E$2989,"&gt;="&amp;U7,'1CF1ZO'!$E$6:$E$2989,"&lt;="&amp;EOMONTH(U7,0),'1CF1ZO'!$F$6:$F$2989,"Closed Account")+SUMIFS('1UK1BK'!$H$6:$H$2989,'1UK1BK'!$E$6:$E$2989,"&gt;="&amp;U7,'1UK1BK'!$E$6:$E$2989,"&lt;="&amp;EOMONTH(U7,0),'1UK1BK'!$F$6:$F$2989,"Closed Account")</f>
        <v>#REF!</v>
      </c>
      <c r="V46" s="2" t="e">
        <f>SUMIFS('CEI565'!$H$6:$H$2994,'CEI565'!$E$6:$E$2994,"&gt;="&amp;V7,'CEI565'!$E$6:$E$2994,"&lt;="&amp;EOMONTH(V7,0),'CEI565'!$F$6:$F$2994,"Closed Account")+SUMIFS('1SM3VL'!$H$6:$H$2989,'1SM3VL'!$E$6:$E$2989,"&gt;="&amp;V7,'1SM3VL'!$E$6:$E$2989,"&lt;="&amp;EOMONTH(V7,0),'1SM3VL'!$F$6:$F$2989,"Closed Aaccount")+SUMIFS('1QF4SM'!$H$6:$H$2989,'1QF4SM'!$E$6:$E$2989,"&gt;="&amp;V7,'1QF4SM'!$E$6:$E$2989,"&lt;="&amp;EOMONTH(V7,0),'1QF4SM'!$F$6:$F$2989,"Closed Account")+SUMIFS('1UV5KI'!$H$6:$H$2988,'1UV5KI'!$E$6:$E$2988,"&gt;="&amp;V7,'1UV5KI'!$E$6:$E$2988,"&lt;="&amp;EOMONTH(V7,0),'1UV5KI'!$F$6:$F$2988,"Closed Account")+SUMIFS(#REF!,#REF!,"&gt;="&amp;V7,#REF!,"&lt;="&amp;EOMONTH(V7,0),#REF!,"Closed Account")+SUMIFS('1UL9RY'!$H$6:$H$2989,'1UL9RY'!$E$6:$E$2989,"&gt;="&amp;V7,'1UL9RY'!$E$6:$E$2989,"&lt;="&amp;EOMONTH(V7,0),'1UL9RY'!$F$6:$F$2989,"Closed Account")+SUMIFS('1OZ7GT'!$H$6:$H$2989,'1OZ7GT'!$E$6:$E$2989,"&gt;="&amp;V7,'1OZ7GT'!$E$6:$E$2989,"&lt;="&amp;EOMONTH(V7,0),'1OZ7GT'!$F$6:$F$2989,"Closed Account")+SUMIFS('1CN8DD'!$H$6:$H$2989,'1CN8DD'!$E$6:$E$2989,"&gt;="&amp;V7,'1CN8DD'!$E$6:$E$2989,"&lt;="&amp;EOMONTH(V7,0),'1CN8DD'!$F$6:$F$2989,"Closed Account")+SUMIFS('1UT9BR'!$H$6:$H$2989,'1UT9BR'!$E$6:$E$2989,"&gt;="&amp;V7,'1UT9BR'!$E$6:$E$2989,"&lt;="&amp;EOMONTH(V7,0),'1UT9BR'!$F$6:$F$2989,"Closed Account")+SUMIFS('1MK4UR'!$H$6:$H$2989,'1MK4UR'!$E$6:$E$2989,"&gt;="&amp;V7,'1MK4UR'!$E$6:$E$2989,"&lt;="&amp;EOMONTH(V7,0),'1MK4UR'!$F$6:$F$2989,"Closed Account")+SUMIFS(#REF!,#REF!,"&gt;="&amp;V7,#REF!,"&lt;="&amp;EOMONTH(V7,0),#REF!,"Closed Account")+SUMIFS('1JI2UE'!$H$6:$H$2989,'1JI2UE'!$E$6:$E$2989,"&gt;="&amp;V7,'1JI2UE'!$E$6:$E$2989,"&lt;="&amp;EOMONTH(V7,0),'1JI2UE'!$F$6:$F$2989,"Closed Account")+SUMIFS(#REF!,#REF!,"&gt;="&amp;V7,#REF!,"&lt;="&amp;EOMONTH(V7,0),#REF!,"Closed Account")+SUMIFS('1SI9BW'!$H$6:$H$2989,'1SI9BW'!$E$6:$E$2989,"&gt;="&amp;V7,'1SI9BW'!$E$6:$E$2989,"&lt;="&amp;EOMONTH(V7,0),'1SI9BW'!$F$6:$F$2989,"Closed Account")+SUMIFS(Suzuki!$H$6:$H$2989,Suzuki!$E$6:$E$2989,"&gt;="&amp;V7,Suzuki!$E$6:$E$2989,"&lt;="&amp;EOMONTH(V7,0),Suzuki!$F$6:$F$2989,"Closed Account")+SUMIFS('1SK3DD'!$H$6:$H$2989,'1SK3DD'!$E$6:$E$2989,"&gt;="&amp;V7,'1SK3DD'!$E$6:$E$2989,"&lt;="&amp;EOMONTH(V7,0),'1SK3DD'!$F$6:$F$2989,"Closed Account")+SUMIFS('1SX5TQ'!$H$6:$H$2989,'1SX5TQ'!$E$6:$E$2989,"&gt;="&amp;V7,'1SX5TQ'!$E$6:$E$2989,"&lt;="&amp;EOMONTH(V7,0),'1SX5TQ'!$F$6:$F$2989,"Closed Account")+SUMIFS('BMM465'!$H$6:$H$2989,'BMM465'!$E$6:$E$2989,"&gt;="&amp;V7,'BMM465'!$E$6:$E$2989,"&lt;="&amp;EOMONTH(V7,0),'BMM465'!$F$6:$F$2989,"Closed Account")+SUMIFS('1CF1ZO'!$H$6:$H$2989,'1CF1ZO'!$E$6:$E$2989,"&gt;="&amp;V7,'1CF1ZO'!$E$6:$E$2989,"&lt;="&amp;EOMONTH(V7,0),'1CF1ZO'!$F$6:$F$2989,"Closed Account")+SUMIFS('1UK1BK'!$H$6:$H$2989,'1UK1BK'!$E$6:$E$2989,"&gt;="&amp;V7,'1UK1BK'!$E$6:$E$2989,"&lt;="&amp;EOMONTH(V7,0),'1UK1BK'!$F$6:$F$2989,"Closed Account")</f>
        <v>#REF!</v>
      </c>
      <c r="W46" s="2" t="e">
        <f>SUMIFS('CEI565'!$H$6:$H$2994,'CEI565'!$E$6:$E$2994,"&gt;="&amp;W7,'CEI565'!$E$6:$E$2994,"&lt;="&amp;EOMONTH(W7,0),'CEI565'!$F$6:$F$2994,"Closed Account")+SUMIFS('1SM3VL'!$H$6:$H$2989,'1SM3VL'!$E$6:$E$2989,"&gt;="&amp;W7,'1SM3VL'!$E$6:$E$2989,"&lt;="&amp;EOMONTH(W7,0),'1SM3VL'!$F$6:$F$2989,"Closed Aaccount")+SUMIFS('1QF4SM'!$H$6:$H$2989,'1QF4SM'!$E$6:$E$2989,"&gt;="&amp;W7,'1QF4SM'!$E$6:$E$2989,"&lt;="&amp;EOMONTH(W7,0),'1QF4SM'!$F$6:$F$2989,"Closed Account")+SUMIFS('1UV5KI'!$H$6:$H$2988,'1UV5KI'!$E$6:$E$2988,"&gt;="&amp;W7,'1UV5KI'!$E$6:$E$2988,"&lt;="&amp;EOMONTH(W7,0),'1UV5KI'!$F$6:$F$2988,"Closed Account")+SUMIFS(#REF!,#REF!,"&gt;="&amp;W7,#REF!,"&lt;="&amp;EOMONTH(W7,0),#REF!,"Closed Account")+SUMIFS('1UL9RY'!$H$6:$H$2989,'1UL9RY'!$E$6:$E$2989,"&gt;="&amp;W7,'1UL9RY'!$E$6:$E$2989,"&lt;="&amp;EOMONTH(W7,0),'1UL9RY'!$F$6:$F$2989,"Closed Account")+SUMIFS('1OZ7GT'!$H$6:$H$2989,'1OZ7GT'!$E$6:$E$2989,"&gt;="&amp;W7,'1OZ7GT'!$E$6:$E$2989,"&lt;="&amp;EOMONTH(W7,0),'1OZ7GT'!$F$6:$F$2989,"Closed Account")+SUMIFS('1CN8DD'!$H$6:$H$2989,'1CN8DD'!$E$6:$E$2989,"&gt;="&amp;W7,'1CN8DD'!$E$6:$E$2989,"&lt;="&amp;EOMONTH(W7,0),'1CN8DD'!$F$6:$F$2989,"Closed Account")+SUMIFS('1UT9BR'!$H$6:$H$2989,'1UT9BR'!$E$6:$E$2989,"&gt;="&amp;W7,'1UT9BR'!$E$6:$E$2989,"&lt;="&amp;EOMONTH(W7,0),'1UT9BR'!$F$6:$F$2989,"Closed Account")+SUMIFS('1MK4UR'!$H$6:$H$2989,'1MK4UR'!$E$6:$E$2989,"&gt;="&amp;W7,'1MK4UR'!$E$6:$E$2989,"&lt;="&amp;EOMONTH(W7,0),'1MK4UR'!$F$6:$F$2989,"Closed Account")+SUMIFS(#REF!,#REF!,"&gt;="&amp;W7,#REF!,"&lt;="&amp;EOMONTH(W7,0),#REF!,"Closed Account")+SUMIFS('1JI2UE'!$H$6:$H$2989,'1JI2UE'!$E$6:$E$2989,"&gt;="&amp;W7,'1JI2UE'!$E$6:$E$2989,"&lt;="&amp;EOMONTH(W7,0),'1JI2UE'!$F$6:$F$2989,"Closed Account")+SUMIFS(#REF!,#REF!,"&gt;="&amp;W7,#REF!,"&lt;="&amp;EOMONTH(W7,0),#REF!,"Closed Account")+SUMIFS('1SI9BW'!$H$6:$H$2989,'1SI9BW'!$E$6:$E$2989,"&gt;="&amp;W7,'1SI9BW'!$E$6:$E$2989,"&lt;="&amp;EOMONTH(W7,0),'1SI9BW'!$F$6:$F$2989,"Closed Account")+SUMIFS(Suzuki!$H$6:$H$2989,Suzuki!$E$6:$E$2989,"&gt;="&amp;W7,Suzuki!$E$6:$E$2989,"&lt;="&amp;EOMONTH(W7,0),Suzuki!$F$6:$F$2989,"Closed Account")+SUMIFS('1SK3DD'!$H$6:$H$2989,'1SK3DD'!$E$6:$E$2989,"&gt;="&amp;W7,'1SK3DD'!$E$6:$E$2989,"&lt;="&amp;EOMONTH(W7,0),'1SK3DD'!$F$6:$F$2989,"Closed Account")+SUMIFS('1SX5TQ'!$H$6:$H$2989,'1SX5TQ'!$E$6:$E$2989,"&gt;="&amp;W7,'1SX5TQ'!$E$6:$E$2989,"&lt;="&amp;EOMONTH(W7,0),'1SX5TQ'!$F$6:$F$2989,"Closed Account")+SUMIFS('BMM465'!$H$6:$H$2989,'BMM465'!$E$6:$E$2989,"&gt;="&amp;W7,'BMM465'!$E$6:$E$2989,"&lt;="&amp;EOMONTH(W7,0),'BMM465'!$F$6:$F$2989,"Closed Account")+SUMIFS('1CF1ZO'!$H$6:$H$2989,'1CF1ZO'!$E$6:$E$2989,"&gt;="&amp;W7,'1CF1ZO'!$E$6:$E$2989,"&lt;="&amp;EOMONTH(W7,0),'1CF1ZO'!$F$6:$F$2989,"Closed Account")+SUMIFS('1UK1BK'!$H$6:$H$2989,'1UK1BK'!$E$6:$E$2989,"&gt;="&amp;W7,'1UK1BK'!$E$6:$E$2989,"&lt;="&amp;EOMONTH(W7,0),'1UK1BK'!$F$6:$F$2989,"Closed Account")</f>
        <v>#REF!</v>
      </c>
      <c r="X46" s="2" t="e">
        <f>SUMIFS('CEI565'!$H$6:$H$2994,'CEI565'!$E$6:$E$2994,"&gt;="&amp;X7,'CEI565'!$E$6:$E$2994,"&lt;="&amp;EOMONTH(X7,0),'CEI565'!$F$6:$F$2994,"Closed Account")+SUMIFS('1SM3VL'!$H$6:$H$2989,'1SM3VL'!$E$6:$E$2989,"&gt;="&amp;X7,'1SM3VL'!$E$6:$E$2989,"&lt;="&amp;EOMONTH(X7,0),'1SM3VL'!$F$6:$F$2989,"Closed Aaccount")+SUMIFS('1QF4SM'!$H$6:$H$2989,'1QF4SM'!$E$6:$E$2989,"&gt;="&amp;X7,'1QF4SM'!$E$6:$E$2989,"&lt;="&amp;EOMONTH(X7,0),'1QF4SM'!$F$6:$F$2989,"Closed Account")+SUMIFS('1UV5KI'!$H$6:$H$2988,'1UV5KI'!$E$6:$E$2988,"&gt;="&amp;X7,'1UV5KI'!$E$6:$E$2988,"&lt;="&amp;EOMONTH(X7,0),'1UV5KI'!$F$6:$F$2988,"Closed Account")+SUMIFS(#REF!,#REF!,"&gt;="&amp;X7,#REF!,"&lt;="&amp;EOMONTH(X7,0),#REF!,"Closed Account")+SUMIFS('1UL9RY'!$H$6:$H$2989,'1UL9RY'!$E$6:$E$2989,"&gt;="&amp;X7,'1UL9RY'!$E$6:$E$2989,"&lt;="&amp;EOMONTH(X7,0),'1UL9RY'!$F$6:$F$2989,"Closed Account")+SUMIFS('1OZ7GT'!$H$6:$H$2989,'1OZ7GT'!$E$6:$E$2989,"&gt;="&amp;X7,'1OZ7GT'!$E$6:$E$2989,"&lt;="&amp;EOMONTH(X7,0),'1OZ7GT'!$F$6:$F$2989,"Closed Account")+SUMIFS('1CN8DD'!$H$6:$H$2989,'1CN8DD'!$E$6:$E$2989,"&gt;="&amp;X7,'1CN8DD'!$E$6:$E$2989,"&lt;="&amp;EOMONTH(X7,0),'1CN8DD'!$F$6:$F$2989,"Closed Account")+SUMIFS('1UT9BR'!$H$6:$H$2989,'1UT9BR'!$E$6:$E$2989,"&gt;="&amp;X7,'1UT9BR'!$E$6:$E$2989,"&lt;="&amp;EOMONTH(X7,0),'1UT9BR'!$F$6:$F$2989,"Closed Account")+SUMIFS('1MK4UR'!$H$6:$H$2989,'1MK4UR'!$E$6:$E$2989,"&gt;="&amp;X7,'1MK4UR'!$E$6:$E$2989,"&lt;="&amp;EOMONTH(X7,0),'1MK4UR'!$F$6:$F$2989,"Closed Account")+SUMIFS(#REF!,#REF!,"&gt;="&amp;X7,#REF!,"&lt;="&amp;EOMONTH(X7,0),#REF!,"Closed Account")+SUMIFS('1JI2UE'!$H$6:$H$2989,'1JI2UE'!$E$6:$E$2989,"&gt;="&amp;X7,'1JI2UE'!$E$6:$E$2989,"&lt;="&amp;EOMONTH(X7,0),'1JI2UE'!$F$6:$F$2989,"Closed Account")+SUMIFS(#REF!,#REF!,"&gt;="&amp;X7,#REF!,"&lt;="&amp;EOMONTH(X7,0),#REF!,"Closed Account")+SUMIFS('1SI9BW'!$H$6:$H$2989,'1SI9BW'!$E$6:$E$2989,"&gt;="&amp;X7,'1SI9BW'!$E$6:$E$2989,"&lt;="&amp;EOMONTH(X7,0),'1SI9BW'!$F$6:$F$2989,"Closed Account")+SUMIFS(Suzuki!$H$6:$H$2989,Suzuki!$E$6:$E$2989,"&gt;="&amp;X7,Suzuki!$E$6:$E$2989,"&lt;="&amp;EOMONTH(X7,0),Suzuki!$F$6:$F$2989,"Closed Account")+SUMIFS('1SK3DD'!$H$6:$H$2989,'1SK3DD'!$E$6:$E$2989,"&gt;="&amp;X7,'1SK3DD'!$E$6:$E$2989,"&lt;="&amp;EOMONTH(X7,0),'1SK3DD'!$F$6:$F$2989,"Closed Account")+SUMIFS('1SX5TQ'!$H$6:$H$2989,'1SX5TQ'!$E$6:$E$2989,"&gt;="&amp;X7,'1SX5TQ'!$E$6:$E$2989,"&lt;="&amp;EOMONTH(X7,0),'1SX5TQ'!$F$6:$F$2989,"Closed Account")+SUMIFS('BMM465'!$H$6:$H$2989,'BMM465'!$E$6:$E$2989,"&gt;="&amp;X7,'BMM465'!$E$6:$E$2989,"&lt;="&amp;EOMONTH(X7,0),'BMM465'!$F$6:$F$2989,"Closed Account")+SUMIFS('1CF1ZO'!$H$6:$H$2989,'1CF1ZO'!$E$6:$E$2989,"&gt;="&amp;X7,'1CF1ZO'!$E$6:$E$2989,"&lt;="&amp;EOMONTH(X7,0),'1CF1ZO'!$F$6:$F$2989,"Closed Account")+SUMIFS('1UK1BK'!$H$6:$H$2989,'1UK1BK'!$E$6:$E$2989,"&gt;="&amp;X7,'1UK1BK'!$E$6:$E$2989,"&lt;="&amp;EOMONTH(X7,0),'1UK1BK'!$F$6:$F$2989,"Closed Account")</f>
        <v>#REF!</v>
      </c>
      <c r="Y46" s="2" t="e">
        <f>SUMIFS('CEI565'!$H$6:$H$2994,'CEI565'!$E$6:$E$2994,"&gt;="&amp;Y7,'CEI565'!$E$6:$E$2994,"&lt;="&amp;EOMONTH(Y7,0),'CEI565'!$F$6:$F$2994,"Closed Account")+SUMIFS('1SM3VL'!$H$6:$H$2989,'1SM3VL'!$E$6:$E$2989,"&gt;="&amp;Y7,'1SM3VL'!$E$6:$E$2989,"&lt;="&amp;EOMONTH(Y7,0),'1SM3VL'!$F$6:$F$2989,"Closed Aaccount")+SUMIFS('1QF4SM'!$H$6:$H$2989,'1QF4SM'!$E$6:$E$2989,"&gt;="&amp;Y7,'1QF4SM'!$E$6:$E$2989,"&lt;="&amp;EOMONTH(Y7,0),'1QF4SM'!$F$6:$F$2989,"Closed Account")+SUMIFS('1UV5KI'!$H$6:$H$2988,'1UV5KI'!$E$6:$E$2988,"&gt;="&amp;Y7,'1UV5KI'!$E$6:$E$2988,"&lt;="&amp;EOMONTH(Y7,0),'1UV5KI'!$F$6:$F$2988,"Closed Account")+SUMIFS(#REF!,#REF!,"&gt;="&amp;Y7,#REF!,"&lt;="&amp;EOMONTH(Y7,0),#REF!,"Closed Account")+SUMIFS('1UL9RY'!$H$6:$H$2989,'1UL9RY'!$E$6:$E$2989,"&gt;="&amp;Y7,'1UL9RY'!$E$6:$E$2989,"&lt;="&amp;EOMONTH(Y7,0),'1UL9RY'!$F$6:$F$2989,"Closed Account")+SUMIFS('1OZ7GT'!$H$6:$H$2989,'1OZ7GT'!$E$6:$E$2989,"&gt;="&amp;Y7,'1OZ7GT'!$E$6:$E$2989,"&lt;="&amp;EOMONTH(Y7,0),'1OZ7GT'!$F$6:$F$2989,"Closed Account")+SUMIFS('1CN8DD'!$H$6:$H$2989,'1CN8DD'!$E$6:$E$2989,"&gt;="&amp;Y7,'1CN8DD'!$E$6:$E$2989,"&lt;="&amp;EOMONTH(Y7,0),'1CN8DD'!$F$6:$F$2989,"Closed Account")+SUMIFS('1UT9BR'!$H$6:$H$2989,'1UT9BR'!$E$6:$E$2989,"&gt;="&amp;Y7,'1UT9BR'!$E$6:$E$2989,"&lt;="&amp;EOMONTH(Y7,0),'1UT9BR'!$F$6:$F$2989,"Closed Account")+SUMIFS('1MK4UR'!$H$6:$H$2989,'1MK4UR'!$E$6:$E$2989,"&gt;="&amp;Y7,'1MK4UR'!$E$6:$E$2989,"&lt;="&amp;EOMONTH(Y7,0),'1MK4UR'!$F$6:$F$2989,"Closed Account")+SUMIFS(#REF!,#REF!,"&gt;="&amp;Y7,#REF!,"&lt;="&amp;EOMONTH(Y7,0),#REF!,"Closed Account")+SUMIFS('1JI2UE'!$H$6:$H$2989,'1JI2UE'!$E$6:$E$2989,"&gt;="&amp;Y7,'1JI2UE'!$E$6:$E$2989,"&lt;="&amp;EOMONTH(Y7,0),'1JI2UE'!$F$6:$F$2989,"Closed Account")+SUMIFS(#REF!,#REF!,"&gt;="&amp;Y7,#REF!,"&lt;="&amp;EOMONTH(Y7,0),#REF!,"Closed Account")+SUMIFS('1SI9BW'!$H$6:$H$2989,'1SI9BW'!$E$6:$E$2989,"&gt;="&amp;Y7,'1SI9BW'!$E$6:$E$2989,"&lt;="&amp;EOMONTH(Y7,0),'1SI9BW'!$F$6:$F$2989,"Closed Account")+SUMIFS(Suzuki!$H$6:$H$2989,Suzuki!$E$6:$E$2989,"&gt;="&amp;Y7,Suzuki!$E$6:$E$2989,"&lt;="&amp;EOMONTH(Y7,0),Suzuki!$F$6:$F$2989,"Closed Account")+SUMIFS('1SK3DD'!$H$6:$H$2989,'1SK3DD'!$E$6:$E$2989,"&gt;="&amp;Y7,'1SK3DD'!$E$6:$E$2989,"&lt;="&amp;EOMONTH(Y7,0),'1SK3DD'!$F$6:$F$2989,"Closed Account")+SUMIFS('1SX5TQ'!$H$6:$H$2989,'1SX5TQ'!$E$6:$E$2989,"&gt;="&amp;Y7,'1SX5TQ'!$E$6:$E$2989,"&lt;="&amp;EOMONTH(Y7,0),'1SX5TQ'!$F$6:$F$2989,"Closed Account")+SUMIFS('BMM465'!$H$6:$H$2989,'BMM465'!$E$6:$E$2989,"&gt;="&amp;Y7,'BMM465'!$E$6:$E$2989,"&lt;="&amp;EOMONTH(Y7,0),'BMM465'!$F$6:$F$2989,"Closed Account")+SUMIFS('1CF1ZO'!$H$6:$H$2989,'1CF1ZO'!$E$6:$E$2989,"&gt;="&amp;Y7,'1CF1ZO'!$E$6:$E$2989,"&lt;="&amp;EOMONTH(Y7,0),'1CF1ZO'!$F$6:$F$2989,"Closed Account")+SUMIFS('1UK1BK'!$H$6:$H$2989,'1UK1BK'!$E$6:$E$2989,"&gt;="&amp;Y7,'1UK1BK'!$E$6:$E$2989,"&lt;="&amp;EOMONTH(Y7,0),'1UK1BK'!$F$6:$F$2989,"Closed Account")</f>
        <v>#REF!</v>
      </c>
      <c r="Z46" s="2" t="e">
        <f>SUMIFS('CEI565'!$H$6:$H$2994,'CEI565'!$E$6:$E$2994,"&gt;="&amp;Z7,'CEI565'!$E$6:$E$2994,"&lt;="&amp;EOMONTH(Z7,0),'CEI565'!$F$6:$F$2994,"Closed Account")+SUMIFS('1SM3VL'!$H$6:$H$2989,'1SM3VL'!$E$6:$E$2989,"&gt;="&amp;Z7,'1SM3VL'!$E$6:$E$2989,"&lt;="&amp;EOMONTH(Z7,0),'1SM3VL'!$F$6:$F$2989,"Closed Aaccount")+SUMIFS('1QF4SM'!$H$6:$H$2989,'1QF4SM'!$E$6:$E$2989,"&gt;="&amp;Z7,'1QF4SM'!$E$6:$E$2989,"&lt;="&amp;EOMONTH(Z7,0),'1QF4SM'!$F$6:$F$2989,"Closed Account")+SUMIFS('1UV5KI'!$H$6:$H$2988,'1UV5KI'!$E$6:$E$2988,"&gt;="&amp;Z7,'1UV5KI'!$E$6:$E$2988,"&lt;="&amp;EOMONTH(Z7,0),'1UV5KI'!$F$6:$F$2988,"Closed Account")+SUMIFS(#REF!,#REF!,"&gt;="&amp;Z7,#REF!,"&lt;="&amp;EOMONTH(Z7,0),#REF!,"Closed Account")+SUMIFS('1UL9RY'!$H$6:$H$2989,'1UL9RY'!$E$6:$E$2989,"&gt;="&amp;Z7,'1UL9RY'!$E$6:$E$2989,"&lt;="&amp;EOMONTH(Z7,0),'1UL9RY'!$F$6:$F$2989,"Closed Account")+SUMIFS('1OZ7GT'!$H$6:$H$2989,'1OZ7GT'!$E$6:$E$2989,"&gt;="&amp;Z7,'1OZ7GT'!$E$6:$E$2989,"&lt;="&amp;EOMONTH(Z7,0),'1OZ7GT'!$F$6:$F$2989,"Closed Account")+SUMIFS('1CN8DD'!$H$6:$H$2989,'1CN8DD'!$E$6:$E$2989,"&gt;="&amp;Z7,'1CN8DD'!$E$6:$E$2989,"&lt;="&amp;EOMONTH(Z7,0),'1CN8DD'!$F$6:$F$2989,"Closed Account")+SUMIFS('1UT9BR'!$H$6:$H$2989,'1UT9BR'!$E$6:$E$2989,"&gt;="&amp;Z7,'1UT9BR'!$E$6:$E$2989,"&lt;="&amp;EOMONTH(Z7,0),'1UT9BR'!$F$6:$F$2989,"Closed Account")+SUMIFS('1MK4UR'!$H$6:$H$2989,'1MK4UR'!$E$6:$E$2989,"&gt;="&amp;Z7,'1MK4UR'!$E$6:$E$2989,"&lt;="&amp;EOMONTH(Z7,0),'1MK4UR'!$F$6:$F$2989,"Closed Account")+SUMIFS(#REF!,#REF!,"&gt;="&amp;Z7,#REF!,"&lt;="&amp;EOMONTH(Z7,0),#REF!,"Closed Account")+SUMIFS('1JI2UE'!$H$6:$H$2989,'1JI2UE'!$E$6:$E$2989,"&gt;="&amp;Z7,'1JI2UE'!$E$6:$E$2989,"&lt;="&amp;EOMONTH(Z7,0),'1JI2UE'!$F$6:$F$2989,"Closed Account")+SUMIFS(#REF!,#REF!,"&gt;="&amp;Z7,#REF!,"&lt;="&amp;EOMONTH(Z7,0),#REF!,"Closed Account")+SUMIFS('1SI9BW'!$H$6:$H$2989,'1SI9BW'!$E$6:$E$2989,"&gt;="&amp;Z7,'1SI9BW'!$E$6:$E$2989,"&lt;="&amp;EOMONTH(Z7,0),'1SI9BW'!$F$6:$F$2989,"Closed Account")+SUMIFS(Suzuki!$H$6:$H$2989,Suzuki!$E$6:$E$2989,"&gt;="&amp;Z7,Suzuki!$E$6:$E$2989,"&lt;="&amp;EOMONTH(Z7,0),Suzuki!$F$6:$F$2989,"Closed Account")+SUMIFS('1SK3DD'!$H$6:$H$2989,'1SK3DD'!$E$6:$E$2989,"&gt;="&amp;Z7,'1SK3DD'!$E$6:$E$2989,"&lt;="&amp;EOMONTH(Z7,0),'1SK3DD'!$F$6:$F$2989,"Closed Account")+SUMIFS('1SX5TQ'!$H$6:$H$2989,'1SX5TQ'!$E$6:$E$2989,"&gt;="&amp;Z7,'1SX5TQ'!$E$6:$E$2989,"&lt;="&amp;EOMONTH(Z7,0),'1SX5TQ'!$F$6:$F$2989,"Closed Account")+SUMIFS('BMM465'!$H$6:$H$2989,'BMM465'!$E$6:$E$2989,"&gt;="&amp;Z7,'BMM465'!$E$6:$E$2989,"&lt;="&amp;EOMONTH(Z7,0),'BMM465'!$F$6:$F$2989,"Closed Account")+SUMIFS('1CF1ZO'!$H$6:$H$2989,'1CF1ZO'!$E$6:$E$2989,"&gt;="&amp;Z7,'1CF1ZO'!$E$6:$E$2989,"&lt;="&amp;EOMONTH(Z7,0),'1CF1ZO'!$F$6:$F$2989,"Closed Account")+SUMIFS('1UK1BK'!$H$6:$H$2989,'1UK1BK'!$E$6:$E$2989,"&gt;="&amp;Z7,'1UK1BK'!$E$6:$E$2989,"&lt;="&amp;EOMONTH(Z7,0),'1UK1BK'!$F$6:$F$2989,"Closed Account")</f>
        <v>#REF!</v>
      </c>
      <c r="AA46" s="2" t="e">
        <f>SUMIFS('CEI565'!$H$6:$H$2994,'CEI565'!$E$6:$E$2994,"&gt;="&amp;AA7,'CEI565'!$E$6:$E$2994,"&lt;="&amp;EOMONTH(AA7,0),'CEI565'!$F$6:$F$2994,"Closed Account")+SUMIFS('1SM3VL'!$H$6:$H$2989,'1SM3VL'!$E$6:$E$2989,"&gt;="&amp;AA7,'1SM3VL'!$E$6:$E$2989,"&lt;="&amp;EOMONTH(AA7,0),'1SM3VL'!$F$6:$F$2989,"Closed Aaccount")+SUMIFS('1QF4SM'!$H$6:$H$2989,'1QF4SM'!$E$6:$E$2989,"&gt;="&amp;AA7,'1QF4SM'!$E$6:$E$2989,"&lt;="&amp;EOMONTH(AA7,0),'1QF4SM'!$F$6:$F$2989,"Closed Account")+SUMIFS('1UV5KI'!$H$6:$H$2988,'1UV5KI'!$E$6:$E$2988,"&gt;="&amp;AA7,'1UV5KI'!$E$6:$E$2988,"&lt;="&amp;EOMONTH(AA7,0),'1UV5KI'!$F$6:$F$2988,"Closed Account")+SUMIFS(#REF!,#REF!,"&gt;="&amp;AA7,#REF!,"&lt;="&amp;EOMONTH(AA7,0),#REF!,"Closed Account")+SUMIFS('1UL9RY'!$H$6:$H$2989,'1UL9RY'!$E$6:$E$2989,"&gt;="&amp;AA7,'1UL9RY'!$E$6:$E$2989,"&lt;="&amp;EOMONTH(AA7,0),'1UL9RY'!$F$6:$F$2989,"Closed Account")+SUMIFS('1OZ7GT'!$H$6:$H$2989,'1OZ7GT'!$E$6:$E$2989,"&gt;="&amp;AA7,'1OZ7GT'!$E$6:$E$2989,"&lt;="&amp;EOMONTH(AA7,0),'1OZ7GT'!$F$6:$F$2989,"Closed Account")+SUMIFS('1CN8DD'!$H$6:$H$2989,'1CN8DD'!$E$6:$E$2989,"&gt;="&amp;AA7,'1CN8DD'!$E$6:$E$2989,"&lt;="&amp;EOMONTH(AA7,0),'1CN8DD'!$F$6:$F$2989,"Closed Account")+SUMIFS('1UT9BR'!$H$6:$H$2989,'1UT9BR'!$E$6:$E$2989,"&gt;="&amp;AA7,'1UT9BR'!$E$6:$E$2989,"&lt;="&amp;EOMONTH(AA7,0),'1UT9BR'!$F$6:$F$2989,"Closed Account")+SUMIFS('1MK4UR'!$H$6:$H$2989,'1MK4UR'!$E$6:$E$2989,"&gt;="&amp;AA7,'1MK4UR'!$E$6:$E$2989,"&lt;="&amp;EOMONTH(AA7,0),'1MK4UR'!$F$6:$F$2989,"Closed Account")+SUMIFS(#REF!,#REF!,"&gt;="&amp;AA7,#REF!,"&lt;="&amp;EOMONTH(AA7,0),#REF!,"Closed Account")+SUMIFS('1JI2UE'!$H$6:$H$2989,'1JI2UE'!$E$6:$E$2989,"&gt;="&amp;AA7,'1JI2UE'!$E$6:$E$2989,"&lt;="&amp;EOMONTH(AA7,0),'1JI2UE'!$F$6:$F$2989,"Closed Account")+SUMIFS(#REF!,#REF!,"&gt;="&amp;AA7,#REF!,"&lt;="&amp;EOMONTH(AA7,0),#REF!,"Closed Account")+SUMIFS('1SI9BW'!$H$6:$H$2989,'1SI9BW'!$E$6:$E$2989,"&gt;="&amp;AA7,'1SI9BW'!$E$6:$E$2989,"&lt;="&amp;EOMONTH(AA7,0),'1SI9BW'!$F$6:$F$2989,"Closed Account")+SUMIFS(Suzuki!$H$6:$H$2989,Suzuki!$E$6:$E$2989,"&gt;="&amp;AA7,Suzuki!$E$6:$E$2989,"&lt;="&amp;EOMONTH(AA7,0),Suzuki!$F$6:$F$2989,"Closed Account")+SUMIFS('1SK3DD'!$H$6:$H$2989,'1SK3DD'!$E$6:$E$2989,"&gt;="&amp;AA7,'1SK3DD'!$E$6:$E$2989,"&lt;="&amp;EOMONTH(AA7,0),'1SK3DD'!$F$6:$F$2989,"Closed Account")+SUMIFS('1SX5TQ'!$H$6:$H$2989,'1SX5TQ'!$E$6:$E$2989,"&gt;="&amp;AA7,'1SX5TQ'!$E$6:$E$2989,"&lt;="&amp;EOMONTH(AA7,0),'1SX5TQ'!$F$6:$F$2989,"Closed Account")+SUMIFS('BMM465'!$H$6:$H$2989,'BMM465'!$E$6:$E$2989,"&gt;="&amp;AA7,'BMM465'!$E$6:$E$2989,"&lt;="&amp;EOMONTH(AA7,0),'BMM465'!$F$6:$F$2989,"Closed Account")+SUMIFS('1CF1ZO'!$H$6:$H$2989,'1CF1ZO'!$E$6:$E$2989,"&gt;="&amp;AA7,'1CF1ZO'!$E$6:$E$2989,"&lt;="&amp;EOMONTH(AA7,0),'1CF1ZO'!$F$6:$F$2989,"Closed Account")+SUMIFS('1UK1BK'!$H$6:$H$2989,'1UK1BK'!$E$6:$E$2989,"&gt;="&amp;AA7,'1UK1BK'!$E$6:$E$2989,"&lt;="&amp;EOMONTH(AA7,0),'1UK1BK'!$F$6:$F$2989,"Closed Account")</f>
        <v>#REF!</v>
      </c>
      <c r="AB46" s="2" t="e">
        <f>SUMIFS('CEI565'!$H$6:$H$2994,'CEI565'!$E$6:$E$2994,"&gt;="&amp;AB7,'CEI565'!$E$6:$E$2994,"&lt;="&amp;EOMONTH(AB7,0),'CEI565'!$F$6:$F$2994,"Closed Account")+SUMIFS('1SM3VL'!$H$6:$H$2989,'1SM3VL'!$E$6:$E$2989,"&gt;="&amp;AB7,'1SM3VL'!$E$6:$E$2989,"&lt;="&amp;EOMONTH(AB7,0),'1SM3VL'!$F$6:$F$2989,"Closed Aaccount")+SUMIFS('1QF4SM'!$H$6:$H$2989,'1QF4SM'!$E$6:$E$2989,"&gt;="&amp;AB7,'1QF4SM'!$E$6:$E$2989,"&lt;="&amp;EOMONTH(AB7,0),'1QF4SM'!$F$6:$F$2989,"Closed Account")+SUMIFS('1UV5KI'!$H$6:$H$2988,'1UV5KI'!$E$6:$E$2988,"&gt;="&amp;AB7,'1UV5KI'!$E$6:$E$2988,"&lt;="&amp;EOMONTH(AB7,0),'1UV5KI'!$F$6:$F$2988,"Closed Account")+SUMIFS(#REF!,#REF!,"&gt;="&amp;AB7,#REF!,"&lt;="&amp;EOMONTH(AB7,0),#REF!,"Closed Account")+SUMIFS('1UL9RY'!$H$6:$H$2989,'1UL9RY'!$E$6:$E$2989,"&gt;="&amp;AB7,'1UL9RY'!$E$6:$E$2989,"&lt;="&amp;EOMONTH(AB7,0),'1UL9RY'!$F$6:$F$2989,"Closed Account")+SUMIFS('1OZ7GT'!$H$6:$H$2989,'1OZ7GT'!$E$6:$E$2989,"&gt;="&amp;AB7,'1OZ7GT'!$E$6:$E$2989,"&lt;="&amp;EOMONTH(AB7,0),'1OZ7GT'!$F$6:$F$2989,"Closed Account")+SUMIFS('1CN8DD'!$H$6:$H$2989,'1CN8DD'!$E$6:$E$2989,"&gt;="&amp;AB7,'1CN8DD'!$E$6:$E$2989,"&lt;="&amp;EOMONTH(AB7,0),'1CN8DD'!$F$6:$F$2989,"Closed Account")+SUMIFS('1UT9BR'!$H$6:$H$2989,'1UT9BR'!$E$6:$E$2989,"&gt;="&amp;AB7,'1UT9BR'!$E$6:$E$2989,"&lt;="&amp;EOMONTH(AB7,0),'1UT9BR'!$F$6:$F$2989,"Closed Account")+SUMIFS('1MK4UR'!$H$6:$H$2989,'1MK4UR'!$E$6:$E$2989,"&gt;="&amp;AB7,'1MK4UR'!$E$6:$E$2989,"&lt;="&amp;EOMONTH(AB7,0),'1MK4UR'!$F$6:$F$2989,"Closed Account")+SUMIFS(#REF!,#REF!,"&gt;="&amp;AB7,#REF!,"&lt;="&amp;EOMONTH(AB7,0),#REF!,"Closed Account")+SUMIFS('1JI2UE'!$H$6:$H$2989,'1JI2UE'!$E$6:$E$2989,"&gt;="&amp;AB7,'1JI2UE'!$E$6:$E$2989,"&lt;="&amp;EOMONTH(AB7,0),'1JI2UE'!$F$6:$F$2989,"Closed Account")+SUMIFS(#REF!,#REF!,"&gt;="&amp;AB7,#REF!,"&lt;="&amp;EOMONTH(AB7,0),#REF!,"Closed Account")+SUMIFS('1SI9BW'!$H$6:$H$2989,'1SI9BW'!$E$6:$E$2989,"&gt;="&amp;AB7,'1SI9BW'!$E$6:$E$2989,"&lt;="&amp;EOMONTH(AB7,0),'1SI9BW'!$F$6:$F$2989,"Closed Account")+SUMIFS(Suzuki!$H$6:$H$2989,Suzuki!$E$6:$E$2989,"&gt;="&amp;AB7,Suzuki!$E$6:$E$2989,"&lt;="&amp;EOMONTH(AB7,0),Suzuki!$F$6:$F$2989,"Closed Account")+SUMIFS('1SK3DD'!$H$6:$H$2989,'1SK3DD'!$E$6:$E$2989,"&gt;="&amp;AB7,'1SK3DD'!$E$6:$E$2989,"&lt;="&amp;EOMONTH(AB7,0),'1SK3DD'!$F$6:$F$2989,"Closed Account")+SUMIFS('1SX5TQ'!$H$6:$H$2989,'1SX5TQ'!$E$6:$E$2989,"&gt;="&amp;AB7,'1SX5TQ'!$E$6:$E$2989,"&lt;="&amp;EOMONTH(AB7,0),'1SX5TQ'!$F$6:$F$2989,"Closed Account")+SUMIFS('BMM465'!$H$6:$H$2989,'BMM465'!$E$6:$E$2989,"&gt;="&amp;AB7,'BMM465'!$E$6:$E$2989,"&lt;="&amp;EOMONTH(AB7,0),'BMM465'!$F$6:$F$2989,"Closed Account")+SUMIFS('1CF1ZO'!$H$6:$H$2989,'1CF1ZO'!$E$6:$E$2989,"&gt;="&amp;AB7,'1CF1ZO'!$E$6:$E$2989,"&lt;="&amp;EOMONTH(AB7,0),'1CF1ZO'!$F$6:$F$2989,"Closed Account")+SUMIFS('1UK1BK'!$H$6:$H$2989,'1UK1BK'!$E$6:$E$2989,"&gt;="&amp;AB7,'1UK1BK'!$E$6:$E$2989,"&lt;="&amp;EOMONTH(AB7,0),'1UK1BK'!$F$6:$F$2989,"Closed Account")</f>
        <v>#REF!</v>
      </c>
      <c r="AC46" s="2" t="e">
        <f>SUMIFS('CEI565'!$H$6:$H$2994,'CEI565'!$E$6:$E$2994,"&gt;="&amp;AC7,'CEI565'!$E$6:$E$2994,"&lt;="&amp;EOMONTH(AC7,0),'CEI565'!$F$6:$F$2994,"Closed Account")+SUMIFS('1SM3VL'!$H$6:$H$2989,'1SM3VL'!$E$6:$E$2989,"&gt;="&amp;AC7,'1SM3VL'!$E$6:$E$2989,"&lt;="&amp;EOMONTH(AC7,0),'1SM3VL'!$F$6:$F$2989,"Closed Aaccount")+SUMIFS('1QF4SM'!$H$6:$H$2989,'1QF4SM'!$E$6:$E$2989,"&gt;="&amp;AC7,'1QF4SM'!$E$6:$E$2989,"&lt;="&amp;EOMONTH(AC7,0),'1QF4SM'!$F$6:$F$2989,"Closed Account")+SUMIFS('1UV5KI'!$H$6:$H$2988,'1UV5KI'!$E$6:$E$2988,"&gt;="&amp;AC7,'1UV5KI'!$E$6:$E$2988,"&lt;="&amp;EOMONTH(AC7,0),'1UV5KI'!$F$6:$F$2988,"Closed Account")+SUMIFS(#REF!,#REF!,"&gt;="&amp;AC7,#REF!,"&lt;="&amp;EOMONTH(AC7,0),#REF!,"Closed Account")+SUMIFS('1UL9RY'!$H$6:$H$2989,'1UL9RY'!$E$6:$E$2989,"&gt;="&amp;AC7,'1UL9RY'!$E$6:$E$2989,"&lt;="&amp;EOMONTH(AC7,0),'1UL9RY'!$F$6:$F$2989,"Closed Account")+SUMIFS('1OZ7GT'!$H$6:$H$2989,'1OZ7GT'!$E$6:$E$2989,"&gt;="&amp;AC7,'1OZ7GT'!$E$6:$E$2989,"&lt;="&amp;EOMONTH(AC7,0),'1OZ7GT'!$F$6:$F$2989,"Closed Account")+SUMIFS('1CN8DD'!$H$6:$H$2989,'1CN8DD'!$E$6:$E$2989,"&gt;="&amp;AC7,'1CN8DD'!$E$6:$E$2989,"&lt;="&amp;EOMONTH(AC7,0),'1CN8DD'!$F$6:$F$2989,"Closed Account")+SUMIFS('1UT9BR'!$H$6:$H$2989,'1UT9BR'!$E$6:$E$2989,"&gt;="&amp;AC7,'1UT9BR'!$E$6:$E$2989,"&lt;="&amp;EOMONTH(AC7,0),'1UT9BR'!$F$6:$F$2989,"Closed Account")+SUMIFS('1MK4UR'!$H$6:$H$2989,'1MK4UR'!$E$6:$E$2989,"&gt;="&amp;AC7,'1MK4UR'!$E$6:$E$2989,"&lt;="&amp;EOMONTH(AC7,0),'1MK4UR'!$F$6:$F$2989,"Closed Account")+SUMIFS(#REF!,#REF!,"&gt;="&amp;AC7,#REF!,"&lt;="&amp;EOMONTH(AC7,0),#REF!,"Closed Account")+SUMIFS('1JI2UE'!$H$6:$H$2989,'1JI2UE'!$E$6:$E$2989,"&gt;="&amp;AC7,'1JI2UE'!$E$6:$E$2989,"&lt;="&amp;EOMONTH(AC7,0),'1JI2UE'!$F$6:$F$2989,"Closed Account")+SUMIFS(#REF!,#REF!,"&gt;="&amp;AC7,#REF!,"&lt;="&amp;EOMONTH(AC7,0),#REF!,"Closed Account")+SUMIFS('1SI9BW'!$H$6:$H$2989,'1SI9BW'!$E$6:$E$2989,"&gt;="&amp;AC7,'1SI9BW'!$E$6:$E$2989,"&lt;="&amp;EOMONTH(AC7,0),'1SI9BW'!$F$6:$F$2989,"Closed Account")+SUMIFS(Suzuki!$H$6:$H$2989,Suzuki!$E$6:$E$2989,"&gt;="&amp;AC7,Suzuki!$E$6:$E$2989,"&lt;="&amp;EOMONTH(AC7,0),Suzuki!$F$6:$F$2989,"Closed Account")+SUMIFS('1SK3DD'!$H$6:$H$2989,'1SK3DD'!$E$6:$E$2989,"&gt;="&amp;AC7,'1SK3DD'!$E$6:$E$2989,"&lt;="&amp;EOMONTH(AC7,0),'1SK3DD'!$F$6:$F$2989,"Closed Account")+SUMIFS('1SX5TQ'!$H$6:$H$2989,'1SX5TQ'!$E$6:$E$2989,"&gt;="&amp;AC7,'1SX5TQ'!$E$6:$E$2989,"&lt;="&amp;EOMONTH(AC7,0),'1SX5TQ'!$F$6:$F$2989,"Closed Account")+SUMIFS('BMM465'!$H$6:$H$2989,'BMM465'!$E$6:$E$2989,"&gt;="&amp;AC7,'BMM465'!$E$6:$E$2989,"&lt;="&amp;EOMONTH(AC7,0),'BMM465'!$F$6:$F$2989,"Closed Account")+SUMIFS('1CF1ZO'!$H$6:$H$2989,'1CF1ZO'!$E$6:$E$2989,"&gt;="&amp;AC7,'1CF1ZO'!$E$6:$E$2989,"&lt;="&amp;EOMONTH(AC7,0),'1CF1ZO'!$F$6:$F$2989,"Closed Account")+SUMIFS('1UK1BK'!$H$6:$H$2989,'1UK1BK'!$E$6:$E$2989,"&gt;="&amp;AC7,'1UK1BK'!$E$6:$E$2989,"&lt;="&amp;EOMONTH(AC7,0),'1UK1BK'!$F$6:$F$2989,"Closed Account")</f>
        <v>#REF!</v>
      </c>
      <c r="AD46" s="2" t="e">
        <f>SUMIFS('CEI565'!$H$6:$H$2994,'CEI565'!$E$6:$E$2994,"&gt;="&amp;AD7,'CEI565'!$E$6:$E$2994,"&lt;="&amp;EOMONTH(AD7,0),'CEI565'!$F$6:$F$2994,"Closed Account")+SUMIFS('1SM3VL'!$H$6:$H$2989,'1SM3VL'!$E$6:$E$2989,"&gt;="&amp;AD7,'1SM3VL'!$E$6:$E$2989,"&lt;="&amp;EOMONTH(AD7,0),'1SM3VL'!$F$6:$F$2989,"Closed Aaccount")+SUMIFS('1QF4SM'!$H$6:$H$2989,'1QF4SM'!$E$6:$E$2989,"&gt;="&amp;AD7,'1QF4SM'!$E$6:$E$2989,"&lt;="&amp;EOMONTH(AD7,0),'1QF4SM'!$F$6:$F$2989,"Closed Account")+SUMIFS('1UV5KI'!$H$6:$H$2988,'1UV5KI'!$E$6:$E$2988,"&gt;="&amp;AD7,'1UV5KI'!$E$6:$E$2988,"&lt;="&amp;EOMONTH(AD7,0),'1UV5KI'!$F$6:$F$2988,"Closed Account")+SUMIFS(#REF!,#REF!,"&gt;="&amp;AD7,#REF!,"&lt;="&amp;EOMONTH(AD7,0),#REF!,"Closed Account")+SUMIFS('1UL9RY'!$H$6:$H$2989,'1UL9RY'!$E$6:$E$2989,"&gt;="&amp;AD7,'1UL9RY'!$E$6:$E$2989,"&lt;="&amp;EOMONTH(AD7,0),'1UL9RY'!$F$6:$F$2989,"Closed Account")+SUMIFS('1OZ7GT'!$H$6:$H$2989,'1OZ7GT'!$E$6:$E$2989,"&gt;="&amp;AD7,'1OZ7GT'!$E$6:$E$2989,"&lt;="&amp;EOMONTH(AD7,0),'1OZ7GT'!$F$6:$F$2989,"Closed Account")+SUMIFS('1CN8DD'!$H$6:$H$2989,'1CN8DD'!$E$6:$E$2989,"&gt;="&amp;AD7,'1CN8DD'!$E$6:$E$2989,"&lt;="&amp;EOMONTH(AD7,0),'1CN8DD'!$F$6:$F$2989,"Closed Account")+SUMIFS('1UT9BR'!$H$6:$H$2989,'1UT9BR'!$E$6:$E$2989,"&gt;="&amp;AD7,'1UT9BR'!$E$6:$E$2989,"&lt;="&amp;EOMONTH(AD7,0),'1UT9BR'!$F$6:$F$2989,"Closed Account")+SUMIFS('1MK4UR'!$H$6:$H$2989,'1MK4UR'!$E$6:$E$2989,"&gt;="&amp;AD7,'1MK4UR'!$E$6:$E$2989,"&lt;="&amp;EOMONTH(AD7,0),'1MK4UR'!$F$6:$F$2989,"Closed Account")+SUMIFS(#REF!,#REF!,"&gt;="&amp;AD7,#REF!,"&lt;="&amp;EOMONTH(AD7,0),#REF!,"Closed Account")+SUMIFS('1JI2UE'!$H$6:$H$2989,'1JI2UE'!$E$6:$E$2989,"&gt;="&amp;AD7,'1JI2UE'!$E$6:$E$2989,"&lt;="&amp;EOMONTH(AD7,0),'1JI2UE'!$F$6:$F$2989,"Closed Account")+SUMIFS(#REF!,#REF!,"&gt;="&amp;AD7,#REF!,"&lt;="&amp;EOMONTH(AD7,0),#REF!,"Closed Account")+SUMIFS('1SI9BW'!$H$6:$H$2989,'1SI9BW'!$E$6:$E$2989,"&gt;="&amp;AD7,'1SI9BW'!$E$6:$E$2989,"&lt;="&amp;EOMONTH(AD7,0),'1SI9BW'!$F$6:$F$2989,"Closed Account")+SUMIFS(Suzuki!$H$6:$H$2989,Suzuki!$E$6:$E$2989,"&gt;="&amp;AD7,Suzuki!$E$6:$E$2989,"&lt;="&amp;EOMONTH(AD7,0),Suzuki!$F$6:$F$2989,"Closed Account")+SUMIFS('1SK3DD'!$H$6:$H$2989,'1SK3DD'!$E$6:$E$2989,"&gt;="&amp;AD7,'1SK3DD'!$E$6:$E$2989,"&lt;="&amp;EOMONTH(AD7,0),'1SK3DD'!$F$6:$F$2989,"Closed Account")+SUMIFS('1SX5TQ'!$H$6:$H$2989,'1SX5TQ'!$E$6:$E$2989,"&gt;="&amp;AD7,'1SX5TQ'!$E$6:$E$2989,"&lt;="&amp;EOMONTH(AD7,0),'1SX5TQ'!$F$6:$F$2989,"Closed Account")+SUMIFS('BMM465'!$H$6:$H$2989,'BMM465'!$E$6:$E$2989,"&gt;="&amp;AD7,'BMM465'!$E$6:$E$2989,"&lt;="&amp;EOMONTH(AD7,0),'BMM465'!$F$6:$F$2989,"Closed Account")+SUMIFS('1CF1ZO'!$H$6:$H$2989,'1CF1ZO'!$E$6:$E$2989,"&gt;="&amp;AD7,'1CF1ZO'!$E$6:$E$2989,"&lt;="&amp;EOMONTH(AD7,0),'1CF1ZO'!$F$6:$F$2989,"Closed Account")+SUMIFS('1UK1BK'!$H$6:$H$2989,'1UK1BK'!$E$6:$E$2989,"&gt;="&amp;AD7,'1UK1BK'!$E$6:$E$2989,"&lt;="&amp;EOMONTH(AD7,0),'1UK1BK'!$F$6:$F$2989,"Closed Account")</f>
        <v>#REF!</v>
      </c>
      <c r="AE46" s="2" t="e">
        <f>SUMIFS('CEI565'!$H$6:$H$2994,'CEI565'!$E$6:$E$2994,"&gt;="&amp;AE7,'CEI565'!$E$6:$E$2994,"&lt;="&amp;EOMONTH(AE7,0),'CEI565'!$F$6:$F$2994,"Closed Account")+SUMIFS('1SM3VL'!$H$6:$H$2989,'1SM3VL'!$E$6:$E$2989,"&gt;="&amp;AE7,'1SM3VL'!$E$6:$E$2989,"&lt;="&amp;EOMONTH(AE7,0),'1SM3VL'!$F$6:$F$2989,"Closed Aaccount")+SUMIFS('1QF4SM'!$H$6:$H$2989,'1QF4SM'!$E$6:$E$2989,"&gt;="&amp;AE7,'1QF4SM'!$E$6:$E$2989,"&lt;="&amp;EOMONTH(AE7,0),'1QF4SM'!$F$6:$F$2989,"Closed Account")+SUMIFS('1UV5KI'!$H$6:$H$2988,'1UV5KI'!$E$6:$E$2988,"&gt;="&amp;AE7,'1UV5KI'!$E$6:$E$2988,"&lt;="&amp;EOMONTH(AE7,0),'1UV5KI'!$F$6:$F$2988,"Closed Account")+SUMIFS(#REF!,#REF!,"&gt;="&amp;AE7,#REF!,"&lt;="&amp;EOMONTH(AE7,0),#REF!,"Closed Account")+SUMIFS('1UL9RY'!$H$6:$H$2989,'1UL9RY'!$E$6:$E$2989,"&gt;="&amp;AE7,'1UL9RY'!$E$6:$E$2989,"&lt;="&amp;EOMONTH(AE7,0),'1UL9RY'!$F$6:$F$2989,"Closed Account")+SUMIFS('1OZ7GT'!$H$6:$H$2989,'1OZ7GT'!$E$6:$E$2989,"&gt;="&amp;AE7,'1OZ7GT'!$E$6:$E$2989,"&lt;="&amp;EOMONTH(AE7,0),'1OZ7GT'!$F$6:$F$2989,"Closed Account")+SUMIFS('1CN8DD'!$H$6:$H$2989,'1CN8DD'!$E$6:$E$2989,"&gt;="&amp;AE7,'1CN8DD'!$E$6:$E$2989,"&lt;="&amp;EOMONTH(AE7,0),'1CN8DD'!$F$6:$F$2989,"Closed Account")+SUMIFS('1UT9BR'!$H$6:$H$2989,'1UT9BR'!$E$6:$E$2989,"&gt;="&amp;AE7,'1UT9BR'!$E$6:$E$2989,"&lt;="&amp;EOMONTH(AE7,0),'1UT9BR'!$F$6:$F$2989,"Closed Account")+SUMIFS('1MK4UR'!$H$6:$H$2989,'1MK4UR'!$E$6:$E$2989,"&gt;="&amp;AE7,'1MK4UR'!$E$6:$E$2989,"&lt;="&amp;EOMONTH(AE7,0),'1MK4UR'!$F$6:$F$2989,"Closed Account")+SUMIFS(#REF!,#REF!,"&gt;="&amp;AE7,#REF!,"&lt;="&amp;EOMONTH(AE7,0),#REF!,"Closed Account")+SUMIFS('1JI2UE'!$H$6:$H$2989,'1JI2UE'!$E$6:$E$2989,"&gt;="&amp;AE7,'1JI2UE'!$E$6:$E$2989,"&lt;="&amp;EOMONTH(AE7,0),'1JI2UE'!$F$6:$F$2989,"Closed Account")+SUMIFS(#REF!,#REF!,"&gt;="&amp;AE7,#REF!,"&lt;="&amp;EOMONTH(AE7,0),#REF!,"Closed Account")+SUMIFS('1SI9BW'!$H$6:$H$2989,'1SI9BW'!$E$6:$E$2989,"&gt;="&amp;AE7,'1SI9BW'!$E$6:$E$2989,"&lt;="&amp;EOMONTH(AE7,0),'1SI9BW'!$F$6:$F$2989,"Closed Account")+SUMIFS(Suzuki!$H$6:$H$2989,Suzuki!$E$6:$E$2989,"&gt;="&amp;AE7,Suzuki!$E$6:$E$2989,"&lt;="&amp;EOMONTH(AE7,0),Suzuki!$F$6:$F$2989,"Closed Account")+SUMIFS('1SK3DD'!$H$6:$H$2989,'1SK3DD'!$E$6:$E$2989,"&gt;="&amp;AE7,'1SK3DD'!$E$6:$E$2989,"&lt;="&amp;EOMONTH(AE7,0),'1SK3DD'!$F$6:$F$2989,"Closed Account")+SUMIFS('1SX5TQ'!$H$6:$H$2989,'1SX5TQ'!$E$6:$E$2989,"&gt;="&amp;AE7,'1SX5TQ'!$E$6:$E$2989,"&lt;="&amp;EOMONTH(AE7,0),'1SX5TQ'!$F$6:$F$2989,"Closed Account")+SUMIFS('BMM465'!$H$6:$H$2989,'BMM465'!$E$6:$E$2989,"&gt;="&amp;AE7,'BMM465'!$E$6:$E$2989,"&lt;="&amp;EOMONTH(AE7,0),'BMM465'!$F$6:$F$2989,"Closed Account")+SUMIFS('1CF1ZO'!$H$6:$H$2989,'1CF1ZO'!$E$6:$E$2989,"&gt;="&amp;AE7,'1CF1ZO'!$E$6:$E$2989,"&lt;="&amp;EOMONTH(AE7,0),'1CF1ZO'!$F$6:$F$2989,"Closed Account")+SUMIFS('1UK1BK'!$H$6:$H$2989,'1UK1BK'!$E$6:$E$2989,"&gt;="&amp;AE7,'1UK1BK'!$E$6:$E$2989,"&lt;="&amp;EOMONTH(AE7,0),'1UK1BK'!$F$6:$F$2989,"Closed Account")</f>
        <v>#REF!</v>
      </c>
      <c r="AF46" s="2" t="e">
        <f>SUMIFS('CEI565'!$H$6:$H$2994,'CEI565'!$E$6:$E$2994,"&gt;="&amp;AF7,'CEI565'!$E$6:$E$2994,"&lt;="&amp;EOMONTH(AF7,0),'CEI565'!$F$6:$F$2994,"Closed Account")+SUMIFS('1SM3VL'!$H$6:$H$2989,'1SM3VL'!$E$6:$E$2989,"&gt;="&amp;AF7,'1SM3VL'!$E$6:$E$2989,"&lt;="&amp;EOMONTH(AF7,0),'1SM3VL'!$F$6:$F$2989,"Closed Aaccount")+SUMIFS('1QF4SM'!$H$6:$H$2989,'1QF4SM'!$E$6:$E$2989,"&gt;="&amp;AF7,'1QF4SM'!$E$6:$E$2989,"&lt;="&amp;EOMONTH(AF7,0),'1QF4SM'!$F$6:$F$2989,"Closed Account")+SUMIFS('1UV5KI'!$H$6:$H$2988,'1UV5KI'!$E$6:$E$2988,"&gt;="&amp;AF7,'1UV5KI'!$E$6:$E$2988,"&lt;="&amp;EOMONTH(AF7,0),'1UV5KI'!$F$6:$F$2988,"Closed Account")+SUMIFS(#REF!,#REF!,"&gt;="&amp;AF7,#REF!,"&lt;="&amp;EOMONTH(AF7,0),#REF!,"Closed Account")+SUMIFS('1UL9RY'!$H$6:$H$2989,'1UL9RY'!$E$6:$E$2989,"&gt;="&amp;AF7,'1UL9RY'!$E$6:$E$2989,"&lt;="&amp;EOMONTH(AF7,0),'1UL9RY'!$F$6:$F$2989,"Closed Account")+SUMIFS('1OZ7GT'!$H$6:$H$2989,'1OZ7GT'!$E$6:$E$2989,"&gt;="&amp;AF7,'1OZ7GT'!$E$6:$E$2989,"&lt;="&amp;EOMONTH(AF7,0),'1OZ7GT'!$F$6:$F$2989,"Closed Account")+SUMIFS('1CN8DD'!$H$6:$H$2989,'1CN8DD'!$E$6:$E$2989,"&gt;="&amp;AF7,'1CN8DD'!$E$6:$E$2989,"&lt;="&amp;EOMONTH(AF7,0),'1CN8DD'!$F$6:$F$2989,"Closed Account")+SUMIFS('1UT9BR'!$H$6:$H$2989,'1UT9BR'!$E$6:$E$2989,"&gt;="&amp;AF7,'1UT9BR'!$E$6:$E$2989,"&lt;="&amp;EOMONTH(AF7,0),'1UT9BR'!$F$6:$F$2989,"Closed Account")+SUMIFS('1MK4UR'!$H$6:$H$2989,'1MK4UR'!$E$6:$E$2989,"&gt;="&amp;AF7,'1MK4UR'!$E$6:$E$2989,"&lt;="&amp;EOMONTH(AF7,0),'1MK4UR'!$F$6:$F$2989,"Closed Account")+SUMIFS(#REF!,#REF!,"&gt;="&amp;AF7,#REF!,"&lt;="&amp;EOMONTH(AF7,0),#REF!,"Closed Account")+SUMIFS('1JI2UE'!$H$6:$H$2989,'1JI2UE'!$E$6:$E$2989,"&gt;="&amp;AF7,'1JI2UE'!$E$6:$E$2989,"&lt;="&amp;EOMONTH(AF7,0),'1JI2UE'!$F$6:$F$2989,"Closed Account")+SUMIFS(#REF!,#REF!,"&gt;="&amp;AF7,#REF!,"&lt;="&amp;EOMONTH(AF7,0),#REF!,"Closed Account")+SUMIFS('1SI9BW'!$H$6:$H$2989,'1SI9BW'!$E$6:$E$2989,"&gt;="&amp;AF7,'1SI9BW'!$E$6:$E$2989,"&lt;="&amp;EOMONTH(AF7,0),'1SI9BW'!$F$6:$F$2989,"Closed Account")+SUMIFS(Suzuki!$H$6:$H$2989,Suzuki!$E$6:$E$2989,"&gt;="&amp;AF7,Suzuki!$E$6:$E$2989,"&lt;="&amp;EOMONTH(AF7,0),Suzuki!$F$6:$F$2989,"Closed Account")+SUMIFS('1SK3DD'!$H$6:$H$2989,'1SK3DD'!$E$6:$E$2989,"&gt;="&amp;AF7,'1SK3DD'!$E$6:$E$2989,"&lt;="&amp;EOMONTH(AF7,0),'1SK3DD'!$F$6:$F$2989,"Closed Account")+SUMIFS('1SX5TQ'!$H$6:$H$2989,'1SX5TQ'!$E$6:$E$2989,"&gt;="&amp;AF7,'1SX5TQ'!$E$6:$E$2989,"&lt;="&amp;EOMONTH(AF7,0),'1SX5TQ'!$F$6:$F$2989,"Closed Account")+SUMIFS('BMM465'!$H$6:$H$2989,'BMM465'!$E$6:$E$2989,"&gt;="&amp;AF7,'BMM465'!$E$6:$E$2989,"&lt;="&amp;EOMONTH(AF7,0),'BMM465'!$F$6:$F$2989,"Closed Account")+SUMIFS('1CF1ZO'!$H$6:$H$2989,'1CF1ZO'!$E$6:$E$2989,"&gt;="&amp;AF7,'1CF1ZO'!$E$6:$E$2989,"&lt;="&amp;EOMONTH(AF7,0),'1CF1ZO'!$F$6:$F$2989,"Closed Account")+SUMIFS('1UK1BK'!$H$6:$H$2989,'1UK1BK'!$E$6:$E$2989,"&gt;="&amp;AF7,'1UK1BK'!$E$6:$E$2989,"&lt;="&amp;EOMONTH(AF7,0),'1UK1BK'!$F$6:$F$2989,"Closed Account")</f>
        <v>#REF!</v>
      </c>
      <c r="AG46" s="2" t="e">
        <f>SUMIFS('CEI565'!$H$6:$H$2994,'CEI565'!$E$6:$E$2994,"&gt;="&amp;AG7,'CEI565'!$E$6:$E$2994,"&lt;="&amp;EOMONTH(AG7,0),'CEI565'!$F$6:$F$2994,"Closed Account")+SUMIFS('1SM3VL'!$H$6:$H$2989,'1SM3VL'!$E$6:$E$2989,"&gt;="&amp;AG7,'1SM3VL'!$E$6:$E$2989,"&lt;="&amp;EOMONTH(AG7,0),'1SM3VL'!$F$6:$F$2989,"Closed Aaccount")+SUMIFS('1QF4SM'!$H$6:$H$2989,'1QF4SM'!$E$6:$E$2989,"&gt;="&amp;AG7,'1QF4SM'!$E$6:$E$2989,"&lt;="&amp;EOMONTH(AG7,0),'1QF4SM'!$F$6:$F$2989,"Closed Account")+SUMIFS('1UV5KI'!$H$6:$H$2988,'1UV5KI'!$E$6:$E$2988,"&gt;="&amp;AG7,'1UV5KI'!$E$6:$E$2988,"&lt;="&amp;EOMONTH(AG7,0),'1UV5KI'!$F$6:$F$2988,"Closed Account")+SUMIFS(#REF!,#REF!,"&gt;="&amp;AG7,#REF!,"&lt;="&amp;EOMONTH(AG7,0),#REF!,"Closed Account")+SUMIFS('1UL9RY'!$H$6:$H$2989,'1UL9RY'!$E$6:$E$2989,"&gt;="&amp;AG7,'1UL9RY'!$E$6:$E$2989,"&lt;="&amp;EOMONTH(AG7,0),'1UL9RY'!$F$6:$F$2989,"Closed Account")+SUMIFS('1OZ7GT'!$H$6:$H$2989,'1OZ7GT'!$E$6:$E$2989,"&gt;="&amp;AG7,'1OZ7GT'!$E$6:$E$2989,"&lt;="&amp;EOMONTH(AG7,0),'1OZ7GT'!$F$6:$F$2989,"Closed Account")+SUMIFS('1CN8DD'!$H$6:$H$2989,'1CN8DD'!$E$6:$E$2989,"&gt;="&amp;AG7,'1CN8DD'!$E$6:$E$2989,"&lt;="&amp;EOMONTH(AG7,0),'1CN8DD'!$F$6:$F$2989,"Closed Account")+SUMIFS('1UT9BR'!$H$6:$H$2989,'1UT9BR'!$E$6:$E$2989,"&gt;="&amp;AG7,'1UT9BR'!$E$6:$E$2989,"&lt;="&amp;EOMONTH(AG7,0),'1UT9BR'!$F$6:$F$2989,"Closed Account")+SUMIFS('1MK4UR'!$H$6:$H$2989,'1MK4UR'!$E$6:$E$2989,"&gt;="&amp;AG7,'1MK4UR'!$E$6:$E$2989,"&lt;="&amp;EOMONTH(AG7,0),'1MK4UR'!$F$6:$F$2989,"Closed Account")+SUMIFS(#REF!,#REF!,"&gt;="&amp;AG7,#REF!,"&lt;="&amp;EOMONTH(AG7,0),#REF!,"Closed Account")+SUMIFS('1JI2UE'!$H$6:$H$2989,'1JI2UE'!$E$6:$E$2989,"&gt;="&amp;AG7,'1JI2UE'!$E$6:$E$2989,"&lt;="&amp;EOMONTH(AG7,0),'1JI2UE'!$F$6:$F$2989,"Closed Account")+SUMIFS(#REF!,#REF!,"&gt;="&amp;AG7,#REF!,"&lt;="&amp;EOMONTH(AG7,0),#REF!,"Closed Account")+SUMIFS('1SI9BW'!$H$6:$H$2989,'1SI9BW'!$E$6:$E$2989,"&gt;="&amp;AG7,'1SI9BW'!$E$6:$E$2989,"&lt;="&amp;EOMONTH(AG7,0),'1SI9BW'!$F$6:$F$2989,"Closed Account")+SUMIFS(Suzuki!$H$6:$H$2989,Suzuki!$E$6:$E$2989,"&gt;="&amp;AG7,Suzuki!$E$6:$E$2989,"&lt;="&amp;EOMONTH(AG7,0),Suzuki!$F$6:$F$2989,"Closed Account")+SUMIFS('1SK3DD'!$H$6:$H$2989,'1SK3DD'!$E$6:$E$2989,"&gt;="&amp;AG7,'1SK3DD'!$E$6:$E$2989,"&lt;="&amp;EOMONTH(AG7,0),'1SK3DD'!$F$6:$F$2989,"Closed Account")+SUMIFS('1SX5TQ'!$H$6:$H$2989,'1SX5TQ'!$E$6:$E$2989,"&gt;="&amp;AG7,'1SX5TQ'!$E$6:$E$2989,"&lt;="&amp;EOMONTH(AG7,0),'1SX5TQ'!$F$6:$F$2989,"Closed Account")+SUMIFS('BMM465'!$H$6:$H$2989,'BMM465'!$E$6:$E$2989,"&gt;="&amp;AG7,'BMM465'!$E$6:$E$2989,"&lt;="&amp;EOMONTH(AG7,0),'BMM465'!$F$6:$F$2989,"Closed Account")+SUMIFS('1CF1ZO'!$H$6:$H$2989,'1CF1ZO'!$E$6:$E$2989,"&gt;="&amp;AG7,'1CF1ZO'!$E$6:$E$2989,"&lt;="&amp;EOMONTH(AG7,0),'1CF1ZO'!$F$6:$F$2989,"Closed Account")+SUMIFS('1UK1BK'!$H$6:$H$2989,'1UK1BK'!$E$6:$E$2989,"&gt;="&amp;AG7,'1UK1BK'!$E$6:$E$2989,"&lt;="&amp;EOMONTH(AG7,0),'1UK1BK'!$F$6:$F$2989,"Closed Account")</f>
        <v>#REF!</v>
      </c>
      <c r="AH46" s="2" t="e">
        <f>SUMIFS('CEI565'!$H$6:$H$2994,'CEI565'!$E$6:$E$2994,"&gt;="&amp;AH7,'CEI565'!$E$6:$E$2994,"&lt;="&amp;EOMONTH(AH7,0),'CEI565'!$F$6:$F$2994,"Closed Account")+SUMIFS('1SM3VL'!$H$6:$H$2989,'1SM3VL'!$E$6:$E$2989,"&gt;="&amp;AH7,'1SM3VL'!$E$6:$E$2989,"&lt;="&amp;EOMONTH(AH7,0),'1SM3VL'!$F$6:$F$2989,"Closed Aaccount")+SUMIFS('1QF4SM'!$H$6:$H$2989,'1QF4SM'!$E$6:$E$2989,"&gt;="&amp;AH7,'1QF4SM'!$E$6:$E$2989,"&lt;="&amp;EOMONTH(AH7,0),'1QF4SM'!$F$6:$F$2989,"Closed Account")+SUMIFS('1UV5KI'!$H$6:$H$2988,'1UV5KI'!$E$6:$E$2988,"&gt;="&amp;AH7,'1UV5KI'!$E$6:$E$2988,"&lt;="&amp;EOMONTH(AH7,0),'1UV5KI'!$F$6:$F$2988,"Closed Account")+SUMIFS(#REF!,#REF!,"&gt;="&amp;AH7,#REF!,"&lt;="&amp;EOMONTH(AH7,0),#REF!,"Closed Account")+SUMIFS('1UL9RY'!$H$6:$H$2989,'1UL9RY'!$E$6:$E$2989,"&gt;="&amp;AH7,'1UL9RY'!$E$6:$E$2989,"&lt;="&amp;EOMONTH(AH7,0),'1UL9RY'!$F$6:$F$2989,"Closed Account")+SUMIFS('1OZ7GT'!$H$6:$H$2989,'1OZ7GT'!$E$6:$E$2989,"&gt;="&amp;AH7,'1OZ7GT'!$E$6:$E$2989,"&lt;="&amp;EOMONTH(AH7,0),'1OZ7GT'!$F$6:$F$2989,"Closed Account")+SUMIFS('1CN8DD'!$H$6:$H$2989,'1CN8DD'!$E$6:$E$2989,"&gt;="&amp;AH7,'1CN8DD'!$E$6:$E$2989,"&lt;="&amp;EOMONTH(AH7,0),'1CN8DD'!$F$6:$F$2989,"Closed Account")+SUMIFS('1UT9BR'!$H$6:$H$2989,'1UT9BR'!$E$6:$E$2989,"&gt;="&amp;AH7,'1UT9BR'!$E$6:$E$2989,"&lt;="&amp;EOMONTH(AH7,0),'1UT9BR'!$F$6:$F$2989,"Closed Account")+SUMIFS('1MK4UR'!$H$6:$H$2989,'1MK4UR'!$E$6:$E$2989,"&gt;="&amp;AH7,'1MK4UR'!$E$6:$E$2989,"&lt;="&amp;EOMONTH(AH7,0),'1MK4UR'!$F$6:$F$2989,"Closed Account")+SUMIFS(#REF!,#REF!,"&gt;="&amp;AH7,#REF!,"&lt;="&amp;EOMONTH(AH7,0),#REF!,"Closed Account")+SUMIFS('1JI2UE'!$H$6:$H$2989,'1JI2UE'!$E$6:$E$2989,"&gt;="&amp;AH7,'1JI2UE'!$E$6:$E$2989,"&lt;="&amp;EOMONTH(AH7,0),'1JI2UE'!$F$6:$F$2989,"Closed Account")+SUMIFS(#REF!,#REF!,"&gt;="&amp;AH7,#REF!,"&lt;="&amp;EOMONTH(AH7,0),#REF!,"Closed Account")+SUMIFS('1SI9BW'!$H$6:$H$2989,'1SI9BW'!$E$6:$E$2989,"&gt;="&amp;AH7,'1SI9BW'!$E$6:$E$2989,"&lt;="&amp;EOMONTH(AH7,0),'1SI9BW'!$F$6:$F$2989,"Closed Account")+SUMIFS(Suzuki!$H$6:$H$2989,Suzuki!$E$6:$E$2989,"&gt;="&amp;AH7,Suzuki!$E$6:$E$2989,"&lt;="&amp;EOMONTH(AH7,0),Suzuki!$F$6:$F$2989,"Closed Account")+SUMIFS('1SK3DD'!$H$6:$H$2989,'1SK3DD'!$E$6:$E$2989,"&gt;="&amp;AH7,'1SK3DD'!$E$6:$E$2989,"&lt;="&amp;EOMONTH(AH7,0),'1SK3DD'!$F$6:$F$2989,"Closed Account")+SUMIFS('1SX5TQ'!$H$6:$H$2989,'1SX5TQ'!$E$6:$E$2989,"&gt;="&amp;AH7,'1SX5TQ'!$E$6:$E$2989,"&lt;="&amp;EOMONTH(AH7,0),'1SX5TQ'!$F$6:$F$2989,"Closed Account")+SUMIFS('BMM465'!$H$6:$H$2989,'BMM465'!$E$6:$E$2989,"&gt;="&amp;AH7,'BMM465'!$E$6:$E$2989,"&lt;="&amp;EOMONTH(AH7,0),'BMM465'!$F$6:$F$2989,"Closed Account")+SUMIFS('1CF1ZO'!$H$6:$H$2989,'1CF1ZO'!$E$6:$E$2989,"&gt;="&amp;AH7,'1CF1ZO'!$E$6:$E$2989,"&lt;="&amp;EOMONTH(AH7,0),'1CF1ZO'!$F$6:$F$2989,"Closed Account")+SUMIFS('1UK1BK'!$H$6:$H$2989,'1UK1BK'!$E$6:$E$2989,"&gt;="&amp;AH7,'1UK1BK'!$E$6:$E$2989,"&lt;="&amp;EOMONTH(AH7,0),'1UK1BK'!$F$6:$F$2989,"Closed Account")</f>
        <v>#REF!</v>
      </c>
      <c r="AI46" s="2" t="e">
        <f>SUMIFS('CEI565'!$H$6:$H$2994,'CEI565'!$E$6:$E$2994,"&gt;="&amp;AI7,'CEI565'!$E$6:$E$2994,"&lt;="&amp;EOMONTH(AI7,0),'CEI565'!$F$6:$F$2994,"Closed Account")+SUMIFS('1SM3VL'!$H$6:$H$2989,'1SM3VL'!$E$6:$E$2989,"&gt;="&amp;AI7,'1SM3VL'!$E$6:$E$2989,"&lt;="&amp;EOMONTH(AI7,0),'1SM3VL'!$F$6:$F$2989,"Closed Aaccount")+SUMIFS('1QF4SM'!$H$6:$H$2989,'1QF4SM'!$E$6:$E$2989,"&gt;="&amp;AI7,'1QF4SM'!$E$6:$E$2989,"&lt;="&amp;EOMONTH(AI7,0),'1QF4SM'!$F$6:$F$2989,"Closed Account")+SUMIFS('1UV5KI'!$H$6:$H$2988,'1UV5KI'!$E$6:$E$2988,"&gt;="&amp;AI7,'1UV5KI'!$E$6:$E$2988,"&lt;="&amp;EOMONTH(AI7,0),'1UV5KI'!$F$6:$F$2988,"Closed Account")+SUMIFS(#REF!,#REF!,"&gt;="&amp;AI7,#REF!,"&lt;="&amp;EOMONTH(AI7,0),#REF!,"Closed Account")+SUMIFS('1UL9RY'!$H$6:$H$2989,'1UL9RY'!$E$6:$E$2989,"&gt;="&amp;AI7,'1UL9RY'!$E$6:$E$2989,"&lt;="&amp;EOMONTH(AI7,0),'1UL9RY'!$F$6:$F$2989,"Closed Account")+SUMIFS('1OZ7GT'!$H$6:$H$2989,'1OZ7GT'!$E$6:$E$2989,"&gt;="&amp;AI7,'1OZ7GT'!$E$6:$E$2989,"&lt;="&amp;EOMONTH(AI7,0),'1OZ7GT'!$F$6:$F$2989,"Closed Account")+SUMIFS('1CN8DD'!$H$6:$H$2989,'1CN8DD'!$E$6:$E$2989,"&gt;="&amp;AI7,'1CN8DD'!$E$6:$E$2989,"&lt;="&amp;EOMONTH(AI7,0),'1CN8DD'!$F$6:$F$2989,"Closed Account")+SUMIFS('1UT9BR'!$H$6:$H$2989,'1UT9BR'!$E$6:$E$2989,"&gt;="&amp;AI7,'1UT9BR'!$E$6:$E$2989,"&lt;="&amp;EOMONTH(AI7,0),'1UT9BR'!$F$6:$F$2989,"Closed Account")+SUMIFS('1MK4UR'!$H$6:$H$2989,'1MK4UR'!$E$6:$E$2989,"&gt;="&amp;AI7,'1MK4UR'!$E$6:$E$2989,"&lt;="&amp;EOMONTH(AI7,0),'1MK4UR'!$F$6:$F$2989,"Closed Account")+SUMIFS(#REF!,#REF!,"&gt;="&amp;AI7,#REF!,"&lt;="&amp;EOMONTH(AI7,0),#REF!,"Closed Account")+SUMIFS('1JI2UE'!$H$6:$H$2989,'1JI2UE'!$E$6:$E$2989,"&gt;="&amp;AI7,'1JI2UE'!$E$6:$E$2989,"&lt;="&amp;EOMONTH(AI7,0),'1JI2UE'!$F$6:$F$2989,"Closed Account")+SUMIFS(#REF!,#REF!,"&gt;="&amp;AI7,#REF!,"&lt;="&amp;EOMONTH(AI7,0),#REF!,"Closed Account")+SUMIFS('1SI9BW'!$H$6:$H$2989,'1SI9BW'!$E$6:$E$2989,"&gt;="&amp;AI7,'1SI9BW'!$E$6:$E$2989,"&lt;="&amp;EOMONTH(AI7,0),'1SI9BW'!$F$6:$F$2989,"Closed Account")+SUMIFS(Suzuki!$H$6:$H$2989,Suzuki!$E$6:$E$2989,"&gt;="&amp;AI7,Suzuki!$E$6:$E$2989,"&lt;="&amp;EOMONTH(AI7,0),Suzuki!$F$6:$F$2989,"Closed Account")+SUMIFS('1SK3DD'!$H$6:$H$2989,'1SK3DD'!$E$6:$E$2989,"&gt;="&amp;AI7,'1SK3DD'!$E$6:$E$2989,"&lt;="&amp;EOMONTH(AI7,0),'1SK3DD'!$F$6:$F$2989,"Closed Account")+SUMIFS('1SX5TQ'!$H$6:$H$2989,'1SX5TQ'!$E$6:$E$2989,"&gt;="&amp;AI7,'1SX5TQ'!$E$6:$E$2989,"&lt;="&amp;EOMONTH(AI7,0),'1SX5TQ'!$F$6:$F$2989,"Closed Account")+SUMIFS('BMM465'!$H$6:$H$2989,'BMM465'!$E$6:$E$2989,"&gt;="&amp;AI7,'BMM465'!$E$6:$E$2989,"&lt;="&amp;EOMONTH(AI7,0),'BMM465'!$F$6:$F$2989,"Closed Account")+SUMIFS('1CF1ZO'!$H$6:$H$2989,'1CF1ZO'!$E$6:$E$2989,"&gt;="&amp;AI7,'1CF1ZO'!$E$6:$E$2989,"&lt;="&amp;EOMONTH(AI7,0),'1CF1ZO'!$F$6:$F$2989,"Closed Account")+SUMIFS('1UK1BK'!$H$6:$H$2989,'1UK1BK'!$E$6:$E$2989,"&gt;="&amp;AI7,'1UK1BK'!$E$6:$E$2989,"&lt;="&amp;EOMONTH(AI7,0),'1UK1BK'!$F$6:$F$2989,"Closed Account")</f>
        <v>#REF!</v>
      </c>
      <c r="AJ46" s="2" t="e">
        <f>SUMIFS('CEI565'!$H$6:$H$2994,'CEI565'!$E$6:$E$2994,"&gt;="&amp;AJ7,'CEI565'!$E$6:$E$2994,"&lt;="&amp;EOMONTH(AJ7,0),'CEI565'!$F$6:$F$2994,"Closed Account")+SUMIFS('1SM3VL'!$H$6:$H$2989,'1SM3VL'!$E$6:$E$2989,"&gt;="&amp;AJ7,'1SM3VL'!$E$6:$E$2989,"&lt;="&amp;EOMONTH(AJ7,0),'1SM3VL'!$F$6:$F$2989,"Closed Aaccount")+SUMIFS('1QF4SM'!$H$6:$H$2989,'1QF4SM'!$E$6:$E$2989,"&gt;="&amp;AJ7,'1QF4SM'!$E$6:$E$2989,"&lt;="&amp;EOMONTH(AJ7,0),'1QF4SM'!$F$6:$F$2989,"Closed Account")+SUMIFS('1UV5KI'!$H$6:$H$2988,'1UV5KI'!$E$6:$E$2988,"&gt;="&amp;AJ7,'1UV5KI'!$E$6:$E$2988,"&lt;="&amp;EOMONTH(AJ7,0),'1UV5KI'!$F$6:$F$2988,"Closed Account")+SUMIFS(#REF!,#REF!,"&gt;="&amp;AJ7,#REF!,"&lt;="&amp;EOMONTH(AJ7,0),#REF!,"Closed Account")+SUMIFS('1UL9RY'!$H$6:$H$2989,'1UL9RY'!$E$6:$E$2989,"&gt;="&amp;AJ7,'1UL9RY'!$E$6:$E$2989,"&lt;="&amp;EOMONTH(AJ7,0),'1UL9RY'!$F$6:$F$2989,"Closed Account")+SUMIFS('1OZ7GT'!$H$6:$H$2989,'1OZ7GT'!$E$6:$E$2989,"&gt;="&amp;AJ7,'1OZ7GT'!$E$6:$E$2989,"&lt;="&amp;EOMONTH(AJ7,0),'1OZ7GT'!$F$6:$F$2989,"Closed Account")+SUMIFS('1CN8DD'!$H$6:$H$2989,'1CN8DD'!$E$6:$E$2989,"&gt;="&amp;AJ7,'1CN8DD'!$E$6:$E$2989,"&lt;="&amp;EOMONTH(AJ7,0),'1CN8DD'!$F$6:$F$2989,"Closed Account")+SUMIFS('1UT9BR'!$H$6:$H$2989,'1UT9BR'!$E$6:$E$2989,"&gt;="&amp;AJ7,'1UT9BR'!$E$6:$E$2989,"&lt;="&amp;EOMONTH(AJ7,0),'1UT9BR'!$F$6:$F$2989,"Closed Account")+SUMIFS('1MK4UR'!$H$6:$H$2989,'1MK4UR'!$E$6:$E$2989,"&gt;="&amp;AJ7,'1MK4UR'!$E$6:$E$2989,"&lt;="&amp;EOMONTH(AJ7,0),'1MK4UR'!$F$6:$F$2989,"Closed Account")+SUMIFS(#REF!,#REF!,"&gt;="&amp;AJ7,#REF!,"&lt;="&amp;EOMONTH(AJ7,0),#REF!,"Closed Account")+SUMIFS('1JI2UE'!$H$6:$H$2989,'1JI2UE'!$E$6:$E$2989,"&gt;="&amp;AJ7,'1JI2UE'!$E$6:$E$2989,"&lt;="&amp;EOMONTH(AJ7,0),'1JI2UE'!$F$6:$F$2989,"Closed Account")+SUMIFS(#REF!,#REF!,"&gt;="&amp;AJ7,#REF!,"&lt;="&amp;EOMONTH(AJ7,0),#REF!,"Closed Account")+SUMIFS('1SI9BW'!$H$6:$H$2989,'1SI9BW'!$E$6:$E$2989,"&gt;="&amp;AJ7,'1SI9BW'!$E$6:$E$2989,"&lt;="&amp;EOMONTH(AJ7,0),'1SI9BW'!$F$6:$F$2989,"Closed Account")+SUMIFS(Suzuki!$H$6:$H$2989,Suzuki!$E$6:$E$2989,"&gt;="&amp;AJ7,Suzuki!$E$6:$E$2989,"&lt;="&amp;EOMONTH(AJ7,0),Suzuki!$F$6:$F$2989,"Closed Account")+SUMIFS('1SK3DD'!$H$6:$H$2989,'1SK3DD'!$E$6:$E$2989,"&gt;="&amp;AJ7,'1SK3DD'!$E$6:$E$2989,"&lt;="&amp;EOMONTH(AJ7,0),'1SK3DD'!$F$6:$F$2989,"Closed Account")+SUMIFS('1SX5TQ'!$H$6:$H$2989,'1SX5TQ'!$E$6:$E$2989,"&gt;="&amp;AJ7,'1SX5TQ'!$E$6:$E$2989,"&lt;="&amp;EOMONTH(AJ7,0),'1SX5TQ'!$F$6:$F$2989,"Closed Account")+SUMIFS('BMM465'!$H$6:$H$2989,'BMM465'!$E$6:$E$2989,"&gt;="&amp;AJ7,'BMM465'!$E$6:$E$2989,"&lt;="&amp;EOMONTH(AJ7,0),'BMM465'!$F$6:$F$2989,"Closed Account")+SUMIFS('1CF1ZO'!$H$6:$H$2989,'1CF1ZO'!$E$6:$E$2989,"&gt;="&amp;AJ7,'1CF1ZO'!$E$6:$E$2989,"&lt;="&amp;EOMONTH(AJ7,0),'1CF1ZO'!$F$6:$F$2989,"Closed Account")+SUMIFS('1UK1BK'!$H$6:$H$2989,'1UK1BK'!$E$6:$E$2989,"&gt;="&amp;AJ7,'1UK1BK'!$E$6:$E$2989,"&lt;="&amp;EOMONTH(AJ7,0),'1UK1BK'!$F$6:$F$2989,"Closed Account")</f>
        <v>#REF!</v>
      </c>
      <c r="AK46" s="2" t="e">
        <f>SUMIFS('CEI565'!$H$6:$H$2994,'CEI565'!$E$6:$E$2994,"&gt;="&amp;AK7,'CEI565'!$E$6:$E$2994,"&lt;="&amp;EOMONTH(AK7,0),'CEI565'!$F$6:$F$2994,"Closed Account")+SUMIFS('1SM3VL'!$H$6:$H$2989,'1SM3VL'!$E$6:$E$2989,"&gt;="&amp;AK7,'1SM3VL'!$E$6:$E$2989,"&lt;="&amp;EOMONTH(AK7,0),'1SM3VL'!$F$6:$F$2989,"Closed Aaccount")+SUMIFS('1QF4SM'!$H$6:$H$2989,'1QF4SM'!$E$6:$E$2989,"&gt;="&amp;AK7,'1QF4SM'!$E$6:$E$2989,"&lt;="&amp;EOMONTH(AK7,0),'1QF4SM'!$F$6:$F$2989,"Closed Account")+SUMIFS('1UV5KI'!$H$6:$H$2988,'1UV5KI'!$E$6:$E$2988,"&gt;="&amp;AK7,'1UV5KI'!$E$6:$E$2988,"&lt;="&amp;EOMONTH(AK7,0),'1UV5KI'!$F$6:$F$2988,"Closed Account")+SUMIFS(#REF!,#REF!,"&gt;="&amp;AK7,#REF!,"&lt;="&amp;EOMONTH(AK7,0),#REF!,"Closed Account")+SUMIFS('1UL9RY'!$H$6:$H$2989,'1UL9RY'!$E$6:$E$2989,"&gt;="&amp;AK7,'1UL9RY'!$E$6:$E$2989,"&lt;="&amp;EOMONTH(AK7,0),'1UL9RY'!$F$6:$F$2989,"Closed Account")+SUMIFS('1OZ7GT'!$H$6:$H$2989,'1OZ7GT'!$E$6:$E$2989,"&gt;="&amp;AK7,'1OZ7GT'!$E$6:$E$2989,"&lt;="&amp;EOMONTH(AK7,0),'1OZ7GT'!$F$6:$F$2989,"Closed Account")+SUMIFS('1CN8DD'!$H$6:$H$2989,'1CN8DD'!$E$6:$E$2989,"&gt;="&amp;AK7,'1CN8DD'!$E$6:$E$2989,"&lt;="&amp;EOMONTH(AK7,0),'1CN8DD'!$F$6:$F$2989,"Closed Account")+SUMIFS('1UT9BR'!$H$6:$H$2989,'1UT9BR'!$E$6:$E$2989,"&gt;="&amp;AK7,'1UT9BR'!$E$6:$E$2989,"&lt;="&amp;EOMONTH(AK7,0),'1UT9BR'!$F$6:$F$2989,"Closed Account")+SUMIFS('1MK4UR'!$H$6:$H$2989,'1MK4UR'!$E$6:$E$2989,"&gt;="&amp;AK7,'1MK4UR'!$E$6:$E$2989,"&lt;="&amp;EOMONTH(AK7,0),'1MK4UR'!$F$6:$F$2989,"Closed Account")+SUMIFS(#REF!,#REF!,"&gt;="&amp;AK7,#REF!,"&lt;="&amp;EOMONTH(AK7,0),#REF!,"Closed Account")+SUMIFS('1JI2UE'!$H$6:$H$2989,'1JI2UE'!$E$6:$E$2989,"&gt;="&amp;AK7,'1JI2UE'!$E$6:$E$2989,"&lt;="&amp;EOMONTH(AK7,0),'1JI2UE'!$F$6:$F$2989,"Closed Account")+SUMIFS(#REF!,#REF!,"&gt;="&amp;AK7,#REF!,"&lt;="&amp;EOMONTH(AK7,0),#REF!,"Closed Account")+SUMIFS('1SI9BW'!$H$6:$H$2989,'1SI9BW'!$E$6:$E$2989,"&gt;="&amp;AK7,'1SI9BW'!$E$6:$E$2989,"&lt;="&amp;EOMONTH(AK7,0),'1SI9BW'!$F$6:$F$2989,"Closed Account")+SUMIFS(Suzuki!$H$6:$H$2989,Suzuki!$E$6:$E$2989,"&gt;="&amp;AK7,Suzuki!$E$6:$E$2989,"&lt;="&amp;EOMONTH(AK7,0),Suzuki!$F$6:$F$2989,"Closed Account")+SUMIFS('1SK3DD'!$H$6:$H$2989,'1SK3DD'!$E$6:$E$2989,"&gt;="&amp;AK7,'1SK3DD'!$E$6:$E$2989,"&lt;="&amp;EOMONTH(AK7,0),'1SK3DD'!$F$6:$F$2989,"Closed Account")+SUMIFS('1SX5TQ'!$H$6:$H$2989,'1SX5TQ'!$E$6:$E$2989,"&gt;="&amp;AK7,'1SX5TQ'!$E$6:$E$2989,"&lt;="&amp;EOMONTH(AK7,0),'1SX5TQ'!$F$6:$F$2989,"Closed Account")+SUMIFS('BMM465'!$H$6:$H$2989,'BMM465'!$E$6:$E$2989,"&gt;="&amp;AK7,'BMM465'!$E$6:$E$2989,"&lt;="&amp;EOMONTH(AK7,0),'BMM465'!$F$6:$F$2989,"Closed Account")+SUMIFS('1CF1ZO'!$H$6:$H$2989,'1CF1ZO'!$E$6:$E$2989,"&gt;="&amp;AK7,'1CF1ZO'!$E$6:$E$2989,"&lt;="&amp;EOMONTH(AK7,0),'1CF1ZO'!$F$6:$F$2989,"Closed Account")+SUMIFS('1UK1BK'!$H$6:$H$2989,'1UK1BK'!$E$6:$E$2989,"&gt;="&amp;AK7,'1UK1BK'!$E$6:$E$2989,"&lt;="&amp;EOMONTH(AK7,0),'1UK1BK'!$F$6:$F$2989,"Closed Account")</f>
        <v>#REF!</v>
      </c>
      <c r="AL46" s="2" t="e">
        <f>SUMIFS('CEI565'!$H$6:$H$2994,'CEI565'!$E$6:$E$2994,"&gt;="&amp;AL7,'CEI565'!$E$6:$E$2994,"&lt;="&amp;EOMONTH(AL7,0),'CEI565'!$F$6:$F$2994,"Closed Account")+SUMIFS('1SM3VL'!$H$6:$H$2989,'1SM3VL'!$E$6:$E$2989,"&gt;="&amp;AL7,'1SM3VL'!$E$6:$E$2989,"&lt;="&amp;EOMONTH(AL7,0),'1SM3VL'!$F$6:$F$2989,"Closed Aaccount")+SUMIFS('1QF4SM'!$H$6:$H$2989,'1QF4SM'!$E$6:$E$2989,"&gt;="&amp;AL7,'1QF4SM'!$E$6:$E$2989,"&lt;="&amp;EOMONTH(AL7,0),'1QF4SM'!$F$6:$F$2989,"Closed Account")+SUMIFS('1UV5KI'!$H$6:$H$2988,'1UV5KI'!$E$6:$E$2988,"&gt;="&amp;AL7,'1UV5KI'!$E$6:$E$2988,"&lt;="&amp;EOMONTH(AL7,0),'1UV5KI'!$F$6:$F$2988,"Closed Account")+SUMIFS(#REF!,#REF!,"&gt;="&amp;AL7,#REF!,"&lt;="&amp;EOMONTH(AL7,0),#REF!,"Closed Account")+SUMIFS('1UL9RY'!$H$6:$H$2989,'1UL9RY'!$E$6:$E$2989,"&gt;="&amp;AL7,'1UL9RY'!$E$6:$E$2989,"&lt;="&amp;EOMONTH(AL7,0),'1UL9RY'!$F$6:$F$2989,"Closed Account")+SUMIFS('1OZ7GT'!$H$6:$H$2989,'1OZ7GT'!$E$6:$E$2989,"&gt;="&amp;AL7,'1OZ7GT'!$E$6:$E$2989,"&lt;="&amp;EOMONTH(AL7,0),'1OZ7GT'!$F$6:$F$2989,"Closed Account")+SUMIFS('1CN8DD'!$H$6:$H$2989,'1CN8DD'!$E$6:$E$2989,"&gt;="&amp;AL7,'1CN8DD'!$E$6:$E$2989,"&lt;="&amp;EOMONTH(AL7,0),'1CN8DD'!$F$6:$F$2989,"Closed Account")+SUMIFS('1UT9BR'!$H$6:$H$2989,'1UT9BR'!$E$6:$E$2989,"&gt;="&amp;AL7,'1UT9BR'!$E$6:$E$2989,"&lt;="&amp;EOMONTH(AL7,0),'1UT9BR'!$F$6:$F$2989,"Closed Account")+SUMIFS('1MK4UR'!$H$6:$H$2989,'1MK4UR'!$E$6:$E$2989,"&gt;="&amp;AL7,'1MK4UR'!$E$6:$E$2989,"&lt;="&amp;EOMONTH(AL7,0),'1MK4UR'!$F$6:$F$2989,"Closed Account")+SUMIFS(#REF!,#REF!,"&gt;="&amp;AL7,#REF!,"&lt;="&amp;EOMONTH(AL7,0),#REF!,"Closed Account")+SUMIFS('1JI2UE'!$H$6:$H$2989,'1JI2UE'!$E$6:$E$2989,"&gt;="&amp;AL7,'1JI2UE'!$E$6:$E$2989,"&lt;="&amp;EOMONTH(AL7,0),'1JI2UE'!$F$6:$F$2989,"Closed Account")+SUMIFS(#REF!,#REF!,"&gt;="&amp;AL7,#REF!,"&lt;="&amp;EOMONTH(AL7,0),#REF!,"Closed Account")+SUMIFS('1SI9BW'!$H$6:$H$2989,'1SI9BW'!$E$6:$E$2989,"&gt;="&amp;AL7,'1SI9BW'!$E$6:$E$2989,"&lt;="&amp;EOMONTH(AL7,0),'1SI9BW'!$F$6:$F$2989,"Closed Account")+SUMIFS(Suzuki!$H$6:$H$2989,Suzuki!$E$6:$E$2989,"&gt;="&amp;AL7,Suzuki!$E$6:$E$2989,"&lt;="&amp;EOMONTH(AL7,0),Suzuki!$F$6:$F$2989,"Closed Account")+SUMIFS('1SK3DD'!$H$6:$H$2989,'1SK3DD'!$E$6:$E$2989,"&gt;="&amp;AL7,'1SK3DD'!$E$6:$E$2989,"&lt;="&amp;EOMONTH(AL7,0),'1SK3DD'!$F$6:$F$2989,"Closed Account")+SUMIFS('1SX5TQ'!$H$6:$H$2989,'1SX5TQ'!$E$6:$E$2989,"&gt;="&amp;AL7,'1SX5TQ'!$E$6:$E$2989,"&lt;="&amp;EOMONTH(AL7,0),'1SX5TQ'!$F$6:$F$2989,"Closed Account")+SUMIFS('BMM465'!$H$6:$H$2989,'BMM465'!$E$6:$E$2989,"&gt;="&amp;AL7,'BMM465'!$E$6:$E$2989,"&lt;="&amp;EOMONTH(AL7,0),'BMM465'!$F$6:$F$2989,"Closed Account")+SUMIFS('1CF1ZO'!$H$6:$H$2989,'1CF1ZO'!$E$6:$E$2989,"&gt;="&amp;AL7,'1CF1ZO'!$E$6:$E$2989,"&lt;="&amp;EOMONTH(AL7,0),'1CF1ZO'!$F$6:$F$2989,"Closed Account")+SUMIFS('1UK1BK'!$H$6:$H$2989,'1UK1BK'!$E$6:$E$2989,"&gt;="&amp;AL7,'1UK1BK'!$E$6:$E$2989,"&lt;="&amp;EOMONTH(AL7,0),'1UK1BK'!$F$6:$F$2989,"Closed Account")</f>
        <v>#REF!</v>
      </c>
      <c r="AM46" s="2" t="e">
        <f>SUMIFS('CEI565'!$H$6:$H$2994,'CEI565'!$E$6:$E$2994,"&gt;="&amp;AM7,'CEI565'!$E$6:$E$2994,"&lt;="&amp;EOMONTH(AM7,0),'CEI565'!$F$6:$F$2994,"Closed Account")+SUMIFS('1SM3VL'!$H$6:$H$2989,'1SM3VL'!$E$6:$E$2989,"&gt;="&amp;AM7,'1SM3VL'!$E$6:$E$2989,"&lt;="&amp;EOMONTH(AM7,0),'1SM3VL'!$F$6:$F$2989,"Closed Aaccount")+SUMIFS('1QF4SM'!$H$6:$H$2989,'1QF4SM'!$E$6:$E$2989,"&gt;="&amp;AM7,'1QF4SM'!$E$6:$E$2989,"&lt;="&amp;EOMONTH(AM7,0),'1QF4SM'!$F$6:$F$2989,"Closed Account")+SUMIFS('1UV5KI'!$H$6:$H$2988,'1UV5KI'!$E$6:$E$2988,"&gt;="&amp;AM7,'1UV5KI'!$E$6:$E$2988,"&lt;="&amp;EOMONTH(AM7,0),'1UV5KI'!$F$6:$F$2988,"Closed Account")+SUMIFS(#REF!,#REF!,"&gt;="&amp;AM7,#REF!,"&lt;="&amp;EOMONTH(AM7,0),#REF!,"Closed Account")+SUMIFS('1UL9RY'!$H$6:$H$2989,'1UL9RY'!$E$6:$E$2989,"&gt;="&amp;AM7,'1UL9RY'!$E$6:$E$2989,"&lt;="&amp;EOMONTH(AM7,0),'1UL9RY'!$F$6:$F$2989,"Closed Account")+SUMIFS('1OZ7GT'!$H$6:$H$2989,'1OZ7GT'!$E$6:$E$2989,"&gt;="&amp;AM7,'1OZ7GT'!$E$6:$E$2989,"&lt;="&amp;EOMONTH(AM7,0),'1OZ7GT'!$F$6:$F$2989,"Closed Account")+SUMIFS('1CN8DD'!$H$6:$H$2989,'1CN8DD'!$E$6:$E$2989,"&gt;="&amp;AM7,'1CN8DD'!$E$6:$E$2989,"&lt;="&amp;EOMONTH(AM7,0),'1CN8DD'!$F$6:$F$2989,"Closed Account")+SUMIFS('1UT9BR'!$H$6:$H$2989,'1UT9BR'!$E$6:$E$2989,"&gt;="&amp;AM7,'1UT9BR'!$E$6:$E$2989,"&lt;="&amp;EOMONTH(AM7,0),'1UT9BR'!$F$6:$F$2989,"Closed Account")+SUMIFS('1MK4UR'!$H$6:$H$2989,'1MK4UR'!$E$6:$E$2989,"&gt;="&amp;AM7,'1MK4UR'!$E$6:$E$2989,"&lt;="&amp;EOMONTH(AM7,0),'1MK4UR'!$F$6:$F$2989,"Closed Account")+SUMIFS(#REF!,#REF!,"&gt;="&amp;AM7,#REF!,"&lt;="&amp;EOMONTH(AM7,0),#REF!,"Closed Account")+SUMIFS('1JI2UE'!$H$6:$H$2989,'1JI2UE'!$E$6:$E$2989,"&gt;="&amp;AM7,'1JI2UE'!$E$6:$E$2989,"&lt;="&amp;EOMONTH(AM7,0),'1JI2UE'!$F$6:$F$2989,"Closed Account")+SUMIFS(#REF!,#REF!,"&gt;="&amp;AM7,#REF!,"&lt;="&amp;EOMONTH(AM7,0),#REF!,"Closed Account")+SUMIFS('1SI9BW'!$H$6:$H$2989,'1SI9BW'!$E$6:$E$2989,"&gt;="&amp;AM7,'1SI9BW'!$E$6:$E$2989,"&lt;="&amp;EOMONTH(AM7,0),'1SI9BW'!$F$6:$F$2989,"Closed Account")+SUMIFS(Suzuki!$H$6:$H$2989,Suzuki!$E$6:$E$2989,"&gt;="&amp;AM7,Suzuki!$E$6:$E$2989,"&lt;="&amp;EOMONTH(AM7,0),Suzuki!$F$6:$F$2989,"Closed Account")+SUMIFS('1SK3DD'!$H$6:$H$2989,'1SK3DD'!$E$6:$E$2989,"&gt;="&amp;AM7,'1SK3DD'!$E$6:$E$2989,"&lt;="&amp;EOMONTH(AM7,0),'1SK3DD'!$F$6:$F$2989,"Closed Account")+SUMIFS('1SX5TQ'!$H$6:$H$2989,'1SX5TQ'!$E$6:$E$2989,"&gt;="&amp;AM7,'1SX5TQ'!$E$6:$E$2989,"&lt;="&amp;EOMONTH(AM7,0),'1SX5TQ'!$F$6:$F$2989,"Closed Account")+SUMIFS('BMM465'!$H$6:$H$2989,'BMM465'!$E$6:$E$2989,"&gt;="&amp;AM7,'BMM465'!$E$6:$E$2989,"&lt;="&amp;EOMONTH(AM7,0),'BMM465'!$F$6:$F$2989,"Closed Account")+SUMIFS('1CF1ZO'!$H$6:$H$2989,'1CF1ZO'!$E$6:$E$2989,"&gt;="&amp;AM7,'1CF1ZO'!$E$6:$E$2989,"&lt;="&amp;EOMONTH(AM7,0),'1CF1ZO'!$F$6:$F$2989,"Closed Account")+SUMIFS('1UK1BK'!$H$6:$H$2989,'1UK1BK'!$E$6:$E$2989,"&gt;="&amp;AM7,'1UK1BK'!$E$6:$E$2989,"&lt;="&amp;EOMONTH(AM7,0),'1UK1BK'!$F$6:$F$2989,"Closed Account")</f>
        <v>#REF!</v>
      </c>
      <c r="AN46" s="2" t="e">
        <f>SUMIFS('CEI565'!$H$6:$H$2994,'CEI565'!$E$6:$E$2994,"&gt;="&amp;AN7,'CEI565'!$E$6:$E$2994,"&lt;="&amp;EOMONTH(AN7,0),'CEI565'!$F$6:$F$2994,"Closed Account")+SUMIFS('1SM3VL'!$H$6:$H$2989,'1SM3VL'!$E$6:$E$2989,"&gt;="&amp;AN7,'1SM3VL'!$E$6:$E$2989,"&lt;="&amp;EOMONTH(AN7,0),'1SM3VL'!$F$6:$F$2989,"Closed Aaccount")+SUMIFS('1QF4SM'!$H$6:$H$2989,'1QF4SM'!$E$6:$E$2989,"&gt;="&amp;AN7,'1QF4SM'!$E$6:$E$2989,"&lt;="&amp;EOMONTH(AN7,0),'1QF4SM'!$F$6:$F$2989,"Closed Account")+SUMIFS('1UV5KI'!$H$6:$H$2988,'1UV5KI'!$E$6:$E$2988,"&gt;="&amp;AN7,'1UV5KI'!$E$6:$E$2988,"&lt;="&amp;EOMONTH(AN7,0),'1UV5KI'!$F$6:$F$2988,"Closed Account")+SUMIFS(#REF!,#REF!,"&gt;="&amp;AN7,#REF!,"&lt;="&amp;EOMONTH(AN7,0),#REF!,"Closed Account")+SUMIFS('1UL9RY'!$H$6:$H$2989,'1UL9RY'!$E$6:$E$2989,"&gt;="&amp;AN7,'1UL9RY'!$E$6:$E$2989,"&lt;="&amp;EOMONTH(AN7,0),'1UL9RY'!$F$6:$F$2989,"Closed Account")+SUMIFS('1OZ7GT'!$H$6:$H$2989,'1OZ7GT'!$E$6:$E$2989,"&gt;="&amp;AN7,'1OZ7GT'!$E$6:$E$2989,"&lt;="&amp;EOMONTH(AN7,0),'1OZ7GT'!$F$6:$F$2989,"Closed Account")+SUMIFS('1CN8DD'!$H$6:$H$2989,'1CN8DD'!$E$6:$E$2989,"&gt;="&amp;AN7,'1CN8DD'!$E$6:$E$2989,"&lt;="&amp;EOMONTH(AN7,0),'1CN8DD'!$F$6:$F$2989,"Closed Account")+SUMIFS('1UT9BR'!$H$6:$H$2989,'1UT9BR'!$E$6:$E$2989,"&gt;="&amp;AN7,'1UT9BR'!$E$6:$E$2989,"&lt;="&amp;EOMONTH(AN7,0),'1UT9BR'!$F$6:$F$2989,"Closed Account")+SUMIFS('1MK4UR'!$H$6:$H$2989,'1MK4UR'!$E$6:$E$2989,"&gt;="&amp;AN7,'1MK4UR'!$E$6:$E$2989,"&lt;="&amp;EOMONTH(AN7,0),'1MK4UR'!$F$6:$F$2989,"Closed Account")+SUMIFS(#REF!,#REF!,"&gt;="&amp;AN7,#REF!,"&lt;="&amp;EOMONTH(AN7,0),#REF!,"Closed Account")+SUMIFS('1JI2UE'!$H$6:$H$2989,'1JI2UE'!$E$6:$E$2989,"&gt;="&amp;AN7,'1JI2UE'!$E$6:$E$2989,"&lt;="&amp;EOMONTH(AN7,0),'1JI2UE'!$F$6:$F$2989,"Closed Account")+SUMIFS(#REF!,#REF!,"&gt;="&amp;AN7,#REF!,"&lt;="&amp;EOMONTH(AN7,0),#REF!,"Closed Account")+SUMIFS('1SI9BW'!$H$6:$H$2989,'1SI9BW'!$E$6:$E$2989,"&gt;="&amp;AN7,'1SI9BW'!$E$6:$E$2989,"&lt;="&amp;EOMONTH(AN7,0),'1SI9BW'!$F$6:$F$2989,"Closed Account")+SUMIFS(Suzuki!$H$6:$H$2989,Suzuki!$E$6:$E$2989,"&gt;="&amp;AN7,Suzuki!$E$6:$E$2989,"&lt;="&amp;EOMONTH(AN7,0),Suzuki!$F$6:$F$2989,"Closed Account")+SUMIFS('1SK3DD'!$H$6:$H$2989,'1SK3DD'!$E$6:$E$2989,"&gt;="&amp;AN7,'1SK3DD'!$E$6:$E$2989,"&lt;="&amp;EOMONTH(AN7,0),'1SK3DD'!$F$6:$F$2989,"Closed Account")+SUMIFS('1SX5TQ'!$H$6:$H$2989,'1SX5TQ'!$E$6:$E$2989,"&gt;="&amp;AN7,'1SX5TQ'!$E$6:$E$2989,"&lt;="&amp;EOMONTH(AN7,0),'1SX5TQ'!$F$6:$F$2989,"Closed Account")+SUMIFS('BMM465'!$H$6:$H$2989,'BMM465'!$E$6:$E$2989,"&gt;="&amp;AN7,'BMM465'!$E$6:$E$2989,"&lt;="&amp;EOMONTH(AN7,0),'BMM465'!$F$6:$F$2989,"Closed Account")+SUMIFS('1CF1ZO'!$H$6:$H$2989,'1CF1ZO'!$E$6:$E$2989,"&gt;="&amp;AN7,'1CF1ZO'!$E$6:$E$2989,"&lt;="&amp;EOMONTH(AN7,0),'1CF1ZO'!$F$6:$F$2989,"Closed Account")+SUMIFS('1UK1BK'!$H$6:$H$2989,'1UK1BK'!$E$6:$E$2989,"&gt;="&amp;AN7,'1UK1BK'!$E$6:$E$2989,"&lt;="&amp;EOMONTH(AN7,0),'1UK1BK'!$F$6:$F$2989,"Closed Account")</f>
        <v>#REF!</v>
      </c>
      <c r="AO46" s="2" t="e">
        <f>SUMIFS('CEI565'!$H$6:$H$2994,'CEI565'!$E$6:$E$2994,"&gt;="&amp;AO7,'CEI565'!$E$6:$E$2994,"&lt;="&amp;EOMONTH(AO7,0),'CEI565'!$F$6:$F$2994,"Closed Account")+SUMIFS('1SM3VL'!$H$6:$H$2989,'1SM3VL'!$E$6:$E$2989,"&gt;="&amp;AO7,'1SM3VL'!$E$6:$E$2989,"&lt;="&amp;EOMONTH(AO7,0),'1SM3VL'!$F$6:$F$2989,"Closed Aaccount")+SUMIFS('1QF4SM'!$H$6:$H$2989,'1QF4SM'!$E$6:$E$2989,"&gt;="&amp;AO7,'1QF4SM'!$E$6:$E$2989,"&lt;="&amp;EOMONTH(AO7,0),'1QF4SM'!$F$6:$F$2989,"Closed Account")+SUMIFS('1UV5KI'!$H$6:$H$2988,'1UV5KI'!$E$6:$E$2988,"&gt;="&amp;AO7,'1UV5KI'!$E$6:$E$2988,"&lt;="&amp;EOMONTH(AO7,0),'1UV5KI'!$F$6:$F$2988,"Closed Account")+SUMIFS(#REF!,#REF!,"&gt;="&amp;AO7,#REF!,"&lt;="&amp;EOMONTH(AO7,0),#REF!,"Closed Account")+SUMIFS('1UL9RY'!$H$6:$H$2989,'1UL9RY'!$E$6:$E$2989,"&gt;="&amp;AO7,'1UL9RY'!$E$6:$E$2989,"&lt;="&amp;EOMONTH(AO7,0),'1UL9RY'!$F$6:$F$2989,"Closed Account")+SUMIFS('1OZ7GT'!$H$6:$H$2989,'1OZ7GT'!$E$6:$E$2989,"&gt;="&amp;AO7,'1OZ7GT'!$E$6:$E$2989,"&lt;="&amp;EOMONTH(AO7,0),'1OZ7GT'!$F$6:$F$2989,"Closed Account")+SUMIFS('1CN8DD'!$H$6:$H$2989,'1CN8DD'!$E$6:$E$2989,"&gt;="&amp;AO7,'1CN8DD'!$E$6:$E$2989,"&lt;="&amp;EOMONTH(AO7,0),'1CN8DD'!$F$6:$F$2989,"Closed Account")+SUMIFS('1UT9BR'!$H$6:$H$2989,'1UT9BR'!$E$6:$E$2989,"&gt;="&amp;AO7,'1UT9BR'!$E$6:$E$2989,"&lt;="&amp;EOMONTH(AO7,0),'1UT9BR'!$F$6:$F$2989,"Closed Account")+SUMIFS('1MK4UR'!$H$6:$H$2989,'1MK4UR'!$E$6:$E$2989,"&gt;="&amp;AO7,'1MK4UR'!$E$6:$E$2989,"&lt;="&amp;EOMONTH(AO7,0),'1MK4UR'!$F$6:$F$2989,"Closed Account")+SUMIFS(#REF!,#REF!,"&gt;="&amp;AO7,#REF!,"&lt;="&amp;EOMONTH(AO7,0),#REF!,"Closed Account")+SUMIFS('1JI2UE'!$H$6:$H$2989,'1JI2UE'!$E$6:$E$2989,"&gt;="&amp;AO7,'1JI2UE'!$E$6:$E$2989,"&lt;="&amp;EOMONTH(AO7,0),'1JI2UE'!$F$6:$F$2989,"Closed Account")+SUMIFS(#REF!,#REF!,"&gt;="&amp;AO7,#REF!,"&lt;="&amp;EOMONTH(AO7,0),#REF!,"Closed Account")+SUMIFS('1SI9BW'!$H$6:$H$2989,'1SI9BW'!$E$6:$E$2989,"&gt;="&amp;AO7,'1SI9BW'!$E$6:$E$2989,"&lt;="&amp;EOMONTH(AO7,0),'1SI9BW'!$F$6:$F$2989,"Closed Account")+SUMIFS(Suzuki!$H$6:$H$2989,Suzuki!$E$6:$E$2989,"&gt;="&amp;AO7,Suzuki!$E$6:$E$2989,"&lt;="&amp;EOMONTH(AO7,0),Suzuki!$F$6:$F$2989,"Closed Account")+SUMIFS('1SK3DD'!$H$6:$H$2989,'1SK3DD'!$E$6:$E$2989,"&gt;="&amp;AO7,'1SK3DD'!$E$6:$E$2989,"&lt;="&amp;EOMONTH(AO7,0),'1SK3DD'!$F$6:$F$2989,"Closed Account")+SUMIFS('1SX5TQ'!$H$6:$H$2989,'1SX5TQ'!$E$6:$E$2989,"&gt;="&amp;AO7,'1SX5TQ'!$E$6:$E$2989,"&lt;="&amp;EOMONTH(AO7,0),'1SX5TQ'!$F$6:$F$2989,"Closed Account")+SUMIFS('BMM465'!$H$6:$H$2989,'BMM465'!$E$6:$E$2989,"&gt;="&amp;AO7,'BMM465'!$E$6:$E$2989,"&lt;="&amp;EOMONTH(AO7,0),'BMM465'!$F$6:$F$2989,"Closed Account")+SUMIFS('1CF1ZO'!$H$6:$H$2989,'1CF1ZO'!$E$6:$E$2989,"&gt;="&amp;AO7,'1CF1ZO'!$E$6:$E$2989,"&lt;="&amp;EOMONTH(AO7,0),'1CF1ZO'!$F$6:$F$2989,"Closed Account")+SUMIFS('1UK1BK'!$H$6:$H$2989,'1UK1BK'!$E$6:$E$2989,"&gt;="&amp;AO7,'1UK1BK'!$E$6:$E$2989,"&lt;="&amp;EOMONTH(AO7,0),'1UK1BK'!$F$6:$F$2989,"Closed Account")</f>
        <v>#REF!</v>
      </c>
      <c r="AP46" s="2" t="e">
        <f>SUMIFS('CEI565'!$H$6:$H$2994,'CEI565'!$E$6:$E$2994,"&gt;="&amp;AP7,'CEI565'!$E$6:$E$2994,"&lt;="&amp;EOMONTH(AP7,0),'CEI565'!$F$6:$F$2994,"Closed Account")+SUMIFS('1SM3VL'!$H$6:$H$2989,'1SM3VL'!$E$6:$E$2989,"&gt;="&amp;AP7,'1SM3VL'!$E$6:$E$2989,"&lt;="&amp;EOMONTH(AP7,0),'1SM3VL'!$F$6:$F$2989,"Closed Aaccount")+SUMIFS('1QF4SM'!$H$6:$H$2989,'1QF4SM'!$E$6:$E$2989,"&gt;="&amp;AP7,'1QF4SM'!$E$6:$E$2989,"&lt;="&amp;EOMONTH(AP7,0),'1QF4SM'!$F$6:$F$2989,"Closed Account")+SUMIFS('1UV5KI'!$H$6:$H$2988,'1UV5KI'!$E$6:$E$2988,"&gt;="&amp;AP7,'1UV5KI'!$E$6:$E$2988,"&lt;="&amp;EOMONTH(AP7,0),'1UV5KI'!$F$6:$F$2988,"Closed Account")+SUMIFS(#REF!,#REF!,"&gt;="&amp;AP7,#REF!,"&lt;="&amp;EOMONTH(AP7,0),#REF!,"Closed Account")+SUMIFS('1UL9RY'!$H$6:$H$2989,'1UL9RY'!$E$6:$E$2989,"&gt;="&amp;AP7,'1UL9RY'!$E$6:$E$2989,"&lt;="&amp;EOMONTH(AP7,0),'1UL9RY'!$F$6:$F$2989,"Closed Account")+SUMIFS('1OZ7GT'!$H$6:$H$2989,'1OZ7GT'!$E$6:$E$2989,"&gt;="&amp;AP7,'1OZ7GT'!$E$6:$E$2989,"&lt;="&amp;EOMONTH(AP7,0),'1OZ7GT'!$F$6:$F$2989,"Closed Account")+SUMIFS('1CN8DD'!$H$6:$H$2989,'1CN8DD'!$E$6:$E$2989,"&gt;="&amp;AP7,'1CN8DD'!$E$6:$E$2989,"&lt;="&amp;EOMONTH(AP7,0),'1CN8DD'!$F$6:$F$2989,"Closed Account")+SUMIFS('1UT9BR'!$H$6:$H$2989,'1UT9BR'!$E$6:$E$2989,"&gt;="&amp;AP7,'1UT9BR'!$E$6:$E$2989,"&lt;="&amp;EOMONTH(AP7,0),'1UT9BR'!$F$6:$F$2989,"Closed Account")+SUMIFS('1MK4UR'!$H$6:$H$2989,'1MK4UR'!$E$6:$E$2989,"&gt;="&amp;AP7,'1MK4UR'!$E$6:$E$2989,"&lt;="&amp;EOMONTH(AP7,0),'1MK4UR'!$F$6:$F$2989,"Closed Account")+SUMIFS(#REF!,#REF!,"&gt;="&amp;AP7,#REF!,"&lt;="&amp;EOMONTH(AP7,0),#REF!,"Closed Account")+SUMIFS('1JI2UE'!$H$6:$H$2989,'1JI2UE'!$E$6:$E$2989,"&gt;="&amp;AP7,'1JI2UE'!$E$6:$E$2989,"&lt;="&amp;EOMONTH(AP7,0),'1JI2UE'!$F$6:$F$2989,"Closed Account")+SUMIFS(#REF!,#REF!,"&gt;="&amp;AP7,#REF!,"&lt;="&amp;EOMONTH(AP7,0),#REF!,"Closed Account")+SUMIFS('1SI9BW'!$H$6:$H$2989,'1SI9BW'!$E$6:$E$2989,"&gt;="&amp;AP7,'1SI9BW'!$E$6:$E$2989,"&lt;="&amp;EOMONTH(AP7,0),'1SI9BW'!$F$6:$F$2989,"Closed Account")+SUMIFS(Suzuki!$H$6:$H$2989,Suzuki!$E$6:$E$2989,"&gt;="&amp;AP7,Suzuki!$E$6:$E$2989,"&lt;="&amp;EOMONTH(AP7,0),Suzuki!$F$6:$F$2989,"Closed Account")+SUMIFS('1SK3DD'!$H$6:$H$2989,'1SK3DD'!$E$6:$E$2989,"&gt;="&amp;AP7,'1SK3DD'!$E$6:$E$2989,"&lt;="&amp;EOMONTH(AP7,0),'1SK3DD'!$F$6:$F$2989,"Closed Account")+SUMIFS('1SX5TQ'!$H$6:$H$2989,'1SX5TQ'!$E$6:$E$2989,"&gt;="&amp;AP7,'1SX5TQ'!$E$6:$E$2989,"&lt;="&amp;EOMONTH(AP7,0),'1SX5TQ'!$F$6:$F$2989,"Closed Account")+SUMIFS('BMM465'!$H$6:$H$2989,'BMM465'!$E$6:$E$2989,"&gt;="&amp;AP7,'BMM465'!$E$6:$E$2989,"&lt;="&amp;EOMONTH(AP7,0),'BMM465'!$F$6:$F$2989,"Closed Account")+SUMIFS('1CF1ZO'!$H$6:$H$2989,'1CF1ZO'!$E$6:$E$2989,"&gt;="&amp;AP7,'1CF1ZO'!$E$6:$E$2989,"&lt;="&amp;EOMONTH(AP7,0),'1CF1ZO'!$F$6:$F$2989,"Closed Account")+SUMIFS('1UK1BK'!$H$6:$H$2989,'1UK1BK'!$E$6:$E$2989,"&gt;="&amp;AP7,'1UK1BK'!$E$6:$E$2989,"&lt;="&amp;EOMONTH(AP7,0),'1UK1BK'!$F$6:$F$2989,"Closed Account")</f>
        <v>#REF!</v>
      </c>
      <c r="AQ46" s="2" t="e">
        <f>SUMIFS('CEI565'!$H$6:$H$2994,'CEI565'!$E$6:$E$2994,"&gt;="&amp;AQ7,'CEI565'!$E$6:$E$2994,"&lt;="&amp;EOMONTH(AQ7,0),'CEI565'!$F$6:$F$2994,"Closed Account")+SUMIFS('1SM3VL'!$H$6:$H$2989,'1SM3VL'!$E$6:$E$2989,"&gt;="&amp;AQ7,'1SM3VL'!$E$6:$E$2989,"&lt;="&amp;EOMONTH(AQ7,0),'1SM3VL'!$F$6:$F$2989,"Closed Aaccount")+SUMIFS('1QF4SM'!$H$6:$H$2989,'1QF4SM'!$E$6:$E$2989,"&gt;="&amp;AQ7,'1QF4SM'!$E$6:$E$2989,"&lt;="&amp;EOMONTH(AQ7,0),'1QF4SM'!$F$6:$F$2989,"Closed Account")+SUMIFS('1UV5KI'!$H$6:$H$2988,'1UV5KI'!$E$6:$E$2988,"&gt;="&amp;AQ7,'1UV5KI'!$E$6:$E$2988,"&lt;="&amp;EOMONTH(AQ7,0),'1UV5KI'!$F$6:$F$2988,"Closed Account")+SUMIFS(#REF!,#REF!,"&gt;="&amp;AQ7,#REF!,"&lt;="&amp;EOMONTH(AQ7,0),#REF!,"Closed Account")+SUMIFS('1UL9RY'!$H$6:$H$2989,'1UL9RY'!$E$6:$E$2989,"&gt;="&amp;AQ7,'1UL9RY'!$E$6:$E$2989,"&lt;="&amp;EOMONTH(AQ7,0),'1UL9RY'!$F$6:$F$2989,"Closed Account")+SUMIFS('1OZ7GT'!$H$6:$H$2989,'1OZ7GT'!$E$6:$E$2989,"&gt;="&amp;AQ7,'1OZ7GT'!$E$6:$E$2989,"&lt;="&amp;EOMONTH(AQ7,0),'1OZ7GT'!$F$6:$F$2989,"Closed Account")+SUMIFS('1CN8DD'!$H$6:$H$2989,'1CN8DD'!$E$6:$E$2989,"&gt;="&amp;AQ7,'1CN8DD'!$E$6:$E$2989,"&lt;="&amp;EOMONTH(AQ7,0),'1CN8DD'!$F$6:$F$2989,"Closed Account")+SUMIFS('1UT9BR'!$H$6:$H$2989,'1UT9BR'!$E$6:$E$2989,"&gt;="&amp;AQ7,'1UT9BR'!$E$6:$E$2989,"&lt;="&amp;EOMONTH(AQ7,0),'1UT9BR'!$F$6:$F$2989,"Closed Account")+SUMIFS('1MK4UR'!$H$6:$H$2989,'1MK4UR'!$E$6:$E$2989,"&gt;="&amp;AQ7,'1MK4UR'!$E$6:$E$2989,"&lt;="&amp;EOMONTH(AQ7,0),'1MK4UR'!$F$6:$F$2989,"Closed Account")+SUMIFS(#REF!,#REF!,"&gt;="&amp;AQ7,#REF!,"&lt;="&amp;EOMONTH(AQ7,0),#REF!,"Closed Account")+SUMIFS('1JI2UE'!$H$6:$H$2989,'1JI2UE'!$E$6:$E$2989,"&gt;="&amp;AQ7,'1JI2UE'!$E$6:$E$2989,"&lt;="&amp;EOMONTH(AQ7,0),'1JI2UE'!$F$6:$F$2989,"Closed Account")+SUMIFS(#REF!,#REF!,"&gt;="&amp;AQ7,#REF!,"&lt;="&amp;EOMONTH(AQ7,0),#REF!,"Closed Account")+SUMIFS('1SI9BW'!$H$6:$H$2989,'1SI9BW'!$E$6:$E$2989,"&gt;="&amp;AQ7,'1SI9BW'!$E$6:$E$2989,"&lt;="&amp;EOMONTH(AQ7,0),'1SI9BW'!$F$6:$F$2989,"Closed Account")+SUMIFS(Suzuki!$H$6:$H$2989,Suzuki!$E$6:$E$2989,"&gt;="&amp;AQ7,Suzuki!$E$6:$E$2989,"&lt;="&amp;EOMONTH(AQ7,0),Suzuki!$F$6:$F$2989,"Closed Account")+SUMIFS('1SK3DD'!$H$6:$H$2989,'1SK3DD'!$E$6:$E$2989,"&gt;="&amp;AQ7,'1SK3DD'!$E$6:$E$2989,"&lt;="&amp;EOMONTH(AQ7,0),'1SK3DD'!$F$6:$F$2989,"Closed Account")+SUMIFS('1SX5TQ'!$H$6:$H$2989,'1SX5TQ'!$E$6:$E$2989,"&gt;="&amp;AQ7,'1SX5TQ'!$E$6:$E$2989,"&lt;="&amp;EOMONTH(AQ7,0),'1SX5TQ'!$F$6:$F$2989,"Closed Account")+SUMIFS('BMM465'!$H$6:$H$2989,'BMM465'!$E$6:$E$2989,"&gt;="&amp;AQ7,'BMM465'!$E$6:$E$2989,"&lt;="&amp;EOMONTH(AQ7,0),'BMM465'!$F$6:$F$2989,"Closed Account")+SUMIFS('1CF1ZO'!$H$6:$H$2989,'1CF1ZO'!$E$6:$E$2989,"&gt;="&amp;AQ7,'1CF1ZO'!$E$6:$E$2989,"&lt;="&amp;EOMONTH(AQ7,0),'1CF1ZO'!$F$6:$F$2989,"Closed Account")+SUMIFS('1UK1BK'!$H$6:$H$2989,'1UK1BK'!$E$6:$E$2989,"&gt;="&amp;AQ7,'1UK1BK'!$E$6:$E$2989,"&lt;="&amp;EOMONTH(AQ7,0),'1UK1BK'!$F$6:$F$2989,"Closed Account")</f>
        <v>#REF!</v>
      </c>
      <c r="AR46" s="2" t="e">
        <f>SUMIFS('CEI565'!$H$6:$H$2994,'CEI565'!$E$6:$E$2994,"&gt;="&amp;AR7,'CEI565'!$E$6:$E$2994,"&lt;="&amp;EOMONTH(AR7,0),'CEI565'!$F$6:$F$2994,"Closed Account")+SUMIFS('1SM3VL'!$H$6:$H$2989,'1SM3VL'!$E$6:$E$2989,"&gt;="&amp;AR7,'1SM3VL'!$E$6:$E$2989,"&lt;="&amp;EOMONTH(AR7,0),'1SM3VL'!$F$6:$F$2989,"Closed Aaccount")+SUMIFS('1QF4SM'!$H$6:$H$2989,'1QF4SM'!$E$6:$E$2989,"&gt;="&amp;AR7,'1QF4SM'!$E$6:$E$2989,"&lt;="&amp;EOMONTH(AR7,0),'1QF4SM'!$F$6:$F$2989,"Closed Account")+SUMIFS('1UV5KI'!$H$6:$H$2988,'1UV5KI'!$E$6:$E$2988,"&gt;="&amp;AR7,'1UV5KI'!$E$6:$E$2988,"&lt;="&amp;EOMONTH(AR7,0),'1UV5KI'!$F$6:$F$2988,"Closed Account")+SUMIFS(#REF!,#REF!,"&gt;="&amp;AR7,#REF!,"&lt;="&amp;EOMONTH(AR7,0),#REF!,"Closed Account")+SUMIFS('1UL9RY'!$H$6:$H$2989,'1UL9RY'!$E$6:$E$2989,"&gt;="&amp;AR7,'1UL9RY'!$E$6:$E$2989,"&lt;="&amp;EOMONTH(AR7,0),'1UL9RY'!$F$6:$F$2989,"Closed Account")+SUMIFS('1OZ7GT'!$H$6:$H$2989,'1OZ7GT'!$E$6:$E$2989,"&gt;="&amp;AR7,'1OZ7GT'!$E$6:$E$2989,"&lt;="&amp;EOMONTH(AR7,0),'1OZ7GT'!$F$6:$F$2989,"Closed Account")+SUMIFS('1CN8DD'!$H$6:$H$2989,'1CN8DD'!$E$6:$E$2989,"&gt;="&amp;AR7,'1CN8DD'!$E$6:$E$2989,"&lt;="&amp;EOMONTH(AR7,0),'1CN8DD'!$F$6:$F$2989,"Closed Account")+SUMIFS('1UT9BR'!$H$6:$H$2989,'1UT9BR'!$E$6:$E$2989,"&gt;="&amp;AR7,'1UT9BR'!$E$6:$E$2989,"&lt;="&amp;EOMONTH(AR7,0),'1UT9BR'!$F$6:$F$2989,"Closed Account")+SUMIFS('1MK4UR'!$H$6:$H$2989,'1MK4UR'!$E$6:$E$2989,"&gt;="&amp;AR7,'1MK4UR'!$E$6:$E$2989,"&lt;="&amp;EOMONTH(AR7,0),'1MK4UR'!$F$6:$F$2989,"Closed Account")+SUMIFS(#REF!,#REF!,"&gt;="&amp;AR7,#REF!,"&lt;="&amp;EOMONTH(AR7,0),#REF!,"Closed Account")+SUMIFS('1JI2UE'!$H$6:$H$2989,'1JI2UE'!$E$6:$E$2989,"&gt;="&amp;AR7,'1JI2UE'!$E$6:$E$2989,"&lt;="&amp;EOMONTH(AR7,0),'1JI2UE'!$F$6:$F$2989,"Closed Account")+SUMIFS(#REF!,#REF!,"&gt;="&amp;AR7,#REF!,"&lt;="&amp;EOMONTH(AR7,0),#REF!,"Closed Account")+SUMIFS('1SI9BW'!$H$6:$H$2989,'1SI9BW'!$E$6:$E$2989,"&gt;="&amp;AR7,'1SI9BW'!$E$6:$E$2989,"&lt;="&amp;EOMONTH(AR7,0),'1SI9BW'!$F$6:$F$2989,"Closed Account")+SUMIFS(Suzuki!$H$6:$H$2989,Suzuki!$E$6:$E$2989,"&gt;="&amp;AR7,Suzuki!$E$6:$E$2989,"&lt;="&amp;EOMONTH(AR7,0),Suzuki!$F$6:$F$2989,"Closed Account")+SUMIFS('1SK3DD'!$H$6:$H$2989,'1SK3DD'!$E$6:$E$2989,"&gt;="&amp;AR7,'1SK3DD'!$E$6:$E$2989,"&lt;="&amp;EOMONTH(AR7,0),'1SK3DD'!$F$6:$F$2989,"Closed Account")+SUMIFS('1SX5TQ'!$H$6:$H$2989,'1SX5TQ'!$E$6:$E$2989,"&gt;="&amp;AR7,'1SX5TQ'!$E$6:$E$2989,"&lt;="&amp;EOMONTH(AR7,0),'1SX5TQ'!$F$6:$F$2989,"Closed Account")+SUMIFS('BMM465'!$H$6:$H$2989,'BMM465'!$E$6:$E$2989,"&gt;="&amp;AR7,'BMM465'!$E$6:$E$2989,"&lt;="&amp;EOMONTH(AR7,0),'BMM465'!$F$6:$F$2989,"Closed Account")+SUMIFS('1CF1ZO'!$H$6:$H$2989,'1CF1ZO'!$E$6:$E$2989,"&gt;="&amp;AR7,'1CF1ZO'!$E$6:$E$2989,"&lt;="&amp;EOMONTH(AR7,0),'1CF1ZO'!$F$6:$F$2989,"Closed Account")+SUMIFS('1UK1BK'!$H$6:$H$2989,'1UK1BK'!$E$6:$E$2989,"&gt;="&amp;AR7,'1UK1BK'!$E$6:$E$2989,"&lt;="&amp;EOMONTH(AR7,0),'1UK1BK'!$F$6:$F$2989,"Closed Account")</f>
        <v>#REF!</v>
      </c>
      <c r="AS46" s="2" t="e">
        <f>SUMIFS('CEI565'!$H$6:$H$2994,'CEI565'!$E$6:$E$2994,"&gt;="&amp;AS7,'CEI565'!$E$6:$E$2994,"&lt;="&amp;EOMONTH(AS7,0),'CEI565'!$F$6:$F$2994,"Closed Account")+SUMIFS('1SM3VL'!$H$6:$H$2989,'1SM3VL'!$E$6:$E$2989,"&gt;="&amp;AS7,'1SM3VL'!$E$6:$E$2989,"&lt;="&amp;EOMONTH(AS7,0),'1SM3VL'!$F$6:$F$2989,"Closed Aaccount")+SUMIFS('1QF4SM'!$H$6:$H$2989,'1QF4SM'!$E$6:$E$2989,"&gt;="&amp;AS7,'1QF4SM'!$E$6:$E$2989,"&lt;="&amp;EOMONTH(AS7,0),'1QF4SM'!$F$6:$F$2989,"Closed Account")+SUMIFS('1UV5KI'!$H$6:$H$2988,'1UV5KI'!$E$6:$E$2988,"&gt;="&amp;AS7,'1UV5KI'!$E$6:$E$2988,"&lt;="&amp;EOMONTH(AS7,0),'1UV5KI'!$F$6:$F$2988,"Closed Account")+SUMIFS(#REF!,#REF!,"&gt;="&amp;AS7,#REF!,"&lt;="&amp;EOMONTH(AS7,0),#REF!,"Closed Account")+SUMIFS('1UL9RY'!$H$6:$H$2989,'1UL9RY'!$E$6:$E$2989,"&gt;="&amp;AS7,'1UL9RY'!$E$6:$E$2989,"&lt;="&amp;EOMONTH(AS7,0),'1UL9RY'!$F$6:$F$2989,"Closed Account")+SUMIFS('1OZ7GT'!$H$6:$H$2989,'1OZ7GT'!$E$6:$E$2989,"&gt;="&amp;AS7,'1OZ7GT'!$E$6:$E$2989,"&lt;="&amp;EOMONTH(AS7,0),'1OZ7GT'!$F$6:$F$2989,"Closed Account")+SUMIFS('1CN8DD'!$H$6:$H$2989,'1CN8DD'!$E$6:$E$2989,"&gt;="&amp;AS7,'1CN8DD'!$E$6:$E$2989,"&lt;="&amp;EOMONTH(AS7,0),'1CN8DD'!$F$6:$F$2989,"Closed Account")+SUMIFS('1UT9BR'!$H$6:$H$2989,'1UT9BR'!$E$6:$E$2989,"&gt;="&amp;AS7,'1UT9BR'!$E$6:$E$2989,"&lt;="&amp;EOMONTH(AS7,0),'1UT9BR'!$F$6:$F$2989,"Closed Account")+SUMIFS('1MK4UR'!$H$6:$H$2989,'1MK4UR'!$E$6:$E$2989,"&gt;="&amp;AS7,'1MK4UR'!$E$6:$E$2989,"&lt;="&amp;EOMONTH(AS7,0),'1MK4UR'!$F$6:$F$2989,"Closed Account")+SUMIFS(#REF!,#REF!,"&gt;="&amp;AS7,#REF!,"&lt;="&amp;EOMONTH(AS7,0),#REF!,"Closed Account")+SUMIFS('1JI2UE'!$H$6:$H$2989,'1JI2UE'!$E$6:$E$2989,"&gt;="&amp;AS7,'1JI2UE'!$E$6:$E$2989,"&lt;="&amp;EOMONTH(AS7,0),'1JI2UE'!$F$6:$F$2989,"Closed Account")+SUMIFS(#REF!,#REF!,"&gt;="&amp;AS7,#REF!,"&lt;="&amp;EOMONTH(AS7,0),#REF!,"Closed Account")+SUMIFS('1SI9BW'!$H$6:$H$2989,'1SI9BW'!$E$6:$E$2989,"&gt;="&amp;AS7,'1SI9BW'!$E$6:$E$2989,"&lt;="&amp;EOMONTH(AS7,0),'1SI9BW'!$F$6:$F$2989,"Closed Account")+SUMIFS(Suzuki!$H$6:$H$2989,Suzuki!$E$6:$E$2989,"&gt;="&amp;AS7,Suzuki!$E$6:$E$2989,"&lt;="&amp;EOMONTH(AS7,0),Suzuki!$F$6:$F$2989,"Closed Account")+SUMIFS('1SK3DD'!$H$6:$H$2989,'1SK3DD'!$E$6:$E$2989,"&gt;="&amp;AS7,'1SK3DD'!$E$6:$E$2989,"&lt;="&amp;EOMONTH(AS7,0),'1SK3DD'!$F$6:$F$2989,"Closed Account")+SUMIFS('1SX5TQ'!$H$6:$H$2989,'1SX5TQ'!$E$6:$E$2989,"&gt;="&amp;AS7,'1SX5TQ'!$E$6:$E$2989,"&lt;="&amp;EOMONTH(AS7,0),'1SX5TQ'!$F$6:$F$2989,"Closed Account")+SUMIFS('BMM465'!$H$6:$H$2989,'BMM465'!$E$6:$E$2989,"&gt;="&amp;AS7,'BMM465'!$E$6:$E$2989,"&lt;="&amp;EOMONTH(AS7,0),'BMM465'!$F$6:$F$2989,"Closed Account")+SUMIFS('1CF1ZO'!$H$6:$H$2989,'1CF1ZO'!$E$6:$E$2989,"&gt;="&amp;AS7,'1CF1ZO'!$E$6:$E$2989,"&lt;="&amp;EOMONTH(AS7,0),'1CF1ZO'!$F$6:$F$2989,"Closed Account")+SUMIFS('1UK1BK'!$H$6:$H$2989,'1UK1BK'!$E$6:$E$2989,"&gt;="&amp;AS7,'1UK1BK'!$E$6:$E$2989,"&lt;="&amp;EOMONTH(AS7,0),'1UK1BK'!$F$6:$F$2989,"Closed Account")</f>
        <v>#REF!</v>
      </c>
      <c r="AT46" s="2" t="e">
        <f>SUMIFS('CEI565'!$H$6:$H$2994,'CEI565'!$E$6:$E$2994,"&gt;="&amp;AT7,'CEI565'!$E$6:$E$2994,"&lt;="&amp;EOMONTH(AT7,0),'CEI565'!$F$6:$F$2994,"Closed Account")+SUMIFS('1SM3VL'!$H$6:$H$2989,'1SM3VL'!$E$6:$E$2989,"&gt;="&amp;AT7,'1SM3VL'!$E$6:$E$2989,"&lt;="&amp;EOMONTH(AT7,0),'1SM3VL'!$F$6:$F$2989,"Closed Aaccount")+SUMIFS('1QF4SM'!$H$6:$H$2989,'1QF4SM'!$E$6:$E$2989,"&gt;="&amp;AT7,'1QF4SM'!$E$6:$E$2989,"&lt;="&amp;EOMONTH(AT7,0),'1QF4SM'!$F$6:$F$2989,"Closed Account")+SUMIFS('1UV5KI'!$H$6:$H$2988,'1UV5KI'!$E$6:$E$2988,"&gt;="&amp;AT7,'1UV5KI'!$E$6:$E$2988,"&lt;="&amp;EOMONTH(AT7,0),'1UV5KI'!$F$6:$F$2988,"Closed Account")+SUMIFS(#REF!,#REF!,"&gt;="&amp;AT7,#REF!,"&lt;="&amp;EOMONTH(AT7,0),#REF!,"Closed Account")+SUMIFS('1UL9RY'!$H$6:$H$2989,'1UL9RY'!$E$6:$E$2989,"&gt;="&amp;AT7,'1UL9RY'!$E$6:$E$2989,"&lt;="&amp;EOMONTH(AT7,0),'1UL9RY'!$F$6:$F$2989,"Closed Account")+SUMIFS('1OZ7GT'!$H$6:$H$2989,'1OZ7GT'!$E$6:$E$2989,"&gt;="&amp;AT7,'1OZ7GT'!$E$6:$E$2989,"&lt;="&amp;EOMONTH(AT7,0),'1OZ7GT'!$F$6:$F$2989,"Closed Account")+SUMIFS('1CN8DD'!$H$6:$H$2989,'1CN8DD'!$E$6:$E$2989,"&gt;="&amp;AT7,'1CN8DD'!$E$6:$E$2989,"&lt;="&amp;EOMONTH(AT7,0),'1CN8DD'!$F$6:$F$2989,"Closed Account")+SUMIFS('1UT9BR'!$H$6:$H$2989,'1UT9BR'!$E$6:$E$2989,"&gt;="&amp;AT7,'1UT9BR'!$E$6:$E$2989,"&lt;="&amp;EOMONTH(AT7,0),'1UT9BR'!$F$6:$F$2989,"Closed Account")+SUMIFS('1MK4UR'!$H$6:$H$2989,'1MK4UR'!$E$6:$E$2989,"&gt;="&amp;AT7,'1MK4UR'!$E$6:$E$2989,"&lt;="&amp;EOMONTH(AT7,0),'1MK4UR'!$F$6:$F$2989,"Closed Account")+SUMIFS(#REF!,#REF!,"&gt;="&amp;AT7,#REF!,"&lt;="&amp;EOMONTH(AT7,0),#REF!,"Closed Account")+SUMIFS('1JI2UE'!$H$6:$H$2989,'1JI2UE'!$E$6:$E$2989,"&gt;="&amp;AT7,'1JI2UE'!$E$6:$E$2989,"&lt;="&amp;EOMONTH(AT7,0),'1JI2UE'!$F$6:$F$2989,"Closed Account")+SUMIFS(#REF!,#REF!,"&gt;="&amp;AT7,#REF!,"&lt;="&amp;EOMONTH(AT7,0),#REF!,"Closed Account")+SUMIFS('1SI9BW'!$H$6:$H$2989,'1SI9BW'!$E$6:$E$2989,"&gt;="&amp;AT7,'1SI9BW'!$E$6:$E$2989,"&lt;="&amp;EOMONTH(AT7,0),'1SI9BW'!$F$6:$F$2989,"Closed Account")+SUMIFS(Suzuki!$H$6:$H$2989,Suzuki!$E$6:$E$2989,"&gt;="&amp;AT7,Suzuki!$E$6:$E$2989,"&lt;="&amp;EOMONTH(AT7,0),Suzuki!$F$6:$F$2989,"Closed Account")+SUMIFS('1SK3DD'!$H$6:$H$2989,'1SK3DD'!$E$6:$E$2989,"&gt;="&amp;AT7,'1SK3DD'!$E$6:$E$2989,"&lt;="&amp;EOMONTH(AT7,0),'1SK3DD'!$F$6:$F$2989,"Closed Account")+SUMIFS('1SX5TQ'!$H$6:$H$2989,'1SX5TQ'!$E$6:$E$2989,"&gt;="&amp;AT7,'1SX5TQ'!$E$6:$E$2989,"&lt;="&amp;EOMONTH(AT7,0),'1SX5TQ'!$F$6:$F$2989,"Closed Account")+SUMIFS('BMM465'!$H$6:$H$2989,'BMM465'!$E$6:$E$2989,"&gt;="&amp;AT7,'BMM465'!$E$6:$E$2989,"&lt;="&amp;EOMONTH(AT7,0),'BMM465'!$F$6:$F$2989,"Closed Account")+SUMIFS('1CF1ZO'!$H$6:$H$2989,'1CF1ZO'!$E$6:$E$2989,"&gt;="&amp;AT7,'1CF1ZO'!$E$6:$E$2989,"&lt;="&amp;EOMONTH(AT7,0),'1CF1ZO'!$F$6:$F$2989,"Closed Account")+SUMIFS('1UK1BK'!$H$6:$H$2989,'1UK1BK'!$E$6:$E$2989,"&gt;="&amp;AT7,'1UK1BK'!$E$6:$E$2989,"&lt;="&amp;EOMONTH(AT7,0),'1UK1BK'!$F$6:$F$2989,"Closed Account")</f>
        <v>#REF!</v>
      </c>
      <c r="AU46" s="2" t="e">
        <f>SUMIFS('CEI565'!$H$6:$H$2994,'CEI565'!$E$6:$E$2994,"&gt;="&amp;AU7,'CEI565'!$E$6:$E$2994,"&lt;="&amp;EOMONTH(AU7,0),'CEI565'!$F$6:$F$2994,"Closed Account")+SUMIFS('1SM3VL'!$H$6:$H$2989,'1SM3VL'!$E$6:$E$2989,"&gt;="&amp;AU7,'1SM3VL'!$E$6:$E$2989,"&lt;="&amp;EOMONTH(AU7,0),'1SM3VL'!$F$6:$F$2989,"Closed Aaccount")+SUMIFS('1QF4SM'!$H$6:$H$2989,'1QF4SM'!$E$6:$E$2989,"&gt;="&amp;AU7,'1QF4SM'!$E$6:$E$2989,"&lt;="&amp;EOMONTH(AU7,0),'1QF4SM'!$F$6:$F$2989,"Closed Account")+SUMIFS('1UV5KI'!$H$6:$H$2988,'1UV5KI'!$E$6:$E$2988,"&gt;="&amp;AU7,'1UV5KI'!$E$6:$E$2988,"&lt;="&amp;EOMONTH(AU7,0),'1UV5KI'!$F$6:$F$2988,"Closed Account")+SUMIFS(#REF!,#REF!,"&gt;="&amp;AU7,#REF!,"&lt;="&amp;EOMONTH(AU7,0),#REF!,"Closed Account")+SUMIFS('1UL9RY'!$H$6:$H$2989,'1UL9RY'!$E$6:$E$2989,"&gt;="&amp;AU7,'1UL9RY'!$E$6:$E$2989,"&lt;="&amp;EOMONTH(AU7,0),'1UL9RY'!$F$6:$F$2989,"Closed Account")+SUMIFS('1OZ7GT'!$H$6:$H$2989,'1OZ7GT'!$E$6:$E$2989,"&gt;="&amp;AU7,'1OZ7GT'!$E$6:$E$2989,"&lt;="&amp;EOMONTH(AU7,0),'1OZ7GT'!$F$6:$F$2989,"Closed Account")+SUMIFS('1CN8DD'!$H$6:$H$2989,'1CN8DD'!$E$6:$E$2989,"&gt;="&amp;AU7,'1CN8DD'!$E$6:$E$2989,"&lt;="&amp;EOMONTH(AU7,0),'1CN8DD'!$F$6:$F$2989,"Closed Account")+SUMIFS('1UT9BR'!$H$6:$H$2989,'1UT9BR'!$E$6:$E$2989,"&gt;="&amp;AU7,'1UT9BR'!$E$6:$E$2989,"&lt;="&amp;EOMONTH(AU7,0),'1UT9BR'!$F$6:$F$2989,"Closed Account")+SUMIFS('1MK4UR'!$H$6:$H$2989,'1MK4UR'!$E$6:$E$2989,"&gt;="&amp;AU7,'1MK4UR'!$E$6:$E$2989,"&lt;="&amp;EOMONTH(AU7,0),'1MK4UR'!$F$6:$F$2989,"Closed Account")+SUMIFS(#REF!,#REF!,"&gt;="&amp;AU7,#REF!,"&lt;="&amp;EOMONTH(AU7,0),#REF!,"Closed Account")+SUMIFS('1JI2UE'!$H$6:$H$2989,'1JI2UE'!$E$6:$E$2989,"&gt;="&amp;AU7,'1JI2UE'!$E$6:$E$2989,"&lt;="&amp;EOMONTH(AU7,0),'1JI2UE'!$F$6:$F$2989,"Closed Account")+SUMIFS(#REF!,#REF!,"&gt;="&amp;AU7,#REF!,"&lt;="&amp;EOMONTH(AU7,0),#REF!,"Closed Account")+SUMIFS('1SI9BW'!$H$6:$H$2989,'1SI9BW'!$E$6:$E$2989,"&gt;="&amp;AU7,'1SI9BW'!$E$6:$E$2989,"&lt;="&amp;EOMONTH(AU7,0),'1SI9BW'!$F$6:$F$2989,"Closed Account")+SUMIFS(Suzuki!$H$6:$H$2989,Suzuki!$E$6:$E$2989,"&gt;="&amp;AU7,Suzuki!$E$6:$E$2989,"&lt;="&amp;EOMONTH(AU7,0),Suzuki!$F$6:$F$2989,"Closed Account")+SUMIFS('1SK3DD'!$H$6:$H$2989,'1SK3DD'!$E$6:$E$2989,"&gt;="&amp;AU7,'1SK3DD'!$E$6:$E$2989,"&lt;="&amp;EOMONTH(AU7,0),'1SK3DD'!$F$6:$F$2989,"Closed Account")+SUMIFS('1SX5TQ'!$H$6:$H$2989,'1SX5TQ'!$E$6:$E$2989,"&gt;="&amp;AU7,'1SX5TQ'!$E$6:$E$2989,"&lt;="&amp;EOMONTH(AU7,0),'1SX5TQ'!$F$6:$F$2989,"Closed Account")+SUMIFS('BMM465'!$H$6:$H$2989,'BMM465'!$E$6:$E$2989,"&gt;="&amp;AU7,'BMM465'!$E$6:$E$2989,"&lt;="&amp;EOMONTH(AU7,0),'BMM465'!$F$6:$F$2989,"Closed Account")+SUMIFS('1CF1ZO'!$H$6:$H$2989,'1CF1ZO'!$E$6:$E$2989,"&gt;="&amp;AU7,'1CF1ZO'!$E$6:$E$2989,"&lt;="&amp;EOMONTH(AU7,0),'1CF1ZO'!$F$6:$F$2989,"Closed Account")+SUMIFS('1UK1BK'!$H$6:$H$2989,'1UK1BK'!$E$6:$E$2989,"&gt;="&amp;AU7,'1UK1BK'!$E$6:$E$2989,"&lt;="&amp;EOMONTH(AU7,0),'1UK1BK'!$F$6:$F$2989,"Closed Account")</f>
        <v>#REF!</v>
      </c>
      <c r="AV46" s="2" t="e">
        <f>SUMIFS('CEI565'!$H$6:$H$2994,'CEI565'!$E$6:$E$2994,"&gt;="&amp;AV7,'CEI565'!$E$6:$E$2994,"&lt;="&amp;EOMONTH(AV7,0),'CEI565'!$F$6:$F$2994,"Closed Account")+SUMIFS('1SM3VL'!$H$6:$H$2989,'1SM3VL'!$E$6:$E$2989,"&gt;="&amp;AV7,'1SM3VL'!$E$6:$E$2989,"&lt;="&amp;EOMONTH(AV7,0),'1SM3VL'!$F$6:$F$2989,"Closed Aaccount")+SUMIFS('1QF4SM'!$H$6:$H$2989,'1QF4SM'!$E$6:$E$2989,"&gt;="&amp;AV7,'1QF4SM'!$E$6:$E$2989,"&lt;="&amp;EOMONTH(AV7,0),'1QF4SM'!$F$6:$F$2989,"Closed Account")+SUMIFS('1UV5KI'!$H$6:$H$2988,'1UV5KI'!$E$6:$E$2988,"&gt;="&amp;AV7,'1UV5KI'!$E$6:$E$2988,"&lt;="&amp;EOMONTH(AV7,0),'1UV5KI'!$F$6:$F$2988,"Closed Account")+SUMIFS(#REF!,#REF!,"&gt;="&amp;AV7,#REF!,"&lt;="&amp;EOMONTH(AV7,0),#REF!,"Closed Account")+SUMIFS('1UL9RY'!$H$6:$H$2989,'1UL9RY'!$E$6:$E$2989,"&gt;="&amp;AV7,'1UL9RY'!$E$6:$E$2989,"&lt;="&amp;EOMONTH(AV7,0),'1UL9RY'!$F$6:$F$2989,"Closed Account")+SUMIFS('1OZ7GT'!$H$6:$H$2989,'1OZ7GT'!$E$6:$E$2989,"&gt;="&amp;AV7,'1OZ7GT'!$E$6:$E$2989,"&lt;="&amp;EOMONTH(AV7,0),'1OZ7GT'!$F$6:$F$2989,"Closed Account")+SUMIFS('1CN8DD'!$H$6:$H$2989,'1CN8DD'!$E$6:$E$2989,"&gt;="&amp;AV7,'1CN8DD'!$E$6:$E$2989,"&lt;="&amp;EOMONTH(AV7,0),'1CN8DD'!$F$6:$F$2989,"Closed Account")+SUMIFS('1UT9BR'!$H$6:$H$2989,'1UT9BR'!$E$6:$E$2989,"&gt;="&amp;AV7,'1UT9BR'!$E$6:$E$2989,"&lt;="&amp;EOMONTH(AV7,0),'1UT9BR'!$F$6:$F$2989,"Closed Account")+SUMIFS('1MK4UR'!$H$6:$H$2989,'1MK4UR'!$E$6:$E$2989,"&gt;="&amp;AV7,'1MK4UR'!$E$6:$E$2989,"&lt;="&amp;EOMONTH(AV7,0),'1MK4UR'!$F$6:$F$2989,"Closed Account")+SUMIFS(#REF!,#REF!,"&gt;="&amp;AV7,#REF!,"&lt;="&amp;EOMONTH(AV7,0),#REF!,"Closed Account")+SUMIFS('1JI2UE'!$H$6:$H$2989,'1JI2UE'!$E$6:$E$2989,"&gt;="&amp;AV7,'1JI2UE'!$E$6:$E$2989,"&lt;="&amp;EOMONTH(AV7,0),'1JI2UE'!$F$6:$F$2989,"Closed Account")+SUMIFS(#REF!,#REF!,"&gt;="&amp;AV7,#REF!,"&lt;="&amp;EOMONTH(AV7,0),#REF!,"Closed Account")+SUMIFS('1SI9BW'!$H$6:$H$2989,'1SI9BW'!$E$6:$E$2989,"&gt;="&amp;AV7,'1SI9BW'!$E$6:$E$2989,"&lt;="&amp;EOMONTH(AV7,0),'1SI9BW'!$F$6:$F$2989,"Closed Account")+SUMIFS(Suzuki!$H$6:$H$2989,Suzuki!$E$6:$E$2989,"&gt;="&amp;AV7,Suzuki!$E$6:$E$2989,"&lt;="&amp;EOMONTH(AV7,0),Suzuki!$F$6:$F$2989,"Closed Account")+SUMIFS('1SK3DD'!$H$6:$H$2989,'1SK3DD'!$E$6:$E$2989,"&gt;="&amp;AV7,'1SK3DD'!$E$6:$E$2989,"&lt;="&amp;EOMONTH(AV7,0),'1SK3DD'!$F$6:$F$2989,"Closed Account")+SUMIFS('1SX5TQ'!$H$6:$H$2989,'1SX5TQ'!$E$6:$E$2989,"&gt;="&amp;AV7,'1SX5TQ'!$E$6:$E$2989,"&lt;="&amp;EOMONTH(AV7,0),'1SX5TQ'!$F$6:$F$2989,"Closed Account")+SUMIFS('BMM465'!$H$6:$H$2989,'BMM465'!$E$6:$E$2989,"&gt;="&amp;AV7,'BMM465'!$E$6:$E$2989,"&lt;="&amp;EOMONTH(AV7,0),'BMM465'!$F$6:$F$2989,"Closed Account")+SUMIFS('1CF1ZO'!$H$6:$H$2989,'1CF1ZO'!$E$6:$E$2989,"&gt;="&amp;AV7,'1CF1ZO'!$E$6:$E$2989,"&lt;="&amp;EOMONTH(AV7,0),'1CF1ZO'!$F$6:$F$2989,"Closed Account")+SUMIFS('1UK1BK'!$H$6:$H$2989,'1UK1BK'!$E$6:$E$2989,"&gt;="&amp;AV7,'1UK1BK'!$E$6:$E$2989,"&lt;="&amp;EOMONTH(AV7,0),'1UK1BK'!$F$6:$F$2989,"Closed Account")</f>
        <v>#REF!</v>
      </c>
      <c r="AW46" s="2" t="e">
        <f>SUMIFS('CEI565'!$H$6:$H$2994,'CEI565'!$E$6:$E$2994,"&gt;="&amp;AW7,'CEI565'!$E$6:$E$2994,"&lt;="&amp;EOMONTH(AW7,0),'CEI565'!$F$6:$F$2994,"Closed Account")+SUMIFS('1SM3VL'!$H$6:$H$2989,'1SM3VL'!$E$6:$E$2989,"&gt;="&amp;AW7,'1SM3VL'!$E$6:$E$2989,"&lt;="&amp;EOMONTH(AW7,0),'1SM3VL'!$F$6:$F$2989,"Closed Aaccount")+SUMIFS('1QF4SM'!$H$6:$H$2989,'1QF4SM'!$E$6:$E$2989,"&gt;="&amp;AW7,'1QF4SM'!$E$6:$E$2989,"&lt;="&amp;EOMONTH(AW7,0),'1QF4SM'!$F$6:$F$2989,"Closed Account")+SUMIFS('1UV5KI'!$H$6:$H$2988,'1UV5KI'!$E$6:$E$2988,"&gt;="&amp;AW7,'1UV5KI'!$E$6:$E$2988,"&lt;="&amp;EOMONTH(AW7,0),'1UV5KI'!$F$6:$F$2988,"Closed Account")+SUMIFS(#REF!,#REF!,"&gt;="&amp;AW7,#REF!,"&lt;="&amp;EOMONTH(AW7,0),#REF!,"Closed Account")+SUMIFS('1UL9RY'!$H$6:$H$2989,'1UL9RY'!$E$6:$E$2989,"&gt;="&amp;AW7,'1UL9RY'!$E$6:$E$2989,"&lt;="&amp;EOMONTH(AW7,0),'1UL9RY'!$F$6:$F$2989,"Closed Account")+SUMIFS('1OZ7GT'!$H$6:$H$2989,'1OZ7GT'!$E$6:$E$2989,"&gt;="&amp;AW7,'1OZ7GT'!$E$6:$E$2989,"&lt;="&amp;EOMONTH(AW7,0),'1OZ7GT'!$F$6:$F$2989,"Closed Account")+SUMIFS('1CN8DD'!$H$6:$H$2989,'1CN8DD'!$E$6:$E$2989,"&gt;="&amp;AW7,'1CN8DD'!$E$6:$E$2989,"&lt;="&amp;EOMONTH(AW7,0),'1CN8DD'!$F$6:$F$2989,"Closed Account")+SUMIFS('1UT9BR'!$H$6:$H$2989,'1UT9BR'!$E$6:$E$2989,"&gt;="&amp;AW7,'1UT9BR'!$E$6:$E$2989,"&lt;="&amp;EOMONTH(AW7,0),'1UT9BR'!$F$6:$F$2989,"Closed Account")+SUMIFS('1MK4UR'!$H$6:$H$2989,'1MK4UR'!$E$6:$E$2989,"&gt;="&amp;AW7,'1MK4UR'!$E$6:$E$2989,"&lt;="&amp;EOMONTH(AW7,0),'1MK4UR'!$F$6:$F$2989,"Closed Account")+SUMIFS(#REF!,#REF!,"&gt;="&amp;AW7,#REF!,"&lt;="&amp;EOMONTH(AW7,0),#REF!,"Closed Account")+SUMIFS('1JI2UE'!$H$6:$H$2989,'1JI2UE'!$E$6:$E$2989,"&gt;="&amp;AW7,'1JI2UE'!$E$6:$E$2989,"&lt;="&amp;EOMONTH(AW7,0),'1JI2UE'!$F$6:$F$2989,"Closed Account")+SUMIFS(#REF!,#REF!,"&gt;="&amp;AW7,#REF!,"&lt;="&amp;EOMONTH(AW7,0),#REF!,"Closed Account")+SUMIFS('1SI9BW'!$H$6:$H$2989,'1SI9BW'!$E$6:$E$2989,"&gt;="&amp;AW7,'1SI9BW'!$E$6:$E$2989,"&lt;="&amp;EOMONTH(AW7,0),'1SI9BW'!$F$6:$F$2989,"Closed Account")+SUMIFS(Suzuki!$H$6:$H$2989,Suzuki!$E$6:$E$2989,"&gt;="&amp;AW7,Suzuki!$E$6:$E$2989,"&lt;="&amp;EOMONTH(AW7,0),Suzuki!$F$6:$F$2989,"Closed Account")+SUMIFS('1SK3DD'!$H$6:$H$2989,'1SK3DD'!$E$6:$E$2989,"&gt;="&amp;AW7,'1SK3DD'!$E$6:$E$2989,"&lt;="&amp;EOMONTH(AW7,0),'1SK3DD'!$F$6:$F$2989,"Closed Account")+SUMIFS('1SX5TQ'!$H$6:$H$2989,'1SX5TQ'!$E$6:$E$2989,"&gt;="&amp;AW7,'1SX5TQ'!$E$6:$E$2989,"&lt;="&amp;EOMONTH(AW7,0),'1SX5TQ'!$F$6:$F$2989,"Closed Account")+SUMIFS('BMM465'!$H$6:$H$2989,'BMM465'!$E$6:$E$2989,"&gt;="&amp;AW7,'BMM465'!$E$6:$E$2989,"&lt;="&amp;EOMONTH(AW7,0),'BMM465'!$F$6:$F$2989,"Closed Account")+SUMIFS('1CF1ZO'!$H$6:$H$2989,'1CF1ZO'!$E$6:$E$2989,"&gt;="&amp;AW7,'1CF1ZO'!$E$6:$E$2989,"&lt;="&amp;EOMONTH(AW7,0),'1CF1ZO'!$F$6:$F$2989,"Closed Account")+SUMIFS('1UK1BK'!$H$6:$H$2989,'1UK1BK'!$E$6:$E$2989,"&gt;="&amp;AW7,'1UK1BK'!$E$6:$E$2989,"&lt;="&amp;EOMONTH(AW7,0),'1UK1BK'!$F$6:$F$2989,"Closed Account")</f>
        <v>#REF!</v>
      </c>
      <c r="AX46" s="2" t="e">
        <f>SUMIFS('CEI565'!$H$6:$H$2994,'CEI565'!$E$6:$E$2994,"&gt;="&amp;AX7,'CEI565'!$E$6:$E$2994,"&lt;="&amp;EOMONTH(AX7,0),'CEI565'!$F$6:$F$2994,"Closed Account")+SUMIFS('1SM3VL'!$H$6:$H$2989,'1SM3VL'!$E$6:$E$2989,"&gt;="&amp;AX7,'1SM3VL'!$E$6:$E$2989,"&lt;="&amp;EOMONTH(AX7,0),'1SM3VL'!$F$6:$F$2989,"Closed Aaccount")+SUMIFS('1QF4SM'!$H$6:$H$2989,'1QF4SM'!$E$6:$E$2989,"&gt;="&amp;AX7,'1QF4SM'!$E$6:$E$2989,"&lt;="&amp;EOMONTH(AX7,0),'1QF4SM'!$F$6:$F$2989,"Closed Account")+SUMIFS('1UV5KI'!$H$6:$H$2988,'1UV5KI'!$E$6:$E$2988,"&gt;="&amp;AX7,'1UV5KI'!$E$6:$E$2988,"&lt;="&amp;EOMONTH(AX7,0),'1UV5KI'!$F$6:$F$2988,"Closed Account")+SUMIFS(#REF!,#REF!,"&gt;="&amp;AX7,#REF!,"&lt;="&amp;EOMONTH(AX7,0),#REF!,"Closed Account")+SUMIFS('1UL9RY'!$H$6:$H$2989,'1UL9RY'!$E$6:$E$2989,"&gt;="&amp;AX7,'1UL9RY'!$E$6:$E$2989,"&lt;="&amp;EOMONTH(AX7,0),'1UL9RY'!$F$6:$F$2989,"Closed Account")+SUMIFS('1OZ7GT'!$H$6:$H$2989,'1OZ7GT'!$E$6:$E$2989,"&gt;="&amp;AX7,'1OZ7GT'!$E$6:$E$2989,"&lt;="&amp;EOMONTH(AX7,0),'1OZ7GT'!$F$6:$F$2989,"Closed Account")+SUMIFS('1CN8DD'!$H$6:$H$2989,'1CN8DD'!$E$6:$E$2989,"&gt;="&amp;AX7,'1CN8DD'!$E$6:$E$2989,"&lt;="&amp;EOMONTH(AX7,0),'1CN8DD'!$F$6:$F$2989,"Closed Account")+SUMIFS('1UT9BR'!$H$6:$H$2989,'1UT9BR'!$E$6:$E$2989,"&gt;="&amp;AX7,'1UT9BR'!$E$6:$E$2989,"&lt;="&amp;EOMONTH(AX7,0),'1UT9BR'!$F$6:$F$2989,"Closed Account")+SUMIFS('1MK4UR'!$H$6:$H$2989,'1MK4UR'!$E$6:$E$2989,"&gt;="&amp;AX7,'1MK4UR'!$E$6:$E$2989,"&lt;="&amp;EOMONTH(AX7,0),'1MK4UR'!$F$6:$F$2989,"Closed Account")+SUMIFS(#REF!,#REF!,"&gt;="&amp;AX7,#REF!,"&lt;="&amp;EOMONTH(AX7,0),#REF!,"Closed Account")+SUMIFS('1JI2UE'!$H$6:$H$2989,'1JI2UE'!$E$6:$E$2989,"&gt;="&amp;AX7,'1JI2UE'!$E$6:$E$2989,"&lt;="&amp;EOMONTH(AX7,0),'1JI2UE'!$F$6:$F$2989,"Closed Account")+SUMIFS(#REF!,#REF!,"&gt;="&amp;AX7,#REF!,"&lt;="&amp;EOMONTH(AX7,0),#REF!,"Closed Account")+SUMIFS('1SI9BW'!$H$6:$H$2989,'1SI9BW'!$E$6:$E$2989,"&gt;="&amp;AX7,'1SI9BW'!$E$6:$E$2989,"&lt;="&amp;EOMONTH(AX7,0),'1SI9BW'!$F$6:$F$2989,"Closed Account")+SUMIFS(Suzuki!$H$6:$H$2989,Suzuki!$E$6:$E$2989,"&gt;="&amp;AX7,Suzuki!$E$6:$E$2989,"&lt;="&amp;EOMONTH(AX7,0),Suzuki!$F$6:$F$2989,"Closed Account")+SUMIFS('1SK3DD'!$H$6:$H$2989,'1SK3DD'!$E$6:$E$2989,"&gt;="&amp;AX7,'1SK3DD'!$E$6:$E$2989,"&lt;="&amp;EOMONTH(AX7,0),'1SK3DD'!$F$6:$F$2989,"Closed Account")+SUMIFS('1SX5TQ'!$H$6:$H$2989,'1SX5TQ'!$E$6:$E$2989,"&gt;="&amp;AX7,'1SX5TQ'!$E$6:$E$2989,"&lt;="&amp;EOMONTH(AX7,0),'1SX5TQ'!$F$6:$F$2989,"Closed Account")+SUMIFS('BMM465'!$H$6:$H$2989,'BMM465'!$E$6:$E$2989,"&gt;="&amp;AX7,'BMM465'!$E$6:$E$2989,"&lt;="&amp;EOMONTH(AX7,0),'BMM465'!$F$6:$F$2989,"Closed Account")+SUMIFS('1CF1ZO'!$H$6:$H$2989,'1CF1ZO'!$E$6:$E$2989,"&gt;="&amp;AX7,'1CF1ZO'!$E$6:$E$2989,"&lt;="&amp;EOMONTH(AX7,0),'1CF1ZO'!$F$6:$F$2989,"Closed Account")+SUMIFS('1UK1BK'!$H$6:$H$2989,'1UK1BK'!$E$6:$E$2989,"&gt;="&amp;AX7,'1UK1BK'!$E$6:$E$2989,"&lt;="&amp;EOMONTH(AX7,0),'1UK1BK'!$F$6:$F$2989,"Closed Account")</f>
        <v>#REF!</v>
      </c>
      <c r="AY46" s="2" t="e">
        <f>SUMIFS('CEI565'!$H$6:$H$2994,'CEI565'!$E$6:$E$2994,"&gt;="&amp;AY7,'CEI565'!$E$6:$E$2994,"&lt;="&amp;EOMONTH(AY7,0),'CEI565'!$F$6:$F$2994,"Closed Account")+SUMIFS('1SM3VL'!$H$6:$H$2989,'1SM3VL'!$E$6:$E$2989,"&gt;="&amp;AY7,'1SM3VL'!$E$6:$E$2989,"&lt;="&amp;EOMONTH(AY7,0),'1SM3VL'!$F$6:$F$2989,"Closed Aaccount")+SUMIFS('1QF4SM'!$H$6:$H$2989,'1QF4SM'!$E$6:$E$2989,"&gt;="&amp;AY7,'1QF4SM'!$E$6:$E$2989,"&lt;="&amp;EOMONTH(AY7,0),'1QF4SM'!$F$6:$F$2989,"Closed Account")+SUMIFS('1UV5KI'!$H$6:$H$2988,'1UV5KI'!$E$6:$E$2988,"&gt;="&amp;AY7,'1UV5KI'!$E$6:$E$2988,"&lt;="&amp;EOMONTH(AY7,0),'1UV5KI'!$F$6:$F$2988,"Closed Account")+SUMIFS(#REF!,#REF!,"&gt;="&amp;AY7,#REF!,"&lt;="&amp;EOMONTH(AY7,0),#REF!,"Closed Account")+SUMIFS('1UL9RY'!$H$6:$H$2989,'1UL9RY'!$E$6:$E$2989,"&gt;="&amp;AY7,'1UL9RY'!$E$6:$E$2989,"&lt;="&amp;EOMONTH(AY7,0),'1UL9RY'!$F$6:$F$2989,"Closed Account")+SUMIFS('1OZ7GT'!$H$6:$H$2989,'1OZ7GT'!$E$6:$E$2989,"&gt;="&amp;AY7,'1OZ7GT'!$E$6:$E$2989,"&lt;="&amp;EOMONTH(AY7,0),'1OZ7GT'!$F$6:$F$2989,"Closed Account")+SUMIFS('1CN8DD'!$H$6:$H$2989,'1CN8DD'!$E$6:$E$2989,"&gt;="&amp;AY7,'1CN8DD'!$E$6:$E$2989,"&lt;="&amp;EOMONTH(AY7,0),'1CN8DD'!$F$6:$F$2989,"Closed Account")+SUMIFS('1UT9BR'!$H$6:$H$2989,'1UT9BR'!$E$6:$E$2989,"&gt;="&amp;AY7,'1UT9BR'!$E$6:$E$2989,"&lt;="&amp;EOMONTH(AY7,0),'1UT9BR'!$F$6:$F$2989,"Closed Account")+SUMIFS('1MK4UR'!$H$6:$H$2989,'1MK4UR'!$E$6:$E$2989,"&gt;="&amp;AY7,'1MK4UR'!$E$6:$E$2989,"&lt;="&amp;EOMONTH(AY7,0),'1MK4UR'!$F$6:$F$2989,"Closed Account")+SUMIFS(#REF!,#REF!,"&gt;="&amp;AY7,#REF!,"&lt;="&amp;EOMONTH(AY7,0),#REF!,"Closed Account")+SUMIFS('1JI2UE'!$H$6:$H$2989,'1JI2UE'!$E$6:$E$2989,"&gt;="&amp;AY7,'1JI2UE'!$E$6:$E$2989,"&lt;="&amp;EOMONTH(AY7,0),'1JI2UE'!$F$6:$F$2989,"Closed Account")+SUMIFS(#REF!,#REF!,"&gt;="&amp;AY7,#REF!,"&lt;="&amp;EOMONTH(AY7,0),#REF!,"Closed Account")+SUMIFS('1SI9BW'!$H$6:$H$2989,'1SI9BW'!$E$6:$E$2989,"&gt;="&amp;AY7,'1SI9BW'!$E$6:$E$2989,"&lt;="&amp;EOMONTH(AY7,0),'1SI9BW'!$F$6:$F$2989,"Closed Account")+SUMIFS(Suzuki!$H$6:$H$2989,Suzuki!$E$6:$E$2989,"&gt;="&amp;AY7,Suzuki!$E$6:$E$2989,"&lt;="&amp;EOMONTH(AY7,0),Suzuki!$F$6:$F$2989,"Closed Account")+SUMIFS('1SK3DD'!$H$6:$H$2989,'1SK3DD'!$E$6:$E$2989,"&gt;="&amp;AY7,'1SK3DD'!$E$6:$E$2989,"&lt;="&amp;EOMONTH(AY7,0),'1SK3DD'!$F$6:$F$2989,"Closed Account")+SUMIFS('1SX5TQ'!$H$6:$H$2989,'1SX5TQ'!$E$6:$E$2989,"&gt;="&amp;AY7,'1SX5TQ'!$E$6:$E$2989,"&lt;="&amp;EOMONTH(AY7,0),'1SX5TQ'!$F$6:$F$2989,"Closed Account")+SUMIFS('BMM465'!$H$6:$H$2989,'BMM465'!$E$6:$E$2989,"&gt;="&amp;AY7,'BMM465'!$E$6:$E$2989,"&lt;="&amp;EOMONTH(AY7,0),'BMM465'!$F$6:$F$2989,"Closed Account")+SUMIFS('1CF1ZO'!$H$6:$H$2989,'1CF1ZO'!$E$6:$E$2989,"&gt;="&amp;AY7,'1CF1ZO'!$E$6:$E$2989,"&lt;="&amp;EOMONTH(AY7,0),'1CF1ZO'!$F$6:$F$2989,"Closed Account")+SUMIFS('1UK1BK'!$H$6:$H$2989,'1UK1BK'!$E$6:$E$2989,"&gt;="&amp;AY7,'1UK1BK'!$E$6:$E$2989,"&lt;="&amp;EOMONTH(AY7,0),'1UK1BK'!$F$6:$F$2989,"Closed Account")</f>
        <v>#REF!</v>
      </c>
      <c r="AZ46" s="2" t="e">
        <f>SUMIFS('CEI565'!$H$6:$H$2994,'CEI565'!$E$6:$E$2994,"&gt;="&amp;AZ7,'CEI565'!$E$6:$E$2994,"&lt;="&amp;EOMONTH(AZ7,0),'CEI565'!$F$6:$F$2994,"Closed Account")+SUMIFS('1SM3VL'!$H$6:$H$2989,'1SM3VL'!$E$6:$E$2989,"&gt;="&amp;AZ7,'1SM3VL'!$E$6:$E$2989,"&lt;="&amp;EOMONTH(AZ7,0),'1SM3VL'!$F$6:$F$2989,"Closed Aaccount")+SUMIFS('1QF4SM'!$H$6:$H$2989,'1QF4SM'!$E$6:$E$2989,"&gt;="&amp;AZ7,'1QF4SM'!$E$6:$E$2989,"&lt;="&amp;EOMONTH(AZ7,0),'1QF4SM'!$F$6:$F$2989,"Closed Account")+SUMIFS('1UV5KI'!$H$6:$H$2988,'1UV5KI'!$E$6:$E$2988,"&gt;="&amp;AZ7,'1UV5KI'!$E$6:$E$2988,"&lt;="&amp;EOMONTH(AZ7,0),'1UV5KI'!$F$6:$F$2988,"Closed Account")+SUMIFS(#REF!,#REF!,"&gt;="&amp;AZ7,#REF!,"&lt;="&amp;EOMONTH(AZ7,0),#REF!,"Closed Account")+SUMIFS('1UL9RY'!$H$6:$H$2989,'1UL9RY'!$E$6:$E$2989,"&gt;="&amp;AZ7,'1UL9RY'!$E$6:$E$2989,"&lt;="&amp;EOMONTH(AZ7,0),'1UL9RY'!$F$6:$F$2989,"Closed Account")+SUMIFS('1OZ7GT'!$H$6:$H$2989,'1OZ7GT'!$E$6:$E$2989,"&gt;="&amp;AZ7,'1OZ7GT'!$E$6:$E$2989,"&lt;="&amp;EOMONTH(AZ7,0),'1OZ7GT'!$F$6:$F$2989,"Closed Account")+SUMIFS('1CN8DD'!$H$6:$H$2989,'1CN8DD'!$E$6:$E$2989,"&gt;="&amp;AZ7,'1CN8DD'!$E$6:$E$2989,"&lt;="&amp;EOMONTH(AZ7,0),'1CN8DD'!$F$6:$F$2989,"Closed Account")+SUMIFS('1UT9BR'!$H$6:$H$2989,'1UT9BR'!$E$6:$E$2989,"&gt;="&amp;AZ7,'1UT9BR'!$E$6:$E$2989,"&lt;="&amp;EOMONTH(AZ7,0),'1UT9BR'!$F$6:$F$2989,"Closed Account")+SUMIFS('1MK4UR'!$H$6:$H$2989,'1MK4UR'!$E$6:$E$2989,"&gt;="&amp;AZ7,'1MK4UR'!$E$6:$E$2989,"&lt;="&amp;EOMONTH(AZ7,0),'1MK4UR'!$F$6:$F$2989,"Closed Account")+SUMIFS(#REF!,#REF!,"&gt;="&amp;AZ7,#REF!,"&lt;="&amp;EOMONTH(AZ7,0),#REF!,"Closed Account")+SUMIFS('1JI2UE'!$H$6:$H$2989,'1JI2UE'!$E$6:$E$2989,"&gt;="&amp;AZ7,'1JI2UE'!$E$6:$E$2989,"&lt;="&amp;EOMONTH(AZ7,0),'1JI2UE'!$F$6:$F$2989,"Closed Account")+SUMIFS(#REF!,#REF!,"&gt;="&amp;AZ7,#REF!,"&lt;="&amp;EOMONTH(AZ7,0),#REF!,"Closed Account")+SUMIFS('1SI9BW'!$H$6:$H$2989,'1SI9BW'!$E$6:$E$2989,"&gt;="&amp;AZ7,'1SI9BW'!$E$6:$E$2989,"&lt;="&amp;EOMONTH(AZ7,0),'1SI9BW'!$F$6:$F$2989,"Closed Account")+SUMIFS(Suzuki!$H$6:$H$2989,Suzuki!$E$6:$E$2989,"&gt;="&amp;AZ7,Suzuki!$E$6:$E$2989,"&lt;="&amp;EOMONTH(AZ7,0),Suzuki!$F$6:$F$2989,"Closed Account")+SUMIFS('1SK3DD'!$H$6:$H$2989,'1SK3DD'!$E$6:$E$2989,"&gt;="&amp;AZ7,'1SK3DD'!$E$6:$E$2989,"&lt;="&amp;EOMONTH(AZ7,0),'1SK3DD'!$F$6:$F$2989,"Closed Account")+SUMIFS('1SX5TQ'!$H$6:$H$2989,'1SX5TQ'!$E$6:$E$2989,"&gt;="&amp;AZ7,'1SX5TQ'!$E$6:$E$2989,"&lt;="&amp;EOMONTH(AZ7,0),'1SX5TQ'!$F$6:$F$2989,"Closed Account")+SUMIFS('BMM465'!$H$6:$H$2989,'BMM465'!$E$6:$E$2989,"&gt;="&amp;AZ7,'BMM465'!$E$6:$E$2989,"&lt;="&amp;EOMONTH(AZ7,0),'BMM465'!$F$6:$F$2989,"Closed Account")+SUMIFS('1CF1ZO'!$H$6:$H$2989,'1CF1ZO'!$E$6:$E$2989,"&gt;="&amp;AZ7,'1CF1ZO'!$E$6:$E$2989,"&lt;="&amp;EOMONTH(AZ7,0),'1CF1ZO'!$F$6:$F$2989,"Closed Account")+SUMIFS('1UK1BK'!$H$6:$H$2989,'1UK1BK'!$E$6:$E$2989,"&gt;="&amp;AZ7,'1UK1BK'!$E$6:$E$2989,"&lt;="&amp;EOMONTH(AZ7,0),'1UK1BK'!$F$6:$F$2989,"Closed Account")</f>
        <v>#REF!</v>
      </c>
      <c r="BA46" s="2" t="e">
        <f>SUMIFS('CEI565'!$H$6:$H$2994,'CEI565'!$E$6:$E$2994,"&gt;="&amp;BA7,'CEI565'!$E$6:$E$2994,"&lt;="&amp;EOMONTH(BA7,0),'CEI565'!$F$6:$F$2994,"Closed Account")+SUMIFS('1SM3VL'!$H$6:$H$2989,'1SM3VL'!$E$6:$E$2989,"&gt;="&amp;BA7,'1SM3VL'!$E$6:$E$2989,"&lt;="&amp;EOMONTH(BA7,0),'1SM3VL'!$F$6:$F$2989,"Closed Aaccount")+SUMIFS('1QF4SM'!$H$6:$H$2989,'1QF4SM'!$E$6:$E$2989,"&gt;="&amp;BA7,'1QF4SM'!$E$6:$E$2989,"&lt;="&amp;EOMONTH(BA7,0),'1QF4SM'!$F$6:$F$2989,"Closed Account")+SUMIFS('1UV5KI'!$H$6:$H$2988,'1UV5KI'!$E$6:$E$2988,"&gt;="&amp;BA7,'1UV5KI'!$E$6:$E$2988,"&lt;="&amp;EOMONTH(BA7,0),'1UV5KI'!$F$6:$F$2988,"Closed Account")+SUMIFS(#REF!,#REF!,"&gt;="&amp;BA7,#REF!,"&lt;="&amp;EOMONTH(BA7,0),#REF!,"Closed Account")+SUMIFS('1UL9RY'!$H$6:$H$2989,'1UL9RY'!$E$6:$E$2989,"&gt;="&amp;BA7,'1UL9RY'!$E$6:$E$2989,"&lt;="&amp;EOMONTH(BA7,0),'1UL9RY'!$F$6:$F$2989,"Closed Account")+SUMIFS('1OZ7GT'!$H$6:$H$2989,'1OZ7GT'!$E$6:$E$2989,"&gt;="&amp;BA7,'1OZ7GT'!$E$6:$E$2989,"&lt;="&amp;EOMONTH(BA7,0),'1OZ7GT'!$F$6:$F$2989,"Closed Account")+SUMIFS('1CN8DD'!$H$6:$H$2989,'1CN8DD'!$E$6:$E$2989,"&gt;="&amp;BA7,'1CN8DD'!$E$6:$E$2989,"&lt;="&amp;EOMONTH(BA7,0),'1CN8DD'!$F$6:$F$2989,"Closed Account")+SUMIFS('1UT9BR'!$H$6:$H$2989,'1UT9BR'!$E$6:$E$2989,"&gt;="&amp;BA7,'1UT9BR'!$E$6:$E$2989,"&lt;="&amp;EOMONTH(BA7,0),'1UT9BR'!$F$6:$F$2989,"Closed Account")+SUMIFS('1MK4UR'!$H$6:$H$2989,'1MK4UR'!$E$6:$E$2989,"&gt;="&amp;BA7,'1MK4UR'!$E$6:$E$2989,"&lt;="&amp;EOMONTH(BA7,0),'1MK4UR'!$F$6:$F$2989,"Closed Account")+SUMIFS(#REF!,#REF!,"&gt;="&amp;BA7,#REF!,"&lt;="&amp;EOMONTH(BA7,0),#REF!,"Closed Account")+SUMIFS('1JI2UE'!$H$6:$H$2989,'1JI2UE'!$E$6:$E$2989,"&gt;="&amp;BA7,'1JI2UE'!$E$6:$E$2989,"&lt;="&amp;EOMONTH(BA7,0),'1JI2UE'!$F$6:$F$2989,"Closed Account")+SUMIFS(#REF!,#REF!,"&gt;="&amp;BA7,#REF!,"&lt;="&amp;EOMONTH(BA7,0),#REF!,"Closed Account")+SUMIFS('1SI9BW'!$H$6:$H$2989,'1SI9BW'!$E$6:$E$2989,"&gt;="&amp;BA7,'1SI9BW'!$E$6:$E$2989,"&lt;="&amp;EOMONTH(BA7,0),'1SI9BW'!$F$6:$F$2989,"Closed Account")+SUMIFS(Suzuki!$H$6:$H$2989,Suzuki!$E$6:$E$2989,"&gt;="&amp;BA7,Suzuki!$E$6:$E$2989,"&lt;="&amp;EOMONTH(BA7,0),Suzuki!$F$6:$F$2989,"Closed Account")+SUMIFS('1SK3DD'!$H$6:$H$2989,'1SK3DD'!$E$6:$E$2989,"&gt;="&amp;BA7,'1SK3DD'!$E$6:$E$2989,"&lt;="&amp;EOMONTH(BA7,0),'1SK3DD'!$F$6:$F$2989,"Closed Account")+SUMIFS('1SX5TQ'!$H$6:$H$2989,'1SX5TQ'!$E$6:$E$2989,"&gt;="&amp;BA7,'1SX5TQ'!$E$6:$E$2989,"&lt;="&amp;EOMONTH(BA7,0),'1SX5TQ'!$F$6:$F$2989,"Closed Account")+SUMIFS('BMM465'!$H$6:$H$2989,'BMM465'!$E$6:$E$2989,"&gt;="&amp;BA7,'BMM465'!$E$6:$E$2989,"&lt;="&amp;EOMONTH(BA7,0),'BMM465'!$F$6:$F$2989,"Closed Account")+SUMIFS('1CF1ZO'!$H$6:$H$2989,'1CF1ZO'!$E$6:$E$2989,"&gt;="&amp;BA7,'1CF1ZO'!$E$6:$E$2989,"&lt;="&amp;EOMONTH(BA7,0),'1CF1ZO'!$F$6:$F$2989,"Closed Account")+SUMIFS('1UK1BK'!$H$6:$H$2989,'1UK1BK'!$E$6:$E$2989,"&gt;="&amp;BA7,'1UK1BK'!$E$6:$E$2989,"&lt;="&amp;EOMONTH(BA7,0),'1UK1BK'!$F$6:$F$2989,"Closed Account")</f>
        <v>#REF!</v>
      </c>
    </row>
    <row r="47" spans="2:53" ht="15.75" thickBot="1" x14ac:dyDescent="0.3">
      <c r="B47" s="68" t="s">
        <v>417</v>
      </c>
      <c r="C47" s="68"/>
      <c r="D47" s="6">
        <f>SUM(G47:AAB47)</f>
        <v>0</v>
      </c>
      <c r="E47" s="68"/>
      <c r="F47" s="6">
        <f>SUM(I47:AAD47)</f>
        <v>0</v>
      </c>
      <c r="G47" s="68"/>
      <c r="H47" s="6">
        <f t="shared" si="19"/>
        <v>0</v>
      </c>
      <c r="I47" s="34">
        <v>0</v>
      </c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2:53" x14ac:dyDescent="0.25">
      <c r="B48" s="32"/>
      <c r="C48" s="32"/>
      <c r="D48" s="32"/>
      <c r="E48" s="32"/>
      <c r="F48" s="32"/>
      <c r="G48" s="148"/>
      <c r="H48" s="33"/>
      <c r="I48" s="150"/>
      <c r="J48" s="150"/>
      <c r="K48" s="150"/>
      <c r="L48" s="150"/>
      <c r="M48" s="2"/>
      <c r="N48" s="2"/>
      <c r="O48" s="2"/>
      <c r="P48" s="2"/>
      <c r="Q48" s="2"/>
      <c r="R48" s="2"/>
      <c r="S48" s="2"/>
      <c r="T48" s="2"/>
      <c r="U48" s="2"/>
    </row>
    <row r="49" spans="2:25" x14ac:dyDescent="0.25">
      <c r="B49" s="32"/>
      <c r="C49" s="32"/>
      <c r="D49" s="32"/>
      <c r="E49" s="32"/>
      <c r="F49" s="32"/>
      <c r="G49" s="148"/>
      <c r="H49" s="33"/>
      <c r="I49" s="154"/>
      <c r="J49" s="150">
        <v>205.68</v>
      </c>
      <c r="K49" s="150" t="s">
        <v>20</v>
      </c>
      <c r="L49" s="152" t="s">
        <v>603</v>
      </c>
      <c r="M49" s="2">
        <v>108.08</v>
      </c>
      <c r="N49" s="2" t="s">
        <v>538</v>
      </c>
      <c r="O49" s="150">
        <v>1320</v>
      </c>
      <c r="P49" s="152"/>
      <c r="Q49" s="152"/>
      <c r="R49" s="150" t="s">
        <v>721</v>
      </c>
      <c r="S49" s="150" t="s">
        <v>818</v>
      </c>
      <c r="T49" s="2"/>
      <c r="U49" s="2"/>
      <c r="V49" s="2"/>
      <c r="X49" s="2"/>
    </row>
    <row r="50" spans="2:25" x14ac:dyDescent="0.25">
      <c r="B50" s="74"/>
      <c r="C50" s="74"/>
      <c r="D50" s="74"/>
      <c r="E50" s="74"/>
      <c r="F50" s="74"/>
      <c r="G50" s="36"/>
      <c r="H50" s="80"/>
      <c r="I50" s="154"/>
      <c r="J50" s="150">
        <v>205.68</v>
      </c>
      <c r="K50" s="150" t="s">
        <v>20</v>
      </c>
      <c r="L50" s="152" t="s">
        <v>704</v>
      </c>
      <c r="M50" s="2">
        <v>50.67</v>
      </c>
      <c r="N50" s="2" t="s">
        <v>538</v>
      </c>
      <c r="O50" s="150">
        <v>1640</v>
      </c>
      <c r="P50" s="152"/>
      <c r="Q50" s="150"/>
      <c r="R50" s="150" t="s">
        <v>538</v>
      </c>
      <c r="S50" s="150" t="s">
        <v>799</v>
      </c>
      <c r="T50" s="2"/>
      <c r="V50" s="8"/>
    </row>
    <row r="51" spans="2:25" x14ac:dyDescent="0.25">
      <c r="B51" s="37" t="s">
        <v>16</v>
      </c>
      <c r="C51" s="37"/>
      <c r="D51" s="37"/>
      <c r="E51" s="37"/>
      <c r="F51" s="37"/>
      <c r="G51" s="8"/>
      <c r="H51" s="88">
        <f>Database!$I$3</f>
        <v>1319.8100000000002</v>
      </c>
      <c r="I51" s="154"/>
      <c r="J51" s="150"/>
      <c r="K51" s="150"/>
      <c r="L51" s="152"/>
      <c r="M51" s="2">
        <v>103.53</v>
      </c>
      <c r="N51" s="12"/>
      <c r="O51" s="150">
        <v>1250</v>
      </c>
      <c r="P51" s="152"/>
      <c r="Q51" s="150"/>
      <c r="R51" s="150" t="s">
        <v>527</v>
      </c>
      <c r="S51" s="150" t="s">
        <v>600</v>
      </c>
      <c r="T51" s="2"/>
      <c r="V51" s="8"/>
    </row>
    <row r="52" spans="2:25" x14ac:dyDescent="0.25">
      <c r="B52" s="8" t="s">
        <v>267</v>
      </c>
      <c r="C52" s="8"/>
      <c r="D52" s="8"/>
      <c r="E52" s="8"/>
      <c r="F52" s="8"/>
      <c r="G52" s="15"/>
      <c r="H52" s="33"/>
      <c r="I52" s="154"/>
      <c r="J52" s="150"/>
      <c r="K52" s="150"/>
      <c r="L52" s="152"/>
      <c r="M52" s="2"/>
      <c r="N52" s="12"/>
      <c r="O52" s="150">
        <v>3302</v>
      </c>
      <c r="P52" s="152"/>
      <c r="Q52" s="150"/>
      <c r="R52" s="150" t="s">
        <v>445</v>
      </c>
      <c r="S52" s="150" t="s">
        <v>737</v>
      </c>
      <c r="T52" s="2"/>
      <c r="U52" s="2"/>
    </row>
    <row r="53" spans="2:25" x14ac:dyDescent="0.25">
      <c r="B53" t="s">
        <v>32</v>
      </c>
      <c r="G53" s="11"/>
      <c r="H53" s="33"/>
      <c r="I53" s="154"/>
      <c r="J53" s="150"/>
      <c r="K53" s="151"/>
      <c r="L53" s="152"/>
      <c r="M53" s="11"/>
      <c r="N53" s="124"/>
      <c r="O53" s="152"/>
      <c r="P53" s="152"/>
      <c r="Q53" s="150"/>
      <c r="R53" s="150"/>
      <c r="S53" s="150"/>
      <c r="T53" s="12"/>
      <c r="U53" s="2"/>
      <c r="V53" s="12"/>
    </row>
    <row r="54" spans="2:25" x14ac:dyDescent="0.25">
      <c r="B54" s="8" t="s">
        <v>120</v>
      </c>
      <c r="C54" s="8"/>
      <c r="D54" s="8"/>
      <c r="E54" s="8"/>
      <c r="F54" s="8"/>
      <c r="G54" s="8"/>
      <c r="H54" s="8"/>
      <c r="I54" s="154"/>
      <c r="J54" s="150"/>
      <c r="K54" s="152"/>
      <c r="L54" s="152"/>
      <c r="N54" s="124"/>
      <c r="O54" s="152"/>
      <c r="P54" s="152"/>
      <c r="Q54" s="150"/>
      <c r="R54" s="150"/>
      <c r="S54" s="150"/>
      <c r="T54" s="12"/>
      <c r="U54" s="2"/>
      <c r="W54" s="2"/>
    </row>
    <row r="55" spans="2:25" x14ac:dyDescent="0.25">
      <c r="B55" s="37" t="s">
        <v>17</v>
      </c>
      <c r="C55" s="37"/>
      <c r="D55" s="37"/>
      <c r="E55" s="37"/>
      <c r="F55" s="37"/>
      <c r="G55" s="37"/>
      <c r="H55" s="8"/>
      <c r="I55" s="154"/>
      <c r="J55" s="152"/>
      <c r="K55" s="152"/>
      <c r="L55" s="152"/>
      <c r="M55" s="8"/>
      <c r="N55" s="124"/>
      <c r="O55" s="152"/>
      <c r="P55" s="152"/>
      <c r="Q55" s="150">
        <v>330</v>
      </c>
      <c r="R55" s="153" t="s">
        <v>538</v>
      </c>
      <c r="S55" s="202" t="s">
        <v>1033</v>
      </c>
      <c r="T55" s="12"/>
      <c r="U55" s="2"/>
    </row>
    <row r="56" spans="2:25" x14ac:dyDescent="0.25">
      <c r="B56" t="s">
        <v>121</v>
      </c>
      <c r="H56" s="8"/>
      <c r="I56" s="154"/>
      <c r="J56" s="152"/>
      <c r="K56" s="152"/>
      <c r="L56" s="153"/>
      <c r="N56" s="124"/>
      <c r="O56" s="152"/>
      <c r="P56" s="152" t="s">
        <v>534</v>
      </c>
      <c r="Q56" s="150">
        <v>850</v>
      </c>
      <c r="R56" s="150" t="s">
        <v>704</v>
      </c>
      <c r="S56" s="202" t="s">
        <v>1012</v>
      </c>
      <c r="T56" s="11"/>
      <c r="U56" s="2"/>
    </row>
    <row r="57" spans="2:25" x14ac:dyDescent="0.25">
      <c r="B57" t="s">
        <v>37</v>
      </c>
      <c r="H57" s="33"/>
      <c r="I57" s="154"/>
      <c r="J57" s="152"/>
      <c r="K57" s="153"/>
      <c r="L57" s="153"/>
      <c r="N57" s="124"/>
      <c r="O57" s="152"/>
      <c r="P57" s="152"/>
      <c r="Q57" s="150">
        <v>2736</v>
      </c>
      <c r="R57" s="153" t="s">
        <v>27</v>
      </c>
      <c r="S57" s="202" t="s">
        <v>619</v>
      </c>
      <c r="T57" s="12"/>
      <c r="U57" s="2"/>
    </row>
    <row r="58" spans="2:25" x14ac:dyDescent="0.25">
      <c r="H58" s="33"/>
      <c r="I58" s="154"/>
      <c r="J58" s="152"/>
      <c r="K58" s="153"/>
      <c r="L58" s="153"/>
      <c r="M58" s="8"/>
      <c r="N58" s="124"/>
      <c r="O58" s="152"/>
      <c r="P58" s="152"/>
      <c r="Q58" s="150">
        <v>2150</v>
      </c>
      <c r="R58" s="153" t="s">
        <v>595</v>
      </c>
      <c r="S58" s="150" t="s">
        <v>676</v>
      </c>
      <c r="T58" s="8"/>
      <c r="U58" s="2"/>
      <c r="X58" s="16"/>
      <c r="Y58" s="204"/>
    </row>
    <row r="59" spans="2:25" x14ac:dyDescent="0.25">
      <c r="B59" s="16"/>
      <c r="C59" s="16"/>
      <c r="D59" s="16"/>
      <c r="E59" s="16"/>
      <c r="F59" s="16"/>
      <c r="J59" s="2">
        <f>SUM(J48:J58)</f>
        <v>411.36</v>
      </c>
      <c r="N59" s="124"/>
      <c r="O59" s="152"/>
      <c r="P59" s="152" t="s">
        <v>534</v>
      </c>
      <c r="Q59" s="150">
        <v>1100</v>
      </c>
      <c r="R59" s="153" t="s">
        <v>720</v>
      </c>
      <c r="S59" s="150" t="s">
        <v>997</v>
      </c>
      <c r="T59" s="12"/>
      <c r="U59" s="2"/>
      <c r="X59" s="16"/>
      <c r="Y59" s="204"/>
    </row>
    <row r="60" spans="2:25" ht="15.75" x14ac:dyDescent="0.25">
      <c r="B60" s="158" t="s">
        <v>424</v>
      </c>
      <c r="C60" s="158"/>
      <c r="D60" s="158"/>
      <c r="E60" s="159">
        <f>SUM(E61:E202)</f>
        <v>0</v>
      </c>
      <c r="F60" s="160"/>
      <c r="G60" s="158" t="s">
        <v>425</v>
      </c>
      <c r="H60" s="159">
        <f>SUM(H61:H202)</f>
        <v>4975</v>
      </c>
      <c r="I60" s="161"/>
      <c r="J60" s="162">
        <f>SUMIFS($H$61:$H$100,$I$61:$I$100,I60)</f>
        <v>0</v>
      </c>
      <c r="K60" s="162"/>
      <c r="L60" s="162"/>
      <c r="N60" s="124"/>
      <c r="O60" s="152"/>
      <c r="P60" s="152"/>
      <c r="Q60" s="150"/>
      <c r="R60" s="153"/>
      <c r="S60" s="150"/>
      <c r="T60" s="12"/>
      <c r="U60" s="2"/>
      <c r="X60" s="16"/>
      <c r="Y60" s="204"/>
    </row>
    <row r="61" spans="2:25" x14ac:dyDescent="0.25">
      <c r="B61" s="16">
        <v>44593</v>
      </c>
      <c r="C61" s="163">
        <v>2000</v>
      </c>
      <c r="D61" s="16" t="s">
        <v>878</v>
      </c>
      <c r="E61" s="163">
        <v>360</v>
      </c>
      <c r="F61" s="33" t="s">
        <v>449</v>
      </c>
      <c r="G61" s="16">
        <v>44134</v>
      </c>
      <c r="H61">
        <v>200</v>
      </c>
      <c r="I61" t="s">
        <v>199</v>
      </c>
      <c r="N61" s="124"/>
      <c r="O61" s="203">
        <f>SUM(O49:O60)</f>
        <v>7512</v>
      </c>
      <c r="P61" s="152"/>
      <c r="Q61" s="203">
        <f>SUM(Q49:Q60)</f>
        <v>7166</v>
      </c>
      <c r="R61" s="153"/>
      <c r="S61" s="150"/>
      <c r="T61" s="12"/>
      <c r="U61" s="2"/>
      <c r="X61" s="16"/>
      <c r="Y61" s="204"/>
    </row>
    <row r="62" spans="2:25" x14ac:dyDescent="0.25">
      <c r="B62" s="16">
        <v>44496</v>
      </c>
      <c r="C62" s="163">
        <v>2000</v>
      </c>
      <c r="D62" s="16" t="s">
        <v>878</v>
      </c>
      <c r="E62" s="163">
        <v>-150</v>
      </c>
      <c r="F62" s="33" t="s">
        <v>450</v>
      </c>
      <c r="G62" s="16">
        <v>44138</v>
      </c>
      <c r="H62">
        <v>360</v>
      </c>
      <c r="I62" t="s">
        <v>451</v>
      </c>
      <c r="N62" s="2"/>
      <c r="O62" s="2"/>
      <c r="T62" s="12"/>
      <c r="U62" s="2"/>
      <c r="X62" s="16"/>
      <c r="Y62" s="204"/>
    </row>
    <row r="63" spans="2:25" ht="15" customHeight="1" x14ac:dyDescent="0.25">
      <c r="B63" s="16">
        <v>44138</v>
      </c>
      <c r="C63" s="16"/>
      <c r="D63" s="16"/>
      <c r="E63" s="163">
        <v>-66</v>
      </c>
      <c r="F63" s="33" t="s">
        <v>34</v>
      </c>
      <c r="G63" s="16">
        <v>44143</v>
      </c>
      <c r="H63">
        <v>100</v>
      </c>
      <c r="I63" t="s">
        <v>329</v>
      </c>
      <c r="T63" s="12"/>
      <c r="U63" s="2"/>
      <c r="X63" s="16"/>
      <c r="Y63" s="204"/>
    </row>
    <row r="64" spans="2:25" x14ac:dyDescent="0.25">
      <c r="B64" s="16">
        <v>44138</v>
      </c>
      <c r="C64" s="16"/>
      <c r="D64" s="16"/>
      <c r="E64" s="163">
        <v>420</v>
      </c>
      <c r="F64" s="33" t="s">
        <v>418</v>
      </c>
      <c r="G64" s="16">
        <v>44144</v>
      </c>
      <c r="H64">
        <v>50</v>
      </c>
      <c r="I64" t="s">
        <v>455</v>
      </c>
      <c r="T64" s="12"/>
      <c r="X64" s="16"/>
      <c r="Y64" s="204"/>
    </row>
    <row r="65" spans="2:25" ht="15" customHeight="1" x14ac:dyDescent="0.25">
      <c r="B65" s="16">
        <v>44139</v>
      </c>
      <c r="C65" s="16"/>
      <c r="D65" s="16"/>
      <c r="E65" s="163">
        <v>150</v>
      </c>
      <c r="F65" s="33" t="s">
        <v>186</v>
      </c>
      <c r="G65" s="16">
        <v>44144</v>
      </c>
      <c r="H65">
        <v>160</v>
      </c>
      <c r="I65" t="s">
        <v>218</v>
      </c>
      <c r="T65" s="12"/>
      <c r="U65" s="2"/>
      <c r="X65" s="16"/>
      <c r="Y65" s="204"/>
    </row>
    <row r="66" spans="2:25" x14ac:dyDescent="0.25">
      <c r="B66" s="16">
        <v>44140</v>
      </c>
      <c r="C66" s="16"/>
      <c r="D66" s="16"/>
      <c r="E66" s="163">
        <v>160</v>
      </c>
      <c r="F66" s="33" t="s">
        <v>422</v>
      </c>
      <c r="G66" s="16">
        <v>44144</v>
      </c>
      <c r="H66">
        <v>60</v>
      </c>
      <c r="I66" t="s">
        <v>329</v>
      </c>
      <c r="T66" s="12"/>
      <c r="U66" s="2"/>
      <c r="X66" s="16"/>
      <c r="Y66" s="204"/>
    </row>
    <row r="67" spans="2:25" x14ac:dyDescent="0.25">
      <c r="B67" s="16">
        <v>44140</v>
      </c>
      <c r="C67" s="16"/>
      <c r="D67" s="16"/>
      <c r="E67" s="163">
        <v>180</v>
      </c>
      <c r="F67" s="33" t="s">
        <v>215</v>
      </c>
      <c r="G67" s="16">
        <v>44147</v>
      </c>
      <c r="H67">
        <v>65</v>
      </c>
      <c r="I67" t="s">
        <v>329</v>
      </c>
      <c r="T67" s="12"/>
      <c r="U67" s="2"/>
      <c r="X67" s="16"/>
      <c r="Y67" s="204"/>
    </row>
    <row r="68" spans="2:25" x14ac:dyDescent="0.25">
      <c r="B68" s="16">
        <v>44145</v>
      </c>
      <c r="C68" s="16"/>
      <c r="D68" s="16"/>
      <c r="E68" s="163">
        <v>180</v>
      </c>
      <c r="F68" s="33" t="s">
        <v>449</v>
      </c>
      <c r="G68" s="16">
        <v>44148</v>
      </c>
      <c r="H68">
        <v>40</v>
      </c>
      <c r="I68" t="s">
        <v>329</v>
      </c>
      <c r="T68" s="12"/>
      <c r="U68" s="2"/>
      <c r="X68" s="16"/>
      <c r="Y68" s="204"/>
    </row>
    <row r="69" spans="2:25" x14ac:dyDescent="0.25">
      <c r="B69" s="16">
        <v>44146</v>
      </c>
      <c r="C69" s="16"/>
      <c r="D69" s="16"/>
      <c r="E69" s="163">
        <v>550</v>
      </c>
      <c r="F69" s="33" t="s">
        <v>455</v>
      </c>
      <c r="G69" s="16">
        <v>44152</v>
      </c>
      <c r="H69">
        <v>74</v>
      </c>
      <c r="I69" t="s">
        <v>329</v>
      </c>
      <c r="T69" s="12"/>
      <c r="U69" s="2"/>
    </row>
    <row r="70" spans="2:25" x14ac:dyDescent="0.25">
      <c r="B70" s="16">
        <v>44146</v>
      </c>
      <c r="C70" s="16"/>
      <c r="D70" s="16"/>
      <c r="E70" s="163">
        <v>-300</v>
      </c>
      <c r="F70" s="33" t="s">
        <v>186</v>
      </c>
      <c r="G70" s="16">
        <v>44152</v>
      </c>
      <c r="H70">
        <v>400</v>
      </c>
      <c r="I70" t="s">
        <v>451</v>
      </c>
      <c r="L70" s="7"/>
    </row>
    <row r="71" spans="2:25" x14ac:dyDescent="0.25">
      <c r="B71" s="16">
        <v>44147</v>
      </c>
      <c r="C71" s="16"/>
      <c r="D71" s="16"/>
      <c r="E71" s="163">
        <v>160</v>
      </c>
      <c r="F71" s="33" t="s">
        <v>422</v>
      </c>
      <c r="G71" s="16">
        <v>44155</v>
      </c>
      <c r="H71">
        <v>300</v>
      </c>
      <c r="I71" t="s">
        <v>93</v>
      </c>
    </row>
    <row r="72" spans="2:25" x14ac:dyDescent="0.25">
      <c r="B72" s="16">
        <v>44149</v>
      </c>
      <c r="C72" s="16"/>
      <c r="D72" s="16"/>
      <c r="E72" s="163">
        <v>180</v>
      </c>
      <c r="F72" s="33" t="s">
        <v>215</v>
      </c>
      <c r="G72" s="16">
        <v>44167</v>
      </c>
      <c r="H72">
        <v>100</v>
      </c>
      <c r="I72" t="s">
        <v>464</v>
      </c>
    </row>
    <row r="73" spans="2:25" x14ac:dyDescent="0.25">
      <c r="B73" s="16">
        <v>44153</v>
      </c>
      <c r="C73" s="16"/>
      <c r="D73" s="16"/>
      <c r="E73" s="163">
        <v>160</v>
      </c>
      <c r="F73" s="33" t="s">
        <v>422</v>
      </c>
      <c r="G73" s="16">
        <v>44169</v>
      </c>
      <c r="H73">
        <v>280</v>
      </c>
      <c r="I73" t="s">
        <v>457</v>
      </c>
    </row>
    <row r="74" spans="2:25" x14ac:dyDescent="0.25">
      <c r="B74" s="16">
        <v>44153</v>
      </c>
      <c r="C74" s="16"/>
      <c r="D74" s="16"/>
      <c r="E74" s="163">
        <v>180</v>
      </c>
      <c r="F74" s="33" t="s">
        <v>449</v>
      </c>
      <c r="G74" s="16">
        <v>44189</v>
      </c>
      <c r="H74">
        <v>466</v>
      </c>
      <c r="I74" t="s">
        <v>329</v>
      </c>
    </row>
    <row r="75" spans="2:25" x14ac:dyDescent="0.25">
      <c r="B75" s="16">
        <v>44154</v>
      </c>
      <c r="C75" s="16"/>
      <c r="D75" s="16"/>
      <c r="E75" s="163">
        <v>200</v>
      </c>
      <c r="F75" s="33" t="s">
        <v>455</v>
      </c>
      <c r="G75" s="16">
        <v>44178</v>
      </c>
      <c r="H75">
        <v>-820</v>
      </c>
      <c r="I75" t="s">
        <v>467</v>
      </c>
    </row>
    <row r="76" spans="2:25" x14ac:dyDescent="0.25">
      <c r="B76" s="16">
        <v>44155</v>
      </c>
      <c r="C76" s="16"/>
      <c r="D76" s="16"/>
      <c r="E76" s="163">
        <v>180</v>
      </c>
      <c r="F76" s="33" t="s">
        <v>215</v>
      </c>
      <c r="G76" s="16">
        <v>44172</v>
      </c>
      <c r="H76">
        <v>260</v>
      </c>
      <c r="I76" t="s">
        <v>93</v>
      </c>
    </row>
    <row r="77" spans="2:25" x14ac:dyDescent="0.25">
      <c r="B77" s="16">
        <v>44160</v>
      </c>
      <c r="C77" s="16"/>
      <c r="D77" s="16"/>
      <c r="E77" s="163">
        <v>160</v>
      </c>
      <c r="F77" s="33" t="s">
        <v>422</v>
      </c>
      <c r="G77" s="16">
        <v>44198</v>
      </c>
      <c r="H77">
        <v>150</v>
      </c>
      <c r="I77" t="s">
        <v>483</v>
      </c>
    </row>
    <row r="78" spans="2:25" x14ac:dyDescent="0.25">
      <c r="B78" s="16">
        <v>44161</v>
      </c>
      <c r="C78" s="16"/>
      <c r="D78" s="16"/>
      <c r="E78" s="163">
        <v>180</v>
      </c>
      <c r="F78" s="33" t="s">
        <v>449</v>
      </c>
      <c r="G78" s="16">
        <v>44204</v>
      </c>
      <c r="H78">
        <v>100</v>
      </c>
      <c r="I78" t="s">
        <v>439</v>
      </c>
      <c r="J78" t="s">
        <v>486</v>
      </c>
    </row>
    <row r="79" spans="2:25" x14ac:dyDescent="0.25">
      <c r="B79" s="16">
        <v>44161</v>
      </c>
      <c r="C79" s="16"/>
      <c r="D79" s="16"/>
      <c r="E79" s="163">
        <v>-150</v>
      </c>
      <c r="F79" s="33" t="s">
        <v>460</v>
      </c>
      <c r="G79" s="16">
        <v>44189</v>
      </c>
      <c r="H79">
        <v>-270</v>
      </c>
      <c r="I79" t="s">
        <v>93</v>
      </c>
    </row>
    <row r="80" spans="2:25" x14ac:dyDescent="0.25">
      <c r="B80" s="16">
        <v>44161</v>
      </c>
      <c r="C80" s="16"/>
      <c r="D80" s="16"/>
      <c r="E80" s="163">
        <v>-80</v>
      </c>
      <c r="F80" s="33" t="s">
        <v>460</v>
      </c>
      <c r="G80" s="16">
        <v>44104</v>
      </c>
      <c r="I80" t="s">
        <v>218</v>
      </c>
      <c r="J80">
        <v>250</v>
      </c>
    </row>
    <row r="81" spans="2:9" x14ac:dyDescent="0.25">
      <c r="B81" s="16">
        <v>44161</v>
      </c>
      <c r="C81" s="16"/>
      <c r="D81" s="16"/>
      <c r="E81" s="163">
        <v>200</v>
      </c>
      <c r="F81" s="33" t="s">
        <v>455</v>
      </c>
      <c r="G81" s="16">
        <v>44261</v>
      </c>
      <c r="H81">
        <v>300</v>
      </c>
      <c r="I81" t="s">
        <v>483</v>
      </c>
    </row>
    <row r="82" spans="2:9" x14ac:dyDescent="0.25">
      <c r="B82" s="16">
        <v>44161</v>
      </c>
      <c r="C82" s="16"/>
      <c r="D82" s="16"/>
      <c r="E82" s="163">
        <v>220</v>
      </c>
      <c r="F82" s="33" t="s">
        <v>215</v>
      </c>
      <c r="G82" s="16">
        <v>44239</v>
      </c>
      <c r="H82">
        <v>400</v>
      </c>
      <c r="I82" t="s">
        <v>537</v>
      </c>
    </row>
    <row r="83" spans="2:9" x14ac:dyDescent="0.25">
      <c r="B83" s="16">
        <v>44164</v>
      </c>
      <c r="C83" s="16"/>
      <c r="D83" s="16"/>
      <c r="E83" s="163">
        <v>280</v>
      </c>
      <c r="F83" s="33" t="s">
        <v>418</v>
      </c>
      <c r="G83" s="16">
        <v>44233</v>
      </c>
      <c r="H83">
        <v>260</v>
      </c>
      <c r="I83" t="s">
        <v>93</v>
      </c>
    </row>
    <row r="84" spans="2:9" x14ac:dyDescent="0.25">
      <c r="B84" s="16">
        <v>44165</v>
      </c>
      <c r="C84" s="16"/>
      <c r="D84" s="16"/>
      <c r="E84" s="163">
        <v>600</v>
      </c>
      <c r="F84" s="33" t="s">
        <v>461</v>
      </c>
      <c r="G84" s="16">
        <v>44263</v>
      </c>
      <c r="H84">
        <v>220</v>
      </c>
      <c r="I84" t="s">
        <v>93</v>
      </c>
    </row>
    <row r="85" spans="2:9" x14ac:dyDescent="0.25">
      <c r="B85" s="16">
        <v>44166</v>
      </c>
      <c r="C85" s="16"/>
      <c r="D85" s="16"/>
      <c r="E85" s="163">
        <v>-198.52</v>
      </c>
      <c r="F85" s="33" t="s">
        <v>31</v>
      </c>
      <c r="G85" s="16">
        <v>44263</v>
      </c>
      <c r="H85">
        <v>200</v>
      </c>
      <c r="I85" t="s">
        <v>93</v>
      </c>
    </row>
    <row r="86" spans="2:9" x14ac:dyDescent="0.25">
      <c r="B86" s="16">
        <v>44167</v>
      </c>
      <c r="C86" s="16"/>
      <c r="D86" s="16"/>
      <c r="E86" s="163">
        <v>180</v>
      </c>
      <c r="F86" s="33" t="s">
        <v>449</v>
      </c>
      <c r="G86" s="16">
        <v>44253</v>
      </c>
      <c r="H86">
        <v>150</v>
      </c>
      <c r="I86" t="s">
        <v>218</v>
      </c>
    </row>
    <row r="87" spans="2:9" x14ac:dyDescent="0.25">
      <c r="B87" s="16">
        <v>44167</v>
      </c>
      <c r="C87" s="16"/>
      <c r="D87" s="16"/>
      <c r="E87" s="163">
        <v>160</v>
      </c>
      <c r="F87" s="33" t="s">
        <v>422</v>
      </c>
      <c r="G87" s="16">
        <v>44274</v>
      </c>
      <c r="H87">
        <v>1350</v>
      </c>
      <c r="I87" t="s">
        <v>199</v>
      </c>
    </row>
    <row r="88" spans="2:9" x14ac:dyDescent="0.25">
      <c r="B88" s="16">
        <v>44167</v>
      </c>
      <c r="C88" s="16"/>
      <c r="D88" s="16"/>
      <c r="E88" s="163">
        <v>500</v>
      </c>
      <c r="F88" s="33" t="s">
        <v>464</v>
      </c>
      <c r="G88" s="16">
        <v>44296</v>
      </c>
      <c r="H88">
        <v>20</v>
      </c>
      <c r="I88" t="s">
        <v>457</v>
      </c>
    </row>
    <row r="89" spans="2:9" x14ac:dyDescent="0.25">
      <c r="B89" s="16">
        <v>44168</v>
      </c>
      <c r="C89" s="16"/>
      <c r="D89" s="16"/>
      <c r="E89" s="163">
        <v>200</v>
      </c>
      <c r="F89" s="33" t="s">
        <v>455</v>
      </c>
      <c r="G89" s="16"/>
    </row>
    <row r="90" spans="2:9" x14ac:dyDescent="0.25">
      <c r="B90" s="16">
        <v>44169</v>
      </c>
      <c r="C90" s="16"/>
      <c r="D90" s="16"/>
      <c r="E90" s="163">
        <v>300</v>
      </c>
      <c r="F90" s="33" t="s">
        <v>215</v>
      </c>
      <c r="G90" s="16"/>
    </row>
    <row r="91" spans="2:9" x14ac:dyDescent="0.25">
      <c r="B91" s="16">
        <v>44170</v>
      </c>
      <c r="C91" s="16"/>
      <c r="D91" s="16"/>
      <c r="E91" s="163">
        <v>-198.52</v>
      </c>
      <c r="F91" s="33" t="s">
        <v>21</v>
      </c>
    </row>
    <row r="92" spans="2:9" x14ac:dyDescent="0.25">
      <c r="B92" s="16">
        <v>44170</v>
      </c>
      <c r="C92" s="16"/>
      <c r="D92" s="16"/>
      <c r="E92" s="163">
        <v>-200</v>
      </c>
      <c r="F92" s="33" t="s">
        <v>489</v>
      </c>
    </row>
    <row r="93" spans="2:9" x14ac:dyDescent="0.25">
      <c r="B93" s="16">
        <v>44169</v>
      </c>
      <c r="C93" s="16"/>
      <c r="D93" s="16"/>
      <c r="E93" s="163">
        <v>-400</v>
      </c>
      <c r="F93" s="33" t="s">
        <v>490</v>
      </c>
    </row>
    <row r="94" spans="2:9" x14ac:dyDescent="0.25">
      <c r="B94" s="16">
        <v>44174</v>
      </c>
      <c r="C94" s="16"/>
      <c r="D94" s="16"/>
      <c r="E94" s="163">
        <v>200</v>
      </c>
      <c r="F94" s="33" t="s">
        <v>464</v>
      </c>
    </row>
    <row r="95" spans="2:9" x14ac:dyDescent="0.25">
      <c r="B95" s="16">
        <v>44174</v>
      </c>
      <c r="C95" s="16"/>
      <c r="D95" s="16"/>
      <c r="E95" s="163">
        <v>180</v>
      </c>
      <c r="F95" s="33" t="s">
        <v>449</v>
      </c>
    </row>
    <row r="96" spans="2:9" x14ac:dyDescent="0.25">
      <c r="B96" s="16">
        <v>44175</v>
      </c>
      <c r="C96" s="16"/>
      <c r="D96" s="16"/>
      <c r="E96" s="163">
        <v>200</v>
      </c>
      <c r="F96" s="33" t="s">
        <v>422</v>
      </c>
    </row>
    <row r="97" spans="2:6" x14ac:dyDescent="0.25">
      <c r="B97" s="16">
        <v>44175</v>
      </c>
      <c r="C97" s="16"/>
      <c r="D97" s="16"/>
      <c r="E97" s="163">
        <v>560</v>
      </c>
      <c r="F97" s="33" t="s">
        <v>418</v>
      </c>
    </row>
    <row r="98" spans="2:6" x14ac:dyDescent="0.25">
      <c r="B98" s="16">
        <v>44175</v>
      </c>
      <c r="C98" s="16"/>
      <c r="D98" s="16"/>
      <c r="E98" s="163">
        <v>-198.52</v>
      </c>
      <c r="F98" s="33" t="s">
        <v>30</v>
      </c>
    </row>
    <row r="99" spans="2:6" x14ac:dyDescent="0.25">
      <c r="B99" s="16">
        <v>44175</v>
      </c>
      <c r="C99" s="16"/>
      <c r="D99" s="16"/>
      <c r="E99" s="163">
        <v>-180</v>
      </c>
      <c r="F99" s="33" t="s">
        <v>491</v>
      </c>
    </row>
    <row r="100" spans="2:6" x14ac:dyDescent="0.25">
      <c r="B100" s="16">
        <v>44176</v>
      </c>
      <c r="C100" s="16"/>
      <c r="D100" s="16"/>
      <c r="E100" s="163">
        <v>300</v>
      </c>
      <c r="F100" s="33" t="s">
        <v>215</v>
      </c>
    </row>
    <row r="101" spans="2:6" x14ac:dyDescent="0.25">
      <c r="B101" s="16">
        <v>44177</v>
      </c>
      <c r="C101" s="16"/>
      <c r="D101" s="16"/>
      <c r="E101" s="163">
        <v>200</v>
      </c>
      <c r="F101" s="33" t="s">
        <v>455</v>
      </c>
    </row>
    <row r="102" spans="2:6" x14ac:dyDescent="0.25">
      <c r="B102" s="16">
        <v>44176</v>
      </c>
      <c r="C102" s="16"/>
      <c r="D102" s="16"/>
      <c r="E102" s="163">
        <v>-412</v>
      </c>
      <c r="F102" s="33" t="s">
        <v>492</v>
      </c>
    </row>
    <row r="103" spans="2:6" x14ac:dyDescent="0.25">
      <c r="B103" s="16">
        <v>44170</v>
      </c>
      <c r="C103" s="16"/>
      <c r="D103" s="16"/>
      <c r="E103" s="163">
        <v>-72.83</v>
      </c>
      <c r="F103" s="33" t="s">
        <v>453</v>
      </c>
    </row>
    <row r="104" spans="2:6" x14ac:dyDescent="0.25">
      <c r="B104" s="16">
        <v>44181</v>
      </c>
      <c r="C104" s="16"/>
      <c r="D104" s="16"/>
      <c r="E104" s="163">
        <v>200</v>
      </c>
      <c r="F104" s="33" t="s">
        <v>422</v>
      </c>
    </row>
    <row r="105" spans="2:6" x14ac:dyDescent="0.25">
      <c r="B105" s="16">
        <v>44181</v>
      </c>
      <c r="C105" s="16"/>
      <c r="D105" s="16"/>
      <c r="E105" s="163">
        <v>180</v>
      </c>
      <c r="F105" s="33" t="s">
        <v>449</v>
      </c>
    </row>
    <row r="106" spans="2:6" x14ac:dyDescent="0.25">
      <c r="B106" s="16">
        <v>44181</v>
      </c>
      <c r="C106" s="16"/>
      <c r="D106" s="16"/>
      <c r="E106" s="163">
        <v>200</v>
      </c>
      <c r="F106" s="33" t="s">
        <v>464</v>
      </c>
    </row>
    <row r="107" spans="2:6" x14ac:dyDescent="0.25">
      <c r="B107" s="16">
        <v>44182</v>
      </c>
      <c r="C107" s="16"/>
      <c r="D107" s="16"/>
      <c r="E107" s="163">
        <v>170</v>
      </c>
      <c r="F107" s="33" t="s">
        <v>455</v>
      </c>
    </row>
    <row r="108" spans="2:6" x14ac:dyDescent="0.25">
      <c r="B108" s="16">
        <v>44187</v>
      </c>
      <c r="C108" s="16"/>
      <c r="D108" s="16"/>
      <c r="E108" s="163">
        <v>200</v>
      </c>
      <c r="F108" s="33" t="s">
        <v>215</v>
      </c>
    </row>
    <row r="109" spans="2:6" x14ac:dyDescent="0.25">
      <c r="B109" s="16">
        <v>44188</v>
      </c>
      <c r="C109" s="16"/>
      <c r="D109" s="16"/>
      <c r="E109" s="163">
        <v>260</v>
      </c>
      <c r="F109" s="33" t="s">
        <v>418</v>
      </c>
    </row>
    <row r="110" spans="2:6" x14ac:dyDescent="0.25">
      <c r="B110" s="16">
        <v>44188</v>
      </c>
      <c r="C110" s="16"/>
      <c r="D110" s="16"/>
      <c r="E110" s="163">
        <v>180</v>
      </c>
      <c r="F110" s="33" t="s">
        <v>449</v>
      </c>
    </row>
    <row r="111" spans="2:6" x14ac:dyDescent="0.25">
      <c r="B111" s="16">
        <v>44189</v>
      </c>
      <c r="C111" s="16"/>
      <c r="D111" s="16"/>
      <c r="E111" s="163">
        <v>200</v>
      </c>
      <c r="F111" s="33" t="s">
        <v>464</v>
      </c>
    </row>
    <row r="112" spans="2:6" x14ac:dyDescent="0.25">
      <c r="B112" s="16">
        <v>44189</v>
      </c>
      <c r="C112" s="16"/>
      <c r="D112" s="16"/>
      <c r="E112" s="163">
        <v>200</v>
      </c>
      <c r="F112" s="33" t="s">
        <v>455</v>
      </c>
    </row>
    <row r="113" spans="2:6" x14ac:dyDescent="0.25">
      <c r="B113" s="16">
        <v>44190</v>
      </c>
      <c r="C113" s="16"/>
      <c r="D113" s="16"/>
      <c r="E113" s="163">
        <v>250</v>
      </c>
      <c r="F113" s="33" t="s">
        <v>475</v>
      </c>
    </row>
    <row r="114" spans="2:6" x14ac:dyDescent="0.25">
      <c r="B114" s="16">
        <v>44188</v>
      </c>
      <c r="C114" s="16"/>
      <c r="D114" s="16"/>
      <c r="E114" s="163">
        <v>-300</v>
      </c>
      <c r="F114" s="33" t="s">
        <v>493</v>
      </c>
    </row>
    <row r="115" spans="2:6" x14ac:dyDescent="0.25">
      <c r="B115" s="16">
        <v>44195</v>
      </c>
      <c r="C115" s="16"/>
      <c r="D115" s="16"/>
      <c r="E115" s="163">
        <v>180</v>
      </c>
      <c r="F115" s="33" t="s">
        <v>449</v>
      </c>
    </row>
    <row r="116" spans="2:6" x14ac:dyDescent="0.25">
      <c r="B116" s="16">
        <v>44196</v>
      </c>
      <c r="C116" s="16"/>
      <c r="D116" s="16"/>
      <c r="E116" s="163">
        <v>200</v>
      </c>
      <c r="F116" s="33" t="s">
        <v>455</v>
      </c>
    </row>
    <row r="117" spans="2:6" x14ac:dyDescent="0.25">
      <c r="B117" s="16">
        <v>44197</v>
      </c>
      <c r="C117" s="16"/>
      <c r="D117" s="16"/>
      <c r="E117" s="163">
        <v>250</v>
      </c>
      <c r="F117" s="33" t="s">
        <v>475</v>
      </c>
    </row>
    <row r="118" spans="2:6" x14ac:dyDescent="0.25">
      <c r="B118" s="16">
        <v>44195</v>
      </c>
      <c r="C118" s="16"/>
      <c r="D118" s="16"/>
      <c r="E118" s="163">
        <v>-124</v>
      </c>
      <c r="F118" s="33" t="s">
        <v>494</v>
      </c>
    </row>
    <row r="119" spans="2:6" x14ac:dyDescent="0.25">
      <c r="B119" s="16">
        <v>44196</v>
      </c>
      <c r="C119" s="16"/>
      <c r="D119" s="16"/>
      <c r="E119" s="163">
        <v>200</v>
      </c>
      <c r="F119" s="33" t="s">
        <v>464</v>
      </c>
    </row>
    <row r="120" spans="2:6" x14ac:dyDescent="0.25">
      <c r="B120" s="16">
        <v>44200</v>
      </c>
      <c r="C120" s="16"/>
      <c r="D120" s="16"/>
      <c r="E120" s="163">
        <v>500</v>
      </c>
      <c r="F120" s="33" t="s">
        <v>215</v>
      </c>
    </row>
    <row r="121" spans="2:6" x14ac:dyDescent="0.25">
      <c r="B121" s="16">
        <v>44201</v>
      </c>
      <c r="C121" s="16"/>
      <c r="D121" s="16"/>
      <c r="E121" s="163">
        <v>450</v>
      </c>
      <c r="F121" s="33" t="s">
        <v>478</v>
      </c>
    </row>
    <row r="122" spans="2:6" x14ac:dyDescent="0.25">
      <c r="B122" s="16">
        <v>44202</v>
      </c>
      <c r="C122" s="16"/>
      <c r="D122" s="16"/>
      <c r="E122" s="163">
        <v>200</v>
      </c>
      <c r="F122" s="33" t="s">
        <v>464</v>
      </c>
    </row>
    <row r="123" spans="2:6" x14ac:dyDescent="0.25">
      <c r="B123" s="16">
        <v>44203</v>
      </c>
      <c r="C123" s="16"/>
      <c r="D123" s="16"/>
      <c r="E123" s="163">
        <v>170</v>
      </c>
      <c r="F123" s="33" t="s">
        <v>455</v>
      </c>
    </row>
    <row r="124" spans="2:6" x14ac:dyDescent="0.25">
      <c r="B124" s="16">
        <v>44205</v>
      </c>
      <c r="C124" s="16"/>
      <c r="D124" s="16"/>
      <c r="E124" s="163">
        <v>250</v>
      </c>
      <c r="F124" s="33" t="s">
        <v>475</v>
      </c>
    </row>
    <row r="125" spans="2:6" x14ac:dyDescent="0.25">
      <c r="B125" s="16">
        <v>44205</v>
      </c>
      <c r="C125" s="16"/>
      <c r="D125" s="16"/>
      <c r="E125" s="163">
        <v>-212.34</v>
      </c>
      <c r="F125" s="33" t="s">
        <v>27</v>
      </c>
    </row>
    <row r="126" spans="2:6" x14ac:dyDescent="0.25">
      <c r="B126" s="16">
        <v>44206</v>
      </c>
      <c r="C126" s="16"/>
      <c r="D126" s="16"/>
      <c r="E126" s="163">
        <v>720</v>
      </c>
      <c r="F126" s="33" t="s">
        <v>413</v>
      </c>
    </row>
    <row r="127" spans="2:6" x14ac:dyDescent="0.25">
      <c r="B127" s="16">
        <v>44210</v>
      </c>
      <c r="C127" s="16"/>
      <c r="D127" s="16"/>
      <c r="E127" s="163">
        <v>200</v>
      </c>
      <c r="F127" s="33" t="s">
        <v>464</v>
      </c>
    </row>
    <row r="128" spans="2:6" x14ac:dyDescent="0.25">
      <c r="B128" s="16">
        <v>44210</v>
      </c>
      <c r="C128" s="16"/>
      <c r="D128" s="16"/>
      <c r="E128" s="163">
        <v>170</v>
      </c>
      <c r="F128" s="33" t="s">
        <v>455</v>
      </c>
    </row>
    <row r="129" spans="2:7" x14ac:dyDescent="0.25">
      <c r="B129" s="16">
        <v>44211</v>
      </c>
      <c r="C129" s="16"/>
      <c r="D129" s="16"/>
      <c r="E129" s="163">
        <v>250</v>
      </c>
      <c r="F129" s="33" t="s">
        <v>475</v>
      </c>
    </row>
    <row r="130" spans="2:7" x14ac:dyDescent="0.25">
      <c r="B130" s="16">
        <v>44213</v>
      </c>
      <c r="C130" s="16"/>
      <c r="D130" s="16"/>
      <c r="E130" s="163">
        <v>450</v>
      </c>
      <c r="F130" s="33" t="s">
        <v>418</v>
      </c>
    </row>
    <row r="131" spans="2:7" x14ac:dyDescent="0.25">
      <c r="B131" s="16">
        <v>44214</v>
      </c>
      <c r="C131" s="16"/>
      <c r="D131" s="16"/>
      <c r="E131" s="163">
        <v>250</v>
      </c>
      <c r="F131" s="33" t="s">
        <v>215</v>
      </c>
    </row>
    <row r="132" spans="2:7" x14ac:dyDescent="0.25">
      <c r="B132" s="16">
        <v>44215</v>
      </c>
      <c r="C132" s="16"/>
      <c r="D132" s="16"/>
      <c r="E132" s="163">
        <v>-1000</v>
      </c>
      <c r="F132" s="33" t="s">
        <v>485</v>
      </c>
    </row>
    <row r="133" spans="2:7" x14ac:dyDescent="0.25">
      <c r="B133" s="16">
        <v>44217</v>
      </c>
      <c r="C133" s="16"/>
      <c r="D133" s="16"/>
      <c r="E133" s="163">
        <v>200</v>
      </c>
      <c r="F133" s="33" t="s">
        <v>464</v>
      </c>
    </row>
    <row r="134" spans="2:7" x14ac:dyDescent="0.25">
      <c r="B134" s="16">
        <v>44219</v>
      </c>
      <c r="C134" s="16"/>
      <c r="D134" s="16"/>
      <c r="E134" s="163">
        <v>170</v>
      </c>
      <c r="F134" s="33" t="s">
        <v>455</v>
      </c>
    </row>
    <row r="135" spans="2:7" x14ac:dyDescent="0.25">
      <c r="B135" s="16">
        <v>44219</v>
      </c>
      <c r="C135" s="16"/>
      <c r="D135" s="16"/>
      <c r="E135" s="163">
        <v>250</v>
      </c>
      <c r="F135" s="33" t="s">
        <v>475</v>
      </c>
    </row>
    <row r="136" spans="2:7" x14ac:dyDescent="0.25">
      <c r="B136" s="16">
        <v>44216</v>
      </c>
      <c r="C136" s="16"/>
      <c r="D136" s="16"/>
      <c r="E136" s="163">
        <v>543</v>
      </c>
      <c r="F136" s="33" t="s">
        <v>488</v>
      </c>
    </row>
    <row r="137" spans="2:7" x14ac:dyDescent="0.25">
      <c r="B137" s="16">
        <v>44221</v>
      </c>
      <c r="C137" s="16"/>
      <c r="D137" s="16"/>
      <c r="E137" s="163">
        <v>250</v>
      </c>
      <c r="F137" s="33" t="s">
        <v>215</v>
      </c>
    </row>
    <row r="138" spans="2:7" x14ac:dyDescent="0.25">
      <c r="B138" s="16">
        <v>44222</v>
      </c>
      <c r="C138" s="16"/>
      <c r="D138" s="16"/>
      <c r="E138" s="163">
        <v>-400</v>
      </c>
      <c r="F138" s="33" t="s">
        <v>215</v>
      </c>
    </row>
    <row r="139" spans="2:7" x14ac:dyDescent="0.25">
      <c r="B139" s="16">
        <v>44222</v>
      </c>
      <c r="C139" s="16"/>
      <c r="D139" s="16"/>
      <c r="E139" s="163">
        <v>200</v>
      </c>
      <c r="F139" s="33" t="s">
        <v>215</v>
      </c>
    </row>
    <row r="140" spans="2:7" x14ac:dyDescent="0.25">
      <c r="B140" s="16">
        <v>44223</v>
      </c>
      <c r="C140" s="16"/>
      <c r="D140" s="16"/>
      <c r="E140" s="163">
        <v>200</v>
      </c>
      <c r="F140" s="33" t="s">
        <v>464</v>
      </c>
    </row>
    <row r="141" spans="2:7" x14ac:dyDescent="0.25">
      <c r="B141" s="16">
        <v>44224</v>
      </c>
      <c r="C141" s="16"/>
      <c r="D141" s="16"/>
      <c r="E141" s="163">
        <v>236</v>
      </c>
      <c r="F141" t="s">
        <v>507</v>
      </c>
    </row>
    <row r="142" spans="2:7" x14ac:dyDescent="0.25">
      <c r="B142" s="16">
        <v>44226</v>
      </c>
      <c r="C142" s="16"/>
      <c r="D142" s="16"/>
      <c r="E142" s="163">
        <v>250</v>
      </c>
      <c r="F142" s="33" t="s">
        <v>475</v>
      </c>
    </row>
    <row r="143" spans="2:7" x14ac:dyDescent="0.25">
      <c r="B143" s="16">
        <v>44224</v>
      </c>
      <c r="C143" s="16"/>
      <c r="D143" s="16"/>
      <c r="E143" s="163">
        <v>320</v>
      </c>
      <c r="F143" s="33" t="s">
        <v>498</v>
      </c>
      <c r="G143" t="s">
        <v>499</v>
      </c>
    </row>
    <row r="144" spans="2:7" x14ac:dyDescent="0.25">
      <c r="B144" s="16">
        <v>44233</v>
      </c>
      <c r="C144" s="16"/>
      <c r="D144" s="16"/>
      <c r="E144" s="163">
        <v>250</v>
      </c>
      <c r="F144" s="33" t="s">
        <v>475</v>
      </c>
    </row>
    <row r="145" spans="2:6" x14ac:dyDescent="0.25">
      <c r="B145" s="16">
        <v>44238</v>
      </c>
      <c r="C145" s="16"/>
      <c r="D145" s="16"/>
      <c r="E145" s="163">
        <v>200</v>
      </c>
      <c r="F145" s="33" t="s">
        <v>215</v>
      </c>
    </row>
    <row r="146" spans="2:6" x14ac:dyDescent="0.25">
      <c r="B146" s="16">
        <v>44235</v>
      </c>
      <c r="C146" s="16"/>
      <c r="D146" s="16"/>
      <c r="E146" s="163">
        <f>-8412.98+226.71</f>
        <v>-8186.2699999999995</v>
      </c>
      <c r="F146" s="33" t="s">
        <v>508</v>
      </c>
    </row>
    <row r="147" spans="2:6" x14ac:dyDescent="0.25">
      <c r="B147" s="16">
        <v>44235</v>
      </c>
      <c r="C147" s="16"/>
      <c r="D147" s="16"/>
      <c r="E147" s="163">
        <v>-4400</v>
      </c>
      <c r="F147" s="33" t="s">
        <v>435</v>
      </c>
    </row>
    <row r="148" spans="2:6" x14ac:dyDescent="0.25">
      <c r="B148" s="16"/>
      <c r="C148" s="16"/>
      <c r="D148" s="16"/>
      <c r="E148" s="163"/>
      <c r="F148" s="33"/>
    </row>
    <row r="149" spans="2:6" x14ac:dyDescent="0.25">
      <c r="E149" s="163"/>
    </row>
    <row r="150" spans="2:6" x14ac:dyDescent="0.25">
      <c r="E150" s="163"/>
    </row>
    <row r="151" spans="2:6" x14ac:dyDescent="0.25">
      <c r="B151" s="16"/>
      <c r="E151" s="163"/>
    </row>
    <row r="152" spans="2:6" x14ac:dyDescent="0.25">
      <c r="B152" s="16"/>
      <c r="E152" s="163"/>
    </row>
    <row r="153" spans="2:6" x14ac:dyDescent="0.25">
      <c r="B153" s="16"/>
      <c r="E153" s="163"/>
    </row>
    <row r="154" spans="2:6" x14ac:dyDescent="0.25">
      <c r="B154" s="16"/>
      <c r="E154" s="163"/>
    </row>
    <row r="155" spans="2:6" x14ac:dyDescent="0.25">
      <c r="B155" s="16"/>
      <c r="E155" s="163"/>
    </row>
    <row r="156" spans="2:6" x14ac:dyDescent="0.25">
      <c r="B156" s="16"/>
      <c r="E156" s="163"/>
    </row>
    <row r="157" spans="2:6" x14ac:dyDescent="0.25">
      <c r="B157" s="16"/>
    </row>
    <row r="158" spans="2:6" x14ac:dyDescent="0.25">
      <c r="B158" s="16"/>
    </row>
    <row r="159" spans="2:6" x14ac:dyDescent="0.25">
      <c r="B159" s="16"/>
    </row>
    <row r="160" spans="2:6" x14ac:dyDescent="0.25">
      <c r="B160" s="16"/>
    </row>
    <row r="161" spans="2:2" x14ac:dyDescent="0.25">
      <c r="B161" s="16"/>
    </row>
    <row r="162" spans="2:2" x14ac:dyDescent="0.25">
      <c r="B162" s="16"/>
    </row>
    <row r="163" spans="2:2" x14ac:dyDescent="0.25">
      <c r="B163" s="16"/>
    </row>
    <row r="164" spans="2:2" x14ac:dyDescent="0.25">
      <c r="B164" s="16"/>
    </row>
    <row r="165" spans="2:2" x14ac:dyDescent="0.25">
      <c r="B165" s="16"/>
    </row>
    <row r="166" spans="2:2" x14ac:dyDescent="0.25">
      <c r="B166" s="16"/>
    </row>
    <row r="167" spans="2:2" x14ac:dyDescent="0.25">
      <c r="B167" s="16"/>
    </row>
    <row r="168" spans="2:2" x14ac:dyDescent="0.25">
      <c r="B168" s="16"/>
    </row>
    <row r="169" spans="2:2" x14ac:dyDescent="0.25">
      <c r="B169" s="16"/>
    </row>
    <row r="170" spans="2:2" x14ac:dyDescent="0.25">
      <c r="B170" s="16"/>
    </row>
    <row r="171" spans="2:2" x14ac:dyDescent="0.25">
      <c r="B171" s="16"/>
    </row>
    <row r="172" spans="2:2" x14ac:dyDescent="0.25">
      <c r="B172" s="16"/>
    </row>
    <row r="173" spans="2:2" x14ac:dyDescent="0.25">
      <c r="B173" s="16"/>
    </row>
    <row r="174" spans="2:2" x14ac:dyDescent="0.25">
      <c r="B174" s="16"/>
    </row>
    <row r="175" spans="2:2" x14ac:dyDescent="0.25">
      <c r="B175" s="16"/>
    </row>
    <row r="176" spans="2:2" x14ac:dyDescent="0.25">
      <c r="B176" s="16"/>
    </row>
    <row r="177" spans="2:2" x14ac:dyDescent="0.25">
      <c r="B177" s="16"/>
    </row>
    <row r="178" spans="2:2" x14ac:dyDescent="0.25">
      <c r="B178" s="16"/>
    </row>
    <row r="179" spans="2:2" x14ac:dyDescent="0.25">
      <c r="B179" s="16"/>
    </row>
    <row r="180" spans="2:2" x14ac:dyDescent="0.25">
      <c r="B180" s="16"/>
    </row>
    <row r="181" spans="2:2" x14ac:dyDescent="0.25">
      <c r="B181" s="16"/>
    </row>
    <row r="182" spans="2:2" x14ac:dyDescent="0.25">
      <c r="B182" s="16"/>
    </row>
    <row r="183" spans="2:2" x14ac:dyDescent="0.25">
      <c r="B183" s="16"/>
    </row>
    <row r="184" spans="2:2" x14ac:dyDescent="0.25">
      <c r="B184" s="16"/>
    </row>
  </sheetData>
  <mergeCells count="10">
    <mergeCell ref="AE5:AP6"/>
    <mergeCell ref="S5:AD6"/>
    <mergeCell ref="G43:G45"/>
    <mergeCell ref="G1:H1"/>
    <mergeCell ref="G2:H2"/>
    <mergeCell ref="I5:R6"/>
    <mergeCell ref="C5:D6"/>
    <mergeCell ref="C43:C45"/>
    <mergeCell ref="E5:F6"/>
    <mergeCell ref="E43:E45"/>
  </mergeCells>
  <pageMargins left="3.937007874015748E-2" right="0.19685039370078741" top="0.74803149606299213" bottom="0.74803149606299213" header="0.31496062992125984" footer="0.31496062992125984"/>
  <pageSetup paperSize="9" scale="79" fitToWidth="0" orientation="landscape" r:id="rId1"/>
  <headerFooter>
    <oddHeader>&amp;L&amp;G</oddHeader>
    <oddFooter>&amp;Lwww.FastBusinessPlans.com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1776"/>
  <sheetViews>
    <sheetView zoomScale="93" zoomScaleNormal="93" workbookViewId="0">
      <pane ySplit="7" topLeftCell="A10" activePane="bottomLeft" state="frozen"/>
      <selection pane="bottomLeft" activeCell="N31" sqref="N31"/>
    </sheetView>
  </sheetViews>
  <sheetFormatPr defaultColWidth="8.85546875" defaultRowHeight="15" customHeight="1" x14ac:dyDescent="0.25"/>
  <cols>
    <col min="1" max="1" width="3.28515625" style="10" bestFit="1" customWidth="1"/>
    <col min="2" max="2" width="12.5703125" bestFit="1" customWidth="1"/>
    <col min="3" max="3" width="13" customWidth="1"/>
    <col min="4" max="4" width="15.28515625" customWidth="1"/>
    <col min="5" max="5" width="18.5703125" bestFit="1" customWidth="1"/>
    <col min="6" max="6" width="14" customWidth="1"/>
    <col min="7" max="7" width="12.5703125" bestFit="1" customWidth="1"/>
    <col min="8" max="8" width="20.5703125" bestFit="1" customWidth="1"/>
    <col min="9" max="9" width="12.7109375" bestFit="1" customWidth="1"/>
    <col min="10" max="10" width="26.28515625" bestFit="1" customWidth="1"/>
    <col min="11" max="11" width="9.5703125" bestFit="1" customWidth="1"/>
    <col min="13" max="13" width="12" bestFit="1" customWidth="1"/>
    <col min="15" max="15" width="10.7109375" bestFit="1" customWidth="1"/>
    <col min="18" max="18" width="10.7109375" bestFit="1" customWidth="1"/>
    <col min="21" max="21" width="10.7109375" bestFit="1" customWidth="1"/>
    <col min="22" max="22" width="10.5703125" bestFit="1" customWidth="1"/>
  </cols>
  <sheetData>
    <row r="1" spans="1:22" x14ac:dyDescent="0.25">
      <c r="B1" s="254" t="s">
        <v>125</v>
      </c>
      <c r="C1" s="254"/>
      <c r="D1" s="254"/>
      <c r="E1" s="254"/>
      <c r="F1" s="254"/>
      <c r="G1" s="254"/>
      <c r="H1" s="254"/>
      <c r="I1" s="254"/>
      <c r="K1" t="s">
        <v>28</v>
      </c>
      <c r="L1">
        <f>7000-4500</f>
        <v>2500</v>
      </c>
      <c r="M1" t="s">
        <v>210</v>
      </c>
      <c r="O1" s="16"/>
      <c r="R1" s="16"/>
      <c r="U1" s="16"/>
    </row>
    <row r="2" spans="1:22" ht="15" customHeight="1" x14ac:dyDescent="0.25">
      <c r="A2" s="57"/>
      <c r="B2" s="254"/>
      <c r="C2" s="254"/>
      <c r="D2" s="254"/>
      <c r="E2" s="254"/>
      <c r="F2" s="254"/>
      <c r="G2" s="254"/>
      <c r="H2" s="254"/>
      <c r="I2" s="254"/>
      <c r="K2" t="s">
        <v>167</v>
      </c>
      <c r="L2">
        <f>4700-3800</f>
        <v>900</v>
      </c>
      <c r="M2" t="s">
        <v>210</v>
      </c>
      <c r="O2" s="16"/>
      <c r="R2" s="16"/>
    </row>
    <row r="3" spans="1:22" ht="15" customHeight="1" x14ac:dyDescent="0.25">
      <c r="A3" s="58"/>
      <c r="B3" s="314" t="s">
        <v>4</v>
      </c>
      <c r="C3" s="315"/>
      <c r="D3" s="315"/>
      <c r="E3" s="315"/>
      <c r="F3" s="263" t="s">
        <v>5</v>
      </c>
      <c r="G3" s="263"/>
      <c r="H3" s="263"/>
      <c r="I3" s="263"/>
      <c r="J3" s="263" t="s">
        <v>127</v>
      </c>
      <c r="K3" s="81" t="s">
        <v>29</v>
      </c>
      <c r="L3">
        <f>8400-3450-3450</f>
        <v>1500</v>
      </c>
      <c r="M3" t="s">
        <v>210</v>
      </c>
      <c r="O3" s="16"/>
      <c r="R3" s="16"/>
    </row>
    <row r="4" spans="1:22" s="9" customFormat="1" ht="15.95" customHeight="1" x14ac:dyDescent="0.25">
      <c r="A4" s="58"/>
      <c r="B4" s="316"/>
      <c r="C4" s="317"/>
      <c r="D4" s="317"/>
      <c r="E4" s="317"/>
      <c r="F4" s="264"/>
      <c r="G4" s="264"/>
      <c r="H4" s="264"/>
      <c r="I4" s="264"/>
      <c r="J4" s="264"/>
      <c r="K4" s="40" t="s">
        <v>31</v>
      </c>
      <c r="L4" s="9">
        <v>8700</v>
      </c>
      <c r="M4" s="9" t="s">
        <v>210</v>
      </c>
      <c r="O4" s="166"/>
      <c r="R4" s="166"/>
    </row>
    <row r="5" spans="1:22" s="9" customFormat="1" ht="26.25" x14ac:dyDescent="0.25">
      <c r="A5" s="310"/>
      <c r="B5" s="312">
        <f>SUM(C8:C3017)</f>
        <v>487906.82000000012</v>
      </c>
      <c r="C5" s="313"/>
      <c r="D5" s="313"/>
      <c r="E5" s="313"/>
      <c r="F5" s="318">
        <f>SUM(G8:G2971)</f>
        <v>697829.43000000028</v>
      </c>
      <c r="G5" s="319"/>
      <c r="H5" s="319"/>
      <c r="I5" s="319"/>
      <c r="J5" s="320">
        <f>B5-F5</f>
        <v>-209922.61000000016</v>
      </c>
      <c r="K5" s="40" t="s">
        <v>195</v>
      </c>
      <c r="L5" s="9">
        <v>13100</v>
      </c>
      <c r="M5" s="9" t="s">
        <v>210</v>
      </c>
      <c r="O5" s="166"/>
      <c r="R5" s="166"/>
      <c r="V5" s="167"/>
    </row>
    <row r="6" spans="1:22" s="9" customFormat="1" ht="15.95" customHeight="1" x14ac:dyDescent="0.25">
      <c r="A6" s="310"/>
      <c r="B6" s="244" t="s">
        <v>13</v>
      </c>
      <c r="C6" s="269" t="s">
        <v>51</v>
      </c>
      <c r="D6" s="252" t="s">
        <v>126</v>
      </c>
      <c r="E6" s="244" t="s">
        <v>15</v>
      </c>
      <c r="F6" s="246" t="s">
        <v>13</v>
      </c>
      <c r="G6" s="246" t="s">
        <v>14</v>
      </c>
      <c r="H6" s="248" t="s">
        <v>126</v>
      </c>
      <c r="I6" s="271" t="s">
        <v>15</v>
      </c>
      <c r="J6" s="321"/>
      <c r="L6" s="9">
        <f>SUM(L1:L5)</f>
        <v>26700</v>
      </c>
      <c r="O6" s="166"/>
      <c r="R6" s="166"/>
    </row>
    <row r="7" spans="1:22" s="9" customFormat="1" ht="15.95" customHeight="1" x14ac:dyDescent="0.25">
      <c r="A7" s="311"/>
      <c r="B7" s="245"/>
      <c r="C7" s="270"/>
      <c r="D7" s="253"/>
      <c r="E7" s="245"/>
      <c r="F7" s="247"/>
      <c r="G7" s="247"/>
      <c r="H7" s="250"/>
      <c r="I7" s="272"/>
      <c r="J7" s="321"/>
    </row>
    <row r="8" spans="1:22" s="9" customFormat="1" ht="15.95" customHeight="1" x14ac:dyDescent="0.25">
      <c r="A8" s="44"/>
      <c r="B8" s="44"/>
      <c r="C8" s="45"/>
      <c r="D8" s="44" t="s">
        <v>123</v>
      </c>
      <c r="E8" s="47"/>
      <c r="F8" s="41"/>
      <c r="G8" s="42"/>
      <c r="H8" s="43" t="s">
        <v>123</v>
      </c>
      <c r="I8" s="43"/>
      <c r="O8" s="168" t="s">
        <v>457</v>
      </c>
      <c r="P8" s="168"/>
      <c r="Q8" s="168"/>
    </row>
    <row r="9" spans="1:22" s="9" customFormat="1" ht="15.95" customHeight="1" x14ac:dyDescent="0.25">
      <c r="A9" s="10"/>
      <c r="B9" s="48">
        <v>43731</v>
      </c>
      <c r="C9" s="53">
        <v>3300</v>
      </c>
      <c r="D9" s="16" t="s">
        <v>128</v>
      </c>
      <c r="E9" s="17" t="s">
        <v>19</v>
      </c>
      <c r="F9" s="48">
        <v>43731</v>
      </c>
      <c r="G9" s="53"/>
      <c r="H9" s="49" t="s">
        <v>122</v>
      </c>
      <c r="I9" s="21" t="s">
        <v>19</v>
      </c>
      <c r="J9"/>
      <c r="K9" s="9" t="s">
        <v>100</v>
      </c>
      <c r="L9" s="9">
        <v>9442</v>
      </c>
      <c r="M9" s="9" t="s">
        <v>210</v>
      </c>
      <c r="O9" s="169">
        <v>8600</v>
      </c>
      <c r="P9" s="170">
        <v>44520</v>
      </c>
      <c r="Q9" s="168" t="s">
        <v>528</v>
      </c>
    </row>
    <row r="10" spans="1:22" s="9" customFormat="1" ht="15.95" customHeight="1" x14ac:dyDescent="0.25">
      <c r="A10" s="10"/>
      <c r="B10" s="48">
        <v>43731</v>
      </c>
      <c r="C10" s="17">
        <v>3300</v>
      </c>
      <c r="D10" s="16" t="s">
        <v>129</v>
      </c>
      <c r="E10" s="17" t="s">
        <v>19</v>
      </c>
      <c r="F10" s="48">
        <v>43738</v>
      </c>
      <c r="G10" s="53"/>
      <c r="H10" s="49" t="s">
        <v>122</v>
      </c>
      <c r="I10" t="s">
        <v>44</v>
      </c>
      <c r="K10" s="9" t="s">
        <v>200</v>
      </c>
      <c r="L10" s="9">
        <v>8342</v>
      </c>
      <c r="M10" s="9" t="s">
        <v>210</v>
      </c>
      <c r="O10" s="169">
        <v>102.5</v>
      </c>
      <c r="P10" s="170">
        <v>44526</v>
      </c>
      <c r="Q10" s="168"/>
    </row>
    <row r="11" spans="1:22" s="9" customFormat="1" ht="15.95" customHeight="1" x14ac:dyDescent="0.25">
      <c r="A11" s="10"/>
      <c r="B11" s="48">
        <v>43738</v>
      </c>
      <c r="C11" s="17">
        <v>3400</v>
      </c>
      <c r="D11" s="16" t="s">
        <v>128</v>
      </c>
      <c r="E11" s="17" t="s">
        <v>44</v>
      </c>
      <c r="F11" s="48">
        <v>43752</v>
      </c>
      <c r="G11" s="53">
        <v>9200</v>
      </c>
      <c r="H11" s="49" t="s">
        <v>122</v>
      </c>
      <c r="I11" t="s">
        <v>21</v>
      </c>
      <c r="K11" s="9" t="s">
        <v>211</v>
      </c>
      <c r="L11" s="9">
        <v>5000</v>
      </c>
      <c r="M11" s="9" t="s">
        <v>210</v>
      </c>
      <c r="O11" s="169">
        <v>173.38</v>
      </c>
      <c r="P11" s="170">
        <v>44540</v>
      </c>
      <c r="Q11" s="168" t="s">
        <v>33</v>
      </c>
    </row>
    <row r="12" spans="1:22" s="9" customFormat="1" ht="15.95" customHeight="1" x14ac:dyDescent="0.25">
      <c r="A12" s="10"/>
      <c r="B12" s="48">
        <v>43738</v>
      </c>
      <c r="C12" s="17">
        <v>3400</v>
      </c>
      <c r="D12" s="16" t="s">
        <v>129</v>
      </c>
      <c r="E12" s="17" t="s">
        <v>44</v>
      </c>
      <c r="F12" s="48">
        <v>43766</v>
      </c>
      <c r="G12" s="53"/>
      <c r="H12" s="49" t="s">
        <v>122</v>
      </c>
      <c r="I12" t="s">
        <v>23</v>
      </c>
      <c r="K12" s="35" t="s">
        <v>212</v>
      </c>
      <c r="L12" s="9">
        <v>13763</v>
      </c>
      <c r="M12" s="9" t="s">
        <v>210</v>
      </c>
      <c r="O12" s="169">
        <v>326.3</v>
      </c>
      <c r="P12" s="170">
        <v>44545</v>
      </c>
      <c r="Q12" s="168"/>
    </row>
    <row r="13" spans="1:22" s="9" customFormat="1" ht="15.95" customHeight="1" x14ac:dyDescent="0.25">
      <c r="A13" s="10"/>
      <c r="B13" s="48">
        <v>43752</v>
      </c>
      <c r="C13" s="17">
        <v>4600</v>
      </c>
      <c r="D13" s="16" t="s">
        <v>128</v>
      </c>
      <c r="E13" s="17" t="s">
        <v>21</v>
      </c>
      <c r="F13" s="48">
        <v>43774</v>
      </c>
      <c r="G13" s="53"/>
      <c r="H13" s="49" t="s">
        <v>122</v>
      </c>
      <c r="I13" t="s">
        <v>25</v>
      </c>
      <c r="K13" s="35" t="s">
        <v>38</v>
      </c>
      <c r="L13" s="9">
        <v>6032</v>
      </c>
      <c r="M13" s="9" t="s">
        <v>210</v>
      </c>
      <c r="O13" s="169">
        <v>415</v>
      </c>
      <c r="P13" s="170">
        <v>44212</v>
      </c>
      <c r="Q13" s="168" t="s">
        <v>484</v>
      </c>
    </row>
    <row r="14" spans="1:22" s="9" customFormat="1" ht="15.95" customHeight="1" x14ac:dyDescent="0.25">
      <c r="A14" s="10"/>
      <c r="B14" s="48">
        <v>43752</v>
      </c>
      <c r="C14" s="17">
        <v>4600</v>
      </c>
      <c r="D14" s="16" t="s">
        <v>129</v>
      </c>
      <c r="E14" s="17" t="s">
        <v>21</v>
      </c>
      <c r="F14" s="48">
        <v>43784</v>
      </c>
      <c r="G14" s="53">
        <v>6000</v>
      </c>
      <c r="H14" s="49" t="s">
        <v>122</v>
      </c>
      <c r="I14" t="s">
        <v>27</v>
      </c>
      <c r="K14" s="9" t="s">
        <v>202</v>
      </c>
      <c r="L14" s="9">
        <v>7170</v>
      </c>
      <c r="M14" s="9" t="s">
        <v>210</v>
      </c>
      <c r="O14" s="169">
        <v>150</v>
      </c>
      <c r="P14" s="170">
        <v>44242</v>
      </c>
      <c r="Q14" s="168"/>
    </row>
    <row r="15" spans="1:22" s="9" customFormat="1" ht="15.95" customHeight="1" x14ac:dyDescent="0.25">
      <c r="A15" s="10"/>
      <c r="B15" s="48">
        <v>43766</v>
      </c>
      <c r="C15" s="17">
        <v>4500</v>
      </c>
      <c r="D15" s="16" t="s">
        <v>128</v>
      </c>
      <c r="E15" s="17" t="s">
        <v>23</v>
      </c>
      <c r="F15" s="48">
        <v>43797</v>
      </c>
      <c r="G15" s="53"/>
      <c r="H15" s="49" t="s">
        <v>260</v>
      </c>
      <c r="I15" t="s">
        <v>28</v>
      </c>
      <c r="J15" s="65">
        <v>1250</v>
      </c>
      <c r="K15" s="9" t="s">
        <v>30</v>
      </c>
      <c r="L15" s="9">
        <v>11500</v>
      </c>
      <c r="M15" s="9" t="s">
        <v>210</v>
      </c>
      <c r="O15" s="169">
        <v>550</v>
      </c>
      <c r="P15" s="170">
        <v>44246</v>
      </c>
      <c r="Q15" s="168" t="s">
        <v>94</v>
      </c>
    </row>
    <row r="16" spans="1:22" s="10" customFormat="1" x14ac:dyDescent="0.25">
      <c r="B16" s="48">
        <v>43766</v>
      </c>
      <c r="C16" s="17">
        <v>4500</v>
      </c>
      <c r="D16" s="16" t="s">
        <v>129</v>
      </c>
      <c r="E16" s="17" t="s">
        <v>23</v>
      </c>
      <c r="F16" s="48">
        <v>43797</v>
      </c>
      <c r="G16" s="53"/>
      <c r="H16" s="49" t="s">
        <v>261</v>
      </c>
      <c r="I16" t="s">
        <v>28</v>
      </c>
      <c r="J16" s="65">
        <v>1250</v>
      </c>
      <c r="K16" s="18"/>
      <c r="O16" s="171">
        <v>150</v>
      </c>
      <c r="P16" s="170">
        <v>44214</v>
      </c>
      <c r="Q16" s="172" t="s">
        <v>500</v>
      </c>
    </row>
    <row r="17" spans="2:17" s="10" customFormat="1" ht="15" customHeight="1" x14ac:dyDescent="0.25">
      <c r="B17" s="48">
        <v>43774</v>
      </c>
      <c r="C17" s="17">
        <v>3400</v>
      </c>
      <c r="D17" s="16" t="s">
        <v>128</v>
      </c>
      <c r="E17" s="17" t="s">
        <v>25</v>
      </c>
      <c r="F17" s="48">
        <v>43798</v>
      </c>
      <c r="G17" s="53">
        <v>7000</v>
      </c>
      <c r="H17" s="49" t="s">
        <v>122</v>
      </c>
      <c r="I17" t="s">
        <v>28</v>
      </c>
      <c r="L17" s="10">
        <f>SUM(L9:L15)</f>
        <v>61249</v>
      </c>
      <c r="O17" s="171">
        <v>250</v>
      </c>
      <c r="P17" s="170">
        <v>44280</v>
      </c>
      <c r="Q17" s="172" t="s">
        <v>549</v>
      </c>
    </row>
    <row r="18" spans="2:17" s="10" customFormat="1" ht="15" customHeight="1" x14ac:dyDescent="0.25">
      <c r="B18" s="48">
        <v>43774</v>
      </c>
      <c r="C18" s="17">
        <v>3400</v>
      </c>
      <c r="D18" s="16" t="s">
        <v>129</v>
      </c>
      <c r="E18" s="17" t="s">
        <v>25</v>
      </c>
      <c r="F18" s="48">
        <v>43815</v>
      </c>
      <c r="G18" s="53"/>
      <c r="H18" s="49" t="s">
        <v>260</v>
      </c>
      <c r="I18" t="s">
        <v>167</v>
      </c>
      <c r="J18" s="66">
        <v>450</v>
      </c>
      <c r="O18" s="171">
        <v>179.03</v>
      </c>
      <c r="P18" s="170">
        <v>44280</v>
      </c>
      <c r="Q18" s="172" t="s">
        <v>20</v>
      </c>
    </row>
    <row r="19" spans="2:17" ht="15" customHeight="1" x14ac:dyDescent="0.25">
      <c r="B19" s="48">
        <v>43784</v>
      </c>
      <c r="C19" s="17">
        <v>3000</v>
      </c>
      <c r="D19" s="16" t="s">
        <v>128</v>
      </c>
      <c r="E19" s="17" t="s">
        <v>27</v>
      </c>
      <c r="F19" s="48">
        <v>43815</v>
      </c>
      <c r="G19" s="53"/>
      <c r="H19" s="49" t="s">
        <v>261</v>
      </c>
      <c r="I19" t="s">
        <v>167</v>
      </c>
      <c r="J19" s="66">
        <v>450</v>
      </c>
      <c r="L19">
        <f>L6+L17</f>
        <v>87949</v>
      </c>
      <c r="O19" s="173">
        <v>130</v>
      </c>
      <c r="P19" s="174">
        <v>44281</v>
      </c>
      <c r="Q19" s="175" t="s">
        <v>543</v>
      </c>
    </row>
    <row r="20" spans="2:17" ht="15" customHeight="1" x14ac:dyDescent="0.25">
      <c r="B20" s="48">
        <v>43784</v>
      </c>
      <c r="C20" s="17">
        <v>3000</v>
      </c>
      <c r="D20" s="16" t="s">
        <v>129</v>
      </c>
      <c r="E20" s="17" t="s">
        <v>27</v>
      </c>
      <c r="F20" s="48">
        <v>43815</v>
      </c>
      <c r="G20" s="53"/>
      <c r="H20" s="49" t="s">
        <v>122</v>
      </c>
      <c r="I20" s="21" t="s">
        <v>167</v>
      </c>
      <c r="O20" s="173">
        <v>88.97</v>
      </c>
      <c r="P20" s="174">
        <v>44282</v>
      </c>
      <c r="Q20" s="175" t="s">
        <v>32</v>
      </c>
    </row>
    <row r="21" spans="2:17" ht="15" customHeight="1" x14ac:dyDescent="0.25">
      <c r="B21" s="67">
        <v>43798</v>
      </c>
      <c r="C21" s="17">
        <f>3500-1250</f>
        <v>2250</v>
      </c>
      <c r="D21" s="16" t="s">
        <v>128</v>
      </c>
      <c r="E21" s="17" t="s">
        <v>28</v>
      </c>
      <c r="F21" s="48">
        <v>43823</v>
      </c>
      <c r="G21" s="53"/>
      <c r="H21" s="49" t="s">
        <v>260</v>
      </c>
      <c r="I21" t="s">
        <v>29</v>
      </c>
      <c r="J21" s="14">
        <v>750</v>
      </c>
      <c r="O21" s="173">
        <v>19.97</v>
      </c>
      <c r="P21" s="174">
        <v>44285</v>
      </c>
      <c r="Q21" s="175" t="s">
        <v>32</v>
      </c>
    </row>
    <row r="22" spans="2:17" ht="15" customHeight="1" x14ac:dyDescent="0.25">
      <c r="B22" s="67">
        <v>43798</v>
      </c>
      <c r="C22" s="17">
        <f>3500-1250</f>
        <v>2250</v>
      </c>
      <c r="D22" s="16" t="s">
        <v>129</v>
      </c>
      <c r="E22" s="17" t="s">
        <v>28</v>
      </c>
      <c r="F22" s="48">
        <v>43823</v>
      </c>
      <c r="G22" s="53"/>
      <c r="H22" s="49" t="s">
        <v>261</v>
      </c>
      <c r="I22" t="s">
        <v>29</v>
      </c>
      <c r="J22" s="14">
        <v>750</v>
      </c>
      <c r="O22" s="173"/>
      <c r="P22" s="175"/>
      <c r="Q22" s="175"/>
    </row>
    <row r="23" spans="2:17" ht="15" customHeight="1" x14ac:dyDescent="0.25">
      <c r="B23" s="67">
        <v>43815</v>
      </c>
      <c r="C23" s="17">
        <f>2350-450</f>
        <v>1900</v>
      </c>
      <c r="D23" s="16" t="s">
        <v>128</v>
      </c>
      <c r="E23" s="17" t="s">
        <v>167</v>
      </c>
      <c r="F23" s="48">
        <v>43823</v>
      </c>
      <c r="G23" s="53"/>
      <c r="H23" s="49" t="s">
        <v>122</v>
      </c>
      <c r="I23" t="s">
        <v>29</v>
      </c>
      <c r="O23" s="173">
        <f>SUM(O9:O22)</f>
        <v>11135.149999999998</v>
      </c>
      <c r="P23" s="175"/>
      <c r="Q23" s="175"/>
    </row>
    <row r="24" spans="2:17" ht="15" customHeight="1" x14ac:dyDescent="0.25">
      <c r="B24" s="67">
        <v>43815</v>
      </c>
      <c r="C24" s="17">
        <f>2350-450</f>
        <v>1900</v>
      </c>
      <c r="D24" s="16" t="s">
        <v>129</v>
      </c>
      <c r="E24" s="17" t="s">
        <v>167</v>
      </c>
      <c r="F24" s="48">
        <v>43854</v>
      </c>
      <c r="G24" s="53">
        <v>11500</v>
      </c>
      <c r="H24" s="49" t="s">
        <v>122</v>
      </c>
      <c r="I24" t="s">
        <v>30</v>
      </c>
    </row>
    <row r="25" spans="2:17" ht="15" customHeight="1" x14ac:dyDescent="0.25">
      <c r="B25" s="67">
        <v>43823</v>
      </c>
      <c r="C25" s="17">
        <f>4200-750</f>
        <v>3450</v>
      </c>
      <c r="D25" s="16" t="s">
        <v>128</v>
      </c>
      <c r="E25" s="17" t="s">
        <v>208</v>
      </c>
      <c r="F25" s="48">
        <v>43875</v>
      </c>
      <c r="G25" s="53">
        <v>256.64</v>
      </c>
      <c r="H25" s="49" t="s">
        <v>121</v>
      </c>
      <c r="I25" t="s">
        <v>30</v>
      </c>
    </row>
    <row r="26" spans="2:17" ht="15" customHeight="1" x14ac:dyDescent="0.25">
      <c r="B26" s="67">
        <v>43823</v>
      </c>
      <c r="C26" s="17">
        <f>4200-750</f>
        <v>3450</v>
      </c>
      <c r="D26" s="16" t="s">
        <v>129</v>
      </c>
      <c r="E26" s="17" t="s">
        <v>208</v>
      </c>
      <c r="F26" s="48">
        <v>43906</v>
      </c>
      <c r="G26" s="53">
        <v>256.64</v>
      </c>
      <c r="H26" s="49" t="s">
        <v>121</v>
      </c>
      <c r="I26" t="s">
        <v>30</v>
      </c>
    </row>
    <row r="27" spans="2:17" ht="15" customHeight="1" x14ac:dyDescent="0.25">
      <c r="B27" s="72">
        <v>43854</v>
      </c>
      <c r="C27" s="17">
        <v>11500</v>
      </c>
      <c r="D27" s="16" t="s">
        <v>205</v>
      </c>
      <c r="E27" s="17" t="s">
        <v>30</v>
      </c>
      <c r="F27" s="48">
        <v>43904</v>
      </c>
      <c r="G27" s="53"/>
      <c r="H27" s="49" t="s">
        <v>122</v>
      </c>
      <c r="I27" t="s">
        <v>31</v>
      </c>
    </row>
    <row r="28" spans="2:17" ht="15" customHeight="1" x14ac:dyDescent="0.25">
      <c r="B28" s="48">
        <v>44008</v>
      </c>
      <c r="C28" s="17"/>
      <c r="D28" s="16" t="s">
        <v>182</v>
      </c>
      <c r="E28" s="188" t="s">
        <v>19</v>
      </c>
      <c r="F28" s="48">
        <v>43954</v>
      </c>
      <c r="G28" s="53">
        <v>13100</v>
      </c>
      <c r="H28" s="49" t="s">
        <v>122</v>
      </c>
      <c r="I28" t="s">
        <v>195</v>
      </c>
    </row>
    <row r="29" spans="2:17" ht="15" customHeight="1" x14ac:dyDescent="0.25">
      <c r="B29" s="48">
        <v>43993</v>
      </c>
      <c r="C29" s="70">
        <f>9122+320</f>
        <v>9442</v>
      </c>
      <c r="D29" s="16" t="s">
        <v>129</v>
      </c>
      <c r="E29" s="17" t="s">
        <v>100</v>
      </c>
      <c r="F29" s="48">
        <v>43935</v>
      </c>
      <c r="G29" s="53">
        <v>256.64</v>
      </c>
      <c r="H29" s="49" t="s">
        <v>121</v>
      </c>
      <c r="I29" t="s">
        <v>30</v>
      </c>
    </row>
    <row r="30" spans="2:17" ht="15" customHeight="1" x14ac:dyDescent="0.25">
      <c r="B30" s="48">
        <v>44036</v>
      </c>
      <c r="C30" s="71">
        <f>8022+320</f>
        <v>8342</v>
      </c>
      <c r="D30" s="16" t="s">
        <v>129</v>
      </c>
      <c r="E30" s="17" t="s">
        <v>200</v>
      </c>
      <c r="F30" s="48">
        <v>43965</v>
      </c>
      <c r="G30" s="53">
        <v>256.64</v>
      </c>
      <c r="H30" s="49" t="s">
        <v>121</v>
      </c>
      <c r="I30" t="s">
        <v>30</v>
      </c>
    </row>
    <row r="31" spans="2:17" ht="15" customHeight="1" x14ac:dyDescent="0.25">
      <c r="B31" s="48">
        <v>44041</v>
      </c>
      <c r="C31" s="71">
        <v>5528</v>
      </c>
      <c r="D31" s="16" t="s">
        <v>129</v>
      </c>
      <c r="E31" s="17" t="s">
        <v>201</v>
      </c>
      <c r="F31" s="48">
        <v>43997</v>
      </c>
      <c r="G31" s="53">
        <v>256.64</v>
      </c>
      <c r="H31" s="49" t="s">
        <v>121</v>
      </c>
      <c r="I31" t="s">
        <v>30</v>
      </c>
    </row>
    <row r="32" spans="2:17" ht="15" customHeight="1" x14ac:dyDescent="0.25">
      <c r="B32" s="48">
        <v>44041</v>
      </c>
      <c r="C32" s="71">
        <v>6332</v>
      </c>
      <c r="D32" s="16" t="s">
        <v>129</v>
      </c>
      <c r="E32" s="17" t="s">
        <v>38</v>
      </c>
      <c r="F32" s="48">
        <v>44026</v>
      </c>
      <c r="G32" s="53">
        <v>256.64</v>
      </c>
      <c r="H32" s="49" t="s">
        <v>121</v>
      </c>
      <c r="I32" t="s">
        <v>30</v>
      </c>
    </row>
    <row r="33" spans="2:9" ht="15" customHeight="1" x14ac:dyDescent="0.25">
      <c r="B33" s="48">
        <v>44041</v>
      </c>
      <c r="C33" s="70">
        <v>7470</v>
      </c>
      <c r="D33" s="16" t="s">
        <v>129</v>
      </c>
      <c r="E33" s="17" t="s">
        <v>202</v>
      </c>
      <c r="F33" s="48">
        <v>44057</v>
      </c>
      <c r="G33" s="53">
        <v>256.64</v>
      </c>
      <c r="H33" s="49" t="s">
        <v>121</v>
      </c>
      <c r="I33" t="s">
        <v>30</v>
      </c>
    </row>
    <row r="34" spans="2:9" ht="15" customHeight="1" x14ac:dyDescent="0.25">
      <c r="B34" s="48">
        <v>44041</v>
      </c>
      <c r="C34" s="71">
        <v>13763</v>
      </c>
      <c r="D34" s="16" t="s">
        <v>128</v>
      </c>
      <c r="E34" s="17" t="s">
        <v>209</v>
      </c>
      <c r="F34" s="48">
        <v>43993</v>
      </c>
      <c r="G34" s="53"/>
      <c r="H34" s="49" t="s">
        <v>122</v>
      </c>
      <c r="I34" t="s">
        <v>100</v>
      </c>
    </row>
    <row r="35" spans="2:9" ht="15" customHeight="1" x14ac:dyDescent="0.25">
      <c r="B35" s="48">
        <v>43896</v>
      </c>
      <c r="C35" s="53"/>
      <c r="D35" s="16" t="s">
        <v>180</v>
      </c>
      <c r="E35" s="17" t="s">
        <v>167</v>
      </c>
      <c r="F35" s="48">
        <v>44036</v>
      </c>
      <c r="G35" s="53">
        <f>8022</f>
        <v>8022</v>
      </c>
      <c r="H35" s="49" t="s">
        <v>122</v>
      </c>
      <c r="I35" t="s">
        <v>200</v>
      </c>
    </row>
    <row r="36" spans="2:9" ht="15" customHeight="1" x14ac:dyDescent="0.25">
      <c r="B36" s="48">
        <v>43872</v>
      </c>
      <c r="C36" s="17"/>
      <c r="D36" s="16" t="s">
        <v>182</v>
      </c>
      <c r="E36" s="188" t="s">
        <v>44</v>
      </c>
      <c r="F36" s="48">
        <v>44041</v>
      </c>
      <c r="G36" s="53"/>
      <c r="H36" s="49" t="s">
        <v>122</v>
      </c>
      <c r="I36" t="s">
        <v>201</v>
      </c>
    </row>
    <row r="37" spans="2:9" ht="15" customHeight="1" x14ac:dyDescent="0.25">
      <c r="B37" s="48">
        <v>44053</v>
      </c>
      <c r="C37" s="17">
        <v>4500</v>
      </c>
      <c r="D37" s="16" t="s">
        <v>129</v>
      </c>
      <c r="E37" s="17" t="s">
        <v>209</v>
      </c>
      <c r="F37" s="48">
        <v>44041</v>
      </c>
      <c r="G37" s="53">
        <v>6032</v>
      </c>
      <c r="H37" s="49" t="s">
        <v>122</v>
      </c>
      <c r="I37" t="s">
        <v>445</v>
      </c>
    </row>
    <row r="38" spans="2:9" ht="15" customHeight="1" x14ac:dyDescent="0.25">
      <c r="B38" s="48"/>
      <c r="E38" s="17"/>
      <c r="F38" s="48">
        <v>44041</v>
      </c>
      <c r="G38" s="53">
        <v>7170</v>
      </c>
      <c r="H38" s="49" t="s">
        <v>122</v>
      </c>
      <c r="I38" t="s">
        <v>497</v>
      </c>
    </row>
    <row r="39" spans="2:9" ht="15" customHeight="1" x14ac:dyDescent="0.25">
      <c r="B39" s="48">
        <v>43887</v>
      </c>
      <c r="D39" t="s">
        <v>111</v>
      </c>
      <c r="E39" s="17" t="s">
        <v>42</v>
      </c>
      <c r="F39" s="48">
        <v>44041</v>
      </c>
      <c r="G39" s="53">
        <v>13763</v>
      </c>
      <c r="H39" s="49" t="s">
        <v>122</v>
      </c>
      <c r="I39" t="s">
        <v>538</v>
      </c>
    </row>
    <row r="40" spans="2:9" ht="15" customHeight="1" x14ac:dyDescent="0.25">
      <c r="B40" s="48">
        <v>43887</v>
      </c>
      <c r="C40" s="54"/>
      <c r="D40" s="16" t="s">
        <v>118</v>
      </c>
      <c r="E40" s="17" t="s">
        <v>652</v>
      </c>
      <c r="F40" s="48">
        <v>43896</v>
      </c>
      <c r="G40" s="54">
        <v>5750</v>
      </c>
      <c r="H40" s="49" t="s">
        <v>261</v>
      </c>
      <c r="I40" t="s">
        <v>167</v>
      </c>
    </row>
    <row r="41" spans="2:9" ht="15" customHeight="1" x14ac:dyDescent="0.25">
      <c r="B41" s="48">
        <v>44020</v>
      </c>
      <c r="C41" s="54">
        <v>3000</v>
      </c>
      <c r="D41" t="s">
        <v>205</v>
      </c>
      <c r="E41" s="17" t="s">
        <v>102</v>
      </c>
      <c r="F41" s="48">
        <v>44018</v>
      </c>
      <c r="G41" s="54">
        <v>5750</v>
      </c>
      <c r="H41" s="49" t="s">
        <v>263</v>
      </c>
      <c r="I41" t="s">
        <v>44</v>
      </c>
    </row>
    <row r="42" spans="2:9" ht="15" customHeight="1" x14ac:dyDescent="0.25">
      <c r="B42" s="48">
        <v>44043</v>
      </c>
      <c r="C42" s="54">
        <v>3000</v>
      </c>
      <c r="D42" t="s">
        <v>205</v>
      </c>
      <c r="E42" s="17" t="s">
        <v>102</v>
      </c>
      <c r="F42" s="48">
        <v>44049</v>
      </c>
      <c r="G42" s="54">
        <v>3300</v>
      </c>
      <c r="H42" s="49" t="s">
        <v>263</v>
      </c>
      <c r="I42" t="s">
        <v>19</v>
      </c>
    </row>
    <row r="43" spans="2:9" ht="15" customHeight="1" x14ac:dyDescent="0.25">
      <c r="B43" s="48">
        <v>44049</v>
      </c>
      <c r="C43" s="54">
        <v>3000</v>
      </c>
      <c r="D43" t="s">
        <v>205</v>
      </c>
      <c r="E43" s="17" t="s">
        <v>102</v>
      </c>
      <c r="F43" s="16">
        <v>43806</v>
      </c>
      <c r="G43">
        <v>19.3</v>
      </c>
      <c r="H43" t="s">
        <v>36</v>
      </c>
      <c r="I43" t="s">
        <v>37</v>
      </c>
    </row>
    <row r="44" spans="2:9" ht="15" customHeight="1" x14ac:dyDescent="0.25">
      <c r="B44" s="48">
        <v>44078</v>
      </c>
      <c r="C44" s="54">
        <v>4500</v>
      </c>
      <c r="D44" t="s">
        <v>205</v>
      </c>
      <c r="E44" s="17" t="s">
        <v>102</v>
      </c>
      <c r="F44" s="16">
        <v>43809</v>
      </c>
      <c r="G44">
        <v>11.86</v>
      </c>
      <c r="H44" t="s">
        <v>36</v>
      </c>
      <c r="I44" t="s">
        <v>37</v>
      </c>
    </row>
    <row r="45" spans="2:9" ht="15" customHeight="1" x14ac:dyDescent="0.25">
      <c r="B45" s="16">
        <v>44112</v>
      </c>
      <c r="C45" s="54">
        <v>500</v>
      </c>
      <c r="D45" t="s">
        <v>129</v>
      </c>
      <c r="E45" s="17"/>
      <c r="F45" s="16">
        <v>43822</v>
      </c>
      <c r="G45">
        <v>1.43</v>
      </c>
      <c r="H45" t="s">
        <v>22</v>
      </c>
    </row>
    <row r="46" spans="2:9" ht="15" customHeight="1" x14ac:dyDescent="0.25">
      <c r="B46" s="16">
        <v>44118</v>
      </c>
      <c r="C46" s="54">
        <v>3000</v>
      </c>
      <c r="D46" t="s">
        <v>205</v>
      </c>
      <c r="E46" s="17" t="s">
        <v>102</v>
      </c>
      <c r="F46" s="16">
        <v>43829</v>
      </c>
      <c r="G46">
        <v>1.98</v>
      </c>
      <c r="H46" t="s">
        <v>22</v>
      </c>
    </row>
    <row r="47" spans="2:9" ht="15" customHeight="1" x14ac:dyDescent="0.25">
      <c r="B47" s="16">
        <v>44125</v>
      </c>
      <c r="C47" s="54">
        <v>4100</v>
      </c>
      <c r="D47" t="s">
        <v>129</v>
      </c>
      <c r="E47" s="17" t="s">
        <v>439</v>
      </c>
      <c r="F47" s="16">
        <v>43831</v>
      </c>
      <c r="G47">
        <v>3</v>
      </c>
      <c r="H47" t="s">
        <v>22</v>
      </c>
      <c r="I47" t="s">
        <v>39</v>
      </c>
    </row>
    <row r="48" spans="2:9" ht="15" customHeight="1" x14ac:dyDescent="0.25">
      <c r="B48" s="16">
        <v>44098</v>
      </c>
      <c r="C48" s="54">
        <v>6567</v>
      </c>
      <c r="D48" t="s">
        <v>129</v>
      </c>
      <c r="E48" s="17" t="s">
        <v>37</v>
      </c>
      <c r="F48" s="16">
        <v>43842</v>
      </c>
      <c r="G48">
        <v>495</v>
      </c>
      <c r="H48" t="s">
        <v>40</v>
      </c>
      <c r="I48" t="s">
        <v>41</v>
      </c>
    </row>
    <row r="49" spans="2:9" ht="15" customHeight="1" x14ac:dyDescent="0.25">
      <c r="B49" s="48">
        <v>44124</v>
      </c>
      <c r="C49" s="17">
        <v>2270</v>
      </c>
      <c r="D49" s="16" t="s">
        <v>129</v>
      </c>
      <c r="E49" s="17" t="s">
        <v>209</v>
      </c>
      <c r="F49" s="16">
        <v>43835</v>
      </c>
      <c r="G49">
        <v>1.35</v>
      </c>
      <c r="H49" t="s">
        <v>36</v>
      </c>
      <c r="I49" t="s">
        <v>37</v>
      </c>
    </row>
    <row r="50" spans="2:9" ht="15" customHeight="1" x14ac:dyDescent="0.25">
      <c r="B50" s="48">
        <v>44140</v>
      </c>
      <c r="C50" s="53">
        <v>2400</v>
      </c>
      <c r="D50" s="16" t="s">
        <v>205</v>
      </c>
      <c r="E50" s="17" t="s">
        <v>102</v>
      </c>
      <c r="F50" s="16">
        <v>43836</v>
      </c>
      <c r="G50">
        <f>2.97+2.53</f>
        <v>5.5</v>
      </c>
      <c r="H50" t="s">
        <v>22</v>
      </c>
      <c r="I50" t="s">
        <v>39</v>
      </c>
    </row>
    <row r="51" spans="2:9" ht="15" customHeight="1" x14ac:dyDescent="0.25">
      <c r="B51" s="48">
        <v>44145</v>
      </c>
      <c r="C51" s="17"/>
      <c r="D51" s="16" t="s">
        <v>111</v>
      </c>
      <c r="E51" s="17" t="s">
        <v>454</v>
      </c>
      <c r="F51" s="16">
        <v>43843</v>
      </c>
      <c r="G51">
        <v>1.98</v>
      </c>
      <c r="H51" t="s">
        <v>22</v>
      </c>
      <c r="I51" t="s">
        <v>39</v>
      </c>
    </row>
    <row r="52" spans="2:9" ht="15" customHeight="1" x14ac:dyDescent="0.25">
      <c r="B52" s="48">
        <v>44146</v>
      </c>
      <c r="C52" s="17">
        <v>4700</v>
      </c>
      <c r="D52" s="16" t="s">
        <v>129</v>
      </c>
      <c r="E52" s="17" t="s">
        <v>422</v>
      </c>
      <c r="F52" s="16">
        <v>43850</v>
      </c>
      <c r="G52">
        <v>1.98</v>
      </c>
      <c r="H52" t="s">
        <v>22</v>
      </c>
    </row>
    <row r="53" spans="2:9" ht="15" customHeight="1" x14ac:dyDescent="0.25">
      <c r="B53" s="48">
        <v>44155</v>
      </c>
      <c r="C53" s="17">
        <v>8600</v>
      </c>
      <c r="D53" s="16" t="s">
        <v>129</v>
      </c>
      <c r="E53" s="17" t="s">
        <v>457</v>
      </c>
      <c r="F53" s="16">
        <v>43858</v>
      </c>
      <c r="G53">
        <v>0.99</v>
      </c>
      <c r="H53" t="s">
        <v>22</v>
      </c>
    </row>
    <row r="54" spans="2:9" ht="15" customHeight="1" x14ac:dyDescent="0.25">
      <c r="B54" s="48">
        <v>44160</v>
      </c>
      <c r="C54" s="17">
        <v>200</v>
      </c>
      <c r="D54" s="16" t="s">
        <v>129</v>
      </c>
      <c r="E54" s="17"/>
      <c r="F54" s="16">
        <v>43858</v>
      </c>
      <c r="G54">
        <v>5.99</v>
      </c>
      <c r="H54" t="s">
        <v>46</v>
      </c>
    </row>
    <row r="55" spans="2:9" ht="15" customHeight="1" x14ac:dyDescent="0.25">
      <c r="B55" s="48">
        <v>44160</v>
      </c>
      <c r="C55" s="17">
        <v>2000</v>
      </c>
      <c r="D55" s="16" t="s">
        <v>129</v>
      </c>
      <c r="E55" s="17" t="s">
        <v>202</v>
      </c>
      <c r="F55" s="16">
        <v>43864</v>
      </c>
      <c r="G55">
        <v>0.99</v>
      </c>
      <c r="H55" t="s">
        <v>22</v>
      </c>
    </row>
    <row r="56" spans="2:9" ht="15" customHeight="1" x14ac:dyDescent="0.25">
      <c r="B56" s="48">
        <v>44162</v>
      </c>
      <c r="C56" s="17">
        <v>1500</v>
      </c>
      <c r="D56" s="16" t="s">
        <v>128</v>
      </c>
      <c r="E56" s="17" t="s">
        <v>202</v>
      </c>
      <c r="F56" s="16">
        <v>43866</v>
      </c>
      <c r="G56">
        <v>1.35</v>
      </c>
      <c r="H56" t="s">
        <v>36</v>
      </c>
    </row>
    <row r="57" spans="2:9" ht="15" customHeight="1" x14ac:dyDescent="0.25">
      <c r="B57" s="48">
        <v>44171</v>
      </c>
      <c r="C57" s="53">
        <v>2400</v>
      </c>
      <c r="D57" s="16" t="s">
        <v>205</v>
      </c>
      <c r="E57" s="17" t="s">
        <v>102</v>
      </c>
      <c r="F57" s="16">
        <v>43871</v>
      </c>
      <c r="G57">
        <v>0.99</v>
      </c>
      <c r="H57" t="s">
        <v>22</v>
      </c>
    </row>
    <row r="58" spans="2:9" ht="15" customHeight="1" x14ac:dyDescent="0.25">
      <c r="B58" s="48"/>
      <c r="C58" s="17"/>
      <c r="D58" s="16"/>
      <c r="E58" s="17"/>
      <c r="F58" s="16">
        <v>43878</v>
      </c>
      <c r="G58">
        <v>0.99</v>
      </c>
      <c r="H58" t="s">
        <v>22</v>
      </c>
    </row>
    <row r="59" spans="2:9" ht="15" customHeight="1" x14ac:dyDescent="0.25">
      <c r="B59" s="48"/>
      <c r="C59" s="17"/>
      <c r="D59" s="16"/>
      <c r="E59" s="17"/>
      <c r="F59" s="16">
        <v>43885</v>
      </c>
      <c r="G59">
        <v>1.98</v>
      </c>
      <c r="H59" t="s">
        <v>22</v>
      </c>
    </row>
    <row r="60" spans="2:9" ht="15" customHeight="1" x14ac:dyDescent="0.25">
      <c r="B60" s="48"/>
      <c r="C60" s="53"/>
      <c r="D60" s="16"/>
      <c r="E60" s="17"/>
      <c r="F60" s="16">
        <v>43889</v>
      </c>
      <c r="G60">
        <v>5.99</v>
      </c>
      <c r="H60" t="s">
        <v>46</v>
      </c>
      <c r="I60" t="s">
        <v>47</v>
      </c>
    </row>
    <row r="61" spans="2:9" ht="15" customHeight="1" x14ac:dyDescent="0.25">
      <c r="B61" s="48"/>
      <c r="C61" s="17"/>
      <c r="D61" s="16"/>
      <c r="E61" s="17"/>
      <c r="F61" s="16">
        <v>43892</v>
      </c>
      <c r="G61">
        <v>2.75</v>
      </c>
      <c r="H61" t="s">
        <v>22</v>
      </c>
    </row>
    <row r="62" spans="2:9" ht="15" customHeight="1" x14ac:dyDescent="0.25">
      <c r="B62" s="48"/>
      <c r="C62" s="17"/>
      <c r="D62" s="16"/>
      <c r="E62" s="17"/>
      <c r="F62" s="16">
        <v>43892</v>
      </c>
      <c r="G62">
        <v>1.98</v>
      </c>
      <c r="H62" t="s">
        <v>22</v>
      </c>
    </row>
    <row r="63" spans="2:9" ht="15" customHeight="1" x14ac:dyDescent="0.25">
      <c r="B63" s="48"/>
      <c r="C63" s="17"/>
      <c r="D63" s="16"/>
      <c r="E63" s="17"/>
      <c r="F63" s="16">
        <v>43895</v>
      </c>
      <c r="G63">
        <v>1.35</v>
      </c>
      <c r="H63" t="s">
        <v>36</v>
      </c>
    </row>
    <row r="64" spans="2:9" ht="15" customHeight="1" x14ac:dyDescent="0.25">
      <c r="B64" s="48">
        <v>44204</v>
      </c>
      <c r="C64" s="17">
        <v>3600</v>
      </c>
      <c r="D64" s="16" t="s">
        <v>205</v>
      </c>
      <c r="E64" s="17" t="s">
        <v>102</v>
      </c>
      <c r="F64" s="16">
        <v>43895</v>
      </c>
      <c r="G64">
        <v>4.99</v>
      </c>
      <c r="H64" t="s">
        <v>46</v>
      </c>
      <c r="I64" t="s">
        <v>47</v>
      </c>
    </row>
    <row r="65" spans="1:9" ht="15" customHeight="1" x14ac:dyDescent="0.25">
      <c r="B65" s="48">
        <v>44217</v>
      </c>
      <c r="C65" s="17"/>
      <c r="D65" s="16" t="s">
        <v>182</v>
      </c>
      <c r="E65" s="17" t="s">
        <v>31</v>
      </c>
      <c r="F65" s="16">
        <v>43899</v>
      </c>
      <c r="G65">
        <v>2.75</v>
      </c>
      <c r="H65" t="s">
        <v>22</v>
      </c>
    </row>
    <row r="66" spans="1:9" ht="15" customHeight="1" x14ac:dyDescent="0.25">
      <c r="B66" s="48">
        <v>44217</v>
      </c>
      <c r="C66" s="17"/>
      <c r="D66" s="16" t="s">
        <v>182</v>
      </c>
      <c r="E66" s="17" t="s">
        <v>23</v>
      </c>
      <c r="F66" s="16">
        <v>43906</v>
      </c>
      <c r="G66">
        <v>1.98</v>
      </c>
      <c r="H66" t="s">
        <v>22</v>
      </c>
    </row>
    <row r="67" spans="1:9" ht="15" customHeight="1" x14ac:dyDescent="0.25">
      <c r="B67" s="48">
        <v>44224</v>
      </c>
      <c r="C67" s="17"/>
      <c r="D67" s="16" t="s">
        <v>111</v>
      </c>
      <c r="E67" s="17" t="s">
        <v>28</v>
      </c>
      <c r="F67" s="16">
        <v>43913</v>
      </c>
      <c r="G67">
        <v>0.99</v>
      </c>
      <c r="H67" t="s">
        <v>22</v>
      </c>
    </row>
    <row r="68" spans="1:9" ht="15" customHeight="1" x14ac:dyDescent="0.25">
      <c r="B68" s="48">
        <v>44232</v>
      </c>
      <c r="C68" s="17">
        <v>2000</v>
      </c>
      <c r="D68" s="16" t="s">
        <v>205</v>
      </c>
      <c r="E68" s="17" t="s">
        <v>102</v>
      </c>
      <c r="F68" s="16">
        <v>43920</v>
      </c>
      <c r="G68">
        <v>1.98</v>
      </c>
      <c r="H68" t="s">
        <v>22</v>
      </c>
    </row>
    <row r="69" spans="1:9" ht="15" customHeight="1" x14ac:dyDescent="0.25">
      <c r="B69" s="48">
        <v>44243</v>
      </c>
      <c r="C69" s="53"/>
      <c r="D69" s="16" t="s">
        <v>182</v>
      </c>
      <c r="E69" s="17" t="s">
        <v>521</v>
      </c>
      <c r="F69" s="16">
        <v>43926</v>
      </c>
      <c r="G69">
        <v>1.35</v>
      </c>
      <c r="H69" t="s">
        <v>36</v>
      </c>
    </row>
    <row r="70" spans="1:9" ht="15" customHeight="1" x14ac:dyDescent="0.25">
      <c r="B70" s="48">
        <v>44246</v>
      </c>
      <c r="C70" s="17">
        <v>1000</v>
      </c>
      <c r="D70" s="16" t="s">
        <v>128</v>
      </c>
      <c r="E70" s="17"/>
      <c r="F70" s="16">
        <v>43927</v>
      </c>
      <c r="G70">
        <v>1.98</v>
      </c>
      <c r="H70" t="s">
        <v>22</v>
      </c>
    </row>
    <row r="71" spans="1:9" ht="15" customHeight="1" x14ac:dyDescent="0.25">
      <c r="B71" s="48">
        <v>44260</v>
      </c>
      <c r="C71" s="17">
        <v>2000</v>
      </c>
      <c r="D71" s="16" t="s">
        <v>205</v>
      </c>
      <c r="E71" s="17" t="s">
        <v>102</v>
      </c>
      <c r="F71" s="16">
        <v>43935</v>
      </c>
      <c r="G71">
        <v>4.99</v>
      </c>
      <c r="H71" t="s">
        <v>46</v>
      </c>
      <c r="I71" t="s">
        <v>47</v>
      </c>
    </row>
    <row r="72" spans="1:9" ht="15" customHeight="1" x14ac:dyDescent="0.25">
      <c r="B72" s="48">
        <v>44266</v>
      </c>
      <c r="C72" s="17"/>
      <c r="D72" s="16" t="s">
        <v>111</v>
      </c>
      <c r="E72" s="17" t="s">
        <v>42</v>
      </c>
      <c r="F72" s="16">
        <v>43935</v>
      </c>
      <c r="G72">
        <v>0.99</v>
      </c>
      <c r="H72" t="s">
        <v>22</v>
      </c>
    </row>
    <row r="73" spans="1:9" ht="15" customHeight="1" x14ac:dyDescent="0.25">
      <c r="B73" s="48">
        <v>44274</v>
      </c>
      <c r="C73" s="17">
        <v>1300</v>
      </c>
      <c r="D73" s="16" t="s">
        <v>128</v>
      </c>
      <c r="E73" s="17"/>
      <c r="F73" s="16">
        <v>43941</v>
      </c>
      <c r="G73">
        <v>2.75</v>
      </c>
      <c r="H73" t="s">
        <v>22</v>
      </c>
    </row>
    <row r="74" spans="1:9" ht="15" customHeight="1" x14ac:dyDescent="0.25">
      <c r="B74" s="48">
        <v>44277</v>
      </c>
      <c r="C74" s="17">
        <v>1300</v>
      </c>
      <c r="D74" s="16" t="s">
        <v>128</v>
      </c>
      <c r="E74" s="17"/>
      <c r="F74" s="16">
        <v>43948</v>
      </c>
      <c r="G74">
        <v>0.99</v>
      </c>
      <c r="H74" t="s">
        <v>22</v>
      </c>
    </row>
    <row r="75" spans="1:9" ht="15" customHeight="1" x14ac:dyDescent="0.25">
      <c r="B75" s="48">
        <v>44288</v>
      </c>
      <c r="C75" s="17">
        <v>700</v>
      </c>
      <c r="D75" s="16" t="s">
        <v>128</v>
      </c>
      <c r="E75" s="17"/>
      <c r="F75" s="16">
        <v>43956</v>
      </c>
      <c r="G75">
        <v>1.35</v>
      </c>
      <c r="H75" t="s">
        <v>36</v>
      </c>
    </row>
    <row r="76" spans="1:9" ht="15" customHeight="1" x14ac:dyDescent="0.25">
      <c r="A76"/>
      <c r="B76" s="48">
        <v>44290</v>
      </c>
      <c r="C76" s="17">
        <f>560-480</f>
        <v>80</v>
      </c>
      <c r="D76" s="16" t="s">
        <v>118</v>
      </c>
      <c r="E76" s="17" t="s">
        <v>457</v>
      </c>
      <c r="F76" s="16">
        <v>43955</v>
      </c>
      <c r="G76">
        <v>2.75</v>
      </c>
      <c r="H76" t="s">
        <v>22</v>
      </c>
    </row>
    <row r="77" spans="1:9" ht="15" customHeight="1" x14ac:dyDescent="0.25">
      <c r="A77"/>
      <c r="B77" s="48">
        <v>44295</v>
      </c>
      <c r="C77" s="17">
        <v>500</v>
      </c>
      <c r="D77" s="16" t="s">
        <v>128</v>
      </c>
      <c r="F77" s="16">
        <v>43963</v>
      </c>
      <c r="G77">
        <v>150</v>
      </c>
      <c r="H77" t="s">
        <v>97</v>
      </c>
      <c r="I77" t="s">
        <v>49</v>
      </c>
    </row>
    <row r="78" spans="1:9" ht="15" customHeight="1" x14ac:dyDescent="0.25">
      <c r="A78"/>
      <c r="B78" s="48">
        <v>44296</v>
      </c>
      <c r="C78" s="17"/>
      <c r="D78" s="16" t="s">
        <v>118</v>
      </c>
      <c r="E78" t="s">
        <v>457</v>
      </c>
      <c r="F78" s="16">
        <v>43962</v>
      </c>
      <c r="G78">
        <v>0.99</v>
      </c>
      <c r="H78" t="s">
        <v>22</v>
      </c>
    </row>
    <row r="79" spans="1:9" ht="15" customHeight="1" x14ac:dyDescent="0.25">
      <c r="A79"/>
      <c r="B79" s="48">
        <v>44297</v>
      </c>
      <c r="C79" s="17">
        <v>2000</v>
      </c>
      <c r="D79" s="16" t="s">
        <v>205</v>
      </c>
      <c r="E79" t="s">
        <v>102</v>
      </c>
      <c r="F79" s="16">
        <v>43969</v>
      </c>
      <c r="G79">
        <v>0.99</v>
      </c>
      <c r="H79" t="s">
        <v>22</v>
      </c>
    </row>
    <row r="80" spans="1:9" ht="15" customHeight="1" x14ac:dyDescent="0.25">
      <c r="A80"/>
      <c r="B80" s="48">
        <v>44302</v>
      </c>
      <c r="C80" s="17">
        <v>4000</v>
      </c>
      <c r="D80" s="16" t="s">
        <v>128</v>
      </c>
      <c r="F80" s="16">
        <v>43976</v>
      </c>
      <c r="G80">
        <v>0.99</v>
      </c>
      <c r="H80" t="s">
        <v>22</v>
      </c>
    </row>
    <row r="81" spans="1:9" ht="15" customHeight="1" x14ac:dyDescent="0.25">
      <c r="A81"/>
      <c r="B81" s="48">
        <v>44302</v>
      </c>
      <c r="C81" s="17"/>
      <c r="D81" s="16" t="s">
        <v>118</v>
      </c>
      <c r="F81" s="16">
        <v>43983</v>
      </c>
      <c r="G81">
        <v>0.99</v>
      </c>
      <c r="H81" t="s">
        <v>22</v>
      </c>
    </row>
    <row r="82" spans="1:9" ht="15" customHeight="1" x14ac:dyDescent="0.25">
      <c r="A82"/>
      <c r="B82" s="48">
        <v>44306</v>
      </c>
      <c r="C82" s="17">
        <v>6000</v>
      </c>
      <c r="D82" s="16" t="s">
        <v>129</v>
      </c>
      <c r="F82" s="16">
        <v>43987</v>
      </c>
      <c r="G82">
        <v>1.35</v>
      </c>
      <c r="H82" t="s">
        <v>36</v>
      </c>
    </row>
    <row r="83" spans="1:9" ht="15" customHeight="1" x14ac:dyDescent="0.25">
      <c r="A83"/>
      <c r="B83" s="48">
        <v>44307</v>
      </c>
      <c r="C83" s="17">
        <v>250</v>
      </c>
      <c r="D83" s="16" t="s">
        <v>129</v>
      </c>
      <c r="F83" s="16">
        <v>43990</v>
      </c>
      <c r="G83">
        <v>0.99</v>
      </c>
      <c r="H83" t="s">
        <v>22</v>
      </c>
    </row>
    <row r="84" spans="1:9" ht="15" customHeight="1" x14ac:dyDescent="0.25">
      <c r="A84"/>
      <c r="B84" s="48">
        <v>44315</v>
      </c>
      <c r="C84" s="17">
        <v>200</v>
      </c>
      <c r="D84" s="16" t="s">
        <v>128</v>
      </c>
      <c r="F84" s="16">
        <v>43990</v>
      </c>
      <c r="G84">
        <v>1.98</v>
      </c>
      <c r="H84" t="s">
        <v>22</v>
      </c>
    </row>
    <row r="85" spans="1:9" x14ac:dyDescent="0.25">
      <c r="A85"/>
      <c r="B85" s="48">
        <v>44315</v>
      </c>
      <c r="C85" s="17">
        <v>200</v>
      </c>
      <c r="D85" s="16" t="s">
        <v>129</v>
      </c>
      <c r="F85" s="16">
        <v>43997</v>
      </c>
      <c r="G85">
        <v>0.99</v>
      </c>
      <c r="H85" t="s">
        <v>22</v>
      </c>
    </row>
    <row r="86" spans="1:9" x14ac:dyDescent="0.25">
      <c r="A86"/>
      <c r="B86" s="48">
        <v>44322</v>
      </c>
      <c r="C86" s="17">
        <v>300</v>
      </c>
      <c r="D86" s="16" t="s">
        <v>128</v>
      </c>
      <c r="F86" s="16">
        <v>43998</v>
      </c>
      <c r="G86">
        <v>2</v>
      </c>
      <c r="H86" t="s">
        <v>43</v>
      </c>
      <c r="I86" t="s">
        <v>99</v>
      </c>
    </row>
    <row r="87" spans="1:9" x14ac:dyDescent="0.25">
      <c r="A87"/>
      <c r="B87" s="48">
        <v>44330</v>
      </c>
      <c r="C87" s="17"/>
      <c r="D87" t="s">
        <v>180</v>
      </c>
      <c r="E87" t="s">
        <v>457</v>
      </c>
      <c r="F87" s="16">
        <v>44000</v>
      </c>
      <c r="G87">
        <v>4.99</v>
      </c>
      <c r="H87" t="s">
        <v>46</v>
      </c>
      <c r="I87" t="s">
        <v>47</v>
      </c>
    </row>
    <row r="88" spans="1:9" x14ac:dyDescent="0.25">
      <c r="A88"/>
      <c r="B88" s="48">
        <v>44331</v>
      </c>
      <c r="C88" s="17">
        <v>50</v>
      </c>
      <c r="D88" s="16" t="s">
        <v>128</v>
      </c>
      <c r="F88" s="16">
        <v>44004</v>
      </c>
      <c r="G88">
        <v>0.99</v>
      </c>
      <c r="H88" t="s">
        <v>22</v>
      </c>
    </row>
    <row r="89" spans="1:9" x14ac:dyDescent="0.25">
      <c r="A89"/>
      <c r="B89" s="48">
        <v>44258</v>
      </c>
      <c r="C89" s="17">
        <v>4609.7299999999996</v>
      </c>
      <c r="D89" s="16" t="s">
        <v>128</v>
      </c>
      <c r="F89" s="16">
        <v>44011</v>
      </c>
      <c r="G89">
        <v>0.99</v>
      </c>
      <c r="H89" t="s">
        <v>22</v>
      </c>
    </row>
    <row r="90" spans="1:9" x14ac:dyDescent="0.25">
      <c r="A90"/>
      <c r="B90" s="48">
        <v>44343</v>
      </c>
      <c r="C90" s="17">
        <v>4700</v>
      </c>
      <c r="D90" s="16" t="s">
        <v>129</v>
      </c>
      <c r="F90" s="16">
        <v>44016</v>
      </c>
      <c r="G90">
        <v>4.99</v>
      </c>
      <c r="H90" t="s">
        <v>46</v>
      </c>
      <c r="I90" t="s">
        <v>47</v>
      </c>
    </row>
    <row r="91" spans="1:9" x14ac:dyDescent="0.25">
      <c r="A91"/>
      <c r="B91" s="48">
        <v>44341</v>
      </c>
      <c r="C91" s="17">
        <v>10700</v>
      </c>
      <c r="D91" s="16" t="s">
        <v>129</v>
      </c>
      <c r="F91" s="16">
        <v>44017</v>
      </c>
      <c r="G91">
        <v>1.35</v>
      </c>
      <c r="H91" t="s">
        <v>36</v>
      </c>
    </row>
    <row r="92" spans="1:9" x14ac:dyDescent="0.25">
      <c r="A92"/>
      <c r="B92" s="48">
        <v>44354</v>
      </c>
      <c r="C92" s="17"/>
      <c r="D92" s="16" t="s">
        <v>118</v>
      </c>
      <c r="E92" t="s">
        <v>595</v>
      </c>
      <c r="F92" s="16">
        <v>44018</v>
      </c>
      <c r="G92">
        <v>0.99</v>
      </c>
      <c r="H92" t="s">
        <v>22</v>
      </c>
    </row>
    <row r="93" spans="1:9" x14ac:dyDescent="0.25">
      <c r="A93"/>
      <c r="B93" s="48">
        <v>44356</v>
      </c>
      <c r="C93" s="17">
        <v>500</v>
      </c>
      <c r="D93" s="16" t="s">
        <v>129</v>
      </c>
      <c r="E93" t="s">
        <v>625</v>
      </c>
      <c r="F93" s="16">
        <v>44024</v>
      </c>
      <c r="G93">
        <v>25</v>
      </c>
      <c r="H93" t="s">
        <v>97</v>
      </c>
    </row>
    <row r="94" spans="1:9" x14ac:dyDescent="0.25">
      <c r="A94"/>
      <c r="B94" s="48">
        <v>44371</v>
      </c>
      <c r="C94" s="17">
        <v>4000</v>
      </c>
      <c r="D94" s="16" t="s">
        <v>205</v>
      </c>
      <c r="E94" t="s">
        <v>626</v>
      </c>
      <c r="F94" s="16">
        <v>44032</v>
      </c>
      <c r="G94">
        <v>1.98</v>
      </c>
      <c r="H94" t="s">
        <v>22</v>
      </c>
      <c r="I94" t="s">
        <v>58</v>
      </c>
    </row>
    <row r="95" spans="1:9" x14ac:dyDescent="0.25">
      <c r="A95"/>
      <c r="B95" s="48">
        <v>44372</v>
      </c>
      <c r="C95" s="17">
        <v>1000</v>
      </c>
      <c r="D95" s="16" t="s">
        <v>205</v>
      </c>
      <c r="E95" t="s">
        <v>626</v>
      </c>
      <c r="F95" s="16">
        <v>44039</v>
      </c>
      <c r="G95">
        <v>1.98</v>
      </c>
      <c r="H95" t="s">
        <v>22</v>
      </c>
    </row>
    <row r="96" spans="1:9" x14ac:dyDescent="0.25">
      <c r="A96"/>
      <c r="B96" s="48">
        <v>44358</v>
      </c>
      <c r="C96" s="17">
        <v>2000</v>
      </c>
      <c r="D96" s="16" t="s">
        <v>129</v>
      </c>
      <c r="F96" s="16">
        <v>44011</v>
      </c>
      <c r="G96">
        <v>8322</v>
      </c>
      <c r="H96" t="s">
        <v>261</v>
      </c>
    </row>
    <row r="97" spans="1:9" x14ac:dyDescent="0.25">
      <c r="A97"/>
      <c r="B97" s="48">
        <v>44358</v>
      </c>
      <c r="C97">
        <f>9748.34+5647.7</f>
        <v>15396.04</v>
      </c>
      <c r="D97" s="16" t="s">
        <v>128</v>
      </c>
      <c r="E97" t="s">
        <v>658</v>
      </c>
      <c r="F97" s="16">
        <v>44044</v>
      </c>
      <c r="G97">
        <v>3</v>
      </c>
      <c r="H97" t="s">
        <v>22</v>
      </c>
    </row>
    <row r="98" spans="1:9" x14ac:dyDescent="0.25">
      <c r="A98"/>
      <c r="B98" s="48">
        <v>44376</v>
      </c>
      <c r="C98" s="17">
        <v>2000</v>
      </c>
      <c r="D98" s="16" t="s">
        <v>129</v>
      </c>
      <c r="F98" s="16">
        <v>44046</v>
      </c>
      <c r="G98">
        <v>1.97</v>
      </c>
      <c r="H98" t="s">
        <v>22</v>
      </c>
    </row>
    <row r="99" spans="1:9" x14ac:dyDescent="0.25">
      <c r="A99"/>
      <c r="B99" s="48">
        <v>44378</v>
      </c>
      <c r="C99" s="17">
        <v>388</v>
      </c>
      <c r="D99" s="16" t="s">
        <v>128</v>
      </c>
      <c r="F99" s="16">
        <v>44048</v>
      </c>
      <c r="G99">
        <v>3</v>
      </c>
      <c r="H99" t="s">
        <v>22</v>
      </c>
    </row>
    <row r="100" spans="1:9" x14ac:dyDescent="0.25">
      <c r="A100"/>
      <c r="B100" s="48">
        <v>44383</v>
      </c>
      <c r="C100" s="17">
        <v>140</v>
      </c>
      <c r="D100" s="16" t="s">
        <v>128</v>
      </c>
      <c r="F100" s="16">
        <v>44047</v>
      </c>
      <c r="G100">
        <v>1.35</v>
      </c>
      <c r="H100" t="s">
        <v>36</v>
      </c>
    </row>
    <row r="101" spans="1:9" x14ac:dyDescent="0.25">
      <c r="A101"/>
      <c r="B101" s="48">
        <v>44385</v>
      </c>
      <c r="C101" s="17">
        <v>300</v>
      </c>
      <c r="D101" s="16" t="s">
        <v>128</v>
      </c>
      <c r="F101" s="16">
        <v>44053</v>
      </c>
      <c r="G101">
        <v>0.99</v>
      </c>
      <c r="H101" t="s">
        <v>22</v>
      </c>
    </row>
    <row r="102" spans="1:9" x14ac:dyDescent="0.25">
      <c r="A102"/>
      <c r="B102" s="48">
        <v>44396</v>
      </c>
      <c r="C102" s="17">
        <v>2000</v>
      </c>
      <c r="D102" s="16" t="s">
        <v>205</v>
      </c>
      <c r="E102" t="s">
        <v>672</v>
      </c>
      <c r="F102" s="16">
        <v>44054</v>
      </c>
      <c r="G102">
        <v>4.99</v>
      </c>
      <c r="H102" t="s">
        <v>46</v>
      </c>
    </row>
    <row r="103" spans="1:9" x14ac:dyDescent="0.25">
      <c r="A103"/>
      <c r="B103" s="48">
        <v>44406</v>
      </c>
      <c r="C103" s="17">
        <v>200</v>
      </c>
      <c r="D103" s="16" t="s">
        <v>128</v>
      </c>
      <c r="F103" s="16">
        <v>44057</v>
      </c>
      <c r="G103">
        <v>25</v>
      </c>
      <c r="H103" t="s">
        <v>97</v>
      </c>
    </row>
    <row r="104" spans="1:9" x14ac:dyDescent="0.25">
      <c r="A104"/>
      <c r="B104" s="48">
        <v>44409</v>
      </c>
      <c r="C104" s="17">
        <v>2800</v>
      </c>
      <c r="D104" s="16" t="s">
        <v>205</v>
      </c>
      <c r="E104" t="s">
        <v>672</v>
      </c>
      <c r="F104" s="16">
        <v>44060</v>
      </c>
      <c r="G104">
        <v>1.98</v>
      </c>
      <c r="H104" t="s">
        <v>22</v>
      </c>
    </row>
    <row r="105" spans="1:9" x14ac:dyDescent="0.25">
      <c r="A105"/>
      <c r="B105" s="48">
        <v>44418</v>
      </c>
      <c r="C105" s="17">
        <v>600</v>
      </c>
      <c r="D105" s="16" t="s">
        <v>205</v>
      </c>
      <c r="E105" t="s">
        <v>680</v>
      </c>
      <c r="F105" s="16">
        <v>44064</v>
      </c>
      <c r="G105">
        <v>34.6</v>
      </c>
      <c r="H105" t="s">
        <v>43</v>
      </c>
      <c r="I105" t="s">
        <v>206</v>
      </c>
    </row>
    <row r="106" spans="1:9" x14ac:dyDescent="0.25">
      <c r="A106"/>
      <c r="B106" s="48">
        <v>44419</v>
      </c>
      <c r="C106" s="17">
        <v>600</v>
      </c>
      <c r="D106" s="16" t="s">
        <v>205</v>
      </c>
      <c r="E106" t="s">
        <v>680</v>
      </c>
      <c r="F106" s="72">
        <v>44070</v>
      </c>
      <c r="G106" s="17">
        <v>10.5</v>
      </c>
      <c r="H106" s="49" t="s">
        <v>43</v>
      </c>
      <c r="I106" t="s">
        <v>131</v>
      </c>
    </row>
    <row r="107" spans="1:9" x14ac:dyDescent="0.25">
      <c r="A107"/>
      <c r="B107" s="48">
        <v>44421</v>
      </c>
      <c r="C107" s="17">
        <v>2800</v>
      </c>
      <c r="D107" s="16" t="s">
        <v>205</v>
      </c>
      <c r="E107" t="s">
        <v>672</v>
      </c>
      <c r="F107" s="72">
        <v>44071</v>
      </c>
      <c r="G107" s="17">
        <v>5.99</v>
      </c>
      <c r="H107" s="49" t="s">
        <v>46</v>
      </c>
      <c r="I107" t="s">
        <v>47</v>
      </c>
    </row>
    <row r="108" spans="1:9" x14ac:dyDescent="0.25">
      <c r="A108"/>
      <c r="B108" s="48">
        <v>44422</v>
      </c>
      <c r="C108" s="17">
        <v>750</v>
      </c>
      <c r="D108" s="16" t="s">
        <v>205</v>
      </c>
      <c r="E108" t="s">
        <v>680</v>
      </c>
      <c r="F108" s="72">
        <v>44067</v>
      </c>
      <c r="G108" s="17">
        <v>0.99</v>
      </c>
      <c r="H108" s="49" t="s">
        <v>22</v>
      </c>
      <c r="I108" t="s">
        <v>131</v>
      </c>
    </row>
    <row r="109" spans="1:9" x14ac:dyDescent="0.25">
      <c r="A109"/>
      <c r="B109" s="48">
        <v>44428</v>
      </c>
      <c r="C109" s="17">
        <v>750</v>
      </c>
      <c r="D109" s="16" t="s">
        <v>205</v>
      </c>
      <c r="E109" t="s">
        <v>680</v>
      </c>
      <c r="F109" s="72">
        <v>44074</v>
      </c>
      <c r="G109" s="17">
        <v>33.590000000000003</v>
      </c>
      <c r="H109" s="49" t="s">
        <v>43</v>
      </c>
      <c r="I109" s="14" t="s">
        <v>235</v>
      </c>
    </row>
    <row r="110" spans="1:9" x14ac:dyDescent="0.25">
      <c r="A110"/>
      <c r="B110" s="48">
        <v>44428</v>
      </c>
      <c r="C110" s="17">
        <v>33000</v>
      </c>
      <c r="D110" t="s">
        <v>129</v>
      </c>
      <c r="F110" s="72">
        <v>44074</v>
      </c>
      <c r="G110" s="54">
        <v>198.52</v>
      </c>
      <c r="H110" s="49" t="s">
        <v>43</v>
      </c>
      <c r="I110" s="14" t="s">
        <v>235</v>
      </c>
    </row>
    <row r="111" spans="1:9" x14ac:dyDescent="0.25">
      <c r="A111"/>
      <c r="B111" s="48">
        <v>44428</v>
      </c>
      <c r="C111" s="17">
        <v>2800</v>
      </c>
      <c r="D111" s="16" t="s">
        <v>205</v>
      </c>
      <c r="E111" t="s">
        <v>672</v>
      </c>
      <c r="F111" s="72">
        <v>44074</v>
      </c>
      <c r="G111" s="54">
        <v>198.52</v>
      </c>
      <c r="H111" s="49" t="s">
        <v>43</v>
      </c>
      <c r="I111" s="14" t="s">
        <v>235</v>
      </c>
    </row>
    <row r="112" spans="1:9" x14ac:dyDescent="0.25">
      <c r="A112"/>
      <c r="B112" s="48">
        <v>44435</v>
      </c>
      <c r="C112" s="17">
        <v>750</v>
      </c>
      <c r="D112" s="16" t="s">
        <v>205</v>
      </c>
      <c r="E112" t="s">
        <v>680</v>
      </c>
      <c r="F112" s="48">
        <v>44074</v>
      </c>
      <c r="G112" s="54">
        <v>32.049999999999997</v>
      </c>
      <c r="H112" s="49" t="s">
        <v>43</v>
      </c>
      <c r="I112" s="14" t="s">
        <v>206</v>
      </c>
    </row>
    <row r="113" spans="1:16" x14ac:dyDescent="0.25">
      <c r="A113"/>
      <c r="B113" s="48">
        <v>44438</v>
      </c>
      <c r="C113" s="17">
        <v>4800</v>
      </c>
      <c r="D113" s="16" t="s">
        <v>205</v>
      </c>
      <c r="E113" t="s">
        <v>672</v>
      </c>
      <c r="F113" s="48">
        <v>44074</v>
      </c>
      <c r="G113" s="54">
        <v>0.99</v>
      </c>
      <c r="H113" s="49" t="s">
        <v>22</v>
      </c>
      <c r="I113" s="14" t="s">
        <v>131</v>
      </c>
    </row>
    <row r="114" spans="1:16" x14ac:dyDescent="0.25">
      <c r="A114"/>
      <c r="B114" s="48">
        <v>44440</v>
      </c>
      <c r="C114" s="17">
        <v>5600</v>
      </c>
      <c r="D114" s="16" t="s">
        <v>205</v>
      </c>
      <c r="E114" t="s">
        <v>672</v>
      </c>
      <c r="F114" s="48">
        <v>43742</v>
      </c>
      <c r="G114" s="54"/>
      <c r="H114" s="49" t="s">
        <v>264</v>
      </c>
      <c r="I114" s="21" t="s">
        <v>19</v>
      </c>
      <c r="J114" t="s">
        <v>33</v>
      </c>
    </row>
    <row r="115" spans="1:16" x14ac:dyDescent="0.25">
      <c r="A115"/>
      <c r="B115" s="48">
        <v>44440</v>
      </c>
      <c r="C115" s="17">
        <v>5600</v>
      </c>
      <c r="D115" s="16" t="s">
        <v>205</v>
      </c>
      <c r="E115" t="s">
        <v>672</v>
      </c>
      <c r="F115" s="48">
        <v>43742</v>
      </c>
      <c r="G115" s="54"/>
      <c r="H115" s="49" t="s">
        <v>264</v>
      </c>
      <c r="I115" t="s">
        <v>44</v>
      </c>
      <c r="J115" t="s">
        <v>33</v>
      </c>
    </row>
    <row r="116" spans="1:16" x14ac:dyDescent="0.25">
      <c r="A116"/>
      <c r="B116" s="48">
        <v>44440</v>
      </c>
      <c r="C116" s="17">
        <v>5600</v>
      </c>
      <c r="D116" s="16" t="s">
        <v>205</v>
      </c>
      <c r="E116" t="s">
        <v>672</v>
      </c>
      <c r="F116" s="48">
        <v>43748</v>
      </c>
      <c r="G116" s="54"/>
      <c r="H116" s="49" t="s">
        <v>264</v>
      </c>
      <c r="I116" t="s">
        <v>44</v>
      </c>
      <c r="J116" t="s">
        <v>145</v>
      </c>
    </row>
    <row r="117" spans="1:16" x14ac:dyDescent="0.25">
      <c r="A117"/>
      <c r="B117" s="48">
        <v>44442</v>
      </c>
      <c r="C117" s="17">
        <v>750</v>
      </c>
      <c r="D117" s="16" t="s">
        <v>205</v>
      </c>
      <c r="E117" t="s">
        <v>680</v>
      </c>
      <c r="F117" s="48">
        <v>43822</v>
      </c>
      <c r="G117" s="54"/>
      <c r="H117" s="49" t="s">
        <v>264</v>
      </c>
      <c r="I117" t="s">
        <v>44</v>
      </c>
      <c r="J117" t="s">
        <v>265</v>
      </c>
    </row>
    <row r="118" spans="1:16" x14ac:dyDescent="0.25">
      <c r="A118"/>
      <c r="B118" s="48">
        <v>44448</v>
      </c>
      <c r="C118" s="17">
        <v>5000</v>
      </c>
      <c r="D118" s="16" t="s">
        <v>129</v>
      </c>
      <c r="F118" s="48">
        <v>43833</v>
      </c>
      <c r="G118" s="54"/>
      <c r="H118" s="49" t="s">
        <v>264</v>
      </c>
      <c r="I118" t="s">
        <v>44</v>
      </c>
      <c r="J118" t="s">
        <v>266</v>
      </c>
    </row>
    <row r="119" spans="1:16" x14ac:dyDescent="0.25">
      <c r="A119"/>
      <c r="B119" s="48">
        <v>44448</v>
      </c>
      <c r="C119" s="17">
        <v>790</v>
      </c>
      <c r="D119" s="16" t="s">
        <v>129</v>
      </c>
      <c r="E119" t="s">
        <v>697</v>
      </c>
      <c r="F119" s="48">
        <v>43755</v>
      </c>
      <c r="G119" s="54">
        <v>427.1</v>
      </c>
      <c r="H119" s="49" t="s">
        <v>264</v>
      </c>
      <c r="I119" t="s">
        <v>21</v>
      </c>
      <c r="J119" t="s">
        <v>33</v>
      </c>
    </row>
    <row r="120" spans="1:16" x14ac:dyDescent="0.25">
      <c r="A120"/>
      <c r="B120" s="48">
        <v>44449</v>
      </c>
      <c r="C120" s="17">
        <v>750</v>
      </c>
      <c r="D120" s="16" t="s">
        <v>205</v>
      </c>
      <c r="E120" t="s">
        <v>680</v>
      </c>
      <c r="F120" s="48">
        <v>43776</v>
      </c>
      <c r="G120" s="54"/>
      <c r="H120" s="49" t="s">
        <v>122</v>
      </c>
      <c r="I120" t="s">
        <v>23</v>
      </c>
      <c r="J120" t="s">
        <v>33</v>
      </c>
    </row>
    <row r="121" spans="1:16" x14ac:dyDescent="0.25">
      <c r="A121"/>
      <c r="B121" s="48">
        <v>44452</v>
      </c>
      <c r="C121" s="17">
        <v>5600</v>
      </c>
      <c r="D121" s="16" t="s">
        <v>205</v>
      </c>
      <c r="E121" t="s">
        <v>672</v>
      </c>
      <c r="F121" s="48">
        <v>43774</v>
      </c>
      <c r="G121" s="54"/>
      <c r="H121" s="49" t="s">
        <v>122</v>
      </c>
      <c r="I121" t="s">
        <v>25</v>
      </c>
      <c r="J121" t="s">
        <v>33</v>
      </c>
    </row>
    <row r="122" spans="1:16" x14ac:dyDescent="0.25">
      <c r="A122"/>
      <c r="B122" s="48">
        <v>44452</v>
      </c>
      <c r="C122" s="17">
        <v>5600</v>
      </c>
      <c r="D122" s="16" t="s">
        <v>205</v>
      </c>
      <c r="E122" t="s">
        <v>672</v>
      </c>
      <c r="F122" s="48">
        <v>43819</v>
      </c>
      <c r="G122" s="54"/>
      <c r="H122" s="49" t="s">
        <v>122</v>
      </c>
      <c r="I122" t="s">
        <v>167</v>
      </c>
      <c r="J122" t="s">
        <v>33</v>
      </c>
    </row>
    <row r="123" spans="1:16" x14ac:dyDescent="0.25">
      <c r="A123"/>
      <c r="B123" s="48">
        <v>44456</v>
      </c>
      <c r="C123" s="17">
        <v>750</v>
      </c>
      <c r="D123" s="16" t="s">
        <v>205</v>
      </c>
      <c r="E123" t="s">
        <v>680</v>
      </c>
      <c r="F123" s="48">
        <v>43822</v>
      </c>
      <c r="G123" s="54"/>
      <c r="H123" s="49" t="s">
        <v>122</v>
      </c>
      <c r="I123" t="s">
        <v>167</v>
      </c>
      <c r="J123" t="s">
        <v>48</v>
      </c>
    </row>
    <row r="124" spans="1:16" x14ac:dyDescent="0.25">
      <c r="B124" s="48">
        <v>44463</v>
      </c>
      <c r="C124" s="17">
        <v>750</v>
      </c>
      <c r="D124" s="16" t="s">
        <v>205</v>
      </c>
      <c r="E124" t="s">
        <v>680</v>
      </c>
      <c r="F124" s="48">
        <v>43878</v>
      </c>
      <c r="G124" s="54"/>
      <c r="H124" s="49" t="s">
        <v>122</v>
      </c>
      <c r="I124" t="s">
        <v>167</v>
      </c>
      <c r="J124" t="s">
        <v>268</v>
      </c>
      <c r="M124" s="48"/>
      <c r="N124" s="17"/>
      <c r="O124" s="49"/>
      <c r="P124" s="49"/>
    </row>
    <row r="125" spans="1:16" x14ac:dyDescent="0.25">
      <c r="B125" s="48">
        <v>44470</v>
      </c>
      <c r="C125" s="17">
        <v>750</v>
      </c>
      <c r="D125" s="16" t="s">
        <v>205</v>
      </c>
      <c r="E125" t="s">
        <v>680</v>
      </c>
      <c r="F125" s="48">
        <v>43885</v>
      </c>
      <c r="G125" s="54"/>
      <c r="H125" s="49" t="s">
        <v>122</v>
      </c>
      <c r="I125" t="s">
        <v>167</v>
      </c>
      <c r="J125" t="s">
        <v>17</v>
      </c>
    </row>
    <row r="126" spans="1:16" x14ac:dyDescent="0.25">
      <c r="B126" s="48">
        <v>44474</v>
      </c>
      <c r="C126" s="17">
        <v>5600</v>
      </c>
      <c r="D126" s="16" t="s">
        <v>205</v>
      </c>
      <c r="E126" t="s">
        <v>672</v>
      </c>
      <c r="F126" s="48">
        <v>43900</v>
      </c>
      <c r="G126" s="54"/>
      <c r="H126" s="49" t="s">
        <v>122</v>
      </c>
      <c r="I126" t="s">
        <v>167</v>
      </c>
      <c r="J126" t="s">
        <v>269</v>
      </c>
    </row>
    <row r="127" spans="1:16" x14ac:dyDescent="0.25">
      <c r="B127" s="48">
        <v>44474</v>
      </c>
      <c r="C127" s="17">
        <v>5600</v>
      </c>
      <c r="D127" s="16" t="s">
        <v>205</v>
      </c>
      <c r="E127" t="s">
        <v>672</v>
      </c>
      <c r="F127" s="48">
        <v>43910</v>
      </c>
      <c r="G127" s="54"/>
      <c r="H127" s="49" t="s">
        <v>122</v>
      </c>
      <c r="I127" t="s">
        <v>167</v>
      </c>
      <c r="J127" t="s">
        <v>165</v>
      </c>
    </row>
    <row r="128" spans="1:16" x14ac:dyDescent="0.25">
      <c r="B128" s="48">
        <v>44477</v>
      </c>
      <c r="C128" s="17">
        <v>750</v>
      </c>
      <c r="D128" s="16" t="s">
        <v>205</v>
      </c>
      <c r="E128" t="s">
        <v>680</v>
      </c>
      <c r="F128" s="48">
        <v>43787</v>
      </c>
      <c r="G128" s="54">
        <v>292.7</v>
      </c>
      <c r="H128" s="49" t="s">
        <v>122</v>
      </c>
      <c r="I128" t="s">
        <v>27</v>
      </c>
      <c r="J128" t="s">
        <v>33</v>
      </c>
    </row>
    <row r="129" spans="1:10" x14ac:dyDescent="0.25">
      <c r="B129" s="48">
        <v>44480</v>
      </c>
      <c r="C129" s="17">
        <f>7485+600+1206.03</f>
        <v>9291.0300000000007</v>
      </c>
      <c r="D129" s="16" t="s">
        <v>128</v>
      </c>
      <c r="E129" t="s">
        <v>708</v>
      </c>
      <c r="F129" s="48">
        <v>43801</v>
      </c>
      <c r="G129" s="54">
        <v>334.7</v>
      </c>
      <c r="H129" s="49" t="s">
        <v>122</v>
      </c>
      <c r="I129" t="s">
        <v>28</v>
      </c>
      <c r="J129" t="s">
        <v>33</v>
      </c>
    </row>
    <row r="130" spans="1:10" x14ac:dyDescent="0.25">
      <c r="B130" s="48">
        <v>44480</v>
      </c>
      <c r="C130" s="17">
        <f>5280+600+1109.28</f>
        <v>6989.28</v>
      </c>
      <c r="D130" s="16" t="s">
        <v>128</v>
      </c>
      <c r="E130" t="s">
        <v>709</v>
      </c>
      <c r="F130" s="48">
        <v>43797</v>
      </c>
      <c r="G130" s="54">
        <v>160</v>
      </c>
      <c r="H130" s="49" t="s">
        <v>122</v>
      </c>
      <c r="I130" t="s">
        <v>28</v>
      </c>
      <c r="J130" t="s">
        <v>48</v>
      </c>
    </row>
    <row r="131" spans="1:10" x14ac:dyDescent="0.25">
      <c r="B131" s="48">
        <v>44484</v>
      </c>
      <c r="C131" s="17">
        <v>750</v>
      </c>
      <c r="D131" s="16" t="s">
        <v>205</v>
      </c>
      <c r="E131" t="s">
        <v>680</v>
      </c>
      <c r="F131" s="48">
        <v>43838</v>
      </c>
      <c r="G131" s="54"/>
      <c r="H131" s="49" t="s">
        <v>122</v>
      </c>
      <c r="I131" t="s">
        <v>29</v>
      </c>
      <c r="J131" t="s">
        <v>33</v>
      </c>
    </row>
    <row r="132" spans="1:10" x14ac:dyDescent="0.25">
      <c r="B132" s="48">
        <v>44491</v>
      </c>
      <c r="C132" s="17">
        <v>750</v>
      </c>
      <c r="D132" s="16" t="s">
        <v>205</v>
      </c>
      <c r="E132" t="s">
        <v>680</v>
      </c>
      <c r="F132" s="48">
        <v>43910</v>
      </c>
      <c r="G132" s="54"/>
      <c r="H132" s="49" t="s">
        <v>122</v>
      </c>
      <c r="I132" t="s">
        <v>31</v>
      </c>
      <c r="J132" t="s">
        <v>33</v>
      </c>
    </row>
    <row r="133" spans="1:10" x14ac:dyDescent="0.25">
      <c r="B133" s="48">
        <v>44495</v>
      </c>
      <c r="C133" s="17">
        <v>2000</v>
      </c>
      <c r="D133" s="16" t="s">
        <v>205</v>
      </c>
      <c r="E133" t="s">
        <v>672</v>
      </c>
      <c r="F133" s="48">
        <v>43994</v>
      </c>
      <c r="G133" s="54"/>
      <c r="H133" s="49" t="s">
        <v>264</v>
      </c>
      <c r="I133" t="s">
        <v>31</v>
      </c>
      <c r="J133" t="s">
        <v>179</v>
      </c>
    </row>
    <row r="134" spans="1:10" x14ac:dyDescent="0.25">
      <c r="B134" s="48">
        <v>44496</v>
      </c>
      <c r="C134" s="17">
        <v>2000</v>
      </c>
      <c r="D134" s="16" t="s">
        <v>205</v>
      </c>
      <c r="E134" t="s">
        <v>672</v>
      </c>
      <c r="F134" s="48">
        <v>43971</v>
      </c>
      <c r="G134" s="54">
        <v>460.7</v>
      </c>
      <c r="H134" s="49" t="s">
        <v>264</v>
      </c>
      <c r="I134" t="s">
        <v>195</v>
      </c>
      <c r="J134" t="s">
        <v>33</v>
      </c>
    </row>
    <row r="135" spans="1:10" x14ac:dyDescent="0.25">
      <c r="B135" s="48">
        <v>44497</v>
      </c>
      <c r="C135" s="17">
        <v>4000</v>
      </c>
      <c r="D135" s="16" t="s">
        <v>205</v>
      </c>
      <c r="E135" t="s">
        <v>672</v>
      </c>
      <c r="F135" s="48">
        <v>43958</v>
      </c>
      <c r="G135" s="54">
        <v>150</v>
      </c>
      <c r="H135" s="49" t="s">
        <v>264</v>
      </c>
      <c r="I135" t="s">
        <v>195</v>
      </c>
      <c r="J135" t="s">
        <v>48</v>
      </c>
    </row>
    <row r="136" spans="1:10" x14ac:dyDescent="0.25">
      <c r="B136" s="48">
        <v>44532</v>
      </c>
      <c r="C136" s="17">
        <v>453.59</v>
      </c>
      <c r="D136" s="16" t="s">
        <v>118</v>
      </c>
      <c r="E136" t="s">
        <v>747</v>
      </c>
      <c r="F136" s="48">
        <v>43955</v>
      </c>
      <c r="G136" s="54">
        <v>32</v>
      </c>
      <c r="H136" s="49" t="s">
        <v>264</v>
      </c>
      <c r="I136" t="s">
        <v>195</v>
      </c>
      <c r="J136" t="s">
        <v>270</v>
      </c>
    </row>
    <row r="137" spans="1:10" x14ac:dyDescent="0.25">
      <c r="B137" s="48">
        <v>44533</v>
      </c>
      <c r="C137" s="17">
        <v>8980.51</v>
      </c>
      <c r="D137" s="16" t="s">
        <v>129</v>
      </c>
      <c r="E137" t="s">
        <v>749</v>
      </c>
      <c r="F137" s="48">
        <v>43978</v>
      </c>
      <c r="G137" s="54"/>
      <c r="H137" s="49" t="s">
        <v>264</v>
      </c>
      <c r="I137" t="s">
        <v>100</v>
      </c>
      <c r="J137" t="s">
        <v>196</v>
      </c>
    </row>
    <row r="138" spans="1:10" x14ac:dyDescent="0.25">
      <c r="B138" s="48">
        <v>44533</v>
      </c>
      <c r="C138" s="17">
        <v>4604.12</v>
      </c>
      <c r="D138" s="16" t="s">
        <v>129</v>
      </c>
      <c r="E138" t="s">
        <v>750</v>
      </c>
      <c r="F138" s="48">
        <v>43983</v>
      </c>
      <c r="G138" s="54"/>
      <c r="H138" s="49" t="s">
        <v>264</v>
      </c>
      <c r="I138" t="s">
        <v>100</v>
      </c>
      <c r="J138" t="s">
        <v>197</v>
      </c>
    </row>
    <row r="139" spans="1:10" x14ac:dyDescent="0.25">
      <c r="A139" s="10" t="s">
        <v>18</v>
      </c>
      <c r="B139" s="48"/>
      <c r="C139" s="17"/>
      <c r="D139" s="16"/>
      <c r="F139" s="48">
        <v>43984</v>
      </c>
      <c r="G139" s="54"/>
      <c r="H139" s="49" t="s">
        <v>264</v>
      </c>
      <c r="I139" t="s">
        <v>100</v>
      </c>
      <c r="J139" t="s">
        <v>48</v>
      </c>
    </row>
    <row r="140" spans="1:10" x14ac:dyDescent="0.25">
      <c r="A140" s="10" t="s">
        <v>18</v>
      </c>
      <c r="B140" s="48">
        <v>44569</v>
      </c>
      <c r="C140" s="17">
        <f>230*4</f>
        <v>920</v>
      </c>
      <c r="D140" s="16" t="s">
        <v>128</v>
      </c>
      <c r="E140" t="s">
        <v>775</v>
      </c>
      <c r="F140" s="48">
        <v>43991</v>
      </c>
      <c r="G140" s="54"/>
      <c r="H140" s="49" t="s">
        <v>264</v>
      </c>
      <c r="I140" t="s">
        <v>100</v>
      </c>
      <c r="J140" t="s">
        <v>196</v>
      </c>
    </row>
    <row r="141" spans="1:10" x14ac:dyDescent="0.25">
      <c r="A141" s="10" t="s">
        <v>18</v>
      </c>
      <c r="B141" s="48">
        <v>44569</v>
      </c>
      <c r="C141" s="17">
        <v>960</v>
      </c>
      <c r="D141" s="16" t="s">
        <v>128</v>
      </c>
      <c r="E141" t="s">
        <v>776</v>
      </c>
      <c r="F141" s="48">
        <v>43991</v>
      </c>
      <c r="G141" s="54"/>
      <c r="H141" s="49" t="s">
        <v>264</v>
      </c>
      <c r="I141" t="s">
        <v>100</v>
      </c>
      <c r="J141" t="s">
        <v>33</v>
      </c>
    </row>
    <row r="142" spans="1:10" x14ac:dyDescent="0.25">
      <c r="A142" s="10" t="s">
        <v>18</v>
      </c>
      <c r="B142" s="48">
        <v>44569</v>
      </c>
      <c r="C142" s="17">
        <f>4565-165+1655+143</f>
        <v>6198</v>
      </c>
      <c r="D142" s="16" t="s">
        <v>128</v>
      </c>
      <c r="E142" t="s">
        <v>779</v>
      </c>
      <c r="F142" s="48">
        <v>43998</v>
      </c>
      <c r="G142" s="54"/>
      <c r="H142" s="49" t="s">
        <v>264</v>
      </c>
      <c r="I142" t="s">
        <v>100</v>
      </c>
      <c r="J142" t="s">
        <v>198</v>
      </c>
    </row>
    <row r="143" spans="1:10" x14ac:dyDescent="0.25">
      <c r="B143" s="48">
        <v>44569</v>
      </c>
      <c r="C143" s="17">
        <v>1235</v>
      </c>
      <c r="D143" s="16" t="s">
        <v>128</v>
      </c>
      <c r="E143" t="s">
        <v>780</v>
      </c>
      <c r="F143" s="48">
        <v>43977</v>
      </c>
      <c r="G143" s="54"/>
      <c r="H143" s="49" t="s">
        <v>264</v>
      </c>
      <c r="I143" t="s">
        <v>100</v>
      </c>
      <c r="J143" t="s">
        <v>110</v>
      </c>
    </row>
    <row r="144" spans="1:10" x14ac:dyDescent="0.25">
      <c r="B144" s="48">
        <v>44569</v>
      </c>
      <c r="C144" s="17">
        <v>1500</v>
      </c>
      <c r="D144" s="16" t="s">
        <v>128</v>
      </c>
      <c r="E144" t="s">
        <v>781</v>
      </c>
      <c r="F144" s="48">
        <v>44036</v>
      </c>
      <c r="G144" s="54">
        <v>403.45</v>
      </c>
      <c r="H144" s="49" t="s">
        <v>264</v>
      </c>
      <c r="I144" t="s">
        <v>200</v>
      </c>
      <c r="J144" t="s">
        <v>33</v>
      </c>
    </row>
    <row r="145" spans="1:10" x14ac:dyDescent="0.25">
      <c r="B145" s="48">
        <v>44609</v>
      </c>
      <c r="C145" s="17">
        <v>7000</v>
      </c>
      <c r="D145" s="16" t="s">
        <v>128</v>
      </c>
      <c r="F145" s="48">
        <v>44036</v>
      </c>
      <c r="G145" s="54">
        <v>2500</v>
      </c>
      <c r="H145" s="49" t="s">
        <v>264</v>
      </c>
      <c r="I145" t="s">
        <v>200</v>
      </c>
      <c r="J145" t="s">
        <v>198</v>
      </c>
    </row>
    <row r="146" spans="1:10" x14ac:dyDescent="0.25">
      <c r="B146" s="48">
        <v>44593</v>
      </c>
      <c r="C146" s="17">
        <v>2000</v>
      </c>
      <c r="D146" s="16" t="s">
        <v>129</v>
      </c>
      <c r="E146" t="s">
        <v>794</v>
      </c>
      <c r="F146" s="48">
        <v>44023</v>
      </c>
      <c r="G146" s="54">
        <v>49.47</v>
      </c>
      <c r="H146" s="49" t="s">
        <v>264</v>
      </c>
      <c r="I146" t="s">
        <v>200</v>
      </c>
      <c r="J146" t="s">
        <v>196</v>
      </c>
    </row>
    <row r="147" spans="1:10" x14ac:dyDescent="0.25">
      <c r="B147" s="48">
        <v>44593</v>
      </c>
      <c r="C147" s="17">
        <v>700</v>
      </c>
      <c r="D147" s="16" t="s">
        <v>129</v>
      </c>
      <c r="E147" t="s">
        <v>551</v>
      </c>
      <c r="F147" s="48">
        <v>43998</v>
      </c>
      <c r="G147" s="54">
        <v>80.63</v>
      </c>
      <c r="H147" s="49" t="s">
        <v>264</v>
      </c>
      <c r="I147" t="s">
        <v>200</v>
      </c>
      <c r="J147" t="s">
        <v>196</v>
      </c>
    </row>
    <row r="148" spans="1:10" x14ac:dyDescent="0.25">
      <c r="A148"/>
      <c r="B148" s="48">
        <v>44626</v>
      </c>
      <c r="C148" s="17">
        <v>14267</v>
      </c>
      <c r="D148" s="16" t="s">
        <v>118</v>
      </c>
      <c r="E148" t="s">
        <v>827</v>
      </c>
      <c r="F148" s="48">
        <v>44036</v>
      </c>
      <c r="G148" s="54">
        <v>320</v>
      </c>
      <c r="H148" s="49" t="s">
        <v>264</v>
      </c>
      <c r="I148" t="s">
        <v>200</v>
      </c>
      <c r="J148" t="s">
        <v>110</v>
      </c>
    </row>
    <row r="149" spans="1:10" x14ac:dyDescent="0.25">
      <c r="A149"/>
      <c r="B149" s="48">
        <v>44732</v>
      </c>
      <c r="C149" s="17">
        <f>1876.58+1.61</f>
        <v>1878.1899999999998</v>
      </c>
      <c r="D149" s="16" t="s">
        <v>128</v>
      </c>
      <c r="E149" t="s">
        <v>853</v>
      </c>
      <c r="F149" s="48">
        <v>44015</v>
      </c>
      <c r="G149" s="54"/>
      <c r="H149" s="49" t="s">
        <v>264</v>
      </c>
      <c r="I149" t="s">
        <v>201</v>
      </c>
      <c r="J149" t="s">
        <v>196</v>
      </c>
    </row>
    <row r="150" spans="1:10" x14ac:dyDescent="0.25">
      <c r="A150"/>
      <c r="B150" s="48">
        <v>44733</v>
      </c>
      <c r="C150" s="17">
        <v>800</v>
      </c>
      <c r="D150" s="16" t="s">
        <v>128</v>
      </c>
      <c r="F150" s="48">
        <v>44015</v>
      </c>
      <c r="G150" s="54"/>
      <c r="H150" s="49" t="s">
        <v>264</v>
      </c>
      <c r="I150" t="s">
        <v>201</v>
      </c>
      <c r="J150" t="s">
        <v>104</v>
      </c>
    </row>
    <row r="151" spans="1:10" x14ac:dyDescent="0.25">
      <c r="A151"/>
      <c r="B151" s="48">
        <v>44840</v>
      </c>
      <c r="C151" s="17">
        <v>950</v>
      </c>
      <c r="D151" s="16" t="s">
        <v>129</v>
      </c>
      <c r="E151" t="s">
        <v>902</v>
      </c>
      <c r="F151" s="48">
        <v>44023</v>
      </c>
      <c r="G151" s="54"/>
      <c r="H151" s="49" t="s">
        <v>264</v>
      </c>
      <c r="I151" t="s">
        <v>201</v>
      </c>
      <c r="J151" t="s">
        <v>48</v>
      </c>
    </row>
    <row r="152" spans="1:10" ht="15" customHeight="1" x14ac:dyDescent="0.25">
      <c r="A152"/>
      <c r="B152" s="48">
        <v>44855</v>
      </c>
      <c r="C152" s="17">
        <v>750</v>
      </c>
      <c r="D152" s="16" t="s">
        <v>128</v>
      </c>
      <c r="F152" s="48">
        <v>44023</v>
      </c>
      <c r="G152" s="54"/>
      <c r="H152" s="49" t="s">
        <v>264</v>
      </c>
      <c r="I152" t="s">
        <v>201</v>
      </c>
      <c r="J152" t="s">
        <v>196</v>
      </c>
    </row>
    <row r="153" spans="1:10" ht="15" customHeight="1" x14ac:dyDescent="0.25">
      <c r="A153"/>
      <c r="B153" s="48">
        <v>44860</v>
      </c>
      <c r="C153" s="17">
        <f>2750+2000+4257+698+2500+2000+1000+2500+1000+1100+3000+2000+2000+145+300</f>
        <v>27250</v>
      </c>
      <c r="D153" s="16" t="s">
        <v>128</v>
      </c>
      <c r="F153" s="48">
        <v>44041</v>
      </c>
      <c r="G153" s="54"/>
      <c r="H153" s="49" t="s">
        <v>264</v>
      </c>
      <c r="I153" t="s">
        <v>201</v>
      </c>
      <c r="J153" t="s">
        <v>33</v>
      </c>
    </row>
    <row r="154" spans="1:10" ht="15" customHeight="1" x14ac:dyDescent="0.25">
      <c r="A154"/>
      <c r="B154" s="48">
        <v>44886</v>
      </c>
      <c r="C154" s="17">
        <v>5000</v>
      </c>
      <c r="D154" s="16" t="s">
        <v>128</v>
      </c>
      <c r="F154" s="48">
        <v>44036</v>
      </c>
      <c r="G154" s="54">
        <v>70.680000000000007</v>
      </c>
      <c r="H154" s="49" t="s">
        <v>264</v>
      </c>
      <c r="I154" t="s">
        <v>445</v>
      </c>
      <c r="J154" t="s">
        <v>196</v>
      </c>
    </row>
    <row r="155" spans="1:10" ht="15" customHeight="1" x14ac:dyDescent="0.25">
      <c r="A155"/>
      <c r="B155" s="48">
        <v>44942</v>
      </c>
      <c r="C155" s="17">
        <f>6000+2130+1200+690+2750</f>
        <v>12770</v>
      </c>
      <c r="D155" s="16" t="s">
        <v>129</v>
      </c>
      <c r="F155" s="48">
        <v>44047</v>
      </c>
      <c r="G155" s="54">
        <v>800</v>
      </c>
      <c r="H155" s="49" t="s">
        <v>264</v>
      </c>
      <c r="I155" t="s">
        <v>445</v>
      </c>
      <c r="J155" t="s">
        <v>48</v>
      </c>
    </row>
    <row r="156" spans="1:10" ht="15" customHeight="1" x14ac:dyDescent="0.25">
      <c r="A156"/>
      <c r="B156" s="48">
        <v>44942</v>
      </c>
      <c r="C156" s="17">
        <v>622.33000000000004</v>
      </c>
      <c r="D156" s="16" t="s">
        <v>129</v>
      </c>
      <c r="E156" t="s">
        <v>974</v>
      </c>
      <c r="F156" s="48">
        <v>44047</v>
      </c>
      <c r="G156" s="54">
        <v>49.47</v>
      </c>
      <c r="H156" s="49" t="s">
        <v>264</v>
      </c>
      <c r="I156" t="s">
        <v>445</v>
      </c>
      <c r="J156" t="s">
        <v>196</v>
      </c>
    </row>
    <row r="157" spans="1:10" ht="15" customHeight="1" x14ac:dyDescent="0.25">
      <c r="A157"/>
      <c r="B157" s="48">
        <v>44942</v>
      </c>
      <c r="C157" s="17">
        <v>250</v>
      </c>
      <c r="D157" s="16" t="s">
        <v>128</v>
      </c>
      <c r="E157" t="s">
        <v>975</v>
      </c>
      <c r="F157" s="48">
        <v>44053</v>
      </c>
      <c r="G157" s="54">
        <v>300</v>
      </c>
      <c r="H157" s="49" t="s">
        <v>264</v>
      </c>
      <c r="I157" t="s">
        <v>445</v>
      </c>
      <c r="J157" t="s">
        <v>101</v>
      </c>
    </row>
    <row r="158" spans="1:10" ht="15" customHeight="1" x14ac:dyDescent="0.25">
      <c r="A158"/>
      <c r="B158" s="48">
        <v>44990</v>
      </c>
      <c r="C158" s="17">
        <v>300</v>
      </c>
      <c r="D158" s="16" t="s">
        <v>129</v>
      </c>
      <c r="E158" t="s">
        <v>1002</v>
      </c>
      <c r="F158" s="48">
        <v>44056</v>
      </c>
      <c r="G158" s="54">
        <v>361.45</v>
      </c>
      <c r="H158" s="49" t="s">
        <v>264</v>
      </c>
      <c r="I158" t="s">
        <v>445</v>
      </c>
      <c r="J158" t="s">
        <v>33</v>
      </c>
    </row>
    <row r="159" spans="1:10" ht="15" customHeight="1" x14ac:dyDescent="0.25">
      <c r="A159"/>
      <c r="B159" s="48">
        <v>45043</v>
      </c>
      <c r="C159" s="17">
        <v>4895</v>
      </c>
      <c r="D159" s="16" t="s">
        <v>129</v>
      </c>
      <c r="E159" t="s">
        <v>544</v>
      </c>
      <c r="F159" s="48">
        <v>44053</v>
      </c>
      <c r="G159" s="54">
        <v>300</v>
      </c>
      <c r="H159" s="49" t="s">
        <v>264</v>
      </c>
      <c r="I159" t="s">
        <v>497</v>
      </c>
      <c r="J159" t="s">
        <v>110</v>
      </c>
    </row>
    <row r="160" spans="1:10" ht="15" customHeight="1" x14ac:dyDescent="0.25">
      <c r="A160"/>
      <c r="B160" s="16">
        <v>45030</v>
      </c>
      <c r="C160" s="17">
        <v>200</v>
      </c>
      <c r="D160" s="16" t="s">
        <v>128</v>
      </c>
      <c r="E160" t="s">
        <v>997</v>
      </c>
      <c r="F160" s="48">
        <v>44053</v>
      </c>
      <c r="G160" s="54">
        <v>4500</v>
      </c>
      <c r="H160" s="49" t="s">
        <v>264</v>
      </c>
      <c r="I160" t="s">
        <v>538</v>
      </c>
      <c r="J160" t="s">
        <v>198</v>
      </c>
    </row>
    <row r="161" spans="1:10" ht="15" customHeight="1" x14ac:dyDescent="0.25">
      <c r="A161"/>
      <c r="B161" s="16">
        <v>45051</v>
      </c>
      <c r="C161" s="17">
        <v>25</v>
      </c>
      <c r="D161" s="16" t="s">
        <v>129</v>
      </c>
      <c r="F161" s="48">
        <v>43978</v>
      </c>
      <c r="G161" s="54">
        <v>2</v>
      </c>
      <c r="H161" s="49" t="s">
        <v>264</v>
      </c>
      <c r="I161" t="s">
        <v>538</v>
      </c>
      <c r="J161" t="s">
        <v>57</v>
      </c>
    </row>
    <row r="162" spans="1:10" ht="15" customHeight="1" x14ac:dyDescent="0.25">
      <c r="A162"/>
      <c r="B162" s="16">
        <v>45058</v>
      </c>
      <c r="C162" s="17">
        <v>1350</v>
      </c>
      <c r="D162" s="16" t="s">
        <v>128</v>
      </c>
      <c r="E162" t="s">
        <v>1034</v>
      </c>
      <c r="F162" s="48">
        <v>43980</v>
      </c>
      <c r="G162" s="54">
        <v>120</v>
      </c>
      <c r="H162" s="49" t="s">
        <v>264</v>
      </c>
      <c r="I162" t="s">
        <v>538</v>
      </c>
      <c r="J162" t="s">
        <v>104</v>
      </c>
    </row>
    <row r="163" spans="1:10" ht="15" customHeight="1" x14ac:dyDescent="0.25">
      <c r="A163"/>
      <c r="B163" s="16">
        <v>45044</v>
      </c>
      <c r="C163" s="17">
        <v>5500</v>
      </c>
      <c r="D163" s="16" t="s">
        <v>128</v>
      </c>
      <c r="E163" t="s">
        <v>1017</v>
      </c>
      <c r="F163" s="48">
        <v>44079</v>
      </c>
      <c r="G163" s="17">
        <v>500</v>
      </c>
      <c r="H163" s="49" t="s">
        <v>263</v>
      </c>
    </row>
    <row r="164" spans="1:10" ht="15" customHeight="1" x14ac:dyDescent="0.25">
      <c r="A164"/>
      <c r="F164" s="72">
        <v>44081</v>
      </c>
      <c r="G164" s="17">
        <v>8.91</v>
      </c>
      <c r="H164" s="49" t="s">
        <v>22</v>
      </c>
      <c r="I164" t="s">
        <v>58</v>
      </c>
    </row>
    <row r="165" spans="1:10" ht="15" customHeight="1" x14ac:dyDescent="0.25">
      <c r="A165"/>
      <c r="F165" s="72">
        <v>44082</v>
      </c>
      <c r="G165" s="17">
        <v>2000</v>
      </c>
      <c r="H165" s="49" t="s">
        <v>263</v>
      </c>
    </row>
    <row r="166" spans="1:10" ht="15" customHeight="1" x14ac:dyDescent="0.25">
      <c r="A166"/>
      <c r="F166" s="72">
        <v>44082</v>
      </c>
      <c r="G166" s="17">
        <v>1.35</v>
      </c>
      <c r="H166" s="49" t="s">
        <v>36</v>
      </c>
    </row>
    <row r="167" spans="1:10" ht="15" customHeight="1" x14ac:dyDescent="0.25">
      <c r="A167"/>
      <c r="F167" s="72">
        <v>44081</v>
      </c>
      <c r="G167">
        <v>0.99</v>
      </c>
      <c r="H167" t="s">
        <v>22</v>
      </c>
    </row>
    <row r="168" spans="1:10" ht="15" customHeight="1" x14ac:dyDescent="0.25">
      <c r="A168"/>
      <c r="F168" s="72">
        <v>43980</v>
      </c>
      <c r="G168" s="17">
        <v>107.78</v>
      </c>
      <c r="H168" s="49" t="s">
        <v>43</v>
      </c>
    </row>
    <row r="169" spans="1:10" ht="15" customHeight="1" x14ac:dyDescent="0.25">
      <c r="A169"/>
      <c r="F169" s="67">
        <v>43812</v>
      </c>
      <c r="G169" s="77">
        <v>155.06</v>
      </c>
      <c r="H169" s="78" t="s">
        <v>43</v>
      </c>
      <c r="I169" s="14" t="s">
        <v>17</v>
      </c>
      <c r="J169" s="14" t="s">
        <v>137</v>
      </c>
    </row>
    <row r="170" spans="1:10" ht="15" customHeight="1" x14ac:dyDescent="0.25">
      <c r="A170"/>
      <c r="F170" s="67">
        <v>43775</v>
      </c>
      <c r="G170" s="77">
        <v>52.8</v>
      </c>
      <c r="H170" s="14" t="s">
        <v>43</v>
      </c>
      <c r="I170" s="14" t="s">
        <v>98</v>
      </c>
      <c r="J170" s="14" t="s">
        <v>159</v>
      </c>
    </row>
    <row r="171" spans="1:10" ht="15" customHeight="1" x14ac:dyDescent="0.25">
      <c r="A171"/>
      <c r="F171" s="67">
        <v>43882</v>
      </c>
      <c r="G171" s="77">
        <v>103.35</v>
      </c>
      <c r="H171" s="14" t="s">
        <v>43</v>
      </c>
      <c r="I171" s="14" t="s">
        <v>16</v>
      </c>
      <c r="J171" s="14" t="s">
        <v>151</v>
      </c>
    </row>
    <row r="172" spans="1:10" ht="15" customHeight="1" x14ac:dyDescent="0.25">
      <c r="A172"/>
      <c r="F172" s="67">
        <v>44022</v>
      </c>
      <c r="G172" s="77">
        <v>198.52</v>
      </c>
      <c r="H172" s="14" t="s">
        <v>43</v>
      </c>
      <c r="I172" s="14" t="s">
        <v>235</v>
      </c>
      <c r="J172" s="14"/>
    </row>
    <row r="173" spans="1:10" ht="15" customHeight="1" x14ac:dyDescent="0.25">
      <c r="A173"/>
      <c r="F173" s="67">
        <v>43829</v>
      </c>
      <c r="G173" s="77">
        <v>192.76</v>
      </c>
      <c r="H173" s="14" t="s">
        <v>43</v>
      </c>
      <c r="I173" s="14" t="s">
        <v>16</v>
      </c>
      <c r="J173" s="14"/>
    </row>
    <row r="174" spans="1:10" ht="15" customHeight="1" x14ac:dyDescent="0.25">
      <c r="A174"/>
      <c r="F174" s="67">
        <v>43843</v>
      </c>
      <c r="G174" s="77">
        <v>176.4</v>
      </c>
      <c r="H174" s="14" t="s">
        <v>43</v>
      </c>
      <c r="I174" s="14" t="s">
        <v>16</v>
      </c>
      <c r="J174" s="14"/>
    </row>
    <row r="175" spans="1:10" ht="15" customHeight="1" x14ac:dyDescent="0.25">
      <c r="A175"/>
      <c r="F175" s="67">
        <v>43909</v>
      </c>
      <c r="G175" s="77">
        <v>198.52</v>
      </c>
      <c r="H175" s="14" t="s">
        <v>43</v>
      </c>
      <c r="I175" s="14" t="s">
        <v>20</v>
      </c>
      <c r="J175" s="14"/>
    </row>
    <row r="176" spans="1:10" ht="15" customHeight="1" x14ac:dyDescent="0.25">
      <c r="A176"/>
      <c r="F176" s="67">
        <v>43922</v>
      </c>
      <c r="G176" s="77">
        <v>212.34</v>
      </c>
      <c r="H176" s="78" t="s">
        <v>43</v>
      </c>
      <c r="I176" s="14" t="s">
        <v>20</v>
      </c>
      <c r="J176" s="14"/>
    </row>
    <row r="177" spans="1:10" ht="15" customHeight="1" x14ac:dyDescent="0.25">
      <c r="A177"/>
      <c r="F177" s="67">
        <v>43942</v>
      </c>
      <c r="G177" s="77">
        <v>98.22</v>
      </c>
      <c r="H177" s="78" t="s">
        <v>43</v>
      </c>
      <c r="I177" s="14" t="s">
        <v>16</v>
      </c>
      <c r="J177" s="14"/>
    </row>
    <row r="178" spans="1:10" ht="15" customHeight="1" x14ac:dyDescent="0.25">
      <c r="A178"/>
      <c r="F178" s="67">
        <v>43810</v>
      </c>
      <c r="G178" s="77">
        <v>155.96</v>
      </c>
      <c r="H178" s="78" t="s">
        <v>43</v>
      </c>
      <c r="I178" s="78" t="s">
        <v>16</v>
      </c>
      <c r="J178" s="14"/>
    </row>
    <row r="179" spans="1:10" ht="15" customHeight="1" x14ac:dyDescent="0.25">
      <c r="A179"/>
      <c r="B179" s="16"/>
      <c r="F179" s="67">
        <v>44035</v>
      </c>
      <c r="G179" s="77">
        <v>198.52</v>
      </c>
      <c r="H179" s="78" t="s">
        <v>43</v>
      </c>
      <c r="I179" s="78" t="s">
        <v>20</v>
      </c>
      <c r="J179" s="14"/>
    </row>
    <row r="180" spans="1:10" ht="15" customHeight="1" x14ac:dyDescent="0.25">
      <c r="A180"/>
      <c r="F180" s="48">
        <v>44086</v>
      </c>
      <c r="G180" s="54">
        <v>25</v>
      </c>
      <c r="H180" s="49" t="s">
        <v>97</v>
      </c>
    </row>
    <row r="181" spans="1:10" ht="15" customHeight="1" x14ac:dyDescent="0.25">
      <c r="A181"/>
      <c r="F181" s="48">
        <v>44088</v>
      </c>
      <c r="G181" s="54">
        <v>0.99</v>
      </c>
      <c r="H181" s="49" t="s">
        <v>22</v>
      </c>
    </row>
    <row r="182" spans="1:10" ht="15" customHeight="1" x14ac:dyDescent="0.25">
      <c r="A182"/>
      <c r="F182" s="48">
        <v>44089</v>
      </c>
      <c r="G182" s="54">
        <v>1000</v>
      </c>
      <c r="H182" s="49" t="s">
        <v>263</v>
      </c>
    </row>
    <row r="183" spans="1:10" ht="15" customHeight="1" x14ac:dyDescent="0.25">
      <c r="A183"/>
      <c r="F183" s="48">
        <v>44088</v>
      </c>
      <c r="G183" s="54">
        <v>256.64</v>
      </c>
      <c r="H183" s="49" t="s">
        <v>121</v>
      </c>
      <c r="I183" t="s">
        <v>30</v>
      </c>
    </row>
    <row r="184" spans="1:10" ht="15" customHeight="1" x14ac:dyDescent="0.25">
      <c r="A184"/>
      <c r="F184" s="48">
        <v>44092</v>
      </c>
      <c r="G184" s="54">
        <v>8</v>
      </c>
      <c r="H184" s="49" t="s">
        <v>43</v>
      </c>
    </row>
    <row r="185" spans="1:10" ht="15" customHeight="1" x14ac:dyDescent="0.25">
      <c r="A185"/>
      <c r="F185" s="48">
        <v>44096</v>
      </c>
      <c r="G185" s="54">
        <v>7000</v>
      </c>
      <c r="H185" s="49" t="s">
        <v>263</v>
      </c>
    </row>
    <row r="186" spans="1:10" ht="15" customHeight="1" x14ac:dyDescent="0.25">
      <c r="A186"/>
      <c r="F186" s="48">
        <v>44095</v>
      </c>
      <c r="G186" s="54">
        <v>0.99</v>
      </c>
      <c r="H186" s="49" t="s">
        <v>22</v>
      </c>
    </row>
    <row r="187" spans="1:10" ht="15" customHeight="1" x14ac:dyDescent="0.25">
      <c r="A187"/>
      <c r="F187" s="48">
        <v>44103</v>
      </c>
      <c r="G187" s="54">
        <v>31.5</v>
      </c>
      <c r="H187" s="49" t="s">
        <v>36</v>
      </c>
      <c r="I187" t="s">
        <v>423</v>
      </c>
    </row>
    <row r="188" spans="1:10" ht="15" customHeight="1" x14ac:dyDescent="0.25">
      <c r="A188"/>
      <c r="F188" s="48">
        <v>44102</v>
      </c>
      <c r="G188" s="54">
        <v>0.99</v>
      </c>
      <c r="H188" s="49" t="s">
        <v>22</v>
      </c>
    </row>
    <row r="189" spans="1:10" ht="15" customHeight="1" x14ac:dyDescent="0.25">
      <c r="A189"/>
      <c r="F189" s="48">
        <v>44104</v>
      </c>
      <c r="G189" s="54">
        <v>88</v>
      </c>
      <c r="H189" s="49" t="s">
        <v>264</v>
      </c>
      <c r="I189" t="s">
        <v>497</v>
      </c>
    </row>
    <row r="190" spans="1:10" ht="15" customHeight="1" x14ac:dyDescent="0.25">
      <c r="A190"/>
      <c r="F190" s="48">
        <v>44105</v>
      </c>
      <c r="G190" s="54">
        <v>3</v>
      </c>
      <c r="H190" s="49" t="s">
        <v>22</v>
      </c>
    </row>
    <row r="191" spans="1:10" ht="15" customHeight="1" x14ac:dyDescent="0.25">
      <c r="A191"/>
      <c r="F191" s="48">
        <v>44105</v>
      </c>
      <c r="G191" s="54">
        <v>850</v>
      </c>
      <c r="H191" s="49" t="s">
        <v>263</v>
      </c>
    </row>
    <row r="192" spans="1:10" ht="15" customHeight="1" x14ac:dyDescent="0.25">
      <c r="A192"/>
      <c r="F192" s="48">
        <v>44105</v>
      </c>
      <c r="G192" s="54">
        <v>935</v>
      </c>
      <c r="H192" s="49" t="s">
        <v>263</v>
      </c>
    </row>
    <row r="193" spans="1:9" ht="15" customHeight="1" x14ac:dyDescent="0.25">
      <c r="A193"/>
      <c r="F193" s="48">
        <v>44109</v>
      </c>
      <c r="G193" s="54">
        <v>700</v>
      </c>
      <c r="H193" s="49" t="s">
        <v>263</v>
      </c>
    </row>
    <row r="194" spans="1:9" ht="15" customHeight="1" x14ac:dyDescent="0.25">
      <c r="A194"/>
      <c r="F194" s="48">
        <v>44109</v>
      </c>
      <c r="G194" s="54">
        <v>300</v>
      </c>
      <c r="H194" s="49" t="s">
        <v>263</v>
      </c>
    </row>
    <row r="195" spans="1:9" ht="15" customHeight="1" x14ac:dyDescent="0.25">
      <c r="A195"/>
      <c r="F195" s="48">
        <v>44109</v>
      </c>
      <c r="G195" s="54">
        <v>0.99</v>
      </c>
      <c r="H195" s="49" t="s">
        <v>22</v>
      </c>
    </row>
    <row r="196" spans="1:9" ht="15" customHeight="1" x14ac:dyDescent="0.25">
      <c r="A196"/>
      <c r="F196" s="48">
        <v>44110</v>
      </c>
      <c r="G196" s="54">
        <v>100</v>
      </c>
      <c r="H196" s="49" t="s">
        <v>263</v>
      </c>
    </row>
    <row r="197" spans="1:9" ht="15" customHeight="1" x14ac:dyDescent="0.25">
      <c r="A197"/>
      <c r="F197" s="48">
        <v>44110</v>
      </c>
      <c r="G197" s="54">
        <v>100</v>
      </c>
      <c r="H197" s="49" t="s">
        <v>263</v>
      </c>
    </row>
    <row r="198" spans="1:9" ht="15" customHeight="1" x14ac:dyDescent="0.25">
      <c r="A198"/>
      <c r="F198" s="48">
        <v>44111</v>
      </c>
      <c r="G198" s="54">
        <v>200</v>
      </c>
      <c r="H198" s="49" t="s">
        <v>263</v>
      </c>
    </row>
    <row r="199" spans="1:9" ht="15" customHeight="1" x14ac:dyDescent="0.25">
      <c r="A199"/>
      <c r="F199" s="48">
        <v>44112</v>
      </c>
      <c r="G199" s="54">
        <v>1.35</v>
      </c>
      <c r="H199" s="49" t="s">
        <v>36</v>
      </c>
    </row>
    <row r="200" spans="1:9" ht="15" customHeight="1" x14ac:dyDescent="0.25">
      <c r="A200"/>
      <c r="F200" s="48">
        <v>44112</v>
      </c>
      <c r="G200" s="54">
        <v>1200</v>
      </c>
      <c r="H200" s="49" t="s">
        <v>263</v>
      </c>
    </row>
    <row r="201" spans="1:9" ht="15" customHeight="1" x14ac:dyDescent="0.25">
      <c r="A201"/>
      <c r="F201" s="48">
        <v>44112</v>
      </c>
      <c r="G201" s="54">
        <v>500</v>
      </c>
      <c r="H201" s="49" t="s">
        <v>261</v>
      </c>
    </row>
    <row r="202" spans="1:9" ht="15" customHeight="1" x14ac:dyDescent="0.25">
      <c r="A202"/>
      <c r="F202" s="48">
        <v>44116</v>
      </c>
      <c r="G202" s="54">
        <v>200</v>
      </c>
      <c r="H202" s="49" t="s">
        <v>263</v>
      </c>
    </row>
    <row r="203" spans="1:9" ht="15" customHeight="1" x14ac:dyDescent="0.25">
      <c r="A203"/>
      <c r="F203" s="48">
        <v>44116</v>
      </c>
      <c r="G203" s="54">
        <v>0.99</v>
      </c>
      <c r="H203" s="49" t="s">
        <v>22</v>
      </c>
    </row>
    <row r="204" spans="1:9" ht="15" customHeight="1" x14ac:dyDescent="0.25">
      <c r="A204"/>
      <c r="F204" s="48">
        <v>44118</v>
      </c>
      <c r="G204" s="54">
        <v>25</v>
      </c>
      <c r="H204" s="49" t="s">
        <v>97</v>
      </c>
    </row>
    <row r="205" spans="1:9" ht="15" customHeight="1" x14ac:dyDescent="0.25">
      <c r="A205"/>
      <c r="F205" s="48">
        <v>44118</v>
      </c>
      <c r="G205" s="54">
        <v>600</v>
      </c>
      <c r="H205" s="49" t="s">
        <v>263</v>
      </c>
    </row>
    <row r="206" spans="1:9" ht="15" customHeight="1" x14ac:dyDescent="0.25">
      <c r="A206"/>
      <c r="F206" s="48">
        <v>44118</v>
      </c>
      <c r="G206" s="54">
        <v>256.64</v>
      </c>
      <c r="H206" s="49" t="s">
        <v>121</v>
      </c>
      <c r="I206" t="s">
        <v>30</v>
      </c>
    </row>
    <row r="207" spans="1:9" ht="15" customHeight="1" x14ac:dyDescent="0.25">
      <c r="A207"/>
      <c r="F207" s="48">
        <v>44119</v>
      </c>
      <c r="G207" s="54">
        <v>2</v>
      </c>
      <c r="H207" s="49" t="s">
        <v>43</v>
      </c>
      <c r="I207" t="s">
        <v>57</v>
      </c>
    </row>
    <row r="208" spans="1:9" ht="15" customHeight="1" x14ac:dyDescent="0.25">
      <c r="A208"/>
      <c r="F208" s="48">
        <v>44119</v>
      </c>
      <c r="G208" s="54">
        <v>300</v>
      </c>
      <c r="H208" s="49" t="s">
        <v>263</v>
      </c>
    </row>
    <row r="209" spans="1:9" ht="15" customHeight="1" x14ac:dyDescent="0.25">
      <c r="A209"/>
      <c r="F209" s="48">
        <v>44124</v>
      </c>
      <c r="G209" s="54">
        <v>500</v>
      </c>
      <c r="H209" s="49" t="s">
        <v>263</v>
      </c>
    </row>
    <row r="210" spans="1:9" ht="15" customHeight="1" x14ac:dyDescent="0.25">
      <c r="A210"/>
      <c r="F210" s="48">
        <v>44124</v>
      </c>
      <c r="G210" s="54">
        <v>1000</v>
      </c>
      <c r="H210" s="49" t="s">
        <v>261</v>
      </c>
    </row>
    <row r="211" spans="1:9" ht="15" customHeight="1" x14ac:dyDescent="0.25">
      <c r="A211"/>
      <c r="F211" s="48">
        <v>44126</v>
      </c>
      <c r="G211" s="54">
        <v>4.99</v>
      </c>
      <c r="H211" s="49" t="s">
        <v>46</v>
      </c>
      <c r="I211" t="s">
        <v>47</v>
      </c>
    </row>
    <row r="212" spans="1:9" ht="15" customHeight="1" x14ac:dyDescent="0.25">
      <c r="A212"/>
      <c r="F212" s="48">
        <v>44126</v>
      </c>
      <c r="G212" s="54">
        <v>66</v>
      </c>
      <c r="H212" s="49" t="s">
        <v>46</v>
      </c>
      <c r="I212" t="s">
        <v>47</v>
      </c>
    </row>
    <row r="213" spans="1:9" ht="15" customHeight="1" x14ac:dyDescent="0.25">
      <c r="A213"/>
      <c r="F213" s="48">
        <v>44126</v>
      </c>
      <c r="G213" s="54"/>
      <c r="H213" s="49" t="s">
        <v>264</v>
      </c>
      <c r="I213" t="s">
        <v>439</v>
      </c>
    </row>
    <row r="214" spans="1:9" ht="15" customHeight="1" x14ac:dyDescent="0.25">
      <c r="A214"/>
      <c r="F214" s="48">
        <v>44117</v>
      </c>
      <c r="G214" s="54">
        <v>0.99</v>
      </c>
      <c r="H214" s="49" t="s">
        <v>22</v>
      </c>
    </row>
    <row r="215" spans="1:9" ht="15" customHeight="1" x14ac:dyDescent="0.25">
      <c r="A215"/>
      <c r="F215" s="48">
        <v>44130</v>
      </c>
      <c r="G215" s="54">
        <v>0.99</v>
      </c>
      <c r="H215" s="49" t="s">
        <v>22</v>
      </c>
    </row>
    <row r="216" spans="1:9" ht="15" customHeight="1" x14ac:dyDescent="0.25">
      <c r="A216"/>
      <c r="F216" s="48">
        <v>44131</v>
      </c>
      <c r="G216" s="54">
        <v>100</v>
      </c>
      <c r="H216" s="49" t="s">
        <v>261</v>
      </c>
    </row>
    <row r="217" spans="1:9" ht="15" customHeight="1" x14ac:dyDescent="0.25">
      <c r="A217"/>
      <c r="F217" s="48">
        <v>44132</v>
      </c>
      <c r="G217" s="54">
        <v>471</v>
      </c>
      <c r="H217" s="49" t="s">
        <v>264</v>
      </c>
      <c r="I217" t="s">
        <v>538</v>
      </c>
    </row>
    <row r="218" spans="1:9" ht="15" customHeight="1" x14ac:dyDescent="0.25">
      <c r="A218"/>
      <c r="F218" s="48">
        <v>44106</v>
      </c>
      <c r="G218" s="54">
        <f>100+75+20</f>
        <v>195</v>
      </c>
      <c r="H218" s="49" t="s">
        <v>263</v>
      </c>
    </row>
    <row r="219" spans="1:9" ht="15" customHeight="1" x14ac:dyDescent="0.25">
      <c r="A219"/>
      <c r="F219" s="48">
        <v>44106</v>
      </c>
      <c r="G219" s="54">
        <v>0.99</v>
      </c>
      <c r="H219" s="49" t="s">
        <v>22</v>
      </c>
    </row>
    <row r="220" spans="1:9" ht="15" customHeight="1" x14ac:dyDescent="0.25">
      <c r="A220"/>
      <c r="F220" s="48">
        <v>44125</v>
      </c>
      <c r="G220" s="54"/>
      <c r="H220" s="49" t="s">
        <v>264</v>
      </c>
      <c r="I220" t="s">
        <v>439</v>
      </c>
    </row>
    <row r="221" spans="1:9" ht="15" customHeight="1" x14ac:dyDescent="0.25">
      <c r="A221"/>
      <c r="F221" s="48">
        <v>44098</v>
      </c>
      <c r="G221" s="54">
        <v>6567</v>
      </c>
      <c r="H221" s="49" t="s">
        <v>36</v>
      </c>
    </row>
    <row r="222" spans="1:9" ht="15" customHeight="1" x14ac:dyDescent="0.25">
      <c r="A222"/>
      <c r="F222" s="48">
        <v>44124</v>
      </c>
      <c r="G222" s="54">
        <v>2270</v>
      </c>
      <c r="H222" s="49" t="s">
        <v>122</v>
      </c>
      <c r="I222" t="s">
        <v>538</v>
      </c>
    </row>
    <row r="223" spans="1:9" ht="15" customHeight="1" x14ac:dyDescent="0.25">
      <c r="A223"/>
      <c r="F223" s="48">
        <v>44140</v>
      </c>
      <c r="G223" s="54">
        <v>188.01</v>
      </c>
      <c r="H223" s="49" t="s">
        <v>43</v>
      </c>
      <c r="I223" s="21" t="s">
        <v>16</v>
      </c>
    </row>
    <row r="224" spans="1:9" ht="15" customHeight="1" x14ac:dyDescent="0.25">
      <c r="A224"/>
      <c r="F224" s="48">
        <v>44141</v>
      </c>
      <c r="G224" s="54">
        <v>7.79</v>
      </c>
      <c r="H224" s="49" t="s">
        <v>22</v>
      </c>
      <c r="I224" t="s">
        <v>58</v>
      </c>
    </row>
    <row r="225" spans="1:10" ht="15" customHeight="1" x14ac:dyDescent="0.25">
      <c r="A225"/>
      <c r="F225" s="48">
        <v>44142</v>
      </c>
      <c r="G225" s="54">
        <v>297.97000000000003</v>
      </c>
      <c r="H225" s="49" t="s">
        <v>43</v>
      </c>
      <c r="I225" s="21" t="s">
        <v>452</v>
      </c>
    </row>
    <row r="226" spans="1:10" ht="15" customHeight="1" x14ac:dyDescent="0.25">
      <c r="A226"/>
      <c r="F226" s="48">
        <v>44142</v>
      </c>
      <c r="G226" s="54">
        <v>8.94</v>
      </c>
      <c r="H226" s="49" t="s">
        <v>43</v>
      </c>
      <c r="I226" s="21" t="s">
        <v>452</v>
      </c>
    </row>
    <row r="227" spans="1:10" ht="15" customHeight="1" x14ac:dyDescent="0.25">
      <c r="A227"/>
      <c r="F227" s="48">
        <v>44144</v>
      </c>
      <c r="G227" s="54">
        <v>0.99</v>
      </c>
      <c r="H227" s="49" t="s">
        <v>22</v>
      </c>
      <c r="I227" t="s">
        <v>58</v>
      </c>
    </row>
    <row r="228" spans="1:10" ht="15" customHeight="1" x14ac:dyDescent="0.25">
      <c r="A228"/>
      <c r="F228" s="48">
        <v>44144</v>
      </c>
      <c r="G228" s="54">
        <v>1000</v>
      </c>
      <c r="H228" s="49" t="s">
        <v>263</v>
      </c>
    </row>
    <row r="229" spans="1:10" ht="15" customHeight="1" x14ac:dyDescent="0.25">
      <c r="A229"/>
      <c r="F229" s="48">
        <v>44145</v>
      </c>
      <c r="G229" s="54">
        <v>109.3</v>
      </c>
      <c r="H229" s="49" t="s">
        <v>43</v>
      </c>
      <c r="I229" t="s">
        <v>453</v>
      </c>
    </row>
    <row r="230" spans="1:10" ht="15" customHeight="1" x14ac:dyDescent="0.25">
      <c r="A230"/>
      <c r="F230" s="48">
        <v>44145</v>
      </c>
      <c r="G230" s="54">
        <v>147</v>
      </c>
      <c r="H230" s="49" t="s">
        <v>43</v>
      </c>
      <c r="I230" s="21" t="s">
        <v>452</v>
      </c>
    </row>
    <row r="231" spans="1:10" ht="15" customHeight="1" x14ac:dyDescent="0.25">
      <c r="A231"/>
      <c r="F231" s="48">
        <v>44145</v>
      </c>
      <c r="G231" s="54">
        <v>4.41</v>
      </c>
      <c r="H231" s="49" t="s">
        <v>43</v>
      </c>
      <c r="I231" s="21" t="s">
        <v>452</v>
      </c>
    </row>
    <row r="232" spans="1:10" ht="15" customHeight="1" x14ac:dyDescent="0.25">
      <c r="A232"/>
      <c r="F232" s="48">
        <v>44145</v>
      </c>
      <c r="G232" s="54">
        <v>9.9</v>
      </c>
      <c r="H232" s="49" t="s">
        <v>36</v>
      </c>
    </row>
    <row r="233" spans="1:10" ht="15" customHeight="1" x14ac:dyDescent="0.25">
      <c r="A233"/>
      <c r="F233" s="48">
        <v>44145</v>
      </c>
      <c r="G233" s="54">
        <v>147.63</v>
      </c>
      <c r="H233" s="49" t="s">
        <v>43</v>
      </c>
      <c r="I233" s="21" t="s">
        <v>16</v>
      </c>
    </row>
    <row r="234" spans="1:10" ht="15" customHeight="1" x14ac:dyDescent="0.25">
      <c r="A234"/>
      <c r="F234" s="48">
        <v>44148</v>
      </c>
      <c r="G234" s="54">
        <v>154.25</v>
      </c>
      <c r="H234" s="49" t="s">
        <v>43</v>
      </c>
      <c r="I234" s="21" t="s">
        <v>16</v>
      </c>
    </row>
    <row r="235" spans="1:10" ht="15" customHeight="1" x14ac:dyDescent="0.25">
      <c r="A235"/>
      <c r="F235" s="48">
        <v>44146</v>
      </c>
      <c r="G235" s="54"/>
      <c r="H235" s="49" t="s">
        <v>122</v>
      </c>
      <c r="I235" s="21" t="s">
        <v>521</v>
      </c>
    </row>
    <row r="236" spans="1:10" ht="15" customHeight="1" x14ac:dyDescent="0.25">
      <c r="A236"/>
      <c r="F236" s="48">
        <v>44149</v>
      </c>
      <c r="G236" s="54">
        <v>88.26</v>
      </c>
      <c r="H236" s="49" t="s">
        <v>43</v>
      </c>
      <c r="I236" s="21" t="s">
        <v>16</v>
      </c>
    </row>
    <row r="237" spans="1:10" ht="15" customHeight="1" x14ac:dyDescent="0.25">
      <c r="A237"/>
      <c r="F237" s="48">
        <v>44149</v>
      </c>
      <c r="G237" s="54">
        <v>50</v>
      </c>
      <c r="H237" s="49" t="s">
        <v>97</v>
      </c>
    </row>
    <row r="238" spans="1:10" ht="15" customHeight="1" x14ac:dyDescent="0.25">
      <c r="A238"/>
      <c r="F238" s="48">
        <v>44149</v>
      </c>
      <c r="G238" s="54"/>
      <c r="H238" s="49" t="s">
        <v>264</v>
      </c>
      <c r="I238" s="21" t="s">
        <v>521</v>
      </c>
      <c r="J238" t="s">
        <v>456</v>
      </c>
    </row>
    <row r="239" spans="1:10" ht="15" customHeight="1" x14ac:dyDescent="0.25">
      <c r="A239"/>
      <c r="F239" s="48">
        <v>44149</v>
      </c>
      <c r="G239" s="54"/>
      <c r="H239" s="49" t="s">
        <v>264</v>
      </c>
      <c r="I239" s="21" t="s">
        <v>521</v>
      </c>
    </row>
    <row r="240" spans="1:10" ht="15" customHeight="1" x14ac:dyDescent="0.25">
      <c r="A240"/>
      <c r="F240" s="48">
        <v>44149</v>
      </c>
      <c r="G240" s="54">
        <v>15.26</v>
      </c>
      <c r="H240" s="49" t="s">
        <v>43</v>
      </c>
      <c r="I240" t="s">
        <v>450</v>
      </c>
    </row>
    <row r="241" spans="1:10" ht="15" customHeight="1" x14ac:dyDescent="0.25">
      <c r="A241"/>
      <c r="F241" s="48">
        <v>44151</v>
      </c>
      <c r="G241" s="54">
        <v>50</v>
      </c>
      <c r="H241" s="49" t="s">
        <v>263</v>
      </c>
    </row>
    <row r="242" spans="1:10" ht="15" customHeight="1" x14ac:dyDescent="0.25">
      <c r="A242"/>
      <c r="F242" s="48">
        <v>44151</v>
      </c>
      <c r="G242" s="54">
        <v>256.64</v>
      </c>
      <c r="H242" s="49" t="s">
        <v>121</v>
      </c>
      <c r="I242" t="s">
        <v>30</v>
      </c>
    </row>
    <row r="243" spans="1:10" ht="15" customHeight="1" x14ac:dyDescent="0.25">
      <c r="A243"/>
      <c r="F243" s="48">
        <v>44152</v>
      </c>
      <c r="G243" s="54">
        <v>50</v>
      </c>
      <c r="H243" s="49" t="s">
        <v>263</v>
      </c>
    </row>
    <row r="244" spans="1:10" ht="15" customHeight="1" x14ac:dyDescent="0.25">
      <c r="A244"/>
      <c r="F244" s="48">
        <v>44154</v>
      </c>
      <c r="G244" s="54">
        <v>100.74</v>
      </c>
      <c r="H244" s="49" t="s">
        <v>43</v>
      </c>
      <c r="I244" s="21" t="s">
        <v>16</v>
      </c>
    </row>
    <row r="245" spans="1:10" ht="15" customHeight="1" x14ac:dyDescent="0.25">
      <c r="A245"/>
      <c r="F245" s="48">
        <v>44151</v>
      </c>
      <c r="G245" s="54">
        <v>0.99</v>
      </c>
      <c r="H245" s="49" t="s">
        <v>22</v>
      </c>
    </row>
    <row r="246" spans="1:10" ht="15" customHeight="1" x14ac:dyDescent="0.25">
      <c r="A246"/>
      <c r="F246" s="48">
        <v>44158</v>
      </c>
      <c r="G246" s="54">
        <v>350</v>
      </c>
      <c r="H246" s="49" t="s">
        <v>264</v>
      </c>
      <c r="I246" t="s">
        <v>497</v>
      </c>
      <c r="J246" t="s">
        <v>48</v>
      </c>
    </row>
    <row r="247" spans="1:10" ht="15" customHeight="1" x14ac:dyDescent="0.25">
      <c r="A247"/>
      <c r="F247" s="48">
        <v>44155</v>
      </c>
      <c r="G247" s="54"/>
      <c r="H247" s="49" t="s">
        <v>264</v>
      </c>
      <c r="I247" t="s">
        <v>457</v>
      </c>
    </row>
    <row r="248" spans="1:10" ht="15" customHeight="1" x14ac:dyDescent="0.25">
      <c r="A248"/>
      <c r="F248" s="48">
        <v>44158</v>
      </c>
      <c r="G248" s="54">
        <v>0.99</v>
      </c>
      <c r="H248" s="49" t="s">
        <v>22</v>
      </c>
    </row>
    <row r="249" spans="1:10" ht="15" customHeight="1" x14ac:dyDescent="0.25">
      <c r="A249"/>
      <c r="F249" s="48">
        <v>44159</v>
      </c>
      <c r="G249" s="54">
        <v>22.48</v>
      </c>
      <c r="H249" s="49" t="s">
        <v>43</v>
      </c>
      <c r="I249" t="s">
        <v>32</v>
      </c>
    </row>
    <row r="250" spans="1:10" ht="15" customHeight="1" x14ac:dyDescent="0.25">
      <c r="A250"/>
      <c r="F250" s="48">
        <v>44159</v>
      </c>
      <c r="G250" s="54">
        <v>173.14</v>
      </c>
      <c r="H250" s="49" t="s">
        <v>43</v>
      </c>
      <c r="I250" t="s">
        <v>16</v>
      </c>
    </row>
    <row r="251" spans="1:10" ht="15" customHeight="1" x14ac:dyDescent="0.25">
      <c r="A251"/>
      <c r="F251" s="48">
        <v>44161</v>
      </c>
      <c r="G251" s="54">
        <v>19.95</v>
      </c>
      <c r="H251" s="49" t="s">
        <v>36</v>
      </c>
      <c r="I251" t="s">
        <v>458</v>
      </c>
    </row>
    <row r="252" spans="1:10" ht="15" customHeight="1" x14ac:dyDescent="0.25">
      <c r="A252"/>
      <c r="F252" s="48">
        <v>44161</v>
      </c>
      <c r="G252" s="54">
        <v>57.41</v>
      </c>
      <c r="H252" s="49" t="s">
        <v>264</v>
      </c>
      <c r="I252" t="s">
        <v>497</v>
      </c>
    </row>
    <row r="253" spans="1:10" ht="15" customHeight="1" x14ac:dyDescent="0.25">
      <c r="A253"/>
      <c r="F253" s="48">
        <v>44161</v>
      </c>
      <c r="G253" s="54">
        <v>4.99</v>
      </c>
      <c r="H253" s="49" t="s">
        <v>46</v>
      </c>
    </row>
    <row r="254" spans="1:10" ht="15" customHeight="1" x14ac:dyDescent="0.25">
      <c r="A254"/>
      <c r="F254" s="48">
        <v>44161</v>
      </c>
      <c r="G254" s="54"/>
      <c r="H254" s="49" t="s">
        <v>264</v>
      </c>
      <c r="I254" t="s">
        <v>521</v>
      </c>
      <c r="J254" t="s">
        <v>459</v>
      </c>
    </row>
    <row r="255" spans="1:10" ht="15" customHeight="1" x14ac:dyDescent="0.25">
      <c r="A255"/>
      <c r="F255" s="48">
        <v>44161</v>
      </c>
      <c r="G255" s="54"/>
      <c r="H255" s="49" t="s">
        <v>264</v>
      </c>
      <c r="I255" t="s">
        <v>457</v>
      </c>
    </row>
    <row r="256" spans="1:10" ht="15" customHeight="1" x14ac:dyDescent="0.25">
      <c r="A256"/>
      <c r="F256" s="48">
        <v>44162</v>
      </c>
      <c r="G256" s="54">
        <v>3500</v>
      </c>
      <c r="H256" s="49" t="s">
        <v>264</v>
      </c>
      <c r="I256" t="s">
        <v>497</v>
      </c>
    </row>
    <row r="257" spans="1:10" ht="15" customHeight="1" x14ac:dyDescent="0.25">
      <c r="A257"/>
      <c r="F257" s="48">
        <v>44163</v>
      </c>
      <c r="G257" s="54">
        <v>10.01</v>
      </c>
      <c r="H257" s="49" t="s">
        <v>43</v>
      </c>
      <c r="I257" t="s">
        <v>497</v>
      </c>
      <c r="J257" t="s">
        <v>32</v>
      </c>
    </row>
    <row r="258" spans="1:10" ht="15" customHeight="1" x14ac:dyDescent="0.25">
      <c r="A258"/>
      <c r="F258" s="48">
        <v>44163</v>
      </c>
      <c r="G258" s="54">
        <v>10.28</v>
      </c>
      <c r="H258" s="49" t="s">
        <v>43</v>
      </c>
      <c r="I258" t="s">
        <v>497</v>
      </c>
      <c r="J258" t="s">
        <v>32</v>
      </c>
    </row>
    <row r="259" spans="1:10" ht="15" customHeight="1" x14ac:dyDescent="0.25">
      <c r="A259"/>
      <c r="F259" s="48">
        <v>44165</v>
      </c>
      <c r="G259" s="54">
        <v>0.99</v>
      </c>
      <c r="H259" s="49" t="s">
        <v>22</v>
      </c>
    </row>
    <row r="260" spans="1:10" ht="15" customHeight="1" x14ac:dyDescent="0.25">
      <c r="A260"/>
      <c r="F260" s="48">
        <v>44167</v>
      </c>
      <c r="G260" s="54">
        <v>146.04</v>
      </c>
      <c r="H260" s="49" t="s">
        <v>43</v>
      </c>
      <c r="I260" t="s">
        <v>206</v>
      </c>
    </row>
    <row r="261" spans="1:10" ht="15" customHeight="1" x14ac:dyDescent="0.25">
      <c r="A261"/>
      <c r="F261" s="48">
        <v>44168</v>
      </c>
      <c r="G261" s="54"/>
      <c r="H261" s="49" t="s">
        <v>264</v>
      </c>
      <c r="I261" t="s">
        <v>521</v>
      </c>
      <c r="J261" t="s">
        <v>48</v>
      </c>
    </row>
    <row r="262" spans="1:10" ht="15" customHeight="1" x14ac:dyDescent="0.25">
      <c r="A262"/>
      <c r="F262" s="48">
        <v>44168</v>
      </c>
      <c r="G262" s="54"/>
      <c r="H262" s="49" t="s">
        <v>264</v>
      </c>
      <c r="I262" t="s">
        <v>521</v>
      </c>
      <c r="J262" t="s">
        <v>462</v>
      </c>
    </row>
    <row r="263" spans="1:10" ht="15" customHeight="1" x14ac:dyDescent="0.25">
      <c r="A263"/>
      <c r="F263" s="48">
        <v>44168</v>
      </c>
      <c r="G263" s="54">
        <v>49.47</v>
      </c>
      <c r="H263" s="49" t="s">
        <v>264</v>
      </c>
      <c r="I263" t="s">
        <v>497</v>
      </c>
    </row>
    <row r="264" spans="1:10" ht="15" customHeight="1" x14ac:dyDescent="0.25">
      <c r="A264"/>
      <c r="F264" s="48">
        <v>44169</v>
      </c>
      <c r="G264" s="54">
        <v>62.35</v>
      </c>
      <c r="H264" s="49" t="s">
        <v>43</v>
      </c>
      <c r="I264" t="s">
        <v>206</v>
      </c>
    </row>
    <row r="265" spans="1:10" ht="15" customHeight="1" x14ac:dyDescent="0.25">
      <c r="A265"/>
      <c r="F265" s="48">
        <v>44169</v>
      </c>
      <c r="G265" s="54">
        <v>188.01</v>
      </c>
      <c r="H265" s="49" t="s">
        <v>43</v>
      </c>
      <c r="I265" t="s">
        <v>16</v>
      </c>
    </row>
    <row r="266" spans="1:10" ht="15" customHeight="1" x14ac:dyDescent="0.25">
      <c r="A266"/>
      <c r="F266" s="48">
        <v>44173</v>
      </c>
      <c r="G266" s="54">
        <v>9.9</v>
      </c>
      <c r="H266" s="49" t="s">
        <v>36</v>
      </c>
    </row>
    <row r="267" spans="1:10" ht="15" customHeight="1" x14ac:dyDescent="0.25">
      <c r="A267"/>
      <c r="F267" s="48">
        <v>44173</v>
      </c>
      <c r="G267" s="54">
        <v>31.5</v>
      </c>
      <c r="H267" s="49" t="s">
        <v>43</v>
      </c>
      <c r="I267" t="s">
        <v>463</v>
      </c>
    </row>
    <row r="268" spans="1:10" ht="15" customHeight="1" x14ac:dyDescent="0.25">
      <c r="A268"/>
      <c r="F268" s="48">
        <v>44173</v>
      </c>
      <c r="G268" s="54">
        <v>89.46</v>
      </c>
      <c r="H268" s="49" t="s">
        <v>43</v>
      </c>
      <c r="I268" t="s">
        <v>16</v>
      </c>
    </row>
    <row r="269" spans="1:10" ht="15" customHeight="1" x14ac:dyDescent="0.25">
      <c r="A269"/>
      <c r="F269" s="48">
        <v>44173</v>
      </c>
      <c r="G269" s="54">
        <v>1000</v>
      </c>
      <c r="H269" s="49" t="s">
        <v>263</v>
      </c>
    </row>
    <row r="270" spans="1:10" ht="15" customHeight="1" x14ac:dyDescent="0.25">
      <c r="A270"/>
      <c r="F270" s="48">
        <v>44175</v>
      </c>
      <c r="G270" s="54">
        <v>147.63</v>
      </c>
      <c r="H270" s="49" t="s">
        <v>43</v>
      </c>
      <c r="I270" t="s">
        <v>16</v>
      </c>
    </row>
    <row r="271" spans="1:10" ht="15" customHeight="1" x14ac:dyDescent="0.25">
      <c r="A271"/>
      <c r="F271" s="48">
        <v>44175</v>
      </c>
      <c r="G271" s="54">
        <v>630</v>
      </c>
      <c r="H271" s="49" t="s">
        <v>43</v>
      </c>
      <c r="I271" t="s">
        <v>16</v>
      </c>
    </row>
    <row r="272" spans="1:10" ht="15" customHeight="1" x14ac:dyDescent="0.25">
      <c r="A272"/>
      <c r="F272" s="48">
        <v>44175</v>
      </c>
      <c r="G272" s="54"/>
      <c r="H272" s="49" t="s">
        <v>264</v>
      </c>
      <c r="I272" t="s">
        <v>457</v>
      </c>
      <c r="J272" t="s">
        <v>33</v>
      </c>
    </row>
    <row r="273" spans="1:10" ht="15" customHeight="1" x14ac:dyDescent="0.25">
      <c r="A273"/>
      <c r="F273" s="48">
        <v>44175</v>
      </c>
      <c r="G273" s="54"/>
      <c r="H273" s="49" t="s">
        <v>264</v>
      </c>
      <c r="I273" t="s">
        <v>439</v>
      </c>
      <c r="J273" t="s">
        <v>48</v>
      </c>
    </row>
    <row r="274" spans="1:10" ht="15" customHeight="1" x14ac:dyDescent="0.25">
      <c r="A274"/>
      <c r="F274" s="48">
        <v>44172</v>
      </c>
      <c r="G274" s="54">
        <v>0.99</v>
      </c>
      <c r="H274" s="49" t="s">
        <v>22</v>
      </c>
    </row>
    <row r="275" spans="1:10" ht="15" customHeight="1" x14ac:dyDescent="0.25">
      <c r="A275"/>
      <c r="F275" s="48">
        <v>44176</v>
      </c>
      <c r="G275" s="54">
        <v>80.63</v>
      </c>
      <c r="H275" s="49" t="s">
        <v>264</v>
      </c>
      <c r="I275" t="s">
        <v>538</v>
      </c>
      <c r="J275" t="s">
        <v>196</v>
      </c>
    </row>
    <row r="276" spans="1:10" ht="15" customHeight="1" x14ac:dyDescent="0.25">
      <c r="A276"/>
      <c r="F276" s="48">
        <v>44176</v>
      </c>
      <c r="G276" s="54">
        <v>411.85</v>
      </c>
      <c r="H276" s="49" t="s">
        <v>264</v>
      </c>
      <c r="I276" t="s">
        <v>497</v>
      </c>
      <c r="J276" t="s">
        <v>33</v>
      </c>
    </row>
    <row r="277" spans="1:10" ht="15" customHeight="1" x14ac:dyDescent="0.25">
      <c r="A277"/>
      <c r="F277" s="48">
        <v>44177</v>
      </c>
      <c r="G277" s="54">
        <v>9.6</v>
      </c>
      <c r="H277" s="49" t="s">
        <v>43</v>
      </c>
      <c r="I277" t="s">
        <v>469</v>
      </c>
    </row>
    <row r="278" spans="1:10" ht="15" customHeight="1" x14ac:dyDescent="0.25">
      <c r="A278"/>
      <c r="F278" s="48">
        <v>44170</v>
      </c>
      <c r="G278" s="54">
        <v>72.83</v>
      </c>
      <c r="H278" s="49" t="s">
        <v>43</v>
      </c>
      <c r="I278" t="s">
        <v>453</v>
      </c>
    </row>
    <row r="279" spans="1:10" ht="15" customHeight="1" x14ac:dyDescent="0.25">
      <c r="A279"/>
      <c r="F279" s="48">
        <v>44179</v>
      </c>
      <c r="G279" s="54">
        <v>43.99</v>
      </c>
      <c r="H279" s="49" t="s">
        <v>43</v>
      </c>
      <c r="I279" t="s">
        <v>450</v>
      </c>
    </row>
    <row r="280" spans="1:10" ht="15" customHeight="1" x14ac:dyDescent="0.25">
      <c r="A280"/>
      <c r="F280" s="48">
        <v>44179</v>
      </c>
      <c r="G280" s="54">
        <v>500</v>
      </c>
      <c r="H280" s="49" t="s">
        <v>263</v>
      </c>
    </row>
    <row r="281" spans="1:10" ht="15" customHeight="1" x14ac:dyDescent="0.25">
      <c r="A281"/>
      <c r="F281" s="48">
        <v>44179</v>
      </c>
      <c r="G281" s="54">
        <v>200</v>
      </c>
      <c r="H281" s="49" t="s">
        <v>263</v>
      </c>
    </row>
    <row r="282" spans="1:10" ht="15" customHeight="1" x14ac:dyDescent="0.25">
      <c r="A282"/>
      <c r="F282" s="48">
        <v>44179</v>
      </c>
      <c r="G282" s="54">
        <v>256.64</v>
      </c>
      <c r="H282" s="49" t="s">
        <v>121</v>
      </c>
      <c r="I282" t="s">
        <v>30</v>
      </c>
    </row>
    <row r="283" spans="1:10" ht="15" customHeight="1" x14ac:dyDescent="0.25">
      <c r="A283"/>
      <c r="F283" s="48">
        <v>44180</v>
      </c>
      <c r="G283" s="54">
        <v>50</v>
      </c>
      <c r="H283" s="49" t="s">
        <v>97</v>
      </c>
    </row>
    <row r="284" spans="1:10" ht="15" customHeight="1" x14ac:dyDescent="0.25">
      <c r="A284"/>
      <c r="F284" s="48">
        <v>44180</v>
      </c>
      <c r="G284" s="54"/>
      <c r="H284" s="49" t="s">
        <v>264</v>
      </c>
      <c r="I284" t="s">
        <v>457</v>
      </c>
    </row>
    <row r="285" spans="1:10" ht="15" customHeight="1" x14ac:dyDescent="0.25">
      <c r="A285"/>
      <c r="F285" s="48">
        <v>44180</v>
      </c>
      <c r="G285" s="54">
        <v>343.03</v>
      </c>
      <c r="H285" s="49" t="s">
        <v>264</v>
      </c>
      <c r="I285" t="s">
        <v>497</v>
      </c>
    </row>
    <row r="286" spans="1:10" ht="15" customHeight="1" x14ac:dyDescent="0.25">
      <c r="A286"/>
      <c r="F286" s="48">
        <v>44180</v>
      </c>
      <c r="G286" s="54">
        <v>20</v>
      </c>
      <c r="H286" s="49" t="s">
        <v>264</v>
      </c>
      <c r="I286" t="s">
        <v>538</v>
      </c>
      <c r="J286" t="s">
        <v>471</v>
      </c>
    </row>
    <row r="287" spans="1:10" ht="15" customHeight="1" x14ac:dyDescent="0.25">
      <c r="A287"/>
      <c r="F287" s="48">
        <v>44179</v>
      </c>
      <c r="G287" s="54">
        <v>0.99</v>
      </c>
      <c r="H287" s="49" t="s">
        <v>22</v>
      </c>
    </row>
    <row r="288" spans="1:10" ht="15" customHeight="1" x14ac:dyDescent="0.25">
      <c r="A288"/>
      <c r="F288" s="48">
        <v>44181</v>
      </c>
      <c r="G288" s="54">
        <v>88.26</v>
      </c>
      <c r="H288" s="49" t="s">
        <v>43</v>
      </c>
      <c r="I288" t="s">
        <v>16</v>
      </c>
    </row>
    <row r="289" spans="1:10" ht="15" customHeight="1" x14ac:dyDescent="0.25">
      <c r="A289"/>
      <c r="F289" s="48">
        <v>44181</v>
      </c>
      <c r="G289" s="54">
        <v>100.74</v>
      </c>
      <c r="H289" s="49" t="s">
        <v>43</v>
      </c>
      <c r="I289" t="s">
        <v>16</v>
      </c>
    </row>
    <row r="290" spans="1:10" ht="15" customHeight="1" x14ac:dyDescent="0.25">
      <c r="A290"/>
      <c r="F290" s="48">
        <v>44187</v>
      </c>
      <c r="G290" s="54">
        <v>70</v>
      </c>
      <c r="H290" s="49" t="s">
        <v>263</v>
      </c>
    </row>
    <row r="291" spans="1:10" ht="15" customHeight="1" x14ac:dyDescent="0.25">
      <c r="A291"/>
      <c r="F291" s="48">
        <v>44186</v>
      </c>
      <c r="G291" s="54">
        <v>0.99</v>
      </c>
      <c r="H291" s="49" t="s">
        <v>22</v>
      </c>
    </row>
    <row r="292" spans="1:10" ht="15" customHeight="1" x14ac:dyDescent="0.25">
      <c r="A292"/>
      <c r="F292" s="48">
        <v>44188</v>
      </c>
      <c r="G292" s="54">
        <v>400</v>
      </c>
      <c r="H292" s="49" t="s">
        <v>264</v>
      </c>
      <c r="I292" t="s">
        <v>538</v>
      </c>
      <c r="J292" t="s">
        <v>476</v>
      </c>
    </row>
    <row r="293" spans="1:10" ht="15" customHeight="1" x14ac:dyDescent="0.25">
      <c r="A293"/>
      <c r="F293" s="48">
        <v>44188</v>
      </c>
      <c r="G293" s="54">
        <v>2.9</v>
      </c>
      <c r="H293" s="49" t="s">
        <v>264</v>
      </c>
      <c r="I293" t="s">
        <v>538</v>
      </c>
      <c r="J293" t="s">
        <v>477</v>
      </c>
    </row>
    <row r="294" spans="1:10" ht="15" customHeight="1" x14ac:dyDescent="0.25">
      <c r="A294"/>
      <c r="F294" s="48">
        <v>44188</v>
      </c>
      <c r="G294" s="54">
        <v>200</v>
      </c>
      <c r="H294" s="49" t="s">
        <v>263</v>
      </c>
    </row>
    <row r="295" spans="1:10" ht="15" customHeight="1" x14ac:dyDescent="0.25">
      <c r="A295"/>
      <c r="F295" s="48">
        <v>44189</v>
      </c>
      <c r="G295" s="54">
        <v>173.14</v>
      </c>
      <c r="H295" s="49" t="s">
        <v>43</v>
      </c>
      <c r="I295" t="s">
        <v>16</v>
      </c>
    </row>
    <row r="296" spans="1:10" ht="15" customHeight="1" x14ac:dyDescent="0.25">
      <c r="A296"/>
      <c r="F296" s="48">
        <v>44190</v>
      </c>
      <c r="G296" s="54">
        <v>89.46</v>
      </c>
      <c r="H296" s="49" t="s">
        <v>43</v>
      </c>
      <c r="I296" t="s">
        <v>16</v>
      </c>
    </row>
    <row r="297" spans="1:10" ht="15" customHeight="1" x14ac:dyDescent="0.25">
      <c r="A297"/>
      <c r="F297" s="48">
        <v>44193</v>
      </c>
      <c r="G297" s="54">
        <v>400</v>
      </c>
      <c r="H297" s="49" t="s">
        <v>263</v>
      </c>
    </row>
    <row r="298" spans="1:10" ht="15" customHeight="1" x14ac:dyDescent="0.25">
      <c r="A298"/>
      <c r="F298" s="48">
        <v>44200</v>
      </c>
      <c r="G298" s="54">
        <v>0.99</v>
      </c>
      <c r="H298" s="49" t="s">
        <v>22</v>
      </c>
    </row>
    <row r="299" spans="1:10" ht="15" customHeight="1" x14ac:dyDescent="0.25">
      <c r="A299"/>
      <c r="F299" s="16">
        <v>44202</v>
      </c>
      <c r="G299" s="54">
        <v>4.99</v>
      </c>
      <c r="H299" s="49" t="s">
        <v>46</v>
      </c>
      <c r="I299" t="s">
        <v>47</v>
      </c>
    </row>
    <row r="300" spans="1:10" ht="15" customHeight="1" x14ac:dyDescent="0.25">
      <c r="A300"/>
      <c r="F300" s="16">
        <v>44204</v>
      </c>
      <c r="G300" s="54">
        <v>9.9</v>
      </c>
      <c r="H300" s="49" t="s">
        <v>36</v>
      </c>
    </row>
    <row r="301" spans="1:10" ht="15" customHeight="1" x14ac:dyDescent="0.25">
      <c r="A301"/>
      <c r="F301" s="16">
        <v>44204</v>
      </c>
      <c r="G301" s="54">
        <v>147.63</v>
      </c>
      <c r="H301" s="49" t="s">
        <v>43</v>
      </c>
      <c r="I301" t="s">
        <v>16</v>
      </c>
    </row>
    <row r="302" spans="1:10" ht="15" customHeight="1" x14ac:dyDescent="0.25">
      <c r="A302"/>
      <c r="F302" s="16">
        <v>44204</v>
      </c>
      <c r="G302" s="54">
        <v>33</v>
      </c>
      <c r="H302" s="49" t="s">
        <v>43</v>
      </c>
      <c r="I302" t="s">
        <v>450</v>
      </c>
    </row>
    <row r="303" spans="1:10" ht="15" customHeight="1" x14ac:dyDescent="0.25">
      <c r="A303"/>
      <c r="F303" s="16">
        <v>44204</v>
      </c>
      <c r="G303" s="54"/>
      <c r="H303" s="49" t="s">
        <v>264</v>
      </c>
      <c r="I303" t="s">
        <v>439</v>
      </c>
    </row>
    <row r="304" spans="1:10" ht="15" customHeight="1" x14ac:dyDescent="0.25">
      <c r="A304"/>
      <c r="F304" s="16">
        <v>44204</v>
      </c>
      <c r="G304" s="54"/>
      <c r="H304" s="49" t="s">
        <v>22</v>
      </c>
      <c r="I304" t="s">
        <v>439</v>
      </c>
    </row>
    <row r="305" spans="1:10" ht="15" customHeight="1" x14ac:dyDescent="0.25">
      <c r="A305"/>
      <c r="F305" s="16">
        <v>44204</v>
      </c>
      <c r="G305" s="54">
        <v>1.52</v>
      </c>
      <c r="H305" s="49" t="s">
        <v>22</v>
      </c>
      <c r="I305" t="s">
        <v>58</v>
      </c>
    </row>
    <row r="306" spans="1:10" ht="15" customHeight="1" x14ac:dyDescent="0.25">
      <c r="A306"/>
      <c r="F306" s="16">
        <v>44205</v>
      </c>
      <c r="G306" s="54">
        <v>600</v>
      </c>
      <c r="H306" s="49" t="s">
        <v>43</v>
      </c>
      <c r="I306" t="s">
        <v>16</v>
      </c>
    </row>
    <row r="307" spans="1:10" ht="15" customHeight="1" x14ac:dyDescent="0.25">
      <c r="A307"/>
      <c r="F307" s="16">
        <v>44205</v>
      </c>
      <c r="G307" s="54">
        <v>30</v>
      </c>
      <c r="H307" s="49" t="s">
        <v>43</v>
      </c>
      <c r="I307" t="s">
        <v>16</v>
      </c>
    </row>
    <row r="308" spans="1:10" ht="15" customHeight="1" x14ac:dyDescent="0.25">
      <c r="A308"/>
      <c r="F308" s="16">
        <v>44205</v>
      </c>
      <c r="G308" s="54">
        <v>300</v>
      </c>
      <c r="H308" s="49" t="s">
        <v>263</v>
      </c>
    </row>
    <row r="309" spans="1:10" ht="15" customHeight="1" x14ac:dyDescent="0.25">
      <c r="A309"/>
      <c r="F309" s="16">
        <v>44207</v>
      </c>
      <c r="G309" s="54">
        <v>1220</v>
      </c>
      <c r="H309" s="49" t="s">
        <v>264</v>
      </c>
      <c r="I309" t="s">
        <v>538</v>
      </c>
    </row>
    <row r="310" spans="1:10" ht="15" customHeight="1" x14ac:dyDescent="0.25">
      <c r="A310"/>
      <c r="F310" s="16">
        <v>44207</v>
      </c>
      <c r="G310" s="54">
        <v>0.99</v>
      </c>
      <c r="H310" s="49" t="s">
        <v>22</v>
      </c>
      <c r="I310" t="s">
        <v>58</v>
      </c>
    </row>
    <row r="311" spans="1:10" ht="15" customHeight="1" x14ac:dyDescent="0.25">
      <c r="A311"/>
      <c r="F311" s="16">
        <v>44208</v>
      </c>
      <c r="G311" s="54">
        <v>153.69</v>
      </c>
      <c r="H311" s="49" t="s">
        <v>264</v>
      </c>
      <c r="I311" t="s">
        <v>538</v>
      </c>
      <c r="J311" t="s">
        <v>480</v>
      </c>
    </row>
    <row r="312" spans="1:10" ht="15" customHeight="1" x14ac:dyDescent="0.25">
      <c r="A312"/>
      <c r="F312" s="16">
        <v>44209</v>
      </c>
      <c r="G312" s="54">
        <v>105</v>
      </c>
      <c r="H312" s="49" t="s">
        <v>43</v>
      </c>
      <c r="I312" t="s">
        <v>16</v>
      </c>
    </row>
    <row r="313" spans="1:10" ht="15" customHeight="1" x14ac:dyDescent="0.25">
      <c r="A313"/>
      <c r="F313" s="16">
        <v>44210</v>
      </c>
      <c r="G313" s="54">
        <v>88.26</v>
      </c>
      <c r="H313" s="49" t="s">
        <v>43</v>
      </c>
      <c r="I313" t="s">
        <v>16</v>
      </c>
    </row>
    <row r="314" spans="1:10" ht="15" customHeight="1" x14ac:dyDescent="0.25">
      <c r="A314"/>
      <c r="F314" s="16">
        <v>44210</v>
      </c>
      <c r="G314" s="54">
        <v>50</v>
      </c>
      <c r="H314" s="49" t="s">
        <v>97</v>
      </c>
      <c r="I314" t="s">
        <v>481</v>
      </c>
    </row>
    <row r="315" spans="1:10" ht="15" customHeight="1" x14ac:dyDescent="0.25">
      <c r="A315"/>
      <c r="F315" s="16">
        <v>44210</v>
      </c>
      <c r="G315" s="54"/>
      <c r="H315" s="49" t="s">
        <v>122</v>
      </c>
      <c r="I315" t="s">
        <v>439</v>
      </c>
    </row>
    <row r="316" spans="1:10" ht="15" customHeight="1" x14ac:dyDescent="0.25">
      <c r="A316"/>
      <c r="F316" s="16">
        <v>44210</v>
      </c>
      <c r="G316" s="54">
        <v>91.81</v>
      </c>
      <c r="H316" s="49" t="s">
        <v>122</v>
      </c>
      <c r="I316" t="s">
        <v>538</v>
      </c>
      <c r="J316" t="s">
        <v>482</v>
      </c>
    </row>
    <row r="317" spans="1:10" ht="15" customHeight="1" x14ac:dyDescent="0.25">
      <c r="A317"/>
      <c r="F317" s="16">
        <v>44210</v>
      </c>
      <c r="G317" s="54">
        <v>256.64</v>
      </c>
      <c r="H317" s="49" t="s">
        <v>121</v>
      </c>
    </row>
    <row r="318" spans="1:10" ht="15" customHeight="1" x14ac:dyDescent="0.25">
      <c r="A318"/>
      <c r="F318" s="16">
        <v>44212</v>
      </c>
      <c r="G318" s="54"/>
      <c r="H318" s="49" t="s">
        <v>122</v>
      </c>
      <c r="I318" t="s">
        <v>457</v>
      </c>
      <c r="J318" t="s">
        <v>484</v>
      </c>
    </row>
    <row r="319" spans="1:10" ht="15" customHeight="1" x14ac:dyDescent="0.25">
      <c r="A319"/>
      <c r="F319" s="16">
        <v>44212</v>
      </c>
      <c r="G319" s="54">
        <v>84.78</v>
      </c>
      <c r="H319" s="49" t="s">
        <v>43</v>
      </c>
      <c r="I319" t="s">
        <v>16</v>
      </c>
    </row>
    <row r="320" spans="1:10" ht="15" customHeight="1" x14ac:dyDescent="0.25">
      <c r="A320"/>
      <c r="F320" s="16">
        <v>44207</v>
      </c>
      <c r="G320" s="54">
        <v>0.99</v>
      </c>
      <c r="H320" s="49" t="s">
        <v>22</v>
      </c>
      <c r="I320" t="s">
        <v>58</v>
      </c>
    </row>
    <row r="321" spans="1:9" ht="15" customHeight="1" x14ac:dyDescent="0.25">
      <c r="A321"/>
      <c r="F321" s="16">
        <v>44217</v>
      </c>
      <c r="G321" s="17">
        <v>11197</v>
      </c>
      <c r="H321" s="49" t="s">
        <v>261</v>
      </c>
      <c r="I321" t="s">
        <v>31</v>
      </c>
    </row>
    <row r="322" spans="1:9" ht="15" customHeight="1" x14ac:dyDescent="0.25">
      <c r="F322" s="16">
        <v>44217</v>
      </c>
      <c r="G322" s="17">
        <v>105</v>
      </c>
      <c r="H322" s="49" t="s">
        <v>43</v>
      </c>
      <c r="I322" t="s">
        <v>16</v>
      </c>
    </row>
    <row r="323" spans="1:9" ht="15" customHeight="1" x14ac:dyDescent="0.25">
      <c r="F323" s="16">
        <v>44217</v>
      </c>
      <c r="G323" s="54">
        <v>100</v>
      </c>
      <c r="H323" s="49" t="s">
        <v>263</v>
      </c>
    </row>
    <row r="324" spans="1:9" ht="15" customHeight="1" x14ac:dyDescent="0.25">
      <c r="F324" s="16">
        <v>44218</v>
      </c>
      <c r="G324" s="54">
        <v>173.14</v>
      </c>
      <c r="H324" s="49" t="s">
        <v>43</v>
      </c>
      <c r="I324" t="s">
        <v>16</v>
      </c>
    </row>
    <row r="325" spans="1:9" ht="15" customHeight="1" x14ac:dyDescent="0.25">
      <c r="F325" s="16">
        <v>44219</v>
      </c>
      <c r="G325" s="54">
        <v>89.46</v>
      </c>
      <c r="H325" s="49" t="s">
        <v>43</v>
      </c>
      <c r="I325" t="s">
        <v>16</v>
      </c>
    </row>
    <row r="326" spans="1:9" ht="15" customHeight="1" x14ac:dyDescent="0.25">
      <c r="F326" s="16">
        <v>44222</v>
      </c>
      <c r="G326" s="54">
        <v>9.6</v>
      </c>
      <c r="H326" s="49" t="s">
        <v>43</v>
      </c>
      <c r="I326" t="s">
        <v>469</v>
      </c>
    </row>
    <row r="327" spans="1:9" ht="15" customHeight="1" x14ac:dyDescent="0.25">
      <c r="F327" s="16">
        <v>44214</v>
      </c>
      <c r="G327" s="54">
        <v>0.99</v>
      </c>
      <c r="H327" s="49" t="s">
        <v>22</v>
      </c>
    </row>
    <row r="328" spans="1:9" ht="15" customHeight="1" x14ac:dyDescent="0.25">
      <c r="F328" s="16">
        <v>44228</v>
      </c>
      <c r="G328" s="54">
        <v>0.99</v>
      </c>
      <c r="H328" s="49" t="s">
        <v>22</v>
      </c>
    </row>
    <row r="329" spans="1:9" ht="15" customHeight="1" x14ac:dyDescent="0.25">
      <c r="F329" s="16">
        <v>44231</v>
      </c>
      <c r="G329" s="54">
        <v>87.72</v>
      </c>
      <c r="H329" s="49" t="s">
        <v>43</v>
      </c>
      <c r="I329" t="s">
        <v>16</v>
      </c>
    </row>
    <row r="330" spans="1:9" ht="15" customHeight="1" x14ac:dyDescent="0.25">
      <c r="F330" s="16">
        <v>44232</v>
      </c>
      <c r="G330" s="54">
        <v>5.48</v>
      </c>
      <c r="H330" s="49" t="s">
        <v>22</v>
      </c>
      <c r="I330" t="s">
        <v>58</v>
      </c>
    </row>
    <row r="331" spans="1:9" ht="15" customHeight="1" x14ac:dyDescent="0.25">
      <c r="F331" s="16">
        <v>44234</v>
      </c>
      <c r="G331" s="54">
        <v>49.86</v>
      </c>
      <c r="H331" s="49" t="s">
        <v>43</v>
      </c>
      <c r="I331" t="s">
        <v>500</v>
      </c>
    </row>
    <row r="332" spans="1:9" ht="15" customHeight="1" x14ac:dyDescent="0.25">
      <c r="F332" s="16">
        <v>44234</v>
      </c>
      <c r="G332" s="54">
        <v>207</v>
      </c>
      <c r="H332" s="49" t="s">
        <v>43</v>
      </c>
      <c r="I332" t="s">
        <v>501</v>
      </c>
    </row>
    <row r="333" spans="1:9" ht="15" customHeight="1" x14ac:dyDescent="0.25">
      <c r="F333" s="16">
        <v>44236</v>
      </c>
      <c r="G333" s="54">
        <v>4.99</v>
      </c>
      <c r="H333" s="49" t="s">
        <v>46</v>
      </c>
      <c r="I333" t="s">
        <v>47</v>
      </c>
    </row>
    <row r="334" spans="1:9" ht="15" customHeight="1" x14ac:dyDescent="0.25">
      <c r="F334" s="16">
        <v>44236</v>
      </c>
      <c r="G334" s="54">
        <v>20</v>
      </c>
      <c r="H334" s="49" t="s">
        <v>46</v>
      </c>
      <c r="I334" t="s">
        <v>47</v>
      </c>
    </row>
    <row r="335" spans="1:9" ht="15" customHeight="1" x14ac:dyDescent="0.25">
      <c r="F335" s="16">
        <v>44236</v>
      </c>
      <c r="G335" s="54">
        <v>9.9</v>
      </c>
      <c r="H335" s="49" t="s">
        <v>36</v>
      </c>
    </row>
    <row r="336" spans="1:9" ht="15" customHeight="1" x14ac:dyDescent="0.25">
      <c r="F336" s="16">
        <v>44236</v>
      </c>
      <c r="G336" s="54">
        <v>630</v>
      </c>
      <c r="H336" s="49" t="s">
        <v>43</v>
      </c>
      <c r="I336" t="s">
        <v>16</v>
      </c>
    </row>
    <row r="337" spans="6:10" ht="15" customHeight="1" x14ac:dyDescent="0.25">
      <c r="F337" s="16">
        <v>44235</v>
      </c>
      <c r="G337" s="54">
        <v>0.99</v>
      </c>
      <c r="H337" s="49" t="s">
        <v>22</v>
      </c>
      <c r="I337" t="s">
        <v>58</v>
      </c>
    </row>
    <row r="338" spans="6:10" ht="15" customHeight="1" x14ac:dyDescent="0.25">
      <c r="F338" s="16">
        <v>44237</v>
      </c>
      <c r="G338" s="54">
        <v>200</v>
      </c>
      <c r="H338" s="49" t="s">
        <v>122</v>
      </c>
      <c r="I338" t="s">
        <v>538</v>
      </c>
      <c r="J338" t="s">
        <v>504</v>
      </c>
    </row>
    <row r="339" spans="6:10" ht="15" customHeight="1" x14ac:dyDescent="0.25">
      <c r="F339" s="16">
        <v>44238</v>
      </c>
      <c r="G339" s="54">
        <v>386.6</v>
      </c>
      <c r="H339" s="49" t="s">
        <v>264</v>
      </c>
      <c r="I339" t="s">
        <v>538</v>
      </c>
      <c r="J339" t="s">
        <v>505</v>
      </c>
    </row>
    <row r="340" spans="6:10" ht="15" customHeight="1" x14ac:dyDescent="0.25">
      <c r="F340" s="16">
        <v>44238</v>
      </c>
      <c r="G340" s="54">
        <v>4.55</v>
      </c>
      <c r="H340" s="49" t="s">
        <v>120</v>
      </c>
    </row>
    <row r="341" spans="6:10" ht="15" customHeight="1" x14ac:dyDescent="0.25">
      <c r="F341" s="16">
        <v>44238</v>
      </c>
      <c r="G341" s="54">
        <v>1.38</v>
      </c>
      <c r="H341" s="49" t="s">
        <v>120</v>
      </c>
    </row>
    <row r="342" spans="6:10" ht="15" customHeight="1" x14ac:dyDescent="0.25">
      <c r="F342" s="16">
        <v>44238</v>
      </c>
      <c r="G342" s="54">
        <v>58.51</v>
      </c>
      <c r="H342" s="49" t="s">
        <v>264</v>
      </c>
      <c r="I342" t="s">
        <v>538</v>
      </c>
      <c r="J342" t="s">
        <v>196</v>
      </c>
    </row>
    <row r="343" spans="6:10" ht="15" customHeight="1" x14ac:dyDescent="0.25">
      <c r="F343" s="16">
        <v>44240</v>
      </c>
      <c r="G343" s="54">
        <v>105</v>
      </c>
      <c r="H343" s="49" t="s">
        <v>43</v>
      </c>
      <c r="I343" t="s">
        <v>16</v>
      </c>
    </row>
    <row r="344" spans="6:10" ht="15" customHeight="1" x14ac:dyDescent="0.25">
      <c r="F344" s="16">
        <v>44235</v>
      </c>
      <c r="G344" s="54">
        <v>7050.02</v>
      </c>
      <c r="H344" s="49" t="s">
        <v>263</v>
      </c>
    </row>
    <row r="345" spans="6:10" ht="15" customHeight="1" x14ac:dyDescent="0.25">
      <c r="F345" s="16">
        <v>44235</v>
      </c>
      <c r="G345" s="54">
        <f>8412.98</f>
        <v>8412.98</v>
      </c>
      <c r="H345" s="49" t="s">
        <v>263</v>
      </c>
    </row>
    <row r="346" spans="6:10" ht="15" customHeight="1" x14ac:dyDescent="0.25">
      <c r="F346" s="16">
        <v>44242</v>
      </c>
      <c r="G346" s="54">
        <v>256.64</v>
      </c>
      <c r="H346" s="49" t="s">
        <v>121</v>
      </c>
    </row>
    <row r="347" spans="6:10" ht="15" customHeight="1" x14ac:dyDescent="0.25">
      <c r="F347" s="16">
        <v>44243</v>
      </c>
      <c r="G347" s="54">
        <v>88.26</v>
      </c>
      <c r="H347" s="49" t="s">
        <v>43</v>
      </c>
      <c r="I347" t="s">
        <v>16</v>
      </c>
    </row>
    <row r="348" spans="6:10" ht="15" customHeight="1" x14ac:dyDescent="0.25">
      <c r="F348" s="16">
        <v>44243</v>
      </c>
      <c r="G348" s="54">
        <v>50</v>
      </c>
      <c r="H348" s="49" t="s">
        <v>97</v>
      </c>
    </row>
    <row r="349" spans="6:10" ht="15" customHeight="1" x14ac:dyDescent="0.25">
      <c r="F349" s="16">
        <v>44243</v>
      </c>
      <c r="G349" s="54">
        <v>97.11</v>
      </c>
      <c r="H349" s="49" t="s">
        <v>264</v>
      </c>
      <c r="I349" t="s">
        <v>538</v>
      </c>
      <c r="J349" t="s">
        <v>506</v>
      </c>
    </row>
    <row r="350" spans="6:10" ht="15" customHeight="1" x14ac:dyDescent="0.25">
      <c r="F350" s="16">
        <v>44243</v>
      </c>
      <c r="G350" s="54">
        <v>80</v>
      </c>
      <c r="H350" s="49" t="s">
        <v>264</v>
      </c>
      <c r="I350" t="s">
        <v>538</v>
      </c>
      <c r="J350" t="s">
        <v>518</v>
      </c>
    </row>
    <row r="351" spans="6:10" ht="15" customHeight="1" x14ac:dyDescent="0.25">
      <c r="F351" s="16">
        <v>44242</v>
      </c>
      <c r="G351" s="54">
        <v>0.99</v>
      </c>
      <c r="H351" s="49" t="s">
        <v>22</v>
      </c>
      <c r="I351" t="s">
        <v>58</v>
      </c>
    </row>
    <row r="352" spans="6:10" ht="15" customHeight="1" x14ac:dyDescent="0.25">
      <c r="F352" s="16">
        <v>44244</v>
      </c>
      <c r="G352" s="54">
        <v>79</v>
      </c>
      <c r="H352" s="49" t="s">
        <v>264</v>
      </c>
      <c r="I352" t="s">
        <v>538</v>
      </c>
      <c r="J352" t="s">
        <v>519</v>
      </c>
    </row>
    <row r="353" spans="6:10" ht="15" customHeight="1" x14ac:dyDescent="0.25">
      <c r="F353" s="16">
        <v>44243</v>
      </c>
      <c r="G353" s="54"/>
      <c r="H353" s="49" t="s">
        <v>261</v>
      </c>
      <c r="I353" t="s">
        <v>521</v>
      </c>
    </row>
    <row r="354" spans="6:10" ht="15" customHeight="1" x14ac:dyDescent="0.25">
      <c r="F354" s="16">
        <v>44246</v>
      </c>
      <c r="G354" s="54">
        <v>250</v>
      </c>
      <c r="H354" s="49" t="s">
        <v>264</v>
      </c>
      <c r="I354" t="s">
        <v>538</v>
      </c>
      <c r="J354" t="s">
        <v>522</v>
      </c>
    </row>
    <row r="355" spans="6:10" ht="15" customHeight="1" x14ac:dyDescent="0.25">
      <c r="F355" s="16">
        <v>44246</v>
      </c>
      <c r="G355" s="54">
        <v>600</v>
      </c>
      <c r="H355" s="49" t="s">
        <v>40</v>
      </c>
      <c r="I355" t="s">
        <v>525</v>
      </c>
    </row>
    <row r="356" spans="6:10" ht="15" customHeight="1" x14ac:dyDescent="0.25">
      <c r="F356" s="16">
        <v>44247</v>
      </c>
      <c r="G356" s="54">
        <v>280</v>
      </c>
      <c r="H356" s="49" t="s">
        <v>40</v>
      </c>
      <c r="I356" t="s">
        <v>525</v>
      </c>
    </row>
    <row r="357" spans="6:10" ht="15" customHeight="1" x14ac:dyDescent="0.25">
      <c r="F357" s="16">
        <v>44249</v>
      </c>
      <c r="G357" s="54">
        <v>0.99</v>
      </c>
      <c r="H357" s="49" t="s">
        <v>22</v>
      </c>
      <c r="I357" t="s">
        <v>58</v>
      </c>
    </row>
    <row r="358" spans="6:10" ht="15" customHeight="1" x14ac:dyDescent="0.25">
      <c r="F358" s="16">
        <v>44250</v>
      </c>
      <c r="G358" s="54">
        <v>160.13</v>
      </c>
      <c r="H358" s="49" t="s">
        <v>43</v>
      </c>
      <c r="I358" t="s">
        <v>16</v>
      </c>
    </row>
    <row r="359" spans="6:10" ht="15" customHeight="1" x14ac:dyDescent="0.25">
      <c r="F359" s="16">
        <v>44250</v>
      </c>
      <c r="G359" s="54">
        <v>105</v>
      </c>
      <c r="H359" s="49" t="s">
        <v>43</v>
      </c>
      <c r="I359" t="s">
        <v>16</v>
      </c>
    </row>
    <row r="360" spans="6:10" ht="15" customHeight="1" x14ac:dyDescent="0.25">
      <c r="F360" s="16">
        <v>44251</v>
      </c>
      <c r="G360" s="54">
        <v>200</v>
      </c>
      <c r="H360" s="49" t="s">
        <v>264</v>
      </c>
      <c r="I360" t="s">
        <v>527</v>
      </c>
      <c r="J360" t="s">
        <v>528</v>
      </c>
    </row>
    <row r="361" spans="6:10" ht="15" customHeight="1" x14ac:dyDescent="0.25">
      <c r="F361" s="16">
        <v>44251</v>
      </c>
      <c r="G361" s="54">
        <v>1000</v>
      </c>
      <c r="H361" s="49" t="s">
        <v>263</v>
      </c>
    </row>
    <row r="362" spans="6:10" ht="15" customHeight="1" x14ac:dyDescent="0.25">
      <c r="F362" s="16">
        <v>44252</v>
      </c>
      <c r="G362" s="54">
        <v>143.52000000000001</v>
      </c>
      <c r="H362" s="49" t="s">
        <v>43</v>
      </c>
      <c r="I362" t="s">
        <v>16</v>
      </c>
    </row>
    <row r="363" spans="6:10" ht="15" customHeight="1" x14ac:dyDescent="0.25">
      <c r="F363" s="16">
        <v>44252</v>
      </c>
      <c r="G363" s="54">
        <v>49.2</v>
      </c>
      <c r="H363" s="49" t="s">
        <v>264</v>
      </c>
      <c r="I363" t="s">
        <v>538</v>
      </c>
      <c r="J363" t="s">
        <v>530</v>
      </c>
    </row>
    <row r="364" spans="6:10" ht="15" customHeight="1" x14ac:dyDescent="0.25">
      <c r="F364" s="16">
        <v>44253</v>
      </c>
      <c r="G364" s="54">
        <v>100</v>
      </c>
      <c r="H364" s="49" t="s">
        <v>264</v>
      </c>
      <c r="I364" t="s">
        <v>538</v>
      </c>
      <c r="J364" t="s">
        <v>531</v>
      </c>
    </row>
    <row r="365" spans="6:10" ht="15" customHeight="1" x14ac:dyDescent="0.25">
      <c r="F365" s="16">
        <v>44251</v>
      </c>
      <c r="G365" s="54">
        <v>7800</v>
      </c>
      <c r="H365" s="49" t="s">
        <v>264</v>
      </c>
      <c r="I365" t="s">
        <v>527</v>
      </c>
      <c r="J365" t="s">
        <v>528</v>
      </c>
    </row>
    <row r="366" spans="6:10" ht="15" customHeight="1" x14ac:dyDescent="0.25">
      <c r="F366" s="16">
        <v>44256</v>
      </c>
      <c r="G366" s="54">
        <v>0.99</v>
      </c>
      <c r="H366" s="49" t="s">
        <v>22</v>
      </c>
      <c r="I366" t="s">
        <v>58</v>
      </c>
    </row>
    <row r="367" spans="6:10" ht="15" customHeight="1" x14ac:dyDescent="0.25">
      <c r="F367" s="16">
        <v>44257</v>
      </c>
      <c r="G367" s="54">
        <v>16.079999999999998</v>
      </c>
      <c r="H367" s="49" t="s">
        <v>120</v>
      </c>
      <c r="I367" t="s">
        <v>206</v>
      </c>
      <c r="J367" t="s">
        <v>120</v>
      </c>
    </row>
    <row r="368" spans="6:10" ht="15" customHeight="1" x14ac:dyDescent="0.25">
      <c r="F368" s="16">
        <v>44257</v>
      </c>
      <c r="G368" s="54">
        <v>70.680000000000007</v>
      </c>
      <c r="H368" s="49" t="s">
        <v>264</v>
      </c>
      <c r="I368" t="s">
        <v>538</v>
      </c>
      <c r="J368" t="s">
        <v>196</v>
      </c>
    </row>
    <row r="369" spans="6:10" ht="15" customHeight="1" x14ac:dyDescent="0.25">
      <c r="F369" s="16">
        <v>44257</v>
      </c>
      <c r="G369" s="54">
        <v>23.78</v>
      </c>
      <c r="H369" s="49" t="s">
        <v>120</v>
      </c>
      <c r="I369" t="s">
        <v>32</v>
      </c>
      <c r="J369" t="s">
        <v>120</v>
      </c>
    </row>
    <row r="370" spans="6:10" ht="15" customHeight="1" x14ac:dyDescent="0.25">
      <c r="F370" s="16">
        <v>44258</v>
      </c>
      <c r="G370" s="54">
        <v>128.71</v>
      </c>
      <c r="H370" s="49" t="s">
        <v>120</v>
      </c>
      <c r="I370" t="s">
        <v>532</v>
      </c>
    </row>
    <row r="371" spans="6:10" ht="15" customHeight="1" x14ac:dyDescent="0.25">
      <c r="F371" s="16">
        <v>44258</v>
      </c>
      <c r="G371" s="54">
        <v>20.09</v>
      </c>
      <c r="H371" s="49" t="s">
        <v>120</v>
      </c>
      <c r="I371" t="s">
        <v>32</v>
      </c>
    </row>
    <row r="372" spans="6:10" ht="15" customHeight="1" x14ac:dyDescent="0.25">
      <c r="F372" s="16">
        <v>44259</v>
      </c>
      <c r="G372" s="54">
        <v>9.23</v>
      </c>
      <c r="H372" s="49" t="s">
        <v>120</v>
      </c>
      <c r="I372" t="s">
        <v>206</v>
      </c>
    </row>
    <row r="373" spans="6:10" ht="15" customHeight="1" x14ac:dyDescent="0.25">
      <c r="F373" s="16">
        <v>44259</v>
      </c>
      <c r="G373" s="54">
        <v>200</v>
      </c>
      <c r="H373" s="49" t="s">
        <v>263</v>
      </c>
    </row>
    <row r="374" spans="6:10" ht="15" customHeight="1" x14ac:dyDescent="0.25">
      <c r="F374" s="16">
        <v>44259</v>
      </c>
      <c r="G374" s="54">
        <v>84.07</v>
      </c>
      <c r="H374" s="49" t="s">
        <v>43</v>
      </c>
      <c r="I374" t="s">
        <v>450</v>
      </c>
    </row>
    <row r="375" spans="6:10" ht="15" customHeight="1" x14ac:dyDescent="0.25">
      <c r="F375" s="16">
        <v>44260</v>
      </c>
      <c r="G375" s="54">
        <v>87.72</v>
      </c>
      <c r="H375" s="49" t="s">
        <v>43</v>
      </c>
      <c r="I375" t="s">
        <v>16</v>
      </c>
    </row>
    <row r="376" spans="6:10" ht="15" customHeight="1" x14ac:dyDescent="0.25">
      <c r="F376" s="16">
        <v>44261</v>
      </c>
      <c r="G376" s="54">
        <v>630</v>
      </c>
      <c r="H376" s="49" t="s">
        <v>43</v>
      </c>
      <c r="I376" t="s">
        <v>16</v>
      </c>
    </row>
    <row r="377" spans="6:10" ht="15" customHeight="1" x14ac:dyDescent="0.25">
      <c r="F377" s="16">
        <v>44261</v>
      </c>
      <c r="G377" s="54">
        <v>200</v>
      </c>
      <c r="H377" s="49" t="s">
        <v>263</v>
      </c>
    </row>
    <row r="378" spans="6:10" ht="15" customHeight="1" x14ac:dyDescent="0.25">
      <c r="F378" s="16">
        <v>44263</v>
      </c>
      <c r="G378" s="54">
        <v>100</v>
      </c>
      <c r="H378" s="49" t="s">
        <v>263</v>
      </c>
    </row>
    <row r="379" spans="6:10" ht="15" customHeight="1" x14ac:dyDescent="0.25">
      <c r="F379" s="16">
        <v>44263</v>
      </c>
      <c r="G379" s="54">
        <v>0.99</v>
      </c>
      <c r="H379" s="49" t="s">
        <v>22</v>
      </c>
      <c r="I379" t="s">
        <v>58</v>
      </c>
    </row>
    <row r="380" spans="6:10" ht="15" customHeight="1" x14ac:dyDescent="0.25">
      <c r="F380" s="16">
        <v>44263</v>
      </c>
      <c r="G380" s="54">
        <v>200</v>
      </c>
      <c r="H380" s="49" t="s">
        <v>263</v>
      </c>
    </row>
    <row r="381" spans="6:10" ht="15" customHeight="1" x14ac:dyDescent="0.25">
      <c r="F381" s="16">
        <v>44263</v>
      </c>
      <c r="G381" s="54">
        <v>700</v>
      </c>
      <c r="H381" s="49" t="s">
        <v>264</v>
      </c>
      <c r="I381" t="s">
        <v>527</v>
      </c>
      <c r="J381" t="s">
        <v>48</v>
      </c>
    </row>
    <row r="382" spans="6:10" ht="15" customHeight="1" x14ac:dyDescent="0.25">
      <c r="F382" s="16">
        <v>44264</v>
      </c>
      <c r="G382" s="54">
        <v>9.9</v>
      </c>
      <c r="H382" s="49" t="s">
        <v>36</v>
      </c>
    </row>
    <row r="383" spans="6:10" ht="15" customHeight="1" x14ac:dyDescent="0.25">
      <c r="F383" s="16">
        <v>44264</v>
      </c>
      <c r="G383" s="54">
        <v>1600</v>
      </c>
      <c r="H383" s="49" t="s">
        <v>263</v>
      </c>
    </row>
    <row r="384" spans="6:10" ht="15" customHeight="1" x14ac:dyDescent="0.25">
      <c r="F384" s="16">
        <v>44265</v>
      </c>
      <c r="G384" s="54">
        <v>10.15</v>
      </c>
      <c r="H384" s="49" t="s">
        <v>264</v>
      </c>
      <c r="I384" t="s">
        <v>538</v>
      </c>
      <c r="J384" t="s">
        <v>32</v>
      </c>
    </row>
    <row r="385" spans="6:10" ht="15" customHeight="1" x14ac:dyDescent="0.25">
      <c r="F385" s="16">
        <v>44265</v>
      </c>
      <c r="G385" s="54">
        <v>250</v>
      </c>
      <c r="H385" s="49" t="s">
        <v>264</v>
      </c>
      <c r="I385" t="s">
        <v>538</v>
      </c>
      <c r="J385" t="s">
        <v>48</v>
      </c>
    </row>
    <row r="386" spans="6:10" ht="15" customHeight="1" x14ac:dyDescent="0.25">
      <c r="F386" s="16">
        <v>44265</v>
      </c>
      <c r="G386" s="54">
        <v>10</v>
      </c>
      <c r="H386" s="49" t="s">
        <v>43</v>
      </c>
      <c r="I386" t="s">
        <v>533</v>
      </c>
      <c r="J386" t="s">
        <v>496</v>
      </c>
    </row>
    <row r="387" spans="6:10" ht="15" customHeight="1" x14ac:dyDescent="0.25">
      <c r="F387" s="16">
        <v>44266</v>
      </c>
      <c r="G387" s="54">
        <v>10980.19</v>
      </c>
      <c r="H387" s="49" t="s">
        <v>262</v>
      </c>
    </row>
    <row r="388" spans="6:10" ht="15" customHeight="1" x14ac:dyDescent="0.25">
      <c r="F388" s="16">
        <v>44266</v>
      </c>
      <c r="G388" s="54">
        <v>519.80999999999995</v>
      </c>
      <c r="H388" s="49" t="s">
        <v>262</v>
      </c>
    </row>
    <row r="389" spans="6:10" ht="15" customHeight="1" x14ac:dyDescent="0.25">
      <c r="F389" s="16">
        <v>44268</v>
      </c>
      <c r="G389" s="54">
        <v>105</v>
      </c>
      <c r="H389" s="49" t="s">
        <v>43</v>
      </c>
      <c r="I389" t="s">
        <v>16</v>
      </c>
    </row>
    <row r="390" spans="6:10" ht="15" customHeight="1" x14ac:dyDescent="0.25">
      <c r="F390" s="16">
        <v>44271</v>
      </c>
      <c r="G390" s="54">
        <v>88.26</v>
      </c>
      <c r="H390" s="49" t="s">
        <v>43</v>
      </c>
      <c r="I390" t="s">
        <v>16</v>
      </c>
    </row>
    <row r="391" spans="6:10" ht="15" customHeight="1" x14ac:dyDescent="0.25">
      <c r="F391" s="16">
        <v>44271</v>
      </c>
      <c r="G391" s="54">
        <v>52</v>
      </c>
      <c r="H391" s="49" t="s">
        <v>97</v>
      </c>
      <c r="I391" t="s">
        <v>481</v>
      </c>
    </row>
    <row r="392" spans="6:10" ht="15" customHeight="1" x14ac:dyDescent="0.25">
      <c r="F392" s="16">
        <v>44270</v>
      </c>
      <c r="G392" s="54">
        <v>0.99</v>
      </c>
      <c r="H392" s="49" t="s">
        <v>22</v>
      </c>
      <c r="I392" t="s">
        <v>58</v>
      </c>
    </row>
    <row r="393" spans="6:10" ht="15" customHeight="1" x14ac:dyDescent="0.25">
      <c r="F393" s="16">
        <v>44242</v>
      </c>
      <c r="G393" s="54"/>
      <c r="H393" s="49" t="s">
        <v>264</v>
      </c>
      <c r="I393" t="s">
        <v>457</v>
      </c>
      <c r="J393" t="s">
        <v>17</v>
      </c>
    </row>
    <row r="394" spans="6:10" ht="15" customHeight="1" x14ac:dyDescent="0.25">
      <c r="F394" s="16">
        <v>44246</v>
      </c>
      <c r="G394" s="54"/>
      <c r="H394" s="49" t="s">
        <v>264</v>
      </c>
      <c r="I394" t="s">
        <v>457</v>
      </c>
      <c r="J394" t="s">
        <v>17</v>
      </c>
    </row>
    <row r="395" spans="6:10" ht="15" customHeight="1" x14ac:dyDescent="0.25">
      <c r="F395" s="16">
        <v>44214</v>
      </c>
      <c r="G395" s="54"/>
      <c r="H395" s="49" t="s">
        <v>264</v>
      </c>
      <c r="I395" t="s">
        <v>457</v>
      </c>
      <c r="J395" t="s">
        <v>500</v>
      </c>
    </row>
    <row r="396" spans="6:10" ht="15" customHeight="1" x14ac:dyDescent="0.25">
      <c r="F396" s="16">
        <v>44272</v>
      </c>
      <c r="G396" s="54">
        <v>922.2</v>
      </c>
      <c r="H396" s="49" t="s">
        <v>264</v>
      </c>
      <c r="I396" t="s">
        <v>538</v>
      </c>
      <c r="J396" t="s">
        <v>535</v>
      </c>
    </row>
    <row r="397" spans="6:10" ht="15" customHeight="1" x14ac:dyDescent="0.25">
      <c r="F397" s="16">
        <v>44273</v>
      </c>
      <c r="G397" s="54"/>
      <c r="H397" s="49" t="s">
        <v>264</v>
      </c>
      <c r="I397" t="s">
        <v>539</v>
      </c>
      <c r="J397" t="s">
        <v>540</v>
      </c>
    </row>
    <row r="398" spans="6:10" ht="15" customHeight="1" x14ac:dyDescent="0.25">
      <c r="F398" s="16">
        <v>44273</v>
      </c>
      <c r="G398" s="54"/>
      <c r="H398" s="49" t="s">
        <v>264</v>
      </c>
      <c r="I398" t="s">
        <v>539</v>
      </c>
      <c r="J398" t="s">
        <v>104</v>
      </c>
    </row>
    <row r="399" spans="6:10" ht="15" customHeight="1" x14ac:dyDescent="0.25">
      <c r="F399" s="16">
        <v>44273</v>
      </c>
      <c r="G399" s="54"/>
      <c r="H399" s="49" t="s">
        <v>264</v>
      </c>
      <c r="I399" t="s">
        <v>539</v>
      </c>
      <c r="J399" t="s">
        <v>235</v>
      </c>
    </row>
    <row r="400" spans="6:10" ht="15" customHeight="1" x14ac:dyDescent="0.25">
      <c r="F400" s="16">
        <v>44274</v>
      </c>
      <c r="G400" s="54">
        <v>200</v>
      </c>
      <c r="H400" s="49" t="s">
        <v>263</v>
      </c>
    </row>
    <row r="401" spans="6:10" ht="15" customHeight="1" x14ac:dyDescent="0.25">
      <c r="F401" s="16">
        <v>44275</v>
      </c>
      <c r="G401" s="54">
        <v>100</v>
      </c>
      <c r="H401" s="49" t="s">
        <v>263</v>
      </c>
    </row>
    <row r="402" spans="6:10" ht="15" customHeight="1" x14ac:dyDescent="0.25">
      <c r="F402" s="16">
        <v>44275</v>
      </c>
      <c r="G402" s="8">
        <f>Summary!$H$60</f>
        <v>4975</v>
      </c>
      <c r="H402" s="49" t="s">
        <v>261</v>
      </c>
    </row>
    <row r="403" spans="6:10" ht="15" customHeight="1" x14ac:dyDescent="0.25">
      <c r="F403" s="16">
        <v>44278</v>
      </c>
      <c r="G403" s="54">
        <v>160.13</v>
      </c>
      <c r="H403" s="49" t="s">
        <v>43</v>
      </c>
      <c r="I403" t="s">
        <v>16</v>
      </c>
    </row>
    <row r="404" spans="6:10" ht="15" customHeight="1" x14ac:dyDescent="0.25">
      <c r="F404" s="16">
        <v>44278</v>
      </c>
      <c r="G404" s="54">
        <v>105</v>
      </c>
      <c r="H404" s="49" t="s">
        <v>43</v>
      </c>
      <c r="I404" t="s">
        <v>16</v>
      </c>
    </row>
    <row r="405" spans="6:10" ht="15" customHeight="1" x14ac:dyDescent="0.25">
      <c r="F405" s="16">
        <v>44278</v>
      </c>
      <c r="G405" s="54">
        <v>273</v>
      </c>
      <c r="H405" s="49" t="s">
        <v>40</v>
      </c>
      <c r="I405" t="s">
        <v>541</v>
      </c>
    </row>
    <row r="406" spans="6:10" ht="15" customHeight="1" x14ac:dyDescent="0.25">
      <c r="F406" s="16">
        <v>44280</v>
      </c>
      <c r="G406" s="54"/>
      <c r="H406" s="49" t="s">
        <v>122</v>
      </c>
      <c r="I406" t="s">
        <v>457</v>
      </c>
      <c r="J406" t="s">
        <v>542</v>
      </c>
    </row>
    <row r="407" spans="6:10" ht="15" customHeight="1" x14ac:dyDescent="0.25">
      <c r="F407" s="16">
        <v>44280</v>
      </c>
      <c r="G407" s="54">
        <v>143.52000000000001</v>
      </c>
      <c r="H407" s="49" t="s">
        <v>43</v>
      </c>
      <c r="I407" t="s">
        <v>16</v>
      </c>
    </row>
    <row r="408" spans="6:10" ht="15" customHeight="1" x14ac:dyDescent="0.25">
      <c r="F408" s="16">
        <v>44280</v>
      </c>
      <c r="G408" s="54">
        <v>376.7</v>
      </c>
      <c r="H408" s="49" t="s">
        <v>122</v>
      </c>
      <c r="I408" t="s">
        <v>527</v>
      </c>
      <c r="J408" t="s">
        <v>33</v>
      </c>
    </row>
    <row r="409" spans="6:10" ht="15" customHeight="1" x14ac:dyDescent="0.25">
      <c r="F409" s="16">
        <v>44280</v>
      </c>
      <c r="G409" s="54"/>
      <c r="H409" s="49" t="s">
        <v>122</v>
      </c>
      <c r="I409" t="s">
        <v>457</v>
      </c>
      <c r="J409" t="s">
        <v>20</v>
      </c>
    </row>
    <row r="410" spans="6:10" ht="15" customHeight="1" x14ac:dyDescent="0.25">
      <c r="F410" s="16">
        <v>44281</v>
      </c>
      <c r="G410" s="54"/>
      <c r="H410" s="49" t="s">
        <v>122</v>
      </c>
      <c r="I410" t="s">
        <v>457</v>
      </c>
      <c r="J410" t="s">
        <v>543</v>
      </c>
    </row>
    <row r="411" spans="6:10" ht="15" customHeight="1" x14ac:dyDescent="0.25">
      <c r="F411" s="16">
        <v>44282</v>
      </c>
      <c r="G411" s="54"/>
      <c r="H411" s="49" t="s">
        <v>122</v>
      </c>
      <c r="I411" t="s">
        <v>457</v>
      </c>
      <c r="J411" t="s">
        <v>32</v>
      </c>
    </row>
    <row r="412" spans="6:10" ht="15" customHeight="1" x14ac:dyDescent="0.25">
      <c r="F412" s="16">
        <v>44277</v>
      </c>
      <c r="G412" s="54">
        <v>0.99</v>
      </c>
      <c r="H412" s="49" t="s">
        <v>22</v>
      </c>
      <c r="I412" t="s">
        <v>58</v>
      </c>
    </row>
    <row r="413" spans="6:10" ht="15" customHeight="1" x14ac:dyDescent="0.25">
      <c r="F413" s="16">
        <v>44284</v>
      </c>
      <c r="G413" s="54">
        <v>0.99</v>
      </c>
      <c r="H413" s="49" t="s">
        <v>22</v>
      </c>
      <c r="I413" t="s">
        <v>58</v>
      </c>
    </row>
    <row r="414" spans="6:10" ht="15" customHeight="1" x14ac:dyDescent="0.25">
      <c r="F414" s="16">
        <v>44284</v>
      </c>
      <c r="G414" s="54">
        <v>39.53</v>
      </c>
      <c r="H414" s="49" t="s">
        <v>43</v>
      </c>
      <c r="I414" t="s">
        <v>453</v>
      </c>
    </row>
    <row r="415" spans="6:10" ht="15" customHeight="1" x14ac:dyDescent="0.25">
      <c r="F415" s="16">
        <v>44285</v>
      </c>
      <c r="G415" s="54"/>
      <c r="H415" s="49" t="s">
        <v>122</v>
      </c>
      <c r="I415" t="s">
        <v>457</v>
      </c>
    </row>
    <row r="416" spans="6:10" ht="15" customHeight="1" x14ac:dyDescent="0.25">
      <c r="F416" s="16">
        <v>44285</v>
      </c>
      <c r="G416" s="54">
        <v>700</v>
      </c>
      <c r="H416" s="49" t="s">
        <v>263</v>
      </c>
    </row>
    <row r="417" spans="6:9" ht="15" customHeight="1" x14ac:dyDescent="0.25">
      <c r="F417" s="16">
        <v>44288</v>
      </c>
      <c r="G417" s="54">
        <v>87.72</v>
      </c>
      <c r="H417" s="49" t="s">
        <v>43</v>
      </c>
      <c r="I417" t="s">
        <v>16</v>
      </c>
    </row>
    <row r="418" spans="6:9" ht="15" customHeight="1" x14ac:dyDescent="0.25">
      <c r="F418" s="16">
        <v>44288</v>
      </c>
      <c r="G418" s="54">
        <v>4.99</v>
      </c>
      <c r="H418" s="49" t="s">
        <v>46</v>
      </c>
      <c r="I418" t="s">
        <v>47</v>
      </c>
    </row>
    <row r="419" spans="6:9" ht="15" customHeight="1" x14ac:dyDescent="0.25">
      <c r="F419" s="16">
        <v>44290</v>
      </c>
      <c r="G419" s="54"/>
      <c r="H419" s="49" t="s">
        <v>122</v>
      </c>
      <c r="I419" t="s">
        <v>539</v>
      </c>
    </row>
    <row r="420" spans="6:9" ht="15" customHeight="1" x14ac:dyDescent="0.25">
      <c r="F420" s="16">
        <v>44292</v>
      </c>
      <c r="G420" s="54">
        <v>0.99</v>
      </c>
      <c r="H420" s="49" t="s">
        <v>22</v>
      </c>
      <c r="I420" t="s">
        <v>58</v>
      </c>
    </row>
    <row r="421" spans="6:9" ht="15" customHeight="1" x14ac:dyDescent="0.25">
      <c r="F421" s="16">
        <v>44292</v>
      </c>
      <c r="G421" s="54">
        <v>120</v>
      </c>
      <c r="H421" s="49" t="s">
        <v>263</v>
      </c>
    </row>
    <row r="422" spans="6:9" ht="15" customHeight="1" x14ac:dyDescent="0.25">
      <c r="F422" s="16">
        <v>44293</v>
      </c>
      <c r="G422" s="54">
        <v>630</v>
      </c>
      <c r="H422" s="49" t="s">
        <v>43</v>
      </c>
      <c r="I422" t="s">
        <v>16</v>
      </c>
    </row>
    <row r="423" spans="6:9" ht="15" customHeight="1" x14ac:dyDescent="0.25">
      <c r="F423" s="16">
        <v>44293</v>
      </c>
      <c r="G423" s="54">
        <v>105</v>
      </c>
      <c r="H423" s="49" t="s">
        <v>43</v>
      </c>
      <c r="I423" t="s">
        <v>16</v>
      </c>
    </row>
    <row r="424" spans="6:9" ht="15" customHeight="1" x14ac:dyDescent="0.25">
      <c r="F424" s="16">
        <v>44293</v>
      </c>
      <c r="G424" s="54">
        <v>88</v>
      </c>
      <c r="H424" t="s">
        <v>43</v>
      </c>
      <c r="I424" t="s">
        <v>500</v>
      </c>
    </row>
    <row r="425" spans="6:9" ht="15" customHeight="1" x14ac:dyDescent="0.25">
      <c r="F425" s="16">
        <v>44293</v>
      </c>
      <c r="G425" s="54">
        <v>380</v>
      </c>
      <c r="H425" t="s">
        <v>263</v>
      </c>
    </row>
    <row r="426" spans="6:9" ht="15" customHeight="1" x14ac:dyDescent="0.25">
      <c r="F426" s="16">
        <v>44294</v>
      </c>
      <c r="G426" s="54">
        <v>9.9</v>
      </c>
      <c r="H426" t="s">
        <v>36</v>
      </c>
      <c r="I426" t="s">
        <v>550</v>
      </c>
    </row>
    <row r="427" spans="6:9" ht="15" customHeight="1" x14ac:dyDescent="0.25">
      <c r="F427" s="16">
        <v>44295</v>
      </c>
      <c r="G427" s="54">
        <v>7.59</v>
      </c>
      <c r="H427" t="s">
        <v>22</v>
      </c>
      <c r="I427" t="s">
        <v>58</v>
      </c>
    </row>
    <row r="428" spans="6:9" ht="15" customHeight="1" x14ac:dyDescent="0.25">
      <c r="F428" s="16">
        <v>44297</v>
      </c>
      <c r="G428" s="54">
        <v>2000</v>
      </c>
      <c r="H428" t="s">
        <v>263</v>
      </c>
    </row>
    <row r="429" spans="6:9" ht="15" customHeight="1" x14ac:dyDescent="0.25">
      <c r="F429" s="16">
        <v>44298</v>
      </c>
      <c r="G429" s="54">
        <v>0.99</v>
      </c>
      <c r="H429" t="s">
        <v>22</v>
      </c>
      <c r="I429" t="s">
        <v>58</v>
      </c>
    </row>
    <row r="430" spans="6:9" ht="15" customHeight="1" x14ac:dyDescent="0.25">
      <c r="F430" s="16">
        <v>44299</v>
      </c>
      <c r="G430" s="54">
        <v>105</v>
      </c>
      <c r="H430" t="s">
        <v>43</v>
      </c>
      <c r="I430" t="s">
        <v>16</v>
      </c>
    </row>
    <row r="431" spans="6:9" ht="15" customHeight="1" x14ac:dyDescent="0.25">
      <c r="F431" s="16">
        <v>44300</v>
      </c>
      <c r="G431" s="54">
        <v>88.26</v>
      </c>
      <c r="H431" t="s">
        <v>43</v>
      </c>
      <c r="I431" t="s">
        <v>16</v>
      </c>
    </row>
    <row r="432" spans="6:9" ht="15" customHeight="1" x14ac:dyDescent="0.25">
      <c r="F432" s="16">
        <v>44300</v>
      </c>
      <c r="G432" s="54">
        <v>52</v>
      </c>
      <c r="H432" t="s">
        <v>97</v>
      </c>
      <c r="I432" t="s">
        <v>481</v>
      </c>
    </row>
    <row r="433" spans="6:10" ht="15" customHeight="1" x14ac:dyDescent="0.25">
      <c r="F433" s="16">
        <v>44300</v>
      </c>
      <c r="G433" s="54">
        <v>4.6900000000000004</v>
      </c>
      <c r="H433" t="s">
        <v>43</v>
      </c>
      <c r="I433" t="s">
        <v>453</v>
      </c>
    </row>
    <row r="434" spans="6:10" ht="15" customHeight="1" x14ac:dyDescent="0.25">
      <c r="F434" s="16">
        <v>44300</v>
      </c>
      <c r="G434" s="54">
        <v>44.9</v>
      </c>
      <c r="H434" t="s">
        <v>43</v>
      </c>
      <c r="I434" t="s">
        <v>453</v>
      </c>
    </row>
    <row r="435" spans="6:10" ht="15" customHeight="1" x14ac:dyDescent="0.25">
      <c r="F435" s="16">
        <v>44303</v>
      </c>
      <c r="G435" s="54">
        <v>2</v>
      </c>
      <c r="H435" t="s">
        <v>43</v>
      </c>
      <c r="I435" t="s">
        <v>556</v>
      </c>
    </row>
    <row r="436" spans="6:10" ht="15" customHeight="1" x14ac:dyDescent="0.25">
      <c r="F436" s="16">
        <v>44303</v>
      </c>
      <c r="G436" s="54"/>
      <c r="H436" t="s">
        <v>264</v>
      </c>
      <c r="I436" t="s">
        <v>539</v>
      </c>
    </row>
    <row r="437" spans="6:10" ht="15" customHeight="1" x14ac:dyDescent="0.25">
      <c r="F437" s="16">
        <v>44305</v>
      </c>
      <c r="G437" s="54">
        <v>0.99</v>
      </c>
      <c r="H437" t="s">
        <v>22</v>
      </c>
      <c r="I437" t="s">
        <v>58</v>
      </c>
    </row>
    <row r="438" spans="6:10" ht="15" customHeight="1" x14ac:dyDescent="0.25">
      <c r="F438" s="16">
        <v>44306</v>
      </c>
      <c r="G438" s="54">
        <v>58.51</v>
      </c>
      <c r="H438" t="s">
        <v>43</v>
      </c>
      <c r="I438" t="s">
        <v>559</v>
      </c>
    </row>
    <row r="439" spans="6:10" ht="15" customHeight="1" x14ac:dyDescent="0.25">
      <c r="F439" s="16">
        <v>44306</v>
      </c>
      <c r="G439" s="54">
        <v>6015</v>
      </c>
      <c r="H439" t="s">
        <v>264</v>
      </c>
      <c r="I439" t="s">
        <v>704</v>
      </c>
      <c r="J439" t="s">
        <v>719</v>
      </c>
    </row>
    <row r="440" spans="6:10" ht="15" customHeight="1" x14ac:dyDescent="0.25">
      <c r="F440" s="16">
        <v>44307</v>
      </c>
      <c r="G440" s="54">
        <v>105</v>
      </c>
      <c r="H440" t="s">
        <v>43</v>
      </c>
      <c r="I440" t="s">
        <v>16</v>
      </c>
    </row>
    <row r="441" spans="6:10" ht="15" customHeight="1" x14ac:dyDescent="0.25">
      <c r="F441" s="16">
        <v>44308</v>
      </c>
      <c r="G441" s="54">
        <v>4.99</v>
      </c>
      <c r="H441" t="s">
        <v>46</v>
      </c>
      <c r="I441" t="s">
        <v>47</v>
      </c>
    </row>
    <row r="442" spans="6:10" ht="15" customHeight="1" x14ac:dyDescent="0.25">
      <c r="F442" s="16">
        <v>44308</v>
      </c>
      <c r="G442" s="54">
        <v>581.4</v>
      </c>
      <c r="H442" t="s">
        <v>264</v>
      </c>
      <c r="I442" t="s">
        <v>704</v>
      </c>
      <c r="J442" t="s">
        <v>719</v>
      </c>
    </row>
    <row r="443" spans="6:10" ht="15" customHeight="1" x14ac:dyDescent="0.25">
      <c r="F443" s="16">
        <v>44308</v>
      </c>
      <c r="G443" s="54">
        <v>250</v>
      </c>
      <c r="H443" t="s">
        <v>261</v>
      </c>
    </row>
    <row r="444" spans="6:10" ht="15" customHeight="1" x14ac:dyDescent="0.25">
      <c r="F444" s="16">
        <v>44309</v>
      </c>
      <c r="G444" s="54">
        <v>143.52000000000001</v>
      </c>
      <c r="H444" t="s">
        <v>43</v>
      </c>
      <c r="I444" t="s">
        <v>16</v>
      </c>
    </row>
    <row r="445" spans="6:10" ht="15" customHeight="1" x14ac:dyDescent="0.25">
      <c r="F445" s="16">
        <v>44309</v>
      </c>
      <c r="G445" s="54">
        <v>160.13</v>
      </c>
      <c r="H445" t="s">
        <v>43</v>
      </c>
      <c r="I445" t="s">
        <v>16</v>
      </c>
    </row>
    <row r="446" spans="6:10" ht="15" customHeight="1" x14ac:dyDescent="0.25">
      <c r="F446" s="16">
        <v>44310</v>
      </c>
      <c r="G446" s="54"/>
      <c r="H446" t="s">
        <v>264</v>
      </c>
      <c r="I446" t="s">
        <v>539</v>
      </c>
    </row>
    <row r="447" spans="6:10" ht="15" customHeight="1" x14ac:dyDescent="0.25">
      <c r="F447" s="16">
        <v>44310</v>
      </c>
      <c r="G447" s="54">
        <v>105</v>
      </c>
      <c r="H447" t="s">
        <v>43</v>
      </c>
      <c r="I447" t="s">
        <v>16</v>
      </c>
    </row>
    <row r="448" spans="6:10" ht="15" customHeight="1" x14ac:dyDescent="0.25">
      <c r="F448" s="16">
        <v>44312</v>
      </c>
      <c r="G448" s="54">
        <v>82</v>
      </c>
      <c r="H448" t="s">
        <v>40</v>
      </c>
      <c r="I448" t="s">
        <v>541</v>
      </c>
    </row>
    <row r="449" spans="6:10" ht="15" customHeight="1" x14ac:dyDescent="0.25">
      <c r="F449" s="16">
        <v>44312</v>
      </c>
      <c r="G449" s="54"/>
      <c r="H449" t="s">
        <v>264</v>
      </c>
      <c r="I449" t="s">
        <v>579</v>
      </c>
    </row>
    <row r="450" spans="6:10" ht="15" customHeight="1" x14ac:dyDescent="0.25">
      <c r="F450" s="16">
        <v>44312</v>
      </c>
      <c r="G450" s="54">
        <v>0.99</v>
      </c>
      <c r="H450" t="s">
        <v>22</v>
      </c>
      <c r="I450" t="s">
        <v>58</v>
      </c>
    </row>
    <row r="451" spans="6:10" ht="15" customHeight="1" x14ac:dyDescent="0.25">
      <c r="F451" s="16">
        <v>44313</v>
      </c>
      <c r="G451" s="54"/>
      <c r="H451" t="s">
        <v>264</v>
      </c>
      <c r="I451" t="s">
        <v>579</v>
      </c>
    </row>
    <row r="452" spans="6:10" ht="15" customHeight="1" x14ac:dyDescent="0.25">
      <c r="F452" s="16">
        <v>44314</v>
      </c>
      <c r="G452" s="54">
        <v>200</v>
      </c>
      <c r="H452" t="s">
        <v>261</v>
      </c>
    </row>
    <row r="453" spans="6:10" ht="15" customHeight="1" x14ac:dyDescent="0.25">
      <c r="F453" s="16">
        <v>44314</v>
      </c>
      <c r="G453" s="54">
        <v>200</v>
      </c>
      <c r="H453" t="s">
        <v>263</v>
      </c>
    </row>
    <row r="454" spans="6:10" ht="15" customHeight="1" x14ac:dyDescent="0.25">
      <c r="F454" s="16">
        <v>44315</v>
      </c>
      <c r="G454" s="54">
        <v>82</v>
      </c>
      <c r="H454" t="s">
        <v>40</v>
      </c>
      <c r="I454" t="s">
        <v>541</v>
      </c>
    </row>
    <row r="455" spans="6:10" ht="15" customHeight="1" x14ac:dyDescent="0.25">
      <c r="F455" s="16">
        <v>44317</v>
      </c>
      <c r="G455" s="54">
        <v>150.01</v>
      </c>
      <c r="H455" t="s">
        <v>43</v>
      </c>
      <c r="I455" t="s">
        <v>16</v>
      </c>
    </row>
    <row r="456" spans="6:10" ht="15" customHeight="1" x14ac:dyDescent="0.25">
      <c r="F456" s="16">
        <v>44319</v>
      </c>
      <c r="G456" s="54">
        <v>0.99</v>
      </c>
      <c r="H456" t="s">
        <v>22</v>
      </c>
      <c r="I456" t="s">
        <v>58</v>
      </c>
    </row>
    <row r="457" spans="6:10" ht="15" customHeight="1" x14ac:dyDescent="0.25">
      <c r="F457" s="16">
        <v>44320</v>
      </c>
      <c r="G457" s="54">
        <v>105</v>
      </c>
      <c r="H457" t="s">
        <v>43</v>
      </c>
      <c r="I457" t="s">
        <v>16</v>
      </c>
    </row>
    <row r="458" spans="6:10" ht="15" customHeight="1" x14ac:dyDescent="0.25">
      <c r="F458" s="16">
        <v>44320</v>
      </c>
      <c r="G458" s="54">
        <v>87.72</v>
      </c>
      <c r="H458" t="s">
        <v>43</v>
      </c>
      <c r="I458" t="s">
        <v>16</v>
      </c>
    </row>
    <row r="459" spans="6:10" ht="15" customHeight="1" x14ac:dyDescent="0.25">
      <c r="F459" s="16">
        <v>44321</v>
      </c>
      <c r="G459" s="54">
        <v>148.5</v>
      </c>
      <c r="H459" t="s">
        <v>43</v>
      </c>
      <c r="I459" t="s">
        <v>450</v>
      </c>
    </row>
    <row r="460" spans="6:10" ht="15" customHeight="1" x14ac:dyDescent="0.25">
      <c r="F460" s="16">
        <v>44323</v>
      </c>
      <c r="G460" s="54"/>
      <c r="H460" t="s">
        <v>43</v>
      </c>
      <c r="I460" t="s">
        <v>16</v>
      </c>
      <c r="J460" t="s">
        <v>609</v>
      </c>
    </row>
    <row r="461" spans="6:10" ht="15" customHeight="1" x14ac:dyDescent="0.25">
      <c r="F461" s="16">
        <v>44323</v>
      </c>
      <c r="G461" s="54">
        <v>300</v>
      </c>
      <c r="H461" t="s">
        <v>263</v>
      </c>
    </row>
    <row r="462" spans="6:10" ht="15" customHeight="1" x14ac:dyDescent="0.25">
      <c r="F462" s="16">
        <v>44324</v>
      </c>
      <c r="G462" s="54">
        <v>9.9</v>
      </c>
      <c r="H462" t="s">
        <v>36</v>
      </c>
    </row>
    <row r="463" spans="6:10" ht="15" customHeight="1" x14ac:dyDescent="0.25">
      <c r="F463" s="16">
        <v>44324</v>
      </c>
      <c r="G463" s="54">
        <v>630</v>
      </c>
      <c r="H463" t="s">
        <v>43</v>
      </c>
      <c r="I463" t="s">
        <v>16</v>
      </c>
    </row>
    <row r="464" spans="6:10" ht="15" customHeight="1" x14ac:dyDescent="0.25">
      <c r="F464" s="16">
        <v>44329</v>
      </c>
      <c r="G464" s="54">
        <v>108.45</v>
      </c>
      <c r="H464" t="s">
        <v>43</v>
      </c>
      <c r="I464" t="s">
        <v>16</v>
      </c>
    </row>
    <row r="465" spans="6:10" ht="15" customHeight="1" x14ac:dyDescent="0.25">
      <c r="F465" s="16">
        <v>44329</v>
      </c>
      <c r="G465" s="54">
        <v>28.82</v>
      </c>
      <c r="H465" t="s">
        <v>43</v>
      </c>
      <c r="I465" t="s">
        <v>453</v>
      </c>
    </row>
    <row r="466" spans="6:10" ht="15" customHeight="1" x14ac:dyDescent="0.25">
      <c r="F466" s="16">
        <v>44329</v>
      </c>
      <c r="G466" s="54">
        <v>34.85</v>
      </c>
      <c r="H466" t="s">
        <v>43</v>
      </c>
      <c r="I466" t="s">
        <v>453</v>
      </c>
    </row>
    <row r="467" spans="6:10" ht="15" customHeight="1" x14ac:dyDescent="0.25">
      <c r="F467" s="16">
        <v>44329</v>
      </c>
      <c r="G467" s="54">
        <v>105</v>
      </c>
      <c r="H467" t="s">
        <v>43</v>
      </c>
      <c r="I467" t="s">
        <v>16</v>
      </c>
    </row>
    <row r="468" spans="6:10" ht="15" customHeight="1" x14ac:dyDescent="0.25">
      <c r="F468" s="16">
        <v>44330</v>
      </c>
      <c r="G468" s="54">
        <v>88.26</v>
      </c>
      <c r="H468" t="s">
        <v>43</v>
      </c>
      <c r="I468" t="s">
        <v>16</v>
      </c>
    </row>
    <row r="469" spans="6:10" ht="15" customHeight="1" x14ac:dyDescent="0.25">
      <c r="F469" s="16">
        <v>44330</v>
      </c>
      <c r="G469" s="54">
        <v>52</v>
      </c>
      <c r="H469" t="s">
        <v>97</v>
      </c>
      <c r="I469" t="s">
        <v>481</v>
      </c>
    </row>
    <row r="470" spans="6:10" ht="15" customHeight="1" x14ac:dyDescent="0.25">
      <c r="F470" s="16">
        <v>44331</v>
      </c>
      <c r="G470" s="54">
        <v>50</v>
      </c>
      <c r="H470" t="s">
        <v>263</v>
      </c>
    </row>
    <row r="471" spans="6:10" ht="15" customHeight="1" x14ac:dyDescent="0.25">
      <c r="F471" s="16">
        <v>44331</v>
      </c>
      <c r="G471" s="54">
        <v>288</v>
      </c>
      <c r="H471" s="49" t="s">
        <v>43</v>
      </c>
      <c r="I471" t="s">
        <v>452</v>
      </c>
    </row>
    <row r="472" spans="6:10" ht="15" customHeight="1" x14ac:dyDescent="0.25">
      <c r="F472" s="16">
        <v>44332</v>
      </c>
      <c r="G472" s="54">
        <v>1000</v>
      </c>
      <c r="H472" t="s">
        <v>263</v>
      </c>
    </row>
    <row r="473" spans="6:10" ht="15" customHeight="1" x14ac:dyDescent="0.25">
      <c r="F473" s="16">
        <v>44326</v>
      </c>
      <c r="G473" s="54">
        <v>0.99</v>
      </c>
      <c r="H473" t="s">
        <v>22</v>
      </c>
    </row>
    <row r="474" spans="6:10" ht="15" customHeight="1" x14ac:dyDescent="0.25">
      <c r="F474" s="16">
        <v>44333</v>
      </c>
      <c r="G474" s="54">
        <v>200</v>
      </c>
      <c r="H474" t="s">
        <v>261</v>
      </c>
    </row>
    <row r="475" spans="6:10" ht="15" customHeight="1" x14ac:dyDescent="0.25">
      <c r="F475" s="16">
        <v>44334</v>
      </c>
      <c r="G475" s="54">
        <v>4.99</v>
      </c>
      <c r="H475" t="s">
        <v>46</v>
      </c>
      <c r="I475" t="s">
        <v>47</v>
      </c>
    </row>
    <row r="476" spans="6:10" ht="15" customHeight="1" x14ac:dyDescent="0.25">
      <c r="F476" s="16">
        <v>44334</v>
      </c>
      <c r="G476" s="54">
        <v>1000</v>
      </c>
      <c r="H476" t="s">
        <v>263</v>
      </c>
    </row>
    <row r="477" spans="6:10" ht="15" customHeight="1" x14ac:dyDescent="0.25">
      <c r="F477" s="16">
        <v>44333</v>
      </c>
      <c r="G477" s="54">
        <v>0.99</v>
      </c>
      <c r="H477" t="s">
        <v>22</v>
      </c>
      <c r="I477" t="s">
        <v>58</v>
      </c>
    </row>
    <row r="478" spans="6:10" ht="15" customHeight="1" x14ac:dyDescent="0.25">
      <c r="F478" s="16">
        <v>44258</v>
      </c>
      <c r="G478" s="54">
        <v>4609.7299999999996</v>
      </c>
      <c r="H478" t="s">
        <v>264</v>
      </c>
      <c r="I478" t="s">
        <v>720</v>
      </c>
      <c r="J478" t="s">
        <v>719</v>
      </c>
    </row>
    <row r="479" spans="6:10" ht="15" customHeight="1" x14ac:dyDescent="0.25">
      <c r="F479" s="16">
        <v>44334</v>
      </c>
      <c r="G479" s="54">
        <v>500</v>
      </c>
      <c r="H479" t="s">
        <v>261</v>
      </c>
    </row>
    <row r="480" spans="6:10" ht="15" customHeight="1" x14ac:dyDescent="0.25">
      <c r="F480" s="16">
        <v>44335</v>
      </c>
      <c r="G480" s="54">
        <v>34.85</v>
      </c>
      <c r="H480" t="s">
        <v>43</v>
      </c>
      <c r="I480" t="s">
        <v>453</v>
      </c>
    </row>
    <row r="481" spans="6:10" ht="15" customHeight="1" x14ac:dyDescent="0.25">
      <c r="F481" s="16">
        <v>44337</v>
      </c>
      <c r="G481" s="54">
        <v>105</v>
      </c>
      <c r="H481" t="s">
        <v>43</v>
      </c>
      <c r="I481" t="s">
        <v>16</v>
      </c>
    </row>
    <row r="482" spans="6:10" ht="15" customHeight="1" x14ac:dyDescent="0.25">
      <c r="F482" s="16">
        <v>44337</v>
      </c>
      <c r="G482" s="54">
        <v>1609.73</v>
      </c>
      <c r="H482" t="s">
        <v>263</v>
      </c>
    </row>
    <row r="483" spans="6:10" ht="15" customHeight="1" x14ac:dyDescent="0.25">
      <c r="F483" s="16">
        <v>44338</v>
      </c>
      <c r="G483" s="54">
        <v>92.77</v>
      </c>
      <c r="H483" t="s">
        <v>43</v>
      </c>
      <c r="I483" t="s">
        <v>453</v>
      </c>
    </row>
    <row r="484" spans="6:10" ht="15" customHeight="1" x14ac:dyDescent="0.25">
      <c r="F484" s="16">
        <v>44338</v>
      </c>
      <c r="G484" s="54"/>
      <c r="H484" t="s">
        <v>264</v>
      </c>
      <c r="I484" t="s">
        <v>595</v>
      </c>
    </row>
    <row r="485" spans="6:10" ht="15" customHeight="1" x14ac:dyDescent="0.25">
      <c r="F485" s="16">
        <v>44340</v>
      </c>
      <c r="G485" s="54">
        <v>0.99</v>
      </c>
      <c r="H485" t="s">
        <v>22</v>
      </c>
      <c r="I485" t="s">
        <v>58</v>
      </c>
    </row>
    <row r="486" spans="6:10" ht="15" customHeight="1" x14ac:dyDescent="0.25">
      <c r="F486" s="16">
        <v>44341</v>
      </c>
      <c r="G486" s="54">
        <v>15.6</v>
      </c>
      <c r="H486" t="s">
        <v>43</v>
      </c>
      <c r="I486" t="s">
        <v>453</v>
      </c>
    </row>
    <row r="487" spans="6:10" ht="15" customHeight="1" x14ac:dyDescent="0.25">
      <c r="F487" s="16">
        <v>44341</v>
      </c>
      <c r="G487" s="54">
        <v>105</v>
      </c>
      <c r="H487" t="s">
        <v>43</v>
      </c>
      <c r="I487" t="s">
        <v>16</v>
      </c>
    </row>
    <row r="488" spans="6:10" ht="15" customHeight="1" x14ac:dyDescent="0.25">
      <c r="F488" s="16">
        <v>44341</v>
      </c>
      <c r="G488" s="54">
        <v>143.52000000000001</v>
      </c>
      <c r="H488" t="s">
        <v>43</v>
      </c>
      <c r="I488" t="s">
        <v>16</v>
      </c>
    </row>
    <row r="489" spans="6:10" ht="15" customHeight="1" x14ac:dyDescent="0.25">
      <c r="F489" s="16">
        <v>44341</v>
      </c>
      <c r="G489" s="54">
        <v>550</v>
      </c>
      <c r="H489" t="s">
        <v>97</v>
      </c>
      <c r="I489" t="s">
        <v>596</v>
      </c>
    </row>
    <row r="490" spans="6:10" ht="15" customHeight="1" x14ac:dyDescent="0.25">
      <c r="F490" s="16">
        <v>44342</v>
      </c>
      <c r="G490" s="54">
        <v>250</v>
      </c>
      <c r="H490" t="s">
        <v>43</v>
      </c>
      <c r="I490" t="s">
        <v>598</v>
      </c>
    </row>
    <row r="491" spans="6:10" ht="15" customHeight="1" x14ac:dyDescent="0.25">
      <c r="F491" s="16">
        <v>44342</v>
      </c>
      <c r="G491" s="54">
        <v>70</v>
      </c>
      <c r="H491" t="s">
        <v>43</v>
      </c>
      <c r="I491" t="s">
        <v>16</v>
      </c>
    </row>
    <row r="492" spans="6:10" ht="15" customHeight="1" x14ac:dyDescent="0.25">
      <c r="F492" s="16">
        <v>44343</v>
      </c>
      <c r="G492" s="54">
        <v>2</v>
      </c>
      <c r="H492" t="s">
        <v>43</v>
      </c>
      <c r="I492" t="s">
        <v>57</v>
      </c>
      <c r="J492" t="s">
        <v>595</v>
      </c>
    </row>
    <row r="493" spans="6:10" ht="15" customHeight="1" x14ac:dyDescent="0.25">
      <c r="F493" s="16">
        <v>44343</v>
      </c>
      <c r="G493" s="54"/>
      <c r="H493" t="s">
        <v>264</v>
      </c>
      <c r="I493" t="s">
        <v>595</v>
      </c>
    </row>
    <row r="494" spans="6:10" ht="15" customHeight="1" x14ac:dyDescent="0.25">
      <c r="F494" s="16">
        <v>44343</v>
      </c>
      <c r="G494" s="54"/>
      <c r="H494" t="s">
        <v>264</v>
      </c>
      <c r="I494" t="s">
        <v>595</v>
      </c>
    </row>
    <row r="495" spans="6:10" ht="15" customHeight="1" x14ac:dyDescent="0.25">
      <c r="F495" s="16">
        <v>44343</v>
      </c>
      <c r="G495" s="54"/>
      <c r="H495" t="s">
        <v>264</v>
      </c>
      <c r="I495" t="s">
        <v>595</v>
      </c>
    </row>
    <row r="496" spans="6:10" ht="15" customHeight="1" x14ac:dyDescent="0.25">
      <c r="F496" s="16">
        <v>44344</v>
      </c>
      <c r="G496" s="54"/>
      <c r="H496" t="s">
        <v>264</v>
      </c>
      <c r="I496" t="s">
        <v>579</v>
      </c>
      <c r="J496" t="s">
        <v>601</v>
      </c>
    </row>
    <row r="497" spans="6:10" ht="15" customHeight="1" x14ac:dyDescent="0.25">
      <c r="F497" s="16">
        <v>44345</v>
      </c>
      <c r="G497" s="54">
        <v>4.99</v>
      </c>
      <c r="H497" t="s">
        <v>46</v>
      </c>
      <c r="I497" t="s">
        <v>47</v>
      </c>
    </row>
    <row r="498" spans="6:10" ht="15" customHeight="1" x14ac:dyDescent="0.25">
      <c r="F498" s="16">
        <v>44341</v>
      </c>
      <c r="G498" s="54">
        <v>10700</v>
      </c>
      <c r="H498" t="s">
        <v>264</v>
      </c>
      <c r="I498" t="s">
        <v>603</v>
      </c>
    </row>
    <row r="499" spans="6:10" ht="15" customHeight="1" x14ac:dyDescent="0.25">
      <c r="F499" s="16">
        <v>44345</v>
      </c>
      <c r="G499" s="54">
        <v>43.2</v>
      </c>
      <c r="H499" t="s">
        <v>43</v>
      </c>
      <c r="I499" t="s">
        <v>32</v>
      </c>
    </row>
    <row r="500" spans="6:10" ht="15" customHeight="1" x14ac:dyDescent="0.25">
      <c r="F500" s="16">
        <v>44345</v>
      </c>
      <c r="G500" s="54">
        <v>150</v>
      </c>
      <c r="H500" t="s">
        <v>43</v>
      </c>
      <c r="I500" t="s">
        <v>500</v>
      </c>
    </row>
    <row r="501" spans="6:10" ht="15" customHeight="1" x14ac:dyDescent="0.25">
      <c r="F501" s="16">
        <v>44347</v>
      </c>
      <c r="G501" s="54">
        <v>0.99</v>
      </c>
      <c r="H501" t="s">
        <v>22</v>
      </c>
      <c r="I501" t="s">
        <v>58</v>
      </c>
    </row>
    <row r="502" spans="6:10" ht="15" customHeight="1" x14ac:dyDescent="0.25">
      <c r="F502" s="16">
        <v>44348</v>
      </c>
      <c r="G502" s="54">
        <v>130</v>
      </c>
      <c r="H502" t="s">
        <v>43</v>
      </c>
      <c r="I502" t="s">
        <v>16</v>
      </c>
    </row>
    <row r="503" spans="6:10" ht="15" customHeight="1" x14ac:dyDescent="0.25">
      <c r="F503" s="16">
        <v>44348</v>
      </c>
      <c r="G503" s="54"/>
      <c r="H503" t="s">
        <v>122</v>
      </c>
      <c r="I503" t="s">
        <v>579</v>
      </c>
      <c r="J503" t="s">
        <v>196</v>
      </c>
    </row>
    <row r="504" spans="6:10" ht="15" customHeight="1" x14ac:dyDescent="0.25">
      <c r="F504" s="16">
        <v>44348</v>
      </c>
      <c r="G504" s="54">
        <v>132</v>
      </c>
      <c r="H504" t="s">
        <v>43</v>
      </c>
      <c r="I504" t="s">
        <v>607</v>
      </c>
    </row>
    <row r="505" spans="6:10" ht="15" customHeight="1" x14ac:dyDescent="0.25">
      <c r="F505" s="16">
        <v>44351</v>
      </c>
      <c r="G505" s="54">
        <v>105</v>
      </c>
      <c r="H505" t="s">
        <v>43</v>
      </c>
      <c r="I505" t="s">
        <v>16</v>
      </c>
    </row>
    <row r="506" spans="6:10" ht="15" customHeight="1" x14ac:dyDescent="0.25">
      <c r="F506" s="16">
        <v>44351</v>
      </c>
      <c r="G506" s="54">
        <v>88.01</v>
      </c>
      <c r="H506" t="s">
        <v>43</v>
      </c>
      <c r="I506" t="s">
        <v>16</v>
      </c>
    </row>
    <row r="507" spans="6:10" ht="15" customHeight="1" x14ac:dyDescent="0.25">
      <c r="F507" s="16">
        <v>44351</v>
      </c>
      <c r="G507" s="54"/>
      <c r="H507" t="s">
        <v>122</v>
      </c>
      <c r="I507" t="s">
        <v>579</v>
      </c>
    </row>
    <row r="508" spans="6:10" ht="15" customHeight="1" x14ac:dyDescent="0.25">
      <c r="F508" s="16">
        <v>44352</v>
      </c>
      <c r="G508" s="54">
        <v>150</v>
      </c>
      <c r="H508" t="s">
        <v>43</v>
      </c>
      <c r="I508" t="s">
        <v>595</v>
      </c>
    </row>
    <row r="509" spans="6:10" ht="15" customHeight="1" x14ac:dyDescent="0.25">
      <c r="F509" s="16">
        <v>44354</v>
      </c>
      <c r="G509" s="54">
        <v>532.15</v>
      </c>
      <c r="H509" t="s">
        <v>122</v>
      </c>
      <c r="I509" t="s">
        <v>603</v>
      </c>
    </row>
    <row r="510" spans="6:10" ht="15" customHeight="1" x14ac:dyDescent="0.25">
      <c r="F510" s="16">
        <v>44354</v>
      </c>
      <c r="G510" s="54">
        <v>0.99</v>
      </c>
      <c r="H510" t="s">
        <v>22</v>
      </c>
      <c r="I510" t="s">
        <v>58</v>
      </c>
    </row>
    <row r="511" spans="6:10" ht="15" customHeight="1" x14ac:dyDescent="0.25">
      <c r="F511" s="16">
        <v>44355</v>
      </c>
      <c r="G511" s="54">
        <v>9.9</v>
      </c>
      <c r="H511" t="s">
        <v>36</v>
      </c>
    </row>
    <row r="512" spans="6:10" ht="15" customHeight="1" x14ac:dyDescent="0.25">
      <c r="F512" s="16">
        <v>44355</v>
      </c>
      <c r="G512" s="54">
        <v>630</v>
      </c>
      <c r="H512" t="s">
        <v>43</v>
      </c>
      <c r="I512" t="s">
        <v>16</v>
      </c>
    </row>
    <row r="513" spans="6:10" ht="15" customHeight="1" x14ac:dyDescent="0.25">
      <c r="F513" s="16">
        <v>44355</v>
      </c>
      <c r="G513" s="54">
        <v>66.47</v>
      </c>
      <c r="H513" t="s">
        <v>43</v>
      </c>
      <c r="I513" t="s">
        <v>32</v>
      </c>
      <c r="J513" t="s">
        <v>595</v>
      </c>
    </row>
    <row r="514" spans="6:10" ht="15" customHeight="1" x14ac:dyDescent="0.25">
      <c r="F514" s="16">
        <v>44355</v>
      </c>
      <c r="G514" s="54"/>
      <c r="H514" t="s">
        <v>122</v>
      </c>
      <c r="I514" t="s">
        <v>579</v>
      </c>
    </row>
    <row r="515" spans="6:10" ht="15" customHeight="1" x14ac:dyDescent="0.25">
      <c r="F515" s="16">
        <v>44358</v>
      </c>
      <c r="G515" s="54">
        <v>108.45</v>
      </c>
      <c r="H515" t="s">
        <v>43</v>
      </c>
      <c r="I515" t="s">
        <v>16</v>
      </c>
    </row>
    <row r="516" spans="6:10" ht="15" customHeight="1" x14ac:dyDescent="0.25">
      <c r="F516" s="16">
        <v>44359</v>
      </c>
      <c r="G516" s="54">
        <v>4</v>
      </c>
      <c r="H516" t="s">
        <v>43</v>
      </c>
      <c r="I516" t="s">
        <v>616</v>
      </c>
    </row>
    <row r="517" spans="6:10" ht="15" customHeight="1" x14ac:dyDescent="0.25">
      <c r="F517" s="16">
        <v>44360</v>
      </c>
      <c r="G517" s="54"/>
      <c r="H517" t="s">
        <v>122</v>
      </c>
      <c r="I517" t="s">
        <v>579</v>
      </c>
      <c r="J517" t="s">
        <v>104</v>
      </c>
    </row>
    <row r="518" spans="6:10" ht="15" customHeight="1" x14ac:dyDescent="0.25">
      <c r="F518" s="16">
        <v>44360</v>
      </c>
      <c r="G518" s="54"/>
      <c r="H518" t="s">
        <v>122</v>
      </c>
      <c r="I518" t="s">
        <v>579</v>
      </c>
      <c r="J518" t="s">
        <v>617</v>
      </c>
    </row>
    <row r="519" spans="6:10" ht="15" customHeight="1" x14ac:dyDescent="0.25">
      <c r="F519" s="16">
        <v>44361</v>
      </c>
      <c r="G519" s="54">
        <v>0.99</v>
      </c>
      <c r="H519" t="s">
        <v>22</v>
      </c>
    </row>
    <row r="520" spans="6:10" ht="15" customHeight="1" x14ac:dyDescent="0.25">
      <c r="F520" s="16">
        <v>44362</v>
      </c>
      <c r="G520" s="54">
        <v>52</v>
      </c>
      <c r="H520" t="s">
        <v>97</v>
      </c>
      <c r="I520" t="s">
        <v>481</v>
      </c>
    </row>
    <row r="521" spans="6:10" ht="15" customHeight="1" x14ac:dyDescent="0.25">
      <c r="F521" s="16">
        <v>44362</v>
      </c>
      <c r="G521" s="54">
        <v>105</v>
      </c>
      <c r="H521" t="s">
        <v>43</v>
      </c>
      <c r="I521" t="s">
        <v>16</v>
      </c>
    </row>
    <row r="522" spans="6:10" ht="15" customHeight="1" x14ac:dyDescent="0.25">
      <c r="F522" s="16">
        <v>44362</v>
      </c>
      <c r="G522" s="54">
        <v>500</v>
      </c>
      <c r="H522" t="s">
        <v>261</v>
      </c>
    </row>
    <row r="523" spans="6:10" ht="15" customHeight="1" x14ac:dyDescent="0.25">
      <c r="F523" s="16">
        <v>44362</v>
      </c>
      <c r="G523" s="54">
        <v>100</v>
      </c>
      <c r="H523" t="s">
        <v>43</v>
      </c>
      <c r="I523" t="s">
        <v>603</v>
      </c>
    </row>
    <row r="524" spans="6:10" ht="15" customHeight="1" x14ac:dyDescent="0.25">
      <c r="F524" s="16">
        <v>44363</v>
      </c>
      <c r="G524" s="54">
        <v>88.26</v>
      </c>
      <c r="H524" t="s">
        <v>43</v>
      </c>
      <c r="I524" t="s">
        <v>16</v>
      </c>
    </row>
    <row r="525" spans="6:10" ht="15" customHeight="1" x14ac:dyDescent="0.25">
      <c r="F525" s="16">
        <v>44363</v>
      </c>
      <c r="G525" s="54">
        <v>4.99</v>
      </c>
      <c r="H525" t="s">
        <v>46</v>
      </c>
      <c r="I525" t="s">
        <v>47</v>
      </c>
    </row>
    <row r="526" spans="6:10" ht="15" customHeight="1" x14ac:dyDescent="0.25">
      <c r="F526" s="16">
        <v>44363</v>
      </c>
      <c r="G526" s="54">
        <v>70</v>
      </c>
      <c r="H526" t="s">
        <v>43</v>
      </c>
      <c r="I526" t="s">
        <v>16</v>
      </c>
    </row>
    <row r="527" spans="6:10" ht="15" customHeight="1" x14ac:dyDescent="0.25">
      <c r="F527" s="16">
        <v>44363</v>
      </c>
      <c r="G527" s="54">
        <v>22.21</v>
      </c>
      <c r="H527" t="s">
        <v>43</v>
      </c>
      <c r="I527" t="s">
        <v>206</v>
      </c>
    </row>
    <row r="528" spans="6:10" ht="15" customHeight="1" x14ac:dyDescent="0.25">
      <c r="F528" s="16">
        <v>44364</v>
      </c>
      <c r="G528" s="54">
        <v>39</v>
      </c>
      <c r="H528" t="s">
        <v>40</v>
      </c>
      <c r="I528" t="s">
        <v>621</v>
      </c>
    </row>
    <row r="529" spans="6:10" ht="15" customHeight="1" x14ac:dyDescent="0.25">
      <c r="F529" s="16">
        <v>44353</v>
      </c>
      <c r="G529" s="54">
        <v>2000</v>
      </c>
      <c r="H529" t="s">
        <v>263</v>
      </c>
    </row>
    <row r="530" spans="6:10" ht="15" customHeight="1" x14ac:dyDescent="0.25">
      <c r="F530" s="16">
        <v>44368</v>
      </c>
      <c r="G530" s="54">
        <v>0.99</v>
      </c>
      <c r="H530" t="s">
        <v>22</v>
      </c>
      <c r="I530" t="s">
        <v>58</v>
      </c>
    </row>
    <row r="531" spans="6:10" ht="15" customHeight="1" x14ac:dyDescent="0.25">
      <c r="F531" s="16">
        <v>44369</v>
      </c>
      <c r="G531" s="54">
        <v>105</v>
      </c>
      <c r="H531" t="s">
        <v>43</v>
      </c>
      <c r="I531" t="s">
        <v>16</v>
      </c>
    </row>
    <row r="532" spans="6:10" ht="15" customHeight="1" x14ac:dyDescent="0.25">
      <c r="F532" s="16">
        <v>44370</v>
      </c>
      <c r="G532" s="54">
        <v>30.1</v>
      </c>
      <c r="H532" t="s">
        <v>43</v>
      </c>
      <c r="I532" t="s">
        <v>206</v>
      </c>
    </row>
    <row r="533" spans="6:10" ht="15" customHeight="1" x14ac:dyDescent="0.25">
      <c r="F533" s="16">
        <v>44371</v>
      </c>
      <c r="G533" s="54">
        <v>15.08</v>
      </c>
      <c r="H533" t="s">
        <v>43</v>
      </c>
      <c r="I533" t="s">
        <v>206</v>
      </c>
    </row>
    <row r="534" spans="6:10" ht="15" customHeight="1" x14ac:dyDescent="0.25">
      <c r="F534" s="16">
        <v>44371</v>
      </c>
      <c r="G534" s="54">
        <v>105</v>
      </c>
      <c r="H534" t="s">
        <v>43</v>
      </c>
      <c r="I534" t="s">
        <v>16</v>
      </c>
    </row>
    <row r="535" spans="6:10" ht="15" customHeight="1" x14ac:dyDescent="0.25">
      <c r="F535" s="16">
        <v>44372</v>
      </c>
      <c r="G535" s="54">
        <v>87.9</v>
      </c>
      <c r="H535" t="s">
        <v>43</v>
      </c>
      <c r="I535" t="s">
        <v>16</v>
      </c>
    </row>
    <row r="536" spans="6:10" ht="15" customHeight="1" x14ac:dyDescent="0.25">
      <c r="F536" s="16">
        <v>44372</v>
      </c>
      <c r="G536" s="54">
        <v>153.69</v>
      </c>
      <c r="H536" t="s">
        <v>264</v>
      </c>
      <c r="I536" t="s">
        <v>720</v>
      </c>
      <c r="J536" t="s">
        <v>752</v>
      </c>
    </row>
    <row r="537" spans="6:10" ht="15" customHeight="1" x14ac:dyDescent="0.25">
      <c r="F537" s="16">
        <v>44372</v>
      </c>
      <c r="G537" s="54">
        <v>153.69</v>
      </c>
      <c r="H537" t="s">
        <v>264</v>
      </c>
      <c r="I537" t="s">
        <v>704</v>
      </c>
    </row>
    <row r="538" spans="6:10" ht="15" customHeight="1" x14ac:dyDescent="0.25">
      <c r="F538" s="16">
        <v>44372</v>
      </c>
      <c r="G538" s="54">
        <v>4000</v>
      </c>
      <c r="H538" t="s">
        <v>264</v>
      </c>
      <c r="I538" t="s">
        <v>720</v>
      </c>
      <c r="J538" t="s">
        <v>198</v>
      </c>
    </row>
    <row r="539" spans="6:10" ht="15" customHeight="1" x14ac:dyDescent="0.25">
      <c r="F539" s="16">
        <v>44372</v>
      </c>
      <c r="G539" s="54">
        <v>500</v>
      </c>
      <c r="H539" t="s">
        <v>261</v>
      </c>
    </row>
    <row r="540" spans="6:10" ht="15" customHeight="1" x14ac:dyDescent="0.25">
      <c r="F540" s="16">
        <v>44358</v>
      </c>
      <c r="G540" s="54"/>
      <c r="H540" t="s">
        <v>264</v>
      </c>
      <c r="I540" t="s">
        <v>579</v>
      </c>
    </row>
    <row r="541" spans="6:10" ht="15" customHeight="1" x14ac:dyDescent="0.25">
      <c r="F541" s="218">
        <v>44358</v>
      </c>
      <c r="G541" s="219">
        <v>9748.34</v>
      </c>
      <c r="H541" s="220" t="s">
        <v>264</v>
      </c>
      <c r="I541" s="220" t="s">
        <v>209</v>
      </c>
    </row>
    <row r="542" spans="6:10" ht="15" customHeight="1" x14ac:dyDescent="0.25">
      <c r="F542" s="16">
        <v>44358</v>
      </c>
      <c r="G542" s="54">
        <v>5647.7</v>
      </c>
      <c r="H542" t="s">
        <v>264</v>
      </c>
      <c r="I542" t="s">
        <v>721</v>
      </c>
    </row>
    <row r="543" spans="6:10" ht="15" customHeight="1" x14ac:dyDescent="0.25">
      <c r="F543" s="48">
        <v>44173</v>
      </c>
      <c r="G543" s="17">
        <v>-91.04</v>
      </c>
      <c r="H543" t="s">
        <v>43</v>
      </c>
      <c r="I543" t="s">
        <v>466</v>
      </c>
    </row>
    <row r="544" spans="6:10" ht="15" customHeight="1" x14ac:dyDescent="0.25">
      <c r="F544" s="48">
        <v>44173</v>
      </c>
      <c r="G544" s="17">
        <v>-25.47</v>
      </c>
      <c r="H544" t="s">
        <v>43</v>
      </c>
      <c r="I544" t="s">
        <v>466</v>
      </c>
    </row>
    <row r="545" spans="6:9" ht="15" customHeight="1" x14ac:dyDescent="0.25">
      <c r="F545" s="48">
        <v>44173</v>
      </c>
      <c r="G545" s="53">
        <v>-25.11</v>
      </c>
      <c r="H545" t="s">
        <v>43</v>
      </c>
      <c r="I545" t="s">
        <v>466</v>
      </c>
    </row>
    <row r="546" spans="6:9" ht="15" customHeight="1" x14ac:dyDescent="0.25">
      <c r="F546" s="48">
        <v>44173</v>
      </c>
      <c r="G546" s="17">
        <v>-89.13</v>
      </c>
      <c r="H546" t="s">
        <v>43</v>
      </c>
      <c r="I546" t="s">
        <v>466</v>
      </c>
    </row>
    <row r="547" spans="6:9" ht="15" customHeight="1" x14ac:dyDescent="0.25">
      <c r="F547" s="48">
        <v>44173</v>
      </c>
      <c r="G547" s="17">
        <v>-28.6</v>
      </c>
      <c r="H547" t="s">
        <v>43</v>
      </c>
      <c r="I547" t="s">
        <v>466</v>
      </c>
    </row>
    <row r="548" spans="6:9" ht="15" customHeight="1" x14ac:dyDescent="0.25">
      <c r="F548" s="48">
        <v>44173</v>
      </c>
      <c r="G548" s="17">
        <v>-47.41</v>
      </c>
      <c r="H548" t="s">
        <v>43</v>
      </c>
      <c r="I548" t="s">
        <v>466</v>
      </c>
    </row>
    <row r="549" spans="6:9" ht="15" customHeight="1" x14ac:dyDescent="0.25">
      <c r="F549" s="16">
        <v>44145</v>
      </c>
      <c r="G549" s="17">
        <v>-50</v>
      </c>
      <c r="H549" t="s">
        <v>43</v>
      </c>
      <c r="I549" t="s">
        <v>466</v>
      </c>
    </row>
    <row r="550" spans="6:9" ht="15" customHeight="1" x14ac:dyDescent="0.25">
      <c r="F550" s="16">
        <v>44375</v>
      </c>
      <c r="G550" s="17">
        <v>0.99</v>
      </c>
      <c r="H550" t="s">
        <v>22</v>
      </c>
      <c r="I550" t="s">
        <v>58</v>
      </c>
    </row>
    <row r="551" spans="6:9" ht="15" customHeight="1" x14ac:dyDescent="0.25">
      <c r="F551" s="16">
        <v>44376</v>
      </c>
      <c r="G551" s="17">
        <v>43.76</v>
      </c>
      <c r="H551" t="s">
        <v>120</v>
      </c>
      <c r="I551" t="s">
        <v>656</v>
      </c>
    </row>
    <row r="552" spans="6:9" ht="15" customHeight="1" x14ac:dyDescent="0.25">
      <c r="F552" s="16">
        <v>44376</v>
      </c>
      <c r="G552" s="17">
        <v>11.09</v>
      </c>
      <c r="H552" t="s">
        <v>120</v>
      </c>
      <c r="I552" t="s">
        <v>656</v>
      </c>
    </row>
    <row r="553" spans="6:9" ht="15" customHeight="1" x14ac:dyDescent="0.25">
      <c r="F553" s="16">
        <v>44376</v>
      </c>
      <c r="G553" s="17">
        <v>4.99</v>
      </c>
      <c r="H553" t="s">
        <v>46</v>
      </c>
      <c r="I553" t="s">
        <v>47</v>
      </c>
    </row>
    <row r="554" spans="6:9" ht="15" customHeight="1" x14ac:dyDescent="0.25">
      <c r="F554" s="16">
        <v>44376</v>
      </c>
      <c r="G554" s="17">
        <v>288</v>
      </c>
      <c r="H554" t="s">
        <v>263</v>
      </c>
      <c r="I554" t="s">
        <v>657</v>
      </c>
    </row>
    <row r="555" spans="6:9" ht="15" customHeight="1" x14ac:dyDescent="0.25">
      <c r="F555" s="16">
        <v>44377</v>
      </c>
      <c r="G555" s="17">
        <v>2600.87</v>
      </c>
      <c r="H555" t="s">
        <v>263</v>
      </c>
      <c r="I555" t="s">
        <v>657</v>
      </c>
    </row>
    <row r="556" spans="6:9" ht="15" customHeight="1" x14ac:dyDescent="0.25">
      <c r="F556" s="16">
        <v>44377</v>
      </c>
      <c r="G556" s="17">
        <v>100</v>
      </c>
      <c r="H556" t="s">
        <v>263</v>
      </c>
    </row>
    <row r="557" spans="6:9" ht="15" customHeight="1" x14ac:dyDescent="0.25">
      <c r="F557" s="16">
        <v>44377</v>
      </c>
      <c r="G557" s="17">
        <v>10</v>
      </c>
      <c r="H557" t="s">
        <v>43</v>
      </c>
      <c r="I557" t="s">
        <v>659</v>
      </c>
    </row>
    <row r="558" spans="6:9" ht="15" customHeight="1" x14ac:dyDescent="0.25">
      <c r="F558" s="16">
        <v>44378</v>
      </c>
      <c r="G558" s="17"/>
      <c r="H558" t="s">
        <v>264</v>
      </c>
      <c r="I558" t="s">
        <v>579</v>
      </c>
    </row>
    <row r="559" spans="6:9" ht="15" customHeight="1" x14ac:dyDescent="0.25">
      <c r="F559" s="16">
        <v>44379</v>
      </c>
      <c r="G559" s="17">
        <v>179.32</v>
      </c>
      <c r="H559" t="s">
        <v>43</v>
      </c>
      <c r="I559" t="s">
        <v>16</v>
      </c>
    </row>
    <row r="560" spans="6:9" ht="15" customHeight="1" x14ac:dyDescent="0.25">
      <c r="F560" s="16">
        <v>44379</v>
      </c>
      <c r="G560" s="17">
        <v>20</v>
      </c>
      <c r="H560" t="s">
        <v>263</v>
      </c>
    </row>
    <row r="561" spans="6:10" ht="15" customHeight="1" x14ac:dyDescent="0.25">
      <c r="F561" s="16">
        <v>44380</v>
      </c>
      <c r="G561" s="17">
        <v>46</v>
      </c>
      <c r="H561" t="s">
        <v>46</v>
      </c>
      <c r="I561" t="s">
        <v>47</v>
      </c>
    </row>
    <row r="562" spans="6:10" ht="15" customHeight="1" x14ac:dyDescent="0.25">
      <c r="F562" s="16">
        <v>44380</v>
      </c>
      <c r="G562" s="17">
        <v>108.96</v>
      </c>
      <c r="H562" t="s">
        <v>43</v>
      </c>
      <c r="I562" t="s">
        <v>16</v>
      </c>
    </row>
    <row r="563" spans="6:10" ht="15" customHeight="1" x14ac:dyDescent="0.25">
      <c r="F563" s="16">
        <v>44380</v>
      </c>
      <c r="G563" s="17">
        <v>130</v>
      </c>
      <c r="H563" t="s">
        <v>43</v>
      </c>
      <c r="I563" t="s">
        <v>16</v>
      </c>
    </row>
    <row r="564" spans="6:10" ht="15" customHeight="1" x14ac:dyDescent="0.25">
      <c r="F564" s="16">
        <v>44380</v>
      </c>
      <c r="G564" s="17"/>
      <c r="H564" t="s">
        <v>43</v>
      </c>
      <c r="I564" t="s">
        <v>539</v>
      </c>
      <c r="J564" t="s">
        <v>32</v>
      </c>
    </row>
    <row r="565" spans="6:10" ht="15" customHeight="1" x14ac:dyDescent="0.25">
      <c r="F565" s="16">
        <v>44381</v>
      </c>
      <c r="G565" s="17">
        <v>120</v>
      </c>
      <c r="H565" t="s">
        <v>263</v>
      </c>
    </row>
    <row r="566" spans="6:10" ht="15" customHeight="1" x14ac:dyDescent="0.25">
      <c r="F566" s="16">
        <v>44382</v>
      </c>
      <c r="G566" s="17">
        <f>0.99*2</f>
        <v>1.98</v>
      </c>
      <c r="H566" t="s">
        <v>22</v>
      </c>
      <c r="I566" t="s">
        <v>58</v>
      </c>
    </row>
    <row r="567" spans="6:10" ht="15" customHeight="1" x14ac:dyDescent="0.25">
      <c r="F567" s="16">
        <v>44383</v>
      </c>
      <c r="G567" s="17">
        <v>-105</v>
      </c>
      <c r="H567" t="s">
        <v>43</v>
      </c>
      <c r="I567" t="s">
        <v>16</v>
      </c>
    </row>
    <row r="568" spans="6:10" ht="15" customHeight="1" x14ac:dyDescent="0.25">
      <c r="F568" s="16">
        <v>44383</v>
      </c>
      <c r="G568" s="17">
        <v>525</v>
      </c>
      <c r="H568" t="s">
        <v>43</v>
      </c>
      <c r="I568" t="s">
        <v>16</v>
      </c>
    </row>
    <row r="569" spans="6:10" ht="15" customHeight="1" x14ac:dyDescent="0.25">
      <c r="F569" s="16">
        <v>44383</v>
      </c>
      <c r="G569" s="17">
        <v>105</v>
      </c>
      <c r="H569" t="s">
        <v>43</v>
      </c>
      <c r="I569" t="s">
        <v>16</v>
      </c>
    </row>
    <row r="570" spans="6:10" ht="15" customHeight="1" x14ac:dyDescent="0.25">
      <c r="F570" s="16">
        <v>44383</v>
      </c>
      <c r="G570" s="17"/>
      <c r="H570" t="s">
        <v>264</v>
      </c>
      <c r="I570" t="s">
        <v>539</v>
      </c>
      <c r="J570" t="s">
        <v>160</v>
      </c>
    </row>
    <row r="571" spans="6:10" ht="15" customHeight="1" x14ac:dyDescent="0.25">
      <c r="F571" s="16">
        <v>44383</v>
      </c>
      <c r="G571" s="17">
        <v>143</v>
      </c>
      <c r="H571" t="s">
        <v>43</v>
      </c>
      <c r="I571" t="s">
        <v>450</v>
      </c>
    </row>
    <row r="572" spans="6:10" ht="15" customHeight="1" x14ac:dyDescent="0.25">
      <c r="F572" s="16">
        <v>44384</v>
      </c>
      <c r="G572" s="17">
        <v>300</v>
      </c>
      <c r="H572" t="s">
        <v>263</v>
      </c>
    </row>
    <row r="573" spans="6:10" ht="15" customHeight="1" x14ac:dyDescent="0.25">
      <c r="F573" s="16">
        <v>44384</v>
      </c>
      <c r="G573" s="17">
        <v>660</v>
      </c>
      <c r="H573" t="s">
        <v>97</v>
      </c>
    </row>
    <row r="574" spans="6:10" ht="15" customHeight="1" x14ac:dyDescent="0.25">
      <c r="F574" s="16">
        <v>44385</v>
      </c>
      <c r="G574" s="17">
        <v>9.9</v>
      </c>
      <c r="H574" t="s">
        <v>37</v>
      </c>
    </row>
    <row r="575" spans="6:10" ht="15" customHeight="1" x14ac:dyDescent="0.25">
      <c r="F575" s="16">
        <v>44385</v>
      </c>
      <c r="G575" s="17">
        <v>2</v>
      </c>
      <c r="H575" t="s">
        <v>264</v>
      </c>
      <c r="I575" t="s">
        <v>704</v>
      </c>
      <c r="J575" t="s">
        <v>57</v>
      </c>
    </row>
    <row r="576" spans="6:10" ht="15" customHeight="1" x14ac:dyDescent="0.25">
      <c r="F576" s="16">
        <v>44386</v>
      </c>
      <c r="G576" s="17">
        <v>-70</v>
      </c>
      <c r="H576" t="s">
        <v>43</v>
      </c>
      <c r="I576" t="s">
        <v>466</v>
      </c>
    </row>
    <row r="577" spans="6:10" ht="15" customHeight="1" x14ac:dyDescent="0.25">
      <c r="F577" s="16">
        <v>44386</v>
      </c>
      <c r="G577" s="17">
        <v>-105</v>
      </c>
      <c r="H577" t="s">
        <v>43</v>
      </c>
      <c r="I577" t="s">
        <v>466</v>
      </c>
    </row>
    <row r="578" spans="6:10" ht="15" customHeight="1" x14ac:dyDescent="0.25">
      <c r="F578" s="16">
        <v>44386</v>
      </c>
      <c r="G578" s="17">
        <v>-70</v>
      </c>
      <c r="H578" t="s">
        <v>43</v>
      </c>
      <c r="I578" t="s">
        <v>466</v>
      </c>
    </row>
    <row r="579" spans="6:10" ht="15" customHeight="1" x14ac:dyDescent="0.25">
      <c r="F579" s="16">
        <v>44386</v>
      </c>
      <c r="G579" s="17">
        <v>735.14</v>
      </c>
      <c r="H579" t="s">
        <v>264</v>
      </c>
      <c r="I579" t="s">
        <v>704</v>
      </c>
      <c r="J579" t="s">
        <v>663</v>
      </c>
    </row>
    <row r="580" spans="6:10" ht="15" customHeight="1" x14ac:dyDescent="0.25">
      <c r="F580" s="16">
        <v>44387</v>
      </c>
      <c r="G580" s="17">
        <v>20.45</v>
      </c>
      <c r="H580" t="s">
        <v>264</v>
      </c>
      <c r="I580" t="s">
        <v>704</v>
      </c>
      <c r="J580" t="s">
        <v>32</v>
      </c>
    </row>
    <row r="581" spans="6:10" ht="15" customHeight="1" x14ac:dyDescent="0.25">
      <c r="F581" s="16">
        <v>44387</v>
      </c>
      <c r="G581" s="17">
        <v>20.36</v>
      </c>
      <c r="H581" t="s">
        <v>120</v>
      </c>
      <c r="I581" t="s">
        <v>32</v>
      </c>
    </row>
    <row r="582" spans="6:10" ht="15" customHeight="1" x14ac:dyDescent="0.25">
      <c r="F582" s="16">
        <v>44387</v>
      </c>
      <c r="G582" s="17">
        <v>86.56</v>
      </c>
      <c r="H582" t="s">
        <v>264</v>
      </c>
      <c r="I582" t="s">
        <v>704</v>
      </c>
      <c r="J582" t="s">
        <v>196</v>
      </c>
    </row>
    <row r="583" spans="6:10" ht="15" customHeight="1" x14ac:dyDescent="0.25">
      <c r="F583" s="16">
        <v>44387</v>
      </c>
      <c r="G583" s="17">
        <v>86.56</v>
      </c>
      <c r="H583" t="s">
        <v>264</v>
      </c>
      <c r="I583" t="s">
        <v>720</v>
      </c>
      <c r="J583" t="s">
        <v>196</v>
      </c>
    </row>
    <row r="584" spans="6:10" ht="15" customHeight="1" x14ac:dyDescent="0.25">
      <c r="F584" s="16">
        <v>44388</v>
      </c>
      <c r="G584" s="17">
        <v>20</v>
      </c>
      <c r="H584" t="s">
        <v>120</v>
      </c>
      <c r="I584" t="s">
        <v>659</v>
      </c>
    </row>
    <row r="585" spans="6:10" ht="15" customHeight="1" x14ac:dyDescent="0.25">
      <c r="F585" s="16">
        <v>44389</v>
      </c>
      <c r="G585" s="17">
        <v>0.99</v>
      </c>
      <c r="H585" t="s">
        <v>22</v>
      </c>
      <c r="I585" t="s">
        <v>58</v>
      </c>
    </row>
    <row r="586" spans="6:10" ht="15" customHeight="1" x14ac:dyDescent="0.25">
      <c r="F586" s="16">
        <v>44390</v>
      </c>
      <c r="G586" s="17"/>
      <c r="H586" t="s">
        <v>43</v>
      </c>
      <c r="I586" t="s">
        <v>16</v>
      </c>
      <c r="J586" t="s">
        <v>539</v>
      </c>
    </row>
    <row r="587" spans="6:10" ht="15" customHeight="1" x14ac:dyDescent="0.25">
      <c r="F587" s="16">
        <v>44390</v>
      </c>
      <c r="G587" s="17"/>
      <c r="H587" t="s">
        <v>43</v>
      </c>
      <c r="I587" t="s">
        <v>16</v>
      </c>
      <c r="J587" t="s">
        <v>665</v>
      </c>
    </row>
    <row r="588" spans="6:10" ht="15" customHeight="1" x14ac:dyDescent="0.25">
      <c r="F588" s="16">
        <v>44390</v>
      </c>
      <c r="G588" s="17">
        <v>26.89</v>
      </c>
      <c r="H588" t="s">
        <v>264</v>
      </c>
      <c r="I588" t="s">
        <v>720</v>
      </c>
      <c r="J588" t="s">
        <v>666</v>
      </c>
    </row>
    <row r="589" spans="6:10" ht="15" customHeight="1" x14ac:dyDescent="0.25">
      <c r="F589" s="16">
        <v>44390</v>
      </c>
      <c r="G589" s="17">
        <v>20</v>
      </c>
      <c r="H589" t="s">
        <v>120</v>
      </c>
      <c r="I589" t="s">
        <v>667</v>
      </c>
    </row>
    <row r="590" spans="6:10" ht="15" customHeight="1" x14ac:dyDescent="0.25">
      <c r="F590" s="16">
        <v>44390</v>
      </c>
      <c r="G590" s="17">
        <v>735.24</v>
      </c>
      <c r="H590" t="s">
        <v>264</v>
      </c>
      <c r="I590" t="s">
        <v>720</v>
      </c>
      <c r="J590" t="s">
        <v>663</v>
      </c>
    </row>
    <row r="591" spans="6:10" ht="15" customHeight="1" x14ac:dyDescent="0.25">
      <c r="F591" s="16">
        <v>44391</v>
      </c>
      <c r="G591" s="17">
        <v>88.26</v>
      </c>
      <c r="H591" t="s">
        <v>43</v>
      </c>
      <c r="I591" t="s">
        <v>16</v>
      </c>
      <c r="J591" t="s">
        <v>668</v>
      </c>
    </row>
    <row r="592" spans="6:10" ht="15" customHeight="1" x14ac:dyDescent="0.25">
      <c r="F592" s="16">
        <v>44391</v>
      </c>
      <c r="G592" s="17">
        <v>52</v>
      </c>
      <c r="H592" t="s">
        <v>97</v>
      </c>
      <c r="I592" t="s">
        <v>669</v>
      </c>
    </row>
    <row r="593" spans="6:10" ht="15" customHeight="1" x14ac:dyDescent="0.25">
      <c r="F593" s="16">
        <v>44392</v>
      </c>
      <c r="G593" s="17"/>
      <c r="H593" t="s">
        <v>264</v>
      </c>
      <c r="I593" t="s">
        <v>539</v>
      </c>
    </row>
    <row r="594" spans="6:10" ht="15" customHeight="1" x14ac:dyDescent="0.25">
      <c r="F594" s="16">
        <v>44393</v>
      </c>
      <c r="G594" s="17"/>
      <c r="H594" t="s">
        <v>43</v>
      </c>
      <c r="I594" t="s">
        <v>16</v>
      </c>
      <c r="J594" t="s">
        <v>609</v>
      </c>
    </row>
    <row r="595" spans="6:10" ht="15" customHeight="1" x14ac:dyDescent="0.25">
      <c r="F595" s="16">
        <v>44393</v>
      </c>
      <c r="G595" s="17">
        <v>108.45</v>
      </c>
      <c r="H595" t="s">
        <v>43</v>
      </c>
      <c r="I595" t="s">
        <v>16</v>
      </c>
      <c r="J595" t="s">
        <v>495</v>
      </c>
    </row>
    <row r="596" spans="6:10" ht="15" customHeight="1" x14ac:dyDescent="0.25">
      <c r="F596" s="16">
        <v>44394</v>
      </c>
      <c r="G596" s="17">
        <v>4.99</v>
      </c>
      <c r="H596" t="s">
        <v>46</v>
      </c>
      <c r="I596" t="s">
        <v>47</v>
      </c>
    </row>
    <row r="597" spans="6:10" ht="15" customHeight="1" x14ac:dyDescent="0.25">
      <c r="F597" s="16">
        <v>44395</v>
      </c>
      <c r="G597" s="17">
        <v>100</v>
      </c>
      <c r="H597" t="s">
        <v>261</v>
      </c>
    </row>
    <row r="598" spans="6:10" ht="15" customHeight="1" x14ac:dyDescent="0.25">
      <c r="F598" s="16">
        <v>44396</v>
      </c>
      <c r="G598" s="17">
        <v>0.99</v>
      </c>
      <c r="H598" t="s">
        <v>22</v>
      </c>
      <c r="I598" t="s">
        <v>58</v>
      </c>
    </row>
    <row r="599" spans="6:10" ht="15" customHeight="1" x14ac:dyDescent="0.25">
      <c r="F599" s="16">
        <v>44397</v>
      </c>
      <c r="G599" s="17">
        <v>-55</v>
      </c>
      <c r="H599" t="s">
        <v>43</v>
      </c>
      <c r="I599" t="s">
        <v>466</v>
      </c>
    </row>
    <row r="600" spans="6:10" ht="15" customHeight="1" x14ac:dyDescent="0.25">
      <c r="F600" s="16">
        <v>44397</v>
      </c>
      <c r="G600" s="17">
        <v>136.08000000000001</v>
      </c>
      <c r="H600" t="s">
        <v>43</v>
      </c>
      <c r="I600" t="s">
        <v>665</v>
      </c>
    </row>
    <row r="601" spans="6:10" ht="15" customHeight="1" x14ac:dyDescent="0.25">
      <c r="F601" s="16">
        <v>44397</v>
      </c>
      <c r="G601" s="17">
        <v>9.36</v>
      </c>
      <c r="H601" t="s">
        <v>43</v>
      </c>
      <c r="I601" t="s">
        <v>32</v>
      </c>
    </row>
    <row r="602" spans="6:10" ht="15" customHeight="1" x14ac:dyDescent="0.25">
      <c r="F602" s="16">
        <v>44397</v>
      </c>
      <c r="G602" s="17">
        <v>79</v>
      </c>
      <c r="H602" t="s">
        <v>264</v>
      </c>
      <c r="I602" t="s">
        <v>704</v>
      </c>
      <c r="J602" t="s">
        <v>673</v>
      </c>
    </row>
    <row r="603" spans="6:10" ht="15" customHeight="1" x14ac:dyDescent="0.25">
      <c r="F603" s="16">
        <v>44398</v>
      </c>
      <c r="G603" s="17">
        <v>105</v>
      </c>
      <c r="H603" t="s">
        <v>43</v>
      </c>
      <c r="I603" t="s">
        <v>16</v>
      </c>
    </row>
    <row r="604" spans="6:10" ht="15" customHeight="1" x14ac:dyDescent="0.25">
      <c r="F604" s="16">
        <v>44398</v>
      </c>
      <c r="G604" s="17">
        <v>79</v>
      </c>
      <c r="H604" t="s">
        <v>264</v>
      </c>
      <c r="I604" t="s">
        <v>720</v>
      </c>
      <c r="J604" t="s">
        <v>673</v>
      </c>
    </row>
    <row r="605" spans="6:10" ht="15" customHeight="1" x14ac:dyDescent="0.25">
      <c r="F605" s="16">
        <v>44398</v>
      </c>
      <c r="G605" s="17">
        <v>500</v>
      </c>
      <c r="H605" t="s">
        <v>264</v>
      </c>
      <c r="I605" t="s">
        <v>704</v>
      </c>
      <c r="J605" t="s">
        <v>674</v>
      </c>
    </row>
    <row r="606" spans="6:10" ht="15" customHeight="1" x14ac:dyDescent="0.25">
      <c r="F606" s="16">
        <v>44399</v>
      </c>
      <c r="G606" s="17">
        <v>450</v>
      </c>
      <c r="H606" t="s">
        <v>264</v>
      </c>
      <c r="I606" t="s">
        <v>720</v>
      </c>
      <c r="J606" t="s">
        <v>674</v>
      </c>
    </row>
    <row r="607" spans="6:10" ht="15" customHeight="1" x14ac:dyDescent="0.25">
      <c r="F607" s="16">
        <v>44400</v>
      </c>
      <c r="G607" s="17">
        <v>87.9</v>
      </c>
      <c r="H607" t="s">
        <v>43</v>
      </c>
      <c r="I607" t="s">
        <v>16</v>
      </c>
      <c r="J607" t="s">
        <v>144</v>
      </c>
    </row>
    <row r="608" spans="6:10" ht="15" customHeight="1" x14ac:dyDescent="0.25">
      <c r="F608" s="16">
        <v>44400</v>
      </c>
      <c r="G608" s="17">
        <v>150</v>
      </c>
      <c r="H608" t="s">
        <v>263</v>
      </c>
    </row>
    <row r="609" spans="6:10" ht="15" customHeight="1" x14ac:dyDescent="0.25">
      <c r="F609" s="16">
        <v>44401</v>
      </c>
      <c r="G609" s="17">
        <v>105</v>
      </c>
      <c r="H609" t="s">
        <v>43</v>
      </c>
      <c r="I609" t="s">
        <v>16</v>
      </c>
    </row>
    <row r="610" spans="6:10" ht="15" customHeight="1" x14ac:dyDescent="0.25">
      <c r="F610" s="16">
        <v>44401</v>
      </c>
      <c r="G610" s="17">
        <v>500</v>
      </c>
      <c r="H610" t="s">
        <v>261</v>
      </c>
    </row>
    <row r="611" spans="6:10" ht="15" customHeight="1" x14ac:dyDescent="0.25">
      <c r="F611" s="16">
        <v>44235</v>
      </c>
      <c r="G611" s="17">
        <v>4400</v>
      </c>
      <c r="H611" t="s">
        <v>263</v>
      </c>
    </row>
    <row r="612" spans="6:10" ht="15" customHeight="1" x14ac:dyDescent="0.25">
      <c r="F612" s="16">
        <v>44403</v>
      </c>
      <c r="G612" s="17">
        <v>386.6</v>
      </c>
      <c r="H612" t="s">
        <v>122</v>
      </c>
      <c r="I612" t="s">
        <v>720</v>
      </c>
      <c r="J612" t="s">
        <v>505</v>
      </c>
    </row>
    <row r="613" spans="6:10" ht="15" customHeight="1" x14ac:dyDescent="0.25">
      <c r="F613" s="16">
        <v>44403</v>
      </c>
      <c r="G613" s="17">
        <v>25</v>
      </c>
      <c r="H613" t="s">
        <v>120</v>
      </c>
      <c r="I613" t="s">
        <v>270</v>
      </c>
    </row>
    <row r="614" spans="6:10" ht="15" customHeight="1" x14ac:dyDescent="0.25">
      <c r="F614" s="16">
        <v>44403</v>
      </c>
      <c r="G614" s="17">
        <v>20</v>
      </c>
      <c r="H614" s="49" t="s">
        <v>43</v>
      </c>
      <c r="I614" t="s">
        <v>667</v>
      </c>
    </row>
    <row r="615" spans="6:10" ht="15" customHeight="1" x14ac:dyDescent="0.25">
      <c r="F615" s="16">
        <v>44403</v>
      </c>
      <c r="G615" s="17">
        <v>386.6</v>
      </c>
      <c r="H615" t="s">
        <v>122</v>
      </c>
      <c r="I615" t="s">
        <v>704</v>
      </c>
      <c r="J615" t="s">
        <v>505</v>
      </c>
    </row>
    <row r="616" spans="6:10" ht="15" customHeight="1" x14ac:dyDescent="0.25">
      <c r="F616" s="16">
        <v>44403</v>
      </c>
      <c r="G616" s="17">
        <v>0.99</v>
      </c>
      <c r="H616" t="s">
        <v>22</v>
      </c>
      <c r="I616" t="s">
        <v>58</v>
      </c>
    </row>
    <row r="617" spans="6:10" ht="15" customHeight="1" x14ac:dyDescent="0.25">
      <c r="F617" s="16">
        <v>44404</v>
      </c>
      <c r="G617" s="17">
        <v>20.12</v>
      </c>
      <c r="H617" t="s">
        <v>120</v>
      </c>
      <c r="I617" t="s">
        <v>32</v>
      </c>
    </row>
    <row r="618" spans="6:10" ht="15" customHeight="1" x14ac:dyDescent="0.25">
      <c r="F618" s="16">
        <v>44404</v>
      </c>
      <c r="G618" s="17">
        <v>25</v>
      </c>
      <c r="H618" t="s">
        <v>122</v>
      </c>
      <c r="I618" t="s">
        <v>704</v>
      </c>
      <c r="J618" t="s">
        <v>270</v>
      </c>
    </row>
    <row r="619" spans="6:10" ht="15" customHeight="1" x14ac:dyDescent="0.25">
      <c r="F619" s="16">
        <v>44405</v>
      </c>
      <c r="G619" s="17">
        <v>4.99</v>
      </c>
      <c r="H619" t="s">
        <v>46</v>
      </c>
      <c r="I619" t="s">
        <v>47</v>
      </c>
    </row>
    <row r="620" spans="6:10" ht="15" customHeight="1" x14ac:dyDescent="0.25">
      <c r="F620" s="16">
        <v>44405</v>
      </c>
      <c r="G620" s="17"/>
      <c r="H620" t="s">
        <v>264</v>
      </c>
      <c r="I620" t="s">
        <v>539</v>
      </c>
    </row>
    <row r="621" spans="6:10" ht="15" customHeight="1" x14ac:dyDescent="0.25">
      <c r="F621" s="16">
        <v>44406</v>
      </c>
      <c r="G621" s="17">
        <v>32.24</v>
      </c>
      <c r="H621" s="49" t="s">
        <v>43</v>
      </c>
      <c r="I621" t="s">
        <v>656</v>
      </c>
    </row>
    <row r="622" spans="6:10" ht="15" customHeight="1" x14ac:dyDescent="0.25">
      <c r="F622" s="16">
        <v>44408</v>
      </c>
      <c r="G622" s="17">
        <v>30.11</v>
      </c>
      <c r="H622" s="49" t="s">
        <v>43</v>
      </c>
      <c r="I622" t="s">
        <v>32</v>
      </c>
    </row>
    <row r="623" spans="6:10" ht="15" customHeight="1" x14ac:dyDescent="0.25">
      <c r="F623" s="16">
        <v>44408</v>
      </c>
      <c r="G623" s="17">
        <v>144.33000000000001</v>
      </c>
      <c r="H623" t="s">
        <v>43</v>
      </c>
      <c r="I623" t="s">
        <v>16</v>
      </c>
    </row>
    <row r="624" spans="6:10" ht="15" customHeight="1" x14ac:dyDescent="0.25">
      <c r="F624" s="16">
        <v>44409</v>
      </c>
      <c r="G624" s="17">
        <v>300</v>
      </c>
      <c r="H624" t="s">
        <v>263</v>
      </c>
    </row>
    <row r="625" spans="6:10" ht="15" customHeight="1" x14ac:dyDescent="0.25">
      <c r="F625" s="16">
        <v>44410</v>
      </c>
      <c r="G625" s="17">
        <v>22</v>
      </c>
      <c r="H625" t="s">
        <v>43</v>
      </c>
      <c r="I625" t="s">
        <v>656</v>
      </c>
    </row>
    <row r="626" spans="6:10" ht="15" customHeight="1" x14ac:dyDescent="0.25">
      <c r="F626" s="16">
        <v>44410</v>
      </c>
      <c r="G626" s="17">
        <v>0.99</v>
      </c>
      <c r="H626" t="s">
        <v>22</v>
      </c>
      <c r="I626" t="s">
        <v>58</v>
      </c>
    </row>
    <row r="627" spans="6:10" ht="15" customHeight="1" x14ac:dyDescent="0.25">
      <c r="F627" s="16">
        <v>44411</v>
      </c>
      <c r="G627" s="17">
        <v>97.11</v>
      </c>
      <c r="H627" t="s">
        <v>43</v>
      </c>
      <c r="I627" t="s">
        <v>16</v>
      </c>
    </row>
    <row r="628" spans="6:10" ht="15" customHeight="1" x14ac:dyDescent="0.25">
      <c r="F628" s="16">
        <v>44411</v>
      </c>
      <c r="G628" s="17">
        <v>148.66999999999999</v>
      </c>
      <c r="H628" t="s">
        <v>43</v>
      </c>
      <c r="I628" t="s">
        <v>656</v>
      </c>
    </row>
    <row r="629" spans="6:10" ht="15" customHeight="1" x14ac:dyDescent="0.25">
      <c r="F629" s="16">
        <v>44411</v>
      </c>
      <c r="G629" s="17">
        <v>31.17</v>
      </c>
      <c r="H629" t="s">
        <v>43</v>
      </c>
      <c r="I629" t="s">
        <v>656</v>
      </c>
    </row>
    <row r="630" spans="6:10" ht="15" customHeight="1" x14ac:dyDescent="0.25">
      <c r="F630" s="16">
        <v>44411</v>
      </c>
      <c r="G630" s="17"/>
      <c r="H630" t="s">
        <v>264</v>
      </c>
      <c r="I630" t="s">
        <v>539</v>
      </c>
    </row>
    <row r="631" spans="6:10" ht="15" customHeight="1" x14ac:dyDescent="0.25">
      <c r="F631" s="16">
        <v>44411</v>
      </c>
      <c r="G631" s="17">
        <v>201.31</v>
      </c>
      <c r="H631" t="s">
        <v>43</v>
      </c>
      <c r="I631" t="s">
        <v>20</v>
      </c>
    </row>
    <row r="632" spans="6:10" ht="15" customHeight="1" x14ac:dyDescent="0.25">
      <c r="F632" s="16">
        <v>44411</v>
      </c>
      <c r="G632" s="17">
        <f>120+2.9+30</f>
        <v>152.9</v>
      </c>
      <c r="H632" t="s">
        <v>120</v>
      </c>
      <c r="I632" t="s">
        <v>16</v>
      </c>
    </row>
    <row r="633" spans="6:10" ht="15" customHeight="1" x14ac:dyDescent="0.25">
      <c r="F633" s="16">
        <v>44411</v>
      </c>
      <c r="G633" s="17">
        <v>5000</v>
      </c>
      <c r="H633" t="s">
        <v>264</v>
      </c>
      <c r="I633" t="s">
        <v>704</v>
      </c>
      <c r="J633" t="s">
        <v>198</v>
      </c>
    </row>
    <row r="634" spans="6:10" ht="15" customHeight="1" x14ac:dyDescent="0.25">
      <c r="F634" s="16">
        <v>44412</v>
      </c>
      <c r="G634" s="17">
        <v>105</v>
      </c>
      <c r="H634" t="s">
        <v>43</v>
      </c>
      <c r="I634" t="s">
        <v>16</v>
      </c>
    </row>
    <row r="635" spans="6:10" ht="15" customHeight="1" x14ac:dyDescent="0.25">
      <c r="F635" s="16">
        <v>44412</v>
      </c>
      <c r="G635" s="17">
        <v>156.93</v>
      </c>
      <c r="H635" t="s">
        <v>43</v>
      </c>
      <c r="I635" t="s">
        <v>141</v>
      </c>
    </row>
    <row r="636" spans="6:10" ht="15" customHeight="1" x14ac:dyDescent="0.25">
      <c r="F636" s="16">
        <v>44412</v>
      </c>
      <c r="G636" s="17">
        <v>113.59</v>
      </c>
      <c r="H636" t="s">
        <v>43</v>
      </c>
      <c r="I636" t="s">
        <v>656</v>
      </c>
    </row>
    <row r="637" spans="6:10" ht="15" customHeight="1" x14ac:dyDescent="0.25">
      <c r="F637" s="16">
        <v>44412</v>
      </c>
      <c r="G637" s="17">
        <v>153.69</v>
      </c>
      <c r="H637" t="s">
        <v>264</v>
      </c>
      <c r="I637" t="s">
        <v>721</v>
      </c>
    </row>
    <row r="638" spans="6:10" ht="15" customHeight="1" x14ac:dyDescent="0.25">
      <c r="F638" s="16">
        <v>44412</v>
      </c>
      <c r="G638" s="17">
        <v>49.9</v>
      </c>
      <c r="H638" t="s">
        <v>43</v>
      </c>
      <c r="I638" t="s">
        <v>32</v>
      </c>
    </row>
    <row r="639" spans="6:10" ht="15" customHeight="1" x14ac:dyDescent="0.25">
      <c r="F639" s="16">
        <v>44412</v>
      </c>
      <c r="G639" s="17">
        <v>49.9</v>
      </c>
      <c r="H639" t="s">
        <v>264</v>
      </c>
      <c r="I639" t="s">
        <v>704</v>
      </c>
    </row>
    <row r="640" spans="6:10" ht="15" customHeight="1" x14ac:dyDescent="0.25">
      <c r="F640" s="16">
        <v>44413</v>
      </c>
      <c r="G640" s="17">
        <v>201.31</v>
      </c>
      <c r="H640" t="s">
        <v>43</v>
      </c>
      <c r="I640" t="s">
        <v>20</v>
      </c>
    </row>
    <row r="641" spans="6:10" ht="15" customHeight="1" x14ac:dyDescent="0.25">
      <c r="F641" s="16">
        <v>44414</v>
      </c>
      <c r="G641" s="17"/>
      <c r="H641" t="s">
        <v>43</v>
      </c>
      <c r="I641" t="s">
        <v>495</v>
      </c>
    </row>
    <row r="642" spans="6:10" ht="15" customHeight="1" x14ac:dyDescent="0.25">
      <c r="F642" s="16">
        <v>44414</v>
      </c>
      <c r="G642" s="17">
        <v>420</v>
      </c>
      <c r="H642" t="s">
        <v>43</v>
      </c>
      <c r="I642" t="s">
        <v>677</v>
      </c>
    </row>
    <row r="643" spans="6:10" ht="15" customHeight="1" x14ac:dyDescent="0.25">
      <c r="F643" s="16">
        <v>44414</v>
      </c>
      <c r="G643" s="17">
        <v>143</v>
      </c>
      <c r="H643" t="s">
        <v>43</v>
      </c>
      <c r="I643" t="s">
        <v>607</v>
      </c>
    </row>
    <row r="644" spans="6:10" ht="15" customHeight="1" x14ac:dyDescent="0.25">
      <c r="F644" s="16">
        <v>44416</v>
      </c>
      <c r="G644" s="17">
        <v>400</v>
      </c>
      <c r="H644" t="s">
        <v>263</v>
      </c>
    </row>
    <row r="645" spans="6:10" ht="15" customHeight="1" x14ac:dyDescent="0.25">
      <c r="F645" s="16">
        <v>44416</v>
      </c>
      <c r="G645" s="17">
        <v>200</v>
      </c>
      <c r="H645" t="s">
        <v>263</v>
      </c>
    </row>
    <row r="646" spans="6:10" ht="15" customHeight="1" x14ac:dyDescent="0.25">
      <c r="F646" s="16">
        <v>44416</v>
      </c>
      <c r="G646" s="17">
        <v>39</v>
      </c>
      <c r="H646" t="s">
        <v>43</v>
      </c>
      <c r="I646" t="s">
        <v>679</v>
      </c>
    </row>
    <row r="647" spans="6:10" ht="15" customHeight="1" x14ac:dyDescent="0.25">
      <c r="F647" s="16">
        <v>44417</v>
      </c>
      <c r="G647" s="17">
        <v>3500</v>
      </c>
      <c r="H647" t="s">
        <v>261</v>
      </c>
    </row>
    <row r="648" spans="6:10" ht="15" customHeight="1" x14ac:dyDescent="0.25">
      <c r="F648" s="16">
        <v>44417</v>
      </c>
      <c r="G648" s="17">
        <v>1800</v>
      </c>
      <c r="H648" t="s">
        <v>263</v>
      </c>
    </row>
    <row r="649" spans="6:10" ht="15" customHeight="1" x14ac:dyDescent="0.25">
      <c r="F649" s="16">
        <v>44417</v>
      </c>
      <c r="G649" s="17">
        <v>0.99</v>
      </c>
      <c r="H649" t="s">
        <v>22</v>
      </c>
      <c r="I649" t="s">
        <v>58</v>
      </c>
    </row>
    <row r="650" spans="6:10" ht="15" customHeight="1" x14ac:dyDescent="0.25">
      <c r="F650" s="16">
        <v>44418</v>
      </c>
      <c r="G650" s="17">
        <v>260</v>
      </c>
      <c r="H650" t="s">
        <v>264</v>
      </c>
      <c r="I650" t="s">
        <v>704</v>
      </c>
    </row>
    <row r="651" spans="6:10" ht="15" customHeight="1" x14ac:dyDescent="0.25">
      <c r="F651" s="16">
        <v>44418</v>
      </c>
      <c r="G651" s="17">
        <v>9.9</v>
      </c>
      <c r="H651" t="s">
        <v>37</v>
      </c>
    </row>
    <row r="652" spans="6:10" ht="15" customHeight="1" x14ac:dyDescent="0.25">
      <c r="F652" s="16">
        <v>44418</v>
      </c>
      <c r="G652" s="17">
        <v>106</v>
      </c>
      <c r="H652" t="s">
        <v>264</v>
      </c>
      <c r="I652" t="s">
        <v>704</v>
      </c>
      <c r="J652" t="s">
        <v>531</v>
      </c>
    </row>
    <row r="653" spans="6:10" ht="15" customHeight="1" x14ac:dyDescent="0.25">
      <c r="F653" s="16">
        <v>44418</v>
      </c>
      <c r="G653" s="17">
        <v>106</v>
      </c>
      <c r="H653" t="s">
        <v>264</v>
      </c>
      <c r="I653" t="s">
        <v>720</v>
      </c>
      <c r="J653" t="s">
        <v>531</v>
      </c>
    </row>
    <row r="654" spans="6:10" ht="15" customHeight="1" x14ac:dyDescent="0.25">
      <c r="F654" s="16">
        <v>44418</v>
      </c>
      <c r="G654" s="17">
        <v>25</v>
      </c>
      <c r="H654" t="s">
        <v>120</v>
      </c>
      <c r="I654" t="s">
        <v>270</v>
      </c>
    </row>
    <row r="655" spans="6:10" ht="15" customHeight="1" x14ac:dyDescent="0.25">
      <c r="F655" s="16">
        <v>44418</v>
      </c>
      <c r="G655" s="17">
        <v>200</v>
      </c>
      <c r="H655" t="s">
        <v>263</v>
      </c>
    </row>
    <row r="656" spans="6:10" ht="15" customHeight="1" x14ac:dyDescent="0.25">
      <c r="F656" s="16">
        <v>44419</v>
      </c>
      <c r="G656" s="17"/>
      <c r="H656" t="s">
        <v>43</v>
      </c>
      <c r="I656" t="s">
        <v>453</v>
      </c>
    </row>
    <row r="657" spans="6:10" ht="15" customHeight="1" x14ac:dyDescent="0.25">
      <c r="F657" s="16">
        <v>44419</v>
      </c>
      <c r="G657" s="17">
        <v>557.83000000000004</v>
      </c>
      <c r="H657" t="s">
        <v>264</v>
      </c>
      <c r="I657" t="s">
        <v>720</v>
      </c>
      <c r="J657" t="s">
        <v>535</v>
      </c>
    </row>
    <row r="658" spans="6:10" ht="15" customHeight="1" x14ac:dyDescent="0.25">
      <c r="F658" s="16">
        <v>44419</v>
      </c>
      <c r="G658" s="17">
        <v>25.54</v>
      </c>
      <c r="H658" t="s">
        <v>43</v>
      </c>
      <c r="I658" t="s">
        <v>32</v>
      </c>
    </row>
    <row r="659" spans="6:10" ht="15" customHeight="1" x14ac:dyDescent="0.25">
      <c r="F659" s="16">
        <v>44420</v>
      </c>
      <c r="G659" s="17">
        <v>136.08000000000001</v>
      </c>
      <c r="H659" t="s">
        <v>43</v>
      </c>
    </row>
    <row r="660" spans="6:10" ht="15" customHeight="1" x14ac:dyDescent="0.25">
      <c r="F660" s="16">
        <v>44420</v>
      </c>
      <c r="G660" s="17"/>
      <c r="H660" t="s">
        <v>43</v>
      </c>
    </row>
    <row r="661" spans="6:10" ht="15" customHeight="1" x14ac:dyDescent="0.25">
      <c r="F661" s="16">
        <v>44420</v>
      </c>
      <c r="G661" s="17">
        <v>5.5</v>
      </c>
      <c r="H661" t="s">
        <v>43</v>
      </c>
    </row>
    <row r="662" spans="6:10" ht="15" customHeight="1" x14ac:dyDescent="0.25">
      <c r="F662" s="16">
        <v>44420</v>
      </c>
      <c r="G662" s="17">
        <v>599.83000000000004</v>
      </c>
      <c r="H662" t="s">
        <v>264</v>
      </c>
      <c r="I662" t="s">
        <v>704</v>
      </c>
      <c r="J662" t="s">
        <v>535</v>
      </c>
    </row>
    <row r="663" spans="6:10" ht="15" customHeight="1" x14ac:dyDescent="0.25">
      <c r="F663" s="16">
        <v>44420</v>
      </c>
      <c r="G663" s="17">
        <v>890</v>
      </c>
      <c r="H663" t="s">
        <v>264</v>
      </c>
      <c r="I663" t="s">
        <v>721</v>
      </c>
    </row>
    <row r="664" spans="6:10" ht="15" customHeight="1" x14ac:dyDescent="0.25">
      <c r="F664" s="16">
        <v>44420</v>
      </c>
      <c r="G664" s="17">
        <v>2000</v>
      </c>
      <c r="H664" t="s">
        <v>264</v>
      </c>
      <c r="I664" t="s">
        <v>721</v>
      </c>
    </row>
    <row r="665" spans="6:10" ht="15" customHeight="1" x14ac:dyDescent="0.25">
      <c r="F665" s="16">
        <v>44420</v>
      </c>
      <c r="G665" s="17">
        <v>2000</v>
      </c>
      <c r="H665" t="s">
        <v>264</v>
      </c>
      <c r="I665" t="s">
        <v>721</v>
      </c>
    </row>
    <row r="666" spans="6:10" ht="15" customHeight="1" x14ac:dyDescent="0.25">
      <c r="F666" s="16">
        <v>44421</v>
      </c>
      <c r="G666" s="17">
        <v>4.99</v>
      </c>
      <c r="H666" t="s">
        <v>46</v>
      </c>
      <c r="I666" t="s">
        <v>47</v>
      </c>
    </row>
    <row r="667" spans="6:10" ht="15" customHeight="1" x14ac:dyDescent="0.25">
      <c r="F667" s="16">
        <v>44421</v>
      </c>
      <c r="G667" s="17">
        <v>125.88</v>
      </c>
      <c r="H667" t="s">
        <v>43</v>
      </c>
      <c r="I667" t="s">
        <v>495</v>
      </c>
    </row>
    <row r="668" spans="6:10" ht="15" customHeight="1" x14ac:dyDescent="0.25">
      <c r="F668" s="16"/>
      <c r="G668" s="17"/>
    </row>
    <row r="669" spans="6:10" ht="15" customHeight="1" x14ac:dyDescent="0.25">
      <c r="F669" s="16">
        <v>44421</v>
      </c>
      <c r="G669" s="17">
        <v>19.489999999999998</v>
      </c>
      <c r="H669" t="s">
        <v>43</v>
      </c>
      <c r="I669" t="s">
        <v>32</v>
      </c>
    </row>
    <row r="670" spans="6:10" ht="15" customHeight="1" x14ac:dyDescent="0.25">
      <c r="F670" s="16">
        <v>44421</v>
      </c>
      <c r="G670" s="17">
        <v>150</v>
      </c>
      <c r="H670" t="s">
        <v>264</v>
      </c>
      <c r="I670" t="s">
        <v>720</v>
      </c>
      <c r="J670" t="s">
        <v>620</v>
      </c>
    </row>
    <row r="671" spans="6:10" ht="15" customHeight="1" x14ac:dyDescent="0.25">
      <c r="F671" s="16">
        <v>44421</v>
      </c>
      <c r="G671" s="17">
        <v>150</v>
      </c>
      <c r="H671" t="s">
        <v>264</v>
      </c>
      <c r="I671" t="s">
        <v>704</v>
      </c>
      <c r="J671" t="s">
        <v>620</v>
      </c>
    </row>
    <row r="672" spans="6:10" ht="15" customHeight="1" x14ac:dyDescent="0.25">
      <c r="F672" s="16">
        <v>44422</v>
      </c>
      <c r="G672" s="17">
        <v>88.26</v>
      </c>
      <c r="H672" t="s">
        <v>43</v>
      </c>
      <c r="I672" t="s">
        <v>681</v>
      </c>
    </row>
    <row r="673" spans="6:10" ht="15" customHeight="1" x14ac:dyDescent="0.25">
      <c r="F673" s="16">
        <v>44422</v>
      </c>
      <c r="G673" s="17">
        <v>52</v>
      </c>
      <c r="H673" t="s">
        <v>97</v>
      </c>
    </row>
    <row r="674" spans="6:10" ht="15" customHeight="1" x14ac:dyDescent="0.25">
      <c r="F674" s="16">
        <v>44422</v>
      </c>
      <c r="G674" s="17">
        <v>21.3</v>
      </c>
      <c r="H674" t="s">
        <v>43</v>
      </c>
      <c r="I674" t="s">
        <v>32</v>
      </c>
    </row>
    <row r="675" spans="6:10" ht="15" customHeight="1" x14ac:dyDescent="0.25">
      <c r="F675" s="16">
        <v>44425</v>
      </c>
      <c r="G675" s="17">
        <v>300</v>
      </c>
      <c r="H675" t="s">
        <v>263</v>
      </c>
    </row>
    <row r="676" spans="6:10" ht="15" customHeight="1" x14ac:dyDescent="0.25">
      <c r="F676" s="16">
        <v>44425</v>
      </c>
      <c r="G676" s="17">
        <v>14.75</v>
      </c>
      <c r="H676" t="s">
        <v>37</v>
      </c>
      <c r="I676" t="s">
        <v>682</v>
      </c>
    </row>
    <row r="677" spans="6:10" ht="15" customHeight="1" x14ac:dyDescent="0.25">
      <c r="F677" s="16">
        <v>44424</v>
      </c>
      <c r="G677" s="17">
        <v>0.99</v>
      </c>
      <c r="H677" t="s">
        <v>22</v>
      </c>
      <c r="I677" t="s">
        <v>58</v>
      </c>
    </row>
    <row r="678" spans="6:10" ht="15" customHeight="1" x14ac:dyDescent="0.25">
      <c r="F678" s="16">
        <v>44427</v>
      </c>
      <c r="G678" s="17">
        <v>515.72</v>
      </c>
      <c r="H678" t="s">
        <v>264</v>
      </c>
      <c r="I678" t="s">
        <v>723</v>
      </c>
    </row>
    <row r="679" spans="6:10" ht="15" customHeight="1" x14ac:dyDescent="0.25">
      <c r="F679" s="222">
        <v>44427</v>
      </c>
      <c r="G679" s="223">
        <v>1010.89</v>
      </c>
      <c r="H679" s="224" t="s">
        <v>264</v>
      </c>
      <c r="I679" s="224" t="s">
        <v>209</v>
      </c>
    </row>
    <row r="680" spans="6:10" ht="15" customHeight="1" x14ac:dyDescent="0.25">
      <c r="F680" s="222">
        <v>44427</v>
      </c>
      <c r="G680" s="223">
        <v>1010.89</v>
      </c>
      <c r="H680" s="224" t="s">
        <v>264</v>
      </c>
      <c r="I680" s="224" t="s">
        <v>689</v>
      </c>
    </row>
    <row r="681" spans="6:10" ht="15" customHeight="1" x14ac:dyDescent="0.25">
      <c r="F681" s="16">
        <v>44428</v>
      </c>
      <c r="G681" s="17">
        <v>5342.1</v>
      </c>
      <c r="H681" t="s">
        <v>264</v>
      </c>
      <c r="I681" t="s">
        <v>723</v>
      </c>
    </row>
    <row r="682" spans="6:10" ht="15" customHeight="1" x14ac:dyDescent="0.25">
      <c r="F682" s="222">
        <v>44428</v>
      </c>
      <c r="G682" s="223">
        <v>11545.83</v>
      </c>
      <c r="H682" s="224" t="s">
        <v>264</v>
      </c>
      <c r="I682" s="224" t="s">
        <v>687</v>
      </c>
      <c r="J682" s="224"/>
    </row>
    <row r="683" spans="6:10" ht="15" customHeight="1" x14ac:dyDescent="0.25">
      <c r="F683" s="222">
        <v>44428</v>
      </c>
      <c r="G683" s="223">
        <v>21756.6</v>
      </c>
      <c r="H683" s="224" t="s">
        <v>264</v>
      </c>
      <c r="I683" s="224" t="s">
        <v>689</v>
      </c>
      <c r="J683" s="224"/>
    </row>
    <row r="684" spans="6:10" ht="15" customHeight="1" x14ac:dyDescent="0.25">
      <c r="F684" s="16">
        <v>44428</v>
      </c>
      <c r="G684" s="17">
        <v>100</v>
      </c>
      <c r="H684" t="s">
        <v>263</v>
      </c>
    </row>
    <row r="685" spans="6:10" ht="15" customHeight="1" x14ac:dyDescent="0.25">
      <c r="F685" s="16">
        <v>44429</v>
      </c>
      <c r="G685" s="17">
        <v>105</v>
      </c>
      <c r="H685" t="s">
        <v>43</v>
      </c>
      <c r="I685" t="s">
        <v>16</v>
      </c>
      <c r="J685" t="s">
        <v>690</v>
      </c>
    </row>
    <row r="686" spans="6:10" ht="15" customHeight="1" x14ac:dyDescent="0.25">
      <c r="F686" s="16">
        <v>44429</v>
      </c>
      <c r="G686" s="17">
        <v>200</v>
      </c>
      <c r="H686" t="s">
        <v>263</v>
      </c>
    </row>
    <row r="687" spans="6:10" ht="15" customHeight="1" x14ac:dyDescent="0.25">
      <c r="F687" s="16">
        <v>44430</v>
      </c>
      <c r="G687" s="17">
        <v>50</v>
      </c>
      <c r="H687" t="s">
        <v>264</v>
      </c>
      <c r="I687" t="s">
        <v>704</v>
      </c>
    </row>
    <row r="688" spans="6:10" ht="15" customHeight="1" x14ac:dyDescent="0.25">
      <c r="F688" s="16">
        <v>44431</v>
      </c>
      <c r="G688" s="17"/>
      <c r="H688" t="s">
        <v>264</v>
      </c>
      <c r="I688" t="s">
        <v>539</v>
      </c>
    </row>
    <row r="689" spans="6:10" ht="15" customHeight="1" x14ac:dyDescent="0.25">
      <c r="F689" s="16">
        <v>44431</v>
      </c>
      <c r="G689" s="17"/>
      <c r="H689" t="s">
        <v>264</v>
      </c>
      <c r="I689" t="s">
        <v>539</v>
      </c>
    </row>
    <row r="690" spans="6:10" ht="15" customHeight="1" x14ac:dyDescent="0.25">
      <c r="F690" s="16">
        <v>44432</v>
      </c>
      <c r="G690" s="17">
        <v>105</v>
      </c>
      <c r="H690" t="s">
        <v>43</v>
      </c>
      <c r="I690" t="s">
        <v>16</v>
      </c>
      <c r="J690" t="s">
        <v>690</v>
      </c>
    </row>
    <row r="691" spans="6:10" ht="15" customHeight="1" x14ac:dyDescent="0.25">
      <c r="F691" s="16">
        <v>44432</v>
      </c>
      <c r="G691" s="17">
        <v>94.42</v>
      </c>
      <c r="H691" t="s">
        <v>43</v>
      </c>
      <c r="I691" t="s">
        <v>16</v>
      </c>
      <c r="J691" t="s">
        <v>144</v>
      </c>
    </row>
    <row r="692" spans="6:10" ht="15" customHeight="1" x14ac:dyDescent="0.25">
      <c r="F692" s="16">
        <v>44433</v>
      </c>
      <c r="G692" s="17">
        <v>14</v>
      </c>
      <c r="H692" t="s">
        <v>43</v>
      </c>
      <c r="I692" t="s">
        <v>32</v>
      </c>
    </row>
    <row r="693" spans="6:10" ht="15" customHeight="1" x14ac:dyDescent="0.25">
      <c r="F693" s="16">
        <v>44433</v>
      </c>
      <c r="G693" s="17">
        <v>100</v>
      </c>
      <c r="H693" t="s">
        <v>43</v>
      </c>
      <c r="I693" t="s">
        <v>16</v>
      </c>
    </row>
    <row r="694" spans="6:10" ht="15" customHeight="1" x14ac:dyDescent="0.25">
      <c r="F694" s="16">
        <v>44431</v>
      </c>
      <c r="G694" s="17">
        <v>0.99</v>
      </c>
      <c r="H694" t="s">
        <v>22</v>
      </c>
      <c r="I694" t="s">
        <v>58</v>
      </c>
    </row>
    <row r="695" spans="6:10" ht="15" customHeight="1" x14ac:dyDescent="0.25">
      <c r="F695" s="16">
        <v>44434</v>
      </c>
      <c r="G695" s="17">
        <v>-43.76</v>
      </c>
      <c r="H695" t="s">
        <v>43</v>
      </c>
      <c r="I695" t="s">
        <v>206</v>
      </c>
    </row>
    <row r="696" spans="6:10" ht="15" customHeight="1" x14ac:dyDescent="0.25">
      <c r="F696" s="16">
        <v>44435</v>
      </c>
      <c r="G696" s="17">
        <v>9.9</v>
      </c>
      <c r="H696" t="s">
        <v>43</v>
      </c>
      <c r="I696" t="s">
        <v>691</v>
      </c>
    </row>
    <row r="697" spans="6:10" ht="15" customHeight="1" x14ac:dyDescent="0.25">
      <c r="F697" s="16">
        <v>44436</v>
      </c>
      <c r="G697" s="17">
        <v>-35</v>
      </c>
      <c r="H697" t="s">
        <v>43</v>
      </c>
      <c r="I697" t="s">
        <v>16</v>
      </c>
      <c r="J697" t="s">
        <v>690</v>
      </c>
    </row>
    <row r="698" spans="6:10" ht="15" customHeight="1" x14ac:dyDescent="0.25">
      <c r="F698" s="16">
        <v>44436</v>
      </c>
      <c r="G698" s="17">
        <v>46</v>
      </c>
      <c r="H698" t="s">
        <v>46</v>
      </c>
      <c r="I698" t="s">
        <v>47</v>
      </c>
    </row>
    <row r="699" spans="6:10" ht="15" customHeight="1" x14ac:dyDescent="0.25">
      <c r="F699" s="16">
        <v>44436</v>
      </c>
      <c r="G699" s="17">
        <v>55.99</v>
      </c>
      <c r="H699" t="s">
        <v>43</v>
      </c>
      <c r="I699" t="s">
        <v>32</v>
      </c>
    </row>
    <row r="700" spans="6:10" ht="15" customHeight="1" x14ac:dyDescent="0.25">
      <c r="F700" s="16">
        <v>44438</v>
      </c>
      <c r="G700" s="17">
        <v>300</v>
      </c>
      <c r="H700" t="s">
        <v>263</v>
      </c>
    </row>
    <row r="701" spans="6:10" ht="15" customHeight="1" x14ac:dyDescent="0.25">
      <c r="F701" s="16">
        <v>44439</v>
      </c>
      <c r="G701" s="17">
        <v>149</v>
      </c>
      <c r="H701" s="49" t="s">
        <v>36</v>
      </c>
      <c r="I701" t="s">
        <v>692</v>
      </c>
    </row>
    <row r="702" spans="6:10" ht="15" customHeight="1" x14ac:dyDescent="0.25">
      <c r="F702" s="16">
        <v>44439</v>
      </c>
      <c r="G702" s="17">
        <v>400</v>
      </c>
      <c r="H702" t="s">
        <v>263</v>
      </c>
    </row>
    <row r="703" spans="6:10" ht="15" customHeight="1" x14ac:dyDescent="0.25">
      <c r="F703" s="222">
        <v>44439</v>
      </c>
      <c r="G703" s="223">
        <v>1200</v>
      </c>
      <c r="H703" s="224" t="s">
        <v>264</v>
      </c>
      <c r="I703" s="224" t="s">
        <v>693</v>
      </c>
      <c r="J703" s="224"/>
    </row>
    <row r="704" spans="6:10" ht="15" customHeight="1" x14ac:dyDescent="0.25">
      <c r="F704" s="16">
        <v>44440</v>
      </c>
      <c r="G704" s="17">
        <v>2500</v>
      </c>
      <c r="H704" t="s">
        <v>264</v>
      </c>
      <c r="I704" t="s">
        <v>445</v>
      </c>
    </row>
    <row r="705" spans="6:10" ht="15" customHeight="1" x14ac:dyDescent="0.25">
      <c r="F705" s="16">
        <v>44440</v>
      </c>
      <c r="G705" s="17">
        <v>144.33000000000001</v>
      </c>
      <c r="H705" t="s">
        <v>43</v>
      </c>
      <c r="I705" t="s">
        <v>16</v>
      </c>
      <c r="J705" t="s">
        <v>144</v>
      </c>
    </row>
    <row r="706" spans="6:10" ht="15" customHeight="1" x14ac:dyDescent="0.25">
      <c r="F706" s="16">
        <v>44440</v>
      </c>
      <c r="G706" s="17">
        <v>20.3</v>
      </c>
      <c r="H706" t="s">
        <v>43</v>
      </c>
      <c r="I706" t="s">
        <v>32</v>
      </c>
      <c r="J706" t="s">
        <v>694</v>
      </c>
    </row>
    <row r="707" spans="6:10" ht="15" customHeight="1" x14ac:dyDescent="0.25">
      <c r="F707" s="16">
        <v>44441</v>
      </c>
      <c r="G707" s="17">
        <v>97.11</v>
      </c>
      <c r="H707" t="s">
        <v>43</v>
      </c>
      <c r="I707" t="s">
        <v>16</v>
      </c>
      <c r="J707" t="s">
        <v>144</v>
      </c>
    </row>
    <row r="708" spans="6:10" ht="15" customHeight="1" x14ac:dyDescent="0.25">
      <c r="F708" s="16">
        <v>44443</v>
      </c>
      <c r="G708" s="17">
        <v>105</v>
      </c>
      <c r="H708" t="s">
        <v>43</v>
      </c>
      <c r="I708" t="s">
        <v>16</v>
      </c>
      <c r="J708" t="s">
        <v>690</v>
      </c>
    </row>
    <row r="709" spans="6:10" ht="15" customHeight="1" x14ac:dyDescent="0.25">
      <c r="F709" s="16">
        <v>44443</v>
      </c>
      <c r="G709" s="17">
        <v>200</v>
      </c>
      <c r="H709" t="s">
        <v>263</v>
      </c>
    </row>
    <row r="710" spans="6:10" ht="15" customHeight="1" x14ac:dyDescent="0.25">
      <c r="F710" s="16">
        <v>44438</v>
      </c>
      <c r="G710" s="17">
        <v>0.99</v>
      </c>
      <c r="H710" t="s">
        <v>22</v>
      </c>
      <c r="I710" t="s">
        <v>58</v>
      </c>
    </row>
    <row r="711" spans="6:10" ht="15" customHeight="1" x14ac:dyDescent="0.25">
      <c r="F711" s="16">
        <v>44438</v>
      </c>
      <c r="G711" s="17">
        <v>1600</v>
      </c>
      <c r="H711" t="s">
        <v>263</v>
      </c>
    </row>
    <row r="712" spans="6:10" ht="15" customHeight="1" x14ac:dyDescent="0.25">
      <c r="F712" s="16">
        <v>44443</v>
      </c>
      <c r="G712" s="17">
        <v>143</v>
      </c>
      <c r="H712" t="s">
        <v>43</v>
      </c>
      <c r="I712" t="s">
        <v>607</v>
      </c>
    </row>
    <row r="713" spans="6:10" ht="15" customHeight="1" x14ac:dyDescent="0.25">
      <c r="F713" s="16">
        <v>44443</v>
      </c>
      <c r="G713" s="17">
        <v>176</v>
      </c>
      <c r="H713" t="s">
        <v>120</v>
      </c>
      <c r="I713" t="s">
        <v>753</v>
      </c>
    </row>
    <row r="714" spans="6:10" ht="15" customHeight="1" x14ac:dyDescent="0.25">
      <c r="F714" s="16">
        <v>44445</v>
      </c>
      <c r="G714" s="17">
        <v>0.99</v>
      </c>
      <c r="H714" t="s">
        <v>22</v>
      </c>
      <c r="I714" t="s">
        <v>58</v>
      </c>
    </row>
    <row r="715" spans="6:10" ht="15" customHeight="1" x14ac:dyDescent="0.25">
      <c r="F715" s="16">
        <v>44446</v>
      </c>
      <c r="G715" s="17"/>
      <c r="H715" t="s">
        <v>43</v>
      </c>
      <c r="I715" t="s">
        <v>16</v>
      </c>
      <c r="J715" t="s">
        <v>495</v>
      </c>
    </row>
    <row r="716" spans="6:10" ht="15" customHeight="1" x14ac:dyDescent="0.25">
      <c r="F716" s="16">
        <v>44446</v>
      </c>
      <c r="G716" s="17">
        <v>420</v>
      </c>
      <c r="H716" t="s">
        <v>43</v>
      </c>
      <c r="I716" t="s">
        <v>16</v>
      </c>
      <c r="J716" t="s">
        <v>690</v>
      </c>
    </row>
    <row r="717" spans="6:10" ht="15" customHeight="1" x14ac:dyDescent="0.25">
      <c r="F717" s="16">
        <v>44446</v>
      </c>
      <c r="G717" s="17">
        <v>46.15</v>
      </c>
      <c r="H717" t="s">
        <v>43</v>
      </c>
      <c r="I717" t="s">
        <v>206</v>
      </c>
    </row>
    <row r="718" spans="6:10" ht="15" customHeight="1" x14ac:dyDescent="0.25">
      <c r="F718" s="16">
        <v>44446</v>
      </c>
      <c r="G718" s="17">
        <v>71.2</v>
      </c>
      <c r="H718" t="s">
        <v>43</v>
      </c>
      <c r="I718" t="s">
        <v>206</v>
      </c>
    </row>
    <row r="719" spans="6:10" ht="15" customHeight="1" x14ac:dyDescent="0.25">
      <c r="F719" s="16">
        <v>44446</v>
      </c>
      <c r="G719" s="17">
        <v>22.09</v>
      </c>
      <c r="H719" t="s">
        <v>43</v>
      </c>
      <c r="I719" t="s">
        <v>17</v>
      </c>
    </row>
    <row r="720" spans="6:10" ht="15" customHeight="1" x14ac:dyDescent="0.25">
      <c r="F720" s="16">
        <v>44446</v>
      </c>
      <c r="G720" s="17">
        <v>21.55</v>
      </c>
      <c r="H720" t="s">
        <v>43</v>
      </c>
      <c r="I720" t="s">
        <v>32</v>
      </c>
    </row>
    <row r="721" spans="6:10" ht="15" customHeight="1" x14ac:dyDescent="0.25">
      <c r="F721" s="16">
        <v>44446</v>
      </c>
      <c r="G721" s="17">
        <v>15.46</v>
      </c>
      <c r="H721" t="s">
        <v>43</v>
      </c>
      <c r="I721" t="s">
        <v>32</v>
      </c>
    </row>
    <row r="722" spans="6:10" ht="15" customHeight="1" x14ac:dyDescent="0.25">
      <c r="F722" s="16">
        <v>44447</v>
      </c>
      <c r="G722" s="17">
        <v>9.9</v>
      </c>
      <c r="H722" t="s">
        <v>37</v>
      </c>
    </row>
    <row r="723" spans="6:10" ht="15" customHeight="1" x14ac:dyDescent="0.25">
      <c r="F723" s="16">
        <v>44447</v>
      </c>
      <c r="G723" s="17">
        <v>4.99</v>
      </c>
      <c r="H723" t="s">
        <v>46</v>
      </c>
      <c r="I723" t="s">
        <v>47</v>
      </c>
    </row>
    <row r="724" spans="6:10" ht="15" customHeight="1" x14ac:dyDescent="0.25">
      <c r="F724" s="16">
        <v>44447</v>
      </c>
      <c r="G724" s="17">
        <v>27.74</v>
      </c>
      <c r="H724" t="s">
        <v>43</v>
      </c>
      <c r="I724" t="s">
        <v>32</v>
      </c>
    </row>
    <row r="725" spans="6:10" ht="15" customHeight="1" x14ac:dyDescent="0.25">
      <c r="F725" s="16">
        <v>44447</v>
      </c>
      <c r="G725" s="17">
        <v>140</v>
      </c>
      <c r="H725" t="s">
        <v>263</v>
      </c>
    </row>
    <row r="726" spans="6:10" ht="15" customHeight="1" x14ac:dyDescent="0.25">
      <c r="F726" s="16">
        <v>44447</v>
      </c>
      <c r="G726" s="17">
        <v>20</v>
      </c>
      <c r="H726" t="s">
        <v>43</v>
      </c>
      <c r="I726" t="s">
        <v>695</v>
      </c>
    </row>
    <row r="727" spans="6:10" ht="15" customHeight="1" x14ac:dyDescent="0.25">
      <c r="F727" s="16">
        <v>44447</v>
      </c>
      <c r="G727" s="17">
        <v>2900</v>
      </c>
      <c r="H727" t="s">
        <v>263</v>
      </c>
    </row>
    <row r="728" spans="6:10" ht="15" customHeight="1" x14ac:dyDescent="0.25">
      <c r="F728" s="222">
        <v>44448</v>
      </c>
      <c r="G728" s="223">
        <v>1010.89</v>
      </c>
      <c r="H728" s="224" t="s">
        <v>264</v>
      </c>
      <c r="I728" s="224" t="s">
        <v>689</v>
      </c>
    </row>
    <row r="729" spans="6:10" ht="15" customHeight="1" x14ac:dyDescent="0.25">
      <c r="F729" s="222">
        <v>44448</v>
      </c>
      <c r="G729" s="223">
        <v>20622.07</v>
      </c>
      <c r="H729" s="224" t="s">
        <v>264</v>
      </c>
      <c r="I729" s="224" t="s">
        <v>689</v>
      </c>
    </row>
    <row r="730" spans="6:10" ht="15" customHeight="1" x14ac:dyDescent="0.25">
      <c r="F730" s="16">
        <v>44448</v>
      </c>
      <c r="G730" s="17">
        <v>890</v>
      </c>
      <c r="H730" t="s">
        <v>261</v>
      </c>
      <c r="I730" t="s">
        <v>697</v>
      </c>
    </row>
    <row r="731" spans="6:10" ht="15" customHeight="1" x14ac:dyDescent="0.25">
      <c r="F731" s="16">
        <v>44448</v>
      </c>
      <c r="G731" s="17">
        <v>132.85</v>
      </c>
      <c r="H731" t="s">
        <v>43</v>
      </c>
      <c r="I731" t="s">
        <v>16</v>
      </c>
      <c r="J731" t="s">
        <v>495</v>
      </c>
    </row>
    <row r="732" spans="6:10" ht="15" customHeight="1" x14ac:dyDescent="0.25">
      <c r="F732" s="16">
        <v>44449</v>
      </c>
      <c r="G732" s="17">
        <v>10</v>
      </c>
      <c r="H732" t="s">
        <v>43</v>
      </c>
      <c r="I732" t="s">
        <v>695</v>
      </c>
    </row>
    <row r="733" spans="6:10" ht="15" customHeight="1" x14ac:dyDescent="0.25">
      <c r="F733" s="16">
        <v>44450</v>
      </c>
      <c r="G733" s="17">
        <v>136.08000000000001</v>
      </c>
      <c r="H733" t="s">
        <v>43</v>
      </c>
      <c r="I733" t="s">
        <v>16</v>
      </c>
      <c r="J733" t="s">
        <v>665</v>
      </c>
    </row>
    <row r="734" spans="6:10" ht="15" customHeight="1" x14ac:dyDescent="0.25">
      <c r="F734" s="16">
        <v>44450</v>
      </c>
      <c r="G734" s="17">
        <v>125.88</v>
      </c>
      <c r="H734" t="s">
        <v>43</v>
      </c>
      <c r="I734" t="s">
        <v>16</v>
      </c>
      <c r="J734" t="s">
        <v>495</v>
      </c>
    </row>
    <row r="735" spans="6:10" ht="15" customHeight="1" x14ac:dyDescent="0.25">
      <c r="F735" s="16">
        <v>44450</v>
      </c>
      <c r="G735" s="17">
        <v>105</v>
      </c>
      <c r="H735" t="s">
        <v>43</v>
      </c>
      <c r="I735" t="s">
        <v>16</v>
      </c>
      <c r="J735" t="s">
        <v>690</v>
      </c>
    </row>
    <row r="736" spans="6:10" ht="15" customHeight="1" x14ac:dyDescent="0.25">
      <c r="F736" s="16">
        <v>44450</v>
      </c>
      <c r="G736" s="17"/>
      <c r="H736" t="s">
        <v>43</v>
      </c>
      <c r="I736" t="s">
        <v>16</v>
      </c>
      <c r="J736" t="s">
        <v>665</v>
      </c>
    </row>
    <row r="737" spans="6:10" ht="15" customHeight="1" x14ac:dyDescent="0.25">
      <c r="F737" s="16">
        <v>44450</v>
      </c>
      <c r="G737" s="17">
        <v>73.349999999999994</v>
      </c>
      <c r="H737" t="s">
        <v>43</v>
      </c>
      <c r="I737" t="s">
        <v>32</v>
      </c>
    </row>
    <row r="738" spans="6:10" ht="15" customHeight="1" x14ac:dyDescent="0.25">
      <c r="F738" s="16">
        <v>44450</v>
      </c>
      <c r="G738" s="17">
        <v>104.15</v>
      </c>
      <c r="H738" t="s">
        <v>43</v>
      </c>
      <c r="I738" t="s">
        <v>32</v>
      </c>
    </row>
    <row r="739" spans="6:10" ht="15" customHeight="1" x14ac:dyDescent="0.25">
      <c r="F739" s="16">
        <v>44451</v>
      </c>
      <c r="G739" s="17"/>
      <c r="H739" t="s">
        <v>264</v>
      </c>
      <c r="I739" t="s">
        <v>539</v>
      </c>
    </row>
    <row r="740" spans="6:10" ht="15" customHeight="1" x14ac:dyDescent="0.25">
      <c r="F740" s="16">
        <v>44452</v>
      </c>
      <c r="G740" s="17">
        <v>3600</v>
      </c>
      <c r="H740" t="s">
        <v>264</v>
      </c>
      <c r="I740" t="s">
        <v>445</v>
      </c>
      <c r="J740" t="s">
        <v>198</v>
      </c>
    </row>
    <row r="741" spans="6:10" ht="15" customHeight="1" x14ac:dyDescent="0.25">
      <c r="F741" s="16">
        <v>44453</v>
      </c>
      <c r="G741" s="17">
        <v>52</v>
      </c>
      <c r="H741" t="s">
        <v>97</v>
      </c>
      <c r="I741" t="s">
        <v>669</v>
      </c>
    </row>
    <row r="742" spans="6:10" ht="15" customHeight="1" x14ac:dyDescent="0.25">
      <c r="F742" s="16">
        <v>44453</v>
      </c>
      <c r="G742" s="17">
        <v>10.55</v>
      </c>
      <c r="H742" t="s">
        <v>43</v>
      </c>
      <c r="I742" t="s">
        <v>32</v>
      </c>
    </row>
    <row r="743" spans="6:10" ht="15" customHeight="1" x14ac:dyDescent="0.25">
      <c r="F743" s="16">
        <v>44453</v>
      </c>
      <c r="G743" s="17">
        <v>79</v>
      </c>
      <c r="H743" t="s">
        <v>264</v>
      </c>
      <c r="I743" t="s">
        <v>704</v>
      </c>
    </row>
    <row r="744" spans="6:10" ht="15" customHeight="1" x14ac:dyDescent="0.25">
      <c r="F744" s="16">
        <v>44453</v>
      </c>
      <c r="G744" s="17">
        <v>100</v>
      </c>
      <c r="H744" t="s">
        <v>263</v>
      </c>
    </row>
    <row r="745" spans="6:10" ht="15" customHeight="1" x14ac:dyDescent="0.25">
      <c r="F745" s="16">
        <v>44453</v>
      </c>
      <c r="G745" s="17">
        <v>475</v>
      </c>
      <c r="H745" t="s">
        <v>120</v>
      </c>
      <c r="I745" t="s">
        <v>754</v>
      </c>
    </row>
    <row r="746" spans="6:10" ht="15" customHeight="1" x14ac:dyDescent="0.25">
      <c r="F746" s="16">
        <v>44454</v>
      </c>
      <c r="G746" s="17">
        <v>97.08</v>
      </c>
      <c r="H746" t="s">
        <v>43</v>
      </c>
      <c r="I746" t="s">
        <v>16</v>
      </c>
      <c r="J746" t="s">
        <v>668</v>
      </c>
    </row>
    <row r="747" spans="6:10" ht="15" customHeight="1" x14ac:dyDescent="0.25">
      <c r="F747" s="16">
        <v>44454</v>
      </c>
      <c r="G747" s="17">
        <v>1200</v>
      </c>
      <c r="H747" t="s">
        <v>263</v>
      </c>
      <c r="I747" t="s">
        <v>700</v>
      </c>
    </row>
    <row r="748" spans="6:10" ht="15" customHeight="1" x14ac:dyDescent="0.25">
      <c r="F748" s="16">
        <v>44454</v>
      </c>
      <c r="G748" s="17">
        <v>10000</v>
      </c>
      <c r="H748" t="s">
        <v>261</v>
      </c>
    </row>
    <row r="749" spans="6:10" ht="15" customHeight="1" x14ac:dyDescent="0.25">
      <c r="F749" s="16">
        <v>44454</v>
      </c>
      <c r="G749" s="17">
        <v>682</v>
      </c>
      <c r="H749" t="s">
        <v>264</v>
      </c>
      <c r="I749" t="s">
        <v>720</v>
      </c>
      <c r="J749" t="s">
        <v>675</v>
      </c>
    </row>
    <row r="750" spans="6:10" ht="15" customHeight="1" x14ac:dyDescent="0.25">
      <c r="F750" s="16">
        <v>44452</v>
      </c>
      <c r="G750" s="17">
        <v>0.99</v>
      </c>
      <c r="H750" t="s">
        <v>22</v>
      </c>
      <c r="I750" t="s">
        <v>58</v>
      </c>
    </row>
    <row r="751" spans="6:10" ht="15" customHeight="1" x14ac:dyDescent="0.25">
      <c r="F751" s="16">
        <v>44455</v>
      </c>
      <c r="G751" s="17">
        <v>14.75</v>
      </c>
      <c r="H751" t="s">
        <v>37</v>
      </c>
      <c r="I751" t="s">
        <v>701</v>
      </c>
    </row>
    <row r="752" spans="6:10" ht="15" customHeight="1" x14ac:dyDescent="0.25">
      <c r="F752" s="16">
        <v>44455</v>
      </c>
      <c r="G752" s="17">
        <v>14.74</v>
      </c>
      <c r="H752" t="s">
        <v>37</v>
      </c>
      <c r="I752" t="s">
        <v>701</v>
      </c>
    </row>
    <row r="753" spans="6:9" ht="15" customHeight="1" x14ac:dyDescent="0.25">
      <c r="F753" s="16">
        <v>44455</v>
      </c>
      <c r="G753" s="17">
        <v>31.06</v>
      </c>
      <c r="H753" t="s">
        <v>43</v>
      </c>
      <c r="I753" t="s">
        <v>32</v>
      </c>
    </row>
    <row r="754" spans="6:9" ht="15" customHeight="1" x14ac:dyDescent="0.25">
      <c r="F754" s="16">
        <v>44455</v>
      </c>
      <c r="G754" s="17">
        <v>82.14</v>
      </c>
      <c r="H754" t="s">
        <v>264</v>
      </c>
      <c r="I754" t="s">
        <v>721</v>
      </c>
    </row>
    <row r="755" spans="6:9" ht="15" customHeight="1" x14ac:dyDescent="0.25">
      <c r="F755" s="16">
        <v>44455</v>
      </c>
      <c r="G755" s="17">
        <v>66.650000000000006</v>
      </c>
      <c r="H755" t="s">
        <v>43</v>
      </c>
      <c r="I755" t="s">
        <v>32</v>
      </c>
    </row>
    <row r="756" spans="6:9" ht="15" customHeight="1" x14ac:dyDescent="0.25">
      <c r="F756" s="16">
        <v>44457</v>
      </c>
      <c r="G756" s="17">
        <v>1500</v>
      </c>
      <c r="H756" t="s">
        <v>263</v>
      </c>
    </row>
    <row r="757" spans="6:9" ht="15" customHeight="1" x14ac:dyDescent="0.25">
      <c r="F757" s="16">
        <v>44459</v>
      </c>
      <c r="G757" s="17">
        <v>400</v>
      </c>
      <c r="H757" t="s">
        <v>261</v>
      </c>
      <c r="I757" t="s">
        <v>702</v>
      </c>
    </row>
    <row r="758" spans="6:9" ht="15" customHeight="1" x14ac:dyDescent="0.25">
      <c r="F758" s="16">
        <v>44459</v>
      </c>
      <c r="G758" s="17">
        <v>100</v>
      </c>
      <c r="H758" t="s">
        <v>263</v>
      </c>
    </row>
    <row r="759" spans="6:9" ht="15" customHeight="1" x14ac:dyDescent="0.25">
      <c r="F759" s="16">
        <v>44459</v>
      </c>
      <c r="G759" s="17">
        <v>0.99</v>
      </c>
      <c r="H759" t="s">
        <v>22</v>
      </c>
      <c r="I759" t="s">
        <v>58</v>
      </c>
    </row>
    <row r="760" spans="6:9" ht="15" customHeight="1" x14ac:dyDescent="0.25">
      <c r="F760" s="16">
        <v>44460</v>
      </c>
      <c r="G760" s="17">
        <v>2</v>
      </c>
      <c r="H760" t="s">
        <v>264</v>
      </c>
      <c r="I760" t="s">
        <v>721</v>
      </c>
    </row>
    <row r="761" spans="6:9" ht="15" customHeight="1" x14ac:dyDescent="0.25">
      <c r="F761" s="16">
        <v>44460</v>
      </c>
      <c r="G761" s="17">
        <v>105</v>
      </c>
      <c r="H761" t="s">
        <v>43</v>
      </c>
      <c r="I761" t="s">
        <v>677</v>
      </c>
    </row>
    <row r="762" spans="6:9" ht="15" customHeight="1" x14ac:dyDescent="0.25">
      <c r="F762" s="16">
        <v>44460</v>
      </c>
      <c r="G762" s="17">
        <v>4.99</v>
      </c>
      <c r="H762" t="s">
        <v>46</v>
      </c>
    </row>
    <row r="763" spans="6:9" ht="15" customHeight="1" x14ac:dyDescent="0.25">
      <c r="F763" s="16">
        <v>44460</v>
      </c>
      <c r="G763" s="17"/>
      <c r="H763" t="s">
        <v>264</v>
      </c>
      <c r="I763" t="s">
        <v>579</v>
      </c>
    </row>
    <row r="764" spans="6:9" ht="15" customHeight="1" x14ac:dyDescent="0.25">
      <c r="F764" s="16">
        <v>44461</v>
      </c>
      <c r="G764" s="17">
        <v>100</v>
      </c>
      <c r="H764" t="s">
        <v>263</v>
      </c>
    </row>
    <row r="765" spans="6:9" ht="15" customHeight="1" x14ac:dyDescent="0.25">
      <c r="F765" s="16">
        <v>44462</v>
      </c>
      <c r="G765" s="17">
        <v>201.31</v>
      </c>
      <c r="H765" t="s">
        <v>43</v>
      </c>
      <c r="I765" t="s">
        <v>20</v>
      </c>
    </row>
    <row r="766" spans="6:9" ht="15" customHeight="1" x14ac:dyDescent="0.25">
      <c r="F766" s="16">
        <v>44462</v>
      </c>
      <c r="G766" s="17">
        <v>201.31</v>
      </c>
      <c r="H766" t="s">
        <v>43</v>
      </c>
      <c r="I766" t="s">
        <v>20</v>
      </c>
    </row>
    <row r="767" spans="6:9" ht="15" customHeight="1" x14ac:dyDescent="0.25">
      <c r="F767" s="16">
        <v>44462</v>
      </c>
      <c r="G767" s="17">
        <v>215.14</v>
      </c>
      <c r="H767" t="s">
        <v>43</v>
      </c>
      <c r="I767" t="s">
        <v>20</v>
      </c>
    </row>
    <row r="768" spans="6:9" ht="15" customHeight="1" x14ac:dyDescent="0.25">
      <c r="F768" s="16">
        <v>44462</v>
      </c>
      <c r="G768" s="17">
        <v>394.6</v>
      </c>
      <c r="H768" t="s">
        <v>264</v>
      </c>
      <c r="I768" t="s">
        <v>721</v>
      </c>
    </row>
    <row r="769" spans="6:10" ht="15" customHeight="1" x14ac:dyDescent="0.25">
      <c r="F769" s="16">
        <v>44463</v>
      </c>
      <c r="G769" s="17">
        <v>25</v>
      </c>
      <c r="H769" t="s">
        <v>46</v>
      </c>
      <c r="I769" t="s">
        <v>705</v>
      </c>
    </row>
    <row r="770" spans="6:10" ht="15" customHeight="1" x14ac:dyDescent="0.25">
      <c r="F770" s="16">
        <v>44463</v>
      </c>
      <c r="G770" s="17">
        <v>94.42</v>
      </c>
      <c r="H770" t="s">
        <v>43</v>
      </c>
      <c r="I770" t="s">
        <v>16</v>
      </c>
      <c r="J770" t="s">
        <v>144</v>
      </c>
    </row>
    <row r="771" spans="6:10" ht="15" customHeight="1" x14ac:dyDescent="0.25">
      <c r="F771" s="16">
        <v>44463</v>
      </c>
      <c r="G771" s="17">
        <v>105</v>
      </c>
      <c r="H771" t="s">
        <v>43</v>
      </c>
      <c r="I771" t="s">
        <v>16</v>
      </c>
      <c r="J771" t="s">
        <v>690</v>
      </c>
    </row>
    <row r="772" spans="6:10" ht="15" customHeight="1" x14ac:dyDescent="0.25">
      <c r="F772" s="16">
        <v>44465</v>
      </c>
      <c r="G772" s="17">
        <v>100</v>
      </c>
      <c r="H772" t="s">
        <v>263</v>
      </c>
    </row>
    <row r="773" spans="6:10" ht="15" customHeight="1" x14ac:dyDescent="0.25">
      <c r="F773" s="16">
        <v>44466</v>
      </c>
      <c r="G773" s="17">
        <v>0.99</v>
      </c>
      <c r="H773" t="s">
        <v>22</v>
      </c>
      <c r="I773" t="s">
        <v>58</v>
      </c>
    </row>
    <row r="774" spans="6:10" ht="15" customHeight="1" x14ac:dyDescent="0.25">
      <c r="F774" s="16">
        <v>44467</v>
      </c>
      <c r="G774" s="17">
        <v>1000</v>
      </c>
      <c r="H774" t="s">
        <v>263</v>
      </c>
    </row>
    <row r="775" spans="6:10" ht="15" customHeight="1" x14ac:dyDescent="0.25">
      <c r="F775" s="16">
        <v>44469</v>
      </c>
      <c r="G775" s="17">
        <v>1600</v>
      </c>
      <c r="H775" t="s">
        <v>263</v>
      </c>
    </row>
    <row r="776" spans="6:10" ht="15" customHeight="1" x14ac:dyDescent="0.25">
      <c r="F776" s="16">
        <v>44470</v>
      </c>
      <c r="G776" s="17">
        <v>144.33000000000001</v>
      </c>
      <c r="H776" t="s">
        <v>43</v>
      </c>
      <c r="I776" t="s">
        <v>16</v>
      </c>
      <c r="J776" t="s">
        <v>144</v>
      </c>
    </row>
    <row r="777" spans="6:10" ht="15" customHeight="1" x14ac:dyDescent="0.25">
      <c r="F777" s="16">
        <v>44470</v>
      </c>
      <c r="G777" s="17">
        <v>253.2</v>
      </c>
      <c r="H777" t="s">
        <v>43</v>
      </c>
      <c r="I777" t="s">
        <v>555</v>
      </c>
    </row>
    <row r="778" spans="6:10" ht="15" customHeight="1" x14ac:dyDescent="0.25">
      <c r="F778" s="16">
        <v>44470</v>
      </c>
      <c r="G778" s="17">
        <v>69.12</v>
      </c>
      <c r="H778" t="s">
        <v>43</v>
      </c>
      <c r="I778" t="s">
        <v>32</v>
      </c>
    </row>
    <row r="779" spans="6:10" ht="15" customHeight="1" x14ac:dyDescent="0.25">
      <c r="F779" s="16">
        <v>44471</v>
      </c>
      <c r="G779" s="17">
        <v>11.7</v>
      </c>
      <c r="H779" t="s">
        <v>43</v>
      </c>
      <c r="I779" t="s">
        <v>32</v>
      </c>
    </row>
    <row r="780" spans="6:10" ht="15" customHeight="1" x14ac:dyDescent="0.25">
      <c r="F780" s="16">
        <v>44471</v>
      </c>
      <c r="G780" s="17">
        <v>16.21</v>
      </c>
      <c r="H780" t="s">
        <v>43</v>
      </c>
      <c r="I780" t="s">
        <v>32</v>
      </c>
    </row>
    <row r="781" spans="6:10" ht="15" customHeight="1" x14ac:dyDescent="0.25">
      <c r="F781" s="16">
        <v>44473</v>
      </c>
      <c r="G781" s="17">
        <v>0.99</v>
      </c>
      <c r="H781" t="s">
        <v>22</v>
      </c>
      <c r="I781" t="s">
        <v>58</v>
      </c>
    </row>
    <row r="782" spans="6:10" ht="15" customHeight="1" x14ac:dyDescent="0.25">
      <c r="F782" s="16">
        <v>44474</v>
      </c>
      <c r="G782" s="17">
        <v>105</v>
      </c>
      <c r="H782" t="s">
        <v>43</v>
      </c>
      <c r="I782" t="s">
        <v>16</v>
      </c>
      <c r="J782" t="s">
        <v>690</v>
      </c>
    </row>
    <row r="783" spans="6:10" ht="15" customHeight="1" x14ac:dyDescent="0.25">
      <c r="F783" s="16">
        <v>44474</v>
      </c>
      <c r="G783" s="17">
        <v>134.84</v>
      </c>
      <c r="H783" t="s">
        <v>43</v>
      </c>
      <c r="I783" t="s">
        <v>16</v>
      </c>
      <c r="J783" t="s">
        <v>144</v>
      </c>
    </row>
    <row r="784" spans="6:10" ht="15" customHeight="1" x14ac:dyDescent="0.25">
      <c r="F784" s="16">
        <v>44474</v>
      </c>
      <c r="G784" s="17">
        <v>21.55</v>
      </c>
      <c r="H784" t="s">
        <v>43</v>
      </c>
      <c r="I784" t="s">
        <v>32</v>
      </c>
    </row>
    <row r="785" spans="6:10" ht="15" customHeight="1" x14ac:dyDescent="0.25">
      <c r="F785" s="16">
        <v>44474</v>
      </c>
      <c r="G785" s="17">
        <v>4200</v>
      </c>
      <c r="H785" t="s">
        <v>264</v>
      </c>
      <c r="I785" t="s">
        <v>723</v>
      </c>
    </row>
    <row r="786" spans="6:10" ht="15" customHeight="1" x14ac:dyDescent="0.25">
      <c r="F786" s="16">
        <v>44474</v>
      </c>
      <c r="G786" s="17">
        <v>1500</v>
      </c>
      <c r="H786" t="s">
        <v>263</v>
      </c>
    </row>
    <row r="787" spans="6:10" ht="15" customHeight="1" x14ac:dyDescent="0.25">
      <c r="F787" s="16">
        <v>44474</v>
      </c>
      <c r="G787" s="17">
        <v>5000</v>
      </c>
      <c r="H787" t="s">
        <v>261</v>
      </c>
    </row>
    <row r="788" spans="6:10" ht="15" customHeight="1" x14ac:dyDescent="0.25">
      <c r="F788" s="16">
        <v>44475</v>
      </c>
      <c r="G788" s="17">
        <v>420</v>
      </c>
      <c r="H788" t="s">
        <v>43</v>
      </c>
      <c r="I788" t="s">
        <v>16</v>
      </c>
      <c r="J788" t="s">
        <v>690</v>
      </c>
    </row>
    <row r="789" spans="6:10" ht="15" customHeight="1" x14ac:dyDescent="0.25">
      <c r="F789" s="16">
        <v>44477</v>
      </c>
      <c r="G789" s="17">
        <v>9.9</v>
      </c>
      <c r="H789" t="s">
        <v>36</v>
      </c>
    </row>
    <row r="790" spans="6:10" ht="15" customHeight="1" x14ac:dyDescent="0.25">
      <c r="F790" s="16">
        <v>44477</v>
      </c>
      <c r="G790" s="17"/>
      <c r="H790" t="s">
        <v>43</v>
      </c>
      <c r="I790" t="s">
        <v>16</v>
      </c>
      <c r="J790" t="s">
        <v>495</v>
      </c>
    </row>
    <row r="791" spans="6:10" ht="15" customHeight="1" x14ac:dyDescent="0.25">
      <c r="F791" s="16">
        <v>44478</v>
      </c>
      <c r="G791" s="17">
        <v>215.14</v>
      </c>
      <c r="H791" t="s">
        <v>43</v>
      </c>
      <c r="I791" t="s">
        <v>20</v>
      </c>
    </row>
    <row r="792" spans="6:10" ht="15" customHeight="1" x14ac:dyDescent="0.25">
      <c r="F792" s="16">
        <v>44480</v>
      </c>
      <c r="G792" s="17">
        <v>2500</v>
      </c>
      <c r="H792" t="s">
        <v>263</v>
      </c>
    </row>
    <row r="793" spans="6:10" ht="15" customHeight="1" x14ac:dyDescent="0.25">
      <c r="F793" s="16">
        <v>44480</v>
      </c>
      <c r="G793" s="17">
        <v>0.99</v>
      </c>
      <c r="H793" t="s">
        <v>22</v>
      </c>
      <c r="I793" t="s">
        <v>58</v>
      </c>
    </row>
    <row r="794" spans="6:10" ht="15" customHeight="1" x14ac:dyDescent="0.25">
      <c r="F794" s="16">
        <v>44481</v>
      </c>
      <c r="G794" s="17">
        <v>46.25</v>
      </c>
      <c r="H794" t="s">
        <v>43</v>
      </c>
      <c r="I794" t="s">
        <v>206</v>
      </c>
    </row>
    <row r="795" spans="6:10" ht="15" customHeight="1" x14ac:dyDescent="0.25">
      <c r="F795" s="16">
        <v>44481</v>
      </c>
      <c r="G795" s="17">
        <v>29.16</v>
      </c>
      <c r="H795" t="s">
        <v>43</v>
      </c>
      <c r="I795" t="s">
        <v>206</v>
      </c>
    </row>
    <row r="796" spans="6:10" ht="15" customHeight="1" x14ac:dyDescent="0.25">
      <c r="F796" s="16">
        <v>44481</v>
      </c>
      <c r="G796" s="17">
        <v>75.56</v>
      </c>
      <c r="H796" t="s">
        <v>43</v>
      </c>
      <c r="I796" t="s">
        <v>206</v>
      </c>
    </row>
    <row r="797" spans="6:10" ht="15" customHeight="1" x14ac:dyDescent="0.25">
      <c r="F797" s="16">
        <v>44481</v>
      </c>
      <c r="G797" s="17">
        <v>41.47</v>
      </c>
      <c r="H797" t="s">
        <v>43</v>
      </c>
      <c r="I797" t="s">
        <v>206</v>
      </c>
    </row>
    <row r="798" spans="6:10" ht="15" customHeight="1" x14ac:dyDescent="0.25">
      <c r="F798" s="16">
        <v>44481</v>
      </c>
      <c r="G798" s="17">
        <v>4.99</v>
      </c>
      <c r="H798" t="s">
        <v>46</v>
      </c>
      <c r="I798" t="s">
        <v>47</v>
      </c>
    </row>
    <row r="799" spans="6:10" ht="15" customHeight="1" x14ac:dyDescent="0.25">
      <c r="F799" s="16">
        <v>44481</v>
      </c>
      <c r="G799" s="17">
        <v>50.17</v>
      </c>
      <c r="H799" t="s">
        <v>264</v>
      </c>
      <c r="I799" t="s">
        <v>723</v>
      </c>
    </row>
    <row r="800" spans="6:10" ht="15" customHeight="1" x14ac:dyDescent="0.25">
      <c r="F800" s="16">
        <v>44481</v>
      </c>
      <c r="G800" s="17">
        <v>136.08000000000001</v>
      </c>
      <c r="H800" t="s">
        <v>43</v>
      </c>
      <c r="I800" t="s">
        <v>16</v>
      </c>
      <c r="J800" t="s">
        <v>495</v>
      </c>
    </row>
    <row r="801" spans="5:10" ht="15" customHeight="1" x14ac:dyDescent="0.25">
      <c r="F801" s="16">
        <v>44481</v>
      </c>
      <c r="G801" s="17">
        <v>125.88</v>
      </c>
      <c r="H801" t="s">
        <v>43</v>
      </c>
      <c r="I801" t="s">
        <v>16</v>
      </c>
      <c r="J801" t="s">
        <v>665</v>
      </c>
    </row>
    <row r="802" spans="5:10" ht="15" customHeight="1" x14ac:dyDescent="0.25">
      <c r="F802" s="16">
        <v>44481</v>
      </c>
      <c r="G802" s="17">
        <v>105</v>
      </c>
      <c r="H802" t="s">
        <v>43</v>
      </c>
      <c r="I802" t="s">
        <v>16</v>
      </c>
      <c r="J802" t="s">
        <v>690</v>
      </c>
    </row>
    <row r="803" spans="5:10" ht="15" customHeight="1" x14ac:dyDescent="0.25">
      <c r="F803" s="16">
        <v>44481</v>
      </c>
      <c r="G803" s="17">
        <v>132.85</v>
      </c>
      <c r="H803" t="s">
        <v>43</v>
      </c>
      <c r="I803" t="s">
        <v>16</v>
      </c>
      <c r="J803" t="s">
        <v>495</v>
      </c>
    </row>
    <row r="804" spans="5:10" ht="15" customHeight="1" x14ac:dyDescent="0.25">
      <c r="F804" s="16">
        <v>44481</v>
      </c>
      <c r="G804" s="17"/>
      <c r="H804" t="s">
        <v>43</v>
      </c>
      <c r="I804" t="s">
        <v>16</v>
      </c>
      <c r="J804" t="s">
        <v>665</v>
      </c>
    </row>
    <row r="805" spans="5:10" ht="15" customHeight="1" x14ac:dyDescent="0.25">
      <c r="F805" s="16">
        <v>44481</v>
      </c>
      <c r="G805" s="17">
        <v>294.49</v>
      </c>
      <c r="H805" t="s">
        <v>264</v>
      </c>
      <c r="I805" t="s">
        <v>723</v>
      </c>
    </row>
    <row r="806" spans="5:10" ht="15" customHeight="1" x14ac:dyDescent="0.25">
      <c r="E806" t="s">
        <v>534</v>
      </c>
      <c r="F806" s="205">
        <v>44481</v>
      </c>
      <c r="G806" s="206">
        <v>250</v>
      </c>
      <c r="H806" s="207" t="s">
        <v>264</v>
      </c>
      <c r="I806" s="207" t="s">
        <v>687</v>
      </c>
      <c r="J806" s="207"/>
    </row>
    <row r="807" spans="5:10" ht="15" customHeight="1" x14ac:dyDescent="0.25">
      <c r="F807" s="16">
        <v>44483</v>
      </c>
      <c r="G807" s="17">
        <v>97.03</v>
      </c>
      <c r="H807" t="s">
        <v>43</v>
      </c>
      <c r="I807" t="s">
        <v>16</v>
      </c>
      <c r="J807" t="s">
        <v>668</v>
      </c>
    </row>
    <row r="808" spans="5:10" ht="15" customHeight="1" x14ac:dyDescent="0.25">
      <c r="F808" s="16">
        <v>44483</v>
      </c>
      <c r="G808" s="17">
        <v>54</v>
      </c>
      <c r="H808" t="s">
        <v>97</v>
      </c>
      <c r="I808" t="s">
        <v>669</v>
      </c>
    </row>
    <row r="809" spans="5:10" ht="15" customHeight="1" x14ac:dyDescent="0.25">
      <c r="F809" s="16">
        <v>44485</v>
      </c>
      <c r="G809" s="17">
        <v>21.11</v>
      </c>
      <c r="H809" t="s">
        <v>43</v>
      </c>
      <c r="I809" t="s">
        <v>32</v>
      </c>
    </row>
    <row r="810" spans="5:10" ht="15" customHeight="1" x14ac:dyDescent="0.25">
      <c r="F810" s="16">
        <v>44485</v>
      </c>
      <c r="G810" s="17">
        <v>201.31</v>
      </c>
      <c r="H810" t="s">
        <v>43</v>
      </c>
      <c r="I810" t="s">
        <v>20</v>
      </c>
    </row>
    <row r="811" spans="5:10" ht="15" customHeight="1" x14ac:dyDescent="0.25">
      <c r="F811" s="16">
        <v>44485</v>
      </c>
      <c r="G811" s="17">
        <v>215.14</v>
      </c>
      <c r="H811" t="s">
        <v>43</v>
      </c>
      <c r="I811" t="s">
        <v>20</v>
      </c>
    </row>
    <row r="812" spans="5:10" ht="15" customHeight="1" x14ac:dyDescent="0.25">
      <c r="F812" s="16">
        <v>44485</v>
      </c>
      <c r="G812" s="17"/>
      <c r="H812" t="s">
        <v>43</v>
      </c>
      <c r="I812" t="s">
        <v>20</v>
      </c>
    </row>
    <row r="813" spans="5:10" ht="15" customHeight="1" x14ac:dyDescent="0.25">
      <c r="F813" s="16">
        <v>44485</v>
      </c>
      <c r="G813" s="17">
        <v>201.31</v>
      </c>
      <c r="H813" t="s">
        <v>43</v>
      </c>
      <c r="I813" t="s">
        <v>20</v>
      </c>
    </row>
    <row r="814" spans="5:10" ht="15" customHeight="1" x14ac:dyDescent="0.25">
      <c r="F814" s="16">
        <v>44485</v>
      </c>
      <c r="G814" s="17">
        <v>167.72</v>
      </c>
      <c r="H814" t="s">
        <v>43</v>
      </c>
      <c r="I814" t="s">
        <v>16</v>
      </c>
    </row>
    <row r="815" spans="5:10" ht="15" customHeight="1" x14ac:dyDescent="0.25">
      <c r="F815" s="16">
        <v>44487</v>
      </c>
      <c r="G815" s="17">
        <v>187</v>
      </c>
      <c r="H815" t="s">
        <v>43</v>
      </c>
      <c r="I815" t="s">
        <v>607</v>
      </c>
    </row>
    <row r="816" spans="5:10" ht="15" customHeight="1" x14ac:dyDescent="0.25">
      <c r="F816" s="16">
        <v>44488</v>
      </c>
      <c r="G816" s="17">
        <v>250</v>
      </c>
      <c r="H816" t="s">
        <v>263</v>
      </c>
    </row>
    <row r="817" spans="6:10" ht="15" customHeight="1" x14ac:dyDescent="0.25">
      <c r="F817" s="16">
        <v>44489</v>
      </c>
      <c r="G817" s="17">
        <v>2</v>
      </c>
      <c r="H817" t="s">
        <v>43</v>
      </c>
      <c r="I817" t="s">
        <v>57</v>
      </c>
    </row>
    <row r="818" spans="6:10" ht="15" customHeight="1" x14ac:dyDescent="0.25">
      <c r="F818" s="16">
        <v>44490</v>
      </c>
      <c r="G818" s="17">
        <v>105</v>
      </c>
      <c r="H818" t="s">
        <v>43</v>
      </c>
      <c r="I818" t="s">
        <v>16</v>
      </c>
      <c r="J818" t="s">
        <v>690</v>
      </c>
    </row>
    <row r="819" spans="6:10" ht="15" customHeight="1" x14ac:dyDescent="0.25">
      <c r="F819" s="16">
        <v>44491</v>
      </c>
      <c r="G819" s="17">
        <v>448.63</v>
      </c>
      <c r="H819" t="s">
        <v>264</v>
      </c>
      <c r="I819" t="s">
        <v>721</v>
      </c>
    </row>
    <row r="820" spans="6:10" ht="15" customHeight="1" x14ac:dyDescent="0.25">
      <c r="F820" s="16">
        <v>44491</v>
      </c>
      <c r="G820" s="17">
        <v>59.2</v>
      </c>
      <c r="H820" t="s">
        <v>43</v>
      </c>
      <c r="I820" t="s">
        <v>712</v>
      </c>
    </row>
    <row r="821" spans="6:10" ht="15" customHeight="1" x14ac:dyDescent="0.25">
      <c r="F821" s="16">
        <v>44491</v>
      </c>
      <c r="G821" s="17">
        <v>100</v>
      </c>
      <c r="H821" t="s">
        <v>263</v>
      </c>
    </row>
    <row r="822" spans="6:10" ht="15" customHeight="1" x14ac:dyDescent="0.25">
      <c r="F822" s="16">
        <v>44492</v>
      </c>
      <c r="G822" s="17">
        <v>4.99</v>
      </c>
      <c r="H822" t="s">
        <v>46</v>
      </c>
      <c r="I822" t="s">
        <v>47</v>
      </c>
    </row>
    <row r="823" spans="6:10" ht="15" customHeight="1" x14ac:dyDescent="0.25">
      <c r="F823" s="16">
        <v>44492</v>
      </c>
      <c r="G823" s="17">
        <v>94.42</v>
      </c>
      <c r="H823" t="s">
        <v>43</v>
      </c>
      <c r="I823" t="s">
        <v>16</v>
      </c>
      <c r="J823" t="s">
        <v>144</v>
      </c>
    </row>
    <row r="824" spans="6:10" ht="15" customHeight="1" x14ac:dyDescent="0.25">
      <c r="F824" s="16">
        <v>44494</v>
      </c>
      <c r="G824" s="17">
        <v>70</v>
      </c>
      <c r="H824" t="s">
        <v>264</v>
      </c>
      <c r="I824" t="s">
        <v>721</v>
      </c>
    </row>
    <row r="825" spans="6:10" ht="15" customHeight="1" x14ac:dyDescent="0.25">
      <c r="F825" s="16">
        <v>44495</v>
      </c>
      <c r="G825" s="17">
        <v>105</v>
      </c>
      <c r="H825" t="s">
        <v>43</v>
      </c>
      <c r="I825" t="s">
        <v>16</v>
      </c>
      <c r="J825" t="s">
        <v>690</v>
      </c>
    </row>
    <row r="826" spans="6:10" ht="15" customHeight="1" x14ac:dyDescent="0.25">
      <c r="F826" s="16">
        <v>44495</v>
      </c>
      <c r="G826" s="17">
        <v>21.01</v>
      </c>
      <c r="H826" t="s">
        <v>43</v>
      </c>
      <c r="I826" t="s">
        <v>32</v>
      </c>
    </row>
    <row r="827" spans="6:10" ht="15" customHeight="1" x14ac:dyDescent="0.25">
      <c r="F827" s="16">
        <v>44495</v>
      </c>
      <c r="G827" s="17">
        <v>1050</v>
      </c>
      <c r="H827" t="s">
        <v>263</v>
      </c>
      <c r="I827" t="s">
        <v>713</v>
      </c>
    </row>
    <row r="828" spans="6:10" ht="15" customHeight="1" x14ac:dyDescent="0.25">
      <c r="F828" s="16">
        <v>44496</v>
      </c>
      <c r="G828" s="17">
        <v>374</v>
      </c>
      <c r="H828" t="s">
        <v>264</v>
      </c>
      <c r="I828" t="s">
        <v>704</v>
      </c>
    </row>
    <row r="829" spans="6:10" ht="15" customHeight="1" x14ac:dyDescent="0.25">
      <c r="F829" s="16">
        <v>44496</v>
      </c>
      <c r="G829" s="17">
        <v>220</v>
      </c>
      <c r="H829" t="s">
        <v>264</v>
      </c>
      <c r="I829" t="s">
        <v>720</v>
      </c>
      <c r="J829" t="s">
        <v>436</v>
      </c>
    </row>
    <row r="830" spans="6:10" ht="15" customHeight="1" x14ac:dyDescent="0.25">
      <c r="F830" s="16">
        <v>44496</v>
      </c>
      <c r="G830" s="17">
        <v>627</v>
      </c>
      <c r="H830" t="s">
        <v>264</v>
      </c>
      <c r="I830" t="s">
        <v>721</v>
      </c>
    </row>
    <row r="831" spans="6:10" ht="15" customHeight="1" x14ac:dyDescent="0.25">
      <c r="F831" s="16"/>
      <c r="G831" s="17"/>
    </row>
    <row r="832" spans="6:10" ht="15" customHeight="1" x14ac:dyDescent="0.25">
      <c r="F832" s="205">
        <v>44496</v>
      </c>
      <c r="G832" s="206">
        <v>250</v>
      </c>
      <c r="H832" s="207" t="s">
        <v>264</v>
      </c>
      <c r="I832" s="207" t="s">
        <v>687</v>
      </c>
      <c r="J832" s="207"/>
    </row>
    <row r="833" spans="6:10" ht="15" customHeight="1" x14ac:dyDescent="0.25">
      <c r="F833" s="16">
        <v>44497</v>
      </c>
      <c r="G833" s="17">
        <v>201.31</v>
      </c>
      <c r="H833" t="s">
        <v>43</v>
      </c>
      <c r="I833" t="s">
        <v>20</v>
      </c>
    </row>
    <row r="834" spans="6:10" ht="15" customHeight="1" x14ac:dyDescent="0.25">
      <c r="F834" s="16">
        <v>44497</v>
      </c>
      <c r="G834" s="17">
        <v>153.69</v>
      </c>
      <c r="H834" t="s">
        <v>264</v>
      </c>
      <c r="I834" t="s">
        <v>723</v>
      </c>
    </row>
    <row r="835" spans="6:10" ht="15" customHeight="1" x14ac:dyDescent="0.25">
      <c r="F835" s="16">
        <v>44497</v>
      </c>
      <c r="G835" s="17">
        <v>649.72</v>
      </c>
      <c r="H835" t="s">
        <v>264</v>
      </c>
      <c r="I835" t="s">
        <v>723</v>
      </c>
    </row>
    <row r="836" spans="6:10" ht="15" customHeight="1" x14ac:dyDescent="0.25">
      <c r="F836" s="16">
        <v>44497</v>
      </c>
      <c r="G836" s="17">
        <v>8.9499999999999993</v>
      </c>
      <c r="H836" t="s">
        <v>43</v>
      </c>
    </row>
    <row r="837" spans="6:10" ht="15" customHeight="1" x14ac:dyDescent="0.25">
      <c r="F837" s="16">
        <v>44497</v>
      </c>
      <c r="G837" s="17">
        <v>880</v>
      </c>
      <c r="H837" t="s">
        <v>261</v>
      </c>
    </row>
    <row r="838" spans="6:10" ht="15" customHeight="1" x14ac:dyDescent="0.25">
      <c r="F838" s="16">
        <v>44498</v>
      </c>
      <c r="G838" s="17">
        <v>201.31</v>
      </c>
      <c r="H838" t="s">
        <v>43</v>
      </c>
      <c r="I838" t="s">
        <v>20</v>
      </c>
    </row>
    <row r="839" spans="6:10" ht="15" customHeight="1" x14ac:dyDescent="0.25">
      <c r="F839" s="16">
        <v>44498</v>
      </c>
      <c r="G839" s="17">
        <v>82.14</v>
      </c>
      <c r="H839" t="s">
        <v>264</v>
      </c>
      <c r="I839" t="s">
        <v>723</v>
      </c>
      <c r="J839" t="s">
        <v>196</v>
      </c>
    </row>
    <row r="840" spans="6:10" ht="15" customHeight="1" x14ac:dyDescent="0.25">
      <c r="F840" s="16">
        <v>44498</v>
      </c>
      <c r="G840" s="17">
        <v>30</v>
      </c>
      <c r="H840" s="49" t="s">
        <v>120</v>
      </c>
    </row>
    <row r="841" spans="6:10" ht="15" customHeight="1" x14ac:dyDescent="0.25">
      <c r="F841" s="16">
        <v>44498</v>
      </c>
      <c r="G841" s="17">
        <v>140</v>
      </c>
      <c r="H841" t="s">
        <v>264</v>
      </c>
      <c r="I841" t="s">
        <v>723</v>
      </c>
      <c r="J841" t="s">
        <v>673</v>
      </c>
    </row>
    <row r="842" spans="6:10" ht="15" customHeight="1" x14ac:dyDescent="0.25">
      <c r="F842" s="16">
        <v>44499</v>
      </c>
      <c r="G842" s="17">
        <v>16.309999999999999</v>
      </c>
      <c r="H842" t="s">
        <v>43</v>
      </c>
      <c r="I842" t="s">
        <v>453</v>
      </c>
    </row>
    <row r="843" spans="6:10" ht="15" customHeight="1" x14ac:dyDescent="0.25">
      <c r="F843" s="16">
        <v>44499</v>
      </c>
      <c r="G843" s="17">
        <v>15.21</v>
      </c>
      <c r="H843" t="s">
        <v>43</v>
      </c>
      <c r="I843" t="s">
        <v>716</v>
      </c>
    </row>
    <row r="844" spans="6:10" ht="15" customHeight="1" x14ac:dyDescent="0.25">
      <c r="F844" s="16">
        <v>44502</v>
      </c>
      <c r="G844" s="17">
        <v>144.33000000000001</v>
      </c>
      <c r="H844" t="s">
        <v>43</v>
      </c>
      <c r="I844" t="s">
        <v>16</v>
      </c>
    </row>
    <row r="845" spans="6:10" ht="15" customHeight="1" x14ac:dyDescent="0.25">
      <c r="F845" s="16">
        <v>44487</v>
      </c>
      <c r="G845" s="17">
        <v>0.99</v>
      </c>
      <c r="H845" t="s">
        <v>22</v>
      </c>
      <c r="I845" t="s">
        <v>58</v>
      </c>
    </row>
    <row r="846" spans="6:10" ht="15" customHeight="1" x14ac:dyDescent="0.25">
      <c r="F846" s="16">
        <v>44494</v>
      </c>
      <c r="G846" s="17">
        <v>0.99</v>
      </c>
      <c r="H846" t="s">
        <v>22</v>
      </c>
      <c r="I846" t="s">
        <v>58</v>
      </c>
    </row>
    <row r="847" spans="6:10" ht="15" customHeight="1" x14ac:dyDescent="0.25">
      <c r="F847" s="16">
        <v>44501</v>
      </c>
      <c r="G847" s="17">
        <v>0.99</v>
      </c>
      <c r="H847" t="s">
        <v>22</v>
      </c>
      <c r="I847" t="s">
        <v>58</v>
      </c>
    </row>
    <row r="848" spans="6:10" ht="15" customHeight="1" x14ac:dyDescent="0.25">
      <c r="F848" s="16">
        <v>44508</v>
      </c>
      <c r="G848" s="17"/>
      <c r="H848" t="s">
        <v>261</v>
      </c>
      <c r="I848" t="s">
        <v>722</v>
      </c>
    </row>
    <row r="849" spans="6:10" ht="15" customHeight="1" x14ac:dyDescent="0.25">
      <c r="F849" s="16">
        <v>44503</v>
      </c>
      <c r="G849" s="17">
        <v>850</v>
      </c>
      <c r="H849" t="s">
        <v>264</v>
      </c>
      <c r="I849" t="s">
        <v>723</v>
      </c>
      <c r="J849" t="s">
        <v>663</v>
      </c>
    </row>
    <row r="850" spans="6:10" ht="15" customHeight="1" x14ac:dyDescent="0.25">
      <c r="F850" s="16">
        <v>44504</v>
      </c>
      <c r="G850" s="17">
        <v>90.5</v>
      </c>
      <c r="H850" t="s">
        <v>43</v>
      </c>
      <c r="I850" t="s">
        <v>16</v>
      </c>
      <c r="J850" t="s">
        <v>144</v>
      </c>
    </row>
    <row r="851" spans="6:10" ht="15" customHeight="1" x14ac:dyDescent="0.25">
      <c r="F851" s="16">
        <v>44504</v>
      </c>
      <c r="G851" s="17">
        <v>105</v>
      </c>
      <c r="H851" t="s">
        <v>43</v>
      </c>
      <c r="I851" t="s">
        <v>16</v>
      </c>
      <c r="J851" t="s">
        <v>690</v>
      </c>
    </row>
    <row r="852" spans="6:10" ht="15" customHeight="1" x14ac:dyDescent="0.25">
      <c r="F852" s="16">
        <v>44504</v>
      </c>
      <c r="G852" s="17">
        <v>394.6</v>
      </c>
      <c r="H852" t="s">
        <v>264</v>
      </c>
      <c r="I852" t="s">
        <v>723</v>
      </c>
      <c r="J852" t="s">
        <v>505</v>
      </c>
    </row>
    <row r="853" spans="6:10" ht="15" customHeight="1" x14ac:dyDescent="0.25">
      <c r="F853" s="16">
        <v>44504</v>
      </c>
      <c r="G853" s="17">
        <v>77.61</v>
      </c>
      <c r="H853" t="s">
        <v>43</v>
      </c>
      <c r="I853" t="s">
        <v>32</v>
      </c>
    </row>
    <row r="854" spans="6:10" ht="15" customHeight="1" x14ac:dyDescent="0.25">
      <c r="F854" s="16">
        <v>44505</v>
      </c>
      <c r="G854" s="17">
        <v>59.07</v>
      </c>
      <c r="H854" t="s">
        <v>43</v>
      </c>
      <c r="I854" t="s">
        <v>16</v>
      </c>
      <c r="J854" t="s">
        <v>495</v>
      </c>
    </row>
    <row r="855" spans="6:10" ht="15" customHeight="1" x14ac:dyDescent="0.25">
      <c r="F855" s="16">
        <v>44505</v>
      </c>
      <c r="G855" s="17">
        <v>420</v>
      </c>
      <c r="H855" t="s">
        <v>43</v>
      </c>
      <c r="I855" t="s">
        <v>16</v>
      </c>
      <c r="J855" t="s">
        <v>690</v>
      </c>
    </row>
    <row r="856" spans="6:10" ht="15" customHeight="1" x14ac:dyDescent="0.25">
      <c r="F856" s="16">
        <v>44505</v>
      </c>
      <c r="G856" s="17">
        <v>10.31</v>
      </c>
      <c r="H856" t="s">
        <v>43</v>
      </c>
      <c r="I856" t="s">
        <v>32</v>
      </c>
    </row>
    <row r="857" spans="6:10" ht="15" customHeight="1" x14ac:dyDescent="0.25">
      <c r="F857" s="16">
        <v>44507</v>
      </c>
      <c r="G857" s="17">
        <v>157.24</v>
      </c>
      <c r="H857" t="s">
        <v>261</v>
      </c>
      <c r="I857" t="s">
        <v>724</v>
      </c>
    </row>
    <row r="858" spans="6:10" ht="15" customHeight="1" x14ac:dyDescent="0.25">
      <c r="F858" s="205">
        <v>44508</v>
      </c>
      <c r="G858" s="206">
        <v>1660</v>
      </c>
      <c r="H858" s="207" t="s">
        <v>264</v>
      </c>
      <c r="I858" s="207" t="s">
        <v>687</v>
      </c>
      <c r="J858" s="207"/>
    </row>
    <row r="859" spans="6:10" ht="15" customHeight="1" x14ac:dyDescent="0.25">
      <c r="F859" s="16">
        <v>44508</v>
      </c>
      <c r="G859" s="17">
        <v>0.99</v>
      </c>
      <c r="H859" t="s">
        <v>22</v>
      </c>
    </row>
    <row r="860" spans="6:10" ht="15" customHeight="1" x14ac:dyDescent="0.25">
      <c r="F860" s="16">
        <v>44509</v>
      </c>
      <c r="G860" s="17">
        <v>-84.48</v>
      </c>
      <c r="H860" t="s">
        <v>43</v>
      </c>
      <c r="I860" t="s">
        <v>466</v>
      </c>
      <c r="J860" t="s">
        <v>144</v>
      </c>
    </row>
    <row r="861" spans="6:10" ht="15" customHeight="1" x14ac:dyDescent="0.25">
      <c r="F861" s="16">
        <v>44509</v>
      </c>
      <c r="G861" s="17">
        <v>-53.48</v>
      </c>
      <c r="H861" t="s">
        <v>43</v>
      </c>
      <c r="I861" t="s">
        <v>466</v>
      </c>
      <c r="J861" t="s">
        <v>495</v>
      </c>
    </row>
    <row r="862" spans="6:10" ht="15" customHeight="1" x14ac:dyDescent="0.25">
      <c r="F862" s="16">
        <v>44509</v>
      </c>
      <c r="G862" s="17">
        <v>9.9</v>
      </c>
      <c r="H862" t="s">
        <v>36</v>
      </c>
    </row>
    <row r="863" spans="6:10" ht="15" customHeight="1" x14ac:dyDescent="0.25">
      <c r="F863" s="16">
        <v>44509</v>
      </c>
      <c r="G863" s="17">
        <v>93.72</v>
      </c>
      <c r="H863" t="s">
        <v>43</v>
      </c>
      <c r="I863" t="s">
        <v>16</v>
      </c>
      <c r="J863" t="s">
        <v>144</v>
      </c>
    </row>
    <row r="864" spans="6:10" ht="15" customHeight="1" x14ac:dyDescent="0.25">
      <c r="F864" s="16">
        <v>44509</v>
      </c>
      <c r="G864" s="17">
        <v>63.56</v>
      </c>
      <c r="H864" t="s">
        <v>43</v>
      </c>
      <c r="I864" t="s">
        <v>32</v>
      </c>
    </row>
    <row r="865" spans="6:10" ht="15" customHeight="1" x14ac:dyDescent="0.25">
      <c r="F865" s="16">
        <v>44510</v>
      </c>
      <c r="G865" s="17">
        <v>18.5</v>
      </c>
      <c r="H865" t="s">
        <v>120</v>
      </c>
      <c r="I865" t="s">
        <v>727</v>
      </c>
    </row>
    <row r="866" spans="6:10" ht="15" customHeight="1" x14ac:dyDescent="0.25">
      <c r="F866" s="16">
        <v>44511</v>
      </c>
      <c r="G866" s="17">
        <v>136.08000000000001</v>
      </c>
      <c r="H866" t="s">
        <v>43</v>
      </c>
      <c r="I866" t="s">
        <v>16</v>
      </c>
      <c r="J866" t="s">
        <v>665</v>
      </c>
    </row>
    <row r="867" spans="6:10" ht="15" customHeight="1" x14ac:dyDescent="0.25">
      <c r="F867" s="16">
        <v>44511</v>
      </c>
      <c r="G867" s="17">
        <v>105</v>
      </c>
      <c r="H867" t="s">
        <v>43</v>
      </c>
      <c r="I867" t="s">
        <v>16</v>
      </c>
      <c r="J867" t="s">
        <v>690</v>
      </c>
    </row>
    <row r="868" spans="6:10" ht="15" customHeight="1" x14ac:dyDescent="0.25">
      <c r="F868" s="16">
        <v>44511</v>
      </c>
      <c r="G868" s="17"/>
      <c r="H868" t="s">
        <v>43</v>
      </c>
      <c r="I868" t="s">
        <v>16</v>
      </c>
      <c r="J868" t="s">
        <v>665</v>
      </c>
    </row>
    <row r="869" spans="6:10" ht="15" customHeight="1" x14ac:dyDescent="0.25">
      <c r="F869" s="16">
        <v>44511</v>
      </c>
      <c r="G869" s="17">
        <v>201.31</v>
      </c>
      <c r="H869" t="s">
        <v>43</v>
      </c>
      <c r="I869" t="s">
        <v>728</v>
      </c>
    </row>
    <row r="870" spans="6:10" ht="15" customHeight="1" x14ac:dyDescent="0.25">
      <c r="F870" s="16">
        <v>44511</v>
      </c>
      <c r="G870" s="17">
        <v>159.22999999999999</v>
      </c>
      <c r="H870" t="s">
        <v>43</v>
      </c>
      <c r="I870" t="s">
        <v>32</v>
      </c>
    </row>
    <row r="871" spans="6:10" ht="15" customHeight="1" x14ac:dyDescent="0.25">
      <c r="F871" s="16">
        <v>44512</v>
      </c>
      <c r="G871" s="17">
        <v>180.85</v>
      </c>
      <c r="H871" t="s">
        <v>43</v>
      </c>
      <c r="I871" t="s">
        <v>16</v>
      </c>
      <c r="J871" t="s">
        <v>495</v>
      </c>
    </row>
    <row r="872" spans="6:10" ht="15" customHeight="1" x14ac:dyDescent="0.25">
      <c r="F872" s="16">
        <v>44512</v>
      </c>
      <c r="G872" s="17">
        <v>125.88</v>
      </c>
      <c r="H872" t="s">
        <v>43</v>
      </c>
      <c r="I872" t="s">
        <v>16</v>
      </c>
      <c r="J872" t="s">
        <v>495</v>
      </c>
    </row>
    <row r="873" spans="6:10" ht="15" customHeight="1" x14ac:dyDescent="0.25">
      <c r="F873" s="16">
        <v>44512</v>
      </c>
      <c r="G873" s="17">
        <v>72.599999999999994</v>
      </c>
      <c r="H873" t="s">
        <v>43</v>
      </c>
      <c r="I873" t="s">
        <v>98</v>
      </c>
    </row>
    <row r="874" spans="6:10" ht="15" customHeight="1" x14ac:dyDescent="0.25">
      <c r="F874" s="16">
        <v>44513</v>
      </c>
      <c r="G874" s="17">
        <v>4.99</v>
      </c>
      <c r="H874" t="s">
        <v>46</v>
      </c>
      <c r="I874" t="s">
        <v>47</v>
      </c>
    </row>
    <row r="875" spans="6:10" ht="15" customHeight="1" x14ac:dyDescent="0.25">
      <c r="F875" s="16">
        <v>44513</v>
      </c>
      <c r="G875" s="17">
        <v>201.31</v>
      </c>
      <c r="H875" t="s">
        <v>43</v>
      </c>
      <c r="I875" t="s">
        <v>728</v>
      </c>
    </row>
    <row r="876" spans="6:10" ht="15" customHeight="1" x14ac:dyDescent="0.25">
      <c r="F876" s="16">
        <v>44513</v>
      </c>
      <c r="G876" s="17">
        <v>78.77</v>
      </c>
      <c r="H876" t="s">
        <v>43</v>
      </c>
      <c r="I876" t="s">
        <v>32</v>
      </c>
    </row>
    <row r="877" spans="6:10" ht="15" customHeight="1" x14ac:dyDescent="0.25">
      <c r="F877" s="16">
        <v>44513</v>
      </c>
      <c r="G877" s="17">
        <v>72.28</v>
      </c>
      <c r="H877" t="s">
        <v>43</v>
      </c>
      <c r="I877" t="s">
        <v>32</v>
      </c>
    </row>
    <row r="878" spans="6:10" ht="15" customHeight="1" x14ac:dyDescent="0.25">
      <c r="F878" s="16">
        <v>44513</v>
      </c>
      <c r="G878" s="17">
        <v>42.85</v>
      </c>
      <c r="H878" t="s">
        <v>43</v>
      </c>
      <c r="I878" t="s">
        <v>32</v>
      </c>
    </row>
    <row r="879" spans="6:10" ht="15" customHeight="1" x14ac:dyDescent="0.25">
      <c r="F879" s="16">
        <v>44515</v>
      </c>
      <c r="G879" s="17">
        <v>0.99</v>
      </c>
      <c r="H879" t="s">
        <v>22</v>
      </c>
      <c r="I879" t="s">
        <v>58</v>
      </c>
    </row>
    <row r="880" spans="6:10" ht="15" customHeight="1" x14ac:dyDescent="0.25">
      <c r="F880" s="16">
        <v>44516</v>
      </c>
      <c r="G880" s="17">
        <v>97.03</v>
      </c>
      <c r="H880" t="s">
        <v>43</v>
      </c>
      <c r="I880" t="s">
        <v>16</v>
      </c>
      <c r="J880" t="s">
        <v>668</v>
      </c>
    </row>
    <row r="881" spans="6:9" ht="15" customHeight="1" x14ac:dyDescent="0.25">
      <c r="F881" s="16">
        <v>44516</v>
      </c>
      <c r="G881" s="17">
        <v>54</v>
      </c>
      <c r="H881" t="s">
        <v>97</v>
      </c>
    </row>
    <row r="882" spans="6:9" ht="15" customHeight="1" x14ac:dyDescent="0.25">
      <c r="F882" s="16">
        <v>44516</v>
      </c>
      <c r="G882" s="17">
        <v>49.9</v>
      </c>
      <c r="H882" t="s">
        <v>264</v>
      </c>
      <c r="I882" t="s">
        <v>721</v>
      </c>
    </row>
    <row r="883" spans="6:9" ht="15" customHeight="1" x14ac:dyDescent="0.25">
      <c r="F883" s="16">
        <v>44516</v>
      </c>
      <c r="G883" s="17">
        <v>15.87</v>
      </c>
      <c r="H883" t="s">
        <v>43</v>
      </c>
      <c r="I883" t="s">
        <v>32</v>
      </c>
    </row>
    <row r="884" spans="6:9" ht="15" customHeight="1" x14ac:dyDescent="0.25">
      <c r="F884" s="16">
        <v>44516</v>
      </c>
      <c r="G884" s="17">
        <v>500</v>
      </c>
      <c r="H884" t="s">
        <v>263</v>
      </c>
    </row>
    <row r="885" spans="6:9" ht="15" customHeight="1" x14ac:dyDescent="0.25">
      <c r="F885" s="16">
        <v>44518</v>
      </c>
      <c r="G885" s="17">
        <v>2</v>
      </c>
      <c r="H885" t="s">
        <v>43</v>
      </c>
      <c r="I885" t="s">
        <v>57</v>
      </c>
    </row>
    <row r="886" spans="6:9" ht="15" customHeight="1" x14ac:dyDescent="0.25">
      <c r="F886" s="16">
        <v>44518</v>
      </c>
      <c r="G886" s="17">
        <v>27.37</v>
      </c>
      <c r="H886" t="s">
        <v>43</v>
      </c>
      <c r="I886" t="s">
        <v>32</v>
      </c>
    </row>
    <row r="887" spans="6:9" ht="15" customHeight="1" x14ac:dyDescent="0.25">
      <c r="F887" s="16">
        <v>44519</v>
      </c>
      <c r="G887" s="17">
        <v>19.350000000000001</v>
      </c>
      <c r="H887" t="s">
        <v>43</v>
      </c>
      <c r="I887" t="s">
        <v>729</v>
      </c>
    </row>
    <row r="888" spans="6:9" ht="15" customHeight="1" x14ac:dyDescent="0.25">
      <c r="F888" s="16">
        <v>44519</v>
      </c>
      <c r="G888" s="17">
        <v>0.57999999999999996</v>
      </c>
      <c r="H888" t="s">
        <v>43</v>
      </c>
      <c r="I888" t="s">
        <v>729</v>
      </c>
    </row>
    <row r="889" spans="6:9" ht="15" customHeight="1" x14ac:dyDescent="0.25">
      <c r="F889" s="16">
        <v>44519</v>
      </c>
      <c r="G889" s="17">
        <v>13.86</v>
      </c>
      <c r="H889" t="s">
        <v>43</v>
      </c>
      <c r="I889" t="s">
        <v>32</v>
      </c>
    </row>
    <row r="890" spans="6:9" ht="15" customHeight="1" x14ac:dyDescent="0.25">
      <c r="F890" s="16">
        <v>44519</v>
      </c>
      <c r="G890" s="17">
        <v>15.97</v>
      </c>
      <c r="H890" t="s">
        <v>43</v>
      </c>
      <c r="I890" t="s">
        <v>32</v>
      </c>
    </row>
    <row r="891" spans="6:9" ht="15" customHeight="1" x14ac:dyDescent="0.25">
      <c r="F891" s="16">
        <v>44519</v>
      </c>
      <c r="G891" s="17">
        <v>453.63</v>
      </c>
      <c r="H891" t="s">
        <v>264</v>
      </c>
      <c r="I891" t="s">
        <v>721</v>
      </c>
    </row>
    <row r="892" spans="6:9" ht="15" customHeight="1" x14ac:dyDescent="0.25">
      <c r="F892" s="16">
        <v>44522</v>
      </c>
      <c r="G892" s="17">
        <v>0.99</v>
      </c>
      <c r="H892" t="s">
        <v>22</v>
      </c>
    </row>
    <row r="893" spans="6:9" ht="15" customHeight="1" x14ac:dyDescent="0.25">
      <c r="F893" s="16">
        <v>44523</v>
      </c>
      <c r="G893" s="17">
        <v>89.29</v>
      </c>
      <c r="H893" t="s">
        <v>43</v>
      </c>
      <c r="I893" t="s">
        <v>730</v>
      </c>
    </row>
    <row r="894" spans="6:9" ht="15" customHeight="1" x14ac:dyDescent="0.25">
      <c r="F894" s="16">
        <v>44523</v>
      </c>
      <c r="G894" s="17">
        <v>105</v>
      </c>
      <c r="H894" t="s">
        <v>43</v>
      </c>
      <c r="I894" t="s">
        <v>677</v>
      </c>
    </row>
    <row r="895" spans="6:9" ht="15" customHeight="1" x14ac:dyDescent="0.25">
      <c r="F895" s="16">
        <v>44523</v>
      </c>
      <c r="G895" s="17">
        <v>15.24</v>
      </c>
      <c r="H895" t="s">
        <v>43</v>
      </c>
      <c r="I895" t="s">
        <v>32</v>
      </c>
    </row>
    <row r="896" spans="6:9" ht="15" customHeight="1" x14ac:dyDescent="0.25">
      <c r="F896" s="16">
        <v>44523</v>
      </c>
      <c r="G896" s="17">
        <v>500</v>
      </c>
      <c r="H896" t="s">
        <v>263</v>
      </c>
    </row>
    <row r="897" spans="6:10" ht="15" customHeight="1" x14ac:dyDescent="0.25">
      <c r="F897" s="16">
        <v>44524</v>
      </c>
      <c r="G897" s="17">
        <v>105</v>
      </c>
      <c r="H897" t="s">
        <v>43</v>
      </c>
      <c r="I897" t="s">
        <v>677</v>
      </c>
    </row>
    <row r="898" spans="6:10" ht="15" customHeight="1" x14ac:dyDescent="0.25">
      <c r="F898" s="16">
        <v>44525</v>
      </c>
      <c r="G898" s="17">
        <v>94.58</v>
      </c>
      <c r="H898" t="s">
        <v>43</v>
      </c>
      <c r="I898" t="s">
        <v>16</v>
      </c>
      <c r="J898" t="s">
        <v>144</v>
      </c>
    </row>
    <row r="899" spans="6:10" ht="15" customHeight="1" x14ac:dyDescent="0.25">
      <c r="F899" s="16">
        <v>44525</v>
      </c>
      <c r="G899" s="17">
        <v>37</v>
      </c>
      <c r="H899" t="s">
        <v>43</v>
      </c>
      <c r="I899" t="s">
        <v>732</v>
      </c>
    </row>
    <row r="900" spans="6:10" ht="15" customHeight="1" x14ac:dyDescent="0.25">
      <c r="F900" s="222">
        <v>44525</v>
      </c>
      <c r="G900" s="223">
        <v>1200</v>
      </c>
      <c r="H900" s="224" t="s">
        <v>264</v>
      </c>
      <c r="I900" s="224" t="s">
        <v>689</v>
      </c>
      <c r="J900" s="224" t="s">
        <v>659</v>
      </c>
    </row>
    <row r="901" spans="6:10" ht="15" customHeight="1" x14ac:dyDescent="0.25">
      <c r="F901" s="16">
        <v>44526</v>
      </c>
      <c r="G901" s="17">
        <v>259</v>
      </c>
      <c r="H901" t="s">
        <v>264</v>
      </c>
      <c r="I901" t="s">
        <v>723</v>
      </c>
    </row>
    <row r="902" spans="6:10" ht="15" customHeight="1" x14ac:dyDescent="0.25">
      <c r="F902" s="16">
        <v>44527</v>
      </c>
      <c r="G902" s="17">
        <v>19.95</v>
      </c>
      <c r="H902" t="s">
        <v>36</v>
      </c>
    </row>
    <row r="903" spans="6:10" ht="15" customHeight="1" x14ac:dyDescent="0.25">
      <c r="F903" s="16">
        <v>44527</v>
      </c>
      <c r="G903" s="17">
        <v>29.16</v>
      </c>
      <c r="H903" t="s">
        <v>43</v>
      </c>
      <c r="I903" t="s">
        <v>734</v>
      </c>
    </row>
    <row r="904" spans="6:10" ht="15" customHeight="1" x14ac:dyDescent="0.25">
      <c r="F904" s="16">
        <v>44527</v>
      </c>
      <c r="G904" s="17">
        <v>105</v>
      </c>
      <c r="H904" t="s">
        <v>43</v>
      </c>
      <c r="I904" t="s">
        <v>16</v>
      </c>
      <c r="J904" t="s">
        <v>690</v>
      </c>
    </row>
    <row r="905" spans="6:10" ht="15" customHeight="1" x14ac:dyDescent="0.25">
      <c r="F905" s="16">
        <v>44527</v>
      </c>
      <c r="G905" s="17">
        <v>201.31</v>
      </c>
      <c r="H905" t="s">
        <v>43</v>
      </c>
      <c r="I905" t="s">
        <v>728</v>
      </c>
    </row>
    <row r="906" spans="6:10" ht="15" customHeight="1" x14ac:dyDescent="0.25">
      <c r="F906" s="16">
        <v>44527</v>
      </c>
      <c r="G906" s="17">
        <v>16.3</v>
      </c>
      <c r="H906" t="s">
        <v>43</v>
      </c>
      <c r="I906" t="s">
        <v>32</v>
      </c>
    </row>
    <row r="907" spans="6:10" ht="15" customHeight="1" x14ac:dyDescent="0.25">
      <c r="F907" s="16">
        <v>44528</v>
      </c>
      <c r="G907" s="17">
        <v>25.7</v>
      </c>
      <c r="H907" t="s">
        <v>43</v>
      </c>
      <c r="I907" t="s">
        <v>735</v>
      </c>
    </row>
    <row r="908" spans="6:10" ht="15" customHeight="1" x14ac:dyDescent="0.25">
      <c r="F908" s="16">
        <v>44519</v>
      </c>
      <c r="G908" s="17">
        <v>0.99</v>
      </c>
      <c r="H908" t="s">
        <v>22</v>
      </c>
    </row>
    <row r="909" spans="6:10" ht="15" customHeight="1" x14ac:dyDescent="0.25">
      <c r="F909" s="16">
        <v>44530</v>
      </c>
      <c r="G909" s="17">
        <v>4.99</v>
      </c>
      <c r="H909" t="s">
        <v>46</v>
      </c>
      <c r="I909" t="s">
        <v>47</v>
      </c>
    </row>
    <row r="910" spans="6:10" ht="15" customHeight="1" x14ac:dyDescent="0.25">
      <c r="F910" s="16">
        <v>44530</v>
      </c>
      <c r="G910" s="17">
        <v>88</v>
      </c>
      <c r="H910" t="s">
        <v>40</v>
      </c>
      <c r="I910" t="s">
        <v>740</v>
      </c>
    </row>
    <row r="911" spans="6:10" ht="15" customHeight="1" x14ac:dyDescent="0.25">
      <c r="F911" s="16">
        <v>44530</v>
      </c>
      <c r="G911" s="17">
        <v>201.31</v>
      </c>
      <c r="H911" t="s">
        <v>43</v>
      </c>
      <c r="I911" t="s">
        <v>728</v>
      </c>
    </row>
    <row r="912" spans="6:10" ht="15" customHeight="1" x14ac:dyDescent="0.25">
      <c r="F912" s="16">
        <v>44530</v>
      </c>
      <c r="G912" s="17">
        <v>187</v>
      </c>
      <c r="H912" t="s">
        <v>43</v>
      </c>
      <c r="I912" t="s">
        <v>450</v>
      </c>
    </row>
    <row r="913" spans="6:10" ht="15" customHeight="1" x14ac:dyDescent="0.25">
      <c r="F913" s="16">
        <v>44531</v>
      </c>
      <c r="G913" s="17">
        <v>3</v>
      </c>
      <c r="H913" t="s">
        <v>43</v>
      </c>
      <c r="I913" t="s">
        <v>742</v>
      </c>
    </row>
    <row r="914" spans="6:10" ht="15" customHeight="1" x14ac:dyDescent="0.25">
      <c r="F914" s="16">
        <v>44531</v>
      </c>
      <c r="G914" s="17">
        <v>5</v>
      </c>
      <c r="H914" t="s">
        <v>43</v>
      </c>
      <c r="I914" t="s">
        <v>743</v>
      </c>
    </row>
    <row r="915" spans="6:10" ht="15" customHeight="1" x14ac:dyDescent="0.25">
      <c r="F915" s="205">
        <v>44532</v>
      </c>
      <c r="G915" s="206">
        <v>859.31</v>
      </c>
      <c r="H915" s="207" t="s">
        <v>264</v>
      </c>
      <c r="I915" s="207" t="s">
        <v>746</v>
      </c>
      <c r="J915" s="207"/>
    </row>
    <row r="916" spans="6:10" ht="15" customHeight="1" x14ac:dyDescent="0.25">
      <c r="F916" s="16">
        <v>44532</v>
      </c>
      <c r="G916" s="17">
        <v>81.88</v>
      </c>
      <c r="H916" t="s">
        <v>43</v>
      </c>
      <c r="I916" t="s">
        <v>32</v>
      </c>
    </row>
    <row r="917" spans="6:10" ht="15" customHeight="1" x14ac:dyDescent="0.25">
      <c r="F917" s="16">
        <v>44532</v>
      </c>
      <c r="G917" s="17">
        <v>229</v>
      </c>
      <c r="H917" t="s">
        <v>36</v>
      </c>
      <c r="I917" t="s">
        <v>748</v>
      </c>
    </row>
    <row r="918" spans="6:10" ht="15" customHeight="1" x14ac:dyDescent="0.25">
      <c r="F918" s="16">
        <v>44532</v>
      </c>
      <c r="G918" s="17"/>
      <c r="H918" t="s">
        <v>264</v>
      </c>
      <c r="I918" t="s">
        <v>579</v>
      </c>
    </row>
    <row r="919" spans="6:10" ht="15" customHeight="1" x14ac:dyDescent="0.25">
      <c r="F919" s="16">
        <v>44533</v>
      </c>
      <c r="G919" s="17">
        <v>2</v>
      </c>
      <c r="H919" t="s">
        <v>43</v>
      </c>
      <c r="I919" t="s">
        <v>57</v>
      </c>
    </row>
    <row r="920" spans="6:10" ht="15" customHeight="1" x14ac:dyDescent="0.25">
      <c r="F920" s="16">
        <v>44533</v>
      </c>
      <c r="G920" s="17">
        <v>2</v>
      </c>
      <c r="H920" t="s">
        <v>43</v>
      </c>
      <c r="I920" t="s">
        <v>57</v>
      </c>
    </row>
    <row r="921" spans="6:10" ht="15" customHeight="1" x14ac:dyDescent="0.25">
      <c r="F921" s="16">
        <v>44533</v>
      </c>
      <c r="G921" s="17">
        <v>91.37</v>
      </c>
      <c r="H921" t="s">
        <v>43</v>
      </c>
      <c r="I921" t="s">
        <v>16</v>
      </c>
      <c r="J921" t="s">
        <v>144</v>
      </c>
    </row>
    <row r="922" spans="6:10" ht="15" customHeight="1" x14ac:dyDescent="0.25">
      <c r="F922" s="16">
        <v>44533</v>
      </c>
      <c r="G922" s="17">
        <v>144.33000000000001</v>
      </c>
      <c r="H922" t="s">
        <v>43</v>
      </c>
      <c r="I922" t="s">
        <v>16</v>
      </c>
      <c r="J922" t="s">
        <v>144</v>
      </c>
    </row>
    <row r="923" spans="6:10" ht="15" customHeight="1" x14ac:dyDescent="0.25">
      <c r="F923" s="16">
        <v>44534</v>
      </c>
      <c r="G923" s="17">
        <v>105</v>
      </c>
      <c r="H923" t="s">
        <v>43</v>
      </c>
      <c r="I923" t="s">
        <v>16</v>
      </c>
    </row>
    <row r="924" spans="6:10" ht="15" customHeight="1" x14ac:dyDescent="0.25">
      <c r="F924" s="16">
        <v>44534</v>
      </c>
      <c r="G924" s="17">
        <v>201.31</v>
      </c>
      <c r="H924" t="s">
        <v>43</v>
      </c>
      <c r="I924" t="s">
        <v>728</v>
      </c>
    </row>
    <row r="925" spans="6:10" ht="15" customHeight="1" x14ac:dyDescent="0.25">
      <c r="F925" s="205">
        <v>44533</v>
      </c>
      <c r="G925" s="206">
        <v>8980.51</v>
      </c>
      <c r="H925" s="207" t="s">
        <v>264</v>
      </c>
      <c r="I925" s="207" t="s">
        <v>746</v>
      </c>
      <c r="J925" s="207"/>
    </row>
    <row r="926" spans="6:10" ht="15" customHeight="1" x14ac:dyDescent="0.25">
      <c r="F926" s="16">
        <v>44533</v>
      </c>
      <c r="G926" s="17">
        <v>4604.12</v>
      </c>
      <c r="H926" t="s">
        <v>264</v>
      </c>
      <c r="I926" t="s">
        <v>750</v>
      </c>
    </row>
    <row r="927" spans="6:10" ht="15" customHeight="1" x14ac:dyDescent="0.25">
      <c r="F927" s="16">
        <v>44536</v>
      </c>
      <c r="G927" s="17">
        <v>0.99</v>
      </c>
      <c r="H927" t="s">
        <v>22</v>
      </c>
    </row>
    <row r="928" spans="6:10" ht="15" customHeight="1" x14ac:dyDescent="0.25">
      <c r="F928" s="16">
        <v>44536</v>
      </c>
      <c r="G928" s="17">
        <v>149.94999999999999</v>
      </c>
      <c r="H928" t="s">
        <v>22</v>
      </c>
      <c r="I928" t="s">
        <v>58</v>
      </c>
      <c r="J928" t="s">
        <v>757</v>
      </c>
    </row>
    <row r="929" spans="6:10" ht="15" customHeight="1" x14ac:dyDescent="0.25">
      <c r="F929" s="16">
        <v>44537</v>
      </c>
      <c r="G929" s="17">
        <v>420</v>
      </c>
      <c r="H929" t="s">
        <v>43</v>
      </c>
      <c r="I929" t="s">
        <v>16</v>
      </c>
    </row>
    <row r="930" spans="6:10" ht="15" customHeight="1" x14ac:dyDescent="0.25">
      <c r="F930" s="16">
        <v>44537</v>
      </c>
      <c r="G930" s="17"/>
      <c r="H930" t="s">
        <v>43</v>
      </c>
      <c r="I930" t="s">
        <v>728</v>
      </c>
    </row>
    <row r="931" spans="6:10" ht="15" customHeight="1" x14ac:dyDescent="0.25">
      <c r="F931" s="16">
        <v>44538</v>
      </c>
      <c r="G931" s="17">
        <v>9.9</v>
      </c>
      <c r="H931" t="s">
        <v>36</v>
      </c>
    </row>
    <row r="932" spans="6:10" ht="15" customHeight="1" x14ac:dyDescent="0.25">
      <c r="F932" s="16">
        <v>44539</v>
      </c>
      <c r="G932" s="17"/>
      <c r="H932" t="s">
        <v>264</v>
      </c>
      <c r="I932" t="s">
        <v>579</v>
      </c>
    </row>
    <row r="933" spans="6:10" ht="15" customHeight="1" x14ac:dyDescent="0.25">
      <c r="F933" s="16">
        <v>44540</v>
      </c>
      <c r="G933" s="17">
        <v>180.85</v>
      </c>
      <c r="H933" t="s">
        <v>43</v>
      </c>
      <c r="I933" t="s">
        <v>16</v>
      </c>
      <c r="J933" t="s">
        <v>495</v>
      </c>
    </row>
    <row r="934" spans="6:10" ht="15" customHeight="1" x14ac:dyDescent="0.25">
      <c r="F934" s="16">
        <v>44540</v>
      </c>
      <c r="G934" s="17"/>
      <c r="H934" t="s">
        <v>264</v>
      </c>
      <c r="I934" t="s">
        <v>579</v>
      </c>
      <c r="J934" t="s">
        <v>759</v>
      </c>
    </row>
    <row r="935" spans="6:10" ht="15" customHeight="1" x14ac:dyDescent="0.25">
      <c r="F935" s="16">
        <v>44541</v>
      </c>
      <c r="G935" s="17">
        <v>136.08000000000001</v>
      </c>
      <c r="H935" t="s">
        <v>43</v>
      </c>
      <c r="I935" t="s">
        <v>16</v>
      </c>
      <c r="J935" t="s">
        <v>665</v>
      </c>
    </row>
    <row r="936" spans="6:10" ht="15" customHeight="1" x14ac:dyDescent="0.25">
      <c r="F936" s="16">
        <v>44541</v>
      </c>
      <c r="G936" s="17">
        <v>125.88</v>
      </c>
      <c r="H936" t="s">
        <v>43</v>
      </c>
      <c r="I936" t="s">
        <v>16</v>
      </c>
      <c r="J936" t="s">
        <v>495</v>
      </c>
    </row>
    <row r="937" spans="6:10" ht="15" customHeight="1" x14ac:dyDescent="0.25">
      <c r="F937" s="16">
        <v>44541</v>
      </c>
      <c r="G937" s="17">
        <v>129.28</v>
      </c>
      <c r="H937" t="s">
        <v>43</v>
      </c>
      <c r="I937" t="s">
        <v>16</v>
      </c>
      <c r="J937" t="s">
        <v>761</v>
      </c>
    </row>
    <row r="938" spans="6:10" ht="15" customHeight="1" x14ac:dyDescent="0.25">
      <c r="F938" s="16">
        <v>44541</v>
      </c>
      <c r="G938" s="17">
        <v>105</v>
      </c>
      <c r="H938" t="s">
        <v>43</v>
      </c>
      <c r="I938" t="s">
        <v>16</v>
      </c>
      <c r="J938" t="s">
        <v>690</v>
      </c>
    </row>
    <row r="939" spans="6:10" ht="15" customHeight="1" x14ac:dyDescent="0.25">
      <c r="F939" s="16">
        <v>44541</v>
      </c>
      <c r="G939" s="17"/>
      <c r="H939" t="s">
        <v>43</v>
      </c>
      <c r="I939" t="s">
        <v>16</v>
      </c>
      <c r="J939" t="s">
        <v>665</v>
      </c>
    </row>
    <row r="940" spans="6:10" ht="15" customHeight="1" x14ac:dyDescent="0.25">
      <c r="F940" s="16">
        <v>44543</v>
      </c>
      <c r="G940" s="17">
        <v>0.99</v>
      </c>
      <c r="H940" t="s">
        <v>97</v>
      </c>
      <c r="I940" t="s">
        <v>22</v>
      </c>
    </row>
    <row r="941" spans="6:10" ht="15" customHeight="1" x14ac:dyDescent="0.25">
      <c r="F941" s="16">
        <v>44544</v>
      </c>
      <c r="G941" s="17">
        <v>54</v>
      </c>
      <c r="H941" t="s">
        <v>97</v>
      </c>
      <c r="I941" t="s">
        <v>669</v>
      </c>
    </row>
    <row r="942" spans="6:10" ht="15" customHeight="1" x14ac:dyDescent="0.25">
      <c r="F942" s="16">
        <v>44544</v>
      </c>
      <c r="G942" s="17">
        <v>50.95</v>
      </c>
      <c r="H942" t="s">
        <v>43</v>
      </c>
      <c r="I942" t="s">
        <v>32</v>
      </c>
    </row>
    <row r="943" spans="6:10" ht="15" customHeight="1" x14ac:dyDescent="0.25">
      <c r="F943" s="16">
        <v>44545</v>
      </c>
      <c r="G943" s="17">
        <v>97.03</v>
      </c>
      <c r="H943" t="s">
        <v>43</v>
      </c>
      <c r="I943" t="s">
        <v>16</v>
      </c>
      <c r="J943" t="s">
        <v>668</v>
      </c>
    </row>
    <row r="944" spans="6:10" ht="15" customHeight="1" x14ac:dyDescent="0.25">
      <c r="F944" s="16">
        <v>44546</v>
      </c>
      <c r="G944" s="17">
        <v>4.99</v>
      </c>
      <c r="H944" t="s">
        <v>46</v>
      </c>
      <c r="I944" t="s">
        <v>47</v>
      </c>
    </row>
    <row r="945" spans="6:10" ht="15" customHeight="1" x14ac:dyDescent="0.25">
      <c r="F945" s="16">
        <v>44546</v>
      </c>
      <c r="G945" s="17">
        <v>201.31</v>
      </c>
      <c r="H945" t="s">
        <v>43</v>
      </c>
      <c r="I945" t="s">
        <v>20</v>
      </c>
    </row>
    <row r="946" spans="6:10" ht="15" customHeight="1" x14ac:dyDescent="0.25">
      <c r="F946" s="16">
        <v>44550</v>
      </c>
      <c r="G946" s="17">
        <v>0.99</v>
      </c>
      <c r="H946" t="s">
        <v>22</v>
      </c>
      <c r="I946" t="s">
        <v>58</v>
      </c>
    </row>
    <row r="947" spans="6:10" ht="15" customHeight="1" x14ac:dyDescent="0.25">
      <c r="F947" s="16">
        <v>44551</v>
      </c>
      <c r="G947" s="17">
        <v>105</v>
      </c>
      <c r="H947" t="s">
        <v>43</v>
      </c>
      <c r="I947" t="s">
        <v>16</v>
      </c>
      <c r="J947" t="s">
        <v>690</v>
      </c>
    </row>
    <row r="948" spans="6:10" ht="15" customHeight="1" x14ac:dyDescent="0.25">
      <c r="F948" s="205">
        <v>44551</v>
      </c>
      <c r="G948" s="206">
        <v>1800</v>
      </c>
      <c r="H948" s="207" t="s">
        <v>264</v>
      </c>
      <c r="I948" s="207" t="s">
        <v>687</v>
      </c>
      <c r="J948" s="207"/>
    </row>
    <row r="949" spans="6:10" ht="15" customHeight="1" x14ac:dyDescent="0.25">
      <c r="F949" s="16">
        <v>44551</v>
      </c>
      <c r="G949" s="17">
        <v>14.21</v>
      </c>
      <c r="H949" t="s">
        <v>43</v>
      </c>
      <c r="I949" t="s">
        <v>32</v>
      </c>
    </row>
    <row r="950" spans="6:10" ht="15" customHeight="1" x14ac:dyDescent="0.25">
      <c r="F950" s="16">
        <v>44553</v>
      </c>
      <c r="G950" s="17">
        <v>105</v>
      </c>
      <c r="H950" t="s">
        <v>43</v>
      </c>
      <c r="I950" t="s">
        <v>16</v>
      </c>
      <c r="J950" t="s">
        <v>690</v>
      </c>
    </row>
    <row r="951" spans="6:10" ht="15" customHeight="1" x14ac:dyDescent="0.25">
      <c r="F951" s="16">
        <v>44553</v>
      </c>
      <c r="G951" s="17">
        <v>89.29</v>
      </c>
      <c r="H951" t="s">
        <v>43</v>
      </c>
      <c r="I951" t="s">
        <v>16</v>
      </c>
      <c r="J951" t="s">
        <v>761</v>
      </c>
    </row>
    <row r="952" spans="6:10" ht="15" customHeight="1" x14ac:dyDescent="0.25">
      <c r="F952" s="16">
        <v>44554</v>
      </c>
      <c r="G952" s="17">
        <v>215.14</v>
      </c>
      <c r="H952" t="s">
        <v>43</v>
      </c>
      <c r="I952" t="s">
        <v>20</v>
      </c>
    </row>
    <row r="953" spans="6:10" ht="15" customHeight="1" x14ac:dyDescent="0.25">
      <c r="F953" s="16">
        <v>44554</v>
      </c>
      <c r="G953" s="17">
        <v>94.58</v>
      </c>
      <c r="H953" t="s">
        <v>43</v>
      </c>
      <c r="I953" t="s">
        <v>16</v>
      </c>
      <c r="J953" t="s">
        <v>144</v>
      </c>
    </row>
    <row r="954" spans="6:10" ht="15" customHeight="1" x14ac:dyDescent="0.25">
      <c r="F954" s="16">
        <v>44558</v>
      </c>
      <c r="G954" s="17"/>
      <c r="H954" t="s">
        <v>264</v>
      </c>
      <c r="I954" t="s">
        <v>579</v>
      </c>
      <c r="J954" t="s">
        <v>32</v>
      </c>
    </row>
    <row r="955" spans="6:10" ht="15" customHeight="1" x14ac:dyDescent="0.25">
      <c r="F955" s="16">
        <v>44558</v>
      </c>
      <c r="G955" s="17"/>
      <c r="H955" t="s">
        <v>264</v>
      </c>
      <c r="I955" t="s">
        <v>579</v>
      </c>
      <c r="J955" t="s">
        <v>48</v>
      </c>
    </row>
    <row r="956" spans="6:10" ht="15" customHeight="1" x14ac:dyDescent="0.25">
      <c r="F956" s="16">
        <v>44558</v>
      </c>
      <c r="G956" s="17"/>
      <c r="H956" t="s">
        <v>264</v>
      </c>
      <c r="I956" t="s">
        <v>579</v>
      </c>
      <c r="J956" t="s">
        <v>48</v>
      </c>
    </row>
    <row r="957" spans="6:10" ht="15" customHeight="1" x14ac:dyDescent="0.25">
      <c r="F957" s="16">
        <v>44558</v>
      </c>
      <c r="G957" s="17"/>
      <c r="H957" t="s">
        <v>264</v>
      </c>
      <c r="I957" t="s">
        <v>579</v>
      </c>
      <c r="J957" t="s">
        <v>767</v>
      </c>
    </row>
    <row r="958" spans="6:10" ht="15" customHeight="1" x14ac:dyDescent="0.25">
      <c r="F958" s="16">
        <v>44559</v>
      </c>
      <c r="G958" s="17">
        <v>0.99</v>
      </c>
      <c r="H958" t="s">
        <v>22</v>
      </c>
      <c r="I958" t="s">
        <v>58</v>
      </c>
    </row>
    <row r="959" spans="6:10" ht="15" customHeight="1" x14ac:dyDescent="0.25">
      <c r="F959" s="16">
        <v>44560</v>
      </c>
      <c r="G959" s="17">
        <v>105</v>
      </c>
      <c r="H959" t="s">
        <v>43</v>
      </c>
      <c r="I959" t="s">
        <v>16</v>
      </c>
      <c r="J959" t="s">
        <v>690</v>
      </c>
    </row>
    <row r="960" spans="6:10" ht="15" customHeight="1" x14ac:dyDescent="0.25">
      <c r="F960" s="16">
        <v>44560</v>
      </c>
      <c r="G960" s="17">
        <v>4585.4799999999996</v>
      </c>
      <c r="H960" t="s">
        <v>263</v>
      </c>
    </row>
    <row r="961" spans="6:10" ht="15" customHeight="1" x14ac:dyDescent="0.25">
      <c r="F961" s="16">
        <v>44565</v>
      </c>
      <c r="G961" s="17">
        <v>0.99</v>
      </c>
      <c r="H961" t="s">
        <v>22</v>
      </c>
      <c r="I961" t="s">
        <v>58</v>
      </c>
    </row>
    <row r="962" spans="6:10" ht="15" customHeight="1" x14ac:dyDescent="0.25">
      <c r="F962" s="16">
        <v>44566</v>
      </c>
      <c r="G962" s="17">
        <v>105</v>
      </c>
      <c r="H962" t="s">
        <v>43</v>
      </c>
      <c r="I962" t="s">
        <v>16</v>
      </c>
      <c r="J962" t="s">
        <v>690</v>
      </c>
    </row>
    <row r="963" spans="6:10" ht="15" customHeight="1" x14ac:dyDescent="0.25">
      <c r="F963" s="16">
        <v>44566</v>
      </c>
      <c r="G963" s="17">
        <v>91.37</v>
      </c>
      <c r="H963" t="s">
        <v>43</v>
      </c>
      <c r="I963" t="s">
        <v>16</v>
      </c>
      <c r="J963" t="s">
        <v>144</v>
      </c>
    </row>
    <row r="964" spans="6:10" ht="15" customHeight="1" x14ac:dyDescent="0.25">
      <c r="F964" s="16">
        <v>44566</v>
      </c>
      <c r="G964" s="17">
        <v>144.33000000000001</v>
      </c>
      <c r="H964" t="s">
        <v>43</v>
      </c>
      <c r="I964" t="s">
        <v>16</v>
      </c>
      <c r="J964" t="s">
        <v>144</v>
      </c>
    </row>
    <row r="965" spans="6:10" ht="15" customHeight="1" x14ac:dyDescent="0.25">
      <c r="F965" s="16">
        <v>44566</v>
      </c>
      <c r="G965" s="17">
        <v>69.89</v>
      </c>
      <c r="H965" t="s">
        <v>43</v>
      </c>
      <c r="I965" t="s">
        <v>16</v>
      </c>
      <c r="J965" t="s">
        <v>761</v>
      </c>
    </row>
    <row r="966" spans="6:10" ht="15" customHeight="1" x14ac:dyDescent="0.25">
      <c r="F966" s="16">
        <v>44564</v>
      </c>
      <c r="G966" s="17">
        <v>420</v>
      </c>
      <c r="H966" t="s">
        <v>43</v>
      </c>
      <c r="I966" t="s">
        <v>16</v>
      </c>
      <c r="J966" t="s">
        <v>690</v>
      </c>
    </row>
    <row r="967" spans="6:10" ht="15" customHeight="1" x14ac:dyDescent="0.25">
      <c r="F967" s="16">
        <v>44566</v>
      </c>
      <c r="G967" s="17">
        <v>88</v>
      </c>
      <c r="H967" t="s">
        <v>120</v>
      </c>
      <c r="I967" t="s">
        <v>774</v>
      </c>
    </row>
    <row r="968" spans="6:10" ht="15" customHeight="1" x14ac:dyDescent="0.25">
      <c r="F968" s="16">
        <v>44566</v>
      </c>
      <c r="G968" s="17">
        <v>9.9</v>
      </c>
      <c r="H968" t="s">
        <v>36</v>
      </c>
    </row>
    <row r="969" spans="6:10" ht="15" customHeight="1" x14ac:dyDescent="0.25">
      <c r="F969" s="16">
        <v>44566</v>
      </c>
      <c r="G969" s="17"/>
      <c r="H969" t="s">
        <v>264</v>
      </c>
      <c r="I969" t="s">
        <v>579</v>
      </c>
    </row>
    <row r="970" spans="6:10" ht="15" customHeight="1" x14ac:dyDescent="0.25">
      <c r="F970" s="16">
        <v>44569</v>
      </c>
      <c r="G970" s="17">
        <v>230</v>
      </c>
      <c r="H970" t="s">
        <v>264</v>
      </c>
      <c r="I970" t="s">
        <v>720</v>
      </c>
      <c r="J970" t="s">
        <v>436</v>
      </c>
    </row>
    <row r="971" spans="6:10" ht="15" customHeight="1" x14ac:dyDescent="0.25">
      <c r="F971" s="16">
        <v>44569</v>
      </c>
      <c r="G971" s="17">
        <v>698.5</v>
      </c>
      <c r="H971" t="s">
        <v>264</v>
      </c>
      <c r="I971" t="s">
        <v>723</v>
      </c>
      <c r="J971" t="s">
        <v>675</v>
      </c>
    </row>
    <row r="972" spans="6:10" ht="15" customHeight="1" x14ac:dyDescent="0.25">
      <c r="F972" s="16">
        <v>44569</v>
      </c>
      <c r="G972" s="17">
        <v>800</v>
      </c>
      <c r="H972" t="s">
        <v>264</v>
      </c>
      <c r="I972" t="s">
        <v>721</v>
      </c>
      <c r="J972" t="s">
        <v>703</v>
      </c>
    </row>
    <row r="973" spans="6:10" ht="15" customHeight="1" x14ac:dyDescent="0.25">
      <c r="F973" s="16">
        <v>44569</v>
      </c>
      <c r="G973" s="17">
        <v>350</v>
      </c>
      <c r="H973" t="s">
        <v>264</v>
      </c>
      <c r="I973" t="s">
        <v>723</v>
      </c>
      <c r="J973" t="s">
        <v>476</v>
      </c>
    </row>
    <row r="974" spans="6:10" ht="15" customHeight="1" x14ac:dyDescent="0.25">
      <c r="F974" s="16">
        <v>44569</v>
      </c>
      <c r="G974" s="17"/>
      <c r="H974" t="s">
        <v>264</v>
      </c>
      <c r="I974" t="s">
        <v>579</v>
      </c>
      <c r="J974" t="s">
        <v>601</v>
      </c>
    </row>
    <row r="975" spans="6:10" ht="15" customHeight="1" x14ac:dyDescent="0.25">
      <c r="F975" s="16">
        <v>44571</v>
      </c>
      <c r="G975" s="17">
        <v>340</v>
      </c>
      <c r="H975" t="s">
        <v>263</v>
      </c>
    </row>
    <row r="976" spans="6:10" ht="15" customHeight="1" x14ac:dyDescent="0.25">
      <c r="F976" s="16"/>
      <c r="G976" s="17"/>
    </row>
    <row r="977" spans="6:10" ht="15" customHeight="1" x14ac:dyDescent="0.25">
      <c r="F977" s="16"/>
      <c r="G977" s="17"/>
    </row>
    <row r="978" spans="6:10" ht="15" customHeight="1" x14ac:dyDescent="0.25">
      <c r="F978" s="16">
        <v>44571</v>
      </c>
      <c r="G978" s="17">
        <v>0.99</v>
      </c>
      <c r="H978" t="s">
        <v>22</v>
      </c>
      <c r="I978" t="s">
        <v>58</v>
      </c>
    </row>
    <row r="979" spans="6:10" ht="15" customHeight="1" x14ac:dyDescent="0.25">
      <c r="F979" s="16">
        <v>44572</v>
      </c>
      <c r="G979" s="17">
        <v>105</v>
      </c>
      <c r="H979" t="s">
        <v>43</v>
      </c>
      <c r="I979" t="s">
        <v>16</v>
      </c>
      <c r="J979" t="s">
        <v>690</v>
      </c>
    </row>
    <row r="980" spans="6:10" ht="15" customHeight="1" x14ac:dyDescent="0.25">
      <c r="F980" s="16">
        <v>44572</v>
      </c>
      <c r="G980" s="17">
        <v>180.85</v>
      </c>
      <c r="H980" t="s">
        <v>43</v>
      </c>
      <c r="I980" t="s">
        <v>16</v>
      </c>
      <c r="J980" t="s">
        <v>495</v>
      </c>
    </row>
    <row r="981" spans="6:10" ht="15" customHeight="1" x14ac:dyDescent="0.25">
      <c r="F981" s="16">
        <v>44572</v>
      </c>
      <c r="G981" s="17">
        <v>165</v>
      </c>
      <c r="H981" t="s">
        <v>43</v>
      </c>
      <c r="I981" t="s">
        <v>436</v>
      </c>
    </row>
    <row r="982" spans="6:10" ht="15" customHeight="1" x14ac:dyDescent="0.25">
      <c r="F982" s="16">
        <v>44572</v>
      </c>
      <c r="G982" s="17">
        <v>165</v>
      </c>
      <c r="H982" t="s">
        <v>43</v>
      </c>
      <c r="I982" t="s">
        <v>436</v>
      </c>
    </row>
    <row r="983" spans="6:10" ht="15" customHeight="1" x14ac:dyDescent="0.25">
      <c r="F983" s="16">
        <v>44573</v>
      </c>
      <c r="G983" s="17">
        <v>440</v>
      </c>
      <c r="H983" t="s">
        <v>263</v>
      </c>
    </row>
    <row r="984" spans="6:10" ht="15" customHeight="1" x14ac:dyDescent="0.25">
      <c r="F984" s="16">
        <v>44574</v>
      </c>
      <c r="G984" s="17">
        <v>136.08000000000001</v>
      </c>
      <c r="H984" t="s">
        <v>43</v>
      </c>
      <c r="I984" t="s">
        <v>16</v>
      </c>
      <c r="J984" t="s">
        <v>665</v>
      </c>
    </row>
    <row r="985" spans="6:10" ht="15" customHeight="1" x14ac:dyDescent="0.25">
      <c r="F985" s="16">
        <v>44574</v>
      </c>
      <c r="G985" s="17">
        <v>125.88</v>
      </c>
      <c r="H985" t="s">
        <v>43</v>
      </c>
      <c r="I985" t="s">
        <v>16</v>
      </c>
      <c r="J985" t="s">
        <v>495</v>
      </c>
    </row>
    <row r="986" spans="6:10" ht="15" customHeight="1" x14ac:dyDescent="0.25">
      <c r="F986" s="16">
        <v>44574</v>
      </c>
      <c r="G986" s="17">
        <v>129.28</v>
      </c>
      <c r="H986" t="s">
        <v>43</v>
      </c>
      <c r="I986" t="s">
        <v>16</v>
      </c>
      <c r="J986" t="s">
        <v>730</v>
      </c>
    </row>
    <row r="987" spans="6:10" ht="15" customHeight="1" x14ac:dyDescent="0.25">
      <c r="F987" s="16">
        <v>44574</v>
      </c>
      <c r="G987" s="17"/>
      <c r="H987" t="s">
        <v>43</v>
      </c>
      <c r="I987" t="s">
        <v>16</v>
      </c>
      <c r="J987" t="s">
        <v>665</v>
      </c>
    </row>
    <row r="988" spans="6:10" ht="15" customHeight="1" x14ac:dyDescent="0.25">
      <c r="F988" s="16">
        <v>44574</v>
      </c>
      <c r="G988" s="17">
        <v>215.14</v>
      </c>
      <c r="H988" t="s">
        <v>43</v>
      </c>
      <c r="I988" t="s">
        <v>20</v>
      </c>
    </row>
    <row r="989" spans="6:10" ht="15" customHeight="1" x14ac:dyDescent="0.25">
      <c r="F989" s="16">
        <v>44574</v>
      </c>
      <c r="G989" s="17"/>
      <c r="H989" t="s">
        <v>264</v>
      </c>
      <c r="I989" t="s">
        <v>579</v>
      </c>
    </row>
    <row r="990" spans="6:10" ht="15" customHeight="1" x14ac:dyDescent="0.25">
      <c r="F990" s="16"/>
      <c r="G990" s="17"/>
    </row>
    <row r="991" spans="6:10" ht="15" customHeight="1" x14ac:dyDescent="0.25">
      <c r="F991" s="16">
        <v>44574</v>
      </c>
      <c r="G991" s="17"/>
      <c r="H991" t="s">
        <v>264</v>
      </c>
      <c r="I991" t="s">
        <v>579</v>
      </c>
      <c r="J991" t="s">
        <v>786</v>
      </c>
    </row>
    <row r="992" spans="6:10" ht="15" customHeight="1" x14ac:dyDescent="0.25">
      <c r="F992" s="16">
        <v>44575</v>
      </c>
      <c r="G992" s="17">
        <v>97.03</v>
      </c>
      <c r="H992" t="s">
        <v>43</v>
      </c>
      <c r="I992" t="s">
        <v>16</v>
      </c>
      <c r="J992" t="s">
        <v>668</v>
      </c>
    </row>
    <row r="993" spans="6:10" ht="15" customHeight="1" x14ac:dyDescent="0.25">
      <c r="F993" s="16">
        <v>44575</v>
      </c>
      <c r="G993" s="17">
        <v>81.2</v>
      </c>
      <c r="H993" t="s">
        <v>43</v>
      </c>
      <c r="I993" t="s">
        <v>453</v>
      </c>
    </row>
    <row r="994" spans="6:10" ht="15" customHeight="1" x14ac:dyDescent="0.25">
      <c r="F994" s="16">
        <v>44575</v>
      </c>
      <c r="G994" s="17">
        <v>54</v>
      </c>
      <c r="H994" t="s">
        <v>97</v>
      </c>
      <c r="I994" t="s">
        <v>669</v>
      </c>
    </row>
    <row r="995" spans="6:10" ht="15" customHeight="1" x14ac:dyDescent="0.25">
      <c r="F995" s="16">
        <v>44578</v>
      </c>
      <c r="G995" s="17">
        <v>0.99</v>
      </c>
      <c r="H995" t="s">
        <v>22</v>
      </c>
      <c r="I995" t="s">
        <v>58</v>
      </c>
    </row>
    <row r="996" spans="6:10" ht="15" customHeight="1" x14ac:dyDescent="0.25">
      <c r="F996" s="16">
        <v>44578</v>
      </c>
      <c r="G996" s="17"/>
      <c r="H996" t="s">
        <v>264</v>
      </c>
      <c r="I996" t="s">
        <v>579</v>
      </c>
      <c r="J996" t="s">
        <v>786</v>
      </c>
    </row>
    <row r="997" spans="6:10" ht="15" customHeight="1" x14ac:dyDescent="0.25">
      <c r="F997" s="16">
        <v>44580</v>
      </c>
      <c r="G997" s="17">
        <v>900</v>
      </c>
      <c r="H997" t="s">
        <v>263</v>
      </c>
      <c r="I997" t="s">
        <v>787</v>
      </c>
    </row>
    <row r="998" spans="6:10" ht="15" customHeight="1" x14ac:dyDescent="0.25">
      <c r="F998" s="16">
        <v>44581</v>
      </c>
      <c r="G998" s="17">
        <v>215.14</v>
      </c>
      <c r="H998" t="s">
        <v>43</v>
      </c>
      <c r="I998" t="s">
        <v>20</v>
      </c>
    </row>
    <row r="999" spans="6:10" ht="15" customHeight="1" x14ac:dyDescent="0.25">
      <c r="F999" s="16">
        <v>44582</v>
      </c>
      <c r="G999" s="17">
        <v>89.29</v>
      </c>
      <c r="H999" t="s">
        <v>43</v>
      </c>
      <c r="I999" t="s">
        <v>16</v>
      </c>
      <c r="J999" t="s">
        <v>730</v>
      </c>
    </row>
    <row r="1000" spans="6:10" ht="15" customHeight="1" x14ac:dyDescent="0.25">
      <c r="F1000" s="16">
        <v>44582</v>
      </c>
      <c r="G1000" s="17">
        <v>60</v>
      </c>
      <c r="H1000" t="s">
        <v>43</v>
      </c>
      <c r="I1000" t="s">
        <v>16</v>
      </c>
      <c r="J1000" t="s">
        <v>730</v>
      </c>
    </row>
    <row r="1001" spans="6:10" ht="15" customHeight="1" x14ac:dyDescent="0.25">
      <c r="F1001" s="16">
        <v>44582</v>
      </c>
      <c r="G1001" s="17">
        <v>105</v>
      </c>
      <c r="H1001" t="s">
        <v>43</v>
      </c>
      <c r="I1001" t="s">
        <v>16</v>
      </c>
      <c r="J1001" t="s">
        <v>677</v>
      </c>
    </row>
    <row r="1002" spans="6:10" ht="15" customHeight="1" x14ac:dyDescent="0.25">
      <c r="F1002" s="16">
        <v>44583</v>
      </c>
      <c r="G1002" s="17">
        <v>201.31</v>
      </c>
      <c r="H1002" t="s">
        <v>43</v>
      </c>
      <c r="I1002" t="s">
        <v>20</v>
      </c>
    </row>
    <row r="1003" spans="6:10" ht="15" customHeight="1" x14ac:dyDescent="0.25">
      <c r="F1003" s="16">
        <v>44585</v>
      </c>
      <c r="G1003" s="17">
        <v>0.99</v>
      </c>
      <c r="H1003" t="s">
        <v>22</v>
      </c>
      <c r="I1003" t="s">
        <v>58</v>
      </c>
    </row>
    <row r="1004" spans="6:10" ht="15" customHeight="1" x14ac:dyDescent="0.25">
      <c r="F1004" s="16">
        <v>44586</v>
      </c>
      <c r="G1004" s="17">
        <v>105</v>
      </c>
      <c r="H1004" t="s">
        <v>43</v>
      </c>
      <c r="I1004" t="s">
        <v>16</v>
      </c>
      <c r="J1004" t="s">
        <v>677</v>
      </c>
    </row>
    <row r="1005" spans="6:10" ht="15" customHeight="1" x14ac:dyDescent="0.25">
      <c r="F1005" s="16">
        <v>44586</v>
      </c>
      <c r="G1005" s="17">
        <v>94.58</v>
      </c>
      <c r="H1005" t="s">
        <v>43</v>
      </c>
      <c r="I1005" t="s">
        <v>16</v>
      </c>
      <c r="J1005" t="s">
        <v>144</v>
      </c>
    </row>
    <row r="1006" spans="6:10" ht="15" customHeight="1" x14ac:dyDescent="0.25">
      <c r="F1006" s="16">
        <v>44586</v>
      </c>
      <c r="G1006" s="17">
        <v>43.26</v>
      </c>
      <c r="H1006" t="s">
        <v>43</v>
      </c>
      <c r="I1006" t="s">
        <v>32</v>
      </c>
    </row>
    <row r="1007" spans="6:10" ht="15" customHeight="1" x14ac:dyDescent="0.25">
      <c r="F1007" s="16">
        <v>44586</v>
      </c>
      <c r="G1007" s="17">
        <v>40</v>
      </c>
      <c r="H1007" t="s">
        <v>264</v>
      </c>
      <c r="I1007" t="s">
        <v>750</v>
      </c>
    </row>
    <row r="1008" spans="6:10" ht="15" customHeight="1" x14ac:dyDescent="0.25">
      <c r="F1008" s="16">
        <v>44587</v>
      </c>
      <c r="G1008" s="17">
        <v>17.47</v>
      </c>
      <c r="H1008" t="s">
        <v>43</v>
      </c>
    </row>
    <row r="1009" spans="6:10" ht="15" customHeight="1" x14ac:dyDescent="0.25">
      <c r="F1009" s="16">
        <v>44587</v>
      </c>
      <c r="G1009" s="17">
        <v>5</v>
      </c>
      <c r="H1009" t="s">
        <v>43</v>
      </c>
      <c r="I1009" t="s">
        <v>789</v>
      </c>
    </row>
    <row r="1010" spans="6:10" ht="15" customHeight="1" x14ac:dyDescent="0.25">
      <c r="F1010" s="16">
        <v>44587</v>
      </c>
      <c r="G1010" s="17">
        <v>68.27</v>
      </c>
      <c r="H1010" t="s">
        <v>43</v>
      </c>
      <c r="I1010" t="s">
        <v>32</v>
      </c>
    </row>
    <row r="1011" spans="6:10" ht="15" customHeight="1" x14ac:dyDescent="0.25">
      <c r="F1011" s="16">
        <v>44588</v>
      </c>
      <c r="G1011" s="17">
        <v>400</v>
      </c>
      <c r="H1011" t="s">
        <v>264</v>
      </c>
      <c r="I1011" t="s">
        <v>750</v>
      </c>
      <c r="J1011" t="s">
        <v>659</v>
      </c>
    </row>
    <row r="1012" spans="6:10" ht="15" customHeight="1" x14ac:dyDescent="0.25">
      <c r="F1012" s="16">
        <v>44588</v>
      </c>
      <c r="G1012" s="17">
        <v>230</v>
      </c>
      <c r="H1012" t="s">
        <v>264</v>
      </c>
      <c r="I1012" t="s">
        <v>750</v>
      </c>
      <c r="J1012" t="s">
        <v>526</v>
      </c>
    </row>
    <row r="1013" spans="6:10" ht="15" customHeight="1" x14ac:dyDescent="0.25">
      <c r="F1013" s="16">
        <v>44589</v>
      </c>
      <c r="G1013" s="17">
        <v>90</v>
      </c>
      <c r="H1013" t="s">
        <v>43</v>
      </c>
      <c r="I1013" t="s">
        <v>16</v>
      </c>
      <c r="J1013" t="s">
        <v>677</v>
      </c>
    </row>
    <row r="1014" spans="6:10" ht="15" customHeight="1" x14ac:dyDescent="0.25">
      <c r="F1014" s="16">
        <v>44589</v>
      </c>
      <c r="G1014" s="17">
        <v>105</v>
      </c>
      <c r="H1014" t="s">
        <v>43</v>
      </c>
      <c r="I1014" t="s">
        <v>16</v>
      </c>
      <c r="J1014" t="s">
        <v>677</v>
      </c>
    </row>
    <row r="1015" spans="6:10" ht="15" customHeight="1" x14ac:dyDescent="0.25">
      <c r="F1015" s="16">
        <v>44589</v>
      </c>
      <c r="G1015" s="17">
        <v>18</v>
      </c>
      <c r="H1015" t="s">
        <v>43</v>
      </c>
      <c r="I1015" t="s">
        <v>732</v>
      </c>
    </row>
    <row r="1016" spans="6:10" ht="15" customHeight="1" x14ac:dyDescent="0.25">
      <c r="F1016" s="16">
        <v>44589</v>
      </c>
      <c r="G1016" s="17">
        <v>20.2</v>
      </c>
      <c r="H1016" t="s">
        <v>43</v>
      </c>
      <c r="I1016" t="s">
        <v>32</v>
      </c>
    </row>
    <row r="1017" spans="6:10" ht="15" customHeight="1" x14ac:dyDescent="0.25">
      <c r="F1017" s="16">
        <v>44593</v>
      </c>
      <c r="G1017" s="17">
        <v>144.33000000000001</v>
      </c>
      <c r="H1017" t="s">
        <v>43</v>
      </c>
      <c r="I1017" t="s">
        <v>16</v>
      </c>
      <c r="J1017" t="s">
        <v>144</v>
      </c>
    </row>
    <row r="1018" spans="6:10" ht="15" customHeight="1" x14ac:dyDescent="0.25">
      <c r="F1018" s="16">
        <v>44593</v>
      </c>
      <c r="G1018" s="17">
        <v>201.31</v>
      </c>
      <c r="H1018" t="s">
        <v>43</v>
      </c>
      <c r="I1018" t="s">
        <v>20</v>
      </c>
    </row>
    <row r="1019" spans="6:10" ht="15" customHeight="1" x14ac:dyDescent="0.25">
      <c r="F1019" s="16">
        <v>44593</v>
      </c>
      <c r="G1019" s="17">
        <v>201.31</v>
      </c>
      <c r="H1019" t="s">
        <v>43</v>
      </c>
      <c r="I1019" t="s">
        <v>20</v>
      </c>
    </row>
    <row r="1020" spans="6:10" ht="15" customHeight="1" x14ac:dyDescent="0.25">
      <c r="F1020" s="16">
        <v>44592</v>
      </c>
      <c r="G1020" s="17">
        <v>0.99</v>
      </c>
      <c r="H1020" t="s">
        <v>22</v>
      </c>
      <c r="I1020" t="s">
        <v>58</v>
      </c>
    </row>
    <row r="1021" spans="6:10" ht="15" customHeight="1" x14ac:dyDescent="0.25">
      <c r="F1021" s="16">
        <v>44594</v>
      </c>
      <c r="G1021" s="17">
        <v>19.46</v>
      </c>
      <c r="H1021" t="s">
        <v>43</v>
      </c>
      <c r="I1021" t="s">
        <v>716</v>
      </c>
    </row>
    <row r="1022" spans="6:10" ht="15" customHeight="1" x14ac:dyDescent="0.25">
      <c r="F1022" s="16">
        <v>44595</v>
      </c>
      <c r="G1022" s="17">
        <v>45.7</v>
      </c>
      <c r="H1022" t="s">
        <v>43</v>
      </c>
      <c r="I1022" t="s">
        <v>16</v>
      </c>
      <c r="J1022" t="s">
        <v>730</v>
      </c>
    </row>
    <row r="1023" spans="6:10" ht="15" customHeight="1" x14ac:dyDescent="0.25">
      <c r="F1023" s="16">
        <v>44596</v>
      </c>
      <c r="G1023" s="17">
        <v>106.32</v>
      </c>
      <c r="H1023" t="s">
        <v>43</v>
      </c>
      <c r="I1023" t="s">
        <v>16</v>
      </c>
      <c r="J1023" t="s">
        <v>144</v>
      </c>
    </row>
    <row r="1024" spans="6:10" ht="15" customHeight="1" x14ac:dyDescent="0.25">
      <c r="F1024" s="16">
        <v>44596</v>
      </c>
      <c r="G1024" s="17">
        <v>105</v>
      </c>
      <c r="H1024" t="s">
        <v>43</v>
      </c>
      <c r="I1024" t="s">
        <v>16</v>
      </c>
      <c r="J1024" t="s">
        <v>677</v>
      </c>
    </row>
    <row r="1025" spans="6:10" ht="15" customHeight="1" x14ac:dyDescent="0.25">
      <c r="F1025" s="16">
        <v>44597</v>
      </c>
      <c r="G1025" s="17">
        <v>13.14</v>
      </c>
      <c r="H1025" t="s">
        <v>43</v>
      </c>
      <c r="I1025" t="s">
        <v>32</v>
      </c>
    </row>
    <row r="1026" spans="6:10" ht="15" customHeight="1" x14ac:dyDescent="0.25">
      <c r="F1026" s="16">
        <v>44599</v>
      </c>
      <c r="G1026" s="17">
        <v>0.99</v>
      </c>
      <c r="H1026" t="s">
        <v>22</v>
      </c>
      <c r="I1026" t="s">
        <v>58</v>
      </c>
    </row>
    <row r="1027" spans="6:10" ht="15" customHeight="1" x14ac:dyDescent="0.25">
      <c r="F1027" s="16">
        <v>44600</v>
      </c>
      <c r="G1027" s="17">
        <v>9.9</v>
      </c>
      <c r="H1027" s="49" t="s">
        <v>36</v>
      </c>
    </row>
    <row r="1028" spans="6:10" ht="15" customHeight="1" x14ac:dyDescent="0.25">
      <c r="F1028" s="16">
        <v>44600</v>
      </c>
      <c r="G1028" s="17">
        <v>420</v>
      </c>
      <c r="H1028" t="s">
        <v>43</v>
      </c>
      <c r="I1028" t="s">
        <v>677</v>
      </c>
    </row>
    <row r="1029" spans="6:10" ht="15" customHeight="1" x14ac:dyDescent="0.25">
      <c r="F1029" s="16">
        <v>44600</v>
      </c>
      <c r="G1029" s="17">
        <v>-210</v>
      </c>
      <c r="H1029" t="s">
        <v>43</v>
      </c>
      <c r="I1029" t="s">
        <v>791</v>
      </c>
    </row>
    <row r="1030" spans="6:10" ht="15" customHeight="1" x14ac:dyDescent="0.25">
      <c r="F1030" s="16">
        <v>44601</v>
      </c>
      <c r="G1030" s="17">
        <v>75.8</v>
      </c>
      <c r="H1030" t="s">
        <v>43</v>
      </c>
      <c r="I1030" t="s">
        <v>32</v>
      </c>
    </row>
    <row r="1031" spans="6:10" ht="15" customHeight="1" x14ac:dyDescent="0.25">
      <c r="F1031" s="16">
        <v>44601</v>
      </c>
      <c r="G1031" s="17">
        <v>55.63</v>
      </c>
      <c r="H1031" t="s">
        <v>43</v>
      </c>
      <c r="I1031" t="s">
        <v>32</v>
      </c>
    </row>
    <row r="1032" spans="6:10" ht="15" customHeight="1" x14ac:dyDescent="0.25">
      <c r="F1032" s="16">
        <v>44603</v>
      </c>
      <c r="G1032" s="17">
        <v>136.08000000000001</v>
      </c>
      <c r="H1032" t="s">
        <v>43</v>
      </c>
      <c r="I1032" t="s">
        <v>16</v>
      </c>
      <c r="J1032" t="s">
        <v>665</v>
      </c>
    </row>
    <row r="1033" spans="6:10" ht="15" customHeight="1" x14ac:dyDescent="0.25">
      <c r="F1033" s="16">
        <v>44603</v>
      </c>
      <c r="G1033" s="17">
        <v>201.31</v>
      </c>
      <c r="H1033" t="s">
        <v>43</v>
      </c>
      <c r="I1033" t="s">
        <v>20</v>
      </c>
    </row>
    <row r="1034" spans="6:10" ht="15" customHeight="1" x14ac:dyDescent="0.25">
      <c r="F1034" s="16">
        <v>44603</v>
      </c>
      <c r="G1034" s="17">
        <v>125.88</v>
      </c>
      <c r="H1034" t="s">
        <v>43</v>
      </c>
      <c r="I1034" t="s">
        <v>16</v>
      </c>
      <c r="J1034" t="s">
        <v>495</v>
      </c>
    </row>
    <row r="1035" spans="6:10" ht="15" customHeight="1" x14ac:dyDescent="0.25">
      <c r="F1035" s="16">
        <v>44603</v>
      </c>
      <c r="G1035" s="17">
        <v>180.85</v>
      </c>
      <c r="H1035" t="s">
        <v>43</v>
      </c>
      <c r="I1035" t="s">
        <v>16</v>
      </c>
      <c r="J1035" t="s">
        <v>495</v>
      </c>
    </row>
    <row r="1036" spans="6:10" ht="15" customHeight="1" x14ac:dyDescent="0.25">
      <c r="F1036" s="16">
        <v>44603</v>
      </c>
      <c r="G1036" s="17">
        <v>129.28</v>
      </c>
      <c r="H1036" t="s">
        <v>43</v>
      </c>
      <c r="I1036" t="s">
        <v>16</v>
      </c>
      <c r="J1036" t="s">
        <v>730</v>
      </c>
    </row>
    <row r="1037" spans="6:10" ht="15" customHeight="1" x14ac:dyDescent="0.25">
      <c r="F1037" s="16">
        <v>44603</v>
      </c>
      <c r="G1037" s="17">
        <v>105</v>
      </c>
      <c r="H1037" t="s">
        <v>43</v>
      </c>
      <c r="I1037" t="s">
        <v>16</v>
      </c>
      <c r="J1037" t="s">
        <v>677</v>
      </c>
    </row>
    <row r="1038" spans="6:10" ht="15" customHeight="1" x14ac:dyDescent="0.25">
      <c r="F1038" s="16">
        <v>44603</v>
      </c>
      <c r="G1038" s="17"/>
      <c r="H1038" t="s">
        <v>43</v>
      </c>
      <c r="I1038" t="s">
        <v>16</v>
      </c>
      <c r="J1038" t="s">
        <v>665</v>
      </c>
    </row>
    <row r="1039" spans="6:10" ht="15" customHeight="1" x14ac:dyDescent="0.25">
      <c r="F1039" s="16">
        <v>44605</v>
      </c>
      <c r="G1039" s="17">
        <v>165</v>
      </c>
      <c r="H1039" t="s">
        <v>43</v>
      </c>
      <c r="I1039" t="s">
        <v>607</v>
      </c>
    </row>
    <row r="1040" spans="6:10" ht="15" customHeight="1" x14ac:dyDescent="0.25">
      <c r="F1040" s="16">
        <v>44606</v>
      </c>
      <c r="G1040" s="17">
        <v>0.99</v>
      </c>
      <c r="H1040" t="s">
        <v>22</v>
      </c>
    </row>
    <row r="1041" spans="6:10" ht="15" customHeight="1" x14ac:dyDescent="0.25">
      <c r="F1041" s="16">
        <v>44607</v>
      </c>
      <c r="G1041" s="17">
        <v>54</v>
      </c>
      <c r="H1041" t="s">
        <v>97</v>
      </c>
    </row>
    <row r="1042" spans="6:10" ht="15" customHeight="1" x14ac:dyDescent="0.25">
      <c r="F1042" s="16">
        <v>44608</v>
      </c>
      <c r="G1042" s="17">
        <v>97.03</v>
      </c>
      <c r="H1042" t="s">
        <v>43</v>
      </c>
      <c r="I1042" t="s">
        <v>16</v>
      </c>
      <c r="J1042" t="s">
        <v>668</v>
      </c>
    </row>
    <row r="1043" spans="6:10" ht="15" customHeight="1" x14ac:dyDescent="0.25">
      <c r="F1043" s="16">
        <v>44609</v>
      </c>
      <c r="G1043" s="17">
        <v>201.31</v>
      </c>
      <c r="H1043" t="s">
        <v>43</v>
      </c>
      <c r="I1043" t="s">
        <v>20</v>
      </c>
    </row>
    <row r="1044" spans="6:10" ht="15" customHeight="1" x14ac:dyDescent="0.25">
      <c r="F1044" s="16">
        <v>44609</v>
      </c>
      <c r="G1044" s="17">
        <v>201.31</v>
      </c>
      <c r="H1044" t="s">
        <v>43</v>
      </c>
      <c r="I1044" t="s">
        <v>20</v>
      </c>
    </row>
    <row r="1045" spans="6:10" ht="15" customHeight="1" x14ac:dyDescent="0.25">
      <c r="F1045" s="16">
        <v>44609</v>
      </c>
      <c r="G1045" s="17">
        <v>5</v>
      </c>
      <c r="H1045" t="s">
        <v>43</v>
      </c>
      <c r="I1045" t="s">
        <v>789</v>
      </c>
    </row>
    <row r="1046" spans="6:10" ht="15" customHeight="1" x14ac:dyDescent="0.25">
      <c r="F1046" s="16">
        <v>44610</v>
      </c>
      <c r="G1046" s="17">
        <v>5</v>
      </c>
      <c r="H1046" t="s">
        <v>43</v>
      </c>
      <c r="I1046" t="s">
        <v>789</v>
      </c>
    </row>
    <row r="1047" spans="6:10" ht="15" customHeight="1" x14ac:dyDescent="0.25">
      <c r="F1047" s="16">
        <v>44611</v>
      </c>
      <c r="G1047" s="17">
        <v>60</v>
      </c>
      <c r="H1047" t="s">
        <v>43</v>
      </c>
      <c r="I1047" t="s">
        <v>16</v>
      </c>
      <c r="J1047" t="s">
        <v>730</v>
      </c>
    </row>
    <row r="1048" spans="6:10" ht="15" customHeight="1" x14ac:dyDescent="0.25">
      <c r="F1048" s="16">
        <v>44611</v>
      </c>
      <c r="G1048" s="17">
        <v>201.31</v>
      </c>
      <c r="H1048" t="s">
        <v>43</v>
      </c>
      <c r="I1048" t="s">
        <v>20</v>
      </c>
    </row>
    <row r="1049" spans="6:10" ht="15" customHeight="1" x14ac:dyDescent="0.25">
      <c r="F1049" s="16">
        <v>44611</v>
      </c>
      <c r="G1049" s="17">
        <v>11.34</v>
      </c>
      <c r="H1049" t="s">
        <v>43</v>
      </c>
      <c r="I1049" t="s">
        <v>32</v>
      </c>
    </row>
    <row r="1050" spans="6:10" ht="15" customHeight="1" x14ac:dyDescent="0.25">
      <c r="F1050" s="16">
        <v>44613</v>
      </c>
      <c r="G1050" s="17">
        <f>360+200+240+580+240+210+200+240+210+180+240+360+210+180+240+210+210+240+210+240+180+210+180+205+210+240+210+180+240</f>
        <v>6855</v>
      </c>
      <c r="H1050" t="s">
        <v>263</v>
      </c>
    </row>
    <row r="1051" spans="6:10" ht="15" customHeight="1" x14ac:dyDescent="0.25">
      <c r="F1051" s="16">
        <v>44593</v>
      </c>
      <c r="G1051" s="17">
        <v>8200</v>
      </c>
      <c r="H1051" t="s">
        <v>261</v>
      </c>
      <c r="I1051" t="s">
        <v>201</v>
      </c>
    </row>
    <row r="1052" spans="6:10" ht="15" customHeight="1" x14ac:dyDescent="0.25">
      <c r="F1052" s="16"/>
      <c r="G1052" s="17"/>
    </row>
    <row r="1053" spans="6:10" ht="15" customHeight="1" x14ac:dyDescent="0.25">
      <c r="F1053" s="16">
        <v>44593</v>
      </c>
      <c r="G1053" s="17">
        <v>4300</v>
      </c>
      <c r="H1053" t="s">
        <v>261</v>
      </c>
      <c r="I1053" t="s">
        <v>795</v>
      </c>
    </row>
    <row r="1054" spans="6:10" ht="15" customHeight="1" x14ac:dyDescent="0.25">
      <c r="F1054" s="16">
        <v>44562</v>
      </c>
      <c r="G1054" s="17">
        <v>50</v>
      </c>
      <c r="H1054" t="s">
        <v>264</v>
      </c>
      <c r="I1054" t="s">
        <v>750</v>
      </c>
      <c r="J1054" t="s">
        <v>104</v>
      </c>
    </row>
    <row r="1055" spans="6:10" ht="15" customHeight="1" x14ac:dyDescent="0.25">
      <c r="F1055" s="16">
        <v>44562</v>
      </c>
      <c r="G1055" s="17">
        <v>430</v>
      </c>
      <c r="H1055" t="s">
        <v>264</v>
      </c>
      <c r="I1055" t="s">
        <v>750</v>
      </c>
    </row>
    <row r="1056" spans="6:10" ht="15" customHeight="1" x14ac:dyDescent="0.25">
      <c r="F1056" s="16">
        <v>44612</v>
      </c>
      <c r="G1056" s="17">
        <v>900</v>
      </c>
      <c r="H1056" t="s">
        <v>97</v>
      </c>
      <c r="I1056" t="s">
        <v>798</v>
      </c>
    </row>
    <row r="1057" spans="6:10" ht="15" customHeight="1" x14ac:dyDescent="0.25">
      <c r="F1057" s="16">
        <v>44613</v>
      </c>
      <c r="G1057" s="17">
        <v>0.99</v>
      </c>
      <c r="H1057" t="s">
        <v>22</v>
      </c>
      <c r="I1057" t="s">
        <v>58</v>
      </c>
    </row>
    <row r="1058" spans="6:10" ht="15" customHeight="1" x14ac:dyDescent="0.25">
      <c r="F1058" s="16">
        <v>44614</v>
      </c>
      <c r="G1058" s="17">
        <v>89.29</v>
      </c>
      <c r="H1058" t="s">
        <v>43</v>
      </c>
      <c r="I1058" t="s">
        <v>16</v>
      </c>
      <c r="J1058" t="s">
        <v>730</v>
      </c>
    </row>
    <row r="1059" spans="6:10" ht="15" customHeight="1" x14ac:dyDescent="0.25">
      <c r="F1059" s="16">
        <v>44614</v>
      </c>
      <c r="G1059" s="17">
        <v>105</v>
      </c>
      <c r="H1059" t="s">
        <v>43</v>
      </c>
      <c r="I1059" t="s">
        <v>16</v>
      </c>
      <c r="J1059" t="s">
        <v>677</v>
      </c>
    </row>
    <row r="1060" spans="6:10" ht="15" customHeight="1" x14ac:dyDescent="0.25">
      <c r="F1060" s="16">
        <v>44614</v>
      </c>
      <c r="G1060" s="17"/>
      <c r="H1060" t="s">
        <v>264</v>
      </c>
      <c r="I1060" t="s">
        <v>579</v>
      </c>
      <c r="J1060" t="s">
        <v>32</v>
      </c>
    </row>
    <row r="1061" spans="6:10" ht="15" customHeight="1" x14ac:dyDescent="0.25">
      <c r="F1061" s="205">
        <v>44614</v>
      </c>
      <c r="G1061" s="206">
        <v>300</v>
      </c>
      <c r="H1061" s="207" t="s">
        <v>264</v>
      </c>
      <c r="I1061" s="207" t="s">
        <v>209</v>
      </c>
      <c r="J1061" s="207" t="s">
        <v>597</v>
      </c>
    </row>
    <row r="1062" spans="6:10" ht="15" customHeight="1" x14ac:dyDescent="0.25">
      <c r="F1062" s="16">
        <v>44615</v>
      </c>
      <c r="G1062" s="17"/>
      <c r="H1062" t="s">
        <v>264</v>
      </c>
      <c r="I1062" t="s">
        <v>579</v>
      </c>
      <c r="J1062" t="s">
        <v>32</v>
      </c>
    </row>
    <row r="1063" spans="6:10" ht="15" customHeight="1" x14ac:dyDescent="0.25">
      <c r="F1063" s="16">
        <v>44615</v>
      </c>
      <c r="G1063" s="17">
        <v>10</v>
      </c>
      <c r="H1063" t="s">
        <v>43</v>
      </c>
      <c r="I1063" t="s">
        <v>695</v>
      </c>
    </row>
    <row r="1064" spans="6:10" ht="15" customHeight="1" x14ac:dyDescent="0.25">
      <c r="F1064" s="16">
        <v>44616</v>
      </c>
      <c r="G1064" s="17">
        <v>105</v>
      </c>
      <c r="H1064" t="s">
        <v>43</v>
      </c>
      <c r="I1064" t="s">
        <v>16</v>
      </c>
      <c r="J1064" t="s">
        <v>677</v>
      </c>
    </row>
    <row r="1065" spans="6:10" ht="15" customHeight="1" x14ac:dyDescent="0.25">
      <c r="F1065" s="16">
        <v>44616</v>
      </c>
      <c r="G1065" s="17">
        <v>500</v>
      </c>
      <c r="H1065" t="s">
        <v>263</v>
      </c>
    </row>
    <row r="1066" spans="6:10" ht="15" customHeight="1" x14ac:dyDescent="0.25">
      <c r="F1066" s="16">
        <v>44617</v>
      </c>
      <c r="G1066" s="17">
        <v>94.58</v>
      </c>
      <c r="H1066" t="s">
        <v>43</v>
      </c>
      <c r="I1066" t="s">
        <v>16</v>
      </c>
      <c r="J1066" t="s">
        <v>144</v>
      </c>
    </row>
    <row r="1067" spans="6:10" ht="15" customHeight="1" x14ac:dyDescent="0.25">
      <c r="F1067" s="16">
        <v>44620</v>
      </c>
      <c r="G1067" s="17">
        <v>0.99</v>
      </c>
      <c r="H1067" t="s">
        <v>22</v>
      </c>
      <c r="I1067" t="s">
        <v>58</v>
      </c>
    </row>
    <row r="1068" spans="6:10" ht="15" customHeight="1" x14ac:dyDescent="0.25">
      <c r="F1068" s="16">
        <v>44620</v>
      </c>
      <c r="G1068" s="17">
        <v>250</v>
      </c>
      <c r="H1068" t="s">
        <v>263</v>
      </c>
    </row>
    <row r="1069" spans="6:10" ht="15" customHeight="1" x14ac:dyDescent="0.25">
      <c r="F1069" s="16">
        <v>44620</v>
      </c>
      <c r="G1069" s="17">
        <v>64.75</v>
      </c>
      <c r="H1069" t="s">
        <v>43</v>
      </c>
      <c r="I1069" t="s">
        <v>453</v>
      </c>
    </row>
    <row r="1070" spans="6:10" ht="15" customHeight="1" x14ac:dyDescent="0.25">
      <c r="F1070" s="16">
        <v>44621</v>
      </c>
      <c r="G1070" s="17">
        <v>90</v>
      </c>
      <c r="H1070" t="s">
        <v>43</v>
      </c>
      <c r="I1070" t="s">
        <v>16</v>
      </c>
      <c r="J1070" t="s">
        <v>677</v>
      </c>
    </row>
    <row r="1071" spans="6:10" ht="15" customHeight="1" x14ac:dyDescent="0.25">
      <c r="F1071" s="16">
        <v>44621</v>
      </c>
      <c r="G1071" s="17">
        <v>105</v>
      </c>
      <c r="H1071" t="s">
        <v>43</v>
      </c>
      <c r="I1071" t="s">
        <v>16</v>
      </c>
      <c r="J1071" t="s">
        <v>677</v>
      </c>
    </row>
    <row r="1072" spans="6:10" ht="15" customHeight="1" x14ac:dyDescent="0.25">
      <c r="F1072" s="16">
        <v>44621</v>
      </c>
      <c r="G1072" s="17">
        <v>8.76</v>
      </c>
      <c r="H1072" t="s">
        <v>43</v>
      </c>
      <c r="I1072" t="s">
        <v>32</v>
      </c>
    </row>
    <row r="1073" spans="6:10" ht="15" customHeight="1" x14ac:dyDescent="0.25">
      <c r="F1073" s="16">
        <v>44621</v>
      </c>
      <c r="G1073" s="17"/>
      <c r="H1073" t="s">
        <v>43</v>
      </c>
      <c r="I1073" t="s">
        <v>801</v>
      </c>
    </row>
    <row r="1074" spans="6:10" ht="15" customHeight="1" x14ac:dyDescent="0.25">
      <c r="F1074" s="16">
        <v>44622</v>
      </c>
      <c r="G1074" s="17">
        <v>257.85000000000002</v>
      </c>
      <c r="H1074" t="s">
        <v>43</v>
      </c>
      <c r="I1074" t="s">
        <v>656</v>
      </c>
    </row>
    <row r="1075" spans="6:10" ht="15" customHeight="1" x14ac:dyDescent="0.25">
      <c r="F1075" s="16">
        <v>44622</v>
      </c>
      <c r="G1075" s="17">
        <v>194</v>
      </c>
      <c r="H1075" s="49" t="s">
        <v>40</v>
      </c>
      <c r="I1075" t="s">
        <v>740</v>
      </c>
    </row>
    <row r="1076" spans="6:10" ht="15" customHeight="1" x14ac:dyDescent="0.25">
      <c r="F1076" s="16">
        <v>44624</v>
      </c>
      <c r="G1076" s="17">
        <v>144.33000000000001</v>
      </c>
      <c r="H1076" t="s">
        <v>43</v>
      </c>
      <c r="I1076" t="s">
        <v>16</v>
      </c>
      <c r="J1076" t="s">
        <v>144</v>
      </c>
    </row>
    <row r="1077" spans="6:10" ht="15" customHeight="1" x14ac:dyDescent="0.25">
      <c r="F1077" s="16">
        <v>44624</v>
      </c>
      <c r="G1077" s="17">
        <v>106.32</v>
      </c>
      <c r="H1077" t="s">
        <v>43</v>
      </c>
      <c r="I1077" t="s">
        <v>16</v>
      </c>
      <c r="J1077" t="s">
        <v>144</v>
      </c>
    </row>
    <row r="1078" spans="6:10" ht="15" customHeight="1" x14ac:dyDescent="0.25">
      <c r="F1078" s="16">
        <v>44624</v>
      </c>
      <c r="G1078" s="17">
        <v>45.7</v>
      </c>
      <c r="H1078" t="s">
        <v>43</v>
      </c>
      <c r="I1078" t="s">
        <v>16</v>
      </c>
      <c r="J1078" t="s">
        <v>730</v>
      </c>
    </row>
    <row r="1079" spans="6:10" ht="15" customHeight="1" x14ac:dyDescent="0.25">
      <c r="F1079" s="16">
        <v>44624</v>
      </c>
      <c r="G1079" s="17">
        <v>105</v>
      </c>
      <c r="H1079" t="s">
        <v>43</v>
      </c>
      <c r="I1079" t="s">
        <v>16</v>
      </c>
      <c r="J1079" t="s">
        <v>677</v>
      </c>
    </row>
    <row r="1080" spans="6:10" ht="15" customHeight="1" x14ac:dyDescent="0.25">
      <c r="F1080" s="16">
        <v>44624</v>
      </c>
      <c r="G1080" s="17">
        <v>200</v>
      </c>
      <c r="H1080" t="s">
        <v>263</v>
      </c>
    </row>
    <row r="1081" spans="6:10" ht="15" customHeight="1" x14ac:dyDescent="0.25">
      <c r="F1081" s="16">
        <v>44625</v>
      </c>
      <c r="G1081" s="17">
        <v>10.58</v>
      </c>
      <c r="H1081" t="s">
        <v>43</v>
      </c>
      <c r="I1081" t="s">
        <v>32</v>
      </c>
    </row>
    <row r="1082" spans="6:10" ht="15" customHeight="1" x14ac:dyDescent="0.25">
      <c r="F1082" s="16">
        <v>44625</v>
      </c>
      <c r="G1082" s="17"/>
      <c r="H1082" t="s">
        <v>264</v>
      </c>
      <c r="I1082" t="s">
        <v>579</v>
      </c>
      <c r="J1082" t="s">
        <v>802</v>
      </c>
    </row>
    <row r="1083" spans="6:10" ht="15" customHeight="1" x14ac:dyDescent="0.25">
      <c r="F1083" s="16">
        <v>44625</v>
      </c>
      <c r="G1083" s="17">
        <v>200</v>
      </c>
      <c r="H1083" t="s">
        <v>263</v>
      </c>
    </row>
    <row r="1084" spans="6:10" ht="15" customHeight="1" x14ac:dyDescent="0.25">
      <c r="F1084" s="16">
        <v>44626</v>
      </c>
      <c r="G1084" s="17">
        <v>100</v>
      </c>
      <c r="H1084" t="s">
        <v>263</v>
      </c>
    </row>
    <row r="1085" spans="6:10" ht="15" customHeight="1" x14ac:dyDescent="0.25">
      <c r="F1085" s="16">
        <v>44628</v>
      </c>
      <c r="G1085" s="17">
        <v>9.9</v>
      </c>
      <c r="H1085" s="49" t="s">
        <v>36</v>
      </c>
    </row>
    <row r="1086" spans="6:10" ht="15" customHeight="1" x14ac:dyDescent="0.25">
      <c r="F1086" s="16">
        <v>44628</v>
      </c>
      <c r="G1086" s="17">
        <v>4.99</v>
      </c>
      <c r="H1086" s="49" t="s">
        <v>46</v>
      </c>
    </row>
    <row r="1087" spans="6:10" ht="15" customHeight="1" x14ac:dyDescent="0.25">
      <c r="F1087" s="16">
        <v>44628</v>
      </c>
      <c r="G1087" s="17">
        <v>315</v>
      </c>
      <c r="H1087" t="s">
        <v>43</v>
      </c>
      <c r="I1087" t="s">
        <v>16</v>
      </c>
      <c r="J1087" t="s">
        <v>677</v>
      </c>
    </row>
    <row r="1088" spans="6:10" ht="15" customHeight="1" x14ac:dyDescent="0.25">
      <c r="F1088" s="16"/>
      <c r="G1088" s="17"/>
    </row>
    <row r="1089" spans="6:10" ht="15" customHeight="1" x14ac:dyDescent="0.25">
      <c r="F1089" s="16">
        <v>44628</v>
      </c>
      <c r="G1089" s="17">
        <v>1300</v>
      </c>
      <c r="H1089" t="s">
        <v>263</v>
      </c>
    </row>
    <row r="1090" spans="6:10" ht="15" customHeight="1" x14ac:dyDescent="0.25">
      <c r="F1090" s="16">
        <v>44629</v>
      </c>
      <c r="G1090" s="17">
        <v>79.900000000000006</v>
      </c>
      <c r="H1090" t="s">
        <v>43</v>
      </c>
      <c r="I1090" t="s">
        <v>453</v>
      </c>
    </row>
    <row r="1091" spans="6:10" ht="15" customHeight="1" x14ac:dyDescent="0.25">
      <c r="F1091" s="16">
        <v>44629</v>
      </c>
      <c r="G1091" s="17">
        <v>31.35</v>
      </c>
      <c r="H1091" t="s">
        <v>43</v>
      </c>
      <c r="I1091" t="s">
        <v>453</v>
      </c>
    </row>
    <row r="1092" spans="6:10" ht="15" customHeight="1" x14ac:dyDescent="0.25">
      <c r="F1092" s="16">
        <v>44629</v>
      </c>
      <c r="G1092" s="17">
        <v>22.18</v>
      </c>
      <c r="H1092" t="s">
        <v>43</v>
      </c>
    </row>
    <row r="1093" spans="6:10" ht="15" customHeight="1" x14ac:dyDescent="0.25">
      <c r="F1093" s="16">
        <v>44629</v>
      </c>
      <c r="G1093" s="17">
        <v>200</v>
      </c>
      <c r="H1093" t="s">
        <v>263</v>
      </c>
    </row>
    <row r="1094" spans="6:10" ht="15" customHeight="1" x14ac:dyDescent="0.25">
      <c r="F1094" s="16">
        <v>44630</v>
      </c>
      <c r="G1094" s="17">
        <v>85.01</v>
      </c>
      <c r="H1094" t="s">
        <v>43</v>
      </c>
      <c r="I1094" t="s">
        <v>32</v>
      </c>
    </row>
    <row r="1095" spans="6:10" ht="15" customHeight="1" x14ac:dyDescent="0.25">
      <c r="F1095" s="16">
        <v>44630</v>
      </c>
      <c r="G1095" s="17">
        <v>950</v>
      </c>
      <c r="H1095" s="49" t="s">
        <v>97</v>
      </c>
      <c r="I1095" t="s">
        <v>798</v>
      </c>
    </row>
    <row r="1096" spans="6:10" ht="15" customHeight="1" x14ac:dyDescent="0.25">
      <c r="F1096" s="16">
        <v>44631</v>
      </c>
      <c r="G1096" s="17">
        <v>136.08000000000001</v>
      </c>
      <c r="H1096" t="s">
        <v>43</v>
      </c>
      <c r="I1096" t="s">
        <v>16</v>
      </c>
      <c r="J1096" t="s">
        <v>665</v>
      </c>
    </row>
    <row r="1097" spans="6:10" ht="15" customHeight="1" x14ac:dyDescent="0.25">
      <c r="F1097" s="16">
        <v>44631</v>
      </c>
      <c r="G1097" s="17">
        <v>125.88</v>
      </c>
      <c r="H1097" t="s">
        <v>43</v>
      </c>
      <c r="I1097" t="s">
        <v>16</v>
      </c>
      <c r="J1097" t="s">
        <v>495</v>
      </c>
    </row>
    <row r="1098" spans="6:10" ht="15" customHeight="1" x14ac:dyDescent="0.25">
      <c r="F1098" s="16">
        <v>44631</v>
      </c>
      <c r="G1098" s="17">
        <v>180.85</v>
      </c>
      <c r="H1098" t="s">
        <v>43</v>
      </c>
      <c r="I1098" t="s">
        <v>16</v>
      </c>
      <c r="J1098" t="s">
        <v>495</v>
      </c>
    </row>
    <row r="1099" spans="6:10" ht="15" customHeight="1" x14ac:dyDescent="0.25">
      <c r="F1099" s="16">
        <v>44631</v>
      </c>
      <c r="G1099" s="17">
        <v>129.28</v>
      </c>
      <c r="H1099" t="s">
        <v>43</v>
      </c>
      <c r="I1099" t="s">
        <v>16</v>
      </c>
      <c r="J1099" t="s">
        <v>730</v>
      </c>
    </row>
    <row r="1100" spans="6:10" ht="15" customHeight="1" x14ac:dyDescent="0.25">
      <c r="F1100" s="16">
        <v>44631</v>
      </c>
      <c r="G1100" s="17">
        <v>105</v>
      </c>
      <c r="H1100" t="s">
        <v>43</v>
      </c>
      <c r="I1100" t="s">
        <v>16</v>
      </c>
      <c r="J1100" t="s">
        <v>677</v>
      </c>
    </row>
    <row r="1101" spans="6:10" ht="15" customHeight="1" x14ac:dyDescent="0.25">
      <c r="F1101" s="16">
        <v>44631</v>
      </c>
      <c r="G1101" s="17"/>
      <c r="H1101" t="s">
        <v>43</v>
      </c>
      <c r="I1101" t="s">
        <v>16</v>
      </c>
      <c r="J1101" t="s">
        <v>665</v>
      </c>
    </row>
    <row r="1102" spans="6:10" ht="15" customHeight="1" x14ac:dyDescent="0.25">
      <c r="F1102" s="16">
        <v>44632</v>
      </c>
      <c r="G1102" s="17">
        <v>35.5</v>
      </c>
      <c r="H1102" t="s">
        <v>43</v>
      </c>
    </row>
    <row r="1103" spans="6:10" ht="15" customHeight="1" x14ac:dyDescent="0.25">
      <c r="F1103" s="16">
        <v>44632</v>
      </c>
      <c r="G1103" s="17"/>
      <c r="H1103" t="s">
        <v>264</v>
      </c>
      <c r="I1103" t="s">
        <v>579</v>
      </c>
      <c r="J1103" t="s">
        <v>805</v>
      </c>
    </row>
    <row r="1104" spans="6:10" ht="15" customHeight="1" x14ac:dyDescent="0.25">
      <c r="F1104" s="16">
        <v>44634</v>
      </c>
      <c r="G1104" s="17">
        <v>22</v>
      </c>
      <c r="H1104" t="s">
        <v>43</v>
      </c>
      <c r="I1104" t="s">
        <v>607</v>
      </c>
    </row>
    <row r="1105" spans="6:10" ht="15" customHeight="1" x14ac:dyDescent="0.25">
      <c r="F1105" s="16">
        <v>44634</v>
      </c>
      <c r="G1105" s="17">
        <v>110</v>
      </c>
      <c r="H1105" t="s">
        <v>43</v>
      </c>
      <c r="I1105" t="s">
        <v>607</v>
      </c>
    </row>
    <row r="1106" spans="6:10" ht="15" customHeight="1" x14ac:dyDescent="0.25">
      <c r="F1106" s="16">
        <v>44635</v>
      </c>
      <c r="G1106" s="17">
        <v>-37.99</v>
      </c>
      <c r="H1106" t="s">
        <v>43</v>
      </c>
      <c r="I1106" t="s">
        <v>16</v>
      </c>
      <c r="J1106" t="s">
        <v>730</v>
      </c>
    </row>
    <row r="1107" spans="6:10" ht="15" customHeight="1" x14ac:dyDescent="0.25">
      <c r="F1107" s="16">
        <v>44635</v>
      </c>
      <c r="G1107" s="17">
        <v>54</v>
      </c>
      <c r="H1107" t="s">
        <v>97</v>
      </c>
      <c r="I1107" t="s">
        <v>669</v>
      </c>
    </row>
    <row r="1108" spans="6:10" ht="15" customHeight="1" x14ac:dyDescent="0.25">
      <c r="F1108" s="222">
        <v>44635</v>
      </c>
      <c r="G1108" s="223">
        <v>278.2</v>
      </c>
      <c r="H1108" s="224" t="s">
        <v>264</v>
      </c>
      <c r="I1108" s="224" t="s">
        <v>689</v>
      </c>
      <c r="J1108" s="224" t="s">
        <v>809</v>
      </c>
    </row>
    <row r="1109" spans="6:10" ht="15" customHeight="1" x14ac:dyDescent="0.25">
      <c r="F1109" s="222">
        <v>44635</v>
      </c>
      <c r="G1109" s="223">
        <v>8.35</v>
      </c>
      <c r="H1109" s="224" t="s">
        <v>264</v>
      </c>
      <c r="I1109" s="224" t="s">
        <v>689</v>
      </c>
      <c r="J1109" s="224" t="s">
        <v>809</v>
      </c>
    </row>
    <row r="1110" spans="6:10" ht="15" customHeight="1" x14ac:dyDescent="0.25">
      <c r="F1110" s="16">
        <v>44627</v>
      </c>
      <c r="G1110" s="17">
        <v>0.99</v>
      </c>
      <c r="H1110" t="s">
        <v>22</v>
      </c>
      <c r="I1110" t="s">
        <v>58</v>
      </c>
    </row>
    <row r="1111" spans="6:10" ht="15" customHeight="1" x14ac:dyDescent="0.25">
      <c r="F1111" s="16">
        <v>44634</v>
      </c>
      <c r="G1111" s="17">
        <v>0.99</v>
      </c>
      <c r="H1111" t="s">
        <v>22</v>
      </c>
      <c r="I1111" t="s">
        <v>58</v>
      </c>
    </row>
    <row r="1112" spans="6:10" ht="15" customHeight="1" x14ac:dyDescent="0.25">
      <c r="F1112" s="16">
        <v>44636</v>
      </c>
      <c r="G1112" s="17">
        <v>97.03</v>
      </c>
      <c r="H1112" t="s">
        <v>43</v>
      </c>
      <c r="I1112" t="s">
        <v>16</v>
      </c>
      <c r="J1112" t="s">
        <v>434</v>
      </c>
    </row>
    <row r="1113" spans="6:10" ht="15" customHeight="1" x14ac:dyDescent="0.25">
      <c r="F1113" s="16">
        <v>44636</v>
      </c>
      <c r="G1113" s="17">
        <v>15</v>
      </c>
      <c r="H1113" t="s">
        <v>43</v>
      </c>
      <c r="I1113" t="s">
        <v>807</v>
      </c>
    </row>
    <row r="1114" spans="6:10" ht="15" customHeight="1" x14ac:dyDescent="0.25">
      <c r="F1114" s="16">
        <v>44637</v>
      </c>
      <c r="G1114" s="17">
        <v>201.31</v>
      </c>
      <c r="H1114" t="s">
        <v>43</v>
      </c>
      <c r="I1114" t="s">
        <v>20</v>
      </c>
    </row>
    <row r="1115" spans="6:10" ht="15" customHeight="1" x14ac:dyDescent="0.25">
      <c r="F1115" s="16">
        <v>44637</v>
      </c>
      <c r="G1115" s="17">
        <v>460</v>
      </c>
      <c r="H1115" t="s">
        <v>263</v>
      </c>
      <c r="I1115" t="s">
        <v>808</v>
      </c>
    </row>
    <row r="1116" spans="6:10" ht="15" customHeight="1" x14ac:dyDescent="0.25">
      <c r="F1116" s="16">
        <v>44637</v>
      </c>
      <c r="G1116" s="17">
        <v>1718</v>
      </c>
      <c r="H1116" t="s">
        <v>263</v>
      </c>
    </row>
    <row r="1117" spans="6:10" ht="15" customHeight="1" x14ac:dyDescent="0.25">
      <c r="F1117" s="16">
        <v>44639</v>
      </c>
      <c r="G1117" s="17">
        <v>15.21</v>
      </c>
      <c r="H1117" t="s">
        <v>43</v>
      </c>
      <c r="I1117" t="s">
        <v>453</v>
      </c>
    </row>
    <row r="1118" spans="6:10" ht="15" customHeight="1" x14ac:dyDescent="0.25">
      <c r="F1118" s="16">
        <v>44639</v>
      </c>
      <c r="G1118" s="17">
        <v>60</v>
      </c>
      <c r="H1118" t="s">
        <v>43</v>
      </c>
      <c r="I1118" t="s">
        <v>16</v>
      </c>
      <c r="J1118" t="s">
        <v>730</v>
      </c>
    </row>
    <row r="1119" spans="6:10" ht="15" customHeight="1" x14ac:dyDescent="0.25">
      <c r="F1119" s="16">
        <v>44641</v>
      </c>
      <c r="G1119" s="17">
        <v>0.99</v>
      </c>
      <c r="H1119" t="s">
        <v>22</v>
      </c>
      <c r="I1119" t="s">
        <v>58</v>
      </c>
    </row>
    <row r="1120" spans="6:10" ht="15" customHeight="1" x14ac:dyDescent="0.25">
      <c r="F1120" s="16">
        <v>44642</v>
      </c>
      <c r="G1120" s="17">
        <v>89.29</v>
      </c>
      <c r="H1120" t="s">
        <v>43</v>
      </c>
      <c r="I1120" t="s">
        <v>16</v>
      </c>
      <c r="J1120" t="s">
        <v>730</v>
      </c>
    </row>
    <row r="1121" spans="6:10" ht="15" customHeight="1" x14ac:dyDescent="0.25">
      <c r="F1121" s="16">
        <v>44642</v>
      </c>
      <c r="G1121" s="17">
        <v>105</v>
      </c>
      <c r="H1121" t="s">
        <v>43</v>
      </c>
      <c r="I1121" t="s">
        <v>16</v>
      </c>
      <c r="J1121" t="s">
        <v>677</v>
      </c>
    </row>
    <row r="1122" spans="6:10" ht="15" customHeight="1" x14ac:dyDescent="0.25">
      <c r="F1122" s="16">
        <v>44643</v>
      </c>
      <c r="G1122" s="17">
        <v>11.24</v>
      </c>
      <c r="H1122" t="s">
        <v>43</v>
      </c>
      <c r="I1122" t="s">
        <v>453</v>
      </c>
    </row>
    <row r="1123" spans="6:10" ht="15" customHeight="1" x14ac:dyDescent="0.25">
      <c r="F1123" s="16">
        <v>44643</v>
      </c>
      <c r="G1123" s="17">
        <v>105</v>
      </c>
      <c r="H1123" t="s">
        <v>43</v>
      </c>
      <c r="I1123" t="s">
        <v>16</v>
      </c>
      <c r="J1123" t="s">
        <v>677</v>
      </c>
    </row>
    <row r="1124" spans="6:10" ht="15" customHeight="1" x14ac:dyDescent="0.25">
      <c r="F1124" s="205">
        <v>44643</v>
      </c>
      <c r="G1124" s="206">
        <v>153.69</v>
      </c>
      <c r="H1124" s="207" t="s">
        <v>264</v>
      </c>
      <c r="I1124" s="207" t="s">
        <v>209</v>
      </c>
    </row>
    <row r="1125" spans="6:10" ht="15" customHeight="1" x14ac:dyDescent="0.25">
      <c r="F1125" s="16">
        <v>44644</v>
      </c>
      <c r="G1125" s="17">
        <v>120</v>
      </c>
      <c r="H1125" s="49" t="s">
        <v>261</v>
      </c>
    </row>
    <row r="1126" spans="6:10" ht="15" customHeight="1" x14ac:dyDescent="0.25">
      <c r="F1126" s="16">
        <v>44645</v>
      </c>
      <c r="G1126" s="17">
        <v>94.58</v>
      </c>
      <c r="H1126" t="s">
        <v>43</v>
      </c>
      <c r="I1126" t="s">
        <v>16</v>
      </c>
      <c r="J1126" t="s">
        <v>144</v>
      </c>
    </row>
    <row r="1127" spans="6:10" ht="15" customHeight="1" x14ac:dyDescent="0.25">
      <c r="F1127" s="16">
        <v>44649</v>
      </c>
      <c r="G1127" s="17">
        <v>55.1</v>
      </c>
      <c r="H1127" t="s">
        <v>43</v>
      </c>
      <c r="I1127" t="s">
        <v>54</v>
      </c>
    </row>
    <row r="1128" spans="6:10" ht="15" customHeight="1" x14ac:dyDescent="0.25">
      <c r="F1128" s="16">
        <v>44649</v>
      </c>
      <c r="G1128" s="17">
        <v>90</v>
      </c>
      <c r="H1128" t="s">
        <v>43</v>
      </c>
      <c r="I1128" t="s">
        <v>16</v>
      </c>
      <c r="J1128" t="s">
        <v>677</v>
      </c>
    </row>
    <row r="1129" spans="6:10" ht="15" customHeight="1" x14ac:dyDescent="0.25">
      <c r="F1129" s="16">
        <v>44649</v>
      </c>
      <c r="G1129" s="17">
        <v>105</v>
      </c>
      <c r="H1129" t="s">
        <v>43</v>
      </c>
      <c r="I1129" t="s">
        <v>16</v>
      </c>
      <c r="J1129" t="s">
        <v>677</v>
      </c>
    </row>
    <row r="1130" spans="6:10" ht="15" customHeight="1" x14ac:dyDescent="0.25">
      <c r="F1130" s="16">
        <v>44648</v>
      </c>
      <c r="G1130" s="17">
        <v>0.99</v>
      </c>
      <c r="H1130" t="s">
        <v>22</v>
      </c>
      <c r="I1130" t="s">
        <v>58</v>
      </c>
    </row>
    <row r="1131" spans="6:10" ht="15" customHeight="1" x14ac:dyDescent="0.25">
      <c r="F1131" s="16">
        <v>44649</v>
      </c>
      <c r="G1131" s="17">
        <v>2000</v>
      </c>
      <c r="H1131" t="s">
        <v>263</v>
      </c>
    </row>
    <row r="1132" spans="6:10" ht="15" customHeight="1" x14ac:dyDescent="0.25">
      <c r="F1132" s="16">
        <v>44650</v>
      </c>
      <c r="G1132" s="17">
        <v>106.32</v>
      </c>
      <c r="H1132" t="s">
        <v>43</v>
      </c>
      <c r="I1132" t="s">
        <v>16</v>
      </c>
      <c r="J1132" t="s">
        <v>144</v>
      </c>
    </row>
    <row r="1133" spans="6:10" ht="15" customHeight="1" x14ac:dyDescent="0.25">
      <c r="F1133" s="16">
        <v>44651</v>
      </c>
      <c r="G1133" s="17">
        <v>227</v>
      </c>
      <c r="H1133" s="49" t="s">
        <v>40</v>
      </c>
      <c r="I1133" t="s">
        <v>814</v>
      </c>
    </row>
    <row r="1134" spans="6:10" ht="15" customHeight="1" x14ac:dyDescent="0.25">
      <c r="F1134" s="16">
        <v>44652</v>
      </c>
      <c r="G1134" s="17">
        <v>144.33000000000001</v>
      </c>
      <c r="H1134" t="s">
        <v>43</v>
      </c>
      <c r="I1134" t="s">
        <v>16</v>
      </c>
      <c r="J1134" t="s">
        <v>144</v>
      </c>
    </row>
    <row r="1135" spans="6:10" ht="15" customHeight="1" x14ac:dyDescent="0.25">
      <c r="F1135" s="205">
        <v>44655</v>
      </c>
      <c r="G1135" s="206">
        <v>150</v>
      </c>
      <c r="H1135" s="207" t="s">
        <v>264</v>
      </c>
      <c r="I1135" s="207" t="s">
        <v>209</v>
      </c>
      <c r="J1135" s="207"/>
    </row>
    <row r="1136" spans="6:10" ht="15" customHeight="1" x14ac:dyDescent="0.25">
      <c r="F1136" s="16"/>
      <c r="G1136" s="17"/>
    </row>
    <row r="1137" spans="6:10" ht="15" customHeight="1" x14ac:dyDescent="0.25">
      <c r="F1137" s="16">
        <v>44656</v>
      </c>
      <c r="G1137" s="17">
        <v>105</v>
      </c>
      <c r="H1137" t="s">
        <v>43</v>
      </c>
      <c r="I1137" t="s">
        <v>16</v>
      </c>
      <c r="J1137" t="s">
        <v>677</v>
      </c>
    </row>
    <row r="1138" spans="6:10" ht="15" customHeight="1" x14ac:dyDescent="0.25">
      <c r="F1138" s="16">
        <v>44655</v>
      </c>
      <c r="G1138" s="17">
        <v>0.99</v>
      </c>
      <c r="H1138" t="s">
        <v>22</v>
      </c>
      <c r="I1138" t="s">
        <v>58</v>
      </c>
    </row>
    <row r="1139" spans="6:10" ht="15" customHeight="1" x14ac:dyDescent="0.25">
      <c r="F1139" s="16">
        <v>44657</v>
      </c>
      <c r="G1139" s="17">
        <v>315</v>
      </c>
      <c r="H1139" t="s">
        <v>43</v>
      </c>
      <c r="I1139" t="s">
        <v>16</v>
      </c>
      <c r="J1139" t="s">
        <v>677</v>
      </c>
    </row>
    <row r="1140" spans="6:10" ht="15" customHeight="1" x14ac:dyDescent="0.25">
      <c r="F1140" s="205">
        <v>44657</v>
      </c>
      <c r="G1140" s="206">
        <v>30.44</v>
      </c>
      <c r="H1140" s="207" t="s">
        <v>264</v>
      </c>
      <c r="I1140" s="207" t="s">
        <v>687</v>
      </c>
      <c r="J1140" s="207" t="s">
        <v>32</v>
      </c>
    </row>
    <row r="1141" spans="6:10" ht="15" customHeight="1" x14ac:dyDescent="0.25">
      <c r="F1141" s="205">
        <v>44657</v>
      </c>
      <c r="G1141" s="206">
        <v>658.57</v>
      </c>
      <c r="H1141" s="207" t="s">
        <v>264</v>
      </c>
      <c r="I1141" s="207" t="s">
        <v>687</v>
      </c>
      <c r="J1141" s="207" t="s">
        <v>816</v>
      </c>
    </row>
    <row r="1142" spans="6:10" ht="15" customHeight="1" x14ac:dyDescent="0.25">
      <c r="F1142" s="16">
        <v>44657</v>
      </c>
      <c r="G1142" s="17">
        <v>343.6</v>
      </c>
      <c r="H1142" t="s">
        <v>43</v>
      </c>
      <c r="I1142" t="s">
        <v>814</v>
      </c>
      <c r="J1142" t="s">
        <v>650</v>
      </c>
    </row>
    <row r="1143" spans="6:10" ht="15" customHeight="1" x14ac:dyDescent="0.25">
      <c r="F1143" s="16">
        <v>44658</v>
      </c>
      <c r="G1143" s="17">
        <v>45.11</v>
      </c>
      <c r="H1143" t="s">
        <v>43</v>
      </c>
      <c r="I1143" t="s">
        <v>453</v>
      </c>
    </row>
    <row r="1144" spans="6:10" ht="15" customHeight="1" x14ac:dyDescent="0.25">
      <c r="F1144" s="16">
        <v>44658</v>
      </c>
      <c r="G1144" s="17">
        <v>9.75</v>
      </c>
      <c r="H1144" t="s">
        <v>43</v>
      </c>
      <c r="I1144" t="s">
        <v>817</v>
      </c>
    </row>
    <row r="1145" spans="6:10" ht="15" customHeight="1" x14ac:dyDescent="0.25">
      <c r="F1145" s="16">
        <v>44658</v>
      </c>
      <c r="G1145" s="17">
        <v>9.9</v>
      </c>
      <c r="H1145" s="49" t="s">
        <v>36</v>
      </c>
    </row>
    <row r="1146" spans="6:10" ht="15" customHeight="1" x14ac:dyDescent="0.25">
      <c r="F1146" s="16">
        <v>44658</v>
      </c>
      <c r="G1146" s="17">
        <v>180.85</v>
      </c>
      <c r="H1146" t="s">
        <v>43</v>
      </c>
      <c r="I1146" t="s">
        <v>16</v>
      </c>
      <c r="J1146" t="s">
        <v>495</v>
      </c>
    </row>
    <row r="1147" spans="6:10" ht="15" customHeight="1" x14ac:dyDescent="0.25">
      <c r="F1147" s="16">
        <v>44659</v>
      </c>
      <c r="G1147" s="17">
        <v>146.56</v>
      </c>
      <c r="H1147" t="s">
        <v>43</v>
      </c>
      <c r="I1147" t="s">
        <v>16</v>
      </c>
      <c r="J1147" t="s">
        <v>495</v>
      </c>
    </row>
    <row r="1148" spans="6:10" ht="15" customHeight="1" x14ac:dyDescent="0.25">
      <c r="F1148" s="16">
        <v>44659</v>
      </c>
      <c r="G1148" s="17">
        <v>129.28</v>
      </c>
      <c r="H1148" t="s">
        <v>43</v>
      </c>
      <c r="I1148" t="s">
        <v>16</v>
      </c>
      <c r="J1148" t="s">
        <v>730</v>
      </c>
    </row>
    <row r="1149" spans="6:10" ht="15" customHeight="1" x14ac:dyDescent="0.25">
      <c r="F1149" s="16">
        <v>44661</v>
      </c>
      <c r="G1149" s="17">
        <v>110</v>
      </c>
      <c r="H1149" t="s">
        <v>43</v>
      </c>
      <c r="I1149" t="s">
        <v>607</v>
      </c>
    </row>
    <row r="1150" spans="6:10" ht="15" customHeight="1" x14ac:dyDescent="0.25">
      <c r="F1150" s="16">
        <v>44662</v>
      </c>
      <c r="G1150" s="17">
        <v>0.99</v>
      </c>
      <c r="H1150" t="s">
        <v>22</v>
      </c>
      <c r="I1150" t="s">
        <v>58</v>
      </c>
    </row>
    <row r="1151" spans="6:10" ht="15" customHeight="1" x14ac:dyDescent="0.25">
      <c r="F1151" s="16">
        <v>44663</v>
      </c>
      <c r="G1151" s="17">
        <v>105</v>
      </c>
      <c r="H1151" t="s">
        <v>43</v>
      </c>
      <c r="I1151" t="s">
        <v>16</v>
      </c>
      <c r="J1151" t="s">
        <v>677</v>
      </c>
    </row>
    <row r="1152" spans="6:10" ht="15" customHeight="1" x14ac:dyDescent="0.25">
      <c r="F1152" s="16">
        <v>44663</v>
      </c>
      <c r="G1152" s="17">
        <v>136.08000000000001</v>
      </c>
      <c r="H1152" t="s">
        <v>43</v>
      </c>
      <c r="I1152" t="s">
        <v>16</v>
      </c>
      <c r="J1152" t="s">
        <v>665</v>
      </c>
    </row>
    <row r="1153" spans="6:10" ht="15" customHeight="1" x14ac:dyDescent="0.25">
      <c r="F1153" s="16">
        <v>44663</v>
      </c>
      <c r="G1153" s="17"/>
      <c r="H1153" t="s">
        <v>43</v>
      </c>
      <c r="I1153" t="s">
        <v>16</v>
      </c>
      <c r="J1153" t="s">
        <v>665</v>
      </c>
    </row>
    <row r="1154" spans="6:10" ht="15" customHeight="1" x14ac:dyDescent="0.25">
      <c r="F1154" s="205">
        <v>44665</v>
      </c>
      <c r="G1154" s="206">
        <v>82.14</v>
      </c>
      <c r="H1154" s="207" t="s">
        <v>264</v>
      </c>
      <c r="I1154" s="207" t="s">
        <v>687</v>
      </c>
      <c r="J1154" s="207" t="s">
        <v>196</v>
      </c>
    </row>
    <row r="1155" spans="6:10" ht="15" customHeight="1" x14ac:dyDescent="0.25">
      <c r="F1155" s="16">
        <v>44665</v>
      </c>
      <c r="G1155" s="17">
        <v>54</v>
      </c>
      <c r="H1155" t="s">
        <v>97</v>
      </c>
      <c r="I1155" t="s">
        <v>669</v>
      </c>
    </row>
    <row r="1156" spans="6:10" ht="15" customHeight="1" x14ac:dyDescent="0.25">
      <c r="F1156" s="16">
        <v>44665</v>
      </c>
      <c r="G1156" s="17">
        <v>97.03</v>
      </c>
      <c r="H1156" t="s">
        <v>43</v>
      </c>
      <c r="I1156" t="s">
        <v>16</v>
      </c>
      <c r="J1156" t="s">
        <v>434</v>
      </c>
    </row>
    <row r="1157" spans="6:10" ht="15" customHeight="1" x14ac:dyDescent="0.25">
      <c r="F1157" s="16">
        <v>44665</v>
      </c>
      <c r="G1157" s="17">
        <v>2000</v>
      </c>
      <c r="H1157" t="s">
        <v>263</v>
      </c>
    </row>
    <row r="1158" spans="6:10" ht="15" customHeight="1" x14ac:dyDescent="0.25">
      <c r="F1158" s="16">
        <v>44668</v>
      </c>
      <c r="G1158" s="17">
        <v>44</v>
      </c>
      <c r="H1158" t="s">
        <v>97</v>
      </c>
      <c r="I1158" t="s">
        <v>819</v>
      </c>
    </row>
    <row r="1159" spans="6:10" ht="15" customHeight="1" x14ac:dyDescent="0.25">
      <c r="F1159" s="16">
        <v>44668</v>
      </c>
      <c r="G1159" s="17">
        <v>44</v>
      </c>
      <c r="H1159" t="s">
        <v>97</v>
      </c>
      <c r="I1159" t="s">
        <v>819</v>
      </c>
    </row>
    <row r="1160" spans="6:10" ht="15" customHeight="1" x14ac:dyDescent="0.25">
      <c r="F1160" s="16">
        <v>44668</v>
      </c>
      <c r="G1160" s="17"/>
      <c r="H1160" t="s">
        <v>43</v>
      </c>
      <c r="I1160" t="s">
        <v>801</v>
      </c>
    </row>
    <row r="1161" spans="6:10" ht="15" customHeight="1" x14ac:dyDescent="0.25">
      <c r="F1161" s="16">
        <v>44670</v>
      </c>
      <c r="G1161" s="17">
        <v>0.99</v>
      </c>
      <c r="H1161" t="s">
        <v>22</v>
      </c>
      <c r="I1161" t="s">
        <v>58</v>
      </c>
    </row>
    <row r="1162" spans="6:10" ht="15" customHeight="1" x14ac:dyDescent="0.25">
      <c r="F1162" s="16">
        <v>44671</v>
      </c>
      <c r="G1162" s="17">
        <v>94.58</v>
      </c>
      <c r="H1162" t="s">
        <v>43</v>
      </c>
      <c r="I1162" t="s">
        <v>16</v>
      </c>
      <c r="J1162" t="s">
        <v>144</v>
      </c>
    </row>
    <row r="1163" spans="6:10" ht="15" customHeight="1" x14ac:dyDescent="0.25">
      <c r="F1163" s="16">
        <v>44671</v>
      </c>
      <c r="G1163" s="17">
        <v>60</v>
      </c>
      <c r="H1163" t="s">
        <v>43</v>
      </c>
      <c r="I1163" t="s">
        <v>16</v>
      </c>
      <c r="J1163" t="s">
        <v>730</v>
      </c>
    </row>
    <row r="1164" spans="6:10" ht="15" customHeight="1" x14ac:dyDescent="0.25">
      <c r="F1164" s="16">
        <v>44671</v>
      </c>
      <c r="G1164" s="17">
        <v>86.04</v>
      </c>
      <c r="H1164" t="s">
        <v>43</v>
      </c>
      <c r="I1164" t="s">
        <v>16</v>
      </c>
      <c r="J1164" t="s">
        <v>730</v>
      </c>
    </row>
    <row r="1165" spans="6:10" ht="15" customHeight="1" x14ac:dyDescent="0.25">
      <c r="F1165" s="205">
        <v>44671</v>
      </c>
      <c r="G1165" s="206">
        <v>200</v>
      </c>
      <c r="H1165" s="207" t="s">
        <v>264</v>
      </c>
      <c r="I1165" s="207" t="s">
        <v>687</v>
      </c>
      <c r="J1165" s="207" t="s">
        <v>821</v>
      </c>
    </row>
    <row r="1166" spans="6:10" ht="15" customHeight="1" x14ac:dyDescent="0.25">
      <c r="F1166" s="16">
        <v>44672</v>
      </c>
      <c r="G1166" s="17">
        <v>105</v>
      </c>
      <c r="H1166" t="s">
        <v>43</v>
      </c>
      <c r="I1166" t="s">
        <v>16</v>
      </c>
      <c r="J1166" t="s">
        <v>677</v>
      </c>
    </row>
    <row r="1167" spans="6:10" ht="15" customHeight="1" x14ac:dyDescent="0.25">
      <c r="F1167" s="205">
        <v>44673</v>
      </c>
      <c r="G1167" s="206">
        <v>505.61</v>
      </c>
      <c r="H1167" s="207" t="s">
        <v>264</v>
      </c>
      <c r="I1167" s="207" t="s">
        <v>745</v>
      </c>
      <c r="J1167" s="207" t="s">
        <v>822</v>
      </c>
    </row>
    <row r="1168" spans="6:10" ht="15" customHeight="1" x14ac:dyDescent="0.25">
      <c r="F1168" s="16">
        <v>44673</v>
      </c>
      <c r="G1168" s="17"/>
      <c r="H1168" t="s">
        <v>264</v>
      </c>
      <c r="I1168" t="s">
        <v>579</v>
      </c>
      <c r="J1168" t="s">
        <v>20</v>
      </c>
    </row>
    <row r="1169" spans="6:10" ht="15" customHeight="1" x14ac:dyDescent="0.25">
      <c r="F1169" s="16">
        <v>44674</v>
      </c>
      <c r="G1169" s="17"/>
      <c r="H1169" t="s">
        <v>264</v>
      </c>
      <c r="I1169" t="s">
        <v>579</v>
      </c>
      <c r="J1169" t="s">
        <v>32</v>
      </c>
    </row>
    <row r="1170" spans="6:10" ht="15" customHeight="1" x14ac:dyDescent="0.25">
      <c r="F1170" s="205">
        <v>44674</v>
      </c>
      <c r="G1170" s="206">
        <v>250</v>
      </c>
      <c r="H1170" s="207" t="s">
        <v>264</v>
      </c>
      <c r="I1170" s="207" t="s">
        <v>687</v>
      </c>
      <c r="J1170" s="207" t="s">
        <v>824</v>
      </c>
    </row>
    <row r="1171" spans="6:10" ht="15" customHeight="1" x14ac:dyDescent="0.25">
      <c r="F1171" s="205">
        <v>44677</v>
      </c>
      <c r="G1171" s="206">
        <v>189</v>
      </c>
      <c r="H1171" s="207" t="s">
        <v>264</v>
      </c>
      <c r="I1171" s="207" t="s">
        <v>687</v>
      </c>
      <c r="J1171" s="207" t="s">
        <v>825</v>
      </c>
    </row>
    <row r="1172" spans="6:10" ht="15" customHeight="1" x14ac:dyDescent="0.25">
      <c r="F1172" s="205">
        <v>44678</v>
      </c>
      <c r="G1172" s="206">
        <v>2</v>
      </c>
      <c r="H1172" s="207" t="s">
        <v>264</v>
      </c>
      <c r="I1172" s="207" t="s">
        <v>687</v>
      </c>
      <c r="J1172" s="207" t="s">
        <v>57</v>
      </c>
    </row>
    <row r="1173" spans="6:10" ht="15" customHeight="1" x14ac:dyDescent="0.25">
      <c r="F1173" s="16">
        <v>44678</v>
      </c>
      <c r="G1173" s="17">
        <v>105</v>
      </c>
      <c r="H1173" t="s">
        <v>43</v>
      </c>
      <c r="I1173" t="s">
        <v>16</v>
      </c>
      <c r="J1173" t="s">
        <v>677</v>
      </c>
    </row>
    <row r="1174" spans="6:10" ht="15" customHeight="1" x14ac:dyDescent="0.25">
      <c r="F1174" s="16">
        <v>44678</v>
      </c>
      <c r="G1174" s="17">
        <v>105</v>
      </c>
      <c r="H1174" t="s">
        <v>43</v>
      </c>
      <c r="I1174" t="s">
        <v>16</v>
      </c>
      <c r="J1174" t="s">
        <v>677</v>
      </c>
    </row>
    <row r="1175" spans="6:10" ht="15" customHeight="1" x14ac:dyDescent="0.25">
      <c r="F1175" s="205">
        <v>44678</v>
      </c>
      <c r="G1175" s="206">
        <v>550</v>
      </c>
      <c r="H1175" s="207" t="s">
        <v>264</v>
      </c>
      <c r="I1175" s="207" t="s">
        <v>687</v>
      </c>
      <c r="J1175" s="207" t="s">
        <v>826</v>
      </c>
    </row>
    <row r="1176" spans="6:10" ht="15" customHeight="1" x14ac:dyDescent="0.25">
      <c r="F1176" s="205">
        <v>44678</v>
      </c>
      <c r="G1176" s="206">
        <v>394.6</v>
      </c>
      <c r="H1176" s="207" t="s">
        <v>264</v>
      </c>
      <c r="I1176" s="207" t="s">
        <v>687</v>
      </c>
      <c r="J1176" s="207" t="s">
        <v>505</v>
      </c>
    </row>
    <row r="1177" spans="6:10" ht="15" customHeight="1" x14ac:dyDescent="0.25">
      <c r="F1177" s="16">
        <v>44678</v>
      </c>
      <c r="G1177" s="17">
        <v>250</v>
      </c>
      <c r="H1177" t="s">
        <v>263</v>
      </c>
    </row>
    <row r="1178" spans="6:10" ht="15" customHeight="1" x14ac:dyDescent="0.25">
      <c r="F1178" s="16">
        <v>44678</v>
      </c>
      <c r="G1178" s="17">
        <v>800</v>
      </c>
      <c r="H1178" t="s">
        <v>263</v>
      </c>
    </row>
    <row r="1179" spans="6:10" ht="15" customHeight="1" x14ac:dyDescent="0.25">
      <c r="F1179" s="16">
        <v>44679</v>
      </c>
      <c r="G1179" s="17">
        <v>144.33000000000001</v>
      </c>
      <c r="H1179" t="s">
        <v>43</v>
      </c>
      <c r="I1179" t="s">
        <v>16</v>
      </c>
      <c r="J1179" t="s">
        <v>144</v>
      </c>
    </row>
    <row r="1180" spans="6:10" ht="15" customHeight="1" x14ac:dyDescent="0.25">
      <c r="F1180" s="16">
        <v>44679</v>
      </c>
      <c r="G1180" s="17">
        <v>350</v>
      </c>
      <c r="H1180" t="s">
        <v>263</v>
      </c>
    </row>
    <row r="1181" spans="6:10" ht="15" customHeight="1" x14ac:dyDescent="0.25">
      <c r="F1181" s="16">
        <v>44677</v>
      </c>
      <c r="G1181" s="17">
        <v>0.99</v>
      </c>
      <c r="H1181" t="s">
        <v>22</v>
      </c>
      <c r="I1181" t="s">
        <v>58</v>
      </c>
    </row>
    <row r="1182" spans="6:10" ht="15" customHeight="1" x14ac:dyDescent="0.25">
      <c r="F1182" s="16">
        <v>44670</v>
      </c>
      <c r="G1182" s="17">
        <v>3000</v>
      </c>
      <c r="H1182" t="s">
        <v>263</v>
      </c>
    </row>
    <row r="1183" spans="6:10" ht="15" customHeight="1" x14ac:dyDescent="0.25">
      <c r="F1183" s="16">
        <v>44673</v>
      </c>
      <c r="G1183" s="17">
        <v>1500</v>
      </c>
      <c r="H1183" t="s">
        <v>263</v>
      </c>
    </row>
    <row r="1184" spans="6:10" ht="15" customHeight="1" x14ac:dyDescent="0.25">
      <c r="F1184" s="205">
        <v>44673</v>
      </c>
      <c r="G1184" s="206">
        <v>5243.65</v>
      </c>
      <c r="H1184" s="207" t="s">
        <v>264</v>
      </c>
      <c r="I1184" s="207" t="s">
        <v>745</v>
      </c>
      <c r="J1184" s="207" t="s">
        <v>822</v>
      </c>
    </row>
    <row r="1185" spans="6:10" ht="15" customHeight="1" x14ac:dyDescent="0.25">
      <c r="F1185" s="16">
        <v>44674</v>
      </c>
      <c r="G1185" s="17">
        <v>2000</v>
      </c>
      <c r="H1185" t="s">
        <v>263</v>
      </c>
    </row>
    <row r="1186" spans="6:10" ht="15" customHeight="1" x14ac:dyDescent="0.25">
      <c r="F1186" s="16">
        <v>44674</v>
      </c>
      <c r="G1186" s="17">
        <v>6</v>
      </c>
      <c r="H1186" t="s">
        <v>43</v>
      </c>
      <c r="I1186" t="s">
        <v>801</v>
      </c>
    </row>
    <row r="1187" spans="6:10" ht="15" customHeight="1" x14ac:dyDescent="0.25">
      <c r="F1187" s="16">
        <v>44683</v>
      </c>
      <c r="G1187" s="17">
        <v>106.32</v>
      </c>
      <c r="H1187" t="s">
        <v>43</v>
      </c>
      <c r="I1187" t="s">
        <v>16</v>
      </c>
      <c r="J1187" t="s">
        <v>144</v>
      </c>
    </row>
    <row r="1188" spans="6:10" ht="15" customHeight="1" x14ac:dyDescent="0.25">
      <c r="F1188" s="16">
        <v>44683</v>
      </c>
      <c r="G1188" s="17">
        <v>44</v>
      </c>
      <c r="H1188" t="s">
        <v>43</v>
      </c>
      <c r="I1188" t="s">
        <v>819</v>
      </c>
    </row>
    <row r="1189" spans="6:10" ht="15" customHeight="1" x14ac:dyDescent="0.25">
      <c r="F1189" s="16">
        <v>44685</v>
      </c>
      <c r="G1189" s="17">
        <v>105</v>
      </c>
      <c r="H1189" t="s">
        <v>43</v>
      </c>
      <c r="I1189" t="s">
        <v>16</v>
      </c>
      <c r="J1189" t="s">
        <v>677</v>
      </c>
    </row>
    <row r="1190" spans="6:10" ht="15" customHeight="1" x14ac:dyDescent="0.25">
      <c r="F1190" s="16">
        <v>44685</v>
      </c>
      <c r="G1190" s="17">
        <v>1528.19</v>
      </c>
      <c r="H1190" t="s">
        <v>263</v>
      </c>
    </row>
    <row r="1191" spans="6:10" ht="15" customHeight="1" x14ac:dyDescent="0.25">
      <c r="F1191" s="205">
        <v>44686</v>
      </c>
      <c r="G1191" s="206">
        <v>250</v>
      </c>
      <c r="H1191" s="207" t="s">
        <v>264</v>
      </c>
      <c r="I1191" s="207" t="s">
        <v>209</v>
      </c>
      <c r="J1191" s="207" t="s">
        <v>829</v>
      </c>
    </row>
    <row r="1192" spans="6:10" ht="15" customHeight="1" x14ac:dyDescent="0.25">
      <c r="F1192" s="16">
        <v>44687</v>
      </c>
      <c r="G1192" s="17">
        <v>315</v>
      </c>
      <c r="H1192" t="s">
        <v>43</v>
      </c>
      <c r="I1192" t="s">
        <v>16</v>
      </c>
      <c r="J1192" t="s">
        <v>677</v>
      </c>
    </row>
    <row r="1193" spans="6:10" ht="15" customHeight="1" x14ac:dyDescent="0.25">
      <c r="F1193" s="16">
        <v>44688</v>
      </c>
      <c r="G1193" s="17">
        <v>9.9</v>
      </c>
      <c r="H1193" t="s">
        <v>36</v>
      </c>
      <c r="I1193" t="s">
        <v>828</v>
      </c>
    </row>
    <row r="1194" spans="6:10" ht="15" customHeight="1" x14ac:dyDescent="0.25">
      <c r="F1194" s="16">
        <v>44690</v>
      </c>
      <c r="G1194" s="17">
        <v>138.87</v>
      </c>
      <c r="H1194" t="s">
        <v>43</v>
      </c>
      <c r="I1194" t="s">
        <v>16</v>
      </c>
      <c r="J1194" t="s">
        <v>495</v>
      </c>
    </row>
    <row r="1195" spans="6:10" ht="15" customHeight="1" x14ac:dyDescent="0.25">
      <c r="F1195" s="16">
        <v>44690</v>
      </c>
      <c r="G1195" s="17">
        <v>400</v>
      </c>
      <c r="H1195" t="s">
        <v>263</v>
      </c>
    </row>
    <row r="1196" spans="6:10" ht="15" customHeight="1" x14ac:dyDescent="0.25">
      <c r="F1196" s="16">
        <v>44691</v>
      </c>
      <c r="G1196" s="17">
        <v>146.56</v>
      </c>
      <c r="H1196" t="s">
        <v>43</v>
      </c>
      <c r="I1196" t="s">
        <v>16</v>
      </c>
      <c r="J1196" t="s">
        <v>495</v>
      </c>
    </row>
    <row r="1197" spans="6:10" ht="15" customHeight="1" x14ac:dyDescent="0.25">
      <c r="F1197" s="16">
        <v>44691</v>
      </c>
      <c r="G1197" s="17">
        <v>129.28</v>
      </c>
      <c r="H1197" t="s">
        <v>43</v>
      </c>
      <c r="I1197" t="s">
        <v>16</v>
      </c>
      <c r="J1197" t="s">
        <v>730</v>
      </c>
    </row>
    <row r="1198" spans="6:10" ht="15" customHeight="1" x14ac:dyDescent="0.25">
      <c r="F1198" s="16">
        <v>44691</v>
      </c>
      <c r="G1198" s="17">
        <v>200</v>
      </c>
      <c r="H1198" t="s">
        <v>263</v>
      </c>
    </row>
    <row r="1199" spans="6:10" ht="15" customHeight="1" x14ac:dyDescent="0.25">
      <c r="F1199" s="16">
        <v>44692</v>
      </c>
      <c r="G1199" s="17">
        <v>105</v>
      </c>
      <c r="H1199" t="s">
        <v>43</v>
      </c>
      <c r="I1199" t="s">
        <v>16</v>
      </c>
      <c r="J1199" t="s">
        <v>677</v>
      </c>
    </row>
    <row r="1200" spans="6:10" ht="15" customHeight="1" x14ac:dyDescent="0.25">
      <c r="F1200" s="16">
        <v>44692</v>
      </c>
      <c r="G1200" s="17">
        <v>136.08000000000001</v>
      </c>
      <c r="H1200" t="s">
        <v>43</v>
      </c>
      <c r="I1200" t="s">
        <v>16</v>
      </c>
      <c r="J1200" t="s">
        <v>665</v>
      </c>
    </row>
    <row r="1201" spans="6:10" ht="15" customHeight="1" x14ac:dyDescent="0.25">
      <c r="F1201" s="16">
        <v>44692</v>
      </c>
      <c r="G1201" s="17">
        <v>5</v>
      </c>
      <c r="H1201" t="s">
        <v>43</v>
      </c>
      <c r="I1201" t="s">
        <v>807</v>
      </c>
    </row>
    <row r="1202" spans="6:10" ht="15" customHeight="1" x14ac:dyDescent="0.25">
      <c r="F1202" s="16">
        <v>44692</v>
      </c>
      <c r="G1202" s="17"/>
      <c r="H1202" t="s">
        <v>43</v>
      </c>
      <c r="I1202" t="s">
        <v>16</v>
      </c>
      <c r="J1202" t="s">
        <v>665</v>
      </c>
    </row>
    <row r="1203" spans="6:10" ht="15" customHeight="1" x14ac:dyDescent="0.25">
      <c r="F1203" s="16">
        <v>44692</v>
      </c>
      <c r="G1203" s="17">
        <v>2000</v>
      </c>
      <c r="H1203" t="s">
        <v>263</v>
      </c>
    </row>
    <row r="1204" spans="6:10" ht="15" customHeight="1" x14ac:dyDescent="0.25">
      <c r="F1204" s="16">
        <v>44683</v>
      </c>
      <c r="G1204" s="17">
        <v>0.99</v>
      </c>
      <c r="H1204" t="s">
        <v>22</v>
      </c>
      <c r="I1204" t="s">
        <v>58</v>
      </c>
    </row>
    <row r="1205" spans="6:10" ht="15" customHeight="1" x14ac:dyDescent="0.25">
      <c r="F1205" s="16">
        <v>44690</v>
      </c>
      <c r="G1205" s="17">
        <v>0.99</v>
      </c>
      <c r="H1205" t="s">
        <v>22</v>
      </c>
      <c r="I1205" t="s">
        <v>58</v>
      </c>
    </row>
    <row r="1206" spans="6:10" ht="15" customHeight="1" x14ac:dyDescent="0.25">
      <c r="F1206" s="16">
        <v>44695</v>
      </c>
      <c r="G1206" s="17">
        <v>97.03</v>
      </c>
      <c r="H1206" t="s">
        <v>43</v>
      </c>
      <c r="I1206" t="s">
        <v>16</v>
      </c>
      <c r="J1206" t="s">
        <v>434</v>
      </c>
    </row>
    <row r="1207" spans="6:10" ht="15" customHeight="1" x14ac:dyDescent="0.25">
      <c r="F1207" s="16">
        <v>44695</v>
      </c>
      <c r="G1207" s="17">
        <v>54</v>
      </c>
      <c r="H1207" t="s">
        <v>97</v>
      </c>
      <c r="I1207" t="s">
        <v>669</v>
      </c>
    </row>
    <row r="1208" spans="6:10" ht="15" customHeight="1" x14ac:dyDescent="0.25">
      <c r="F1208" s="16">
        <v>44697</v>
      </c>
      <c r="G1208" s="17">
        <v>110</v>
      </c>
      <c r="H1208" t="s">
        <v>43</v>
      </c>
      <c r="I1208" t="s">
        <v>450</v>
      </c>
    </row>
    <row r="1209" spans="6:10" ht="15" customHeight="1" x14ac:dyDescent="0.25">
      <c r="F1209" s="16">
        <v>44698</v>
      </c>
      <c r="G1209" s="17">
        <v>60</v>
      </c>
      <c r="H1209" t="s">
        <v>43</v>
      </c>
      <c r="I1209" t="s">
        <v>16</v>
      </c>
      <c r="J1209" t="s">
        <v>730</v>
      </c>
    </row>
    <row r="1210" spans="6:10" ht="15" customHeight="1" x14ac:dyDescent="0.25">
      <c r="F1210" s="205">
        <v>44698</v>
      </c>
      <c r="G1210" s="206">
        <v>1000</v>
      </c>
      <c r="H1210" s="207" t="s">
        <v>264</v>
      </c>
      <c r="I1210" s="207" t="s">
        <v>745</v>
      </c>
      <c r="J1210" s="207"/>
    </row>
    <row r="1211" spans="6:10" ht="15" customHeight="1" x14ac:dyDescent="0.25">
      <c r="F1211" s="16">
        <v>44701</v>
      </c>
      <c r="G1211" s="17">
        <v>180.1</v>
      </c>
      <c r="H1211" t="s">
        <v>43</v>
      </c>
      <c r="I1211" t="s">
        <v>20</v>
      </c>
      <c r="J1211" t="s">
        <v>100</v>
      </c>
    </row>
    <row r="1212" spans="6:10" ht="15" customHeight="1" x14ac:dyDescent="0.25">
      <c r="F1212" s="16">
        <v>44701</v>
      </c>
      <c r="G1212" s="17">
        <v>94.58</v>
      </c>
      <c r="H1212" t="s">
        <v>43</v>
      </c>
      <c r="I1212" t="s">
        <v>16</v>
      </c>
      <c r="J1212" t="s">
        <v>144</v>
      </c>
    </row>
    <row r="1213" spans="6:10" ht="15" customHeight="1" x14ac:dyDescent="0.25">
      <c r="F1213" s="16">
        <v>44702</v>
      </c>
      <c r="G1213" s="17">
        <v>105</v>
      </c>
      <c r="H1213" t="s">
        <v>43</v>
      </c>
      <c r="I1213" t="s">
        <v>16</v>
      </c>
      <c r="J1213" t="s">
        <v>677</v>
      </c>
    </row>
    <row r="1214" spans="6:10" ht="15" customHeight="1" x14ac:dyDescent="0.25">
      <c r="F1214" s="16">
        <v>44702</v>
      </c>
      <c r="G1214" s="17">
        <v>2000</v>
      </c>
      <c r="H1214" t="s">
        <v>263</v>
      </c>
    </row>
    <row r="1215" spans="6:10" ht="15" customHeight="1" x14ac:dyDescent="0.25">
      <c r="F1215" s="16">
        <v>44704</v>
      </c>
      <c r="G1215" s="17">
        <v>0.99</v>
      </c>
      <c r="H1215" t="s">
        <v>22</v>
      </c>
      <c r="I1215" t="s">
        <v>58</v>
      </c>
    </row>
    <row r="1216" spans="6:10" ht="15" customHeight="1" x14ac:dyDescent="0.25">
      <c r="F1216" s="16">
        <v>44644</v>
      </c>
      <c r="G1216" s="17">
        <v>105</v>
      </c>
      <c r="H1216" t="s">
        <v>43</v>
      </c>
      <c r="I1216" t="s">
        <v>16</v>
      </c>
      <c r="J1216" t="s">
        <v>677</v>
      </c>
    </row>
    <row r="1217" spans="6:10" ht="15" customHeight="1" x14ac:dyDescent="0.25">
      <c r="F1217" s="205">
        <v>44706</v>
      </c>
      <c r="G1217" s="206">
        <v>120</v>
      </c>
      <c r="H1217" s="207" t="s">
        <v>264</v>
      </c>
      <c r="I1217" s="207" t="s">
        <v>209</v>
      </c>
      <c r="J1217" s="207" t="s">
        <v>156</v>
      </c>
    </row>
    <row r="1218" spans="6:10" ht="15" customHeight="1" x14ac:dyDescent="0.25">
      <c r="F1218" s="222">
        <v>44706</v>
      </c>
      <c r="G1218" s="223">
        <v>100</v>
      </c>
      <c r="H1218" s="224" t="s">
        <v>264</v>
      </c>
      <c r="I1218" s="224" t="s">
        <v>689</v>
      </c>
      <c r="J1218" s="224" t="s">
        <v>156</v>
      </c>
    </row>
    <row r="1219" spans="6:10" ht="15" customHeight="1" x14ac:dyDescent="0.25">
      <c r="F1219" s="222">
        <v>44707</v>
      </c>
      <c r="G1219" s="223">
        <v>860</v>
      </c>
      <c r="H1219" s="224" t="s">
        <v>264</v>
      </c>
      <c r="I1219" s="224" t="s">
        <v>689</v>
      </c>
      <c r="J1219" s="224" t="s">
        <v>836</v>
      </c>
    </row>
    <row r="1220" spans="6:10" ht="15" customHeight="1" x14ac:dyDescent="0.25">
      <c r="F1220" s="16">
        <v>44708</v>
      </c>
      <c r="G1220" s="17">
        <v>105</v>
      </c>
      <c r="H1220" t="s">
        <v>43</v>
      </c>
      <c r="I1220" t="s">
        <v>16</v>
      </c>
      <c r="J1220" t="s">
        <v>677</v>
      </c>
    </row>
    <row r="1221" spans="6:10" ht="15" customHeight="1" x14ac:dyDescent="0.25">
      <c r="F1221" s="16">
        <v>44708</v>
      </c>
      <c r="G1221" s="17">
        <v>24</v>
      </c>
      <c r="H1221" t="s">
        <v>120</v>
      </c>
      <c r="I1221" t="s">
        <v>837</v>
      </c>
    </row>
    <row r="1222" spans="6:10" ht="15" customHeight="1" x14ac:dyDescent="0.25">
      <c r="F1222" s="16">
        <v>44708</v>
      </c>
      <c r="G1222" s="17">
        <v>4000</v>
      </c>
      <c r="H1222" t="s">
        <v>263</v>
      </c>
    </row>
    <row r="1223" spans="6:10" ht="15" customHeight="1" x14ac:dyDescent="0.25">
      <c r="F1223" s="16">
        <v>44709</v>
      </c>
      <c r="G1223" s="17">
        <v>90</v>
      </c>
      <c r="H1223" t="s">
        <v>43</v>
      </c>
      <c r="I1223" t="s">
        <v>16</v>
      </c>
      <c r="J1223" t="s">
        <v>677</v>
      </c>
    </row>
    <row r="1224" spans="6:10" ht="15" customHeight="1" x14ac:dyDescent="0.25">
      <c r="F1224" s="16">
        <v>44709</v>
      </c>
      <c r="G1224" s="17">
        <v>105</v>
      </c>
      <c r="H1224" t="s">
        <v>43</v>
      </c>
      <c r="I1224" t="s">
        <v>16</v>
      </c>
      <c r="J1224" t="s">
        <v>677</v>
      </c>
    </row>
    <row r="1225" spans="6:10" ht="15" customHeight="1" x14ac:dyDescent="0.25">
      <c r="F1225" s="16">
        <v>44711</v>
      </c>
      <c r="G1225" s="17">
        <v>144.33000000000001</v>
      </c>
      <c r="H1225" t="s">
        <v>43</v>
      </c>
      <c r="I1225" t="s">
        <v>16</v>
      </c>
      <c r="J1225" t="s">
        <v>144</v>
      </c>
    </row>
    <row r="1226" spans="6:10" ht="15" customHeight="1" x14ac:dyDescent="0.25">
      <c r="F1226" s="16">
        <v>44711</v>
      </c>
      <c r="G1226" s="17">
        <v>3000</v>
      </c>
      <c r="H1226" t="s">
        <v>263</v>
      </c>
    </row>
    <row r="1227" spans="6:10" ht="15" customHeight="1" x14ac:dyDescent="0.25">
      <c r="F1227" s="16">
        <v>44712</v>
      </c>
      <c r="G1227" s="17">
        <v>106.32</v>
      </c>
      <c r="H1227" t="s">
        <v>43</v>
      </c>
      <c r="I1227" t="s">
        <v>16</v>
      </c>
      <c r="J1227" t="s">
        <v>144</v>
      </c>
    </row>
    <row r="1228" spans="6:10" ht="15" customHeight="1" x14ac:dyDescent="0.25">
      <c r="F1228" s="16">
        <v>44712</v>
      </c>
      <c r="G1228" s="17">
        <v>44</v>
      </c>
      <c r="H1228" t="s">
        <v>120</v>
      </c>
      <c r="I1228" t="s">
        <v>819</v>
      </c>
    </row>
    <row r="1229" spans="6:10" ht="15" customHeight="1" x14ac:dyDescent="0.25">
      <c r="F1229" s="222">
        <v>44713</v>
      </c>
      <c r="G1229" s="223">
        <v>158.4</v>
      </c>
      <c r="H1229" s="224" t="s">
        <v>264</v>
      </c>
      <c r="I1229" s="224" t="s">
        <v>689</v>
      </c>
      <c r="J1229" s="224" t="s">
        <v>838</v>
      </c>
    </row>
    <row r="1230" spans="6:10" ht="15" customHeight="1" x14ac:dyDescent="0.25">
      <c r="F1230" s="16">
        <v>44716</v>
      </c>
      <c r="G1230" s="17">
        <v>105</v>
      </c>
      <c r="H1230" t="s">
        <v>43</v>
      </c>
      <c r="I1230" t="s">
        <v>16</v>
      </c>
      <c r="J1230" t="s">
        <v>677</v>
      </c>
    </row>
    <row r="1231" spans="6:10" ht="15" customHeight="1" x14ac:dyDescent="0.25">
      <c r="F1231" s="16">
        <v>44716</v>
      </c>
      <c r="G1231" s="17"/>
      <c r="H1231" t="s">
        <v>264</v>
      </c>
      <c r="I1231" t="s">
        <v>579</v>
      </c>
      <c r="J1231" t="s">
        <v>32</v>
      </c>
    </row>
    <row r="1232" spans="6:10" ht="15" customHeight="1" x14ac:dyDescent="0.25">
      <c r="F1232" s="16">
        <v>44719</v>
      </c>
      <c r="G1232" s="17">
        <v>9.9</v>
      </c>
      <c r="H1232" t="s">
        <v>36</v>
      </c>
      <c r="I1232" t="s">
        <v>828</v>
      </c>
    </row>
    <row r="1233" spans="6:10" ht="15" customHeight="1" x14ac:dyDescent="0.25">
      <c r="F1233" s="16">
        <v>44719</v>
      </c>
      <c r="G1233" s="17">
        <v>315</v>
      </c>
      <c r="H1233" t="s">
        <v>43</v>
      </c>
      <c r="I1233" t="s">
        <v>16</v>
      </c>
      <c r="J1233" t="s">
        <v>677</v>
      </c>
    </row>
    <row r="1234" spans="6:10" ht="15" customHeight="1" x14ac:dyDescent="0.25">
      <c r="F1234" s="16">
        <v>44719</v>
      </c>
      <c r="G1234" s="17">
        <v>138.87</v>
      </c>
      <c r="H1234" t="s">
        <v>43</v>
      </c>
      <c r="I1234" t="s">
        <v>16</v>
      </c>
      <c r="J1234" t="s">
        <v>495</v>
      </c>
    </row>
    <row r="1235" spans="6:10" ht="15" customHeight="1" x14ac:dyDescent="0.25">
      <c r="F1235" s="16">
        <v>44719</v>
      </c>
      <c r="G1235" s="17">
        <v>2000</v>
      </c>
      <c r="H1235" t="s">
        <v>263</v>
      </c>
    </row>
    <row r="1236" spans="6:10" ht="15" customHeight="1" x14ac:dyDescent="0.25">
      <c r="F1236" s="16">
        <v>44720</v>
      </c>
      <c r="G1236" s="17">
        <v>146.56</v>
      </c>
      <c r="H1236" t="s">
        <v>43</v>
      </c>
      <c r="I1236" t="s">
        <v>16</v>
      </c>
      <c r="J1236" t="s">
        <v>495</v>
      </c>
    </row>
    <row r="1237" spans="6:10" ht="15" customHeight="1" x14ac:dyDescent="0.25">
      <c r="F1237" s="16">
        <v>44720</v>
      </c>
      <c r="G1237" s="17">
        <v>129.28</v>
      </c>
      <c r="H1237" t="s">
        <v>43</v>
      </c>
      <c r="I1237" t="s">
        <v>16</v>
      </c>
      <c r="J1237" t="s">
        <v>730</v>
      </c>
    </row>
    <row r="1238" spans="6:10" ht="15" customHeight="1" x14ac:dyDescent="0.25">
      <c r="F1238" s="205">
        <v>44720</v>
      </c>
      <c r="G1238" s="206">
        <v>330</v>
      </c>
      <c r="H1238" s="207" t="s">
        <v>264</v>
      </c>
      <c r="I1238" s="207" t="s">
        <v>209</v>
      </c>
      <c r="J1238" s="207" t="s">
        <v>843</v>
      </c>
    </row>
    <row r="1239" spans="6:10" ht="15" customHeight="1" x14ac:dyDescent="0.25">
      <c r="F1239" s="205">
        <v>44721</v>
      </c>
      <c r="G1239" s="206">
        <v>20.66</v>
      </c>
      <c r="H1239" s="207" t="s">
        <v>264</v>
      </c>
      <c r="I1239" s="207" t="s">
        <v>687</v>
      </c>
      <c r="J1239" s="207" t="s">
        <v>32</v>
      </c>
    </row>
    <row r="1240" spans="6:10" ht="15" customHeight="1" x14ac:dyDescent="0.25">
      <c r="F1240" s="205">
        <v>44721</v>
      </c>
      <c r="G1240" s="206">
        <v>400</v>
      </c>
      <c r="H1240" s="207" t="s">
        <v>264</v>
      </c>
      <c r="I1240" s="207" t="s">
        <v>209</v>
      </c>
      <c r="J1240" s="207" t="s">
        <v>844</v>
      </c>
    </row>
    <row r="1241" spans="6:10" ht="15" customHeight="1" x14ac:dyDescent="0.25">
      <c r="F1241" s="205">
        <v>44721</v>
      </c>
      <c r="G1241" s="206">
        <v>54.65</v>
      </c>
      <c r="H1241" s="207" t="s">
        <v>264</v>
      </c>
      <c r="I1241" s="207" t="s">
        <v>209</v>
      </c>
      <c r="J1241" s="207" t="s">
        <v>845</v>
      </c>
    </row>
    <row r="1242" spans="6:10" ht="15" customHeight="1" x14ac:dyDescent="0.25">
      <c r="F1242" s="16">
        <v>44721</v>
      </c>
      <c r="G1242" s="17">
        <v>2000</v>
      </c>
      <c r="H1242" t="s">
        <v>263</v>
      </c>
    </row>
    <row r="1243" spans="6:10" ht="15" customHeight="1" x14ac:dyDescent="0.25">
      <c r="F1243" s="16">
        <v>44722</v>
      </c>
      <c r="G1243" s="17">
        <v>158.21</v>
      </c>
      <c r="H1243" t="s">
        <v>43</v>
      </c>
      <c r="I1243" t="s">
        <v>16</v>
      </c>
      <c r="J1243" t="s">
        <v>665</v>
      </c>
    </row>
    <row r="1244" spans="6:10" ht="15" customHeight="1" x14ac:dyDescent="0.25">
      <c r="F1244" s="16">
        <v>44722</v>
      </c>
      <c r="G1244" s="17"/>
      <c r="H1244" t="s">
        <v>43</v>
      </c>
      <c r="I1244" t="s">
        <v>16</v>
      </c>
      <c r="J1244" t="s">
        <v>665</v>
      </c>
    </row>
    <row r="1245" spans="6:10" ht="15" customHeight="1" x14ac:dyDescent="0.25">
      <c r="F1245" s="16">
        <v>44722</v>
      </c>
      <c r="G1245" s="17">
        <v>10</v>
      </c>
      <c r="H1245" t="s">
        <v>120</v>
      </c>
      <c r="I1245" t="s">
        <v>847</v>
      </c>
    </row>
    <row r="1246" spans="6:10" ht="15" customHeight="1" x14ac:dyDescent="0.25">
      <c r="F1246" s="16">
        <v>44723</v>
      </c>
      <c r="G1246" s="17">
        <v>105</v>
      </c>
      <c r="H1246" t="s">
        <v>43</v>
      </c>
      <c r="I1246" t="s">
        <v>16</v>
      </c>
      <c r="J1246" t="s">
        <v>677</v>
      </c>
    </row>
    <row r="1247" spans="6:10" ht="15" customHeight="1" x14ac:dyDescent="0.25">
      <c r="F1247" s="16">
        <v>44724</v>
      </c>
      <c r="G1247" s="17">
        <v>99</v>
      </c>
      <c r="H1247" t="s">
        <v>43</v>
      </c>
      <c r="I1247" t="s">
        <v>450</v>
      </c>
    </row>
    <row r="1248" spans="6:10" ht="15" customHeight="1" x14ac:dyDescent="0.25">
      <c r="F1248" s="16">
        <v>44726</v>
      </c>
      <c r="G1248" s="17">
        <v>36</v>
      </c>
      <c r="H1248" t="s">
        <v>97</v>
      </c>
      <c r="I1248" t="s">
        <v>669</v>
      </c>
    </row>
    <row r="1249" spans="6:10" ht="15" customHeight="1" x14ac:dyDescent="0.25">
      <c r="F1249" s="205">
        <v>44726</v>
      </c>
      <c r="G1249" s="206">
        <v>750</v>
      </c>
      <c r="H1249" s="207" t="s">
        <v>264</v>
      </c>
      <c r="I1249" s="207" t="s">
        <v>209</v>
      </c>
      <c r="J1249" s="207" t="s">
        <v>849</v>
      </c>
    </row>
    <row r="1250" spans="6:10" ht="15" customHeight="1" x14ac:dyDescent="0.25">
      <c r="F1250" s="16">
        <v>44727</v>
      </c>
      <c r="G1250" s="17">
        <v>97.03</v>
      </c>
      <c r="H1250" t="s">
        <v>43</v>
      </c>
      <c r="I1250" t="s">
        <v>16</v>
      </c>
      <c r="J1250" t="s">
        <v>434</v>
      </c>
    </row>
    <row r="1251" spans="6:10" ht="15" customHeight="1" x14ac:dyDescent="0.25">
      <c r="F1251" s="16">
        <v>44728</v>
      </c>
      <c r="G1251" s="17">
        <v>60</v>
      </c>
      <c r="H1251" t="s">
        <v>43</v>
      </c>
      <c r="I1251" t="s">
        <v>16</v>
      </c>
      <c r="J1251" t="s">
        <v>730</v>
      </c>
    </row>
    <row r="1252" spans="6:10" ht="15" customHeight="1" x14ac:dyDescent="0.25">
      <c r="F1252" s="205">
        <v>44728</v>
      </c>
      <c r="G1252" s="206">
        <v>150</v>
      </c>
      <c r="H1252" s="207" t="s">
        <v>264</v>
      </c>
      <c r="I1252" s="207" t="s">
        <v>687</v>
      </c>
      <c r="J1252" s="207" t="s">
        <v>851</v>
      </c>
    </row>
    <row r="1253" spans="6:10" ht="15" customHeight="1" x14ac:dyDescent="0.25">
      <c r="F1253" s="16">
        <v>44711</v>
      </c>
      <c r="G1253" s="17">
        <v>0.99</v>
      </c>
      <c r="H1253" t="s">
        <v>22</v>
      </c>
      <c r="I1253" t="s">
        <v>58</v>
      </c>
    </row>
    <row r="1254" spans="6:10" ht="15" customHeight="1" x14ac:dyDescent="0.25">
      <c r="F1254" s="16">
        <v>44697</v>
      </c>
      <c r="G1254" s="17">
        <v>0.99</v>
      </c>
      <c r="H1254" t="s">
        <v>22</v>
      </c>
      <c r="I1254" t="s">
        <v>58</v>
      </c>
    </row>
    <row r="1255" spans="6:10" ht="15" customHeight="1" x14ac:dyDescent="0.25">
      <c r="F1255" s="16">
        <v>44725</v>
      </c>
      <c r="G1255" s="17">
        <v>0.99</v>
      </c>
      <c r="H1255" t="s">
        <v>22</v>
      </c>
      <c r="I1255" t="s">
        <v>58</v>
      </c>
    </row>
    <row r="1256" spans="6:10" ht="15" customHeight="1" x14ac:dyDescent="0.25">
      <c r="F1256" s="16">
        <v>44718</v>
      </c>
      <c r="G1256" s="17">
        <v>0.99</v>
      </c>
      <c r="H1256" t="s">
        <v>22</v>
      </c>
      <c r="I1256" t="s">
        <v>58</v>
      </c>
    </row>
    <row r="1257" spans="6:10" ht="15" customHeight="1" x14ac:dyDescent="0.25">
      <c r="F1257" s="16">
        <v>44730</v>
      </c>
      <c r="G1257" s="17">
        <v>2000</v>
      </c>
      <c r="H1257" t="s">
        <v>263</v>
      </c>
    </row>
    <row r="1258" spans="6:10" ht="15" customHeight="1" x14ac:dyDescent="0.25">
      <c r="F1258" s="205">
        <v>44732</v>
      </c>
      <c r="G1258" s="206">
        <v>300</v>
      </c>
      <c r="H1258" s="207" t="s">
        <v>264</v>
      </c>
      <c r="I1258" s="207" t="s">
        <v>687</v>
      </c>
      <c r="J1258" s="207"/>
    </row>
    <row r="1259" spans="6:10" ht="15" customHeight="1" x14ac:dyDescent="0.25">
      <c r="F1259" s="16">
        <v>44732</v>
      </c>
      <c r="G1259" s="17">
        <v>0.99</v>
      </c>
      <c r="H1259" t="s">
        <v>22</v>
      </c>
      <c r="I1259" t="s">
        <v>58</v>
      </c>
    </row>
    <row r="1260" spans="6:10" ht="15" customHeight="1" x14ac:dyDescent="0.25">
      <c r="F1260" s="16">
        <v>44700</v>
      </c>
      <c r="G1260" s="17">
        <v>2.75</v>
      </c>
      <c r="H1260" t="s">
        <v>22</v>
      </c>
      <c r="I1260" t="s">
        <v>58</v>
      </c>
    </row>
    <row r="1261" spans="6:10" ht="15" customHeight="1" x14ac:dyDescent="0.25">
      <c r="F1261" s="16">
        <v>44733</v>
      </c>
      <c r="G1261" s="17">
        <v>105</v>
      </c>
      <c r="H1261" t="s">
        <v>43</v>
      </c>
      <c r="I1261" t="s">
        <v>16</v>
      </c>
      <c r="J1261" t="s">
        <v>677</v>
      </c>
    </row>
    <row r="1262" spans="6:10" ht="15" customHeight="1" x14ac:dyDescent="0.25">
      <c r="F1262" s="16">
        <v>44733</v>
      </c>
      <c r="G1262" s="17">
        <v>29</v>
      </c>
      <c r="H1262" t="s">
        <v>36</v>
      </c>
      <c r="I1262" t="s">
        <v>852</v>
      </c>
    </row>
    <row r="1263" spans="6:10" ht="15" customHeight="1" x14ac:dyDescent="0.25">
      <c r="F1263" s="16">
        <v>44733</v>
      </c>
      <c r="G1263" s="17">
        <v>0.87</v>
      </c>
      <c r="H1263" t="s">
        <v>36</v>
      </c>
      <c r="I1263" t="s">
        <v>854</v>
      </c>
    </row>
    <row r="1264" spans="6:10" ht="15" customHeight="1" x14ac:dyDescent="0.25">
      <c r="F1264" s="16">
        <v>44733</v>
      </c>
      <c r="G1264" s="17">
        <v>46.84</v>
      </c>
      <c r="H1264" t="s">
        <v>43</v>
      </c>
      <c r="I1264" t="s">
        <v>453</v>
      </c>
    </row>
    <row r="1265" spans="6:10" ht="15" customHeight="1" x14ac:dyDescent="0.25">
      <c r="F1265" s="16">
        <v>44733</v>
      </c>
      <c r="G1265" s="17">
        <v>45.42</v>
      </c>
      <c r="H1265" t="s">
        <v>43</v>
      </c>
      <c r="I1265" t="s">
        <v>453</v>
      </c>
    </row>
    <row r="1266" spans="6:10" ht="15" customHeight="1" x14ac:dyDescent="0.25">
      <c r="F1266" s="16">
        <v>44733</v>
      </c>
      <c r="G1266" s="17">
        <v>32.770000000000003</v>
      </c>
      <c r="H1266" t="s">
        <v>43</v>
      </c>
      <c r="I1266" t="s">
        <v>453</v>
      </c>
    </row>
    <row r="1267" spans="6:10" ht="15" customHeight="1" x14ac:dyDescent="0.25">
      <c r="F1267" s="16">
        <v>44733</v>
      </c>
      <c r="G1267" s="17">
        <v>94.58</v>
      </c>
      <c r="H1267" t="s">
        <v>43</v>
      </c>
      <c r="I1267" t="s">
        <v>16</v>
      </c>
      <c r="J1267" t="s">
        <v>144</v>
      </c>
    </row>
    <row r="1268" spans="6:10" ht="15" customHeight="1" x14ac:dyDescent="0.25">
      <c r="F1268" s="205">
        <v>44734</v>
      </c>
      <c r="G1268" s="206">
        <v>6000</v>
      </c>
      <c r="H1268" s="207" t="s">
        <v>264</v>
      </c>
      <c r="I1268" s="207" t="s">
        <v>209</v>
      </c>
      <c r="J1268" s="207"/>
    </row>
    <row r="1269" spans="6:10" ht="15" customHeight="1" x14ac:dyDescent="0.25">
      <c r="F1269" s="16">
        <v>44736</v>
      </c>
      <c r="G1269" s="17">
        <v>0.99</v>
      </c>
      <c r="H1269" t="s">
        <v>120</v>
      </c>
      <c r="I1269" t="s">
        <v>856</v>
      </c>
    </row>
    <row r="1270" spans="6:10" ht="15" customHeight="1" x14ac:dyDescent="0.25">
      <c r="F1270" s="16">
        <v>44736</v>
      </c>
      <c r="G1270" s="17">
        <v>105</v>
      </c>
      <c r="H1270" t="s">
        <v>43</v>
      </c>
      <c r="I1270" t="s">
        <v>16</v>
      </c>
      <c r="J1270" t="s">
        <v>677</v>
      </c>
    </row>
    <row r="1271" spans="6:10" ht="15" customHeight="1" x14ac:dyDescent="0.25">
      <c r="F1271" s="16">
        <v>44737</v>
      </c>
      <c r="G1271" s="17">
        <v>25</v>
      </c>
      <c r="H1271" t="s">
        <v>120</v>
      </c>
      <c r="I1271" t="s">
        <v>857</v>
      </c>
    </row>
    <row r="1272" spans="6:10" ht="15" customHeight="1" x14ac:dyDescent="0.25">
      <c r="F1272" s="16">
        <v>44740</v>
      </c>
      <c r="G1272" s="17">
        <v>90</v>
      </c>
      <c r="H1272" t="s">
        <v>43</v>
      </c>
      <c r="I1272" t="s">
        <v>16</v>
      </c>
      <c r="J1272" t="s">
        <v>677</v>
      </c>
    </row>
    <row r="1273" spans="6:10" ht="15" customHeight="1" x14ac:dyDescent="0.25">
      <c r="F1273" s="16">
        <v>44740</v>
      </c>
      <c r="G1273" s="17">
        <v>105</v>
      </c>
      <c r="H1273" t="s">
        <v>43</v>
      </c>
      <c r="I1273" t="s">
        <v>16</v>
      </c>
      <c r="J1273" t="s">
        <v>677</v>
      </c>
    </row>
    <row r="1274" spans="6:10" ht="15" customHeight="1" x14ac:dyDescent="0.25">
      <c r="F1274" s="16">
        <v>44740</v>
      </c>
      <c r="G1274" s="17">
        <v>105</v>
      </c>
      <c r="H1274" t="s">
        <v>43</v>
      </c>
      <c r="I1274" t="s">
        <v>16</v>
      </c>
      <c r="J1274" t="s">
        <v>677</v>
      </c>
    </row>
    <row r="1275" spans="6:10" ht="15" customHeight="1" x14ac:dyDescent="0.25">
      <c r="F1275" s="16">
        <v>44740</v>
      </c>
      <c r="G1275" s="17">
        <v>170.29</v>
      </c>
      <c r="H1275" t="s">
        <v>43</v>
      </c>
      <c r="I1275" t="s">
        <v>16</v>
      </c>
      <c r="J1275" t="s">
        <v>144</v>
      </c>
    </row>
    <row r="1276" spans="6:10" ht="15" customHeight="1" x14ac:dyDescent="0.25">
      <c r="F1276" s="205">
        <v>44738</v>
      </c>
      <c r="G1276" s="206">
        <v>500</v>
      </c>
      <c r="H1276" s="207" t="s">
        <v>264</v>
      </c>
      <c r="I1276" s="207" t="s">
        <v>209</v>
      </c>
      <c r="J1276" s="207" t="s">
        <v>879</v>
      </c>
    </row>
    <row r="1277" spans="6:10" ht="15" customHeight="1" x14ac:dyDescent="0.25">
      <c r="F1277" s="16"/>
      <c r="G1277" s="17"/>
    </row>
    <row r="1278" spans="6:10" ht="15" customHeight="1" x14ac:dyDescent="0.25">
      <c r="F1278" s="16"/>
      <c r="G1278" s="17"/>
    </row>
    <row r="1279" spans="6:10" ht="15" customHeight="1" x14ac:dyDescent="0.25">
      <c r="F1279" s="16">
        <v>44739</v>
      </c>
      <c r="G1279" s="17">
        <v>0.99</v>
      </c>
      <c r="H1279" t="s">
        <v>22</v>
      </c>
      <c r="I1279" t="s">
        <v>58</v>
      </c>
    </row>
    <row r="1280" spans="6:10" ht="15" customHeight="1" x14ac:dyDescent="0.25">
      <c r="F1280" s="205">
        <v>44742</v>
      </c>
      <c r="G1280" s="206">
        <v>21.27</v>
      </c>
      <c r="H1280" s="207" t="s">
        <v>264</v>
      </c>
      <c r="I1280" s="207" t="s">
        <v>209</v>
      </c>
      <c r="J1280" s="207" t="s">
        <v>32</v>
      </c>
    </row>
    <row r="1281" spans="6:10" ht="15" customHeight="1" x14ac:dyDescent="0.25">
      <c r="F1281" s="16">
        <v>44742</v>
      </c>
      <c r="G1281" s="17">
        <v>106.32</v>
      </c>
      <c r="H1281" t="s">
        <v>43</v>
      </c>
      <c r="I1281" t="s">
        <v>16</v>
      </c>
      <c r="J1281" t="s">
        <v>144</v>
      </c>
    </row>
    <row r="1282" spans="6:10" ht="15" customHeight="1" x14ac:dyDescent="0.25">
      <c r="F1282" s="16">
        <v>44742</v>
      </c>
      <c r="G1282" s="17">
        <v>-5</v>
      </c>
      <c r="H1282" t="s">
        <v>43</v>
      </c>
      <c r="I1282" t="s">
        <v>801</v>
      </c>
    </row>
    <row r="1283" spans="6:10" ht="15" customHeight="1" x14ac:dyDescent="0.25">
      <c r="F1283" s="16">
        <v>44743</v>
      </c>
      <c r="G1283" s="17">
        <v>3</v>
      </c>
      <c r="H1283" t="s">
        <v>22</v>
      </c>
      <c r="I1283" t="s">
        <v>668</v>
      </c>
    </row>
    <row r="1284" spans="6:10" ht="15" customHeight="1" x14ac:dyDescent="0.25">
      <c r="F1284" s="205">
        <v>44743</v>
      </c>
      <c r="G1284" s="206">
        <v>50</v>
      </c>
      <c r="H1284" s="207" t="s">
        <v>264</v>
      </c>
      <c r="I1284" s="207" t="s">
        <v>209</v>
      </c>
      <c r="J1284" s="207" t="s">
        <v>196</v>
      </c>
    </row>
    <row r="1285" spans="6:10" ht="15" customHeight="1" x14ac:dyDescent="0.25">
      <c r="F1285" s="16">
        <v>44746</v>
      </c>
      <c r="G1285" s="17">
        <v>50</v>
      </c>
      <c r="H1285" t="s">
        <v>22</v>
      </c>
      <c r="I1285" t="s">
        <v>801</v>
      </c>
    </row>
    <row r="1286" spans="6:10" ht="15" customHeight="1" x14ac:dyDescent="0.25">
      <c r="F1286" s="16">
        <v>44747</v>
      </c>
      <c r="G1286" s="17">
        <v>315</v>
      </c>
      <c r="H1286" t="s">
        <v>43</v>
      </c>
      <c r="I1286" t="s">
        <v>16</v>
      </c>
      <c r="J1286" t="s">
        <v>677</v>
      </c>
    </row>
    <row r="1287" spans="6:10" ht="15" customHeight="1" x14ac:dyDescent="0.25">
      <c r="F1287" s="16">
        <v>44747</v>
      </c>
      <c r="G1287" s="17">
        <v>90</v>
      </c>
      <c r="H1287" t="s">
        <v>43</v>
      </c>
      <c r="I1287" t="s">
        <v>16</v>
      </c>
      <c r="J1287" t="s">
        <v>677</v>
      </c>
    </row>
    <row r="1288" spans="6:10" ht="15" customHeight="1" x14ac:dyDescent="0.25">
      <c r="F1288" s="16">
        <v>44747</v>
      </c>
      <c r="G1288" s="17">
        <v>105</v>
      </c>
      <c r="H1288" t="s">
        <v>43</v>
      </c>
      <c r="I1288" t="s">
        <v>16</v>
      </c>
      <c r="J1288" t="s">
        <v>677</v>
      </c>
    </row>
    <row r="1289" spans="6:10" ht="15" customHeight="1" x14ac:dyDescent="0.25">
      <c r="F1289" s="16">
        <v>44747</v>
      </c>
      <c r="G1289" s="17">
        <v>50.34</v>
      </c>
      <c r="H1289" t="s">
        <v>43</v>
      </c>
      <c r="I1289" t="s">
        <v>453</v>
      </c>
    </row>
    <row r="1290" spans="6:10" ht="15" customHeight="1" x14ac:dyDescent="0.25">
      <c r="F1290" s="16">
        <v>44747</v>
      </c>
      <c r="G1290" s="17">
        <v>20.77</v>
      </c>
      <c r="H1290" t="s">
        <v>43</v>
      </c>
      <c r="I1290" t="s">
        <v>32</v>
      </c>
    </row>
    <row r="1291" spans="6:10" ht="15" customHeight="1" x14ac:dyDescent="0.25">
      <c r="F1291" s="16">
        <v>44749</v>
      </c>
      <c r="G1291" s="17">
        <v>9.9</v>
      </c>
      <c r="H1291" t="s">
        <v>36</v>
      </c>
    </row>
    <row r="1292" spans="6:10" ht="15" customHeight="1" x14ac:dyDescent="0.25">
      <c r="F1292" s="16">
        <v>44749</v>
      </c>
      <c r="G1292" s="17">
        <v>138.87</v>
      </c>
      <c r="H1292" t="s">
        <v>43</v>
      </c>
      <c r="I1292" t="s">
        <v>16</v>
      </c>
      <c r="J1292" t="s">
        <v>495</v>
      </c>
    </row>
    <row r="1293" spans="6:10" ht="15" customHeight="1" x14ac:dyDescent="0.25">
      <c r="F1293" s="16">
        <v>44750</v>
      </c>
      <c r="G1293" s="17">
        <v>146.56</v>
      </c>
      <c r="H1293" t="s">
        <v>43</v>
      </c>
      <c r="I1293" t="s">
        <v>16</v>
      </c>
      <c r="J1293" t="s">
        <v>495</v>
      </c>
    </row>
    <row r="1294" spans="6:10" ht="15" customHeight="1" x14ac:dyDescent="0.25">
      <c r="F1294" s="16">
        <v>44750</v>
      </c>
      <c r="G1294" s="17">
        <v>129.28</v>
      </c>
      <c r="H1294" t="s">
        <v>43</v>
      </c>
      <c r="I1294" t="s">
        <v>16</v>
      </c>
      <c r="J1294" t="s">
        <v>730</v>
      </c>
    </row>
    <row r="1295" spans="6:10" ht="15" customHeight="1" x14ac:dyDescent="0.25">
      <c r="F1295" s="16">
        <v>44746</v>
      </c>
      <c r="G1295" s="17">
        <v>0.99</v>
      </c>
      <c r="H1295" t="s">
        <v>22</v>
      </c>
      <c r="I1295" t="s">
        <v>58</v>
      </c>
    </row>
    <row r="1296" spans="6:10" ht="15" customHeight="1" x14ac:dyDescent="0.25">
      <c r="F1296" s="205">
        <v>44753</v>
      </c>
      <c r="G1296" s="206">
        <v>450</v>
      </c>
      <c r="H1296" s="207" t="s">
        <v>264</v>
      </c>
      <c r="I1296" s="207" t="s">
        <v>209</v>
      </c>
      <c r="J1296" s="207" t="s">
        <v>862</v>
      </c>
    </row>
    <row r="1297" spans="6:10" ht="15" customHeight="1" x14ac:dyDescent="0.25">
      <c r="F1297" s="16">
        <v>44753</v>
      </c>
      <c r="G1297" s="17">
        <v>0.99</v>
      </c>
      <c r="H1297" t="s">
        <v>22</v>
      </c>
      <c r="I1297" t="s">
        <v>58</v>
      </c>
    </row>
    <row r="1298" spans="6:10" ht="15" customHeight="1" x14ac:dyDescent="0.25">
      <c r="F1298" s="16">
        <v>44754</v>
      </c>
      <c r="G1298" s="17">
        <v>105</v>
      </c>
      <c r="H1298" t="s">
        <v>43</v>
      </c>
      <c r="I1298" t="s">
        <v>16</v>
      </c>
      <c r="J1298" t="s">
        <v>677</v>
      </c>
    </row>
    <row r="1299" spans="6:10" ht="15" customHeight="1" x14ac:dyDescent="0.25">
      <c r="F1299" s="16">
        <v>44754</v>
      </c>
      <c r="G1299" s="17">
        <v>158</v>
      </c>
      <c r="H1299" t="s">
        <v>43</v>
      </c>
      <c r="I1299" t="s">
        <v>16</v>
      </c>
      <c r="J1299" t="s">
        <v>665</v>
      </c>
    </row>
    <row r="1300" spans="6:10" ht="15" customHeight="1" x14ac:dyDescent="0.25">
      <c r="F1300" s="16">
        <v>44754</v>
      </c>
      <c r="G1300" s="17"/>
      <c r="H1300" t="s">
        <v>43</v>
      </c>
      <c r="I1300" t="s">
        <v>16</v>
      </c>
      <c r="J1300" t="s">
        <v>665</v>
      </c>
    </row>
    <row r="1301" spans="6:10" ht="15" customHeight="1" x14ac:dyDescent="0.25">
      <c r="F1301" s="16">
        <v>44755</v>
      </c>
      <c r="G1301" s="17">
        <v>11.62</v>
      </c>
      <c r="H1301" t="s">
        <v>120</v>
      </c>
      <c r="I1301" t="s">
        <v>140</v>
      </c>
    </row>
    <row r="1302" spans="6:10" ht="15" customHeight="1" x14ac:dyDescent="0.25">
      <c r="F1302" s="16">
        <v>44756</v>
      </c>
      <c r="G1302" s="17">
        <v>97.03</v>
      </c>
      <c r="H1302" t="s">
        <v>43</v>
      </c>
      <c r="I1302" t="s">
        <v>16</v>
      </c>
      <c r="J1302" t="s">
        <v>434</v>
      </c>
    </row>
    <row r="1303" spans="6:10" ht="15" customHeight="1" x14ac:dyDescent="0.25">
      <c r="F1303" s="205">
        <v>44757</v>
      </c>
      <c r="G1303" s="206">
        <v>150</v>
      </c>
      <c r="H1303" s="207" t="s">
        <v>264</v>
      </c>
      <c r="I1303" s="207" t="s">
        <v>745</v>
      </c>
      <c r="J1303" s="207" t="s">
        <v>864</v>
      </c>
    </row>
    <row r="1304" spans="6:10" ht="15" customHeight="1" x14ac:dyDescent="0.25">
      <c r="F1304" s="16">
        <v>44760</v>
      </c>
      <c r="G1304" s="17">
        <v>60</v>
      </c>
      <c r="H1304" t="s">
        <v>43</v>
      </c>
      <c r="I1304" t="s">
        <v>16</v>
      </c>
      <c r="J1304" t="s">
        <v>730</v>
      </c>
    </row>
    <row r="1305" spans="6:10" ht="15" customHeight="1" x14ac:dyDescent="0.25">
      <c r="F1305" s="16">
        <v>44761</v>
      </c>
      <c r="G1305" s="17">
        <v>2</v>
      </c>
      <c r="H1305" t="s">
        <v>43</v>
      </c>
      <c r="I1305" t="s">
        <v>57</v>
      </c>
    </row>
    <row r="1306" spans="6:10" ht="15" customHeight="1" x14ac:dyDescent="0.25">
      <c r="F1306" s="16">
        <v>44761</v>
      </c>
      <c r="G1306" s="17"/>
      <c r="H1306" t="s">
        <v>264</v>
      </c>
      <c r="I1306" t="s">
        <v>579</v>
      </c>
      <c r="J1306" t="s">
        <v>453</v>
      </c>
    </row>
    <row r="1307" spans="6:10" ht="15" customHeight="1" x14ac:dyDescent="0.25">
      <c r="F1307" s="16">
        <v>44761</v>
      </c>
      <c r="G1307" s="17">
        <v>57.2</v>
      </c>
      <c r="H1307" t="s">
        <v>43</v>
      </c>
      <c r="I1307" t="s">
        <v>32</v>
      </c>
    </row>
    <row r="1308" spans="6:10" ht="15" customHeight="1" x14ac:dyDescent="0.25">
      <c r="F1308" s="16">
        <v>44762</v>
      </c>
      <c r="G1308" s="17">
        <v>79.91</v>
      </c>
      <c r="H1308" t="s">
        <v>43</v>
      </c>
      <c r="I1308" t="s">
        <v>32</v>
      </c>
    </row>
    <row r="1309" spans="6:10" ht="15" customHeight="1" x14ac:dyDescent="0.25">
      <c r="F1309" s="16">
        <v>44762</v>
      </c>
      <c r="G1309" s="17">
        <v>75.680000000000007</v>
      </c>
      <c r="H1309" t="s">
        <v>43</v>
      </c>
      <c r="I1309" t="s">
        <v>32</v>
      </c>
    </row>
    <row r="1310" spans="6:10" ht="15" customHeight="1" x14ac:dyDescent="0.25">
      <c r="F1310" s="205">
        <v>44762</v>
      </c>
      <c r="G1310" s="206">
        <v>153.69</v>
      </c>
      <c r="H1310" s="207" t="s">
        <v>264</v>
      </c>
      <c r="I1310" s="207" t="s">
        <v>209</v>
      </c>
      <c r="J1310" s="207" t="s">
        <v>505</v>
      </c>
    </row>
    <row r="1311" spans="6:10" ht="15" customHeight="1" x14ac:dyDescent="0.25">
      <c r="F1311" s="16">
        <v>44762</v>
      </c>
      <c r="G1311" s="17">
        <v>94.58</v>
      </c>
      <c r="H1311" t="s">
        <v>43</v>
      </c>
      <c r="I1311" t="s">
        <v>16</v>
      </c>
      <c r="J1311" t="s">
        <v>144</v>
      </c>
    </row>
    <row r="1312" spans="6:10" ht="15" customHeight="1" x14ac:dyDescent="0.25">
      <c r="F1312" s="16">
        <v>44762</v>
      </c>
      <c r="G1312" s="17">
        <v>105</v>
      </c>
      <c r="H1312" t="s">
        <v>43</v>
      </c>
      <c r="I1312" t="s">
        <v>16</v>
      </c>
      <c r="J1312" t="s">
        <v>677</v>
      </c>
    </row>
    <row r="1313" spans="6:10" ht="15" customHeight="1" x14ac:dyDescent="0.25">
      <c r="F1313" s="16">
        <v>44762</v>
      </c>
      <c r="G1313" s="17">
        <v>99</v>
      </c>
      <c r="H1313" t="s">
        <v>43</v>
      </c>
      <c r="I1313" t="s">
        <v>607</v>
      </c>
    </row>
    <row r="1314" spans="6:10" ht="15" customHeight="1" x14ac:dyDescent="0.25">
      <c r="F1314" s="16">
        <v>44760</v>
      </c>
      <c r="G1314" s="17">
        <v>0.99</v>
      </c>
      <c r="H1314" t="s">
        <v>22</v>
      </c>
      <c r="I1314" t="s">
        <v>58</v>
      </c>
    </row>
    <row r="1315" spans="6:10" ht="15" customHeight="1" x14ac:dyDescent="0.25">
      <c r="F1315" s="16">
        <v>44767</v>
      </c>
      <c r="G1315" s="17">
        <v>0.99</v>
      </c>
      <c r="H1315" t="s">
        <v>22</v>
      </c>
      <c r="I1315" t="s">
        <v>58</v>
      </c>
    </row>
    <row r="1316" spans="6:10" ht="15" customHeight="1" x14ac:dyDescent="0.25">
      <c r="F1316" s="16">
        <v>44768</v>
      </c>
      <c r="G1316" s="17">
        <v>0.99</v>
      </c>
      <c r="H1316" t="s">
        <v>120</v>
      </c>
      <c r="I1316" t="s">
        <v>868</v>
      </c>
    </row>
    <row r="1317" spans="6:10" ht="15" customHeight="1" x14ac:dyDescent="0.25">
      <c r="F1317" s="214">
        <v>44768</v>
      </c>
      <c r="G1317" s="215">
        <v>148.5</v>
      </c>
      <c r="H1317" s="216" t="s">
        <v>264</v>
      </c>
      <c r="I1317" s="216" t="s">
        <v>689</v>
      </c>
      <c r="J1317" s="216" t="s">
        <v>838</v>
      </c>
    </row>
    <row r="1318" spans="6:10" ht="15" customHeight="1" x14ac:dyDescent="0.25">
      <c r="F1318" s="16">
        <v>44768</v>
      </c>
      <c r="G1318" s="17">
        <v>105</v>
      </c>
      <c r="H1318" t="s">
        <v>43</v>
      </c>
      <c r="I1318" t="s">
        <v>16</v>
      </c>
      <c r="J1318" t="s">
        <v>677</v>
      </c>
    </row>
    <row r="1319" spans="6:10" ht="15" customHeight="1" x14ac:dyDescent="0.25">
      <c r="F1319" s="205">
        <v>44768</v>
      </c>
      <c r="G1319" s="206">
        <v>250</v>
      </c>
      <c r="H1319" s="207" t="s">
        <v>264</v>
      </c>
      <c r="I1319" s="207" t="s">
        <v>209</v>
      </c>
      <c r="J1319" s="207" t="s">
        <v>160</v>
      </c>
    </row>
    <row r="1320" spans="6:10" ht="15" customHeight="1" x14ac:dyDescent="0.25">
      <c r="F1320" s="16">
        <v>44769</v>
      </c>
      <c r="G1320" s="17">
        <v>105</v>
      </c>
      <c r="H1320" t="s">
        <v>43</v>
      </c>
      <c r="I1320" t="s">
        <v>16</v>
      </c>
      <c r="J1320" t="s">
        <v>677</v>
      </c>
    </row>
    <row r="1321" spans="6:10" ht="15" customHeight="1" x14ac:dyDescent="0.25">
      <c r="F1321" s="16">
        <v>44770</v>
      </c>
      <c r="G1321" s="17">
        <v>105</v>
      </c>
      <c r="H1321" t="s">
        <v>43</v>
      </c>
      <c r="I1321" t="s">
        <v>16</v>
      </c>
      <c r="J1321" t="s">
        <v>677</v>
      </c>
    </row>
    <row r="1322" spans="6:10" ht="15" customHeight="1" x14ac:dyDescent="0.25">
      <c r="F1322" s="16">
        <v>44770</v>
      </c>
      <c r="G1322" s="17">
        <v>90</v>
      </c>
      <c r="H1322" t="s">
        <v>43</v>
      </c>
      <c r="I1322" t="s">
        <v>16</v>
      </c>
      <c r="J1322" t="s">
        <v>677</v>
      </c>
    </row>
    <row r="1323" spans="6:10" ht="15" customHeight="1" x14ac:dyDescent="0.25">
      <c r="F1323" s="16">
        <v>44770</v>
      </c>
      <c r="G1323" s="17">
        <v>170.29</v>
      </c>
      <c r="H1323" t="s">
        <v>43</v>
      </c>
      <c r="I1323" t="s">
        <v>16</v>
      </c>
      <c r="J1323" t="s">
        <v>144</v>
      </c>
    </row>
    <row r="1324" spans="6:10" ht="15" customHeight="1" x14ac:dyDescent="0.25">
      <c r="F1324" s="16">
        <v>44775</v>
      </c>
      <c r="G1324" s="17">
        <v>4.99</v>
      </c>
      <c r="H1324" s="49" t="s">
        <v>46</v>
      </c>
      <c r="I1324" t="s">
        <v>47</v>
      </c>
    </row>
    <row r="1325" spans="6:10" ht="15" customHeight="1" x14ac:dyDescent="0.25">
      <c r="F1325" s="16">
        <v>44775</v>
      </c>
      <c r="G1325" s="17">
        <v>20.170000000000002</v>
      </c>
      <c r="H1325" t="s">
        <v>43</v>
      </c>
      <c r="I1325" t="s">
        <v>32</v>
      </c>
    </row>
    <row r="1326" spans="6:10" ht="15" customHeight="1" x14ac:dyDescent="0.25">
      <c r="F1326" s="16">
        <v>44776</v>
      </c>
      <c r="G1326" s="17">
        <v>31.67</v>
      </c>
      <c r="H1326" t="s">
        <v>43</v>
      </c>
      <c r="I1326" t="s">
        <v>32</v>
      </c>
    </row>
    <row r="1327" spans="6:10" ht="15" customHeight="1" x14ac:dyDescent="0.25">
      <c r="F1327" s="205">
        <v>44776</v>
      </c>
      <c r="G1327" s="206">
        <v>83.65</v>
      </c>
      <c r="H1327" s="207" t="s">
        <v>264</v>
      </c>
      <c r="I1327" s="207" t="s">
        <v>209</v>
      </c>
      <c r="J1327" s="207" t="s">
        <v>196</v>
      </c>
    </row>
    <row r="1328" spans="6:10" ht="15" customHeight="1" x14ac:dyDescent="0.25">
      <c r="F1328" s="205">
        <v>44776</v>
      </c>
      <c r="G1328" s="206">
        <v>185</v>
      </c>
      <c r="H1328" s="207" t="s">
        <v>264</v>
      </c>
      <c r="I1328" s="207" t="s">
        <v>209</v>
      </c>
      <c r="J1328" s="207" t="s">
        <v>873</v>
      </c>
    </row>
    <row r="1329" spans="6:10" ht="15" customHeight="1" x14ac:dyDescent="0.25">
      <c r="F1329" s="16">
        <v>44778</v>
      </c>
      <c r="G1329" s="17">
        <v>48.93</v>
      </c>
      <c r="H1329" t="s">
        <v>43</v>
      </c>
      <c r="I1329" t="s">
        <v>32</v>
      </c>
    </row>
    <row r="1330" spans="6:10" ht="15" customHeight="1" x14ac:dyDescent="0.25">
      <c r="F1330" s="16">
        <v>44778</v>
      </c>
      <c r="G1330" s="17">
        <v>106.32</v>
      </c>
      <c r="H1330" t="s">
        <v>43</v>
      </c>
      <c r="I1330" t="s">
        <v>16</v>
      </c>
      <c r="J1330" t="s">
        <v>144</v>
      </c>
    </row>
    <row r="1331" spans="6:10" ht="15" customHeight="1" x14ac:dyDescent="0.25">
      <c r="F1331" s="16">
        <v>44779</v>
      </c>
      <c r="G1331" s="17">
        <v>315</v>
      </c>
      <c r="H1331" t="s">
        <v>43</v>
      </c>
      <c r="I1331" t="s">
        <v>16</v>
      </c>
      <c r="J1331" t="s">
        <v>677</v>
      </c>
    </row>
    <row r="1332" spans="6:10" ht="15" customHeight="1" x14ac:dyDescent="0.25">
      <c r="F1332" s="16">
        <v>44774</v>
      </c>
      <c r="G1332" s="17">
        <v>0.99</v>
      </c>
      <c r="H1332" t="s">
        <v>22</v>
      </c>
      <c r="I1332" t="s">
        <v>58</v>
      </c>
    </row>
    <row r="1333" spans="6:10" ht="15" customHeight="1" x14ac:dyDescent="0.25">
      <c r="F1333" s="16">
        <v>44781</v>
      </c>
      <c r="G1333" s="17">
        <v>0.99</v>
      </c>
      <c r="H1333" t="s">
        <v>22</v>
      </c>
      <c r="I1333" t="s">
        <v>58</v>
      </c>
    </row>
    <row r="1334" spans="6:10" ht="15" customHeight="1" x14ac:dyDescent="0.25">
      <c r="F1334" s="16">
        <v>44782</v>
      </c>
      <c r="G1334" s="17">
        <v>9.9</v>
      </c>
      <c r="H1334" t="s">
        <v>36</v>
      </c>
      <c r="I1334" t="s">
        <v>875</v>
      </c>
    </row>
    <row r="1335" spans="6:10" ht="15" customHeight="1" x14ac:dyDescent="0.25">
      <c r="F1335" s="16">
        <v>44782</v>
      </c>
      <c r="G1335" s="17">
        <v>41.14</v>
      </c>
      <c r="H1335" t="s">
        <v>120</v>
      </c>
      <c r="I1335" t="s">
        <v>453</v>
      </c>
    </row>
    <row r="1336" spans="6:10" ht="15" customHeight="1" x14ac:dyDescent="0.25">
      <c r="F1336" s="16">
        <v>44782</v>
      </c>
      <c r="G1336" s="17">
        <v>138.87</v>
      </c>
      <c r="H1336" t="s">
        <v>43</v>
      </c>
      <c r="I1336" t="s">
        <v>16</v>
      </c>
      <c r="J1336" t="s">
        <v>495</v>
      </c>
    </row>
    <row r="1337" spans="6:10" ht="15" customHeight="1" x14ac:dyDescent="0.25">
      <c r="F1337" s="16">
        <v>44782</v>
      </c>
      <c r="G1337" s="17">
        <v>129.28</v>
      </c>
      <c r="H1337" t="s">
        <v>43</v>
      </c>
      <c r="I1337" t="s">
        <v>16</v>
      </c>
      <c r="J1337" t="s">
        <v>730</v>
      </c>
    </row>
    <row r="1338" spans="6:10" ht="15" customHeight="1" x14ac:dyDescent="0.25">
      <c r="F1338" s="16">
        <v>44782</v>
      </c>
      <c r="G1338" s="17">
        <v>146.56</v>
      </c>
      <c r="H1338" t="s">
        <v>43</v>
      </c>
      <c r="I1338" t="s">
        <v>16</v>
      </c>
      <c r="J1338" t="s">
        <v>495</v>
      </c>
    </row>
    <row r="1339" spans="6:10" ht="15" customHeight="1" x14ac:dyDescent="0.25">
      <c r="F1339" s="16">
        <v>44784</v>
      </c>
      <c r="G1339" s="17">
        <v>105</v>
      </c>
      <c r="H1339" t="s">
        <v>43</v>
      </c>
      <c r="I1339" t="s">
        <v>16</v>
      </c>
      <c r="J1339" t="s">
        <v>677</v>
      </c>
    </row>
    <row r="1340" spans="6:10" ht="15" customHeight="1" x14ac:dyDescent="0.25">
      <c r="F1340" s="16">
        <v>44784</v>
      </c>
      <c r="G1340" s="17">
        <v>105</v>
      </c>
      <c r="H1340" t="s">
        <v>43</v>
      </c>
      <c r="I1340" t="s">
        <v>16</v>
      </c>
      <c r="J1340" t="s">
        <v>677</v>
      </c>
    </row>
    <row r="1341" spans="6:10" ht="15" customHeight="1" x14ac:dyDescent="0.25">
      <c r="F1341" s="16">
        <v>44788</v>
      </c>
      <c r="G1341" s="17">
        <v>0.99</v>
      </c>
      <c r="H1341" t="s">
        <v>22</v>
      </c>
      <c r="I1341" t="s">
        <v>58</v>
      </c>
    </row>
    <row r="1342" spans="6:10" ht="15" customHeight="1" x14ac:dyDescent="0.25">
      <c r="F1342" s="16">
        <v>44789</v>
      </c>
      <c r="G1342" s="17">
        <v>97.03</v>
      </c>
      <c r="H1342" t="s">
        <v>43</v>
      </c>
      <c r="I1342" t="s">
        <v>16</v>
      </c>
      <c r="J1342" t="s">
        <v>434</v>
      </c>
    </row>
    <row r="1343" spans="6:10" ht="15" customHeight="1" x14ac:dyDescent="0.25">
      <c r="F1343" s="16">
        <v>44789</v>
      </c>
      <c r="G1343" s="17">
        <v>60</v>
      </c>
      <c r="H1343" t="s">
        <v>43</v>
      </c>
      <c r="I1343" t="s">
        <v>16</v>
      </c>
      <c r="J1343" t="s">
        <v>730</v>
      </c>
    </row>
    <row r="1344" spans="6:10" ht="15" customHeight="1" x14ac:dyDescent="0.25">
      <c r="F1344" s="16">
        <v>44790</v>
      </c>
      <c r="G1344" s="17">
        <v>19.95</v>
      </c>
      <c r="H1344" t="s">
        <v>36</v>
      </c>
      <c r="I1344" t="s">
        <v>882</v>
      </c>
    </row>
    <row r="1345" spans="6:10" ht="15" customHeight="1" x14ac:dyDescent="0.25">
      <c r="F1345" s="16">
        <v>44791</v>
      </c>
      <c r="G1345" s="17">
        <v>24.1</v>
      </c>
      <c r="H1345" t="s">
        <v>43</v>
      </c>
      <c r="I1345" t="s">
        <v>32</v>
      </c>
    </row>
    <row r="1346" spans="6:10" ht="15" customHeight="1" x14ac:dyDescent="0.25">
      <c r="F1346" s="16">
        <v>44791</v>
      </c>
      <c r="G1346" s="17">
        <v>158</v>
      </c>
      <c r="H1346" t="s">
        <v>43</v>
      </c>
      <c r="I1346" t="s">
        <v>16</v>
      </c>
      <c r="J1346" t="s">
        <v>665</v>
      </c>
    </row>
    <row r="1347" spans="6:10" ht="15" customHeight="1" x14ac:dyDescent="0.25">
      <c r="F1347" s="214">
        <v>44791</v>
      </c>
      <c r="G1347" s="215">
        <v>1044.07</v>
      </c>
      <c r="H1347" s="216" t="s">
        <v>264</v>
      </c>
      <c r="I1347" s="216" t="s">
        <v>209</v>
      </c>
      <c r="J1347" s="216" t="s">
        <v>885</v>
      </c>
    </row>
    <row r="1348" spans="6:10" ht="15" customHeight="1" x14ac:dyDescent="0.25">
      <c r="F1348" s="16">
        <v>44793</v>
      </c>
      <c r="G1348" s="17">
        <v>105</v>
      </c>
      <c r="H1348" t="s">
        <v>43</v>
      </c>
      <c r="I1348" t="s">
        <v>16</v>
      </c>
      <c r="J1348" t="s">
        <v>677</v>
      </c>
    </row>
    <row r="1349" spans="6:10" ht="15" customHeight="1" x14ac:dyDescent="0.25">
      <c r="F1349" s="16">
        <v>44795</v>
      </c>
      <c r="G1349" s="17">
        <v>100.03</v>
      </c>
      <c r="H1349" t="s">
        <v>43</v>
      </c>
      <c r="I1349" t="s">
        <v>16</v>
      </c>
      <c r="J1349" t="s">
        <v>144</v>
      </c>
    </row>
    <row r="1350" spans="6:10" ht="15" customHeight="1" x14ac:dyDescent="0.25">
      <c r="F1350" s="16">
        <v>44795</v>
      </c>
      <c r="G1350" s="17">
        <v>99</v>
      </c>
      <c r="H1350" t="s">
        <v>43</v>
      </c>
      <c r="I1350" t="s">
        <v>607</v>
      </c>
      <c r="J1350" t="s">
        <v>450</v>
      </c>
    </row>
    <row r="1351" spans="6:10" ht="15" customHeight="1" x14ac:dyDescent="0.25">
      <c r="F1351" s="16">
        <v>44796</v>
      </c>
      <c r="G1351" s="17">
        <v>19</v>
      </c>
      <c r="H1351" t="s">
        <v>43</v>
      </c>
      <c r="I1351" t="s">
        <v>32</v>
      </c>
    </row>
    <row r="1352" spans="6:10" ht="15" customHeight="1" x14ac:dyDescent="0.25">
      <c r="F1352" s="16">
        <v>44797</v>
      </c>
      <c r="G1352" s="17">
        <v>0.99</v>
      </c>
      <c r="H1352" t="s">
        <v>43</v>
      </c>
      <c r="I1352" t="s">
        <v>856</v>
      </c>
    </row>
    <row r="1353" spans="6:10" ht="15" customHeight="1" x14ac:dyDescent="0.25">
      <c r="F1353" s="16">
        <v>44797</v>
      </c>
      <c r="G1353" s="17">
        <v>105</v>
      </c>
      <c r="H1353" t="s">
        <v>43</v>
      </c>
      <c r="I1353" t="s">
        <v>16</v>
      </c>
      <c r="J1353" t="s">
        <v>677</v>
      </c>
    </row>
    <row r="1354" spans="6:10" ht="15" customHeight="1" x14ac:dyDescent="0.25">
      <c r="F1354" s="214">
        <v>44797</v>
      </c>
      <c r="G1354" s="215">
        <v>400</v>
      </c>
      <c r="H1354" s="216" t="s">
        <v>264</v>
      </c>
      <c r="I1354" s="216" t="s">
        <v>209</v>
      </c>
      <c r="J1354" s="216" t="s">
        <v>886</v>
      </c>
    </row>
    <row r="1355" spans="6:10" ht="15" customHeight="1" x14ac:dyDescent="0.25">
      <c r="F1355" s="16">
        <v>44798</v>
      </c>
      <c r="G1355" s="17">
        <v>54.55</v>
      </c>
      <c r="H1355" t="s">
        <v>43</v>
      </c>
      <c r="I1355" t="s">
        <v>32</v>
      </c>
    </row>
    <row r="1356" spans="6:10" ht="15" customHeight="1" x14ac:dyDescent="0.25">
      <c r="F1356" s="16">
        <v>44799</v>
      </c>
      <c r="G1356" s="17">
        <v>105</v>
      </c>
      <c r="H1356" t="s">
        <v>43</v>
      </c>
      <c r="I1356" t="s">
        <v>16</v>
      </c>
      <c r="J1356" t="s">
        <v>677</v>
      </c>
    </row>
    <row r="1357" spans="6:10" ht="15" customHeight="1" x14ac:dyDescent="0.25">
      <c r="F1357" s="214">
        <v>44799</v>
      </c>
      <c r="G1357" s="215">
        <v>153.69</v>
      </c>
      <c r="H1357" s="216" t="s">
        <v>264</v>
      </c>
      <c r="I1357" s="216" t="s">
        <v>745</v>
      </c>
      <c r="J1357" s="216"/>
    </row>
    <row r="1358" spans="6:10" ht="15" customHeight="1" x14ac:dyDescent="0.25">
      <c r="F1358" s="214">
        <v>44799</v>
      </c>
      <c r="G1358" s="215">
        <v>153.69</v>
      </c>
      <c r="H1358" s="216" t="s">
        <v>264</v>
      </c>
      <c r="I1358" s="216" t="s">
        <v>209</v>
      </c>
      <c r="J1358" s="216"/>
    </row>
    <row r="1359" spans="6:10" ht="15" customHeight="1" x14ac:dyDescent="0.25">
      <c r="F1359" s="214">
        <v>44799</v>
      </c>
      <c r="G1359" s="215">
        <v>3.69</v>
      </c>
      <c r="H1359" s="216" t="s">
        <v>264</v>
      </c>
      <c r="I1359" s="216" t="s">
        <v>209</v>
      </c>
      <c r="J1359" s="216"/>
    </row>
    <row r="1360" spans="6:10" ht="15" customHeight="1" x14ac:dyDescent="0.25">
      <c r="F1360" s="16">
        <v>44799</v>
      </c>
      <c r="G1360" s="17">
        <v>81.760000000000005</v>
      </c>
      <c r="H1360" t="s">
        <v>43</v>
      </c>
      <c r="I1360" t="s">
        <v>32</v>
      </c>
    </row>
    <row r="1361" spans="6:10" ht="15" customHeight="1" x14ac:dyDescent="0.25">
      <c r="F1361" s="16">
        <v>44800</v>
      </c>
      <c r="G1361" s="17">
        <v>19.440000000000001</v>
      </c>
      <c r="H1361" t="s">
        <v>43</v>
      </c>
      <c r="I1361" t="s">
        <v>32</v>
      </c>
    </row>
    <row r="1362" spans="6:10" ht="15" customHeight="1" x14ac:dyDescent="0.25">
      <c r="F1362" s="214">
        <v>44801</v>
      </c>
      <c r="G1362" s="215">
        <v>150</v>
      </c>
      <c r="H1362" s="216" t="s">
        <v>264</v>
      </c>
      <c r="I1362" s="216" t="s">
        <v>209</v>
      </c>
      <c r="J1362" s="216" t="s">
        <v>889</v>
      </c>
    </row>
    <row r="1363" spans="6:10" ht="15" customHeight="1" x14ac:dyDescent="0.25">
      <c r="F1363" s="214">
        <v>44802</v>
      </c>
      <c r="G1363" s="215">
        <v>100</v>
      </c>
      <c r="H1363" s="216" t="s">
        <v>264</v>
      </c>
      <c r="I1363" s="216" t="s">
        <v>209</v>
      </c>
      <c r="J1363" s="216" t="s">
        <v>890</v>
      </c>
    </row>
    <row r="1364" spans="6:10" ht="15" customHeight="1" x14ac:dyDescent="0.25">
      <c r="F1364" s="16">
        <v>44803</v>
      </c>
      <c r="G1364" s="17">
        <v>105</v>
      </c>
      <c r="H1364" t="s">
        <v>43</v>
      </c>
      <c r="I1364" t="s">
        <v>16</v>
      </c>
      <c r="J1364" t="s">
        <v>677</v>
      </c>
    </row>
    <row r="1365" spans="6:10" ht="15" customHeight="1" x14ac:dyDescent="0.25">
      <c r="F1365" s="16">
        <v>44803</v>
      </c>
      <c r="G1365" s="17">
        <v>90</v>
      </c>
      <c r="H1365" t="s">
        <v>43</v>
      </c>
      <c r="I1365" t="s">
        <v>16</v>
      </c>
      <c r="J1365" t="s">
        <v>677</v>
      </c>
    </row>
    <row r="1366" spans="6:10" ht="15" customHeight="1" x14ac:dyDescent="0.25">
      <c r="F1366" s="16">
        <v>44803</v>
      </c>
      <c r="G1366" s="17">
        <v>20.190000000000001</v>
      </c>
      <c r="H1366" t="s">
        <v>43</v>
      </c>
      <c r="I1366" t="s">
        <v>32</v>
      </c>
    </row>
    <row r="1367" spans="6:10" ht="15" customHeight="1" x14ac:dyDescent="0.25">
      <c r="F1367" s="16">
        <v>44803</v>
      </c>
      <c r="G1367" s="17">
        <v>29.9</v>
      </c>
      <c r="H1367" t="s">
        <v>43</v>
      </c>
      <c r="I1367" t="s">
        <v>32</v>
      </c>
    </row>
    <row r="1368" spans="6:10" ht="15" customHeight="1" x14ac:dyDescent="0.25">
      <c r="F1368" s="16">
        <v>44803</v>
      </c>
      <c r="G1368" s="17">
        <v>106.32</v>
      </c>
      <c r="H1368" t="s">
        <v>43</v>
      </c>
      <c r="I1368" t="s">
        <v>16</v>
      </c>
      <c r="J1368" t="s">
        <v>144</v>
      </c>
    </row>
    <row r="1369" spans="6:10" ht="15" customHeight="1" x14ac:dyDescent="0.25">
      <c r="F1369" s="16">
        <v>44803</v>
      </c>
      <c r="G1369" s="17">
        <v>170.29</v>
      </c>
      <c r="H1369" t="s">
        <v>43</v>
      </c>
      <c r="I1369" t="s">
        <v>16</v>
      </c>
      <c r="J1369" t="s">
        <v>144</v>
      </c>
    </row>
    <row r="1370" spans="6:10" ht="15" customHeight="1" x14ac:dyDescent="0.25">
      <c r="F1370" s="16">
        <v>44804</v>
      </c>
      <c r="G1370" s="17">
        <v>30.36</v>
      </c>
      <c r="H1370" t="s">
        <v>43</v>
      </c>
      <c r="I1370" t="s">
        <v>32</v>
      </c>
    </row>
    <row r="1371" spans="6:10" ht="15" customHeight="1" x14ac:dyDescent="0.25">
      <c r="F1371" s="214">
        <v>44804</v>
      </c>
      <c r="G1371" s="215">
        <v>74.8</v>
      </c>
      <c r="H1371" s="216" t="s">
        <v>264</v>
      </c>
      <c r="I1371" s="216" t="s">
        <v>209</v>
      </c>
      <c r="J1371" s="216" t="s">
        <v>891</v>
      </c>
    </row>
    <row r="1372" spans="6:10" ht="15" customHeight="1" x14ac:dyDescent="0.25">
      <c r="F1372" s="214">
        <v>44804</v>
      </c>
      <c r="G1372" s="215">
        <v>404.1</v>
      </c>
      <c r="H1372" s="216" t="s">
        <v>264</v>
      </c>
      <c r="I1372" s="216" t="s">
        <v>209</v>
      </c>
      <c r="J1372" s="216" t="s">
        <v>505</v>
      </c>
    </row>
    <row r="1373" spans="6:10" ht="15" customHeight="1" x14ac:dyDescent="0.25">
      <c r="F1373" s="16">
        <v>44805</v>
      </c>
      <c r="G1373" s="17">
        <v>99</v>
      </c>
      <c r="H1373" t="s">
        <v>43</v>
      </c>
      <c r="I1373" t="s">
        <v>607</v>
      </c>
      <c r="J1373" t="s">
        <v>450</v>
      </c>
    </row>
    <row r="1374" spans="6:10" ht="15" customHeight="1" x14ac:dyDescent="0.25">
      <c r="F1374" s="16">
        <v>44810</v>
      </c>
      <c r="G1374" s="17">
        <v>210</v>
      </c>
      <c r="H1374" t="s">
        <v>43</v>
      </c>
      <c r="I1374" t="s">
        <v>16</v>
      </c>
      <c r="J1374" t="s">
        <v>677</v>
      </c>
    </row>
    <row r="1375" spans="6:10" ht="15" customHeight="1" x14ac:dyDescent="0.25">
      <c r="F1375" s="16">
        <v>44810</v>
      </c>
      <c r="G1375" s="17">
        <v>105</v>
      </c>
      <c r="H1375" t="s">
        <v>43</v>
      </c>
      <c r="I1375" t="s">
        <v>16</v>
      </c>
      <c r="J1375" t="s">
        <v>677</v>
      </c>
    </row>
    <row r="1376" spans="6:10" ht="15" customHeight="1" x14ac:dyDescent="0.25">
      <c r="F1376" s="16">
        <v>44810</v>
      </c>
      <c r="G1376" s="17">
        <v>30.1</v>
      </c>
      <c r="H1376" t="s">
        <v>43</v>
      </c>
      <c r="I1376" t="s">
        <v>32</v>
      </c>
    </row>
    <row r="1377" spans="5:10" ht="15" customHeight="1" x14ac:dyDescent="0.25">
      <c r="F1377" s="16">
        <v>44811</v>
      </c>
      <c r="G1377" s="17">
        <v>6.16</v>
      </c>
      <c r="H1377" t="s">
        <v>43</v>
      </c>
      <c r="I1377" t="s">
        <v>58</v>
      </c>
    </row>
    <row r="1378" spans="5:10" ht="15" customHeight="1" x14ac:dyDescent="0.25">
      <c r="F1378" s="16">
        <v>44812</v>
      </c>
      <c r="G1378" s="17">
        <v>146.56</v>
      </c>
      <c r="H1378" t="s">
        <v>43</v>
      </c>
      <c r="I1378" t="s">
        <v>16</v>
      </c>
      <c r="J1378" t="s">
        <v>495</v>
      </c>
    </row>
    <row r="1379" spans="5:10" ht="15" customHeight="1" x14ac:dyDescent="0.25">
      <c r="F1379" s="16">
        <v>44812</v>
      </c>
      <c r="G1379" s="17">
        <v>129.28</v>
      </c>
      <c r="H1379" t="s">
        <v>43</v>
      </c>
      <c r="I1379" t="s">
        <v>16</v>
      </c>
      <c r="J1379" t="s">
        <v>730</v>
      </c>
    </row>
    <row r="1380" spans="5:10" ht="15" customHeight="1" x14ac:dyDescent="0.25">
      <c r="F1380" s="16">
        <v>44813</v>
      </c>
      <c r="G1380" s="17">
        <v>46.6</v>
      </c>
      <c r="H1380" t="s">
        <v>43</v>
      </c>
      <c r="I1380" t="s">
        <v>133</v>
      </c>
    </row>
    <row r="1381" spans="5:10" ht="15" customHeight="1" x14ac:dyDescent="0.25">
      <c r="E1381" s="21"/>
      <c r="F1381" s="16"/>
      <c r="G1381" s="17"/>
    </row>
    <row r="1382" spans="5:10" ht="15" customHeight="1" x14ac:dyDescent="0.25">
      <c r="F1382" s="16">
        <v>44814</v>
      </c>
      <c r="G1382" s="17">
        <v>158</v>
      </c>
      <c r="H1382" t="s">
        <v>43</v>
      </c>
      <c r="I1382" t="s">
        <v>16</v>
      </c>
      <c r="J1382" t="s">
        <v>665</v>
      </c>
    </row>
    <row r="1383" spans="5:10" ht="15" customHeight="1" x14ac:dyDescent="0.25">
      <c r="F1383" s="16">
        <v>44816</v>
      </c>
      <c r="G1383" s="17">
        <v>15000</v>
      </c>
      <c r="H1383" t="s">
        <v>261</v>
      </c>
    </row>
    <row r="1384" spans="5:10" ht="15" customHeight="1" x14ac:dyDescent="0.25">
      <c r="F1384" s="16">
        <v>44816</v>
      </c>
      <c r="G1384" s="17"/>
      <c r="H1384" t="s">
        <v>264</v>
      </c>
      <c r="I1384" t="s">
        <v>579</v>
      </c>
    </row>
    <row r="1385" spans="5:10" ht="15" customHeight="1" x14ac:dyDescent="0.25">
      <c r="F1385" s="16">
        <v>44817</v>
      </c>
      <c r="G1385" s="17">
        <v>105</v>
      </c>
      <c r="H1385" t="s">
        <v>43</v>
      </c>
      <c r="I1385" t="s">
        <v>16</v>
      </c>
      <c r="J1385" t="s">
        <v>677</v>
      </c>
    </row>
    <row r="1386" spans="5:10" ht="15" customHeight="1" x14ac:dyDescent="0.25">
      <c r="F1386" s="214">
        <v>44817</v>
      </c>
      <c r="G1386" s="215">
        <v>98.87</v>
      </c>
      <c r="H1386" s="216" t="s">
        <v>264</v>
      </c>
      <c r="I1386" s="216" t="s">
        <v>209</v>
      </c>
      <c r="J1386" s="216" t="s">
        <v>893</v>
      </c>
    </row>
    <row r="1387" spans="5:10" ht="15" customHeight="1" x14ac:dyDescent="0.25">
      <c r="F1387" s="16">
        <v>44817</v>
      </c>
      <c r="G1387" s="17">
        <v>70.489999999999995</v>
      </c>
      <c r="H1387" t="s">
        <v>43</v>
      </c>
      <c r="I1387" t="s">
        <v>32</v>
      </c>
    </row>
    <row r="1388" spans="5:10" ht="15" customHeight="1" x14ac:dyDescent="0.25">
      <c r="F1388" s="16">
        <v>44795</v>
      </c>
      <c r="G1388" s="17">
        <v>0.99</v>
      </c>
      <c r="H1388" t="s">
        <v>22</v>
      </c>
      <c r="I1388" t="s">
        <v>58</v>
      </c>
    </row>
    <row r="1389" spans="5:10" ht="15" customHeight="1" x14ac:dyDescent="0.25">
      <c r="F1389" s="16">
        <v>44802</v>
      </c>
      <c r="G1389" s="17">
        <v>0.99</v>
      </c>
      <c r="H1389" t="s">
        <v>22</v>
      </c>
      <c r="I1389" t="s">
        <v>58</v>
      </c>
    </row>
    <row r="1390" spans="5:10" ht="15" customHeight="1" x14ac:dyDescent="0.25">
      <c r="F1390" s="16">
        <v>44809</v>
      </c>
      <c r="G1390" s="17">
        <v>0.99</v>
      </c>
      <c r="H1390" t="s">
        <v>22</v>
      </c>
      <c r="I1390" t="s">
        <v>58</v>
      </c>
    </row>
    <row r="1391" spans="5:10" ht="15" customHeight="1" x14ac:dyDescent="0.25">
      <c r="F1391" s="16">
        <v>44816</v>
      </c>
      <c r="G1391" s="17">
        <v>0.99</v>
      </c>
      <c r="H1391" t="s">
        <v>22</v>
      </c>
      <c r="I1391" t="s">
        <v>58</v>
      </c>
    </row>
    <row r="1392" spans="5:10" ht="15" customHeight="1" x14ac:dyDescent="0.25">
      <c r="F1392" s="214">
        <v>44817</v>
      </c>
      <c r="G1392" s="215">
        <v>4000</v>
      </c>
      <c r="H1392" s="216" t="s">
        <v>264</v>
      </c>
      <c r="I1392" s="216" t="s">
        <v>209</v>
      </c>
      <c r="J1392" s="216" t="s">
        <v>894</v>
      </c>
    </row>
    <row r="1393" spans="6:10" ht="15" customHeight="1" x14ac:dyDescent="0.25">
      <c r="F1393" s="16">
        <v>44818</v>
      </c>
      <c r="G1393" s="17">
        <v>98.73</v>
      </c>
      <c r="H1393" t="s">
        <v>43</v>
      </c>
      <c r="I1393" t="s">
        <v>16</v>
      </c>
      <c r="J1393" t="s">
        <v>434</v>
      </c>
    </row>
    <row r="1394" spans="6:10" ht="15" customHeight="1" x14ac:dyDescent="0.25">
      <c r="F1394" s="16">
        <v>44808</v>
      </c>
      <c r="G1394" s="17">
        <v>39.9</v>
      </c>
      <c r="H1394" t="s">
        <v>36</v>
      </c>
      <c r="I1394" t="s">
        <v>895</v>
      </c>
    </row>
    <row r="1395" spans="6:10" ht="15" customHeight="1" x14ac:dyDescent="0.25">
      <c r="F1395" s="16">
        <v>44820</v>
      </c>
      <c r="G1395" s="17">
        <v>60</v>
      </c>
      <c r="H1395" t="s">
        <v>43</v>
      </c>
      <c r="I1395" t="s">
        <v>16</v>
      </c>
      <c r="J1395" t="s">
        <v>730</v>
      </c>
    </row>
    <row r="1396" spans="6:10" ht="15" customHeight="1" x14ac:dyDescent="0.25">
      <c r="F1396" s="16">
        <v>44821</v>
      </c>
      <c r="G1396" s="17">
        <v>106.49</v>
      </c>
      <c r="H1396" t="s">
        <v>43</v>
      </c>
      <c r="I1396" t="s">
        <v>32</v>
      </c>
    </row>
    <row r="1397" spans="6:10" ht="15" customHeight="1" x14ac:dyDescent="0.25">
      <c r="F1397" s="16">
        <v>44823</v>
      </c>
      <c r="G1397" s="17">
        <v>0.99</v>
      </c>
      <c r="H1397" t="s">
        <v>22</v>
      </c>
      <c r="I1397" t="s">
        <v>58</v>
      </c>
    </row>
    <row r="1398" spans="6:10" ht="15" customHeight="1" x14ac:dyDescent="0.25">
      <c r="F1398" s="16">
        <v>44824</v>
      </c>
      <c r="G1398" s="17">
        <v>100.03</v>
      </c>
      <c r="H1398" t="s">
        <v>43</v>
      </c>
      <c r="I1398" t="s">
        <v>16</v>
      </c>
      <c r="J1398" t="s">
        <v>144</v>
      </c>
    </row>
    <row r="1399" spans="6:10" ht="15" customHeight="1" x14ac:dyDescent="0.25">
      <c r="F1399" s="16">
        <v>44825</v>
      </c>
      <c r="G1399" s="17">
        <v>105</v>
      </c>
      <c r="H1399" t="s">
        <v>43</v>
      </c>
      <c r="I1399" t="s">
        <v>16</v>
      </c>
      <c r="J1399" t="s">
        <v>677</v>
      </c>
    </row>
    <row r="1400" spans="6:10" ht="15" customHeight="1" x14ac:dyDescent="0.25">
      <c r="F1400" s="16">
        <v>44828</v>
      </c>
      <c r="G1400" s="17">
        <v>105</v>
      </c>
      <c r="H1400" t="s">
        <v>43</v>
      </c>
      <c r="I1400" t="s">
        <v>16</v>
      </c>
      <c r="J1400" t="s">
        <v>677</v>
      </c>
    </row>
    <row r="1401" spans="6:10" ht="15" customHeight="1" x14ac:dyDescent="0.25">
      <c r="F1401" s="16">
        <v>44828</v>
      </c>
      <c r="G1401" s="17">
        <v>11.99</v>
      </c>
      <c r="H1401" t="s">
        <v>43</v>
      </c>
      <c r="I1401" t="s">
        <v>868</v>
      </c>
    </row>
    <row r="1402" spans="6:10" ht="15" customHeight="1" x14ac:dyDescent="0.25">
      <c r="F1402" s="214">
        <v>44829</v>
      </c>
      <c r="G1402" s="215">
        <v>80</v>
      </c>
      <c r="H1402" s="216" t="s">
        <v>264</v>
      </c>
      <c r="I1402" s="216" t="s">
        <v>209</v>
      </c>
      <c r="J1402" s="216" t="s">
        <v>897</v>
      </c>
    </row>
    <row r="1403" spans="6:10" ht="15" customHeight="1" x14ac:dyDescent="0.25">
      <c r="F1403" s="16">
        <v>44830</v>
      </c>
      <c r="G1403" s="17">
        <v>0.99</v>
      </c>
      <c r="H1403" t="s">
        <v>22</v>
      </c>
      <c r="I1403" t="s">
        <v>58</v>
      </c>
    </row>
    <row r="1404" spans="6:10" ht="15" customHeight="1" x14ac:dyDescent="0.25">
      <c r="F1404" s="16">
        <v>44831</v>
      </c>
      <c r="G1404" s="17">
        <v>105</v>
      </c>
      <c r="H1404" t="s">
        <v>43</v>
      </c>
      <c r="I1404" t="s">
        <v>16</v>
      </c>
      <c r="J1404" t="s">
        <v>677</v>
      </c>
    </row>
    <row r="1405" spans="6:10" ht="15" customHeight="1" x14ac:dyDescent="0.25">
      <c r="F1405" s="16">
        <v>44831</v>
      </c>
      <c r="G1405" s="17">
        <v>105</v>
      </c>
      <c r="H1405" t="s">
        <v>43</v>
      </c>
      <c r="I1405" t="s">
        <v>16</v>
      </c>
      <c r="J1405" t="s">
        <v>677</v>
      </c>
    </row>
    <row r="1406" spans="6:10" ht="15" customHeight="1" x14ac:dyDescent="0.25">
      <c r="F1406" s="16">
        <v>44831</v>
      </c>
      <c r="G1406" s="17">
        <v>74.78</v>
      </c>
      <c r="H1406" t="s">
        <v>43</v>
      </c>
      <c r="I1406" t="s">
        <v>32</v>
      </c>
    </row>
    <row r="1407" spans="6:10" ht="15" customHeight="1" x14ac:dyDescent="0.25">
      <c r="F1407" s="16">
        <v>44832</v>
      </c>
      <c r="G1407" s="17">
        <v>90</v>
      </c>
      <c r="H1407" t="s">
        <v>43</v>
      </c>
      <c r="I1407" t="s">
        <v>16</v>
      </c>
      <c r="J1407" t="s">
        <v>677</v>
      </c>
    </row>
    <row r="1408" spans="6:10" ht="15" customHeight="1" x14ac:dyDescent="0.25">
      <c r="F1408" s="16">
        <v>44832</v>
      </c>
      <c r="G1408" s="17">
        <v>170.29</v>
      </c>
      <c r="H1408" t="s">
        <v>43</v>
      </c>
      <c r="I1408" t="s">
        <v>16</v>
      </c>
      <c r="J1408" t="s">
        <v>144</v>
      </c>
    </row>
    <row r="1409" spans="6:10" ht="15" customHeight="1" x14ac:dyDescent="0.25">
      <c r="F1409" s="16">
        <v>44833</v>
      </c>
      <c r="G1409" s="17">
        <v>8.56</v>
      </c>
      <c r="H1409" t="s">
        <v>120</v>
      </c>
      <c r="I1409" t="s">
        <v>898</v>
      </c>
    </row>
    <row r="1410" spans="6:10" ht="15" customHeight="1" x14ac:dyDescent="0.25">
      <c r="F1410" s="214">
        <v>44833</v>
      </c>
      <c r="G1410" s="215">
        <v>20.3</v>
      </c>
      <c r="H1410" s="216" t="s">
        <v>264</v>
      </c>
      <c r="I1410" s="216" t="s">
        <v>209</v>
      </c>
    </row>
    <row r="1411" spans="6:10" ht="15" customHeight="1" x14ac:dyDescent="0.25">
      <c r="F1411" s="16">
        <v>44834</v>
      </c>
      <c r="G1411" s="17">
        <v>18.68</v>
      </c>
      <c r="H1411" t="s">
        <v>43</v>
      </c>
      <c r="I1411" t="s">
        <v>32</v>
      </c>
    </row>
    <row r="1412" spans="6:10" ht="15" customHeight="1" x14ac:dyDescent="0.25">
      <c r="F1412" s="16">
        <v>44834</v>
      </c>
      <c r="G1412" s="17">
        <v>106.32</v>
      </c>
      <c r="H1412" t="s">
        <v>43</v>
      </c>
      <c r="I1412" t="s">
        <v>16</v>
      </c>
      <c r="J1412" t="s">
        <v>144</v>
      </c>
    </row>
    <row r="1413" spans="6:10" ht="15" customHeight="1" x14ac:dyDescent="0.25">
      <c r="F1413" s="214">
        <v>44835</v>
      </c>
      <c r="G1413" s="215">
        <v>150</v>
      </c>
      <c r="H1413" s="216" t="s">
        <v>264</v>
      </c>
      <c r="I1413" s="216" t="s">
        <v>209</v>
      </c>
      <c r="J1413" s="216" t="s">
        <v>900</v>
      </c>
    </row>
    <row r="1414" spans="6:10" ht="15" customHeight="1" x14ac:dyDescent="0.25">
      <c r="F1414" s="16">
        <v>44837</v>
      </c>
      <c r="G1414" s="17">
        <v>0.99</v>
      </c>
      <c r="H1414" t="s">
        <v>22</v>
      </c>
      <c r="I1414" t="s">
        <v>58</v>
      </c>
    </row>
    <row r="1415" spans="6:10" ht="15" customHeight="1" x14ac:dyDescent="0.25">
      <c r="F1415" s="16">
        <v>44838</v>
      </c>
      <c r="G1415" s="17">
        <v>15</v>
      </c>
      <c r="H1415" t="s">
        <v>120</v>
      </c>
    </row>
    <row r="1416" spans="6:10" ht="15" customHeight="1" x14ac:dyDescent="0.25">
      <c r="F1416" s="214">
        <v>44838</v>
      </c>
      <c r="G1416" s="215">
        <v>500</v>
      </c>
      <c r="H1416" s="216" t="s">
        <v>264</v>
      </c>
      <c r="I1416" s="216" t="s">
        <v>209</v>
      </c>
      <c r="J1416" s="216" t="s">
        <v>903</v>
      </c>
    </row>
    <row r="1417" spans="6:10" ht="15" customHeight="1" x14ac:dyDescent="0.25">
      <c r="F1417" s="16">
        <v>44839</v>
      </c>
      <c r="G1417" s="17">
        <v>36.64</v>
      </c>
      <c r="H1417" t="s">
        <v>43</v>
      </c>
      <c r="I1417" t="s">
        <v>32</v>
      </c>
    </row>
    <row r="1418" spans="6:10" ht="15" customHeight="1" x14ac:dyDescent="0.25">
      <c r="F1418" s="214">
        <v>44840</v>
      </c>
      <c r="G1418" s="215">
        <v>950</v>
      </c>
      <c r="H1418" s="216" t="s">
        <v>264</v>
      </c>
      <c r="I1418" s="216" t="s">
        <v>689</v>
      </c>
      <c r="J1418" s="216" t="s">
        <v>901</v>
      </c>
    </row>
    <row r="1419" spans="6:10" ht="15" customHeight="1" x14ac:dyDescent="0.25">
      <c r="F1419" s="214">
        <v>44841</v>
      </c>
      <c r="G1419" s="215">
        <v>86.97</v>
      </c>
      <c r="H1419" s="216" t="s">
        <v>264</v>
      </c>
      <c r="I1419" s="216" t="s">
        <v>209</v>
      </c>
      <c r="J1419" s="216" t="s">
        <v>904</v>
      </c>
    </row>
    <row r="1420" spans="6:10" ht="15" customHeight="1" x14ac:dyDescent="0.25">
      <c r="F1420" s="16">
        <v>44841</v>
      </c>
      <c r="G1420" s="17">
        <v>13.86</v>
      </c>
      <c r="H1420" t="s">
        <v>22</v>
      </c>
      <c r="I1420" t="s">
        <v>58</v>
      </c>
    </row>
    <row r="1421" spans="6:10" ht="15" customHeight="1" x14ac:dyDescent="0.25">
      <c r="F1421" s="214">
        <v>44843</v>
      </c>
      <c r="G1421" s="215">
        <v>100</v>
      </c>
      <c r="H1421" s="216" t="s">
        <v>264</v>
      </c>
      <c r="I1421" s="216" t="s">
        <v>209</v>
      </c>
      <c r="J1421" s="216" t="s">
        <v>886</v>
      </c>
    </row>
    <row r="1422" spans="6:10" ht="15" customHeight="1" x14ac:dyDescent="0.25">
      <c r="F1422" s="214">
        <v>44843</v>
      </c>
      <c r="G1422" s="215">
        <v>200</v>
      </c>
      <c r="H1422" s="216" t="s">
        <v>264</v>
      </c>
      <c r="I1422" s="216" t="s">
        <v>209</v>
      </c>
      <c r="J1422" s="216" t="s">
        <v>905</v>
      </c>
    </row>
    <row r="1423" spans="6:10" ht="15" customHeight="1" x14ac:dyDescent="0.25">
      <c r="F1423" s="214">
        <v>44843</v>
      </c>
      <c r="G1423" s="215">
        <v>100</v>
      </c>
      <c r="H1423" s="216" t="s">
        <v>264</v>
      </c>
      <c r="I1423" s="216" t="s">
        <v>209</v>
      </c>
      <c r="J1423" s="216" t="s">
        <v>906</v>
      </c>
    </row>
    <row r="1424" spans="6:10" ht="15" customHeight="1" x14ac:dyDescent="0.25">
      <c r="F1424" s="214">
        <v>44843</v>
      </c>
      <c r="G1424" s="215">
        <v>2000</v>
      </c>
      <c r="H1424" s="216" t="s">
        <v>264</v>
      </c>
      <c r="I1424" s="216" t="s">
        <v>209</v>
      </c>
      <c r="J1424" s="216" t="s">
        <v>952</v>
      </c>
    </row>
    <row r="1425" spans="5:10" ht="15" customHeight="1" x14ac:dyDescent="0.25">
      <c r="F1425" s="16">
        <v>44844</v>
      </c>
      <c r="G1425" s="17">
        <v>0.99</v>
      </c>
      <c r="H1425" t="s">
        <v>22</v>
      </c>
      <c r="I1425" t="s">
        <v>58</v>
      </c>
    </row>
    <row r="1426" spans="5:10" ht="15" customHeight="1" x14ac:dyDescent="0.25">
      <c r="F1426" s="214">
        <v>44845</v>
      </c>
      <c r="G1426" s="215">
        <v>153.69</v>
      </c>
      <c r="H1426" s="216" t="s">
        <v>264</v>
      </c>
      <c r="I1426" s="216" t="s">
        <v>745</v>
      </c>
      <c r="J1426" s="216" t="s">
        <v>505</v>
      </c>
    </row>
    <row r="1427" spans="5:10" ht="15" customHeight="1" x14ac:dyDescent="0.25">
      <c r="F1427" s="214">
        <v>44845</v>
      </c>
      <c r="G1427" s="215">
        <v>200</v>
      </c>
      <c r="H1427" s="216" t="s">
        <v>264</v>
      </c>
      <c r="I1427" s="216" t="s">
        <v>209</v>
      </c>
      <c r="J1427" s="216" t="s">
        <v>907</v>
      </c>
    </row>
    <row r="1428" spans="5:10" ht="15" customHeight="1" x14ac:dyDescent="0.25">
      <c r="F1428" s="16">
        <v>44846</v>
      </c>
      <c r="G1428" s="17">
        <v>505.61</v>
      </c>
      <c r="H1428" t="s">
        <v>120</v>
      </c>
      <c r="I1428" t="s">
        <v>908</v>
      </c>
    </row>
    <row r="1429" spans="5:10" ht="15" customHeight="1" x14ac:dyDescent="0.25">
      <c r="F1429" s="16">
        <v>44845</v>
      </c>
      <c r="G1429" s="17">
        <v>137.6</v>
      </c>
      <c r="H1429" t="s">
        <v>120</v>
      </c>
      <c r="I1429" t="s">
        <v>909</v>
      </c>
    </row>
    <row r="1430" spans="5:10" ht="15" customHeight="1" x14ac:dyDescent="0.25">
      <c r="F1430" s="16">
        <v>44851</v>
      </c>
      <c r="G1430" s="17">
        <v>0.99</v>
      </c>
      <c r="H1430" t="s">
        <v>22</v>
      </c>
      <c r="I1430" t="s">
        <v>58</v>
      </c>
    </row>
    <row r="1431" spans="5:10" ht="15" customHeight="1" x14ac:dyDescent="0.25">
      <c r="F1431" s="16">
        <v>44853</v>
      </c>
      <c r="G1431" s="17">
        <v>158</v>
      </c>
      <c r="H1431" t="s">
        <v>43</v>
      </c>
      <c r="I1431" t="s">
        <v>16</v>
      </c>
      <c r="J1431" t="s">
        <v>665</v>
      </c>
    </row>
    <row r="1432" spans="5:10" ht="15" customHeight="1" x14ac:dyDescent="0.25">
      <c r="E1432" s="21"/>
      <c r="F1432" s="16"/>
      <c r="G1432" s="17"/>
    </row>
    <row r="1433" spans="5:10" ht="15" customHeight="1" x14ac:dyDescent="0.25">
      <c r="F1433" s="16">
        <v>44855</v>
      </c>
      <c r="G1433" s="17">
        <v>99</v>
      </c>
      <c r="H1433" t="s">
        <v>43</v>
      </c>
      <c r="I1433" t="s">
        <v>607</v>
      </c>
      <c r="J1433" t="s">
        <v>450</v>
      </c>
    </row>
    <row r="1434" spans="5:10" ht="15" customHeight="1" x14ac:dyDescent="0.25">
      <c r="F1434" s="16">
        <v>44858</v>
      </c>
      <c r="G1434" s="17">
        <v>60</v>
      </c>
      <c r="H1434" t="s">
        <v>43</v>
      </c>
      <c r="I1434" t="s">
        <v>16</v>
      </c>
      <c r="J1434" t="s">
        <v>730</v>
      </c>
    </row>
    <row r="1435" spans="5:10" ht="15" customHeight="1" x14ac:dyDescent="0.25">
      <c r="F1435" s="16">
        <v>44858</v>
      </c>
      <c r="G1435" s="17">
        <v>0.99</v>
      </c>
      <c r="H1435" t="s">
        <v>22</v>
      </c>
      <c r="I1435" t="s">
        <v>58</v>
      </c>
    </row>
    <row r="1436" spans="5:10" ht="15" customHeight="1" x14ac:dyDescent="0.25">
      <c r="F1436" s="214">
        <v>44860</v>
      </c>
      <c r="G1436" s="215">
        <v>803</v>
      </c>
      <c r="H1436" s="216" t="s">
        <v>264</v>
      </c>
      <c r="I1436" s="216" t="s">
        <v>209</v>
      </c>
      <c r="J1436" s="216" t="s">
        <v>913</v>
      </c>
    </row>
    <row r="1437" spans="5:10" ht="15" customHeight="1" x14ac:dyDescent="0.25">
      <c r="F1437" s="214">
        <v>44860</v>
      </c>
      <c r="G1437" s="215">
        <v>698</v>
      </c>
      <c r="H1437" s="216" t="s">
        <v>264</v>
      </c>
      <c r="I1437" s="216" t="s">
        <v>209</v>
      </c>
      <c r="J1437" s="216" t="s">
        <v>914</v>
      </c>
    </row>
    <row r="1438" spans="5:10" ht="15" customHeight="1" x14ac:dyDescent="0.25">
      <c r="F1438" s="214">
        <v>44860</v>
      </c>
      <c r="G1438" s="215">
        <v>1500</v>
      </c>
      <c r="H1438" s="216" t="s">
        <v>264</v>
      </c>
      <c r="I1438" s="216" t="s">
        <v>209</v>
      </c>
      <c r="J1438" s="216" t="s">
        <v>915</v>
      </c>
    </row>
    <row r="1439" spans="5:10" ht="15" customHeight="1" x14ac:dyDescent="0.25">
      <c r="F1439" s="214">
        <v>44860</v>
      </c>
      <c r="G1439" s="215">
        <v>1000</v>
      </c>
      <c r="H1439" s="216" t="s">
        <v>264</v>
      </c>
      <c r="I1439" s="216" t="s">
        <v>209</v>
      </c>
      <c r="J1439" s="216" t="s">
        <v>916</v>
      </c>
    </row>
    <row r="1440" spans="5:10" ht="15" customHeight="1" x14ac:dyDescent="0.25">
      <c r="F1440" s="214">
        <v>44860</v>
      </c>
      <c r="G1440" s="215">
        <v>1000</v>
      </c>
      <c r="H1440" s="216" t="s">
        <v>264</v>
      </c>
      <c r="I1440" s="216" t="s">
        <v>209</v>
      </c>
      <c r="J1440" s="216" t="s">
        <v>917</v>
      </c>
    </row>
    <row r="1441" spans="6:10" ht="15" customHeight="1" x14ac:dyDescent="0.25">
      <c r="F1441" s="214">
        <v>44860</v>
      </c>
      <c r="G1441" s="215">
        <v>3000</v>
      </c>
      <c r="H1441" s="216" t="s">
        <v>264</v>
      </c>
      <c r="I1441" s="216" t="s">
        <v>689</v>
      </c>
      <c r="J1441" s="216" t="s">
        <v>769</v>
      </c>
    </row>
    <row r="1442" spans="6:10" ht="15" customHeight="1" x14ac:dyDescent="0.25">
      <c r="F1442" s="214">
        <v>44860</v>
      </c>
      <c r="G1442" s="215">
        <v>145</v>
      </c>
      <c r="H1442" s="216" t="s">
        <v>264</v>
      </c>
      <c r="I1442" s="216" t="s">
        <v>209</v>
      </c>
      <c r="J1442" s="216" t="s">
        <v>918</v>
      </c>
    </row>
    <row r="1443" spans="6:10" ht="15" customHeight="1" x14ac:dyDescent="0.25">
      <c r="F1443" s="214">
        <v>44860</v>
      </c>
      <c r="G1443" s="215">
        <v>300</v>
      </c>
      <c r="H1443" s="216" t="s">
        <v>264</v>
      </c>
      <c r="I1443" s="216" t="s">
        <v>745</v>
      </c>
      <c r="J1443" s="216" t="s">
        <v>919</v>
      </c>
    </row>
    <row r="1444" spans="6:10" ht="15" customHeight="1" x14ac:dyDescent="0.25">
      <c r="F1444" s="16">
        <v>44862</v>
      </c>
      <c r="G1444" s="17">
        <v>49.8</v>
      </c>
      <c r="H1444" t="s">
        <v>43</v>
      </c>
      <c r="I1444" t="s">
        <v>32</v>
      </c>
    </row>
    <row r="1445" spans="6:10" ht="15" customHeight="1" x14ac:dyDescent="0.25">
      <c r="F1445" s="214">
        <v>44862</v>
      </c>
      <c r="G1445" s="215">
        <f>330+280</f>
        <v>610</v>
      </c>
      <c r="H1445" s="216" t="s">
        <v>264</v>
      </c>
      <c r="I1445" s="216" t="s">
        <v>209</v>
      </c>
      <c r="J1445" s="216" t="s">
        <v>921</v>
      </c>
    </row>
    <row r="1446" spans="6:10" ht="15" customHeight="1" x14ac:dyDescent="0.25">
      <c r="F1446" s="16">
        <v>44863</v>
      </c>
      <c r="G1446" s="17">
        <v>97.97</v>
      </c>
      <c r="H1446" t="s">
        <v>43</v>
      </c>
      <c r="I1446" t="s">
        <v>32</v>
      </c>
    </row>
    <row r="1447" spans="6:10" ht="15" customHeight="1" x14ac:dyDescent="0.25">
      <c r="F1447" s="16">
        <v>44865</v>
      </c>
      <c r="G1447" s="17">
        <v>98.68</v>
      </c>
      <c r="H1447" t="s">
        <v>43</v>
      </c>
      <c r="I1447" t="s">
        <v>920</v>
      </c>
    </row>
    <row r="1448" spans="6:10" ht="15" customHeight="1" x14ac:dyDescent="0.25">
      <c r="F1448" s="214">
        <v>44865</v>
      </c>
      <c r="G1448" s="215">
        <v>220</v>
      </c>
      <c r="H1448" s="216" t="s">
        <v>264</v>
      </c>
      <c r="I1448" s="216" t="s">
        <v>209</v>
      </c>
      <c r="J1448" s="216" t="s">
        <v>922</v>
      </c>
    </row>
    <row r="1449" spans="6:10" ht="15" customHeight="1" x14ac:dyDescent="0.25">
      <c r="F1449" s="214">
        <v>44866</v>
      </c>
      <c r="G1449" s="215">
        <v>51.07</v>
      </c>
      <c r="H1449" s="216" t="s">
        <v>264</v>
      </c>
      <c r="I1449" s="216" t="s">
        <v>209</v>
      </c>
      <c r="J1449" s="216" t="s">
        <v>196</v>
      </c>
    </row>
    <row r="1450" spans="6:10" ht="15" customHeight="1" x14ac:dyDescent="0.25">
      <c r="F1450" s="16">
        <v>44866</v>
      </c>
      <c r="G1450" s="17">
        <v>145</v>
      </c>
      <c r="H1450" t="s">
        <v>43</v>
      </c>
      <c r="I1450" t="s">
        <v>896</v>
      </c>
    </row>
    <row r="1451" spans="6:10" ht="15" customHeight="1" x14ac:dyDescent="0.25">
      <c r="F1451" s="16">
        <v>44866</v>
      </c>
      <c r="G1451" s="17">
        <v>62.5</v>
      </c>
      <c r="H1451" t="s">
        <v>43</v>
      </c>
      <c r="I1451" t="s">
        <v>32</v>
      </c>
    </row>
    <row r="1452" spans="6:10" ht="15" customHeight="1" x14ac:dyDescent="0.25">
      <c r="F1452" s="16">
        <v>44868</v>
      </c>
      <c r="G1452" s="17">
        <v>45.84</v>
      </c>
      <c r="H1452" t="s">
        <v>43</v>
      </c>
      <c r="I1452" t="s">
        <v>32</v>
      </c>
    </row>
    <row r="1453" spans="6:10" ht="15" customHeight="1" x14ac:dyDescent="0.25">
      <c r="F1453" s="16">
        <v>44869</v>
      </c>
      <c r="G1453" s="17">
        <v>101.96</v>
      </c>
      <c r="H1453" t="s">
        <v>43</v>
      </c>
      <c r="I1453" t="s">
        <v>16</v>
      </c>
      <c r="J1453" t="s">
        <v>730</v>
      </c>
    </row>
    <row r="1454" spans="6:10" ht="15" customHeight="1" x14ac:dyDescent="0.25">
      <c r="F1454" s="16">
        <v>44869</v>
      </c>
      <c r="G1454" s="17">
        <v>100.03</v>
      </c>
      <c r="H1454" t="s">
        <v>43</v>
      </c>
      <c r="I1454" t="s">
        <v>16</v>
      </c>
      <c r="J1454" t="s">
        <v>730</v>
      </c>
    </row>
    <row r="1455" spans="6:10" ht="15" customHeight="1" x14ac:dyDescent="0.25">
      <c r="F1455" s="16">
        <v>44870</v>
      </c>
      <c r="G1455" s="17">
        <v>4.99</v>
      </c>
      <c r="H1455" t="s">
        <v>46</v>
      </c>
      <c r="I1455" t="s">
        <v>47</v>
      </c>
    </row>
    <row r="1456" spans="6:10" ht="15" customHeight="1" x14ac:dyDescent="0.25">
      <c r="F1456" s="16">
        <v>44870</v>
      </c>
      <c r="G1456" s="17">
        <v>1375</v>
      </c>
      <c r="H1456" t="s">
        <v>43</v>
      </c>
      <c r="I1456" t="s">
        <v>16</v>
      </c>
      <c r="J1456" t="s">
        <v>677</v>
      </c>
    </row>
    <row r="1457" spans="5:10" ht="15" customHeight="1" x14ac:dyDescent="0.25">
      <c r="F1457" s="16">
        <v>44872</v>
      </c>
      <c r="G1457" s="17">
        <v>100</v>
      </c>
      <c r="H1457" t="s">
        <v>43</v>
      </c>
      <c r="I1457" t="s">
        <v>896</v>
      </c>
    </row>
    <row r="1458" spans="5:10" ht="15" customHeight="1" x14ac:dyDescent="0.25">
      <c r="F1458" s="16">
        <v>44872</v>
      </c>
      <c r="G1458" s="17">
        <v>10.47</v>
      </c>
      <c r="H1458" t="s">
        <v>22</v>
      </c>
      <c r="I1458" t="s">
        <v>58</v>
      </c>
    </row>
    <row r="1459" spans="5:10" ht="15" customHeight="1" x14ac:dyDescent="0.25">
      <c r="F1459" s="16">
        <v>44873</v>
      </c>
      <c r="G1459" s="17">
        <v>158</v>
      </c>
      <c r="H1459" t="s">
        <v>43</v>
      </c>
      <c r="I1459" t="s">
        <v>16</v>
      </c>
      <c r="J1459" t="s">
        <v>665</v>
      </c>
    </row>
    <row r="1460" spans="5:10" ht="15" customHeight="1" x14ac:dyDescent="0.25">
      <c r="E1460" s="21"/>
      <c r="F1460" s="16"/>
      <c r="G1460" s="17"/>
    </row>
    <row r="1461" spans="5:10" ht="15" customHeight="1" x14ac:dyDescent="0.25">
      <c r="F1461" s="214">
        <v>44874</v>
      </c>
      <c r="G1461" s="215">
        <v>880</v>
      </c>
      <c r="H1461" s="216" t="s">
        <v>264</v>
      </c>
      <c r="I1461" s="216" t="s">
        <v>689</v>
      </c>
      <c r="J1461" s="216" t="s">
        <v>901</v>
      </c>
    </row>
    <row r="1462" spans="5:10" ht="15" customHeight="1" x14ac:dyDescent="0.25">
      <c r="F1462" s="16">
        <v>44875</v>
      </c>
      <c r="G1462" s="17">
        <v>40.770000000000003</v>
      </c>
      <c r="H1462" t="s">
        <v>43</v>
      </c>
      <c r="I1462" t="s">
        <v>32</v>
      </c>
    </row>
    <row r="1463" spans="5:10" ht="15" customHeight="1" x14ac:dyDescent="0.25">
      <c r="F1463" s="214">
        <v>44877</v>
      </c>
      <c r="G1463" s="215">
        <v>20</v>
      </c>
      <c r="H1463" s="216" t="s">
        <v>264</v>
      </c>
      <c r="I1463" s="216" t="s">
        <v>209</v>
      </c>
      <c r="J1463" s="216" t="s">
        <v>927</v>
      </c>
    </row>
    <row r="1464" spans="5:10" ht="15" customHeight="1" x14ac:dyDescent="0.25">
      <c r="F1464" s="16">
        <v>44880</v>
      </c>
      <c r="G1464" s="17">
        <v>99</v>
      </c>
      <c r="H1464" t="s">
        <v>43</v>
      </c>
      <c r="I1464" t="s">
        <v>607</v>
      </c>
      <c r="J1464" t="s">
        <v>450</v>
      </c>
    </row>
    <row r="1465" spans="5:10" ht="15" customHeight="1" x14ac:dyDescent="0.25">
      <c r="F1465" s="214">
        <v>44880</v>
      </c>
      <c r="G1465" s="215">
        <v>683.58</v>
      </c>
      <c r="H1465" s="216" t="s">
        <v>264</v>
      </c>
      <c r="I1465" s="216" t="s">
        <v>209</v>
      </c>
      <c r="J1465" s="216" t="s">
        <v>928</v>
      </c>
    </row>
    <row r="1466" spans="5:10" ht="15" customHeight="1" x14ac:dyDescent="0.25">
      <c r="F1466" s="16">
        <v>44880</v>
      </c>
      <c r="G1466" s="17">
        <v>98.68</v>
      </c>
      <c r="H1466" t="s">
        <v>43</v>
      </c>
      <c r="I1466" t="s">
        <v>920</v>
      </c>
    </row>
    <row r="1467" spans="5:10" ht="15" customHeight="1" x14ac:dyDescent="0.25">
      <c r="F1467" s="214">
        <v>44881</v>
      </c>
      <c r="G1467" s="215">
        <v>404.1</v>
      </c>
      <c r="H1467" s="216" t="s">
        <v>264</v>
      </c>
      <c r="I1467" s="216" t="s">
        <v>209</v>
      </c>
      <c r="J1467" s="216" t="s">
        <v>903</v>
      </c>
    </row>
    <row r="1468" spans="5:10" ht="15" customHeight="1" x14ac:dyDescent="0.25">
      <c r="F1468" s="16">
        <v>44881</v>
      </c>
      <c r="G1468" s="17">
        <v>60</v>
      </c>
      <c r="H1468" t="s">
        <v>43</v>
      </c>
      <c r="I1468" t="s">
        <v>16</v>
      </c>
      <c r="J1468" t="s">
        <v>730</v>
      </c>
    </row>
    <row r="1469" spans="5:10" ht="15" customHeight="1" x14ac:dyDescent="0.25">
      <c r="F1469" s="214">
        <v>44883</v>
      </c>
      <c r="G1469" s="215">
        <v>83.65</v>
      </c>
      <c r="H1469" s="216" t="s">
        <v>264</v>
      </c>
      <c r="I1469" s="216" t="s">
        <v>209</v>
      </c>
      <c r="J1469" s="216" t="s">
        <v>904</v>
      </c>
    </row>
    <row r="1470" spans="5:10" ht="15" customHeight="1" x14ac:dyDescent="0.25">
      <c r="F1470" s="16">
        <v>44887</v>
      </c>
      <c r="G1470" s="17"/>
      <c r="H1470" t="s">
        <v>264</v>
      </c>
      <c r="I1470" t="s">
        <v>930</v>
      </c>
    </row>
    <row r="1471" spans="5:10" ht="15" customHeight="1" x14ac:dyDescent="0.25">
      <c r="F1471" s="16">
        <v>44887</v>
      </c>
      <c r="G1471" s="17">
        <v>2068.1</v>
      </c>
      <c r="H1471" t="s">
        <v>264</v>
      </c>
      <c r="I1471" t="s">
        <v>931</v>
      </c>
    </row>
    <row r="1472" spans="5:10" ht="15" customHeight="1" x14ac:dyDescent="0.25">
      <c r="F1472" s="16">
        <v>44887</v>
      </c>
      <c r="G1472" s="17"/>
      <c r="H1472" t="s">
        <v>264</v>
      </c>
      <c r="I1472" t="s">
        <v>929</v>
      </c>
    </row>
    <row r="1473" spans="5:10" ht="15" customHeight="1" x14ac:dyDescent="0.25">
      <c r="F1473" s="16">
        <v>44887</v>
      </c>
      <c r="G1473" s="17">
        <v>100.03</v>
      </c>
      <c r="H1473" t="s">
        <v>43</v>
      </c>
      <c r="I1473" t="s">
        <v>16</v>
      </c>
      <c r="J1473" t="s">
        <v>144</v>
      </c>
    </row>
    <row r="1474" spans="5:10" ht="15" customHeight="1" x14ac:dyDescent="0.25">
      <c r="F1474" s="16">
        <v>44888</v>
      </c>
      <c r="G1474" s="17">
        <v>91.48</v>
      </c>
      <c r="H1474" t="s">
        <v>43</v>
      </c>
      <c r="I1474" t="s">
        <v>453</v>
      </c>
      <c r="J1474" t="s">
        <v>27</v>
      </c>
    </row>
    <row r="1475" spans="5:10" ht="15" customHeight="1" x14ac:dyDescent="0.25">
      <c r="F1475" s="16">
        <v>44888</v>
      </c>
      <c r="G1475" s="17">
        <v>46.49</v>
      </c>
      <c r="H1475" t="s">
        <v>120</v>
      </c>
      <c r="I1475" t="s">
        <v>453</v>
      </c>
      <c r="J1475" t="s">
        <v>704</v>
      </c>
    </row>
    <row r="1476" spans="5:10" ht="15" customHeight="1" x14ac:dyDescent="0.25">
      <c r="F1476" s="16">
        <v>44888</v>
      </c>
      <c r="G1476" s="17">
        <v>13.18</v>
      </c>
      <c r="H1476" t="s">
        <v>120</v>
      </c>
      <c r="I1476" t="s">
        <v>453</v>
      </c>
      <c r="J1476" t="s">
        <v>704</v>
      </c>
    </row>
    <row r="1477" spans="5:10" ht="15" customHeight="1" x14ac:dyDescent="0.25">
      <c r="F1477" s="48">
        <v>44865</v>
      </c>
      <c r="G1477" s="17">
        <v>0.99</v>
      </c>
      <c r="H1477" t="s">
        <v>22</v>
      </c>
      <c r="I1477" t="s">
        <v>58</v>
      </c>
    </row>
    <row r="1478" spans="5:10" ht="15" customHeight="1" x14ac:dyDescent="0.25">
      <c r="F1478" s="48">
        <v>44872</v>
      </c>
      <c r="G1478" s="17">
        <v>0.99</v>
      </c>
      <c r="H1478" t="s">
        <v>22</v>
      </c>
      <c r="I1478" t="s">
        <v>58</v>
      </c>
    </row>
    <row r="1479" spans="5:10" ht="15" customHeight="1" x14ac:dyDescent="0.25">
      <c r="F1479" s="48">
        <v>44879</v>
      </c>
      <c r="G1479" s="17">
        <v>0.99</v>
      </c>
      <c r="H1479" t="s">
        <v>22</v>
      </c>
      <c r="I1479" t="s">
        <v>58</v>
      </c>
    </row>
    <row r="1480" spans="5:10" ht="15" customHeight="1" x14ac:dyDescent="0.25">
      <c r="F1480" s="48">
        <v>44886</v>
      </c>
      <c r="G1480" s="17">
        <v>0.99</v>
      </c>
      <c r="H1480" t="s">
        <v>22</v>
      </c>
      <c r="I1480" t="s">
        <v>58</v>
      </c>
    </row>
    <row r="1481" spans="5:10" ht="15" customHeight="1" x14ac:dyDescent="0.25">
      <c r="F1481" s="16">
        <v>44858</v>
      </c>
      <c r="G1481" s="17">
        <v>30</v>
      </c>
      <c r="H1481" t="s">
        <v>22</v>
      </c>
      <c r="I1481" t="s">
        <v>935</v>
      </c>
      <c r="J1481" t="s">
        <v>676</v>
      </c>
    </row>
    <row r="1482" spans="5:10" ht="15" customHeight="1" x14ac:dyDescent="0.25">
      <c r="F1482" s="214">
        <v>44890</v>
      </c>
      <c r="G1482" s="215">
        <v>1124.96</v>
      </c>
      <c r="H1482" s="216" t="s">
        <v>264</v>
      </c>
      <c r="I1482" s="216" t="s">
        <v>209</v>
      </c>
      <c r="J1482" s="216" t="s">
        <v>938</v>
      </c>
    </row>
    <row r="1483" spans="5:10" ht="15" customHeight="1" x14ac:dyDescent="0.25">
      <c r="E1483" s="21"/>
      <c r="F1483" s="16"/>
      <c r="G1483" s="17"/>
    </row>
    <row r="1484" spans="5:10" ht="15" customHeight="1" x14ac:dyDescent="0.25">
      <c r="F1484" s="16">
        <v>44891</v>
      </c>
      <c r="G1484" s="17">
        <v>205.68</v>
      </c>
      <c r="H1484" t="s">
        <v>120</v>
      </c>
      <c r="I1484" t="s">
        <v>20</v>
      </c>
    </row>
    <row r="1485" spans="5:10" ht="15" customHeight="1" x14ac:dyDescent="0.25">
      <c r="F1485" s="16">
        <v>44894</v>
      </c>
      <c r="G1485" s="17">
        <v>450</v>
      </c>
      <c r="H1485" t="s">
        <v>120</v>
      </c>
      <c r="I1485" t="s">
        <v>503</v>
      </c>
    </row>
    <row r="1486" spans="5:10" ht="15" customHeight="1" x14ac:dyDescent="0.25">
      <c r="F1486" s="214">
        <v>44894</v>
      </c>
      <c r="G1486" s="215">
        <v>149</v>
      </c>
      <c r="H1486" s="216" t="s">
        <v>264</v>
      </c>
      <c r="I1486" s="216" t="s">
        <v>209</v>
      </c>
      <c r="J1486" s="216" t="s">
        <v>939</v>
      </c>
    </row>
    <row r="1487" spans="5:10" ht="15" customHeight="1" x14ac:dyDescent="0.25">
      <c r="F1487" s="16">
        <v>44895</v>
      </c>
      <c r="G1487" s="17">
        <v>2</v>
      </c>
      <c r="H1487" t="s">
        <v>120</v>
      </c>
      <c r="I1487" t="s">
        <v>955</v>
      </c>
    </row>
    <row r="1488" spans="5:10" ht="15" customHeight="1" x14ac:dyDescent="0.25">
      <c r="F1488" s="214">
        <v>44895</v>
      </c>
      <c r="G1488" s="215">
        <v>295.23</v>
      </c>
      <c r="H1488" s="216" t="s">
        <v>264</v>
      </c>
      <c r="I1488" s="216" t="s">
        <v>209</v>
      </c>
      <c r="J1488" s="216" t="s">
        <v>940</v>
      </c>
    </row>
    <row r="1489" spans="5:10" ht="15" customHeight="1" x14ac:dyDescent="0.25">
      <c r="F1489" s="214">
        <v>44895</v>
      </c>
      <c r="G1489" s="215">
        <v>400</v>
      </c>
      <c r="H1489" s="216" t="s">
        <v>264</v>
      </c>
      <c r="I1489" s="216" t="s">
        <v>745</v>
      </c>
      <c r="J1489" s="216" t="s">
        <v>941</v>
      </c>
    </row>
    <row r="1490" spans="5:10" ht="15" customHeight="1" x14ac:dyDescent="0.25">
      <c r="F1490" s="214">
        <v>44895</v>
      </c>
      <c r="G1490" s="215">
        <v>70</v>
      </c>
      <c r="H1490" s="216" t="s">
        <v>264</v>
      </c>
      <c r="I1490" s="216" t="s">
        <v>209</v>
      </c>
      <c r="J1490" s="216" t="s">
        <v>53</v>
      </c>
    </row>
    <row r="1491" spans="5:10" ht="15" customHeight="1" x14ac:dyDescent="0.25">
      <c r="F1491" s="16">
        <v>44895</v>
      </c>
      <c r="G1491" s="17">
        <v>101.96</v>
      </c>
      <c r="H1491" t="s">
        <v>43</v>
      </c>
      <c r="I1491" t="s">
        <v>16</v>
      </c>
      <c r="J1491" t="s">
        <v>144</v>
      </c>
    </row>
    <row r="1492" spans="5:10" ht="15" customHeight="1" x14ac:dyDescent="0.25">
      <c r="F1492" s="16">
        <v>44893</v>
      </c>
      <c r="G1492" s="17">
        <v>0.99</v>
      </c>
      <c r="H1492" t="s">
        <v>22</v>
      </c>
      <c r="I1492" t="s">
        <v>58</v>
      </c>
    </row>
    <row r="1493" spans="5:10" ht="15" customHeight="1" x14ac:dyDescent="0.25">
      <c r="F1493" s="214">
        <v>44897</v>
      </c>
      <c r="G1493" s="215">
        <v>51.07</v>
      </c>
      <c r="H1493" s="216" t="s">
        <v>264</v>
      </c>
      <c r="I1493" s="216" t="s">
        <v>209</v>
      </c>
      <c r="J1493" s="216" t="s">
        <v>942</v>
      </c>
    </row>
    <row r="1494" spans="5:10" ht="15" customHeight="1" x14ac:dyDescent="0.25">
      <c r="F1494" s="16">
        <v>44900</v>
      </c>
      <c r="G1494" s="17">
        <v>50</v>
      </c>
      <c r="H1494" t="s">
        <v>120</v>
      </c>
      <c r="I1494" t="s">
        <v>801</v>
      </c>
    </row>
    <row r="1495" spans="5:10" ht="15" customHeight="1" x14ac:dyDescent="0.25">
      <c r="F1495" s="16">
        <v>44902</v>
      </c>
      <c r="G1495" s="17">
        <v>205.68</v>
      </c>
      <c r="H1495" t="s">
        <v>120</v>
      </c>
      <c r="I1495" t="s">
        <v>20</v>
      </c>
    </row>
    <row r="1496" spans="5:10" ht="15" customHeight="1" x14ac:dyDescent="0.25">
      <c r="F1496" s="214">
        <v>44902</v>
      </c>
      <c r="G1496" s="215">
        <v>220</v>
      </c>
      <c r="H1496" s="216" t="s">
        <v>264</v>
      </c>
      <c r="I1496" s="216" t="s">
        <v>209</v>
      </c>
      <c r="J1496" s="216" t="s">
        <v>922</v>
      </c>
    </row>
    <row r="1497" spans="5:10" ht="15" customHeight="1" x14ac:dyDescent="0.25">
      <c r="F1497" s="16">
        <v>44902</v>
      </c>
      <c r="G1497" s="17">
        <v>7.89</v>
      </c>
      <c r="H1497" t="s">
        <v>22</v>
      </c>
      <c r="I1497" t="s">
        <v>58</v>
      </c>
    </row>
    <row r="1498" spans="5:10" ht="15" customHeight="1" x14ac:dyDescent="0.25">
      <c r="F1498" s="16">
        <v>44903</v>
      </c>
      <c r="G1498" s="17">
        <v>80</v>
      </c>
      <c r="H1498" t="s">
        <v>120</v>
      </c>
      <c r="I1498" t="s">
        <v>98</v>
      </c>
    </row>
    <row r="1499" spans="5:10" ht="15" customHeight="1" x14ac:dyDescent="0.25">
      <c r="F1499" s="16">
        <v>44903</v>
      </c>
      <c r="G1499" s="17">
        <v>1010.89</v>
      </c>
      <c r="H1499" t="s">
        <v>261</v>
      </c>
      <c r="I1499" t="s">
        <v>944</v>
      </c>
    </row>
    <row r="1500" spans="5:10" ht="15" customHeight="1" x14ac:dyDescent="0.25">
      <c r="F1500" s="16">
        <v>44903</v>
      </c>
      <c r="G1500" s="17">
        <v>158</v>
      </c>
      <c r="H1500" t="s">
        <v>43</v>
      </c>
      <c r="I1500" t="s">
        <v>16</v>
      </c>
      <c r="J1500" t="s">
        <v>665</v>
      </c>
    </row>
    <row r="1501" spans="5:10" ht="15" customHeight="1" x14ac:dyDescent="0.25">
      <c r="E1501" s="21"/>
      <c r="F1501" s="16"/>
      <c r="G1501" s="17"/>
    </row>
    <row r="1502" spans="5:10" ht="15" customHeight="1" x14ac:dyDescent="0.25">
      <c r="F1502" s="16">
        <v>44905</v>
      </c>
      <c r="G1502" s="17">
        <v>200</v>
      </c>
      <c r="H1502" t="s">
        <v>263</v>
      </c>
    </row>
    <row r="1503" spans="5:10" ht="15" customHeight="1" x14ac:dyDescent="0.25">
      <c r="F1503" s="16">
        <v>44906</v>
      </c>
      <c r="G1503" s="17">
        <v>300</v>
      </c>
      <c r="H1503" t="s">
        <v>263</v>
      </c>
    </row>
    <row r="1504" spans="5:10" ht="15" customHeight="1" x14ac:dyDescent="0.25">
      <c r="F1504" s="16">
        <v>44900</v>
      </c>
      <c r="G1504" s="17">
        <v>131.4</v>
      </c>
      <c r="H1504" t="s">
        <v>22</v>
      </c>
      <c r="I1504" t="s">
        <v>58</v>
      </c>
    </row>
    <row r="1505" spans="6:10" ht="15" customHeight="1" x14ac:dyDescent="0.25">
      <c r="F1505" s="16">
        <v>44900</v>
      </c>
      <c r="G1505" s="17">
        <v>0.99</v>
      </c>
      <c r="H1505" t="s">
        <v>22</v>
      </c>
      <c r="I1505" t="s">
        <v>58</v>
      </c>
    </row>
    <row r="1506" spans="6:10" ht="15" customHeight="1" x14ac:dyDescent="0.25">
      <c r="F1506" s="16">
        <v>44907</v>
      </c>
      <c r="G1506" s="17">
        <v>0.99</v>
      </c>
      <c r="H1506" t="s">
        <v>22</v>
      </c>
      <c r="I1506" t="s">
        <v>58</v>
      </c>
    </row>
    <row r="1507" spans="6:10" ht="15" customHeight="1" x14ac:dyDescent="0.25">
      <c r="F1507" s="214">
        <v>44908</v>
      </c>
      <c r="G1507" s="215">
        <v>641.58000000000004</v>
      </c>
      <c r="H1507" s="216" t="s">
        <v>264</v>
      </c>
      <c r="I1507" s="216" t="s">
        <v>209</v>
      </c>
      <c r="J1507" s="216" t="s">
        <v>946</v>
      </c>
    </row>
    <row r="1508" spans="6:10" ht="15" customHeight="1" x14ac:dyDescent="0.25">
      <c r="F1508" s="16">
        <v>44908</v>
      </c>
      <c r="G1508" s="17">
        <v>98.68</v>
      </c>
      <c r="H1508" t="s">
        <v>261</v>
      </c>
      <c r="I1508" t="s">
        <v>920</v>
      </c>
    </row>
    <row r="1509" spans="6:10" ht="15" customHeight="1" x14ac:dyDescent="0.25">
      <c r="F1509" s="16">
        <v>44908</v>
      </c>
      <c r="G1509" s="17">
        <v>109.96</v>
      </c>
      <c r="H1509" t="s">
        <v>43</v>
      </c>
      <c r="I1509" t="s">
        <v>16</v>
      </c>
      <c r="J1509" t="s">
        <v>730</v>
      </c>
    </row>
    <row r="1510" spans="6:10" ht="15" customHeight="1" x14ac:dyDescent="0.25">
      <c r="F1510" s="16">
        <v>44908</v>
      </c>
      <c r="G1510" s="17">
        <v>500</v>
      </c>
      <c r="H1510" t="s">
        <v>263</v>
      </c>
    </row>
    <row r="1511" spans="6:10" ht="15" customHeight="1" x14ac:dyDescent="0.25">
      <c r="F1511" s="214">
        <v>44909</v>
      </c>
      <c r="G1511" s="215">
        <v>153.69</v>
      </c>
      <c r="H1511" s="216" t="s">
        <v>264</v>
      </c>
      <c r="I1511" s="216" t="s">
        <v>745</v>
      </c>
      <c r="J1511" s="216"/>
    </row>
    <row r="1512" spans="6:10" ht="15" customHeight="1" x14ac:dyDescent="0.25">
      <c r="F1512" s="214">
        <v>44909</v>
      </c>
      <c r="G1512" s="215">
        <v>153.69</v>
      </c>
      <c r="H1512" s="216" t="s">
        <v>264</v>
      </c>
      <c r="I1512" s="216" t="s">
        <v>689</v>
      </c>
      <c r="J1512" s="216"/>
    </row>
    <row r="1513" spans="6:10" ht="15" customHeight="1" x14ac:dyDescent="0.25">
      <c r="F1513" s="214">
        <v>44909</v>
      </c>
      <c r="G1513" s="215">
        <v>85</v>
      </c>
      <c r="H1513" s="216" t="s">
        <v>264</v>
      </c>
      <c r="I1513" s="216" t="s">
        <v>209</v>
      </c>
      <c r="J1513" s="216" t="s">
        <v>947</v>
      </c>
    </row>
    <row r="1514" spans="6:10" ht="15" customHeight="1" x14ac:dyDescent="0.25">
      <c r="F1514" s="16">
        <v>44909</v>
      </c>
      <c r="G1514" s="17">
        <v>4.99</v>
      </c>
      <c r="H1514" t="s">
        <v>46</v>
      </c>
      <c r="I1514" t="s">
        <v>47</v>
      </c>
    </row>
    <row r="1515" spans="6:10" ht="15" customHeight="1" x14ac:dyDescent="0.25">
      <c r="F1515" s="16">
        <v>44911</v>
      </c>
      <c r="G1515" s="17">
        <v>205.68</v>
      </c>
      <c r="H1515" t="s">
        <v>120</v>
      </c>
      <c r="I1515" t="s">
        <v>20</v>
      </c>
    </row>
    <row r="1516" spans="6:10" ht="15" customHeight="1" x14ac:dyDescent="0.25">
      <c r="F1516" s="16">
        <v>44911</v>
      </c>
      <c r="G1516" s="17">
        <v>73.78</v>
      </c>
      <c r="H1516" t="s">
        <v>43</v>
      </c>
      <c r="I1516" t="s">
        <v>16</v>
      </c>
      <c r="J1516" t="s">
        <v>730</v>
      </c>
    </row>
    <row r="1517" spans="6:10" ht="15" customHeight="1" x14ac:dyDescent="0.25">
      <c r="F1517" s="16">
        <v>44912</v>
      </c>
      <c r="G1517" s="17">
        <v>21.95</v>
      </c>
      <c r="H1517" t="s">
        <v>36</v>
      </c>
      <c r="I1517" t="s">
        <v>948</v>
      </c>
    </row>
    <row r="1518" spans="6:10" ht="15" customHeight="1" x14ac:dyDescent="0.25">
      <c r="F1518" s="16">
        <v>44915</v>
      </c>
      <c r="G1518" s="17">
        <v>100.03</v>
      </c>
      <c r="H1518" t="s">
        <v>43</v>
      </c>
      <c r="I1518" t="s">
        <v>16</v>
      </c>
      <c r="J1518" t="s">
        <v>144</v>
      </c>
    </row>
    <row r="1519" spans="6:10" ht="15" customHeight="1" x14ac:dyDescent="0.25">
      <c r="F1519" s="214">
        <v>44917</v>
      </c>
      <c r="G1519" s="215">
        <v>5.05</v>
      </c>
      <c r="H1519" s="216" t="s">
        <v>264</v>
      </c>
      <c r="I1519" s="216" t="s">
        <v>209</v>
      </c>
      <c r="J1519" s="216" t="s">
        <v>949</v>
      </c>
    </row>
    <row r="1520" spans="6:10" ht="15" customHeight="1" x14ac:dyDescent="0.25">
      <c r="F1520" s="214">
        <v>44918</v>
      </c>
      <c r="G1520" s="215">
        <v>3.5</v>
      </c>
      <c r="H1520" s="216" t="s">
        <v>264</v>
      </c>
      <c r="I1520" s="216" t="s">
        <v>209</v>
      </c>
      <c r="J1520" s="216" t="s">
        <v>950</v>
      </c>
    </row>
    <row r="1521" spans="6:10" ht="15" customHeight="1" x14ac:dyDescent="0.25">
      <c r="F1521" s="16">
        <v>44918</v>
      </c>
      <c r="G1521" s="17">
        <v>111.12</v>
      </c>
      <c r="H1521" t="s">
        <v>43</v>
      </c>
      <c r="I1521" t="s">
        <v>16</v>
      </c>
      <c r="J1521" t="s">
        <v>730</v>
      </c>
    </row>
    <row r="1522" spans="6:10" ht="15" customHeight="1" x14ac:dyDescent="0.25">
      <c r="F1522" s="16">
        <v>44919</v>
      </c>
      <c r="G1522" s="17">
        <v>4.99</v>
      </c>
      <c r="H1522" t="s">
        <v>46</v>
      </c>
      <c r="I1522" t="s">
        <v>47</v>
      </c>
    </row>
    <row r="1523" spans="6:10" ht="15" customHeight="1" x14ac:dyDescent="0.25">
      <c r="F1523" s="16">
        <v>44924</v>
      </c>
      <c r="G1523" s="17">
        <v>6.99</v>
      </c>
      <c r="H1523" t="s">
        <v>120</v>
      </c>
      <c r="I1523" t="s">
        <v>729</v>
      </c>
    </row>
    <row r="1524" spans="6:10" ht="15" customHeight="1" x14ac:dyDescent="0.25">
      <c r="F1524" s="16">
        <v>44924</v>
      </c>
      <c r="G1524" s="17">
        <v>16.98</v>
      </c>
      <c r="H1524" t="s">
        <v>120</v>
      </c>
      <c r="I1524" t="s">
        <v>32</v>
      </c>
    </row>
    <row r="1525" spans="6:10" ht="15" customHeight="1" x14ac:dyDescent="0.25">
      <c r="F1525" s="16">
        <v>44925</v>
      </c>
      <c r="G1525" s="17">
        <v>101.96</v>
      </c>
      <c r="H1525" t="s">
        <v>43</v>
      </c>
      <c r="I1525" t="s">
        <v>16</v>
      </c>
      <c r="J1525" t="s">
        <v>144</v>
      </c>
    </row>
    <row r="1526" spans="6:10" ht="15" customHeight="1" x14ac:dyDescent="0.25">
      <c r="F1526" s="16">
        <v>44926</v>
      </c>
      <c r="G1526" s="17">
        <v>6.99</v>
      </c>
      <c r="H1526" t="s">
        <v>120</v>
      </c>
      <c r="I1526" t="s">
        <v>729</v>
      </c>
    </row>
    <row r="1527" spans="6:10" ht="15" customHeight="1" x14ac:dyDescent="0.25">
      <c r="F1527" s="16">
        <v>44926</v>
      </c>
      <c r="G1527" s="17">
        <v>99</v>
      </c>
      <c r="H1527" t="s">
        <v>120</v>
      </c>
      <c r="I1527" t="s">
        <v>607</v>
      </c>
    </row>
    <row r="1528" spans="6:10" ht="15" customHeight="1" x14ac:dyDescent="0.25">
      <c r="F1528" s="16">
        <v>44914</v>
      </c>
      <c r="G1528" s="17">
        <v>0.99</v>
      </c>
      <c r="H1528" t="s">
        <v>22</v>
      </c>
      <c r="I1528" t="s">
        <v>58</v>
      </c>
    </row>
    <row r="1529" spans="6:10" ht="15" customHeight="1" x14ac:dyDescent="0.25">
      <c r="F1529" s="16">
        <v>44923</v>
      </c>
      <c r="G1529" s="17">
        <v>0.99</v>
      </c>
      <c r="H1529" t="s">
        <v>22</v>
      </c>
      <c r="I1529" t="s">
        <v>58</v>
      </c>
    </row>
    <row r="1530" spans="6:10" ht="15" customHeight="1" x14ac:dyDescent="0.25">
      <c r="F1530" s="16">
        <v>44929</v>
      </c>
      <c r="G1530" s="17">
        <v>0.99</v>
      </c>
      <c r="H1530" t="s">
        <v>22</v>
      </c>
      <c r="I1530" t="s">
        <v>58</v>
      </c>
    </row>
    <row r="1531" spans="6:10" ht="15" customHeight="1" x14ac:dyDescent="0.25">
      <c r="F1531" s="16">
        <v>44930</v>
      </c>
      <c r="G1531" s="17">
        <v>50</v>
      </c>
      <c r="H1531" t="s">
        <v>120</v>
      </c>
      <c r="I1531" t="s">
        <v>801</v>
      </c>
    </row>
    <row r="1532" spans="6:10" ht="15" customHeight="1" x14ac:dyDescent="0.25">
      <c r="F1532" s="214">
        <v>44931</v>
      </c>
      <c r="G1532" s="215">
        <v>150</v>
      </c>
      <c r="H1532" s="216" t="s">
        <v>264</v>
      </c>
      <c r="I1532" s="216" t="s">
        <v>745</v>
      </c>
      <c r="J1532" s="216"/>
    </row>
    <row r="1533" spans="6:10" ht="15" customHeight="1" x14ac:dyDescent="0.25">
      <c r="F1533" s="16">
        <v>44932</v>
      </c>
      <c r="G1533" s="17">
        <v>103.53</v>
      </c>
      <c r="H1533" t="s">
        <v>120</v>
      </c>
      <c r="I1533" t="s">
        <v>206</v>
      </c>
    </row>
    <row r="1534" spans="6:10" ht="15" customHeight="1" x14ac:dyDescent="0.25">
      <c r="F1534" s="16"/>
      <c r="G1534" s="17"/>
    </row>
    <row r="1535" spans="6:10" ht="15" customHeight="1" x14ac:dyDescent="0.25">
      <c r="F1535" s="16">
        <v>44935</v>
      </c>
      <c r="G1535" s="17">
        <v>0.99</v>
      </c>
      <c r="H1535" t="s">
        <v>22</v>
      </c>
      <c r="I1535" t="s">
        <v>58</v>
      </c>
    </row>
    <row r="1536" spans="6:10" ht="15" customHeight="1" x14ac:dyDescent="0.25">
      <c r="F1536" s="16">
        <v>44935</v>
      </c>
      <c r="G1536" s="17">
        <v>158</v>
      </c>
      <c r="H1536" t="s">
        <v>43</v>
      </c>
      <c r="I1536" t="s">
        <v>16</v>
      </c>
      <c r="J1536" t="s">
        <v>665</v>
      </c>
    </row>
    <row r="1537" spans="5:10" ht="15" customHeight="1" x14ac:dyDescent="0.25">
      <c r="E1537" s="21"/>
      <c r="F1537" s="16"/>
      <c r="G1537" s="17"/>
    </row>
    <row r="1538" spans="5:10" ht="15" customHeight="1" x14ac:dyDescent="0.25">
      <c r="F1538" s="16">
        <v>44937</v>
      </c>
      <c r="G1538" s="17">
        <v>98.68</v>
      </c>
      <c r="H1538" t="s">
        <v>43</v>
      </c>
      <c r="I1538" t="s">
        <v>920</v>
      </c>
    </row>
    <row r="1539" spans="5:10" ht="15" customHeight="1" x14ac:dyDescent="0.25">
      <c r="F1539" s="16">
        <v>44937</v>
      </c>
      <c r="G1539" s="17">
        <v>109.96</v>
      </c>
      <c r="H1539" t="s">
        <v>43</v>
      </c>
      <c r="I1539" t="s">
        <v>16</v>
      </c>
      <c r="J1539" t="s">
        <v>730</v>
      </c>
    </row>
    <row r="1540" spans="5:10" ht="15" customHeight="1" x14ac:dyDescent="0.25">
      <c r="F1540" s="16">
        <v>44940</v>
      </c>
      <c r="G1540" s="17">
        <v>15</v>
      </c>
      <c r="H1540" t="s">
        <v>22</v>
      </c>
      <c r="I1540" t="s">
        <v>965</v>
      </c>
    </row>
    <row r="1541" spans="5:10" ht="15" customHeight="1" x14ac:dyDescent="0.25">
      <c r="F1541" s="214">
        <v>44942</v>
      </c>
      <c r="G1541" s="215">
        <v>4500</v>
      </c>
      <c r="H1541" s="216" t="s">
        <v>122</v>
      </c>
      <c r="I1541" s="216" t="s">
        <v>689</v>
      </c>
      <c r="J1541" s="216" t="s">
        <v>769</v>
      </c>
    </row>
    <row r="1542" spans="5:10" ht="15" customHeight="1" x14ac:dyDescent="0.25">
      <c r="F1542" s="214">
        <v>44942</v>
      </c>
      <c r="G1542" s="215">
        <v>1500</v>
      </c>
      <c r="H1542" s="216" t="s">
        <v>122</v>
      </c>
      <c r="I1542" s="216" t="s">
        <v>209</v>
      </c>
      <c r="J1542" s="216" t="s">
        <v>769</v>
      </c>
    </row>
    <row r="1543" spans="5:10" ht="15" customHeight="1" x14ac:dyDescent="0.25">
      <c r="F1543" s="16">
        <v>44942</v>
      </c>
      <c r="G1543" s="17">
        <v>2130</v>
      </c>
      <c r="H1543" t="s">
        <v>43</v>
      </c>
      <c r="I1543" t="s">
        <v>16</v>
      </c>
      <c r="J1543" t="s">
        <v>544</v>
      </c>
    </row>
    <row r="1544" spans="5:10" ht="15" customHeight="1" x14ac:dyDescent="0.25">
      <c r="F1544" s="16">
        <v>44942</v>
      </c>
      <c r="G1544" s="17">
        <v>250</v>
      </c>
      <c r="H1544" t="s">
        <v>122</v>
      </c>
      <c r="I1544" t="s">
        <v>931</v>
      </c>
    </row>
    <row r="1545" spans="5:10" ht="15" customHeight="1" x14ac:dyDescent="0.25">
      <c r="F1545" s="16">
        <v>44942</v>
      </c>
      <c r="G1545" s="17">
        <v>100</v>
      </c>
      <c r="H1545" t="s">
        <v>263</v>
      </c>
      <c r="I1545" t="s">
        <v>967</v>
      </c>
    </row>
    <row r="1546" spans="5:10" ht="15" customHeight="1" x14ac:dyDescent="0.25">
      <c r="F1546" s="214">
        <v>44942</v>
      </c>
      <c r="G1546" s="215">
        <v>140</v>
      </c>
      <c r="H1546" s="216" t="s">
        <v>122</v>
      </c>
      <c r="I1546" s="216" t="s">
        <v>689</v>
      </c>
      <c r="J1546" s="216" t="s">
        <v>796</v>
      </c>
    </row>
    <row r="1547" spans="5:10" ht="15" customHeight="1" x14ac:dyDescent="0.25">
      <c r="F1547" s="214">
        <v>44942</v>
      </c>
      <c r="G1547" s="215">
        <v>150</v>
      </c>
      <c r="H1547" s="216" t="s">
        <v>122</v>
      </c>
      <c r="I1547" s="216" t="s">
        <v>745</v>
      </c>
      <c r="J1547" s="216" t="s">
        <v>969</v>
      </c>
    </row>
    <row r="1548" spans="5:10" ht="15" customHeight="1" x14ac:dyDescent="0.25">
      <c r="F1548" s="16">
        <v>44942</v>
      </c>
      <c r="G1548" s="17">
        <v>150</v>
      </c>
      <c r="H1548" t="s">
        <v>263</v>
      </c>
      <c r="I1548" t="s">
        <v>967</v>
      </c>
    </row>
    <row r="1549" spans="5:10" ht="15" customHeight="1" x14ac:dyDescent="0.25">
      <c r="F1549" s="214">
        <v>44942</v>
      </c>
      <c r="G1549" s="215">
        <v>4000</v>
      </c>
      <c r="H1549" s="216" t="s">
        <v>122</v>
      </c>
      <c r="I1549" s="216" t="s">
        <v>745</v>
      </c>
      <c r="J1549" s="216" t="s">
        <v>972</v>
      </c>
    </row>
    <row r="1550" spans="5:10" ht="15" customHeight="1" x14ac:dyDescent="0.25">
      <c r="F1550" s="214">
        <v>44942</v>
      </c>
      <c r="G1550" s="215">
        <v>622.33000000000004</v>
      </c>
      <c r="H1550" s="216" t="s">
        <v>122</v>
      </c>
      <c r="I1550" s="216" t="s">
        <v>745</v>
      </c>
      <c r="J1550" s="216" t="s">
        <v>973</v>
      </c>
    </row>
    <row r="1551" spans="5:10" ht="15" customHeight="1" x14ac:dyDescent="0.25">
      <c r="F1551" s="16">
        <v>44943</v>
      </c>
      <c r="G1551" s="17">
        <v>4.99</v>
      </c>
      <c r="H1551" t="s">
        <v>46</v>
      </c>
      <c r="I1551" t="s">
        <v>47</v>
      </c>
    </row>
    <row r="1552" spans="5:10" ht="15" customHeight="1" x14ac:dyDescent="0.25">
      <c r="F1552" s="16">
        <v>44943</v>
      </c>
      <c r="G1552" s="17">
        <v>73.78</v>
      </c>
      <c r="H1552" t="s">
        <v>43</v>
      </c>
      <c r="I1552" t="s">
        <v>16</v>
      </c>
      <c r="J1552" t="s">
        <v>730</v>
      </c>
    </row>
    <row r="1553" spans="6:10" ht="15" customHeight="1" x14ac:dyDescent="0.25">
      <c r="F1553" s="16">
        <v>44946</v>
      </c>
      <c r="G1553" s="17">
        <v>25.84</v>
      </c>
      <c r="H1553" t="s">
        <v>43</v>
      </c>
      <c r="I1553" t="s">
        <v>32</v>
      </c>
    </row>
    <row r="1554" spans="6:10" ht="15" customHeight="1" x14ac:dyDescent="0.25">
      <c r="F1554" s="214">
        <v>44946</v>
      </c>
      <c r="G1554" s="215">
        <v>82.5</v>
      </c>
      <c r="H1554" s="216" t="s">
        <v>122</v>
      </c>
      <c r="I1554" s="216" t="s">
        <v>209</v>
      </c>
      <c r="J1554" s="216" t="s">
        <v>960</v>
      </c>
    </row>
    <row r="1555" spans="6:10" ht="15" customHeight="1" x14ac:dyDescent="0.25">
      <c r="F1555" s="16">
        <v>44946</v>
      </c>
      <c r="G1555" s="17">
        <v>100.03</v>
      </c>
      <c r="H1555" t="s">
        <v>43</v>
      </c>
      <c r="I1555" t="s">
        <v>16</v>
      </c>
      <c r="J1555" t="s">
        <v>730</v>
      </c>
    </row>
    <row r="1556" spans="6:10" ht="15" customHeight="1" x14ac:dyDescent="0.25">
      <c r="F1556" s="16">
        <v>44947</v>
      </c>
      <c r="G1556" s="17">
        <v>300</v>
      </c>
      <c r="H1556" t="s">
        <v>261</v>
      </c>
    </row>
    <row r="1557" spans="6:10" ht="15" customHeight="1" x14ac:dyDescent="0.25">
      <c r="F1557" s="214">
        <v>44947</v>
      </c>
      <c r="G1557" s="215">
        <v>350</v>
      </c>
      <c r="H1557" s="216" t="s">
        <v>122</v>
      </c>
      <c r="I1557" s="216" t="s">
        <v>209</v>
      </c>
      <c r="J1557" s="216" t="s">
        <v>597</v>
      </c>
    </row>
    <row r="1558" spans="6:10" ht="15" customHeight="1" x14ac:dyDescent="0.25">
      <c r="F1558" s="16">
        <v>44950</v>
      </c>
      <c r="G1558" s="17">
        <v>15.16</v>
      </c>
      <c r="H1558" t="s">
        <v>43</v>
      </c>
      <c r="I1558" t="s">
        <v>32</v>
      </c>
    </row>
    <row r="1559" spans="6:10" ht="15" customHeight="1" x14ac:dyDescent="0.25">
      <c r="F1559" s="16">
        <v>44950</v>
      </c>
      <c r="G1559" s="17">
        <v>111.12</v>
      </c>
      <c r="H1559" t="s">
        <v>43</v>
      </c>
      <c r="I1559" t="s">
        <v>16</v>
      </c>
      <c r="J1559" t="s">
        <v>730</v>
      </c>
    </row>
    <row r="1560" spans="6:10" ht="15" customHeight="1" x14ac:dyDescent="0.25">
      <c r="F1560" s="16">
        <v>44950</v>
      </c>
      <c r="G1560" s="17">
        <v>1000</v>
      </c>
      <c r="H1560" t="s">
        <v>261</v>
      </c>
      <c r="I1560" t="s">
        <v>979</v>
      </c>
    </row>
    <row r="1561" spans="6:10" ht="15" customHeight="1" x14ac:dyDescent="0.25">
      <c r="F1561" s="16">
        <v>44951</v>
      </c>
      <c r="G1561" s="17">
        <v>10</v>
      </c>
      <c r="H1561" t="s">
        <v>43</v>
      </c>
      <c r="I1561" t="s">
        <v>980</v>
      </c>
    </row>
    <row r="1562" spans="6:10" ht="15" customHeight="1" x14ac:dyDescent="0.25">
      <c r="F1562" s="16">
        <v>44954</v>
      </c>
      <c r="G1562" s="17">
        <v>6.99</v>
      </c>
      <c r="H1562" t="s">
        <v>43</v>
      </c>
      <c r="I1562" t="s">
        <v>982</v>
      </c>
    </row>
    <row r="1563" spans="6:10" ht="15" customHeight="1" x14ac:dyDescent="0.25">
      <c r="F1563" s="16">
        <v>44954</v>
      </c>
      <c r="G1563" s="17">
        <v>99</v>
      </c>
      <c r="H1563" t="s">
        <v>43</v>
      </c>
      <c r="I1563" t="s">
        <v>607</v>
      </c>
    </row>
    <row r="1564" spans="6:10" ht="15" customHeight="1" x14ac:dyDescent="0.25">
      <c r="F1564" s="16">
        <v>44955</v>
      </c>
      <c r="G1564" s="17">
        <v>150</v>
      </c>
      <c r="H1564" t="s">
        <v>43</v>
      </c>
      <c r="I1564" t="s">
        <v>983</v>
      </c>
    </row>
    <row r="1565" spans="6:10" ht="15" customHeight="1" x14ac:dyDescent="0.25">
      <c r="F1565" s="16">
        <v>44955</v>
      </c>
      <c r="G1565" s="17">
        <v>249</v>
      </c>
      <c r="H1565" t="s">
        <v>43</v>
      </c>
      <c r="I1565" t="s">
        <v>984</v>
      </c>
    </row>
    <row r="1566" spans="6:10" ht="15" customHeight="1" x14ac:dyDescent="0.25">
      <c r="F1566" s="16"/>
      <c r="G1566" s="17"/>
    </row>
    <row r="1567" spans="6:10" ht="15" customHeight="1" x14ac:dyDescent="0.25">
      <c r="F1567" s="16">
        <v>44957</v>
      </c>
      <c r="G1567" s="17">
        <v>6.99</v>
      </c>
      <c r="H1567" t="s">
        <v>43</v>
      </c>
      <c r="I1567" t="s">
        <v>982</v>
      </c>
    </row>
    <row r="1568" spans="6:10" ht="15" customHeight="1" x14ac:dyDescent="0.25">
      <c r="F1568" s="16">
        <v>44957</v>
      </c>
      <c r="G1568" s="17">
        <v>119.17</v>
      </c>
      <c r="H1568" t="s">
        <v>43</v>
      </c>
      <c r="I1568" t="s">
        <v>16</v>
      </c>
      <c r="J1568" t="s">
        <v>144</v>
      </c>
    </row>
    <row r="1569" spans="5:10" ht="15" customHeight="1" x14ac:dyDescent="0.25">
      <c r="F1569" s="16">
        <v>44958</v>
      </c>
      <c r="G1569" s="17">
        <v>0.05</v>
      </c>
      <c r="H1569" t="s">
        <v>22</v>
      </c>
      <c r="I1569" t="s">
        <v>987</v>
      </c>
    </row>
    <row r="1570" spans="5:10" ht="15" customHeight="1" x14ac:dyDescent="0.25">
      <c r="F1570" s="16">
        <v>44958</v>
      </c>
      <c r="G1570" s="17">
        <v>130.02000000000001</v>
      </c>
      <c r="H1570" t="s">
        <v>122</v>
      </c>
      <c r="I1570" t="s">
        <v>689</v>
      </c>
    </row>
    <row r="1571" spans="5:10" ht="15" customHeight="1" x14ac:dyDescent="0.25">
      <c r="F1571" s="16">
        <v>44960</v>
      </c>
      <c r="G1571" s="17">
        <v>22.56</v>
      </c>
      <c r="H1571" s="49" t="s">
        <v>120</v>
      </c>
      <c r="I1571" t="s">
        <v>989</v>
      </c>
    </row>
    <row r="1572" spans="5:10" ht="15" customHeight="1" x14ac:dyDescent="0.25">
      <c r="F1572" s="16">
        <v>44960</v>
      </c>
      <c r="G1572" s="17">
        <v>300</v>
      </c>
      <c r="H1572" s="49" t="s">
        <v>97</v>
      </c>
      <c r="I1572" t="s">
        <v>798</v>
      </c>
    </row>
    <row r="1573" spans="5:10" ht="15" customHeight="1" x14ac:dyDescent="0.25">
      <c r="F1573" s="16">
        <v>44963</v>
      </c>
      <c r="G1573" s="17">
        <v>0.99</v>
      </c>
      <c r="H1573" t="s">
        <v>22</v>
      </c>
      <c r="I1573" t="s">
        <v>58</v>
      </c>
    </row>
    <row r="1574" spans="5:10" ht="15" customHeight="1" x14ac:dyDescent="0.25">
      <c r="F1574" s="16">
        <v>44963</v>
      </c>
      <c r="G1574" s="17">
        <v>24</v>
      </c>
      <c r="H1574" t="s">
        <v>120</v>
      </c>
      <c r="I1574" t="s">
        <v>801</v>
      </c>
    </row>
    <row r="1575" spans="5:10" ht="15" customHeight="1" x14ac:dyDescent="0.25">
      <c r="F1575" s="16">
        <v>44964</v>
      </c>
      <c r="G1575" s="17">
        <v>37.119999999999997</v>
      </c>
      <c r="H1575" t="s">
        <v>43</v>
      </c>
      <c r="I1575" t="s">
        <v>989</v>
      </c>
    </row>
    <row r="1576" spans="5:10" ht="15" customHeight="1" x14ac:dyDescent="0.25">
      <c r="F1576" s="16">
        <v>44964</v>
      </c>
      <c r="G1576" s="17">
        <v>18.899999999999999</v>
      </c>
      <c r="H1576" t="s">
        <v>43</v>
      </c>
      <c r="I1576" t="s">
        <v>989</v>
      </c>
    </row>
    <row r="1577" spans="5:10" ht="15" customHeight="1" x14ac:dyDescent="0.25">
      <c r="F1577" s="16">
        <v>44964</v>
      </c>
      <c r="G1577" s="17">
        <v>19.84</v>
      </c>
      <c r="H1577" t="s">
        <v>22</v>
      </c>
      <c r="I1577" t="s">
        <v>58</v>
      </c>
    </row>
    <row r="1578" spans="5:10" ht="15" customHeight="1" x14ac:dyDescent="0.25">
      <c r="F1578" s="16">
        <v>44965</v>
      </c>
      <c r="G1578" s="17">
        <v>78.2</v>
      </c>
      <c r="H1578" t="s">
        <v>43</v>
      </c>
      <c r="I1578" t="s">
        <v>32</v>
      </c>
    </row>
    <row r="1579" spans="5:10" ht="15" customHeight="1" x14ac:dyDescent="0.25">
      <c r="F1579" s="16">
        <v>44965</v>
      </c>
      <c r="G1579" s="17">
        <v>211.6</v>
      </c>
      <c r="H1579" t="s">
        <v>43</v>
      </c>
      <c r="I1579" t="s">
        <v>990</v>
      </c>
      <c r="J1579" t="s">
        <v>991</v>
      </c>
    </row>
    <row r="1580" spans="5:10" ht="15" customHeight="1" x14ac:dyDescent="0.25">
      <c r="F1580" s="16">
        <v>44965</v>
      </c>
      <c r="G1580" s="17">
        <v>160</v>
      </c>
      <c r="H1580" t="s">
        <v>122</v>
      </c>
      <c r="I1580" t="s">
        <v>689</v>
      </c>
    </row>
    <row r="1581" spans="5:10" ht="15" customHeight="1" x14ac:dyDescent="0.25">
      <c r="E1581" s="21"/>
      <c r="F1581" s="16"/>
      <c r="G1581" s="17"/>
    </row>
    <row r="1582" spans="5:10" ht="15" customHeight="1" x14ac:dyDescent="0.25">
      <c r="F1582" s="16">
        <v>44965</v>
      </c>
      <c r="G1582" s="17">
        <v>158</v>
      </c>
      <c r="H1582" t="s">
        <v>43</v>
      </c>
      <c r="I1582" t="s">
        <v>16</v>
      </c>
      <c r="J1582" t="s">
        <v>665</v>
      </c>
    </row>
    <row r="1583" spans="5:10" ht="15" customHeight="1" x14ac:dyDescent="0.25">
      <c r="F1583" s="16">
        <v>44967</v>
      </c>
      <c r="G1583" s="17">
        <v>404.1</v>
      </c>
      <c r="H1583" t="s">
        <v>122</v>
      </c>
      <c r="I1583" t="s">
        <v>209</v>
      </c>
    </row>
    <row r="1584" spans="5:10" ht="15" customHeight="1" x14ac:dyDescent="0.25">
      <c r="F1584" s="16">
        <v>44966</v>
      </c>
      <c r="G1584" s="17">
        <v>130</v>
      </c>
      <c r="H1584" t="s">
        <v>43</v>
      </c>
      <c r="I1584" t="s">
        <v>156</v>
      </c>
    </row>
    <row r="1585" spans="6:10" ht="15" customHeight="1" x14ac:dyDescent="0.25">
      <c r="F1585" s="16">
        <v>44968</v>
      </c>
      <c r="G1585" s="17">
        <v>10</v>
      </c>
      <c r="H1585" t="s">
        <v>43</v>
      </c>
      <c r="I1585" t="s">
        <v>743</v>
      </c>
    </row>
    <row r="1586" spans="6:10" ht="15" customHeight="1" x14ac:dyDescent="0.25">
      <c r="F1586" s="16">
        <v>44968</v>
      </c>
      <c r="G1586" s="17">
        <f>85.68</f>
        <v>85.68</v>
      </c>
      <c r="H1586" t="s">
        <v>43</v>
      </c>
      <c r="I1586" t="s">
        <v>32</v>
      </c>
    </row>
    <row r="1587" spans="6:10" ht="15" customHeight="1" x14ac:dyDescent="0.25">
      <c r="F1587" s="16">
        <v>44968</v>
      </c>
      <c r="G1587" s="17">
        <v>1000</v>
      </c>
      <c r="H1587" t="s">
        <v>122</v>
      </c>
      <c r="I1587" t="s">
        <v>689</v>
      </c>
      <c r="J1587" t="s">
        <v>994</v>
      </c>
    </row>
    <row r="1588" spans="6:10" ht="15" customHeight="1" x14ac:dyDescent="0.25">
      <c r="F1588" s="16">
        <v>44970</v>
      </c>
      <c r="G1588" s="17">
        <f>0.99</f>
        <v>0.99</v>
      </c>
      <c r="H1588" t="s">
        <v>22</v>
      </c>
      <c r="I1588" t="s">
        <v>58</v>
      </c>
    </row>
    <row r="1589" spans="6:10" ht="15" customHeight="1" x14ac:dyDescent="0.25">
      <c r="F1589" s="16">
        <v>44971</v>
      </c>
      <c r="G1589" s="17">
        <v>69.95</v>
      </c>
      <c r="H1589" t="s">
        <v>43</v>
      </c>
      <c r="I1589" t="s">
        <v>32</v>
      </c>
    </row>
    <row r="1590" spans="6:10" ht="15" customHeight="1" x14ac:dyDescent="0.25">
      <c r="F1590" s="16">
        <v>44971</v>
      </c>
      <c r="G1590" s="17">
        <v>98.68</v>
      </c>
      <c r="H1590" t="s">
        <v>43</v>
      </c>
      <c r="I1590" t="s">
        <v>16</v>
      </c>
      <c r="J1590" t="s">
        <v>998</v>
      </c>
    </row>
    <row r="1591" spans="6:10" ht="15" customHeight="1" x14ac:dyDescent="0.25">
      <c r="F1591" s="16">
        <v>44971</v>
      </c>
      <c r="G1591" s="17">
        <v>117.2</v>
      </c>
      <c r="H1591" t="s">
        <v>43</v>
      </c>
      <c r="I1591" t="s">
        <v>16</v>
      </c>
    </row>
    <row r="1592" spans="6:10" ht="15" customHeight="1" x14ac:dyDescent="0.25">
      <c r="F1592" s="16">
        <v>44972</v>
      </c>
      <c r="G1592" s="17">
        <v>205.68</v>
      </c>
      <c r="H1592" t="s">
        <v>43</v>
      </c>
      <c r="I1592" t="s">
        <v>20</v>
      </c>
    </row>
    <row r="1593" spans="6:10" ht="15" customHeight="1" x14ac:dyDescent="0.25">
      <c r="F1593" s="16">
        <v>44973</v>
      </c>
      <c r="G1593" s="17">
        <v>205.68</v>
      </c>
      <c r="H1593" t="s">
        <v>43</v>
      </c>
      <c r="I1593" t="s">
        <v>20</v>
      </c>
    </row>
    <row r="1594" spans="6:10" ht="15" customHeight="1" x14ac:dyDescent="0.25">
      <c r="F1594" s="16">
        <v>44973</v>
      </c>
      <c r="G1594" s="17">
        <v>205.68</v>
      </c>
      <c r="H1594" t="s">
        <v>43</v>
      </c>
      <c r="I1594" t="s">
        <v>20</v>
      </c>
    </row>
    <row r="1595" spans="6:10" ht="15" customHeight="1" x14ac:dyDescent="0.25">
      <c r="F1595" s="16">
        <v>44973</v>
      </c>
      <c r="G1595" s="17">
        <v>205.68</v>
      </c>
      <c r="H1595" t="s">
        <v>43</v>
      </c>
      <c r="I1595" t="s">
        <v>20</v>
      </c>
    </row>
    <row r="1596" spans="6:10" ht="15" customHeight="1" x14ac:dyDescent="0.25">
      <c r="F1596" s="16">
        <v>44973</v>
      </c>
      <c r="G1596" s="17">
        <v>205.68</v>
      </c>
      <c r="H1596" t="s">
        <v>43</v>
      </c>
      <c r="I1596" t="s">
        <v>20</v>
      </c>
    </row>
    <row r="1597" spans="6:10" ht="15" customHeight="1" x14ac:dyDescent="0.25">
      <c r="F1597" s="16">
        <v>44973</v>
      </c>
      <c r="G1597" s="17">
        <v>15.5</v>
      </c>
      <c r="H1597" t="s">
        <v>43</v>
      </c>
      <c r="I1597" t="s">
        <v>32</v>
      </c>
    </row>
    <row r="1598" spans="6:10" ht="15" customHeight="1" x14ac:dyDescent="0.25">
      <c r="F1598" s="16">
        <v>44973</v>
      </c>
      <c r="G1598" s="17">
        <v>73.78</v>
      </c>
      <c r="H1598" t="s">
        <v>43</v>
      </c>
      <c r="I1598" t="s">
        <v>32</v>
      </c>
    </row>
    <row r="1599" spans="6:10" ht="15" customHeight="1" x14ac:dyDescent="0.25">
      <c r="F1599" s="16">
        <v>44974</v>
      </c>
      <c r="G1599" s="17">
        <v>51.36</v>
      </c>
      <c r="H1599" t="s">
        <v>43</v>
      </c>
      <c r="I1599" t="s">
        <v>32</v>
      </c>
    </row>
    <row r="1600" spans="6:10" ht="15" customHeight="1" x14ac:dyDescent="0.25">
      <c r="F1600" s="16">
        <v>44977</v>
      </c>
      <c r="G1600" s="17">
        <v>0.99</v>
      </c>
      <c r="H1600" t="s">
        <v>22</v>
      </c>
      <c r="I1600" t="s">
        <v>58</v>
      </c>
    </row>
    <row r="1601" spans="6:10" ht="15" customHeight="1" x14ac:dyDescent="0.25">
      <c r="F1601" s="16">
        <v>44977</v>
      </c>
      <c r="G1601" s="17">
        <v>308</v>
      </c>
      <c r="H1601" t="s">
        <v>122</v>
      </c>
      <c r="I1601" t="s">
        <v>209</v>
      </c>
    </row>
    <row r="1602" spans="6:10" ht="15" customHeight="1" x14ac:dyDescent="0.25">
      <c r="F1602" s="16">
        <v>44978</v>
      </c>
      <c r="G1602" s="17">
        <v>14</v>
      </c>
      <c r="H1602" t="s">
        <v>43</v>
      </c>
      <c r="I1602" t="s">
        <v>990</v>
      </c>
    </row>
    <row r="1603" spans="6:10" ht="15" customHeight="1" x14ac:dyDescent="0.25">
      <c r="F1603" s="16">
        <v>44978</v>
      </c>
      <c r="G1603" s="17">
        <v>100.03</v>
      </c>
      <c r="H1603" t="s">
        <v>43</v>
      </c>
      <c r="I1603" t="s">
        <v>16</v>
      </c>
      <c r="J1603" t="s">
        <v>144</v>
      </c>
    </row>
    <row r="1604" spans="6:10" ht="15" customHeight="1" x14ac:dyDescent="0.25">
      <c r="F1604" s="16">
        <v>44979</v>
      </c>
      <c r="G1604" s="17">
        <v>85</v>
      </c>
      <c r="H1604" t="s">
        <v>122</v>
      </c>
      <c r="I1604" t="s">
        <v>209</v>
      </c>
      <c r="J1604" t="s">
        <v>98</v>
      </c>
    </row>
    <row r="1605" spans="6:10" ht="15" customHeight="1" x14ac:dyDescent="0.25">
      <c r="F1605" s="16">
        <v>44979</v>
      </c>
      <c r="G1605" s="17">
        <v>99</v>
      </c>
      <c r="H1605" t="s">
        <v>43</v>
      </c>
      <c r="I1605" t="s">
        <v>607</v>
      </c>
      <c r="J1605" t="s">
        <v>450</v>
      </c>
    </row>
    <row r="1606" spans="6:10" ht="15" customHeight="1" x14ac:dyDescent="0.25">
      <c r="F1606" s="16">
        <v>44980</v>
      </c>
      <c r="G1606" s="17">
        <v>118.78</v>
      </c>
      <c r="H1606" t="s">
        <v>43</v>
      </c>
      <c r="I1606" t="s">
        <v>16</v>
      </c>
      <c r="J1606" t="s">
        <v>730</v>
      </c>
    </row>
    <row r="1607" spans="6:10" ht="15" customHeight="1" x14ac:dyDescent="0.25">
      <c r="F1607" s="16">
        <v>44980</v>
      </c>
      <c r="G1607" s="17">
        <v>-2631.5</v>
      </c>
      <c r="H1607" t="s">
        <v>122</v>
      </c>
      <c r="I1607" t="s">
        <v>745</v>
      </c>
    </row>
    <row r="1608" spans="6:10" ht="15" customHeight="1" x14ac:dyDescent="0.25">
      <c r="F1608" s="16">
        <v>44980</v>
      </c>
      <c r="G1608" s="17">
        <v>600</v>
      </c>
      <c r="H1608" t="s">
        <v>122</v>
      </c>
      <c r="I1608" t="s">
        <v>689</v>
      </c>
      <c r="J1608" t="s">
        <v>994</v>
      </c>
    </row>
    <row r="1609" spans="6:10" ht="15" customHeight="1" x14ac:dyDescent="0.25">
      <c r="F1609" s="16">
        <v>44981</v>
      </c>
      <c r="G1609" s="17">
        <v>300</v>
      </c>
      <c r="H1609" t="s">
        <v>122</v>
      </c>
      <c r="I1609" t="s">
        <v>689</v>
      </c>
      <c r="J1609" t="s">
        <v>796</v>
      </c>
    </row>
    <row r="1610" spans="6:10" ht="15" customHeight="1" x14ac:dyDescent="0.25">
      <c r="F1610" s="16">
        <v>44982</v>
      </c>
      <c r="G1610" s="17">
        <v>205.68</v>
      </c>
      <c r="H1610" t="s">
        <v>43</v>
      </c>
      <c r="I1610" t="s">
        <v>20</v>
      </c>
    </row>
    <row r="1611" spans="6:10" ht="15" customHeight="1" x14ac:dyDescent="0.25">
      <c r="F1611" s="16">
        <v>44984</v>
      </c>
      <c r="G1611" s="17">
        <v>0.99</v>
      </c>
      <c r="H1611" t="s">
        <v>22</v>
      </c>
      <c r="I1611" t="s">
        <v>58</v>
      </c>
    </row>
    <row r="1612" spans="6:10" ht="15" customHeight="1" x14ac:dyDescent="0.25">
      <c r="F1612" s="16">
        <v>44985</v>
      </c>
      <c r="G1612" s="17">
        <v>20.12</v>
      </c>
      <c r="H1612" t="s">
        <v>43</v>
      </c>
      <c r="I1612" t="s">
        <v>32</v>
      </c>
    </row>
    <row r="1613" spans="6:10" ht="15" customHeight="1" x14ac:dyDescent="0.25">
      <c r="F1613" s="16">
        <v>44985</v>
      </c>
      <c r="G1613" s="17">
        <v>6.99</v>
      </c>
      <c r="H1613" t="s">
        <v>43</v>
      </c>
      <c r="I1613" t="s">
        <v>982</v>
      </c>
    </row>
    <row r="1614" spans="6:10" ht="15" customHeight="1" x14ac:dyDescent="0.25">
      <c r="F1614" s="16">
        <v>44985</v>
      </c>
      <c r="G1614" s="17">
        <v>2000</v>
      </c>
      <c r="H1614" t="s">
        <v>122</v>
      </c>
      <c r="I1614" t="s">
        <v>689</v>
      </c>
    </row>
    <row r="1615" spans="6:10" ht="15" customHeight="1" x14ac:dyDescent="0.25">
      <c r="F1615" s="16">
        <v>44985</v>
      </c>
      <c r="G1615" s="17">
        <v>559.15</v>
      </c>
      <c r="H1615" t="s">
        <v>122</v>
      </c>
      <c r="I1615" t="s">
        <v>689</v>
      </c>
    </row>
    <row r="1616" spans="6:10" ht="15" customHeight="1" x14ac:dyDescent="0.25">
      <c r="F1616" s="16">
        <v>44986</v>
      </c>
      <c r="G1616" s="17">
        <v>5</v>
      </c>
      <c r="H1616" t="s">
        <v>43</v>
      </c>
      <c r="I1616" t="s">
        <v>743</v>
      </c>
    </row>
    <row r="1617" spans="6:10" ht="15" customHeight="1" x14ac:dyDescent="0.25">
      <c r="F1617" s="16">
        <v>44986</v>
      </c>
      <c r="G1617" s="17">
        <v>86.97</v>
      </c>
      <c r="H1617" t="s">
        <v>122</v>
      </c>
      <c r="I1617" t="s">
        <v>689</v>
      </c>
      <c r="J1617" t="s">
        <v>196</v>
      </c>
    </row>
    <row r="1618" spans="6:10" ht="15" customHeight="1" x14ac:dyDescent="0.25">
      <c r="F1618" s="16">
        <v>44986</v>
      </c>
      <c r="G1618" s="17">
        <v>205.68</v>
      </c>
      <c r="H1618" t="s">
        <v>43</v>
      </c>
      <c r="I1618" t="s">
        <v>20</v>
      </c>
    </row>
    <row r="1619" spans="6:10" ht="15" customHeight="1" x14ac:dyDescent="0.25">
      <c r="F1619" s="16">
        <v>44986</v>
      </c>
      <c r="G1619" s="17">
        <v>119.17</v>
      </c>
      <c r="H1619" t="s">
        <v>43</v>
      </c>
      <c r="I1619" t="s">
        <v>16</v>
      </c>
      <c r="J1619" t="s">
        <v>144</v>
      </c>
    </row>
    <row r="1620" spans="6:10" ht="15" customHeight="1" x14ac:dyDescent="0.25">
      <c r="F1620" s="16">
        <v>44987</v>
      </c>
      <c r="G1620" s="17">
        <v>83.65</v>
      </c>
      <c r="H1620" t="s">
        <v>122</v>
      </c>
      <c r="I1620" t="s">
        <v>745</v>
      </c>
    </row>
    <row r="1621" spans="6:10" ht="15" customHeight="1" x14ac:dyDescent="0.25">
      <c r="F1621" s="16">
        <v>44987</v>
      </c>
      <c r="G1621" s="17">
        <v>52.5</v>
      </c>
      <c r="H1621" t="s">
        <v>43</v>
      </c>
      <c r="I1621" t="s">
        <v>32</v>
      </c>
    </row>
    <row r="1622" spans="6:10" ht="15" customHeight="1" x14ac:dyDescent="0.25">
      <c r="F1622" s="16">
        <v>44987</v>
      </c>
      <c r="G1622" s="17">
        <v>150</v>
      </c>
      <c r="H1622" t="s">
        <v>122</v>
      </c>
      <c r="I1622" t="s">
        <v>689</v>
      </c>
      <c r="J1622" t="s">
        <v>796</v>
      </c>
    </row>
    <row r="1623" spans="6:10" ht="15" customHeight="1" x14ac:dyDescent="0.25">
      <c r="F1623" s="16">
        <v>44987</v>
      </c>
      <c r="G1623" s="17">
        <v>300</v>
      </c>
      <c r="H1623" t="s">
        <v>122</v>
      </c>
      <c r="I1623" t="s">
        <v>689</v>
      </c>
      <c r="J1623" t="s">
        <v>476</v>
      </c>
    </row>
    <row r="1624" spans="6:10" ht="15" customHeight="1" x14ac:dyDescent="0.25">
      <c r="F1624" s="16">
        <v>44988</v>
      </c>
      <c r="G1624" s="17">
        <v>6.99</v>
      </c>
      <c r="H1624" t="s">
        <v>43</v>
      </c>
      <c r="I1624" t="s">
        <v>982</v>
      </c>
    </row>
    <row r="1625" spans="6:10" ht="15" customHeight="1" x14ac:dyDescent="0.25">
      <c r="F1625" s="16">
        <v>44989</v>
      </c>
      <c r="G1625" s="17">
        <v>5</v>
      </c>
      <c r="H1625" t="s">
        <v>43</v>
      </c>
      <c r="I1625" t="s">
        <v>743</v>
      </c>
    </row>
    <row r="1626" spans="6:10" ht="15" customHeight="1" x14ac:dyDescent="0.25">
      <c r="F1626" s="16">
        <v>44990</v>
      </c>
      <c r="G1626" s="17">
        <v>300</v>
      </c>
      <c r="H1626" t="s">
        <v>122</v>
      </c>
      <c r="I1626" t="s">
        <v>689</v>
      </c>
      <c r="J1626" t="s">
        <v>994</v>
      </c>
    </row>
    <row r="1627" spans="6:10" ht="15" customHeight="1" x14ac:dyDescent="0.25">
      <c r="F1627" s="16">
        <v>44991</v>
      </c>
      <c r="G1627" s="17">
        <v>0.99</v>
      </c>
      <c r="H1627" t="s">
        <v>22</v>
      </c>
      <c r="I1627" t="s">
        <v>58</v>
      </c>
    </row>
    <row r="1628" spans="6:10" ht="15" customHeight="1" x14ac:dyDescent="0.25">
      <c r="F1628" s="16">
        <v>44992</v>
      </c>
      <c r="G1628" s="17">
        <v>103.59</v>
      </c>
      <c r="H1628" t="s">
        <v>43</v>
      </c>
      <c r="I1628" t="s">
        <v>32</v>
      </c>
    </row>
    <row r="1629" spans="6:10" ht="15" customHeight="1" x14ac:dyDescent="0.25">
      <c r="F1629" s="16">
        <v>44992</v>
      </c>
      <c r="G1629" s="17">
        <v>85</v>
      </c>
      <c r="H1629" t="s">
        <v>43</v>
      </c>
      <c r="I1629" t="s">
        <v>34</v>
      </c>
    </row>
    <row r="1630" spans="6:10" ht="15" customHeight="1" x14ac:dyDescent="0.25">
      <c r="F1630" s="16">
        <v>44992</v>
      </c>
      <c r="G1630" s="17">
        <v>150</v>
      </c>
      <c r="H1630" t="s">
        <v>122</v>
      </c>
      <c r="I1630" t="s">
        <v>689</v>
      </c>
      <c r="J1630" t="s">
        <v>1003</v>
      </c>
    </row>
    <row r="1631" spans="6:10" ht="15" customHeight="1" x14ac:dyDescent="0.25">
      <c r="F1631" s="16">
        <v>44992</v>
      </c>
      <c r="G1631" s="17">
        <v>20.98</v>
      </c>
      <c r="H1631" t="s">
        <v>22</v>
      </c>
      <c r="I1631" t="s">
        <v>58</v>
      </c>
    </row>
    <row r="1632" spans="6:10" ht="15" customHeight="1" x14ac:dyDescent="0.25">
      <c r="F1632" s="16">
        <v>44992</v>
      </c>
      <c r="G1632" s="17">
        <v>27.5</v>
      </c>
      <c r="H1632" t="s">
        <v>22</v>
      </c>
      <c r="I1632" t="s">
        <v>801</v>
      </c>
    </row>
    <row r="1633" spans="5:10" ht="15" customHeight="1" x14ac:dyDescent="0.25">
      <c r="F1633" s="16">
        <v>44993</v>
      </c>
      <c r="G1633" s="17">
        <v>5</v>
      </c>
      <c r="H1633" t="s">
        <v>43</v>
      </c>
      <c r="I1633" t="s">
        <v>743</v>
      </c>
    </row>
    <row r="1634" spans="5:10" ht="15" customHeight="1" x14ac:dyDescent="0.25">
      <c r="F1634" s="16">
        <v>44993</v>
      </c>
      <c r="G1634" s="17">
        <v>22.02</v>
      </c>
      <c r="H1634" t="s">
        <v>43</v>
      </c>
      <c r="I1634" t="s">
        <v>32</v>
      </c>
    </row>
    <row r="1635" spans="5:10" ht="15" customHeight="1" x14ac:dyDescent="0.25">
      <c r="F1635" s="16">
        <v>44993</v>
      </c>
      <c r="G1635" s="17">
        <v>40.79</v>
      </c>
      <c r="H1635" t="s">
        <v>43</v>
      </c>
      <c r="I1635" t="s">
        <v>32</v>
      </c>
    </row>
    <row r="1636" spans="5:10" ht="15" customHeight="1" x14ac:dyDescent="0.25">
      <c r="F1636" s="16">
        <v>44996</v>
      </c>
      <c r="G1636" s="17">
        <v>39.9</v>
      </c>
      <c r="H1636" t="s">
        <v>37</v>
      </c>
    </row>
    <row r="1637" spans="5:10" ht="15" customHeight="1" x14ac:dyDescent="0.25">
      <c r="F1637" s="16">
        <v>44993</v>
      </c>
      <c r="G1637" s="17">
        <v>158</v>
      </c>
      <c r="H1637" t="s">
        <v>43</v>
      </c>
      <c r="I1637" t="s">
        <v>16</v>
      </c>
      <c r="J1637" t="s">
        <v>665</v>
      </c>
    </row>
    <row r="1638" spans="5:10" ht="15" customHeight="1" x14ac:dyDescent="0.25">
      <c r="E1638" s="21"/>
      <c r="F1638" s="16"/>
      <c r="G1638" s="17"/>
    </row>
    <row r="1639" spans="5:10" ht="15" customHeight="1" x14ac:dyDescent="0.25">
      <c r="F1639" s="16">
        <v>44996</v>
      </c>
      <c r="G1639" s="17">
        <v>120</v>
      </c>
      <c r="H1639" t="s">
        <v>43</v>
      </c>
      <c r="I1639" t="s">
        <v>1004</v>
      </c>
    </row>
    <row r="1640" spans="5:10" ht="15" customHeight="1" x14ac:dyDescent="0.25">
      <c r="F1640" s="16">
        <v>44996</v>
      </c>
      <c r="G1640" s="17">
        <v>5</v>
      </c>
      <c r="H1640" t="s">
        <v>43</v>
      </c>
      <c r="I1640" t="s">
        <v>743</v>
      </c>
    </row>
    <row r="1641" spans="5:10" ht="15" customHeight="1" x14ac:dyDescent="0.25">
      <c r="F1641" s="16">
        <v>44996</v>
      </c>
      <c r="G1641" s="17">
        <v>205.68</v>
      </c>
      <c r="H1641" t="s">
        <v>43</v>
      </c>
      <c r="I1641" t="s">
        <v>20</v>
      </c>
    </row>
    <row r="1642" spans="5:10" ht="15" customHeight="1" x14ac:dyDescent="0.25">
      <c r="F1642" s="16">
        <v>44996</v>
      </c>
      <c r="G1642" s="17">
        <v>86.66</v>
      </c>
      <c r="H1642" t="s">
        <v>43</v>
      </c>
      <c r="I1642" t="s">
        <v>32</v>
      </c>
    </row>
    <row r="1643" spans="5:10" ht="15" customHeight="1" x14ac:dyDescent="0.25">
      <c r="F1643" s="16">
        <v>44996</v>
      </c>
      <c r="G1643" s="17">
        <v>320</v>
      </c>
      <c r="H1643" t="s">
        <v>261</v>
      </c>
    </row>
    <row r="1644" spans="5:10" ht="15" customHeight="1" x14ac:dyDescent="0.25">
      <c r="F1644" s="16">
        <v>44999</v>
      </c>
      <c r="G1644" s="17">
        <v>8.25</v>
      </c>
      <c r="H1644" t="s">
        <v>43</v>
      </c>
      <c r="I1644" t="s">
        <v>32</v>
      </c>
    </row>
    <row r="1645" spans="5:10" ht="15" customHeight="1" x14ac:dyDescent="0.25">
      <c r="F1645" s="16">
        <v>44999</v>
      </c>
      <c r="G1645" s="17">
        <v>8.25</v>
      </c>
      <c r="H1645" t="s">
        <v>43</v>
      </c>
      <c r="I1645" t="s">
        <v>32</v>
      </c>
    </row>
    <row r="1646" spans="5:10" ht="15" customHeight="1" x14ac:dyDescent="0.25">
      <c r="F1646" s="16">
        <v>44999</v>
      </c>
      <c r="G1646" s="17">
        <v>52.52</v>
      </c>
      <c r="H1646" t="s">
        <v>43</v>
      </c>
      <c r="I1646" t="s">
        <v>32</v>
      </c>
    </row>
    <row r="1647" spans="5:10" ht="15" customHeight="1" x14ac:dyDescent="0.25">
      <c r="F1647" s="16">
        <v>44999</v>
      </c>
      <c r="G1647" s="17">
        <v>98.68</v>
      </c>
      <c r="H1647" t="s">
        <v>43</v>
      </c>
      <c r="I1647" t="s">
        <v>16</v>
      </c>
      <c r="J1647" t="s">
        <v>998</v>
      </c>
    </row>
    <row r="1648" spans="5:10" ht="15" customHeight="1" x14ac:dyDescent="0.25">
      <c r="F1648" s="16">
        <v>44999</v>
      </c>
      <c r="G1648" s="17">
        <v>117.2</v>
      </c>
      <c r="H1648" t="s">
        <v>43</v>
      </c>
      <c r="I1648" t="s">
        <v>16</v>
      </c>
      <c r="J1648" t="s">
        <v>730</v>
      </c>
    </row>
    <row r="1649" spans="6:10" ht="15" customHeight="1" x14ac:dyDescent="0.25">
      <c r="F1649" s="16">
        <v>44999</v>
      </c>
      <c r="G1649" s="17">
        <v>-50</v>
      </c>
      <c r="H1649" t="s">
        <v>43</v>
      </c>
      <c r="I1649" t="s">
        <v>801</v>
      </c>
    </row>
    <row r="1650" spans="6:10" ht="15" customHeight="1" x14ac:dyDescent="0.25">
      <c r="F1650" s="16">
        <v>45000</v>
      </c>
      <c r="G1650" s="17">
        <v>5</v>
      </c>
      <c r="H1650" t="s">
        <v>43</v>
      </c>
      <c r="I1650" t="s">
        <v>743</v>
      </c>
    </row>
    <row r="1651" spans="6:10" ht="15" customHeight="1" x14ac:dyDescent="0.25">
      <c r="F1651" s="16">
        <v>45000</v>
      </c>
      <c r="G1651" s="17">
        <v>219.78</v>
      </c>
      <c r="H1651" t="s">
        <v>43</v>
      </c>
      <c r="I1651" t="s">
        <v>20</v>
      </c>
    </row>
    <row r="1652" spans="6:10" ht="15" customHeight="1" x14ac:dyDescent="0.25">
      <c r="F1652" s="16">
        <v>45000</v>
      </c>
      <c r="G1652" s="17">
        <v>205.68</v>
      </c>
      <c r="H1652" t="s">
        <v>43</v>
      </c>
      <c r="I1652" t="s">
        <v>20</v>
      </c>
    </row>
    <row r="1653" spans="6:10" ht="15" customHeight="1" x14ac:dyDescent="0.25">
      <c r="F1653" s="16">
        <v>45000</v>
      </c>
      <c r="G1653" s="17">
        <v>50</v>
      </c>
      <c r="H1653" t="s">
        <v>43</v>
      </c>
      <c r="I1653" t="s">
        <v>617</v>
      </c>
    </row>
    <row r="1654" spans="6:10" ht="15" customHeight="1" x14ac:dyDescent="0.25">
      <c r="F1654" s="16">
        <v>45001</v>
      </c>
      <c r="G1654" s="17">
        <v>64.69</v>
      </c>
      <c r="H1654" t="s">
        <v>43</v>
      </c>
      <c r="I1654" t="s">
        <v>32</v>
      </c>
    </row>
    <row r="1655" spans="6:10" ht="15" customHeight="1" x14ac:dyDescent="0.25">
      <c r="F1655" s="16">
        <v>45001</v>
      </c>
      <c r="G1655" s="17">
        <v>34</v>
      </c>
      <c r="H1655" t="s">
        <v>43</v>
      </c>
      <c r="I1655" t="s">
        <v>582</v>
      </c>
    </row>
    <row r="1656" spans="6:10" ht="15" customHeight="1" x14ac:dyDescent="0.25">
      <c r="F1656" s="16">
        <v>45001</v>
      </c>
      <c r="G1656" s="17">
        <v>73.78</v>
      </c>
      <c r="H1656" t="s">
        <v>43</v>
      </c>
      <c r="I1656" t="s">
        <v>16</v>
      </c>
      <c r="J1656" t="s">
        <v>730</v>
      </c>
    </row>
    <row r="1657" spans="6:10" ht="15" customHeight="1" x14ac:dyDescent="0.25">
      <c r="F1657" s="16">
        <v>45002</v>
      </c>
      <c r="G1657" s="17">
        <v>132.69999999999999</v>
      </c>
      <c r="H1657" t="s">
        <v>43</v>
      </c>
      <c r="I1657" t="s">
        <v>16</v>
      </c>
      <c r="J1657" t="s">
        <v>730</v>
      </c>
    </row>
    <row r="1658" spans="6:10" ht="15" customHeight="1" x14ac:dyDescent="0.25">
      <c r="F1658" s="16">
        <v>45003</v>
      </c>
      <c r="G1658" s="17">
        <v>82.5</v>
      </c>
      <c r="H1658" t="s">
        <v>122</v>
      </c>
      <c r="I1658" t="s">
        <v>209</v>
      </c>
      <c r="J1658" t="s">
        <v>960</v>
      </c>
    </row>
    <row r="1659" spans="6:10" ht="15" customHeight="1" x14ac:dyDescent="0.25">
      <c r="F1659" s="16">
        <v>45006</v>
      </c>
      <c r="G1659" s="17">
        <v>67.400000000000006</v>
      </c>
      <c r="H1659" t="s">
        <v>43</v>
      </c>
      <c r="I1659" t="s">
        <v>453</v>
      </c>
    </row>
    <row r="1660" spans="6:10" ht="15" customHeight="1" x14ac:dyDescent="0.25">
      <c r="F1660" s="16">
        <v>45006</v>
      </c>
      <c r="G1660" s="17">
        <v>83.61</v>
      </c>
      <c r="H1660" t="s">
        <v>43</v>
      </c>
      <c r="I1660" t="s">
        <v>453</v>
      </c>
    </row>
    <row r="1661" spans="6:10" ht="15" customHeight="1" x14ac:dyDescent="0.25">
      <c r="F1661" s="16">
        <v>45006</v>
      </c>
      <c r="G1661" s="17">
        <v>150</v>
      </c>
      <c r="H1661" t="s">
        <v>122</v>
      </c>
      <c r="I1661" t="s">
        <v>689</v>
      </c>
      <c r="J1661" t="s">
        <v>994</v>
      </c>
    </row>
    <row r="1662" spans="6:10" ht="15" customHeight="1" x14ac:dyDescent="0.25">
      <c r="F1662" s="16">
        <v>45006</v>
      </c>
      <c r="G1662" s="17">
        <v>100.03</v>
      </c>
      <c r="H1662" t="s">
        <v>43</v>
      </c>
      <c r="I1662" t="s">
        <v>16</v>
      </c>
      <c r="J1662" t="s">
        <v>144</v>
      </c>
    </row>
    <row r="1663" spans="6:10" ht="15" customHeight="1" x14ac:dyDescent="0.25">
      <c r="F1663" s="16">
        <v>45007</v>
      </c>
      <c r="G1663" s="17">
        <v>118.78</v>
      </c>
      <c r="H1663" t="s">
        <v>43</v>
      </c>
      <c r="I1663" t="s">
        <v>16</v>
      </c>
      <c r="J1663" t="s">
        <v>730</v>
      </c>
    </row>
    <row r="1664" spans="6:10" ht="15" customHeight="1" x14ac:dyDescent="0.25">
      <c r="F1664" s="16">
        <v>45009</v>
      </c>
      <c r="G1664" s="17">
        <v>150</v>
      </c>
      <c r="H1664" t="s">
        <v>261</v>
      </c>
    </row>
    <row r="1665" spans="6:10" ht="15" customHeight="1" x14ac:dyDescent="0.25">
      <c r="F1665" s="16">
        <v>45010</v>
      </c>
      <c r="G1665" s="17">
        <v>99.2</v>
      </c>
      <c r="H1665" t="s">
        <v>43</v>
      </c>
      <c r="I1665" t="s">
        <v>453</v>
      </c>
    </row>
    <row r="1666" spans="6:10" ht="15" customHeight="1" x14ac:dyDescent="0.25">
      <c r="F1666" s="16">
        <v>45010</v>
      </c>
      <c r="G1666" s="17">
        <v>37.21</v>
      </c>
      <c r="H1666" t="s">
        <v>43</v>
      </c>
      <c r="I1666" t="s">
        <v>453</v>
      </c>
    </row>
    <row r="1667" spans="6:10" ht="15" customHeight="1" x14ac:dyDescent="0.25">
      <c r="F1667" s="16">
        <v>45010</v>
      </c>
      <c r="G1667" s="17">
        <v>51.05</v>
      </c>
      <c r="H1667" t="s">
        <v>43</v>
      </c>
      <c r="I1667" t="s">
        <v>453</v>
      </c>
    </row>
    <row r="1668" spans="6:10" ht="15" customHeight="1" x14ac:dyDescent="0.25">
      <c r="F1668" s="16">
        <v>45010</v>
      </c>
      <c r="G1668" s="17">
        <v>12.2</v>
      </c>
      <c r="H1668" t="s">
        <v>43</v>
      </c>
      <c r="I1668" t="s">
        <v>989</v>
      </c>
    </row>
    <row r="1669" spans="6:10" ht="15" customHeight="1" x14ac:dyDescent="0.25">
      <c r="F1669" s="16">
        <v>45010</v>
      </c>
      <c r="G1669" s="17">
        <v>80.81</v>
      </c>
      <c r="H1669" t="s">
        <v>43</v>
      </c>
      <c r="I1669" t="s">
        <v>989</v>
      </c>
    </row>
    <row r="1670" spans="6:10" ht="15" customHeight="1" x14ac:dyDescent="0.25">
      <c r="F1670" s="16">
        <v>45010</v>
      </c>
      <c r="G1670" s="17">
        <v>30.7</v>
      </c>
      <c r="H1670" t="s">
        <v>43</v>
      </c>
      <c r="I1670" t="s">
        <v>989</v>
      </c>
    </row>
    <row r="1671" spans="6:10" ht="15" customHeight="1" x14ac:dyDescent="0.25">
      <c r="F1671" s="16">
        <v>45010</v>
      </c>
      <c r="G1671" s="17">
        <v>28.3</v>
      </c>
      <c r="H1671" t="s">
        <v>43</v>
      </c>
      <c r="I1671" t="s">
        <v>989</v>
      </c>
    </row>
    <row r="1672" spans="6:10" ht="15" customHeight="1" x14ac:dyDescent="0.25">
      <c r="F1672" s="16">
        <v>45010</v>
      </c>
      <c r="G1672" s="17">
        <v>36.799999999999997</v>
      </c>
      <c r="H1672" t="s">
        <v>43</v>
      </c>
      <c r="I1672" t="s">
        <v>989</v>
      </c>
    </row>
    <row r="1673" spans="6:10" ht="15" customHeight="1" x14ac:dyDescent="0.25">
      <c r="F1673" s="16">
        <v>45010</v>
      </c>
      <c r="G1673" s="17">
        <v>3.5</v>
      </c>
      <c r="H1673" t="s">
        <v>22</v>
      </c>
      <c r="I1673" t="s">
        <v>1007</v>
      </c>
    </row>
    <row r="1674" spans="6:10" ht="15" customHeight="1" x14ac:dyDescent="0.25">
      <c r="F1674" s="16"/>
      <c r="G1674" s="17"/>
    </row>
    <row r="1675" spans="6:10" ht="15" customHeight="1" x14ac:dyDescent="0.25">
      <c r="F1675" s="16">
        <v>45013</v>
      </c>
      <c r="G1675" s="17">
        <v>6.99</v>
      </c>
      <c r="H1675" t="s">
        <v>43</v>
      </c>
      <c r="I1675" t="s">
        <v>982</v>
      </c>
    </row>
    <row r="1676" spans="6:10" ht="15" customHeight="1" x14ac:dyDescent="0.25">
      <c r="F1676" s="16">
        <v>45015</v>
      </c>
      <c r="G1676" s="17">
        <v>73.709999999999994</v>
      </c>
      <c r="H1676" t="s">
        <v>43</v>
      </c>
      <c r="I1676" t="s">
        <v>32</v>
      </c>
    </row>
    <row r="1677" spans="6:10" ht="15" customHeight="1" x14ac:dyDescent="0.25">
      <c r="F1677" s="16">
        <v>45015</v>
      </c>
      <c r="G1677" s="17">
        <v>211.6</v>
      </c>
      <c r="H1677" t="s">
        <v>43</v>
      </c>
      <c r="I1677" t="s">
        <v>990</v>
      </c>
    </row>
    <row r="1678" spans="6:10" ht="15" customHeight="1" x14ac:dyDescent="0.25">
      <c r="F1678" s="16">
        <v>45015</v>
      </c>
      <c r="G1678" s="17">
        <v>150</v>
      </c>
      <c r="H1678" t="s">
        <v>122</v>
      </c>
      <c r="I1678" t="s">
        <v>745</v>
      </c>
      <c r="J1678" t="s">
        <v>796</v>
      </c>
    </row>
    <row r="1679" spans="6:10" ht="15" customHeight="1" x14ac:dyDescent="0.25">
      <c r="F1679" s="16">
        <v>45015</v>
      </c>
      <c r="G1679" s="17">
        <v>119.17</v>
      </c>
      <c r="H1679" t="s">
        <v>43</v>
      </c>
      <c r="I1679" t="s">
        <v>16</v>
      </c>
      <c r="J1679" t="s">
        <v>144</v>
      </c>
    </row>
    <row r="1680" spans="6:10" ht="15" customHeight="1" x14ac:dyDescent="0.25">
      <c r="F1680" s="16">
        <v>45016</v>
      </c>
      <c r="G1680" s="17">
        <v>6.99</v>
      </c>
      <c r="H1680" t="s">
        <v>43</v>
      </c>
      <c r="I1680" t="s">
        <v>982</v>
      </c>
    </row>
    <row r="1681" spans="5:10" ht="15" customHeight="1" x14ac:dyDescent="0.25">
      <c r="F1681" s="16">
        <v>45016</v>
      </c>
      <c r="G1681" s="17">
        <v>5</v>
      </c>
      <c r="H1681" t="s">
        <v>43</v>
      </c>
      <c r="I1681" t="s">
        <v>743</v>
      </c>
    </row>
    <row r="1682" spans="5:10" ht="15" customHeight="1" x14ac:dyDescent="0.25">
      <c r="F1682" s="16">
        <v>45017</v>
      </c>
      <c r="G1682" s="17">
        <v>5</v>
      </c>
      <c r="H1682" t="s">
        <v>43</v>
      </c>
      <c r="I1682" t="s">
        <v>743</v>
      </c>
    </row>
    <row r="1683" spans="5:10" ht="15" customHeight="1" x14ac:dyDescent="0.25">
      <c r="F1683" s="16">
        <v>45017</v>
      </c>
      <c r="G1683" s="17">
        <v>18.41</v>
      </c>
      <c r="H1683" t="s">
        <v>43</v>
      </c>
      <c r="I1683" t="s">
        <v>32</v>
      </c>
    </row>
    <row r="1684" spans="5:10" ht="15" customHeight="1" x14ac:dyDescent="0.25">
      <c r="F1684" s="16">
        <v>45017</v>
      </c>
      <c r="G1684" s="17">
        <v>6.25</v>
      </c>
      <c r="H1684" t="s">
        <v>43</v>
      </c>
      <c r="I1684" t="s">
        <v>32</v>
      </c>
    </row>
    <row r="1685" spans="5:10" ht="15" customHeight="1" x14ac:dyDescent="0.25">
      <c r="F1685" s="16">
        <v>45017</v>
      </c>
      <c r="G1685" s="17">
        <v>153.69</v>
      </c>
      <c r="H1685" t="s">
        <v>122</v>
      </c>
      <c r="I1685" t="s">
        <v>745</v>
      </c>
      <c r="J1685" t="s">
        <v>505</v>
      </c>
    </row>
    <row r="1686" spans="5:10" ht="15" customHeight="1" x14ac:dyDescent="0.25">
      <c r="F1686" s="16">
        <v>45020</v>
      </c>
      <c r="G1686" s="17">
        <v>300</v>
      </c>
      <c r="H1686" t="s">
        <v>122</v>
      </c>
      <c r="I1686" t="s">
        <v>689</v>
      </c>
      <c r="J1686" t="s">
        <v>1013</v>
      </c>
    </row>
    <row r="1687" spans="5:10" ht="15" customHeight="1" x14ac:dyDescent="0.25">
      <c r="F1687" s="16">
        <v>45020</v>
      </c>
      <c r="G1687" s="17">
        <v>44</v>
      </c>
      <c r="H1687" t="s">
        <v>43</v>
      </c>
      <c r="I1687" t="s">
        <v>801</v>
      </c>
    </row>
    <row r="1688" spans="5:10" ht="15" customHeight="1" x14ac:dyDescent="0.25">
      <c r="F1688" s="16">
        <v>45022</v>
      </c>
      <c r="G1688" s="17">
        <v>83.65</v>
      </c>
      <c r="H1688" t="s">
        <v>122</v>
      </c>
      <c r="I1688" t="s">
        <v>689</v>
      </c>
      <c r="J1688" t="s">
        <v>196</v>
      </c>
    </row>
    <row r="1689" spans="5:10" ht="15" customHeight="1" x14ac:dyDescent="0.25">
      <c r="F1689" s="16">
        <v>45023</v>
      </c>
      <c r="G1689" s="17">
        <v>153.69</v>
      </c>
      <c r="H1689" t="s">
        <v>122</v>
      </c>
      <c r="I1689" t="s">
        <v>689</v>
      </c>
      <c r="J1689" t="s">
        <v>505</v>
      </c>
    </row>
    <row r="1690" spans="5:10" ht="15" customHeight="1" x14ac:dyDescent="0.25">
      <c r="F1690" s="16">
        <v>45023</v>
      </c>
      <c r="G1690" s="17">
        <v>285</v>
      </c>
      <c r="H1690" t="s">
        <v>122</v>
      </c>
      <c r="I1690" t="s">
        <v>745</v>
      </c>
      <c r="J1690" t="s">
        <v>1008</v>
      </c>
    </row>
    <row r="1691" spans="5:10" ht="15" customHeight="1" x14ac:dyDescent="0.25">
      <c r="F1691" s="16">
        <v>45025</v>
      </c>
      <c r="G1691" s="17">
        <v>110</v>
      </c>
      <c r="H1691" t="s">
        <v>43</v>
      </c>
      <c r="I1691" t="s">
        <v>607</v>
      </c>
      <c r="J1691" t="s">
        <v>450</v>
      </c>
    </row>
    <row r="1692" spans="5:10" ht="15" customHeight="1" x14ac:dyDescent="0.25">
      <c r="F1692" s="16">
        <v>45026</v>
      </c>
      <c r="G1692" s="17">
        <v>115.94</v>
      </c>
      <c r="H1692" t="s">
        <v>43</v>
      </c>
      <c r="I1692" t="s">
        <v>140</v>
      </c>
    </row>
    <row r="1693" spans="5:10" ht="15" customHeight="1" x14ac:dyDescent="0.25">
      <c r="E1693" s="21"/>
      <c r="F1693" s="16">
        <v>45029</v>
      </c>
      <c r="G1693" s="17">
        <v>505.61</v>
      </c>
      <c r="H1693" t="s">
        <v>122</v>
      </c>
      <c r="I1693" t="s">
        <v>1014</v>
      </c>
    </row>
    <row r="1694" spans="5:10" ht="15" customHeight="1" x14ac:dyDescent="0.25">
      <c r="F1694" s="16">
        <v>45027</v>
      </c>
      <c r="G1694" s="17">
        <v>158</v>
      </c>
      <c r="H1694" t="s">
        <v>43</v>
      </c>
      <c r="I1694" t="s">
        <v>16</v>
      </c>
      <c r="J1694" t="s">
        <v>665</v>
      </c>
    </row>
    <row r="1695" spans="5:10" ht="15" customHeight="1" x14ac:dyDescent="0.25">
      <c r="F1695" s="16">
        <v>45027</v>
      </c>
      <c r="G1695" s="17">
        <v>28.71</v>
      </c>
      <c r="H1695" t="s">
        <v>22</v>
      </c>
      <c r="I1695" t="s">
        <v>58</v>
      </c>
    </row>
    <row r="1696" spans="5:10" ht="15" customHeight="1" x14ac:dyDescent="0.25">
      <c r="F1696" s="16">
        <v>45028</v>
      </c>
      <c r="G1696" s="17">
        <v>5</v>
      </c>
      <c r="H1696" t="s">
        <v>43</v>
      </c>
      <c r="I1696" t="s">
        <v>743</v>
      </c>
    </row>
    <row r="1697" spans="6:10" ht="15" customHeight="1" x14ac:dyDescent="0.25">
      <c r="F1697" s="16">
        <v>45028</v>
      </c>
      <c r="G1697" s="17">
        <v>55</v>
      </c>
      <c r="H1697" t="s">
        <v>43</v>
      </c>
      <c r="I1697" t="s">
        <v>607</v>
      </c>
      <c r="J1697" t="s">
        <v>450</v>
      </c>
    </row>
    <row r="1698" spans="6:10" ht="15" customHeight="1" x14ac:dyDescent="0.25">
      <c r="F1698" s="16">
        <v>45028</v>
      </c>
      <c r="G1698" s="17">
        <v>88.6</v>
      </c>
      <c r="H1698" t="s">
        <v>43</v>
      </c>
      <c r="I1698" t="s">
        <v>16</v>
      </c>
      <c r="J1698" t="s">
        <v>144</v>
      </c>
    </row>
    <row r="1699" spans="6:10" ht="15" customHeight="1" x14ac:dyDescent="0.25">
      <c r="F1699" s="16">
        <v>45029</v>
      </c>
      <c r="G1699" s="17">
        <v>1002.77</v>
      </c>
      <c r="H1699" t="s">
        <v>122</v>
      </c>
      <c r="I1699" t="s">
        <v>689</v>
      </c>
    </row>
    <row r="1700" spans="6:10" ht="15" customHeight="1" x14ac:dyDescent="0.25">
      <c r="F1700" s="16">
        <v>45029</v>
      </c>
      <c r="G1700" s="17">
        <v>120.45</v>
      </c>
      <c r="H1700" t="s">
        <v>122</v>
      </c>
      <c r="I1700" t="s">
        <v>745</v>
      </c>
      <c r="J1700" t="s">
        <v>1015</v>
      </c>
    </row>
    <row r="1701" spans="6:10" ht="15" customHeight="1" x14ac:dyDescent="0.25">
      <c r="F1701" s="16">
        <v>45029</v>
      </c>
      <c r="G1701" s="17">
        <v>200</v>
      </c>
      <c r="H1701" t="s">
        <v>122</v>
      </c>
      <c r="I1701" t="s">
        <v>931</v>
      </c>
    </row>
    <row r="1702" spans="6:10" ht="15" customHeight="1" x14ac:dyDescent="0.25">
      <c r="F1702" s="16">
        <v>45029</v>
      </c>
      <c r="G1702" s="17">
        <v>98.68</v>
      </c>
      <c r="H1702" t="s">
        <v>43</v>
      </c>
      <c r="I1702" t="s">
        <v>16</v>
      </c>
      <c r="J1702" t="s">
        <v>998</v>
      </c>
    </row>
    <row r="1703" spans="6:10" ht="15" customHeight="1" x14ac:dyDescent="0.25">
      <c r="F1703" s="16">
        <v>45029</v>
      </c>
      <c r="G1703" s="17">
        <v>117.2</v>
      </c>
      <c r="H1703" t="s">
        <v>43</v>
      </c>
      <c r="I1703" t="s">
        <v>16</v>
      </c>
      <c r="J1703" t="s">
        <v>730</v>
      </c>
    </row>
    <row r="1704" spans="6:10" ht="15" customHeight="1" x14ac:dyDescent="0.25">
      <c r="F1704" s="16">
        <v>45034</v>
      </c>
      <c r="G1704" s="17">
        <v>132.69999999999999</v>
      </c>
      <c r="H1704" t="s">
        <v>43</v>
      </c>
      <c r="I1704" t="s">
        <v>16</v>
      </c>
      <c r="J1704" t="s">
        <v>730</v>
      </c>
    </row>
    <row r="1705" spans="6:10" ht="15" customHeight="1" x14ac:dyDescent="0.25">
      <c r="F1705" s="16">
        <v>45034</v>
      </c>
      <c r="G1705" s="17">
        <v>73.78</v>
      </c>
      <c r="H1705" t="s">
        <v>43</v>
      </c>
      <c r="I1705" t="s">
        <v>16</v>
      </c>
      <c r="J1705" t="s">
        <v>730</v>
      </c>
    </row>
    <row r="1706" spans="6:10" ht="15" customHeight="1" x14ac:dyDescent="0.25">
      <c r="F1706" s="16">
        <v>45035</v>
      </c>
      <c r="G1706" s="17">
        <v>2</v>
      </c>
      <c r="H1706" t="s">
        <v>122</v>
      </c>
      <c r="I1706" t="s">
        <v>1017</v>
      </c>
    </row>
    <row r="1707" spans="6:10" ht="15" customHeight="1" x14ac:dyDescent="0.25">
      <c r="F1707" s="16">
        <v>45036</v>
      </c>
      <c r="G1707" s="17">
        <v>5</v>
      </c>
      <c r="H1707" t="s">
        <v>43</v>
      </c>
      <c r="I1707" t="s">
        <v>743</v>
      </c>
    </row>
    <row r="1708" spans="6:10" ht="15" customHeight="1" x14ac:dyDescent="0.25">
      <c r="F1708" s="16">
        <v>45036</v>
      </c>
      <c r="G1708" s="17">
        <v>205.68</v>
      </c>
      <c r="H1708" t="s">
        <v>43</v>
      </c>
      <c r="I1708" t="s">
        <v>20</v>
      </c>
    </row>
    <row r="1709" spans="6:10" ht="15" customHeight="1" x14ac:dyDescent="0.25">
      <c r="F1709" s="16">
        <v>45036</v>
      </c>
      <c r="G1709" s="17">
        <v>205.68</v>
      </c>
      <c r="H1709" t="s">
        <v>43</v>
      </c>
      <c r="I1709" t="s">
        <v>20</v>
      </c>
    </row>
    <row r="1710" spans="6:10" ht="15" customHeight="1" x14ac:dyDescent="0.25">
      <c r="F1710" s="16">
        <v>45036</v>
      </c>
      <c r="G1710" s="17">
        <v>219.78</v>
      </c>
      <c r="H1710" t="s">
        <v>43</v>
      </c>
      <c r="I1710" t="s">
        <v>20</v>
      </c>
    </row>
    <row r="1711" spans="6:10" ht="15" customHeight="1" x14ac:dyDescent="0.25">
      <c r="F1711" s="16">
        <v>45036</v>
      </c>
      <c r="G1711" s="17">
        <v>100.03</v>
      </c>
      <c r="H1711" t="s">
        <v>43</v>
      </c>
      <c r="I1711" t="s">
        <v>16</v>
      </c>
      <c r="J1711" t="s">
        <v>144</v>
      </c>
    </row>
    <row r="1712" spans="6:10" ht="15" customHeight="1" x14ac:dyDescent="0.25">
      <c r="F1712" s="16">
        <v>45037</v>
      </c>
      <c r="G1712" s="17">
        <v>86.97</v>
      </c>
      <c r="H1712" t="s">
        <v>122</v>
      </c>
      <c r="I1712" t="s">
        <v>1017</v>
      </c>
      <c r="J1712" t="s">
        <v>196</v>
      </c>
    </row>
    <row r="1713" spans="6:10" ht="15" customHeight="1" x14ac:dyDescent="0.25">
      <c r="F1713" s="16">
        <v>45038</v>
      </c>
      <c r="G1713" s="17">
        <v>205.68</v>
      </c>
      <c r="H1713" t="s">
        <v>43</v>
      </c>
      <c r="I1713" t="s">
        <v>20</v>
      </c>
    </row>
    <row r="1714" spans="6:10" ht="15" customHeight="1" x14ac:dyDescent="0.25">
      <c r="F1714" s="16">
        <v>45041</v>
      </c>
      <c r="G1714" s="17">
        <v>118.78</v>
      </c>
      <c r="H1714" t="s">
        <v>43</v>
      </c>
      <c r="I1714" t="s">
        <v>16</v>
      </c>
      <c r="J1714" t="s">
        <v>730</v>
      </c>
    </row>
    <row r="1715" spans="6:10" ht="15" customHeight="1" x14ac:dyDescent="0.25">
      <c r="F1715" s="16">
        <v>45042</v>
      </c>
      <c r="G1715" s="17">
        <v>500</v>
      </c>
      <c r="H1715" t="s">
        <v>122</v>
      </c>
      <c r="I1715" t="s">
        <v>1014</v>
      </c>
      <c r="J1715" t="s">
        <v>796</v>
      </c>
    </row>
    <row r="1716" spans="6:10" ht="15" customHeight="1" x14ac:dyDescent="0.25">
      <c r="F1716" s="16">
        <v>45043</v>
      </c>
      <c r="G1716" s="17">
        <v>6.99</v>
      </c>
      <c r="H1716" t="s">
        <v>43</v>
      </c>
      <c r="I1716" t="s">
        <v>982</v>
      </c>
    </row>
    <row r="1717" spans="6:10" ht="15" customHeight="1" x14ac:dyDescent="0.25">
      <c r="F1717" s="16">
        <v>45043</v>
      </c>
      <c r="G1717" s="17">
        <v>5</v>
      </c>
      <c r="H1717" t="s">
        <v>43</v>
      </c>
      <c r="I1717" t="s">
        <v>743</v>
      </c>
    </row>
    <row r="1718" spans="6:10" ht="15" customHeight="1" x14ac:dyDescent="0.25">
      <c r="F1718" s="16">
        <v>45043</v>
      </c>
      <c r="G1718" s="17">
        <v>10</v>
      </c>
      <c r="H1718" t="s">
        <v>43</v>
      </c>
      <c r="I1718" t="s">
        <v>743</v>
      </c>
    </row>
    <row r="1719" spans="6:10" ht="15" customHeight="1" x14ac:dyDescent="0.25">
      <c r="F1719" s="16">
        <v>45043</v>
      </c>
      <c r="G1719" s="17">
        <v>20.399999999999999</v>
      </c>
      <c r="H1719" t="s">
        <v>43</v>
      </c>
      <c r="I1719" t="s">
        <v>1021</v>
      </c>
    </row>
    <row r="1720" spans="6:10" ht="15" customHeight="1" x14ac:dyDescent="0.25">
      <c r="F1720" s="16">
        <v>45043</v>
      </c>
      <c r="G1720" s="17">
        <v>750</v>
      </c>
      <c r="H1720" t="s">
        <v>261</v>
      </c>
      <c r="I1720" t="s">
        <v>593</v>
      </c>
    </row>
    <row r="1721" spans="6:10" ht="15" customHeight="1" x14ac:dyDescent="0.25">
      <c r="F1721" s="16">
        <v>44923</v>
      </c>
      <c r="G1721" s="17">
        <v>1480</v>
      </c>
      <c r="H1721" t="s">
        <v>43</v>
      </c>
      <c r="I1721" t="s">
        <v>16</v>
      </c>
      <c r="J1721" t="s">
        <v>677</v>
      </c>
    </row>
    <row r="1722" spans="6:10" ht="15" customHeight="1" x14ac:dyDescent="0.25">
      <c r="F1722" s="16">
        <v>44923</v>
      </c>
      <c r="G1722" s="17">
        <v>205</v>
      </c>
      <c r="H1722" t="s">
        <v>43</v>
      </c>
      <c r="I1722" t="s">
        <v>16</v>
      </c>
      <c r="J1722" t="s">
        <v>677</v>
      </c>
    </row>
    <row r="1723" spans="6:10" ht="15" customHeight="1" x14ac:dyDescent="0.25">
      <c r="F1723" s="16">
        <v>44929</v>
      </c>
      <c r="G1723" s="17">
        <v>445</v>
      </c>
      <c r="H1723" t="s">
        <v>43</v>
      </c>
      <c r="I1723" t="s">
        <v>16</v>
      </c>
      <c r="J1723" t="s">
        <v>677</v>
      </c>
    </row>
    <row r="1724" spans="6:10" ht="15" customHeight="1" x14ac:dyDescent="0.25">
      <c r="F1724" s="16">
        <v>44939</v>
      </c>
      <c r="G1724" s="17">
        <v>210</v>
      </c>
      <c r="H1724" t="s">
        <v>43</v>
      </c>
      <c r="I1724" t="s">
        <v>16</v>
      </c>
      <c r="J1724" t="s">
        <v>677</v>
      </c>
    </row>
    <row r="1725" spans="6:10" ht="15" customHeight="1" x14ac:dyDescent="0.25">
      <c r="F1725" s="16">
        <v>44950</v>
      </c>
      <c r="G1725" s="17">
        <v>210</v>
      </c>
      <c r="H1725" t="s">
        <v>43</v>
      </c>
      <c r="I1725" t="s">
        <v>16</v>
      </c>
      <c r="J1725" t="s">
        <v>677</v>
      </c>
    </row>
    <row r="1726" spans="6:10" ht="15" customHeight="1" x14ac:dyDescent="0.25">
      <c r="F1726" s="16">
        <v>44951</v>
      </c>
      <c r="G1726" s="17">
        <v>205</v>
      </c>
      <c r="H1726" t="s">
        <v>43</v>
      </c>
      <c r="I1726" t="s">
        <v>16</v>
      </c>
      <c r="J1726" t="s">
        <v>677</v>
      </c>
    </row>
    <row r="1727" spans="6:10" ht="15" customHeight="1" x14ac:dyDescent="0.25">
      <c r="F1727" s="16">
        <v>44958</v>
      </c>
      <c r="G1727" s="17">
        <v>445</v>
      </c>
      <c r="H1727" t="s">
        <v>43</v>
      </c>
      <c r="I1727" t="s">
        <v>16</v>
      </c>
      <c r="J1727" t="s">
        <v>677</v>
      </c>
    </row>
    <row r="1728" spans="6:10" ht="15" customHeight="1" x14ac:dyDescent="0.25">
      <c r="F1728" s="16">
        <v>44970</v>
      </c>
      <c r="G1728" s="17">
        <v>210</v>
      </c>
      <c r="H1728" t="s">
        <v>43</v>
      </c>
      <c r="I1728" t="s">
        <v>16</v>
      </c>
      <c r="J1728" t="s">
        <v>677</v>
      </c>
    </row>
    <row r="1729" spans="6:10" ht="15" customHeight="1" x14ac:dyDescent="0.25">
      <c r="F1729" s="16">
        <v>44981</v>
      </c>
      <c r="G1729" s="17">
        <v>210</v>
      </c>
      <c r="H1729" t="s">
        <v>43</v>
      </c>
      <c r="I1729" t="s">
        <v>16</v>
      </c>
      <c r="J1729" t="s">
        <v>677</v>
      </c>
    </row>
    <row r="1730" spans="6:10" ht="15" customHeight="1" x14ac:dyDescent="0.25">
      <c r="F1730" s="16">
        <v>44984</v>
      </c>
      <c r="G1730" s="17">
        <v>205</v>
      </c>
      <c r="H1730" t="s">
        <v>43</v>
      </c>
      <c r="I1730" t="s">
        <v>16</v>
      </c>
      <c r="J1730" t="s">
        <v>677</v>
      </c>
    </row>
    <row r="1731" spans="6:10" ht="15" customHeight="1" x14ac:dyDescent="0.25">
      <c r="F1731" s="16">
        <v>44986</v>
      </c>
      <c r="G1731" s="17">
        <v>445</v>
      </c>
      <c r="H1731" t="s">
        <v>43</v>
      </c>
      <c r="I1731" t="s">
        <v>16</v>
      </c>
      <c r="J1731" t="s">
        <v>677</v>
      </c>
    </row>
    <row r="1732" spans="6:10" ht="15" customHeight="1" x14ac:dyDescent="0.25">
      <c r="F1732" s="16">
        <v>44998</v>
      </c>
      <c r="G1732" s="17">
        <v>210</v>
      </c>
      <c r="H1732" t="s">
        <v>43</v>
      </c>
      <c r="I1732" t="s">
        <v>16</v>
      </c>
      <c r="J1732" t="s">
        <v>677</v>
      </c>
    </row>
    <row r="1733" spans="6:10" ht="15" customHeight="1" x14ac:dyDescent="0.25">
      <c r="F1733" s="16">
        <v>45009</v>
      </c>
      <c r="G1733" s="17">
        <v>210</v>
      </c>
      <c r="H1733" t="s">
        <v>43</v>
      </c>
      <c r="I1733" t="s">
        <v>16</v>
      </c>
      <c r="J1733" t="s">
        <v>677</v>
      </c>
    </row>
    <row r="1734" spans="6:10" ht="15" customHeight="1" x14ac:dyDescent="0.25">
      <c r="F1734" s="16">
        <v>45012</v>
      </c>
      <c r="G1734" s="17">
        <v>205</v>
      </c>
      <c r="H1734" t="s">
        <v>43</v>
      </c>
      <c r="I1734" t="s">
        <v>16</v>
      </c>
      <c r="J1734" t="s">
        <v>677</v>
      </c>
    </row>
    <row r="1735" spans="6:10" ht="15" customHeight="1" x14ac:dyDescent="0.25">
      <c r="F1735" s="16">
        <v>45044</v>
      </c>
      <c r="G1735" s="17">
        <v>30.14</v>
      </c>
      <c r="H1735" t="s">
        <v>43</v>
      </c>
      <c r="I1735" t="s">
        <v>32</v>
      </c>
    </row>
    <row r="1736" spans="6:10" ht="15" customHeight="1" x14ac:dyDescent="0.25">
      <c r="F1736" s="16">
        <v>45044</v>
      </c>
      <c r="G1736" s="17">
        <v>52.91</v>
      </c>
      <c r="H1736" t="s">
        <v>43</v>
      </c>
      <c r="I1736" t="s">
        <v>32</v>
      </c>
    </row>
    <row r="1737" spans="6:10" ht="15" customHeight="1" x14ac:dyDescent="0.25">
      <c r="F1737" s="16">
        <v>45044</v>
      </c>
      <c r="G1737" s="17">
        <v>5600</v>
      </c>
      <c r="H1737" t="s">
        <v>122</v>
      </c>
      <c r="I1737" t="s">
        <v>1017</v>
      </c>
      <c r="J1737" t="s">
        <v>156</v>
      </c>
    </row>
    <row r="1738" spans="6:10" ht="15" customHeight="1" x14ac:dyDescent="0.25">
      <c r="F1738" s="16">
        <v>45044</v>
      </c>
      <c r="G1738" s="17">
        <v>1500</v>
      </c>
      <c r="H1738" t="s">
        <v>122</v>
      </c>
      <c r="I1738" t="s">
        <v>745</v>
      </c>
      <c r="J1738" t="s">
        <v>769</v>
      </c>
    </row>
    <row r="1739" spans="6:10" ht="15" customHeight="1" x14ac:dyDescent="0.25">
      <c r="F1739" s="16">
        <v>45048</v>
      </c>
      <c r="G1739" s="17">
        <v>6.99</v>
      </c>
      <c r="H1739" t="s">
        <v>43</v>
      </c>
      <c r="I1739" t="s">
        <v>120</v>
      </c>
      <c r="J1739" t="s">
        <v>729</v>
      </c>
    </row>
    <row r="1740" spans="6:10" ht="15" customHeight="1" x14ac:dyDescent="0.25">
      <c r="F1740" s="16">
        <v>45048</v>
      </c>
      <c r="G1740" s="17">
        <v>5.64</v>
      </c>
      <c r="H1740" t="s">
        <v>43</v>
      </c>
      <c r="I1740" t="s">
        <v>120</v>
      </c>
      <c r="J1740" t="s">
        <v>1027</v>
      </c>
    </row>
    <row r="1741" spans="6:10" ht="15" customHeight="1" x14ac:dyDescent="0.25">
      <c r="F1741" s="16">
        <v>45048</v>
      </c>
      <c r="G1741" s="17">
        <v>57.69</v>
      </c>
      <c r="H1741" t="s">
        <v>122</v>
      </c>
      <c r="I1741" t="s">
        <v>1017</v>
      </c>
      <c r="J1741" t="s">
        <v>32</v>
      </c>
    </row>
    <row r="1742" spans="6:10" ht="15" customHeight="1" x14ac:dyDescent="0.25">
      <c r="F1742" s="16">
        <v>45048</v>
      </c>
      <c r="G1742" s="17">
        <v>119.17</v>
      </c>
      <c r="H1742" t="s">
        <v>43</v>
      </c>
      <c r="I1742" t="s">
        <v>16</v>
      </c>
      <c r="J1742" t="s">
        <v>144</v>
      </c>
    </row>
    <row r="1743" spans="6:10" ht="15" customHeight="1" x14ac:dyDescent="0.25">
      <c r="F1743" s="16">
        <v>45050</v>
      </c>
      <c r="G1743" s="17">
        <v>5</v>
      </c>
      <c r="H1743" t="s">
        <v>43</v>
      </c>
      <c r="I1743" t="s">
        <v>120</v>
      </c>
      <c r="J1743" t="s">
        <v>743</v>
      </c>
    </row>
    <row r="1744" spans="6:10" ht="15" customHeight="1" x14ac:dyDescent="0.25">
      <c r="F1744" s="16">
        <v>45050</v>
      </c>
      <c r="G1744" s="17">
        <v>65.05</v>
      </c>
      <c r="H1744" t="s">
        <v>43</v>
      </c>
      <c r="I1744" t="s">
        <v>32</v>
      </c>
    </row>
    <row r="1745" spans="6:10" ht="15" customHeight="1" x14ac:dyDescent="0.25">
      <c r="F1745" s="16">
        <v>45050</v>
      </c>
      <c r="G1745" s="17">
        <v>25</v>
      </c>
      <c r="H1745" t="s">
        <v>22</v>
      </c>
      <c r="I1745" t="s">
        <v>801</v>
      </c>
    </row>
    <row r="1746" spans="6:10" ht="15" customHeight="1" x14ac:dyDescent="0.25">
      <c r="F1746" s="16">
        <v>45051</v>
      </c>
      <c r="G1746" s="17">
        <v>5</v>
      </c>
      <c r="H1746" t="s">
        <v>43</v>
      </c>
      <c r="I1746" t="s">
        <v>120</v>
      </c>
      <c r="J1746" t="s">
        <v>743</v>
      </c>
    </row>
    <row r="1747" spans="6:10" ht="15" customHeight="1" x14ac:dyDescent="0.25">
      <c r="F1747" s="16">
        <v>45051</v>
      </c>
      <c r="G1747" s="17">
        <v>29.7</v>
      </c>
      <c r="H1747" t="s">
        <v>22</v>
      </c>
      <c r="I1747" t="s">
        <v>58</v>
      </c>
    </row>
    <row r="1748" spans="6:10" ht="15" customHeight="1" x14ac:dyDescent="0.25">
      <c r="F1748" s="16">
        <v>45054</v>
      </c>
      <c r="G1748" s="17">
        <v>200</v>
      </c>
      <c r="H1748" t="s">
        <v>122</v>
      </c>
      <c r="I1748" t="s">
        <v>1014</v>
      </c>
      <c r="J1748" t="s">
        <v>796</v>
      </c>
    </row>
    <row r="1749" spans="6:10" ht="15" customHeight="1" x14ac:dyDescent="0.25">
      <c r="F1749" s="16">
        <v>45054</v>
      </c>
      <c r="G1749" s="17">
        <v>158</v>
      </c>
      <c r="H1749" t="s">
        <v>43</v>
      </c>
      <c r="I1749" t="s">
        <v>16</v>
      </c>
      <c r="J1749" t="s">
        <v>665</v>
      </c>
    </row>
    <row r="1750" spans="6:10" ht="15" customHeight="1" x14ac:dyDescent="0.25">
      <c r="F1750" s="16">
        <v>45055</v>
      </c>
      <c r="G1750" s="17">
        <v>88.98</v>
      </c>
      <c r="H1750" t="s">
        <v>122</v>
      </c>
      <c r="I1750" t="s">
        <v>745</v>
      </c>
      <c r="J1750" t="s">
        <v>960</v>
      </c>
    </row>
    <row r="1751" spans="6:10" ht="15" customHeight="1" x14ac:dyDescent="0.25">
      <c r="F1751" s="16">
        <v>45055</v>
      </c>
      <c r="G1751" s="17">
        <v>210.94</v>
      </c>
      <c r="H1751" t="s">
        <v>122</v>
      </c>
      <c r="I1751" t="s">
        <v>745</v>
      </c>
      <c r="J1751" t="s">
        <v>960</v>
      </c>
    </row>
    <row r="1752" spans="6:10" ht="15" customHeight="1" x14ac:dyDescent="0.25">
      <c r="F1752" s="16">
        <v>45057</v>
      </c>
      <c r="G1752" s="17">
        <v>83.65</v>
      </c>
      <c r="H1752" t="s">
        <v>122</v>
      </c>
      <c r="I1752" t="s">
        <v>745</v>
      </c>
      <c r="J1752" t="s">
        <v>456</v>
      </c>
    </row>
    <row r="1753" spans="6:10" ht="15" customHeight="1" x14ac:dyDescent="0.25">
      <c r="F1753" s="16">
        <v>45058</v>
      </c>
      <c r="G1753" s="17">
        <v>36.64</v>
      </c>
      <c r="H1753" t="s">
        <v>43</v>
      </c>
      <c r="I1753" t="s">
        <v>32</v>
      </c>
    </row>
    <row r="1754" spans="6:10" ht="15" customHeight="1" x14ac:dyDescent="0.25">
      <c r="F1754" s="16">
        <v>45058</v>
      </c>
      <c r="G1754" s="17">
        <v>125</v>
      </c>
      <c r="H1754" t="s">
        <v>122</v>
      </c>
      <c r="I1754" t="s">
        <v>689</v>
      </c>
      <c r="J1754" t="s">
        <v>673</v>
      </c>
    </row>
    <row r="1755" spans="6:10" ht="15" customHeight="1" x14ac:dyDescent="0.25">
      <c r="F1755" s="16">
        <v>45058</v>
      </c>
      <c r="G1755" s="17">
        <v>400</v>
      </c>
      <c r="H1755" t="s">
        <v>122</v>
      </c>
      <c r="I1755" t="s">
        <v>745</v>
      </c>
      <c r="J1755" t="s">
        <v>620</v>
      </c>
    </row>
    <row r="1756" spans="6:10" ht="15" customHeight="1" x14ac:dyDescent="0.25">
      <c r="F1756" s="16">
        <v>45058</v>
      </c>
      <c r="G1756" s="17">
        <v>480</v>
      </c>
      <c r="H1756" t="s">
        <v>261</v>
      </c>
      <c r="I1756" t="s">
        <v>25</v>
      </c>
    </row>
    <row r="1757" spans="6:10" ht="15" customHeight="1" x14ac:dyDescent="0.25">
      <c r="F1757" s="16">
        <v>45058</v>
      </c>
      <c r="G1757" s="17">
        <f>-280*2</f>
        <v>-560</v>
      </c>
      <c r="H1757" t="s">
        <v>122</v>
      </c>
      <c r="I1757" t="s">
        <v>689</v>
      </c>
    </row>
    <row r="1758" spans="6:10" ht="15" customHeight="1" x14ac:dyDescent="0.25">
      <c r="F1758" s="16">
        <v>45058</v>
      </c>
      <c r="G1758" s="17">
        <v>-6000</v>
      </c>
      <c r="H1758" t="s">
        <v>122</v>
      </c>
      <c r="I1758" t="s">
        <v>689</v>
      </c>
    </row>
    <row r="1759" spans="6:10" ht="15" customHeight="1" x14ac:dyDescent="0.25">
      <c r="F1759" s="16">
        <v>45058</v>
      </c>
      <c r="G1759" s="17">
        <v>560</v>
      </c>
      <c r="H1759" t="s">
        <v>261</v>
      </c>
      <c r="I1759" t="s">
        <v>1028</v>
      </c>
    </row>
    <row r="1760" spans="6:10" ht="15" customHeight="1" x14ac:dyDescent="0.25">
      <c r="F1760" s="16">
        <v>45058</v>
      </c>
      <c r="G1760" s="17">
        <v>6000</v>
      </c>
      <c r="H1760" t="s">
        <v>261</v>
      </c>
      <c r="I1760" t="s">
        <v>1028</v>
      </c>
    </row>
    <row r="1761" spans="6:10" ht="15" customHeight="1" x14ac:dyDescent="0.25">
      <c r="F1761" s="16">
        <v>45058</v>
      </c>
      <c r="G1761" s="17">
        <v>1350</v>
      </c>
      <c r="H1761" t="s">
        <v>122</v>
      </c>
      <c r="I1761" t="s">
        <v>745</v>
      </c>
      <c r="J1761" t="s">
        <v>1029</v>
      </c>
    </row>
    <row r="1762" spans="6:10" ht="15" customHeight="1" x14ac:dyDescent="0.25">
      <c r="F1762" s="16">
        <v>45061</v>
      </c>
      <c r="G1762" s="17">
        <v>98.68</v>
      </c>
      <c r="H1762" t="s">
        <v>43</v>
      </c>
      <c r="I1762" t="s">
        <v>16</v>
      </c>
      <c r="J1762" t="s">
        <v>998</v>
      </c>
    </row>
    <row r="1763" spans="6:10" ht="15" customHeight="1" x14ac:dyDescent="0.25">
      <c r="F1763" s="16">
        <v>45061</v>
      </c>
      <c r="G1763" s="17">
        <v>117.2</v>
      </c>
      <c r="H1763" t="s">
        <v>43</v>
      </c>
      <c r="I1763" t="s">
        <v>16</v>
      </c>
      <c r="J1763" t="s">
        <v>730</v>
      </c>
    </row>
    <row r="1764" spans="6:10" ht="15" customHeight="1" x14ac:dyDescent="0.25">
      <c r="F1764" s="16">
        <v>45062</v>
      </c>
      <c r="G1764" s="17">
        <v>110</v>
      </c>
      <c r="H1764" t="s">
        <v>122</v>
      </c>
      <c r="I1764" t="s">
        <v>745</v>
      </c>
      <c r="J1764" t="s">
        <v>673</v>
      </c>
    </row>
    <row r="1765" spans="6:10" ht="15" customHeight="1" x14ac:dyDescent="0.25">
      <c r="F1765" s="16">
        <v>45062</v>
      </c>
      <c r="G1765" s="17">
        <v>73.78</v>
      </c>
      <c r="H1765" t="s">
        <v>43</v>
      </c>
      <c r="I1765" t="s">
        <v>16</v>
      </c>
      <c r="J1765" t="s">
        <v>730</v>
      </c>
    </row>
    <row r="1766" spans="6:10" ht="15" customHeight="1" x14ac:dyDescent="0.25">
      <c r="F1766" s="16">
        <v>45063</v>
      </c>
      <c r="G1766" s="17">
        <v>132.69999999999999</v>
      </c>
      <c r="H1766" t="s">
        <v>43</v>
      </c>
      <c r="I1766" t="s">
        <v>16</v>
      </c>
      <c r="J1766" t="s">
        <v>730</v>
      </c>
    </row>
    <row r="1767" spans="6:10" ht="15" customHeight="1" x14ac:dyDescent="0.25">
      <c r="F1767" s="16">
        <v>45066</v>
      </c>
      <c r="G1767" s="17">
        <v>78.48</v>
      </c>
      <c r="H1767" t="s">
        <v>43</v>
      </c>
      <c r="I1767" t="s">
        <v>32</v>
      </c>
    </row>
    <row r="1768" spans="6:10" ht="15" customHeight="1" x14ac:dyDescent="0.25">
      <c r="F1768" s="16">
        <v>45068</v>
      </c>
      <c r="G1768" s="17">
        <v>100.03</v>
      </c>
      <c r="H1768" t="s">
        <v>43</v>
      </c>
      <c r="I1768" t="s">
        <v>16</v>
      </c>
      <c r="J1768" t="s">
        <v>144</v>
      </c>
    </row>
    <row r="1769" spans="6:10" ht="15" customHeight="1" x14ac:dyDescent="0.25">
      <c r="F1769" s="16">
        <v>45069</v>
      </c>
      <c r="G1769" s="17">
        <v>300</v>
      </c>
      <c r="H1769" t="s">
        <v>122</v>
      </c>
      <c r="I1769" t="s">
        <v>745</v>
      </c>
      <c r="J1769" t="s">
        <v>1036</v>
      </c>
    </row>
    <row r="1770" spans="6:10" ht="15" customHeight="1" x14ac:dyDescent="0.25">
      <c r="F1770" s="16">
        <v>45069</v>
      </c>
      <c r="G1770" s="17">
        <v>118.78</v>
      </c>
      <c r="H1770" t="s">
        <v>43</v>
      </c>
      <c r="I1770" t="s">
        <v>16</v>
      </c>
      <c r="J1770" t="s">
        <v>730</v>
      </c>
    </row>
    <row r="1771" spans="6:10" ht="15" customHeight="1" x14ac:dyDescent="0.25">
      <c r="F1771" s="16">
        <v>45069</v>
      </c>
      <c r="G1771" s="17">
        <v>210.35</v>
      </c>
      <c r="H1771" t="s">
        <v>43</v>
      </c>
      <c r="I1771" t="s">
        <v>16</v>
      </c>
      <c r="J1771" t="s">
        <v>544</v>
      </c>
    </row>
    <row r="1772" spans="6:10" ht="15" customHeight="1" x14ac:dyDescent="0.25">
      <c r="F1772" s="16">
        <v>45070</v>
      </c>
      <c r="G1772" s="17">
        <v>205.35</v>
      </c>
      <c r="H1772" t="s">
        <v>43</v>
      </c>
      <c r="I1772" t="s">
        <v>16</v>
      </c>
      <c r="J1772" t="s">
        <v>544</v>
      </c>
    </row>
    <row r="1773" spans="6:10" ht="15" customHeight="1" x14ac:dyDescent="0.25">
      <c r="F1773" s="16">
        <v>45072</v>
      </c>
      <c r="G1773" s="17">
        <v>166.32</v>
      </c>
      <c r="H1773" t="s">
        <v>122</v>
      </c>
      <c r="I1773" t="s">
        <v>745</v>
      </c>
      <c r="J1773" t="s">
        <v>1037</v>
      </c>
    </row>
    <row r="1774" spans="6:10" ht="15" customHeight="1" x14ac:dyDescent="0.25">
      <c r="F1774" s="16">
        <v>45072</v>
      </c>
      <c r="G1774" s="17">
        <v>500</v>
      </c>
      <c r="H1774" t="s">
        <v>261</v>
      </c>
    </row>
    <row r="1775" spans="6:10" ht="15" customHeight="1" x14ac:dyDescent="0.25">
      <c r="F1775" s="16">
        <v>45072</v>
      </c>
      <c r="G1775" s="17">
        <v>1500</v>
      </c>
      <c r="H1775" t="s">
        <v>43</v>
      </c>
      <c r="I1775" t="s">
        <v>503</v>
      </c>
    </row>
    <row r="1776" spans="6:10" ht="15" customHeight="1" x14ac:dyDescent="0.25">
      <c r="F1776" s="16">
        <v>45073</v>
      </c>
      <c r="G1776" s="17">
        <v>6.99</v>
      </c>
      <c r="H1776" t="s">
        <v>120</v>
      </c>
      <c r="I1776" t="s">
        <v>982</v>
      </c>
    </row>
  </sheetData>
  <autoFilter ref="A7:Q676" xr:uid="{00000000-0009-0000-0000-000003000000}"/>
  <mergeCells count="16">
    <mergeCell ref="F6:F7"/>
    <mergeCell ref="G6:G7"/>
    <mergeCell ref="H6:H7"/>
    <mergeCell ref="I6:I7"/>
    <mergeCell ref="J5:J7"/>
    <mergeCell ref="B1:I2"/>
    <mergeCell ref="B5:E5"/>
    <mergeCell ref="B3:E4"/>
    <mergeCell ref="F5:I5"/>
    <mergeCell ref="J3:J4"/>
    <mergeCell ref="F3:I4"/>
    <mergeCell ref="B6:B7"/>
    <mergeCell ref="C6:C7"/>
    <mergeCell ref="D6:D7"/>
    <mergeCell ref="E6:E7"/>
    <mergeCell ref="A5:A7"/>
  </mergeCells>
  <phoneticPr fontId="16" type="noConversion"/>
  <conditionalFormatting sqref="C10:C11 E9:E11 H9:H15 A9:A61">
    <cfRule type="expression" dxfId="22592" priority="5270">
      <formula>AND($A9&lt;&gt;"",MOD(ROW(),2))</formula>
    </cfRule>
  </conditionalFormatting>
  <conditionalFormatting sqref="C10:C29 C73:C96 C98:C99 C101 C103:C129 C131:C138 C140:C141 C143:C163">
    <cfRule type="cellIs" dxfId="22591" priority="5267" operator="equal">
      <formula>#REF!</formula>
    </cfRule>
    <cfRule type="cellIs" dxfId="22590" priority="5268" operator="greaterThan">
      <formula>#REF!</formula>
    </cfRule>
    <cfRule type="cellIs" dxfId="22589" priority="5269" operator="lessThan">
      <formula>#REF!</formula>
    </cfRule>
  </conditionalFormatting>
  <conditionalFormatting sqref="H21:H24 H33:H39">
    <cfRule type="expression" dxfId="22588" priority="5243">
      <formula>AND($A16&lt;&gt;"",MOD(ROW(),2))</formula>
    </cfRule>
  </conditionalFormatting>
  <conditionalFormatting sqref="H25:H32 E35:E38">
    <cfRule type="expression" dxfId="22587" priority="5231">
      <formula>AND($A19&lt;&gt;"",MOD(ROW(),2))</formula>
    </cfRule>
  </conditionalFormatting>
  <conditionalFormatting sqref="G40:G42 G111 G113">
    <cfRule type="cellIs" dxfId="22586" priority="5228" operator="equal">
      <formula>#REF!</formula>
    </cfRule>
    <cfRule type="cellIs" dxfId="22585" priority="5229" operator="greaterThan">
      <formula>#REF!</formula>
    </cfRule>
    <cfRule type="cellIs" dxfId="22584" priority="5230" operator="lessThan">
      <formula>#REF!</formula>
    </cfRule>
  </conditionalFormatting>
  <conditionalFormatting sqref="G40:H42">
    <cfRule type="expression" dxfId="22583" priority="5227">
      <formula>AND($A124&lt;&gt;"",MOD(ROW(),2))</formula>
    </cfRule>
  </conditionalFormatting>
  <conditionalFormatting sqref="G112:G140">
    <cfRule type="cellIs" dxfId="22582" priority="5224" operator="equal">
      <formula>#REF!</formula>
    </cfRule>
    <cfRule type="cellIs" dxfId="22581" priority="5225" operator="greaterThan">
      <formula>#REF!</formula>
    </cfRule>
    <cfRule type="cellIs" dxfId="22580" priority="5226" operator="lessThan">
      <formula>#REF!</formula>
    </cfRule>
  </conditionalFormatting>
  <conditionalFormatting sqref="H106:H111 G110:H135 G165:H165 G180:H180">
    <cfRule type="expression" dxfId="22579" priority="5223">
      <formula>AND($A132&lt;&gt;"",MOD(ROW(),2))</formula>
    </cfRule>
  </conditionalFormatting>
  <conditionalFormatting sqref="G136:G162 G165">
    <cfRule type="cellIs" dxfId="22578" priority="5220" operator="equal">
      <formula>#REF!</formula>
    </cfRule>
    <cfRule type="cellIs" dxfId="22577" priority="5221" operator="greaterThan">
      <formula>#REF!</formula>
    </cfRule>
    <cfRule type="cellIs" dxfId="22576" priority="5222" operator="lessThan">
      <formula>#REF!</formula>
    </cfRule>
  </conditionalFormatting>
  <conditionalFormatting sqref="G132:H162">
    <cfRule type="expression" dxfId="22575" priority="5219">
      <formula>AND($A157&lt;&gt;"",MOD(ROW(),2))</formula>
    </cfRule>
  </conditionalFormatting>
  <conditionalFormatting sqref="G180:G187">
    <cfRule type="cellIs" dxfId="22574" priority="5216" operator="equal">
      <formula>#REF!</formula>
    </cfRule>
    <cfRule type="cellIs" dxfId="22573" priority="5217" operator="greaterThan">
      <formula>#REF!</formula>
    </cfRule>
    <cfRule type="cellIs" dxfId="22572" priority="5218" operator="lessThan">
      <formula>#REF!</formula>
    </cfRule>
  </conditionalFormatting>
  <conditionalFormatting sqref="H292 G181:H213">
    <cfRule type="expression" dxfId="22571" priority="5215">
      <formula>AND($A211&lt;&gt;"",MOD(ROW(),2))</formula>
    </cfRule>
  </conditionalFormatting>
  <conditionalFormatting sqref="G188:G213">
    <cfRule type="cellIs" dxfId="22570" priority="5212" operator="equal">
      <formula>#REF!</formula>
    </cfRule>
    <cfRule type="cellIs" dxfId="22569" priority="5213" operator="greaterThan">
      <formula>#REF!</formula>
    </cfRule>
    <cfRule type="cellIs" dxfId="22568" priority="5214" operator="lessThan">
      <formula>#REF!</formula>
    </cfRule>
  </conditionalFormatting>
  <conditionalFormatting sqref="G214:H239">
    <cfRule type="expression" dxfId="22567" priority="5211">
      <formula>AND($A244&lt;&gt;"",MOD(ROW(),2))</formula>
    </cfRule>
  </conditionalFormatting>
  <conditionalFormatting sqref="G214:G239">
    <cfRule type="cellIs" dxfId="22566" priority="5208" operator="equal">
      <formula>#REF!</formula>
    </cfRule>
    <cfRule type="cellIs" dxfId="22565" priority="5209" operator="greaterThan">
      <formula>#REF!</formula>
    </cfRule>
    <cfRule type="cellIs" dxfId="22564" priority="5210" operator="lessThan">
      <formula>#REF!</formula>
    </cfRule>
  </conditionalFormatting>
  <conditionalFormatting sqref="G240:H265">
    <cfRule type="expression" dxfId="22563" priority="5207">
      <formula>AND($A270&lt;&gt;"",MOD(ROW(),2))</formula>
    </cfRule>
  </conditionalFormatting>
  <conditionalFormatting sqref="G240:G265">
    <cfRule type="cellIs" dxfId="22562" priority="5204" operator="equal">
      <formula>#REF!</formula>
    </cfRule>
    <cfRule type="cellIs" dxfId="22561" priority="5205" operator="greaterThan">
      <formula>#REF!</formula>
    </cfRule>
    <cfRule type="cellIs" dxfId="22560" priority="5206" operator="lessThan">
      <formula>#REF!</formula>
    </cfRule>
  </conditionalFormatting>
  <conditionalFormatting sqref="G266:H291">
    <cfRule type="expression" dxfId="22559" priority="5203">
      <formula>AND($A296&lt;&gt;"",MOD(ROW(),2))</formula>
    </cfRule>
  </conditionalFormatting>
  <conditionalFormatting sqref="G266:G291">
    <cfRule type="cellIs" dxfId="22558" priority="5200" operator="equal">
      <formula>#REF!</formula>
    </cfRule>
    <cfRule type="cellIs" dxfId="22557" priority="5201" operator="greaterThan">
      <formula>#REF!</formula>
    </cfRule>
    <cfRule type="cellIs" dxfId="22556" priority="5202" operator="lessThan">
      <formula>#REF!</formula>
    </cfRule>
  </conditionalFormatting>
  <conditionalFormatting sqref="E47:E48">
    <cfRule type="expression" dxfId="22555" priority="5110">
      <formula>AND($A28&lt;&gt;"",MOD(ROW(),2))</formula>
    </cfRule>
  </conditionalFormatting>
  <conditionalFormatting sqref="C70:C73">
    <cfRule type="cellIs" dxfId="22554" priority="5107" operator="equal">
      <formula>#REF!</formula>
    </cfRule>
    <cfRule type="cellIs" dxfId="22553" priority="5108" operator="greaterThan">
      <formula>#REF!</formula>
    </cfRule>
    <cfRule type="cellIs" dxfId="22552" priority="5109" operator="lessThan">
      <formula>#REF!</formula>
    </cfRule>
  </conditionalFormatting>
  <conditionalFormatting sqref="C28:C29 E28:E35 C34:C35">
    <cfRule type="expression" dxfId="22551" priority="5150">
      <formula>AND($A11&lt;&gt;"",MOD(ROW(),2))</formula>
    </cfRule>
  </conditionalFormatting>
  <conditionalFormatting sqref="C35">
    <cfRule type="cellIs" dxfId="22550" priority="5147" operator="equal">
      <formula>#REF!</formula>
    </cfRule>
    <cfRule type="cellIs" dxfId="22549" priority="5148" operator="greaterThan">
      <formula>#REF!</formula>
    </cfRule>
    <cfRule type="cellIs" dxfId="22548" priority="5149" operator="lessThan">
      <formula>#REF!</formula>
    </cfRule>
  </conditionalFormatting>
  <conditionalFormatting sqref="C30:C33">
    <cfRule type="expression" dxfId="22547" priority="5154">
      <formula>AND($A13&lt;&gt;"",MOD(ROW(),2))</formula>
    </cfRule>
  </conditionalFormatting>
  <conditionalFormatting sqref="C30:C33">
    <cfRule type="cellIs" dxfId="22546" priority="5151" operator="equal">
      <formula>#REF!</formula>
    </cfRule>
    <cfRule type="cellIs" dxfId="22545" priority="5152" operator="greaterThan">
      <formula>#REF!</formula>
    </cfRule>
    <cfRule type="cellIs" dxfId="22544" priority="5153" operator="lessThan">
      <formula>#REF!</formula>
    </cfRule>
  </conditionalFormatting>
  <conditionalFormatting sqref="C37">
    <cfRule type="expression" dxfId="22543" priority="5134">
      <formula>AND($A31&lt;&gt;"",MOD(ROW(),2))</formula>
    </cfRule>
  </conditionalFormatting>
  <conditionalFormatting sqref="C37 C49">
    <cfRule type="cellIs" dxfId="22542" priority="5131" operator="equal">
      <formula>#REF!</formula>
    </cfRule>
    <cfRule type="cellIs" dxfId="22541" priority="5132" operator="greaterThan">
      <formula>#REF!</formula>
    </cfRule>
    <cfRule type="cellIs" dxfId="22540" priority="5133" operator="lessThan">
      <formula>#REF!</formula>
    </cfRule>
  </conditionalFormatting>
  <conditionalFormatting sqref="C51:C53 C49 E49:E64 E67:E77 C70:C96 C98:C99 C101 C103:C129 C131:C138 C140:C141 C143:C163">
    <cfRule type="expression" dxfId="22539" priority="5130">
      <formula>AND($A33&lt;&gt;"",MOD(ROW(),2))</formula>
    </cfRule>
  </conditionalFormatting>
  <conditionalFormatting sqref="C51:C53">
    <cfRule type="cellIs" dxfId="22538" priority="5127" operator="equal">
      <formula>#REF!</formula>
    </cfRule>
    <cfRule type="cellIs" dxfId="22537" priority="5128" operator="greaterThan">
      <formula>#REF!</formula>
    </cfRule>
    <cfRule type="cellIs" dxfId="22536" priority="5129" operator="lessThan">
      <formula>#REF!</formula>
    </cfRule>
  </conditionalFormatting>
  <conditionalFormatting sqref="C54:C57">
    <cfRule type="expression" dxfId="22535" priority="5126">
      <formula>AND($A38&lt;&gt;"",MOD(ROW(),2))</formula>
    </cfRule>
  </conditionalFormatting>
  <conditionalFormatting sqref="C54:C57">
    <cfRule type="cellIs" dxfId="22534" priority="5123" operator="equal">
      <formula>#REF!</formula>
    </cfRule>
    <cfRule type="cellIs" dxfId="22533" priority="5124" operator="greaterThan">
      <formula>#REF!</formula>
    </cfRule>
    <cfRule type="cellIs" dxfId="22532" priority="5125" operator="lessThan">
      <formula>#REF!</formula>
    </cfRule>
  </conditionalFormatting>
  <conditionalFormatting sqref="C58:C61">
    <cfRule type="expression" dxfId="22531" priority="5122">
      <formula>AND($A42&lt;&gt;"",MOD(ROW(),2))</formula>
    </cfRule>
  </conditionalFormatting>
  <conditionalFormatting sqref="C58:C61">
    <cfRule type="cellIs" dxfId="22530" priority="5119" operator="equal">
      <formula>#REF!</formula>
    </cfRule>
    <cfRule type="cellIs" dxfId="22529" priority="5120" operator="greaterThan">
      <formula>#REF!</formula>
    </cfRule>
    <cfRule type="cellIs" dxfId="22528" priority="5121" operator="lessThan">
      <formula>#REF!</formula>
    </cfRule>
  </conditionalFormatting>
  <conditionalFormatting sqref="C61:C64">
    <cfRule type="expression" dxfId="22527" priority="5118">
      <formula>AND($A45&lt;&gt;"",MOD(ROW(),2))</formula>
    </cfRule>
  </conditionalFormatting>
  <conditionalFormatting sqref="C61:C64">
    <cfRule type="cellIs" dxfId="22526" priority="5115" operator="equal">
      <formula>#REF!</formula>
    </cfRule>
    <cfRule type="cellIs" dxfId="22525" priority="5116" operator="greaterThan">
      <formula>#REF!</formula>
    </cfRule>
    <cfRule type="cellIs" dxfId="22524" priority="5117" operator="lessThan">
      <formula>#REF!</formula>
    </cfRule>
  </conditionalFormatting>
  <conditionalFormatting sqref="C68:C69">
    <cfRule type="expression" dxfId="22523" priority="5114">
      <formula>AND($A52&lt;&gt;"",MOD(ROW(),2))</formula>
    </cfRule>
  </conditionalFormatting>
  <conditionalFormatting sqref="C68:C69">
    <cfRule type="cellIs" dxfId="22522" priority="5111" operator="equal">
      <formula>#REF!</formula>
    </cfRule>
    <cfRule type="cellIs" dxfId="22521" priority="5112" operator="greaterThan">
      <formula>#REF!</formula>
    </cfRule>
    <cfRule type="cellIs" dxfId="22520" priority="5113" operator="lessThan">
      <formula>#REF!</formula>
    </cfRule>
  </conditionalFormatting>
  <conditionalFormatting sqref="H9:H18 H21:H42 H106:H162 H165 H180:H292">
    <cfRule type="expression" dxfId="22519" priority="5265">
      <formula>AND(#REF!&lt;&gt;"",MOD(ROW(),2))</formula>
    </cfRule>
  </conditionalFormatting>
  <conditionalFormatting sqref="H9:H18 H21:H42 H106:H162 H165 H180:H292">
    <cfRule type="expression" dxfId="22518" priority="5264">
      <formula>AND(#REF!&lt;&gt;"",MOD(ROW(),2))</formula>
    </cfRule>
  </conditionalFormatting>
  <conditionalFormatting sqref="H293">
    <cfRule type="expression" dxfId="22517" priority="5104">
      <formula>AND($A323&lt;&gt;"",MOD(ROW(),2))</formula>
    </cfRule>
  </conditionalFormatting>
  <conditionalFormatting sqref="H293">
    <cfRule type="expression" dxfId="22516" priority="5106">
      <formula>AND(#REF!&lt;&gt;"",MOD(ROW(),2))</formula>
    </cfRule>
  </conditionalFormatting>
  <conditionalFormatting sqref="H293">
    <cfRule type="expression" dxfId="22515" priority="5105">
      <formula>AND(#REF!&lt;&gt;"",MOD(ROW(),2))</formula>
    </cfRule>
  </conditionalFormatting>
  <conditionalFormatting sqref="H294">
    <cfRule type="expression" dxfId="22514" priority="5101">
      <formula>AND($A324&lt;&gt;"",MOD(ROW(),2))</formula>
    </cfRule>
  </conditionalFormatting>
  <conditionalFormatting sqref="H294">
    <cfRule type="expression" dxfId="22513" priority="5103">
      <formula>AND(#REF!&lt;&gt;"",MOD(ROW(),2))</formula>
    </cfRule>
  </conditionalFormatting>
  <conditionalFormatting sqref="H294">
    <cfRule type="expression" dxfId="22512" priority="5102">
      <formula>AND(#REF!&lt;&gt;"",MOD(ROW(),2))</formula>
    </cfRule>
  </conditionalFormatting>
  <conditionalFormatting sqref="H295">
    <cfRule type="expression" dxfId="22511" priority="5098">
      <formula>AND($A325&lt;&gt;"",MOD(ROW(),2))</formula>
    </cfRule>
  </conditionalFormatting>
  <conditionalFormatting sqref="H295">
    <cfRule type="expression" dxfId="22510" priority="5100">
      <formula>AND(#REF!&lt;&gt;"",MOD(ROW(),2))</formula>
    </cfRule>
  </conditionalFormatting>
  <conditionalFormatting sqref="H295">
    <cfRule type="expression" dxfId="22509" priority="5099">
      <formula>AND(#REF!&lt;&gt;"",MOD(ROW(),2))</formula>
    </cfRule>
  </conditionalFormatting>
  <conditionalFormatting sqref="H296">
    <cfRule type="expression" dxfId="22508" priority="5095">
      <formula>AND($A326&lt;&gt;"",MOD(ROW(),2))</formula>
    </cfRule>
  </conditionalFormatting>
  <conditionalFormatting sqref="H296">
    <cfRule type="expression" dxfId="22507" priority="5097">
      <formula>AND(#REF!&lt;&gt;"",MOD(ROW(),2))</formula>
    </cfRule>
  </conditionalFormatting>
  <conditionalFormatting sqref="H296">
    <cfRule type="expression" dxfId="22506" priority="5096">
      <formula>AND(#REF!&lt;&gt;"",MOD(ROW(),2))</formula>
    </cfRule>
  </conditionalFormatting>
  <conditionalFormatting sqref="H297">
    <cfRule type="expression" dxfId="22505" priority="5092">
      <formula>AND($A327&lt;&gt;"",MOD(ROW(),2))</formula>
    </cfRule>
  </conditionalFormatting>
  <conditionalFormatting sqref="H297">
    <cfRule type="expression" dxfId="22504" priority="5094">
      <formula>AND(#REF!&lt;&gt;"",MOD(ROW(),2))</formula>
    </cfRule>
  </conditionalFormatting>
  <conditionalFormatting sqref="H297">
    <cfRule type="expression" dxfId="22503" priority="5093">
      <formula>AND(#REF!&lt;&gt;"",MOD(ROW(),2))</formula>
    </cfRule>
  </conditionalFormatting>
  <conditionalFormatting sqref="H298">
    <cfRule type="expression" dxfId="22502" priority="5089">
      <formula>AND($A328&lt;&gt;"",MOD(ROW(),2))</formula>
    </cfRule>
  </conditionalFormatting>
  <conditionalFormatting sqref="H298">
    <cfRule type="expression" dxfId="22501" priority="5091">
      <formula>AND(#REF!&lt;&gt;"",MOD(ROW(),2))</formula>
    </cfRule>
  </conditionalFormatting>
  <conditionalFormatting sqref="H298">
    <cfRule type="expression" dxfId="22500" priority="5090">
      <formula>AND(#REF!&lt;&gt;"",MOD(ROW(),2))</formula>
    </cfRule>
  </conditionalFormatting>
  <conditionalFormatting sqref="H299">
    <cfRule type="expression" dxfId="22499" priority="5086">
      <formula>AND($A329&lt;&gt;"",MOD(ROW(),2))</formula>
    </cfRule>
  </conditionalFormatting>
  <conditionalFormatting sqref="H299">
    <cfRule type="expression" dxfId="22498" priority="5088">
      <formula>AND(#REF!&lt;&gt;"",MOD(ROW(),2))</formula>
    </cfRule>
  </conditionalFormatting>
  <conditionalFormatting sqref="H299">
    <cfRule type="expression" dxfId="22497" priority="5087">
      <formula>AND(#REF!&lt;&gt;"",MOD(ROW(),2))</formula>
    </cfRule>
  </conditionalFormatting>
  <conditionalFormatting sqref="H300">
    <cfRule type="expression" dxfId="22496" priority="5083">
      <formula>AND($A330&lt;&gt;"",MOD(ROW(),2))</formula>
    </cfRule>
  </conditionalFormatting>
  <conditionalFormatting sqref="H300">
    <cfRule type="expression" dxfId="22495" priority="5085">
      <formula>AND(#REF!&lt;&gt;"",MOD(ROW(),2))</formula>
    </cfRule>
  </conditionalFormatting>
  <conditionalFormatting sqref="H300">
    <cfRule type="expression" dxfId="22494" priority="5084">
      <formula>AND(#REF!&lt;&gt;"",MOD(ROW(),2))</formula>
    </cfRule>
  </conditionalFormatting>
  <conditionalFormatting sqref="H301">
    <cfRule type="expression" dxfId="22493" priority="5080">
      <formula>AND($A331&lt;&gt;"",MOD(ROW(),2))</formula>
    </cfRule>
  </conditionalFormatting>
  <conditionalFormatting sqref="H301">
    <cfRule type="expression" dxfId="22492" priority="5082">
      <formula>AND(#REF!&lt;&gt;"",MOD(ROW(),2))</formula>
    </cfRule>
  </conditionalFormatting>
  <conditionalFormatting sqref="H301">
    <cfRule type="expression" dxfId="22491" priority="5081">
      <formula>AND(#REF!&lt;&gt;"",MOD(ROW(),2))</formula>
    </cfRule>
  </conditionalFormatting>
  <conditionalFormatting sqref="H302">
    <cfRule type="expression" dxfId="22490" priority="5077">
      <formula>AND($A332&lt;&gt;"",MOD(ROW(),2))</formula>
    </cfRule>
  </conditionalFormatting>
  <conditionalFormatting sqref="H302">
    <cfRule type="expression" dxfId="22489" priority="5079">
      <formula>AND(#REF!&lt;&gt;"",MOD(ROW(),2))</formula>
    </cfRule>
  </conditionalFormatting>
  <conditionalFormatting sqref="H302">
    <cfRule type="expression" dxfId="22488" priority="5078">
      <formula>AND(#REF!&lt;&gt;"",MOD(ROW(),2))</formula>
    </cfRule>
  </conditionalFormatting>
  <conditionalFormatting sqref="H303">
    <cfRule type="expression" dxfId="22487" priority="5074">
      <formula>AND($A333&lt;&gt;"",MOD(ROW(),2))</formula>
    </cfRule>
  </conditionalFormatting>
  <conditionalFormatting sqref="H303">
    <cfRule type="expression" dxfId="22486" priority="5076">
      <formula>AND(#REF!&lt;&gt;"",MOD(ROW(),2))</formula>
    </cfRule>
  </conditionalFormatting>
  <conditionalFormatting sqref="H303">
    <cfRule type="expression" dxfId="22485" priority="5075">
      <formula>AND(#REF!&lt;&gt;"",MOD(ROW(),2))</formula>
    </cfRule>
  </conditionalFormatting>
  <conditionalFormatting sqref="H304">
    <cfRule type="expression" dxfId="22484" priority="5071">
      <formula>AND($A334&lt;&gt;"",MOD(ROW(),2))</formula>
    </cfRule>
  </conditionalFormatting>
  <conditionalFormatting sqref="H304">
    <cfRule type="expression" dxfId="22483" priority="5073">
      <formula>AND(#REF!&lt;&gt;"",MOD(ROW(),2))</formula>
    </cfRule>
  </conditionalFormatting>
  <conditionalFormatting sqref="H304">
    <cfRule type="expression" dxfId="22482" priority="5072">
      <formula>AND(#REF!&lt;&gt;"",MOD(ROW(),2))</formula>
    </cfRule>
  </conditionalFormatting>
  <conditionalFormatting sqref="H305">
    <cfRule type="expression" dxfId="22481" priority="5068">
      <formula>AND($A335&lt;&gt;"",MOD(ROW(),2))</formula>
    </cfRule>
  </conditionalFormatting>
  <conditionalFormatting sqref="H305">
    <cfRule type="expression" dxfId="22480" priority="5070">
      <formula>AND(#REF!&lt;&gt;"",MOD(ROW(),2))</formula>
    </cfRule>
  </conditionalFormatting>
  <conditionalFormatting sqref="H305">
    <cfRule type="expression" dxfId="22479" priority="5069">
      <formula>AND(#REF!&lt;&gt;"",MOD(ROW(),2))</formula>
    </cfRule>
  </conditionalFormatting>
  <conditionalFormatting sqref="H306">
    <cfRule type="expression" dxfId="22478" priority="5065">
      <formula>AND($A336&lt;&gt;"",MOD(ROW(),2))</formula>
    </cfRule>
  </conditionalFormatting>
  <conditionalFormatting sqref="H306">
    <cfRule type="expression" dxfId="22477" priority="5067">
      <formula>AND(#REF!&lt;&gt;"",MOD(ROW(),2))</formula>
    </cfRule>
  </conditionalFormatting>
  <conditionalFormatting sqref="H306">
    <cfRule type="expression" dxfId="22476" priority="5066">
      <formula>AND(#REF!&lt;&gt;"",MOD(ROW(),2))</formula>
    </cfRule>
  </conditionalFormatting>
  <conditionalFormatting sqref="H307">
    <cfRule type="expression" dxfId="22475" priority="5062">
      <formula>AND($A337&lt;&gt;"",MOD(ROW(),2))</formula>
    </cfRule>
  </conditionalFormatting>
  <conditionalFormatting sqref="H307">
    <cfRule type="expression" dxfId="22474" priority="5064">
      <formula>AND(#REF!&lt;&gt;"",MOD(ROW(),2))</formula>
    </cfRule>
  </conditionalFormatting>
  <conditionalFormatting sqref="H307">
    <cfRule type="expression" dxfId="22473" priority="5063">
      <formula>AND(#REF!&lt;&gt;"",MOD(ROW(),2))</formula>
    </cfRule>
  </conditionalFormatting>
  <conditionalFormatting sqref="H308">
    <cfRule type="expression" dxfId="22472" priority="5059">
      <formula>AND($A338&lt;&gt;"",MOD(ROW(),2))</formula>
    </cfRule>
  </conditionalFormatting>
  <conditionalFormatting sqref="H308">
    <cfRule type="expression" dxfId="22471" priority="5061">
      <formula>AND(#REF!&lt;&gt;"",MOD(ROW(),2))</formula>
    </cfRule>
  </conditionalFormatting>
  <conditionalFormatting sqref="H308">
    <cfRule type="expression" dxfId="22470" priority="5060">
      <formula>AND(#REF!&lt;&gt;"",MOD(ROW(),2))</formula>
    </cfRule>
  </conditionalFormatting>
  <conditionalFormatting sqref="H309">
    <cfRule type="expression" dxfId="22469" priority="5056">
      <formula>AND($A339&lt;&gt;"",MOD(ROW(),2))</formula>
    </cfRule>
  </conditionalFormatting>
  <conditionalFormatting sqref="H309">
    <cfRule type="expression" dxfId="22468" priority="5058">
      <formula>AND(#REF!&lt;&gt;"",MOD(ROW(),2))</formula>
    </cfRule>
  </conditionalFormatting>
  <conditionalFormatting sqref="H309">
    <cfRule type="expression" dxfId="22467" priority="5057">
      <formula>AND(#REF!&lt;&gt;"",MOD(ROW(),2))</formula>
    </cfRule>
  </conditionalFormatting>
  <conditionalFormatting sqref="H310">
    <cfRule type="expression" dxfId="22466" priority="5053">
      <formula>AND($A340&lt;&gt;"",MOD(ROW(),2))</formula>
    </cfRule>
  </conditionalFormatting>
  <conditionalFormatting sqref="H310">
    <cfRule type="expression" dxfId="22465" priority="5055">
      <formula>AND(#REF!&lt;&gt;"",MOD(ROW(),2))</formula>
    </cfRule>
  </conditionalFormatting>
  <conditionalFormatting sqref="H310">
    <cfRule type="expression" dxfId="22464" priority="5054">
      <formula>AND(#REF!&lt;&gt;"",MOD(ROW(),2))</formula>
    </cfRule>
  </conditionalFormatting>
  <conditionalFormatting sqref="H311">
    <cfRule type="expression" dxfId="22463" priority="5050">
      <formula>AND($A341&lt;&gt;"",MOD(ROW(),2))</formula>
    </cfRule>
  </conditionalFormatting>
  <conditionalFormatting sqref="H311">
    <cfRule type="expression" dxfId="22462" priority="5052">
      <formula>AND(#REF!&lt;&gt;"",MOD(ROW(),2))</formula>
    </cfRule>
  </conditionalFormatting>
  <conditionalFormatting sqref="H311">
    <cfRule type="expression" dxfId="22461" priority="5051">
      <formula>AND(#REF!&lt;&gt;"",MOD(ROW(),2))</formula>
    </cfRule>
  </conditionalFormatting>
  <conditionalFormatting sqref="H312:H422">
    <cfRule type="expression" dxfId="22460" priority="5047">
      <formula>AND($A342&lt;&gt;"",MOD(ROW(),2))</formula>
    </cfRule>
  </conditionalFormatting>
  <conditionalFormatting sqref="H312:H422">
    <cfRule type="expression" dxfId="22459" priority="5049">
      <formula>AND(#REF!&lt;&gt;"",MOD(ROW(),2))</formula>
    </cfRule>
  </conditionalFormatting>
  <conditionalFormatting sqref="H312:H422 H424:H470 H472:H620 H622:H629 H631">
    <cfRule type="expression" dxfId="22458" priority="5048">
      <formula>AND(#REF!&lt;&gt;"",MOD(ROW(),2))</formula>
    </cfRule>
  </conditionalFormatting>
  <conditionalFormatting sqref="H313">
    <cfRule type="expression" dxfId="22457" priority="5044">
      <formula>AND($A343&lt;&gt;"",MOD(ROW(),2))</formula>
    </cfRule>
  </conditionalFormatting>
  <conditionalFormatting sqref="H313">
    <cfRule type="expression" dxfId="22456" priority="5046">
      <formula>AND(#REF!&lt;&gt;"",MOD(ROW(),2))</formula>
    </cfRule>
  </conditionalFormatting>
  <conditionalFormatting sqref="H313">
    <cfRule type="expression" dxfId="22455" priority="5045">
      <formula>AND(#REF!&lt;&gt;"",MOD(ROW(),2))</formula>
    </cfRule>
  </conditionalFormatting>
  <conditionalFormatting sqref="H314">
    <cfRule type="expression" dxfId="22454" priority="5041">
      <formula>AND($A344&lt;&gt;"",MOD(ROW(),2))</formula>
    </cfRule>
  </conditionalFormatting>
  <conditionalFormatting sqref="H314">
    <cfRule type="expression" dxfId="22453" priority="5043">
      <formula>AND(#REF!&lt;&gt;"",MOD(ROW(),2))</formula>
    </cfRule>
  </conditionalFormatting>
  <conditionalFormatting sqref="H314">
    <cfRule type="expression" dxfId="22452" priority="5042">
      <formula>AND(#REF!&lt;&gt;"",MOD(ROW(),2))</formula>
    </cfRule>
  </conditionalFormatting>
  <conditionalFormatting sqref="H315">
    <cfRule type="expression" dxfId="22451" priority="5038">
      <formula>AND($A345&lt;&gt;"",MOD(ROW(),2))</formula>
    </cfRule>
  </conditionalFormatting>
  <conditionalFormatting sqref="H315">
    <cfRule type="expression" dxfId="22450" priority="5040">
      <formula>AND(#REF!&lt;&gt;"",MOD(ROW(),2))</formula>
    </cfRule>
  </conditionalFormatting>
  <conditionalFormatting sqref="H315">
    <cfRule type="expression" dxfId="22449" priority="5039">
      <formula>AND(#REF!&lt;&gt;"",MOD(ROW(),2))</formula>
    </cfRule>
  </conditionalFormatting>
  <conditionalFormatting sqref="C12:C13 E12:E13 H16">
    <cfRule type="expression" dxfId="22448" priority="6234">
      <formula>AND($A11&lt;&gt;"",MOD(ROW(),2))</formula>
    </cfRule>
  </conditionalFormatting>
  <conditionalFormatting sqref="C14:C15 E14:E15 H17">
    <cfRule type="expression" dxfId="22447" priority="6244">
      <formula>AND($A12&lt;&gt;"",MOD(ROW(),2))</formula>
    </cfRule>
  </conditionalFormatting>
  <conditionalFormatting sqref="C16:C17 E16:E17">
    <cfRule type="expression" dxfId="22446" priority="6254">
      <formula>AND($A13&lt;&gt;"",MOD(ROW(),2))</formula>
    </cfRule>
  </conditionalFormatting>
  <conditionalFormatting sqref="C18:C19 E18:E19 H18">
    <cfRule type="expression" dxfId="22445" priority="6264">
      <formula>AND($A14&lt;&gt;"",MOD(ROW(),2))</formula>
    </cfRule>
  </conditionalFormatting>
  <conditionalFormatting sqref="E24:E25 C24:C25 C27">
    <cfRule type="expression" dxfId="22444" priority="6274">
      <formula>AND($A15&lt;&gt;"",MOD(ROW(),2))</formula>
    </cfRule>
  </conditionalFormatting>
  <conditionalFormatting sqref="H20">
    <cfRule type="expression" dxfId="22443" priority="5037">
      <formula>AND($A15&lt;&gt;"",MOD(ROW(),2))</formula>
    </cfRule>
  </conditionalFormatting>
  <conditionalFormatting sqref="H20">
    <cfRule type="expression" dxfId="22442" priority="5036">
      <formula>AND(#REF!&lt;&gt;"",MOD(ROW(),2))</formula>
    </cfRule>
  </conditionalFormatting>
  <conditionalFormatting sqref="H20">
    <cfRule type="expression" dxfId="22441" priority="5035">
      <formula>AND(#REF!&lt;&gt;"",MOD(ROW(),2))</formula>
    </cfRule>
  </conditionalFormatting>
  <conditionalFormatting sqref="H19">
    <cfRule type="expression" dxfId="22440" priority="5034">
      <formula>AND($A15&lt;&gt;"",MOD(ROW(),2))</formula>
    </cfRule>
  </conditionalFormatting>
  <conditionalFormatting sqref="H19">
    <cfRule type="expression" dxfId="22439" priority="5033">
      <formula>AND(#REF!&lt;&gt;"",MOD(ROW(),2))</formula>
    </cfRule>
  </conditionalFormatting>
  <conditionalFormatting sqref="H19">
    <cfRule type="expression" dxfId="22438" priority="5032">
      <formula>AND(#REF!&lt;&gt;"",MOD(ROW(),2))</formula>
    </cfRule>
  </conditionalFormatting>
  <conditionalFormatting sqref="C23 E23">
    <cfRule type="expression" dxfId="22437" priority="6339">
      <formula>AND($A15&lt;&gt;"",MOD(ROW(),2))</formula>
    </cfRule>
  </conditionalFormatting>
  <conditionalFormatting sqref="C20:C21 E20:E21">
    <cfRule type="expression" dxfId="22436" priority="6349">
      <formula>AND($A15&lt;&gt;"",MOD(ROW(),2))</formula>
    </cfRule>
  </conditionalFormatting>
  <conditionalFormatting sqref="C22 E22">
    <cfRule type="expression" dxfId="22435" priority="6365">
      <formula>AND($A16&lt;&gt;"",MOD(ROW(),2))</formula>
    </cfRule>
  </conditionalFormatting>
  <conditionalFormatting sqref="C26:C27 E26:E27">
    <cfRule type="expression" dxfId="22434" priority="6375">
      <formula>AND($A16&lt;&gt;"",MOD(ROW(),2))</formula>
    </cfRule>
  </conditionalFormatting>
  <conditionalFormatting sqref="C26">
    <cfRule type="expression" dxfId="22433" priority="5031">
      <formula>AND($A17&lt;&gt;"",MOD(ROW(),2))</formula>
    </cfRule>
  </conditionalFormatting>
  <conditionalFormatting sqref="C38">
    <cfRule type="expression" dxfId="22432" priority="5030">
      <formula>AND($A32&lt;&gt;"",MOD(ROW(),2))</formula>
    </cfRule>
  </conditionalFormatting>
  <conditionalFormatting sqref="C38">
    <cfRule type="cellIs" dxfId="22431" priority="5027" operator="equal">
      <formula>#REF!</formula>
    </cfRule>
    <cfRule type="cellIs" dxfId="22430" priority="5028" operator="greaterThan">
      <formula>#REF!</formula>
    </cfRule>
    <cfRule type="cellIs" dxfId="22429" priority="5029" operator="lessThan">
      <formula>#REF!</formula>
    </cfRule>
  </conditionalFormatting>
  <conditionalFormatting sqref="E38:E46">
    <cfRule type="expression" dxfId="22428" priority="6752">
      <formula>AND($A18&lt;&gt;"",MOD(ROW(),2))</formula>
    </cfRule>
  </conditionalFormatting>
  <conditionalFormatting sqref="O124">
    <cfRule type="expression" dxfId="22427" priority="4954">
      <formula>AND($A132&lt;&gt;"",MOD(ROW(),2))</formula>
    </cfRule>
  </conditionalFormatting>
  <conditionalFormatting sqref="O124">
    <cfRule type="expression" dxfId="22426" priority="4956">
      <formula>AND(#REF!&lt;&gt;"",MOD(ROW(),2))</formula>
    </cfRule>
  </conditionalFormatting>
  <conditionalFormatting sqref="O124">
    <cfRule type="expression" dxfId="22425" priority="4955">
      <formula>AND(#REF!&lt;&gt;"",MOD(ROW(),2))</formula>
    </cfRule>
  </conditionalFormatting>
  <conditionalFormatting sqref="P124">
    <cfRule type="expression" dxfId="22424" priority="4947">
      <formula>AND($A137&lt;&gt;"",MOD(ROW(),2))</formula>
    </cfRule>
  </conditionalFormatting>
  <conditionalFormatting sqref="N124">
    <cfRule type="expression" dxfId="22423" priority="4953">
      <formula>AND($A137&lt;&gt;"",MOD(ROW(),2))</formula>
    </cfRule>
  </conditionalFormatting>
  <conditionalFormatting sqref="N124">
    <cfRule type="cellIs" dxfId="22422" priority="4950" operator="equal">
      <formula>$C137</formula>
    </cfRule>
    <cfRule type="cellIs" dxfId="22421" priority="4951" operator="greaterThan">
      <formula>$C137</formula>
    </cfRule>
    <cfRule type="cellIs" dxfId="22420" priority="4952" operator="lessThan">
      <formula>$C137</formula>
    </cfRule>
  </conditionalFormatting>
  <conditionalFormatting sqref="P124">
    <cfRule type="expression" dxfId="22419" priority="4949">
      <formula>AND(#REF!&lt;&gt;"",MOD(ROW(),2))</formula>
    </cfRule>
  </conditionalFormatting>
  <conditionalFormatting sqref="P124">
    <cfRule type="expression" dxfId="22418" priority="4948">
      <formula>AND(#REF!&lt;&gt;"",MOD(ROW(),2))</formula>
    </cfRule>
  </conditionalFormatting>
  <conditionalFormatting sqref="G106:G111">
    <cfRule type="expression" dxfId="22417" priority="12150">
      <formula>AND($A137&lt;&gt;"",MOD(ROW(),2))</formula>
    </cfRule>
  </conditionalFormatting>
  <conditionalFormatting sqref="G106:G111">
    <cfRule type="cellIs" dxfId="22416" priority="12152" operator="equal">
      <formula>$C137</formula>
    </cfRule>
    <cfRule type="cellIs" dxfId="22415" priority="12153" operator="greaterThan">
      <formula>$C137</formula>
    </cfRule>
    <cfRule type="cellIs" dxfId="22414" priority="12154" operator="lessThan">
      <formula>$C137</formula>
    </cfRule>
  </conditionalFormatting>
  <conditionalFormatting sqref="G136:H136">
    <cfRule type="expression" dxfId="22413" priority="4919">
      <formula>AND($A161&lt;&gt;"",MOD(ROW(),2))</formula>
    </cfRule>
  </conditionalFormatting>
  <conditionalFormatting sqref="G136">
    <cfRule type="cellIs" dxfId="22412" priority="4916" operator="equal">
      <formula>#REF!</formula>
    </cfRule>
    <cfRule type="cellIs" dxfId="22411" priority="4917" operator="greaterThan">
      <formula>#REF!</formula>
    </cfRule>
    <cfRule type="cellIs" dxfId="22410" priority="4918" operator="lessThan">
      <formula>#REF!</formula>
    </cfRule>
  </conditionalFormatting>
  <conditionalFormatting sqref="H136">
    <cfRule type="expression" dxfId="22409" priority="4921">
      <formula>AND(#REF!&lt;&gt;"",MOD(ROW(),2))</formula>
    </cfRule>
  </conditionalFormatting>
  <conditionalFormatting sqref="H136">
    <cfRule type="expression" dxfId="22408" priority="4920">
      <formula>AND(#REF!&lt;&gt;"",MOD(ROW(),2))</formula>
    </cfRule>
  </conditionalFormatting>
  <conditionalFormatting sqref="G165">
    <cfRule type="cellIs" dxfId="22407" priority="4913" operator="equal">
      <formula>#REF!</formula>
    </cfRule>
    <cfRule type="cellIs" dxfId="22406" priority="4914" operator="greaterThan">
      <formula>#REF!</formula>
    </cfRule>
    <cfRule type="cellIs" dxfId="22405" priority="4915" operator="lessThan">
      <formula>#REF!</formula>
    </cfRule>
  </conditionalFormatting>
  <conditionalFormatting sqref="C34">
    <cfRule type="cellIs" dxfId="22404" priority="4910" operator="equal">
      <formula>#REF!</formula>
    </cfRule>
    <cfRule type="cellIs" dxfId="22403" priority="4911" operator="greaterThan">
      <formula>#REF!</formula>
    </cfRule>
    <cfRule type="cellIs" dxfId="22402" priority="4912" operator="lessThan">
      <formula>#REF!</formula>
    </cfRule>
  </conditionalFormatting>
  <conditionalFormatting sqref="C36">
    <cfRule type="expression" dxfId="22401" priority="4909">
      <formula>AND($A30&lt;&gt;"",MOD(ROW(),2))</formula>
    </cfRule>
  </conditionalFormatting>
  <conditionalFormatting sqref="C36">
    <cfRule type="cellIs" dxfId="22400" priority="4906" operator="equal">
      <formula>#REF!</formula>
    </cfRule>
    <cfRule type="cellIs" dxfId="22399" priority="4907" operator="greaterThan">
      <formula>#REF!</formula>
    </cfRule>
    <cfRule type="cellIs" dxfId="22398" priority="4908" operator="lessThan">
      <formula>#REF!</formula>
    </cfRule>
  </conditionalFormatting>
  <conditionalFormatting sqref="C37">
    <cfRule type="expression" dxfId="22397" priority="4905">
      <formula>AND($A31&lt;&gt;"",MOD(ROW(),2))</formula>
    </cfRule>
  </conditionalFormatting>
  <conditionalFormatting sqref="C37">
    <cfRule type="cellIs" dxfId="22396" priority="4902" operator="equal">
      <formula>#REF!</formula>
    </cfRule>
    <cfRule type="cellIs" dxfId="22395" priority="4903" operator="greaterThan">
      <formula>#REF!</formula>
    </cfRule>
    <cfRule type="cellIs" dxfId="22394" priority="4904" operator="lessThan">
      <formula>#REF!</formula>
    </cfRule>
  </conditionalFormatting>
  <conditionalFormatting sqref="G112">
    <cfRule type="cellIs" dxfId="22393" priority="4897" operator="equal">
      <formula>#REF!</formula>
    </cfRule>
    <cfRule type="cellIs" dxfId="22392" priority="4898" operator="greaterThan">
      <formula>#REF!</formula>
    </cfRule>
    <cfRule type="cellIs" dxfId="22391" priority="4899" operator="lessThan">
      <formula>#REF!</formula>
    </cfRule>
  </conditionalFormatting>
  <conditionalFormatting sqref="G112:H112">
    <cfRule type="expression" dxfId="22390" priority="4896">
      <formula>AND($A138&lt;&gt;"",MOD(ROW(),2))</formula>
    </cfRule>
  </conditionalFormatting>
  <conditionalFormatting sqref="H112">
    <cfRule type="expression" dxfId="22389" priority="4901">
      <formula>AND(#REF!&lt;&gt;"",MOD(ROW(),2))</formula>
    </cfRule>
  </conditionalFormatting>
  <conditionalFormatting sqref="H112">
    <cfRule type="expression" dxfId="22388" priority="4900">
      <formula>AND(#REF!&lt;&gt;"",MOD(ROW(),2))</formula>
    </cfRule>
  </conditionalFormatting>
  <conditionalFormatting sqref="G133:H133">
    <cfRule type="expression" dxfId="22387" priority="4893">
      <formula>AND($A158&lt;&gt;"",MOD(ROW(),2))</formula>
    </cfRule>
  </conditionalFormatting>
  <conditionalFormatting sqref="G133">
    <cfRule type="cellIs" dxfId="22386" priority="4890" operator="equal">
      <formula>#REF!</formula>
    </cfRule>
    <cfRule type="cellIs" dxfId="22385" priority="4891" operator="greaterThan">
      <formula>#REF!</formula>
    </cfRule>
    <cfRule type="cellIs" dxfId="22384" priority="4892" operator="lessThan">
      <formula>#REF!</formula>
    </cfRule>
  </conditionalFormatting>
  <conditionalFormatting sqref="H133">
    <cfRule type="expression" dxfId="22383" priority="4895">
      <formula>AND(#REF!&lt;&gt;"",MOD(ROW(),2))</formula>
    </cfRule>
  </conditionalFormatting>
  <conditionalFormatting sqref="H133">
    <cfRule type="expression" dxfId="22382" priority="4894">
      <formula>AND(#REF!&lt;&gt;"",MOD(ROW(),2))</formula>
    </cfRule>
  </conditionalFormatting>
  <conditionalFormatting sqref="G110 G112">
    <cfRule type="cellIs" dxfId="22381" priority="4877" operator="equal">
      <formula>#REF!</formula>
    </cfRule>
    <cfRule type="cellIs" dxfId="22380" priority="4878" operator="greaterThan">
      <formula>#REF!</formula>
    </cfRule>
    <cfRule type="cellIs" dxfId="22379" priority="4879" operator="lessThan">
      <formula>#REF!</formula>
    </cfRule>
  </conditionalFormatting>
  <conditionalFormatting sqref="G135:H135">
    <cfRule type="expression" dxfId="22378" priority="4874">
      <formula>AND($A160&lt;&gt;"",MOD(ROW(),2))</formula>
    </cfRule>
  </conditionalFormatting>
  <conditionalFormatting sqref="G135">
    <cfRule type="cellIs" dxfId="22377" priority="4871" operator="equal">
      <formula>#REF!</formula>
    </cfRule>
    <cfRule type="cellIs" dxfId="22376" priority="4872" operator="greaterThan">
      <formula>#REF!</formula>
    </cfRule>
    <cfRule type="cellIs" dxfId="22375" priority="4873" operator="lessThan">
      <formula>#REF!</formula>
    </cfRule>
  </conditionalFormatting>
  <conditionalFormatting sqref="H135">
    <cfRule type="expression" dxfId="22374" priority="4876">
      <formula>AND(#REF!&lt;&gt;"",MOD(ROW(),2))</formula>
    </cfRule>
  </conditionalFormatting>
  <conditionalFormatting sqref="H135">
    <cfRule type="expression" dxfId="22373" priority="4875">
      <formula>AND(#REF!&lt;&gt;"",MOD(ROW(),2))</formula>
    </cfRule>
  </conditionalFormatting>
  <conditionalFormatting sqref="G111">
    <cfRule type="cellIs" dxfId="22372" priority="4866" operator="equal">
      <formula>#REF!</formula>
    </cfRule>
    <cfRule type="cellIs" dxfId="22371" priority="4867" operator="greaterThan">
      <formula>#REF!</formula>
    </cfRule>
    <cfRule type="cellIs" dxfId="22370" priority="4868" operator="lessThan">
      <formula>#REF!</formula>
    </cfRule>
  </conditionalFormatting>
  <conditionalFormatting sqref="G111:H111">
    <cfRule type="expression" dxfId="22369" priority="4865">
      <formula>AND($A137&lt;&gt;"",MOD(ROW(),2))</formula>
    </cfRule>
  </conditionalFormatting>
  <conditionalFormatting sqref="H111">
    <cfRule type="expression" dxfId="22368" priority="4870">
      <formula>AND(#REF!&lt;&gt;"",MOD(ROW(),2))</formula>
    </cfRule>
  </conditionalFormatting>
  <conditionalFormatting sqref="H111">
    <cfRule type="expression" dxfId="22367" priority="4869">
      <formula>AND(#REF!&lt;&gt;"",MOD(ROW(),2))</formula>
    </cfRule>
  </conditionalFormatting>
  <conditionalFormatting sqref="G132:H132">
    <cfRule type="expression" dxfId="22366" priority="4862">
      <formula>AND($A157&lt;&gt;"",MOD(ROW(),2))</formula>
    </cfRule>
  </conditionalFormatting>
  <conditionalFormatting sqref="G132">
    <cfRule type="cellIs" dxfId="22365" priority="4859" operator="equal">
      <formula>#REF!</formula>
    </cfRule>
    <cfRule type="cellIs" dxfId="22364" priority="4860" operator="greaterThan">
      <formula>#REF!</formula>
    </cfRule>
    <cfRule type="cellIs" dxfId="22363" priority="4861" operator="lessThan">
      <formula>#REF!</formula>
    </cfRule>
  </conditionalFormatting>
  <conditionalFormatting sqref="H132">
    <cfRule type="expression" dxfId="22362" priority="4864">
      <formula>AND(#REF!&lt;&gt;"",MOD(ROW(),2))</formula>
    </cfRule>
  </conditionalFormatting>
  <conditionalFormatting sqref="H132">
    <cfRule type="expression" dxfId="22361" priority="4863">
      <formula>AND(#REF!&lt;&gt;"",MOD(ROW(),2))</formula>
    </cfRule>
  </conditionalFormatting>
  <conditionalFormatting sqref="G162">
    <cfRule type="cellIs" dxfId="22360" priority="4856" operator="equal">
      <formula>#REF!</formula>
    </cfRule>
    <cfRule type="cellIs" dxfId="22359" priority="4857" operator="greaterThan">
      <formula>#REF!</formula>
    </cfRule>
    <cfRule type="cellIs" dxfId="22358" priority="4858" operator="lessThan">
      <formula>#REF!</formula>
    </cfRule>
  </conditionalFormatting>
  <conditionalFormatting sqref="H163">
    <cfRule type="expression" dxfId="22357" priority="4853">
      <formula>AND($A172&lt;&gt;"",MOD(ROW(),2))</formula>
    </cfRule>
  </conditionalFormatting>
  <conditionalFormatting sqref="H163">
    <cfRule type="expression" dxfId="22356" priority="4855">
      <formula>AND(#REF!&lt;&gt;"",MOD(ROW(),2))</formula>
    </cfRule>
  </conditionalFormatting>
  <conditionalFormatting sqref="H163">
    <cfRule type="expression" dxfId="22355" priority="4854">
      <formula>AND(#REF!&lt;&gt;"",MOD(ROW(),2))</formula>
    </cfRule>
  </conditionalFormatting>
  <conditionalFormatting sqref="G163">
    <cfRule type="expression" dxfId="22354" priority="4852">
      <formula>AND($A177&lt;&gt;"",MOD(ROW(),2))</formula>
    </cfRule>
  </conditionalFormatting>
  <conditionalFormatting sqref="G163">
    <cfRule type="cellIs" dxfId="22353" priority="4849" operator="equal">
      <formula>$C177</formula>
    </cfRule>
    <cfRule type="cellIs" dxfId="22352" priority="4850" operator="greaterThan">
      <formula>$C177</formula>
    </cfRule>
    <cfRule type="cellIs" dxfId="22351" priority="4851" operator="lessThan">
      <formula>$C177</formula>
    </cfRule>
  </conditionalFormatting>
  <conditionalFormatting sqref="H164">
    <cfRule type="expression" dxfId="22350" priority="4833">
      <formula>AND($A174&lt;&gt;"",MOD(ROW(),2))</formula>
    </cfRule>
  </conditionalFormatting>
  <conditionalFormatting sqref="H164">
    <cfRule type="expression" dxfId="22349" priority="4835">
      <formula>AND(#REF!&lt;&gt;"",MOD(ROW(),2))</formula>
    </cfRule>
  </conditionalFormatting>
  <conditionalFormatting sqref="H164">
    <cfRule type="expression" dxfId="22348" priority="4834">
      <formula>AND(#REF!&lt;&gt;"",MOD(ROW(),2))</formula>
    </cfRule>
  </conditionalFormatting>
  <conditionalFormatting sqref="G164">
    <cfRule type="expression" dxfId="22347" priority="4832">
      <formula>AND($A179&lt;&gt;"",MOD(ROW(),2))</formula>
    </cfRule>
  </conditionalFormatting>
  <conditionalFormatting sqref="G164">
    <cfRule type="cellIs" dxfId="22346" priority="4829" operator="equal">
      <formula>$C179</formula>
    </cfRule>
    <cfRule type="cellIs" dxfId="22345" priority="4830" operator="greaterThan">
      <formula>$C179</formula>
    </cfRule>
    <cfRule type="cellIs" dxfId="22344" priority="4831" operator="lessThan">
      <formula>$C179</formula>
    </cfRule>
  </conditionalFormatting>
  <conditionalFormatting sqref="H164">
    <cfRule type="expression" dxfId="22343" priority="4813">
      <formula>AND($A174&lt;&gt;"",MOD(ROW(),2))</formula>
    </cfRule>
  </conditionalFormatting>
  <conditionalFormatting sqref="H164">
    <cfRule type="expression" dxfId="22342" priority="4815">
      <formula>AND(#REF!&lt;&gt;"",MOD(ROW(),2))</formula>
    </cfRule>
  </conditionalFormatting>
  <conditionalFormatting sqref="H164">
    <cfRule type="expression" dxfId="22341" priority="4814">
      <formula>AND(#REF!&lt;&gt;"",MOD(ROW(),2))</formula>
    </cfRule>
  </conditionalFormatting>
  <conditionalFormatting sqref="G164">
    <cfRule type="expression" dxfId="22340" priority="4812">
      <formula>AND($A179&lt;&gt;"",MOD(ROW(),2))</formula>
    </cfRule>
  </conditionalFormatting>
  <conditionalFormatting sqref="G164">
    <cfRule type="cellIs" dxfId="22339" priority="4809" operator="equal">
      <formula>$C179</formula>
    </cfRule>
    <cfRule type="cellIs" dxfId="22338" priority="4810" operator="greaterThan">
      <formula>$C179</formula>
    </cfRule>
    <cfRule type="cellIs" dxfId="22337" priority="4811" operator="lessThan">
      <formula>$C179</formula>
    </cfRule>
  </conditionalFormatting>
  <conditionalFormatting sqref="H165">
    <cfRule type="expression" dxfId="22336" priority="4803">
      <formula>AND($A175&lt;&gt;"",MOD(ROW(),2))</formula>
    </cfRule>
  </conditionalFormatting>
  <conditionalFormatting sqref="H165">
    <cfRule type="expression" dxfId="22335" priority="4805">
      <formula>AND(#REF!&lt;&gt;"",MOD(ROW(),2))</formula>
    </cfRule>
  </conditionalFormatting>
  <conditionalFormatting sqref="H165">
    <cfRule type="expression" dxfId="22334" priority="4804">
      <formula>AND(#REF!&lt;&gt;"",MOD(ROW(),2))</formula>
    </cfRule>
  </conditionalFormatting>
  <conditionalFormatting sqref="G165">
    <cfRule type="expression" dxfId="22333" priority="4802">
      <formula>AND($A180&lt;&gt;"",MOD(ROW(),2))</formula>
    </cfRule>
  </conditionalFormatting>
  <conditionalFormatting sqref="G165">
    <cfRule type="cellIs" dxfId="22332" priority="4799" operator="equal">
      <formula>$C180</formula>
    </cfRule>
    <cfRule type="cellIs" dxfId="22331" priority="4800" operator="greaterThan">
      <formula>$C180</formula>
    </cfRule>
    <cfRule type="cellIs" dxfId="22330" priority="4801" operator="lessThan">
      <formula>$C180</formula>
    </cfRule>
  </conditionalFormatting>
  <conditionalFormatting sqref="H166">
    <cfRule type="expression" dxfId="22329" priority="4774">
      <formula>AND($A193&lt;&gt;"",MOD(ROW(),2))</formula>
    </cfRule>
  </conditionalFormatting>
  <conditionalFormatting sqref="H166">
    <cfRule type="expression" dxfId="22328" priority="4776">
      <formula>AND(#REF!&lt;&gt;"",MOD(ROW(),2))</formula>
    </cfRule>
  </conditionalFormatting>
  <conditionalFormatting sqref="H166">
    <cfRule type="expression" dxfId="22327" priority="4775">
      <formula>AND(#REF!&lt;&gt;"",MOD(ROW(),2))</formula>
    </cfRule>
  </conditionalFormatting>
  <conditionalFormatting sqref="G166">
    <cfRule type="expression" dxfId="22326" priority="4777">
      <formula>AND($A198&lt;&gt;"",MOD(ROW(),2))</formula>
    </cfRule>
  </conditionalFormatting>
  <conditionalFormatting sqref="G166">
    <cfRule type="cellIs" dxfId="22325" priority="4778" operator="equal">
      <formula>$C198</formula>
    </cfRule>
    <cfRule type="cellIs" dxfId="22324" priority="4779" operator="greaterThan">
      <formula>$C198</formula>
    </cfRule>
    <cfRule type="cellIs" dxfId="22323" priority="4780" operator="lessThan">
      <formula>$C198</formula>
    </cfRule>
  </conditionalFormatting>
  <conditionalFormatting sqref="H178:H179">
    <cfRule type="expression" dxfId="22322" priority="4761">
      <formula>AND($A188&lt;&gt;"",MOD(ROW(),2))</formula>
    </cfRule>
  </conditionalFormatting>
  <conditionalFormatting sqref="H178:H179">
    <cfRule type="expression" dxfId="22321" priority="4763">
      <formula>AND(#REF!&lt;&gt;"",MOD(ROW(),2))</formula>
    </cfRule>
  </conditionalFormatting>
  <conditionalFormatting sqref="H178:H179">
    <cfRule type="expression" dxfId="22320" priority="4762">
      <formula>AND(#REF!&lt;&gt;"",MOD(ROW(),2))</formula>
    </cfRule>
  </conditionalFormatting>
  <conditionalFormatting sqref="I178:I179">
    <cfRule type="expression" dxfId="22319" priority="4754">
      <formula>AND($A193&lt;&gt;"",MOD(ROW(),2))</formula>
    </cfRule>
  </conditionalFormatting>
  <conditionalFormatting sqref="G178:G179">
    <cfRule type="expression" dxfId="22318" priority="4760">
      <formula>AND($A193&lt;&gt;"",MOD(ROW(),2))</formula>
    </cfRule>
  </conditionalFormatting>
  <conditionalFormatting sqref="G178:G179">
    <cfRule type="cellIs" dxfId="22317" priority="4757" operator="equal">
      <formula>$C193</formula>
    </cfRule>
    <cfRule type="cellIs" dxfId="22316" priority="4758" operator="greaterThan">
      <formula>$C193</formula>
    </cfRule>
    <cfRule type="cellIs" dxfId="22315" priority="4759" operator="lessThan">
      <formula>$C193</formula>
    </cfRule>
  </conditionalFormatting>
  <conditionalFormatting sqref="I178:I179">
    <cfRule type="expression" dxfId="22314" priority="4756">
      <formula>AND(#REF!&lt;&gt;"",MOD(ROW(),2))</formula>
    </cfRule>
  </conditionalFormatting>
  <conditionalFormatting sqref="I178:I179">
    <cfRule type="expression" dxfId="22313" priority="4755">
      <formula>AND(#REF!&lt;&gt;"",MOD(ROW(),2))</formula>
    </cfRule>
  </conditionalFormatting>
  <conditionalFormatting sqref="G177:I177">
    <cfRule type="expression" dxfId="22312" priority="4748">
      <formula>AND($A180&lt;&gt;"",MOD(ROW(),2))</formula>
    </cfRule>
  </conditionalFormatting>
  <conditionalFormatting sqref="G177">
    <cfRule type="cellIs" dxfId="22311" priority="4745" operator="equal">
      <formula>$C180</formula>
    </cfRule>
    <cfRule type="cellIs" dxfId="22310" priority="4746" operator="greaterThan">
      <formula>$C180</formula>
    </cfRule>
    <cfRule type="cellIs" dxfId="22309" priority="4747" operator="lessThan">
      <formula>$C180</formula>
    </cfRule>
  </conditionalFormatting>
  <conditionalFormatting sqref="H177:I177">
    <cfRule type="expression" dxfId="22308" priority="4753">
      <formula>AND(#REF!&lt;&gt;"",MOD(ROW(),2))</formula>
    </cfRule>
  </conditionalFormatting>
  <conditionalFormatting sqref="H177:I177">
    <cfRule type="expression" dxfId="22307" priority="4752">
      <formula>AND(#REF!&lt;&gt;"",MOD(ROW(),2))</formula>
    </cfRule>
  </conditionalFormatting>
  <conditionalFormatting sqref="I177">
    <cfRule type="cellIs" dxfId="22306" priority="4749" operator="equal">
      <formula>#REF!</formula>
    </cfRule>
    <cfRule type="cellIs" dxfId="22305" priority="4750" operator="greaterThan">
      <formula>#REF!</formula>
    </cfRule>
    <cfRule type="cellIs" dxfId="22304" priority="4751" operator="lessThan">
      <formula>#REF!</formula>
    </cfRule>
  </conditionalFormatting>
  <conditionalFormatting sqref="H169">
    <cfRule type="expression" dxfId="22303" priority="4733">
      <formula>AND($A196&lt;&gt;"",MOD(ROW(),2))</formula>
    </cfRule>
  </conditionalFormatting>
  <conditionalFormatting sqref="H169">
    <cfRule type="expression" dxfId="22302" priority="4735">
      <formula>AND(#REF!&lt;&gt;"",MOD(ROW(),2))</formula>
    </cfRule>
  </conditionalFormatting>
  <conditionalFormatting sqref="H169">
    <cfRule type="expression" dxfId="22301" priority="4734">
      <formula>AND(#REF!&lt;&gt;"",MOD(ROW(),2))</formula>
    </cfRule>
  </conditionalFormatting>
  <conditionalFormatting sqref="G169">
    <cfRule type="expression" dxfId="22300" priority="4736">
      <formula>AND($A201&lt;&gt;"",MOD(ROW(),2))</formula>
    </cfRule>
  </conditionalFormatting>
  <conditionalFormatting sqref="G169">
    <cfRule type="cellIs" dxfId="22299" priority="4737" operator="equal">
      <formula>$C201</formula>
    </cfRule>
    <cfRule type="cellIs" dxfId="22298" priority="4738" operator="greaterThan">
      <formula>$C201</formula>
    </cfRule>
    <cfRule type="cellIs" dxfId="22297" priority="4739" operator="lessThan">
      <formula>$C201</formula>
    </cfRule>
  </conditionalFormatting>
  <conditionalFormatting sqref="H176:I176">
    <cfRule type="expression" dxfId="22296" priority="4727">
      <formula>AND($A179&lt;&gt;"",MOD(ROW(),2))</formula>
    </cfRule>
  </conditionalFormatting>
  <conditionalFormatting sqref="H176:I176">
    <cfRule type="expression" dxfId="22295" priority="4732">
      <formula>AND(#REF!&lt;&gt;"",MOD(ROW(),2))</formula>
    </cfRule>
  </conditionalFormatting>
  <conditionalFormatting sqref="H176:I176">
    <cfRule type="expression" dxfId="22294" priority="4731">
      <formula>AND(#REF!&lt;&gt;"",MOD(ROW(),2))</formula>
    </cfRule>
  </conditionalFormatting>
  <conditionalFormatting sqref="I176">
    <cfRule type="cellIs" dxfId="22293" priority="4728" operator="equal">
      <formula>#REF!</formula>
    </cfRule>
    <cfRule type="cellIs" dxfId="22292" priority="4729" operator="greaterThan">
      <formula>#REF!</formula>
    </cfRule>
    <cfRule type="cellIs" dxfId="22291" priority="4730" operator="lessThan">
      <formula>#REF!</formula>
    </cfRule>
  </conditionalFormatting>
  <conditionalFormatting sqref="H168">
    <cfRule type="expression" dxfId="22290" priority="4721">
      <formula>AND($A178&lt;&gt;"",MOD(ROW(),2))</formula>
    </cfRule>
  </conditionalFormatting>
  <conditionalFormatting sqref="H168">
    <cfRule type="expression" dxfId="22289" priority="4723">
      <formula>AND(#REF!&lt;&gt;"",MOD(ROW(),2))</formula>
    </cfRule>
  </conditionalFormatting>
  <conditionalFormatting sqref="H168">
    <cfRule type="expression" dxfId="22288" priority="4722">
      <formula>AND(#REF!&lt;&gt;"",MOD(ROW(),2))</formula>
    </cfRule>
  </conditionalFormatting>
  <conditionalFormatting sqref="G168">
    <cfRule type="expression" dxfId="22287" priority="4720">
      <formula>AND($A183&lt;&gt;"",MOD(ROW(),2))</formula>
    </cfRule>
  </conditionalFormatting>
  <conditionalFormatting sqref="G168">
    <cfRule type="cellIs" dxfId="22286" priority="4717" operator="equal">
      <formula>$C183</formula>
    </cfRule>
    <cfRule type="cellIs" dxfId="22285" priority="4718" operator="greaterThan">
      <formula>$C183</formula>
    </cfRule>
    <cfRule type="cellIs" dxfId="22284" priority="4719" operator="lessThan">
      <formula>$C183</formula>
    </cfRule>
  </conditionalFormatting>
  <conditionalFormatting sqref="H168">
    <cfRule type="expression" dxfId="22283" priority="4714">
      <formula>AND($A178&lt;&gt;"",MOD(ROW(),2))</formula>
    </cfRule>
  </conditionalFormatting>
  <conditionalFormatting sqref="H168">
    <cfRule type="expression" dxfId="22282" priority="4716">
      <formula>AND(#REF!&lt;&gt;"",MOD(ROW(),2))</formula>
    </cfRule>
  </conditionalFormatting>
  <conditionalFormatting sqref="H168">
    <cfRule type="expression" dxfId="22281" priority="4715">
      <formula>AND(#REF!&lt;&gt;"",MOD(ROW(),2))</formula>
    </cfRule>
  </conditionalFormatting>
  <conditionalFormatting sqref="G168">
    <cfRule type="expression" dxfId="22280" priority="4713">
      <formula>AND($A183&lt;&gt;"",MOD(ROW(),2))</formula>
    </cfRule>
  </conditionalFormatting>
  <conditionalFormatting sqref="G168">
    <cfRule type="cellIs" dxfId="22279" priority="4710" operator="equal">
      <formula>$C183</formula>
    </cfRule>
    <cfRule type="cellIs" dxfId="22278" priority="4711" operator="greaterThan">
      <formula>$C183</formula>
    </cfRule>
    <cfRule type="cellIs" dxfId="22277" priority="4712" operator="lessThan">
      <formula>$C183</formula>
    </cfRule>
  </conditionalFormatting>
  <conditionalFormatting sqref="G170">
    <cfRule type="expression" dxfId="22276" priority="4706">
      <formula>AND($A202&lt;&gt;"",MOD(ROW(),2))</formula>
    </cfRule>
  </conditionalFormatting>
  <conditionalFormatting sqref="G170">
    <cfRule type="cellIs" dxfId="22275" priority="4707" operator="equal">
      <formula>$C202</formula>
    </cfRule>
    <cfRule type="cellIs" dxfId="22274" priority="4708" operator="greaterThan">
      <formula>$C202</formula>
    </cfRule>
    <cfRule type="cellIs" dxfId="22273" priority="4709" operator="lessThan">
      <formula>$C202</formula>
    </cfRule>
  </conditionalFormatting>
  <conditionalFormatting sqref="G171">
    <cfRule type="expression" dxfId="22272" priority="4702">
      <formula>AND($A203&lt;&gt;"",MOD(ROW(),2))</formula>
    </cfRule>
  </conditionalFormatting>
  <conditionalFormatting sqref="G171">
    <cfRule type="cellIs" dxfId="22271" priority="4703" operator="equal">
      <formula>$C203</formula>
    </cfRule>
    <cfRule type="cellIs" dxfId="22270" priority="4704" operator="greaterThan">
      <formula>$C203</formula>
    </cfRule>
    <cfRule type="cellIs" dxfId="22269" priority="4705" operator="lessThan">
      <formula>$C203</formula>
    </cfRule>
  </conditionalFormatting>
  <conditionalFormatting sqref="G172">
    <cfRule type="expression" dxfId="22268" priority="4698">
      <formula>AND($A204&lt;&gt;"",MOD(ROW(),2))</formula>
    </cfRule>
  </conditionalFormatting>
  <conditionalFormatting sqref="G172">
    <cfRule type="cellIs" dxfId="22267" priority="4699" operator="equal">
      <formula>$C204</formula>
    </cfRule>
    <cfRule type="cellIs" dxfId="22266" priority="4700" operator="greaterThan">
      <formula>$C204</formula>
    </cfRule>
    <cfRule type="cellIs" dxfId="22265" priority="4701" operator="lessThan">
      <formula>$C204</formula>
    </cfRule>
  </conditionalFormatting>
  <conditionalFormatting sqref="G173">
    <cfRule type="expression" dxfId="22264" priority="4694">
      <formula>AND($A205&lt;&gt;"",MOD(ROW(),2))</formula>
    </cfRule>
  </conditionalFormatting>
  <conditionalFormatting sqref="G173">
    <cfRule type="cellIs" dxfId="22263" priority="4695" operator="equal">
      <formula>$C205</formula>
    </cfRule>
    <cfRule type="cellIs" dxfId="22262" priority="4696" operator="greaterThan">
      <formula>$C205</formula>
    </cfRule>
    <cfRule type="cellIs" dxfId="22261" priority="4697" operator="lessThan">
      <formula>$C205</formula>
    </cfRule>
  </conditionalFormatting>
  <conditionalFormatting sqref="G174">
    <cfRule type="expression" dxfId="22260" priority="4690">
      <formula>AND($A206&lt;&gt;"",MOD(ROW(),2))</formula>
    </cfRule>
  </conditionalFormatting>
  <conditionalFormatting sqref="G174">
    <cfRule type="cellIs" dxfId="22259" priority="4691" operator="equal">
      <formula>$C206</formula>
    </cfRule>
    <cfRule type="cellIs" dxfId="22258" priority="4692" operator="greaterThan">
      <formula>$C206</formula>
    </cfRule>
    <cfRule type="cellIs" dxfId="22257" priority="4693" operator="lessThan">
      <formula>$C206</formula>
    </cfRule>
  </conditionalFormatting>
  <conditionalFormatting sqref="G175">
    <cfRule type="expression" dxfId="22256" priority="4686">
      <formula>AND($A207&lt;&gt;"",MOD(ROW(),2))</formula>
    </cfRule>
  </conditionalFormatting>
  <conditionalFormatting sqref="G175">
    <cfRule type="cellIs" dxfId="22255" priority="4687" operator="equal">
      <formula>$C207</formula>
    </cfRule>
    <cfRule type="cellIs" dxfId="22254" priority="4688" operator="greaterThan">
      <formula>$C207</formula>
    </cfRule>
    <cfRule type="cellIs" dxfId="22253" priority="4689" operator="lessThan">
      <formula>$C207</formula>
    </cfRule>
  </conditionalFormatting>
  <conditionalFormatting sqref="G176">
    <cfRule type="expression" dxfId="22252" priority="4682">
      <formula>AND($A208&lt;&gt;"",MOD(ROW(),2))</formula>
    </cfRule>
  </conditionalFormatting>
  <conditionalFormatting sqref="G176">
    <cfRule type="cellIs" dxfId="22251" priority="4683" operator="equal">
      <formula>$C208</formula>
    </cfRule>
    <cfRule type="cellIs" dxfId="22250" priority="4684" operator="greaterThan">
      <formula>$C208</formula>
    </cfRule>
    <cfRule type="cellIs" dxfId="22249" priority="4685" operator="lessThan">
      <formula>$C208</formula>
    </cfRule>
  </conditionalFormatting>
  <conditionalFormatting sqref="C41:C48">
    <cfRule type="expression" dxfId="22248" priority="4681">
      <formula>AND($A67&lt;&gt;"",MOD(ROW(),2))</formula>
    </cfRule>
  </conditionalFormatting>
  <conditionalFormatting sqref="C41:C48">
    <cfRule type="cellIs" dxfId="22247" priority="4678" operator="equal">
      <formula>#REF!</formula>
    </cfRule>
    <cfRule type="cellIs" dxfId="22246" priority="4679" operator="greaterThan">
      <formula>#REF!</formula>
    </cfRule>
    <cfRule type="cellIs" dxfId="22245" priority="4680" operator="lessThan">
      <formula>#REF!</formula>
    </cfRule>
  </conditionalFormatting>
  <conditionalFormatting sqref="C67">
    <cfRule type="expression" dxfId="22244" priority="4677">
      <formula>AND($A51&lt;&gt;"",MOD(ROW(),2))</formula>
    </cfRule>
  </conditionalFormatting>
  <conditionalFormatting sqref="C67">
    <cfRule type="cellIs" dxfId="22243" priority="4674" operator="equal">
      <formula>#REF!</formula>
    </cfRule>
    <cfRule type="cellIs" dxfId="22242" priority="4675" operator="greaterThan">
      <formula>#REF!</formula>
    </cfRule>
    <cfRule type="cellIs" dxfId="22241" priority="4676" operator="lessThan">
      <formula>#REF!</formula>
    </cfRule>
  </conditionalFormatting>
  <conditionalFormatting sqref="H291">
    <cfRule type="expression" dxfId="22240" priority="4673">
      <formula>AND($A321&lt;&gt;"",MOD(ROW(),2))</formula>
    </cfRule>
  </conditionalFormatting>
  <conditionalFormatting sqref="H292">
    <cfRule type="expression" dxfId="22239" priority="4670">
      <formula>AND($A322&lt;&gt;"",MOD(ROW(),2))</formula>
    </cfRule>
  </conditionalFormatting>
  <conditionalFormatting sqref="H292">
    <cfRule type="expression" dxfId="22238" priority="4672">
      <formula>AND(#REF!&lt;&gt;"",MOD(ROW(),2))</formula>
    </cfRule>
  </conditionalFormatting>
  <conditionalFormatting sqref="H292">
    <cfRule type="expression" dxfId="22237" priority="4671">
      <formula>AND(#REF!&lt;&gt;"",MOD(ROW(),2))</formula>
    </cfRule>
  </conditionalFormatting>
  <conditionalFormatting sqref="H293">
    <cfRule type="expression" dxfId="22236" priority="4667">
      <formula>AND($A323&lt;&gt;"",MOD(ROW(),2))</formula>
    </cfRule>
  </conditionalFormatting>
  <conditionalFormatting sqref="H293">
    <cfRule type="expression" dxfId="22235" priority="4669">
      <formula>AND(#REF!&lt;&gt;"",MOD(ROW(),2))</formula>
    </cfRule>
  </conditionalFormatting>
  <conditionalFormatting sqref="H293">
    <cfRule type="expression" dxfId="22234" priority="4668">
      <formula>AND(#REF!&lt;&gt;"",MOD(ROW(),2))</formula>
    </cfRule>
  </conditionalFormatting>
  <conditionalFormatting sqref="H294">
    <cfRule type="expression" dxfId="22233" priority="4664">
      <formula>AND($A324&lt;&gt;"",MOD(ROW(),2))</formula>
    </cfRule>
  </conditionalFormatting>
  <conditionalFormatting sqref="H294">
    <cfRule type="expression" dxfId="22232" priority="4666">
      <formula>AND(#REF!&lt;&gt;"",MOD(ROW(),2))</formula>
    </cfRule>
  </conditionalFormatting>
  <conditionalFormatting sqref="H294">
    <cfRule type="expression" dxfId="22231" priority="4665">
      <formula>AND(#REF!&lt;&gt;"",MOD(ROW(),2))</formula>
    </cfRule>
  </conditionalFormatting>
  <conditionalFormatting sqref="H295">
    <cfRule type="expression" dxfId="22230" priority="4661">
      <formula>AND($A325&lt;&gt;"",MOD(ROW(),2))</formula>
    </cfRule>
  </conditionalFormatting>
  <conditionalFormatting sqref="H295">
    <cfRule type="expression" dxfId="22229" priority="4663">
      <formula>AND(#REF!&lt;&gt;"",MOD(ROW(),2))</formula>
    </cfRule>
  </conditionalFormatting>
  <conditionalFormatting sqref="H295">
    <cfRule type="expression" dxfId="22228" priority="4662">
      <formula>AND(#REF!&lt;&gt;"",MOD(ROW(),2))</formula>
    </cfRule>
  </conditionalFormatting>
  <conditionalFormatting sqref="H296">
    <cfRule type="expression" dxfId="22227" priority="4658">
      <formula>AND($A326&lt;&gt;"",MOD(ROW(),2))</formula>
    </cfRule>
  </conditionalFormatting>
  <conditionalFormatting sqref="H296">
    <cfRule type="expression" dxfId="22226" priority="4660">
      <formula>AND(#REF!&lt;&gt;"",MOD(ROW(),2))</formula>
    </cfRule>
  </conditionalFormatting>
  <conditionalFormatting sqref="H296">
    <cfRule type="expression" dxfId="22225" priority="4659">
      <formula>AND(#REF!&lt;&gt;"",MOD(ROW(),2))</formula>
    </cfRule>
  </conditionalFormatting>
  <conditionalFormatting sqref="H297">
    <cfRule type="expression" dxfId="22224" priority="4655">
      <formula>AND($A327&lt;&gt;"",MOD(ROW(),2))</formula>
    </cfRule>
  </conditionalFormatting>
  <conditionalFormatting sqref="H297">
    <cfRule type="expression" dxfId="22223" priority="4657">
      <formula>AND(#REF!&lt;&gt;"",MOD(ROW(),2))</formula>
    </cfRule>
  </conditionalFormatting>
  <conditionalFormatting sqref="H297">
    <cfRule type="expression" dxfId="22222" priority="4656">
      <formula>AND(#REF!&lt;&gt;"",MOD(ROW(),2))</formula>
    </cfRule>
  </conditionalFormatting>
  <conditionalFormatting sqref="H298">
    <cfRule type="expression" dxfId="22221" priority="4652">
      <formula>AND($A328&lt;&gt;"",MOD(ROW(),2))</formula>
    </cfRule>
  </conditionalFormatting>
  <conditionalFormatting sqref="H298">
    <cfRule type="expression" dxfId="22220" priority="4654">
      <formula>AND(#REF!&lt;&gt;"",MOD(ROW(),2))</formula>
    </cfRule>
  </conditionalFormatting>
  <conditionalFormatting sqref="H298">
    <cfRule type="expression" dxfId="22219" priority="4653">
      <formula>AND(#REF!&lt;&gt;"",MOD(ROW(),2))</formula>
    </cfRule>
  </conditionalFormatting>
  <conditionalFormatting sqref="H299">
    <cfRule type="expression" dxfId="22218" priority="4649">
      <formula>AND($A329&lt;&gt;"",MOD(ROW(),2))</formula>
    </cfRule>
  </conditionalFormatting>
  <conditionalFormatting sqref="H299">
    <cfRule type="expression" dxfId="22217" priority="4651">
      <formula>AND(#REF!&lt;&gt;"",MOD(ROW(),2))</formula>
    </cfRule>
  </conditionalFormatting>
  <conditionalFormatting sqref="H299">
    <cfRule type="expression" dxfId="22216" priority="4650">
      <formula>AND(#REF!&lt;&gt;"",MOD(ROW(),2))</formula>
    </cfRule>
  </conditionalFormatting>
  <conditionalFormatting sqref="H300">
    <cfRule type="expression" dxfId="22215" priority="4646">
      <formula>AND($A330&lt;&gt;"",MOD(ROW(),2))</formula>
    </cfRule>
  </conditionalFormatting>
  <conditionalFormatting sqref="H300">
    <cfRule type="expression" dxfId="22214" priority="4648">
      <formula>AND(#REF!&lt;&gt;"",MOD(ROW(),2))</formula>
    </cfRule>
  </conditionalFormatting>
  <conditionalFormatting sqref="H300">
    <cfRule type="expression" dxfId="22213" priority="4647">
      <formula>AND(#REF!&lt;&gt;"",MOD(ROW(),2))</formula>
    </cfRule>
  </conditionalFormatting>
  <conditionalFormatting sqref="H301">
    <cfRule type="expression" dxfId="22212" priority="4643">
      <formula>AND($A331&lt;&gt;"",MOD(ROW(),2))</formula>
    </cfRule>
  </conditionalFormatting>
  <conditionalFormatting sqref="H301">
    <cfRule type="expression" dxfId="22211" priority="4645">
      <formula>AND(#REF!&lt;&gt;"",MOD(ROW(),2))</formula>
    </cfRule>
  </conditionalFormatting>
  <conditionalFormatting sqref="H301">
    <cfRule type="expression" dxfId="22210" priority="4644">
      <formula>AND(#REF!&lt;&gt;"",MOD(ROW(),2))</formula>
    </cfRule>
  </conditionalFormatting>
  <conditionalFormatting sqref="H302">
    <cfRule type="expression" dxfId="22209" priority="4640">
      <formula>AND($A332&lt;&gt;"",MOD(ROW(),2))</formula>
    </cfRule>
  </conditionalFormatting>
  <conditionalFormatting sqref="H302">
    <cfRule type="expression" dxfId="22208" priority="4642">
      <formula>AND(#REF!&lt;&gt;"",MOD(ROW(),2))</formula>
    </cfRule>
  </conditionalFormatting>
  <conditionalFormatting sqref="H302">
    <cfRule type="expression" dxfId="22207" priority="4641">
      <formula>AND(#REF!&lt;&gt;"",MOD(ROW(),2))</formula>
    </cfRule>
  </conditionalFormatting>
  <conditionalFormatting sqref="H303">
    <cfRule type="expression" dxfId="22206" priority="4637">
      <formula>AND($A333&lt;&gt;"",MOD(ROW(),2))</formula>
    </cfRule>
  </conditionalFormatting>
  <conditionalFormatting sqref="H303">
    <cfRule type="expression" dxfId="22205" priority="4639">
      <formula>AND(#REF!&lt;&gt;"",MOD(ROW(),2))</formula>
    </cfRule>
  </conditionalFormatting>
  <conditionalFormatting sqref="H303">
    <cfRule type="expression" dxfId="22204" priority="4638">
      <formula>AND(#REF!&lt;&gt;"",MOD(ROW(),2))</formula>
    </cfRule>
  </conditionalFormatting>
  <conditionalFormatting sqref="H304">
    <cfRule type="expression" dxfId="22203" priority="4634">
      <formula>AND($A334&lt;&gt;"",MOD(ROW(),2))</formula>
    </cfRule>
  </conditionalFormatting>
  <conditionalFormatting sqref="H304">
    <cfRule type="expression" dxfId="22202" priority="4636">
      <formula>AND(#REF!&lt;&gt;"",MOD(ROW(),2))</formula>
    </cfRule>
  </conditionalFormatting>
  <conditionalFormatting sqref="H304">
    <cfRule type="expression" dxfId="22201" priority="4635">
      <formula>AND(#REF!&lt;&gt;"",MOD(ROW(),2))</formula>
    </cfRule>
  </conditionalFormatting>
  <conditionalFormatting sqref="H305">
    <cfRule type="expression" dxfId="22200" priority="4631">
      <formula>AND($A335&lt;&gt;"",MOD(ROW(),2))</formula>
    </cfRule>
  </conditionalFormatting>
  <conditionalFormatting sqref="H305">
    <cfRule type="expression" dxfId="22199" priority="4633">
      <formula>AND(#REF!&lt;&gt;"",MOD(ROW(),2))</formula>
    </cfRule>
  </conditionalFormatting>
  <conditionalFormatting sqref="H305">
    <cfRule type="expression" dxfId="22198" priority="4632">
      <formula>AND(#REF!&lt;&gt;"",MOD(ROW(),2))</formula>
    </cfRule>
  </conditionalFormatting>
  <conditionalFormatting sqref="H306">
    <cfRule type="expression" dxfId="22197" priority="4628">
      <formula>AND($A336&lt;&gt;"",MOD(ROW(),2))</formula>
    </cfRule>
  </conditionalFormatting>
  <conditionalFormatting sqref="H306">
    <cfRule type="expression" dxfId="22196" priority="4630">
      <formula>AND(#REF!&lt;&gt;"",MOD(ROW(),2))</formula>
    </cfRule>
  </conditionalFormatting>
  <conditionalFormatting sqref="H306">
    <cfRule type="expression" dxfId="22195" priority="4629">
      <formula>AND(#REF!&lt;&gt;"",MOD(ROW(),2))</formula>
    </cfRule>
  </conditionalFormatting>
  <conditionalFormatting sqref="H307">
    <cfRule type="expression" dxfId="22194" priority="4625">
      <formula>AND($A337&lt;&gt;"",MOD(ROW(),2))</formula>
    </cfRule>
  </conditionalFormatting>
  <conditionalFormatting sqref="H307">
    <cfRule type="expression" dxfId="22193" priority="4627">
      <formula>AND(#REF!&lt;&gt;"",MOD(ROW(),2))</formula>
    </cfRule>
  </conditionalFormatting>
  <conditionalFormatting sqref="H307">
    <cfRule type="expression" dxfId="22192" priority="4626">
      <formula>AND(#REF!&lt;&gt;"",MOD(ROW(),2))</formula>
    </cfRule>
  </conditionalFormatting>
  <conditionalFormatting sqref="H308">
    <cfRule type="expression" dxfId="22191" priority="4622">
      <formula>AND($A338&lt;&gt;"",MOD(ROW(),2))</formula>
    </cfRule>
  </conditionalFormatting>
  <conditionalFormatting sqref="H308">
    <cfRule type="expression" dxfId="22190" priority="4624">
      <formula>AND(#REF!&lt;&gt;"",MOD(ROW(),2))</formula>
    </cfRule>
  </conditionalFormatting>
  <conditionalFormatting sqref="H308">
    <cfRule type="expression" dxfId="22189" priority="4623">
      <formula>AND(#REF!&lt;&gt;"",MOD(ROW(),2))</formula>
    </cfRule>
  </conditionalFormatting>
  <conditionalFormatting sqref="H309">
    <cfRule type="expression" dxfId="22188" priority="4619">
      <formula>AND($A339&lt;&gt;"",MOD(ROW(),2))</formula>
    </cfRule>
  </conditionalFormatting>
  <conditionalFormatting sqref="H309">
    <cfRule type="expression" dxfId="22187" priority="4621">
      <formula>AND(#REF!&lt;&gt;"",MOD(ROW(),2))</formula>
    </cfRule>
  </conditionalFormatting>
  <conditionalFormatting sqref="H309">
    <cfRule type="expression" dxfId="22186" priority="4620">
      <formula>AND(#REF!&lt;&gt;"",MOD(ROW(),2))</formula>
    </cfRule>
  </conditionalFormatting>
  <conditionalFormatting sqref="H310">
    <cfRule type="expression" dxfId="22185" priority="4616">
      <formula>AND($A340&lt;&gt;"",MOD(ROW(),2))</formula>
    </cfRule>
  </conditionalFormatting>
  <conditionalFormatting sqref="H310">
    <cfRule type="expression" dxfId="22184" priority="4618">
      <formula>AND(#REF!&lt;&gt;"",MOD(ROW(),2))</formula>
    </cfRule>
  </conditionalFormatting>
  <conditionalFormatting sqref="H310">
    <cfRule type="expression" dxfId="22183" priority="4617">
      <formula>AND(#REF!&lt;&gt;"",MOD(ROW(),2))</formula>
    </cfRule>
  </conditionalFormatting>
  <conditionalFormatting sqref="H311">
    <cfRule type="expression" dxfId="22182" priority="4613">
      <formula>AND($A341&lt;&gt;"",MOD(ROW(),2))</formula>
    </cfRule>
  </conditionalFormatting>
  <conditionalFormatting sqref="H311">
    <cfRule type="expression" dxfId="22181" priority="4615">
      <formula>AND(#REF!&lt;&gt;"",MOD(ROW(),2))</formula>
    </cfRule>
  </conditionalFormatting>
  <conditionalFormatting sqref="H311">
    <cfRule type="expression" dxfId="22180" priority="4614">
      <formula>AND(#REF!&lt;&gt;"",MOD(ROW(),2))</formula>
    </cfRule>
  </conditionalFormatting>
  <conditionalFormatting sqref="H312:H422">
    <cfRule type="expression" dxfId="22179" priority="4610">
      <formula>AND($A342&lt;&gt;"",MOD(ROW(),2))</formula>
    </cfRule>
  </conditionalFormatting>
  <conditionalFormatting sqref="H312:H422">
    <cfRule type="expression" dxfId="22178" priority="4612">
      <formula>AND(#REF!&lt;&gt;"",MOD(ROW(),2))</formula>
    </cfRule>
  </conditionalFormatting>
  <conditionalFormatting sqref="H312:H422 H424:H470 H472:H620 H622:H629 H631">
    <cfRule type="expression" dxfId="22177" priority="4611">
      <formula>AND(#REF!&lt;&gt;"",MOD(ROW(),2))</formula>
    </cfRule>
  </conditionalFormatting>
  <conditionalFormatting sqref="H313">
    <cfRule type="expression" dxfId="22176" priority="4607">
      <formula>AND($A343&lt;&gt;"",MOD(ROW(),2))</formula>
    </cfRule>
  </conditionalFormatting>
  <conditionalFormatting sqref="H313">
    <cfRule type="expression" dxfId="22175" priority="4609">
      <formula>AND(#REF!&lt;&gt;"",MOD(ROW(),2))</formula>
    </cfRule>
  </conditionalFormatting>
  <conditionalFormatting sqref="H313">
    <cfRule type="expression" dxfId="22174" priority="4608">
      <formula>AND(#REF!&lt;&gt;"",MOD(ROW(),2))</formula>
    </cfRule>
  </conditionalFormatting>
  <conditionalFormatting sqref="H314">
    <cfRule type="expression" dxfId="22173" priority="4604">
      <formula>AND($A344&lt;&gt;"",MOD(ROW(),2))</formula>
    </cfRule>
  </conditionalFormatting>
  <conditionalFormatting sqref="H314">
    <cfRule type="expression" dxfId="22172" priority="4606">
      <formula>AND(#REF!&lt;&gt;"",MOD(ROW(),2))</formula>
    </cfRule>
  </conditionalFormatting>
  <conditionalFormatting sqref="H314">
    <cfRule type="expression" dxfId="22171" priority="4605">
      <formula>AND(#REF!&lt;&gt;"",MOD(ROW(),2))</formula>
    </cfRule>
  </conditionalFormatting>
  <conditionalFormatting sqref="H307">
    <cfRule type="expression" dxfId="22170" priority="4601">
      <formula>AND($A337&lt;&gt;"",MOD(ROW(),2))</formula>
    </cfRule>
  </conditionalFormatting>
  <conditionalFormatting sqref="H307">
    <cfRule type="expression" dxfId="22169" priority="4603">
      <formula>AND(#REF!&lt;&gt;"",MOD(ROW(),2))</formula>
    </cfRule>
  </conditionalFormatting>
  <conditionalFormatting sqref="H307">
    <cfRule type="expression" dxfId="22168" priority="4602">
      <formula>AND(#REF!&lt;&gt;"",MOD(ROW(),2))</formula>
    </cfRule>
  </conditionalFormatting>
  <conditionalFormatting sqref="H308">
    <cfRule type="expression" dxfId="22167" priority="4598">
      <formula>AND($A338&lt;&gt;"",MOD(ROW(),2))</formula>
    </cfRule>
  </conditionalFormatting>
  <conditionalFormatting sqref="H308">
    <cfRule type="expression" dxfId="22166" priority="4600">
      <formula>AND(#REF!&lt;&gt;"",MOD(ROW(),2))</formula>
    </cfRule>
  </conditionalFormatting>
  <conditionalFormatting sqref="H308">
    <cfRule type="expression" dxfId="22165" priority="4599">
      <formula>AND(#REF!&lt;&gt;"",MOD(ROW(),2))</formula>
    </cfRule>
  </conditionalFormatting>
  <conditionalFormatting sqref="H309">
    <cfRule type="expression" dxfId="22164" priority="4595">
      <formula>AND($A339&lt;&gt;"",MOD(ROW(),2))</formula>
    </cfRule>
  </conditionalFormatting>
  <conditionalFormatting sqref="H309">
    <cfRule type="expression" dxfId="22163" priority="4597">
      <formula>AND(#REF!&lt;&gt;"",MOD(ROW(),2))</formula>
    </cfRule>
  </conditionalFormatting>
  <conditionalFormatting sqref="H309">
    <cfRule type="expression" dxfId="22162" priority="4596">
      <formula>AND(#REF!&lt;&gt;"",MOD(ROW(),2))</formula>
    </cfRule>
  </conditionalFormatting>
  <conditionalFormatting sqref="H310">
    <cfRule type="expression" dxfId="22161" priority="4592">
      <formula>AND($A340&lt;&gt;"",MOD(ROW(),2))</formula>
    </cfRule>
  </conditionalFormatting>
  <conditionalFormatting sqref="H310">
    <cfRule type="expression" dxfId="22160" priority="4594">
      <formula>AND(#REF!&lt;&gt;"",MOD(ROW(),2))</formula>
    </cfRule>
  </conditionalFormatting>
  <conditionalFormatting sqref="H310">
    <cfRule type="expression" dxfId="22159" priority="4593">
      <formula>AND(#REF!&lt;&gt;"",MOD(ROW(),2))</formula>
    </cfRule>
  </conditionalFormatting>
  <conditionalFormatting sqref="H311">
    <cfRule type="expression" dxfId="22158" priority="4589">
      <formula>AND($A341&lt;&gt;"",MOD(ROW(),2))</formula>
    </cfRule>
  </conditionalFormatting>
  <conditionalFormatting sqref="H311">
    <cfRule type="expression" dxfId="22157" priority="4591">
      <formula>AND(#REF!&lt;&gt;"",MOD(ROW(),2))</formula>
    </cfRule>
  </conditionalFormatting>
  <conditionalFormatting sqref="H311">
    <cfRule type="expression" dxfId="22156" priority="4590">
      <formula>AND(#REF!&lt;&gt;"",MOD(ROW(),2))</formula>
    </cfRule>
  </conditionalFormatting>
  <conditionalFormatting sqref="H312:H422">
    <cfRule type="expression" dxfId="22155" priority="4586">
      <formula>AND($A342&lt;&gt;"",MOD(ROW(),2))</formula>
    </cfRule>
  </conditionalFormatting>
  <conditionalFormatting sqref="H312:H422">
    <cfRule type="expression" dxfId="22154" priority="4588">
      <formula>AND(#REF!&lt;&gt;"",MOD(ROW(),2))</formula>
    </cfRule>
  </conditionalFormatting>
  <conditionalFormatting sqref="H312:H422 H424:H470 H472:H620 H622:H629 H631">
    <cfRule type="expression" dxfId="22153" priority="4587">
      <formula>AND(#REF!&lt;&gt;"",MOD(ROW(),2))</formula>
    </cfRule>
  </conditionalFormatting>
  <conditionalFormatting sqref="H313">
    <cfRule type="expression" dxfId="22152" priority="4583">
      <formula>AND($A343&lt;&gt;"",MOD(ROW(),2))</formula>
    </cfRule>
  </conditionalFormatting>
  <conditionalFormatting sqref="H313">
    <cfRule type="expression" dxfId="22151" priority="4585">
      <formula>AND(#REF!&lt;&gt;"",MOD(ROW(),2))</formula>
    </cfRule>
  </conditionalFormatting>
  <conditionalFormatting sqref="H313">
    <cfRule type="expression" dxfId="22150" priority="4584">
      <formula>AND(#REF!&lt;&gt;"",MOD(ROW(),2))</formula>
    </cfRule>
  </conditionalFormatting>
  <conditionalFormatting sqref="H314">
    <cfRule type="expression" dxfId="22149" priority="4580">
      <formula>AND($A344&lt;&gt;"",MOD(ROW(),2))</formula>
    </cfRule>
  </conditionalFormatting>
  <conditionalFormatting sqref="H314">
    <cfRule type="expression" dxfId="22148" priority="4582">
      <formula>AND(#REF!&lt;&gt;"",MOD(ROW(),2))</formula>
    </cfRule>
  </conditionalFormatting>
  <conditionalFormatting sqref="H314">
    <cfRule type="expression" dxfId="22147" priority="4581">
      <formula>AND(#REF!&lt;&gt;"",MOD(ROW(),2))</formula>
    </cfRule>
  </conditionalFormatting>
  <conditionalFormatting sqref="H315">
    <cfRule type="expression" dxfId="22146" priority="4577">
      <formula>AND($A345&lt;&gt;"",MOD(ROW(),2))</formula>
    </cfRule>
  </conditionalFormatting>
  <conditionalFormatting sqref="H315">
    <cfRule type="expression" dxfId="22145" priority="4579">
      <formula>AND(#REF!&lt;&gt;"",MOD(ROW(),2))</formula>
    </cfRule>
  </conditionalFormatting>
  <conditionalFormatting sqref="H315">
    <cfRule type="expression" dxfId="22144" priority="4578">
      <formula>AND(#REF!&lt;&gt;"",MOD(ROW(),2))</formula>
    </cfRule>
  </conditionalFormatting>
  <conditionalFormatting sqref="H316">
    <cfRule type="expression" dxfId="22143" priority="4574">
      <formula>AND($A346&lt;&gt;"",MOD(ROW(),2))</formula>
    </cfRule>
  </conditionalFormatting>
  <conditionalFormatting sqref="H316">
    <cfRule type="expression" dxfId="22142" priority="4576">
      <formula>AND(#REF!&lt;&gt;"",MOD(ROW(),2))</formula>
    </cfRule>
  </conditionalFormatting>
  <conditionalFormatting sqref="H316">
    <cfRule type="expression" dxfId="22141" priority="4575">
      <formula>AND(#REF!&lt;&gt;"",MOD(ROW(),2))</formula>
    </cfRule>
  </conditionalFormatting>
  <conditionalFormatting sqref="H307">
    <cfRule type="expression" dxfId="22140" priority="4571">
      <formula>AND($A337&lt;&gt;"",MOD(ROW(),2))</formula>
    </cfRule>
  </conditionalFormatting>
  <conditionalFormatting sqref="H307">
    <cfRule type="expression" dxfId="22139" priority="4573">
      <formula>AND(#REF!&lt;&gt;"",MOD(ROW(),2))</formula>
    </cfRule>
  </conditionalFormatting>
  <conditionalFormatting sqref="H307">
    <cfRule type="expression" dxfId="22138" priority="4572">
      <formula>AND(#REF!&lt;&gt;"",MOD(ROW(),2))</formula>
    </cfRule>
  </conditionalFormatting>
  <conditionalFormatting sqref="H308">
    <cfRule type="expression" dxfId="22137" priority="4568">
      <formula>AND($A338&lt;&gt;"",MOD(ROW(),2))</formula>
    </cfRule>
  </conditionalFormatting>
  <conditionalFormatting sqref="H308">
    <cfRule type="expression" dxfId="22136" priority="4570">
      <formula>AND(#REF!&lt;&gt;"",MOD(ROW(),2))</formula>
    </cfRule>
  </conditionalFormatting>
  <conditionalFormatting sqref="H308">
    <cfRule type="expression" dxfId="22135" priority="4569">
      <formula>AND(#REF!&lt;&gt;"",MOD(ROW(),2))</formula>
    </cfRule>
  </conditionalFormatting>
  <conditionalFormatting sqref="H309">
    <cfRule type="expression" dxfId="22134" priority="4565">
      <formula>AND($A339&lt;&gt;"",MOD(ROW(),2))</formula>
    </cfRule>
  </conditionalFormatting>
  <conditionalFormatting sqref="H309">
    <cfRule type="expression" dxfId="22133" priority="4567">
      <formula>AND(#REF!&lt;&gt;"",MOD(ROW(),2))</formula>
    </cfRule>
  </conditionalFormatting>
  <conditionalFormatting sqref="H309">
    <cfRule type="expression" dxfId="22132" priority="4566">
      <formula>AND(#REF!&lt;&gt;"",MOD(ROW(),2))</formula>
    </cfRule>
  </conditionalFormatting>
  <conditionalFormatting sqref="H310">
    <cfRule type="expression" dxfId="22131" priority="4562">
      <formula>AND($A340&lt;&gt;"",MOD(ROW(),2))</formula>
    </cfRule>
  </conditionalFormatting>
  <conditionalFormatting sqref="H310">
    <cfRule type="expression" dxfId="22130" priority="4564">
      <formula>AND(#REF!&lt;&gt;"",MOD(ROW(),2))</formula>
    </cfRule>
  </conditionalFormatting>
  <conditionalFormatting sqref="H310">
    <cfRule type="expression" dxfId="22129" priority="4563">
      <formula>AND(#REF!&lt;&gt;"",MOD(ROW(),2))</formula>
    </cfRule>
  </conditionalFormatting>
  <conditionalFormatting sqref="H311">
    <cfRule type="expression" dxfId="22128" priority="4559">
      <formula>AND($A341&lt;&gt;"",MOD(ROW(),2))</formula>
    </cfRule>
  </conditionalFormatting>
  <conditionalFormatting sqref="H311">
    <cfRule type="expression" dxfId="22127" priority="4561">
      <formula>AND(#REF!&lt;&gt;"",MOD(ROW(),2))</formula>
    </cfRule>
  </conditionalFormatting>
  <conditionalFormatting sqref="H311">
    <cfRule type="expression" dxfId="22126" priority="4560">
      <formula>AND(#REF!&lt;&gt;"",MOD(ROW(),2))</formula>
    </cfRule>
  </conditionalFormatting>
  <conditionalFormatting sqref="H312:H422">
    <cfRule type="expression" dxfId="22125" priority="4556">
      <formula>AND($A342&lt;&gt;"",MOD(ROW(),2))</formula>
    </cfRule>
  </conditionalFormatting>
  <conditionalFormatting sqref="H312:H422">
    <cfRule type="expression" dxfId="22124" priority="4558">
      <formula>AND(#REF!&lt;&gt;"",MOD(ROW(),2))</formula>
    </cfRule>
  </conditionalFormatting>
  <conditionalFormatting sqref="H312:H422 H424:H470 H472:H620 H622:H629 H631">
    <cfRule type="expression" dxfId="22123" priority="4557">
      <formula>AND(#REF!&lt;&gt;"",MOD(ROW(),2))</formula>
    </cfRule>
  </conditionalFormatting>
  <conditionalFormatting sqref="H313">
    <cfRule type="expression" dxfId="22122" priority="4553">
      <formula>AND($A343&lt;&gt;"",MOD(ROW(),2))</formula>
    </cfRule>
  </conditionalFormatting>
  <conditionalFormatting sqref="H313">
    <cfRule type="expression" dxfId="22121" priority="4555">
      <formula>AND(#REF!&lt;&gt;"",MOD(ROW(),2))</formula>
    </cfRule>
  </conditionalFormatting>
  <conditionalFormatting sqref="H313">
    <cfRule type="expression" dxfId="22120" priority="4554">
      <formula>AND(#REF!&lt;&gt;"",MOD(ROW(),2))</formula>
    </cfRule>
  </conditionalFormatting>
  <conditionalFormatting sqref="H314">
    <cfRule type="expression" dxfId="22119" priority="4550">
      <formula>AND($A344&lt;&gt;"",MOD(ROW(),2))</formula>
    </cfRule>
  </conditionalFormatting>
  <conditionalFormatting sqref="H314">
    <cfRule type="expression" dxfId="22118" priority="4552">
      <formula>AND(#REF!&lt;&gt;"",MOD(ROW(),2))</formula>
    </cfRule>
  </conditionalFormatting>
  <conditionalFormatting sqref="H314">
    <cfRule type="expression" dxfId="22117" priority="4551">
      <formula>AND(#REF!&lt;&gt;"",MOD(ROW(),2))</formula>
    </cfRule>
  </conditionalFormatting>
  <conditionalFormatting sqref="H315">
    <cfRule type="expression" dxfId="22116" priority="4547">
      <formula>AND($A345&lt;&gt;"",MOD(ROW(),2))</formula>
    </cfRule>
  </conditionalFormatting>
  <conditionalFormatting sqref="H315">
    <cfRule type="expression" dxfId="22115" priority="4549">
      <formula>AND(#REF!&lt;&gt;"",MOD(ROW(),2))</formula>
    </cfRule>
  </conditionalFormatting>
  <conditionalFormatting sqref="H315">
    <cfRule type="expression" dxfId="22114" priority="4548">
      <formula>AND(#REF!&lt;&gt;"",MOD(ROW(),2))</formula>
    </cfRule>
  </conditionalFormatting>
  <conditionalFormatting sqref="H306">
    <cfRule type="expression" dxfId="22113" priority="4544">
      <formula>AND($A336&lt;&gt;"",MOD(ROW(),2))</formula>
    </cfRule>
  </conditionalFormatting>
  <conditionalFormatting sqref="H306">
    <cfRule type="expression" dxfId="22112" priority="4546">
      <formula>AND(#REF!&lt;&gt;"",MOD(ROW(),2))</formula>
    </cfRule>
  </conditionalFormatting>
  <conditionalFormatting sqref="H306">
    <cfRule type="expression" dxfId="22111" priority="4545">
      <formula>AND(#REF!&lt;&gt;"",MOD(ROW(),2))</formula>
    </cfRule>
  </conditionalFormatting>
  <conditionalFormatting sqref="H307">
    <cfRule type="expression" dxfId="22110" priority="4541">
      <formula>AND($A337&lt;&gt;"",MOD(ROW(),2))</formula>
    </cfRule>
  </conditionalFormatting>
  <conditionalFormatting sqref="H307">
    <cfRule type="expression" dxfId="22109" priority="4543">
      <formula>AND(#REF!&lt;&gt;"",MOD(ROW(),2))</formula>
    </cfRule>
  </conditionalFormatting>
  <conditionalFormatting sqref="H307">
    <cfRule type="expression" dxfId="22108" priority="4542">
      <formula>AND(#REF!&lt;&gt;"",MOD(ROW(),2))</formula>
    </cfRule>
  </conditionalFormatting>
  <conditionalFormatting sqref="H306">
    <cfRule type="expression" dxfId="22107" priority="4538">
      <formula>AND($A336&lt;&gt;"",MOD(ROW(),2))</formula>
    </cfRule>
  </conditionalFormatting>
  <conditionalFormatting sqref="H306">
    <cfRule type="expression" dxfId="22106" priority="4540">
      <formula>AND(#REF!&lt;&gt;"",MOD(ROW(),2))</formula>
    </cfRule>
  </conditionalFormatting>
  <conditionalFormatting sqref="H306">
    <cfRule type="expression" dxfId="22105" priority="4539">
      <formula>AND(#REF!&lt;&gt;"",MOD(ROW(),2))</formula>
    </cfRule>
  </conditionalFormatting>
  <conditionalFormatting sqref="H307">
    <cfRule type="expression" dxfId="22104" priority="4535">
      <formula>AND($A337&lt;&gt;"",MOD(ROW(),2))</formula>
    </cfRule>
  </conditionalFormatting>
  <conditionalFormatting sqref="H307">
    <cfRule type="expression" dxfId="22103" priority="4537">
      <formula>AND(#REF!&lt;&gt;"",MOD(ROW(),2))</formula>
    </cfRule>
  </conditionalFormatting>
  <conditionalFormatting sqref="H307">
    <cfRule type="expression" dxfId="22102" priority="4536">
      <formula>AND(#REF!&lt;&gt;"",MOD(ROW(),2))</formula>
    </cfRule>
  </conditionalFormatting>
  <conditionalFormatting sqref="H306">
    <cfRule type="expression" dxfId="22101" priority="4532">
      <formula>AND($A336&lt;&gt;"",MOD(ROW(),2))</formula>
    </cfRule>
  </conditionalFormatting>
  <conditionalFormatting sqref="H306">
    <cfRule type="expression" dxfId="22100" priority="4534">
      <formula>AND(#REF!&lt;&gt;"",MOD(ROW(),2))</formula>
    </cfRule>
  </conditionalFormatting>
  <conditionalFormatting sqref="H306">
    <cfRule type="expression" dxfId="22099" priority="4533">
      <formula>AND(#REF!&lt;&gt;"",MOD(ROW(),2))</formula>
    </cfRule>
  </conditionalFormatting>
  <conditionalFormatting sqref="H307">
    <cfRule type="expression" dxfId="22098" priority="4529">
      <formula>AND($A337&lt;&gt;"",MOD(ROW(),2))</formula>
    </cfRule>
  </conditionalFormatting>
  <conditionalFormatting sqref="H307">
    <cfRule type="expression" dxfId="22097" priority="4531">
      <formula>AND(#REF!&lt;&gt;"",MOD(ROW(),2))</formula>
    </cfRule>
  </conditionalFormatting>
  <conditionalFormatting sqref="H307">
    <cfRule type="expression" dxfId="22096" priority="4530">
      <formula>AND(#REF!&lt;&gt;"",MOD(ROW(),2))</formula>
    </cfRule>
  </conditionalFormatting>
  <conditionalFormatting sqref="H306">
    <cfRule type="expression" dxfId="22095" priority="4526">
      <formula>AND($A336&lt;&gt;"",MOD(ROW(),2))</formula>
    </cfRule>
  </conditionalFormatting>
  <conditionalFormatting sqref="H306">
    <cfRule type="expression" dxfId="22094" priority="4528">
      <formula>AND(#REF!&lt;&gt;"",MOD(ROW(),2))</formula>
    </cfRule>
  </conditionalFormatting>
  <conditionalFormatting sqref="H306">
    <cfRule type="expression" dxfId="22093" priority="4527">
      <formula>AND(#REF!&lt;&gt;"",MOD(ROW(),2))</formula>
    </cfRule>
  </conditionalFormatting>
  <conditionalFormatting sqref="H307">
    <cfRule type="expression" dxfId="22092" priority="4523">
      <formula>AND($A337&lt;&gt;"",MOD(ROW(),2))</formula>
    </cfRule>
  </conditionalFormatting>
  <conditionalFormatting sqref="H307">
    <cfRule type="expression" dxfId="22091" priority="4525">
      <formula>AND(#REF!&lt;&gt;"",MOD(ROW(),2))</formula>
    </cfRule>
  </conditionalFormatting>
  <conditionalFormatting sqref="H307">
    <cfRule type="expression" dxfId="22090" priority="4524">
      <formula>AND(#REF!&lt;&gt;"",MOD(ROW(),2))</formula>
    </cfRule>
  </conditionalFormatting>
  <conditionalFormatting sqref="H302">
    <cfRule type="expression" dxfId="22089" priority="4520">
      <formula>AND($A332&lt;&gt;"",MOD(ROW(),2))</formula>
    </cfRule>
  </conditionalFormatting>
  <conditionalFormatting sqref="H302">
    <cfRule type="expression" dxfId="22088" priority="4522">
      <formula>AND(#REF!&lt;&gt;"",MOD(ROW(),2))</formula>
    </cfRule>
  </conditionalFormatting>
  <conditionalFormatting sqref="H302">
    <cfRule type="expression" dxfId="22087" priority="4521">
      <formula>AND(#REF!&lt;&gt;"",MOD(ROW(),2))</formula>
    </cfRule>
  </conditionalFormatting>
  <conditionalFormatting sqref="H303">
    <cfRule type="expression" dxfId="22086" priority="4517">
      <formula>AND($A333&lt;&gt;"",MOD(ROW(),2))</formula>
    </cfRule>
  </conditionalFormatting>
  <conditionalFormatting sqref="H303">
    <cfRule type="expression" dxfId="22085" priority="4519">
      <formula>AND(#REF!&lt;&gt;"",MOD(ROW(),2))</formula>
    </cfRule>
  </conditionalFormatting>
  <conditionalFormatting sqref="H303">
    <cfRule type="expression" dxfId="22084" priority="4518">
      <formula>AND(#REF!&lt;&gt;"",MOD(ROW(),2))</formula>
    </cfRule>
  </conditionalFormatting>
  <conditionalFormatting sqref="H304">
    <cfRule type="expression" dxfId="22083" priority="4514">
      <formula>AND($A334&lt;&gt;"",MOD(ROW(),2))</formula>
    </cfRule>
  </conditionalFormatting>
  <conditionalFormatting sqref="H304">
    <cfRule type="expression" dxfId="22082" priority="4516">
      <formula>AND(#REF!&lt;&gt;"",MOD(ROW(),2))</formula>
    </cfRule>
  </conditionalFormatting>
  <conditionalFormatting sqref="H304">
    <cfRule type="expression" dxfId="22081" priority="4515">
      <formula>AND(#REF!&lt;&gt;"",MOD(ROW(),2))</formula>
    </cfRule>
  </conditionalFormatting>
  <conditionalFormatting sqref="H305">
    <cfRule type="expression" dxfId="22080" priority="4511">
      <formula>AND($A335&lt;&gt;"",MOD(ROW(),2))</formula>
    </cfRule>
  </conditionalFormatting>
  <conditionalFormatting sqref="H305">
    <cfRule type="expression" dxfId="22079" priority="4513">
      <formula>AND(#REF!&lt;&gt;"",MOD(ROW(),2))</formula>
    </cfRule>
  </conditionalFormatting>
  <conditionalFormatting sqref="H305">
    <cfRule type="expression" dxfId="22078" priority="4512">
      <formula>AND(#REF!&lt;&gt;"",MOD(ROW(),2))</formula>
    </cfRule>
  </conditionalFormatting>
  <conditionalFormatting sqref="H306">
    <cfRule type="expression" dxfId="22077" priority="4508">
      <formula>AND($A336&lt;&gt;"",MOD(ROW(),2))</formula>
    </cfRule>
  </conditionalFormatting>
  <conditionalFormatting sqref="H306">
    <cfRule type="expression" dxfId="22076" priority="4510">
      <formula>AND(#REF!&lt;&gt;"",MOD(ROW(),2))</formula>
    </cfRule>
  </conditionalFormatting>
  <conditionalFormatting sqref="H306">
    <cfRule type="expression" dxfId="22075" priority="4509">
      <formula>AND(#REF!&lt;&gt;"",MOD(ROW(),2))</formula>
    </cfRule>
  </conditionalFormatting>
  <conditionalFormatting sqref="H302">
    <cfRule type="expression" dxfId="22074" priority="4505">
      <formula>AND($A332&lt;&gt;"",MOD(ROW(),2))</formula>
    </cfRule>
  </conditionalFormatting>
  <conditionalFormatting sqref="H302">
    <cfRule type="expression" dxfId="22073" priority="4507">
      <formula>AND(#REF!&lt;&gt;"",MOD(ROW(),2))</formula>
    </cfRule>
  </conditionalFormatting>
  <conditionalFormatting sqref="H302">
    <cfRule type="expression" dxfId="22072" priority="4506">
      <formula>AND(#REF!&lt;&gt;"",MOD(ROW(),2))</formula>
    </cfRule>
  </conditionalFormatting>
  <conditionalFormatting sqref="H303">
    <cfRule type="expression" dxfId="22071" priority="4502">
      <formula>AND($A333&lt;&gt;"",MOD(ROW(),2))</formula>
    </cfRule>
  </conditionalFormatting>
  <conditionalFormatting sqref="H303">
    <cfRule type="expression" dxfId="22070" priority="4504">
      <formula>AND(#REF!&lt;&gt;"",MOD(ROW(),2))</formula>
    </cfRule>
  </conditionalFormatting>
  <conditionalFormatting sqref="H303">
    <cfRule type="expression" dxfId="22069" priority="4503">
      <formula>AND(#REF!&lt;&gt;"",MOD(ROW(),2))</formula>
    </cfRule>
  </conditionalFormatting>
  <conditionalFormatting sqref="H304">
    <cfRule type="expression" dxfId="22068" priority="4499">
      <formula>AND($A334&lt;&gt;"",MOD(ROW(),2))</formula>
    </cfRule>
  </conditionalFormatting>
  <conditionalFormatting sqref="H304">
    <cfRule type="expression" dxfId="22067" priority="4501">
      <formula>AND(#REF!&lt;&gt;"",MOD(ROW(),2))</formula>
    </cfRule>
  </conditionalFormatting>
  <conditionalFormatting sqref="H304">
    <cfRule type="expression" dxfId="22066" priority="4500">
      <formula>AND(#REF!&lt;&gt;"",MOD(ROW(),2))</formula>
    </cfRule>
  </conditionalFormatting>
  <conditionalFormatting sqref="H305">
    <cfRule type="expression" dxfId="22065" priority="4496">
      <formula>AND($A335&lt;&gt;"",MOD(ROW(),2))</formula>
    </cfRule>
  </conditionalFormatting>
  <conditionalFormatting sqref="H305">
    <cfRule type="expression" dxfId="22064" priority="4498">
      <formula>AND(#REF!&lt;&gt;"",MOD(ROW(),2))</formula>
    </cfRule>
  </conditionalFormatting>
  <conditionalFormatting sqref="H305">
    <cfRule type="expression" dxfId="22063" priority="4497">
      <formula>AND(#REF!&lt;&gt;"",MOD(ROW(),2))</formula>
    </cfRule>
  </conditionalFormatting>
  <conditionalFormatting sqref="H306">
    <cfRule type="expression" dxfId="22062" priority="4493">
      <formula>AND($A336&lt;&gt;"",MOD(ROW(),2))</formula>
    </cfRule>
  </conditionalFormatting>
  <conditionalFormatting sqref="H306">
    <cfRule type="expression" dxfId="22061" priority="4495">
      <formula>AND(#REF!&lt;&gt;"",MOD(ROW(),2))</formula>
    </cfRule>
  </conditionalFormatting>
  <conditionalFormatting sqref="H306">
    <cfRule type="expression" dxfId="22060" priority="4494">
      <formula>AND(#REF!&lt;&gt;"",MOD(ROW(),2))</formula>
    </cfRule>
  </conditionalFormatting>
  <conditionalFormatting sqref="H306">
    <cfRule type="expression" dxfId="22059" priority="4490">
      <formula>AND($A336&lt;&gt;"",MOD(ROW(),2))</formula>
    </cfRule>
  </conditionalFormatting>
  <conditionalFormatting sqref="H306">
    <cfRule type="expression" dxfId="22058" priority="4492">
      <formula>AND(#REF!&lt;&gt;"",MOD(ROW(),2))</formula>
    </cfRule>
  </conditionalFormatting>
  <conditionalFormatting sqref="H306">
    <cfRule type="expression" dxfId="22057" priority="4491">
      <formula>AND(#REF!&lt;&gt;"",MOD(ROW(),2))</formula>
    </cfRule>
  </conditionalFormatting>
  <conditionalFormatting sqref="H306">
    <cfRule type="expression" dxfId="22056" priority="4487">
      <formula>AND($A336&lt;&gt;"",MOD(ROW(),2))</formula>
    </cfRule>
  </conditionalFormatting>
  <conditionalFormatting sqref="H306">
    <cfRule type="expression" dxfId="22055" priority="4489">
      <formula>AND(#REF!&lt;&gt;"",MOD(ROW(),2))</formula>
    </cfRule>
  </conditionalFormatting>
  <conditionalFormatting sqref="H306">
    <cfRule type="expression" dxfId="22054" priority="4488">
      <formula>AND(#REF!&lt;&gt;"",MOD(ROW(),2))</formula>
    </cfRule>
  </conditionalFormatting>
  <conditionalFormatting sqref="H305">
    <cfRule type="expression" dxfId="22053" priority="4484">
      <formula>AND($A335&lt;&gt;"",MOD(ROW(),2))</formula>
    </cfRule>
  </conditionalFormatting>
  <conditionalFormatting sqref="H305">
    <cfRule type="expression" dxfId="22052" priority="4486">
      <formula>AND(#REF!&lt;&gt;"",MOD(ROW(),2))</formula>
    </cfRule>
  </conditionalFormatting>
  <conditionalFormatting sqref="H305">
    <cfRule type="expression" dxfId="22051" priority="4485">
      <formula>AND(#REF!&lt;&gt;"",MOD(ROW(),2))</formula>
    </cfRule>
  </conditionalFormatting>
  <conditionalFormatting sqref="H306">
    <cfRule type="expression" dxfId="22050" priority="4481">
      <formula>AND($A336&lt;&gt;"",MOD(ROW(),2))</formula>
    </cfRule>
  </conditionalFormatting>
  <conditionalFormatting sqref="H306">
    <cfRule type="expression" dxfId="22049" priority="4483">
      <formula>AND(#REF!&lt;&gt;"",MOD(ROW(),2))</formula>
    </cfRule>
  </conditionalFormatting>
  <conditionalFormatting sqref="H306">
    <cfRule type="expression" dxfId="22048" priority="4482">
      <formula>AND(#REF!&lt;&gt;"",MOD(ROW(),2))</formula>
    </cfRule>
  </conditionalFormatting>
  <conditionalFormatting sqref="H305">
    <cfRule type="expression" dxfId="22047" priority="4478">
      <formula>AND($A335&lt;&gt;"",MOD(ROW(),2))</formula>
    </cfRule>
  </conditionalFormatting>
  <conditionalFormatting sqref="H305">
    <cfRule type="expression" dxfId="22046" priority="4480">
      <formula>AND(#REF!&lt;&gt;"",MOD(ROW(),2))</formula>
    </cfRule>
  </conditionalFormatting>
  <conditionalFormatting sqref="H305">
    <cfRule type="expression" dxfId="22045" priority="4479">
      <formula>AND(#REF!&lt;&gt;"",MOD(ROW(),2))</formula>
    </cfRule>
  </conditionalFormatting>
  <conditionalFormatting sqref="H306">
    <cfRule type="expression" dxfId="22044" priority="4475">
      <formula>AND($A336&lt;&gt;"",MOD(ROW(),2))</formula>
    </cfRule>
  </conditionalFormatting>
  <conditionalFormatting sqref="H306">
    <cfRule type="expression" dxfId="22043" priority="4477">
      <formula>AND(#REF!&lt;&gt;"",MOD(ROW(),2))</formula>
    </cfRule>
  </conditionalFormatting>
  <conditionalFormatting sqref="H306">
    <cfRule type="expression" dxfId="22042" priority="4476">
      <formula>AND(#REF!&lt;&gt;"",MOD(ROW(),2))</formula>
    </cfRule>
  </conditionalFormatting>
  <conditionalFormatting sqref="H305">
    <cfRule type="expression" dxfId="22041" priority="4472">
      <formula>AND($A335&lt;&gt;"",MOD(ROW(),2))</formula>
    </cfRule>
  </conditionalFormatting>
  <conditionalFormatting sqref="H305">
    <cfRule type="expression" dxfId="22040" priority="4474">
      <formula>AND(#REF!&lt;&gt;"",MOD(ROW(),2))</formula>
    </cfRule>
  </conditionalFormatting>
  <conditionalFormatting sqref="H305">
    <cfRule type="expression" dxfId="22039" priority="4473">
      <formula>AND(#REF!&lt;&gt;"",MOD(ROW(),2))</formula>
    </cfRule>
  </conditionalFormatting>
  <conditionalFormatting sqref="H306">
    <cfRule type="expression" dxfId="22038" priority="4469">
      <formula>AND($A336&lt;&gt;"",MOD(ROW(),2))</formula>
    </cfRule>
  </conditionalFormatting>
  <conditionalFormatting sqref="H306">
    <cfRule type="expression" dxfId="22037" priority="4471">
      <formula>AND(#REF!&lt;&gt;"",MOD(ROW(),2))</formula>
    </cfRule>
  </conditionalFormatting>
  <conditionalFormatting sqref="H306">
    <cfRule type="expression" dxfId="22036" priority="4470">
      <formula>AND(#REF!&lt;&gt;"",MOD(ROW(),2))</formula>
    </cfRule>
  </conditionalFormatting>
  <conditionalFormatting sqref="H305">
    <cfRule type="expression" dxfId="22035" priority="4466">
      <formula>AND($A335&lt;&gt;"",MOD(ROW(),2))</formula>
    </cfRule>
  </conditionalFormatting>
  <conditionalFormatting sqref="H305">
    <cfRule type="expression" dxfId="22034" priority="4468">
      <formula>AND(#REF!&lt;&gt;"",MOD(ROW(),2))</formula>
    </cfRule>
  </conditionalFormatting>
  <conditionalFormatting sqref="H305">
    <cfRule type="expression" dxfId="22033" priority="4467">
      <formula>AND(#REF!&lt;&gt;"",MOD(ROW(),2))</formula>
    </cfRule>
  </conditionalFormatting>
  <conditionalFormatting sqref="H306">
    <cfRule type="expression" dxfId="22032" priority="4463">
      <formula>AND($A336&lt;&gt;"",MOD(ROW(),2))</formula>
    </cfRule>
  </conditionalFormatting>
  <conditionalFormatting sqref="H306">
    <cfRule type="expression" dxfId="22031" priority="4465">
      <formula>AND(#REF!&lt;&gt;"",MOD(ROW(),2))</formula>
    </cfRule>
  </conditionalFormatting>
  <conditionalFormatting sqref="H306">
    <cfRule type="expression" dxfId="22030" priority="4464">
      <formula>AND(#REF!&lt;&gt;"",MOD(ROW(),2))</formula>
    </cfRule>
  </conditionalFormatting>
  <conditionalFormatting sqref="H307">
    <cfRule type="expression" dxfId="22029" priority="4460">
      <formula>AND($A337&lt;&gt;"",MOD(ROW(),2))</formula>
    </cfRule>
  </conditionalFormatting>
  <conditionalFormatting sqref="H307">
    <cfRule type="expression" dxfId="22028" priority="4462">
      <formula>AND(#REF!&lt;&gt;"",MOD(ROW(),2))</formula>
    </cfRule>
  </conditionalFormatting>
  <conditionalFormatting sqref="H307">
    <cfRule type="expression" dxfId="22027" priority="4461">
      <formula>AND(#REF!&lt;&gt;"",MOD(ROW(),2))</formula>
    </cfRule>
  </conditionalFormatting>
  <conditionalFormatting sqref="H308">
    <cfRule type="expression" dxfId="22026" priority="4457">
      <formula>AND($A338&lt;&gt;"",MOD(ROW(),2))</formula>
    </cfRule>
  </conditionalFormatting>
  <conditionalFormatting sqref="H308">
    <cfRule type="expression" dxfId="22025" priority="4459">
      <formula>AND(#REF!&lt;&gt;"",MOD(ROW(),2))</formula>
    </cfRule>
  </conditionalFormatting>
  <conditionalFormatting sqref="H308">
    <cfRule type="expression" dxfId="22024" priority="4458">
      <formula>AND(#REF!&lt;&gt;"",MOD(ROW(),2))</formula>
    </cfRule>
  </conditionalFormatting>
  <conditionalFormatting sqref="H309">
    <cfRule type="expression" dxfId="22023" priority="4454">
      <formula>AND($A339&lt;&gt;"",MOD(ROW(),2))</formula>
    </cfRule>
  </conditionalFormatting>
  <conditionalFormatting sqref="H309">
    <cfRule type="expression" dxfId="22022" priority="4456">
      <formula>AND(#REF!&lt;&gt;"",MOD(ROW(),2))</formula>
    </cfRule>
  </conditionalFormatting>
  <conditionalFormatting sqref="H309">
    <cfRule type="expression" dxfId="22021" priority="4455">
      <formula>AND(#REF!&lt;&gt;"",MOD(ROW(),2))</formula>
    </cfRule>
  </conditionalFormatting>
  <conditionalFormatting sqref="H310">
    <cfRule type="expression" dxfId="22020" priority="4451">
      <formula>AND($A340&lt;&gt;"",MOD(ROW(),2))</formula>
    </cfRule>
  </conditionalFormatting>
  <conditionalFormatting sqref="H310">
    <cfRule type="expression" dxfId="22019" priority="4453">
      <formula>AND(#REF!&lt;&gt;"",MOD(ROW(),2))</formula>
    </cfRule>
  </conditionalFormatting>
  <conditionalFormatting sqref="H310">
    <cfRule type="expression" dxfId="22018" priority="4452">
      <formula>AND(#REF!&lt;&gt;"",MOD(ROW(),2))</formula>
    </cfRule>
  </conditionalFormatting>
  <conditionalFormatting sqref="H311">
    <cfRule type="expression" dxfId="22017" priority="4448">
      <formula>AND($A341&lt;&gt;"",MOD(ROW(),2))</formula>
    </cfRule>
  </conditionalFormatting>
  <conditionalFormatting sqref="H311">
    <cfRule type="expression" dxfId="22016" priority="4450">
      <formula>AND(#REF!&lt;&gt;"",MOD(ROW(),2))</formula>
    </cfRule>
  </conditionalFormatting>
  <conditionalFormatting sqref="H311">
    <cfRule type="expression" dxfId="22015" priority="4449">
      <formula>AND(#REF!&lt;&gt;"",MOD(ROW(),2))</formula>
    </cfRule>
  </conditionalFormatting>
  <conditionalFormatting sqref="H312:H422">
    <cfRule type="expression" dxfId="22014" priority="4445">
      <formula>AND($A342&lt;&gt;"",MOD(ROW(),2))</formula>
    </cfRule>
  </conditionalFormatting>
  <conditionalFormatting sqref="H312:H422">
    <cfRule type="expression" dxfId="22013" priority="4447">
      <formula>AND(#REF!&lt;&gt;"",MOD(ROW(),2))</formula>
    </cfRule>
  </conditionalFormatting>
  <conditionalFormatting sqref="H312:H422 H424:H470 H472:H620 H622:H629 H631">
    <cfRule type="expression" dxfId="22012" priority="4446">
      <formula>AND(#REF!&lt;&gt;"",MOD(ROW(),2))</formula>
    </cfRule>
  </conditionalFormatting>
  <conditionalFormatting sqref="H307">
    <cfRule type="expression" dxfId="22011" priority="4442">
      <formula>AND($A337&lt;&gt;"",MOD(ROW(),2))</formula>
    </cfRule>
  </conditionalFormatting>
  <conditionalFormatting sqref="H307">
    <cfRule type="expression" dxfId="22010" priority="4444">
      <formula>AND(#REF!&lt;&gt;"",MOD(ROW(),2))</formula>
    </cfRule>
  </conditionalFormatting>
  <conditionalFormatting sqref="H307">
    <cfRule type="expression" dxfId="22009" priority="4443">
      <formula>AND(#REF!&lt;&gt;"",MOD(ROW(),2))</formula>
    </cfRule>
  </conditionalFormatting>
  <conditionalFormatting sqref="H308">
    <cfRule type="expression" dxfId="22008" priority="4439">
      <formula>AND($A338&lt;&gt;"",MOD(ROW(),2))</formula>
    </cfRule>
  </conditionalFormatting>
  <conditionalFormatting sqref="H308">
    <cfRule type="expression" dxfId="22007" priority="4441">
      <formula>AND(#REF!&lt;&gt;"",MOD(ROW(),2))</formula>
    </cfRule>
  </conditionalFormatting>
  <conditionalFormatting sqref="H308">
    <cfRule type="expression" dxfId="22006" priority="4440">
      <formula>AND(#REF!&lt;&gt;"",MOD(ROW(),2))</formula>
    </cfRule>
  </conditionalFormatting>
  <conditionalFormatting sqref="H309">
    <cfRule type="expression" dxfId="22005" priority="4436">
      <formula>AND($A339&lt;&gt;"",MOD(ROW(),2))</formula>
    </cfRule>
  </conditionalFormatting>
  <conditionalFormatting sqref="H309">
    <cfRule type="expression" dxfId="22004" priority="4438">
      <formula>AND(#REF!&lt;&gt;"",MOD(ROW(),2))</formula>
    </cfRule>
  </conditionalFormatting>
  <conditionalFormatting sqref="H309">
    <cfRule type="expression" dxfId="22003" priority="4437">
      <formula>AND(#REF!&lt;&gt;"",MOD(ROW(),2))</formula>
    </cfRule>
  </conditionalFormatting>
  <conditionalFormatting sqref="H310">
    <cfRule type="expression" dxfId="22002" priority="4433">
      <formula>AND($A340&lt;&gt;"",MOD(ROW(),2))</formula>
    </cfRule>
  </conditionalFormatting>
  <conditionalFormatting sqref="H310">
    <cfRule type="expression" dxfId="22001" priority="4435">
      <formula>AND(#REF!&lt;&gt;"",MOD(ROW(),2))</formula>
    </cfRule>
  </conditionalFormatting>
  <conditionalFormatting sqref="H310">
    <cfRule type="expression" dxfId="22000" priority="4434">
      <formula>AND(#REF!&lt;&gt;"",MOD(ROW(),2))</formula>
    </cfRule>
  </conditionalFormatting>
  <conditionalFormatting sqref="H311">
    <cfRule type="expression" dxfId="21999" priority="4430">
      <formula>AND($A341&lt;&gt;"",MOD(ROW(),2))</formula>
    </cfRule>
  </conditionalFormatting>
  <conditionalFormatting sqref="H311">
    <cfRule type="expression" dxfId="21998" priority="4432">
      <formula>AND(#REF!&lt;&gt;"",MOD(ROW(),2))</formula>
    </cfRule>
  </conditionalFormatting>
  <conditionalFormatting sqref="H311">
    <cfRule type="expression" dxfId="21997" priority="4431">
      <formula>AND(#REF!&lt;&gt;"",MOD(ROW(),2))</formula>
    </cfRule>
  </conditionalFormatting>
  <conditionalFormatting sqref="H307">
    <cfRule type="expression" dxfId="21996" priority="4427">
      <formula>AND($A337&lt;&gt;"",MOD(ROW(),2))</formula>
    </cfRule>
  </conditionalFormatting>
  <conditionalFormatting sqref="H307">
    <cfRule type="expression" dxfId="21995" priority="4429">
      <formula>AND(#REF!&lt;&gt;"",MOD(ROW(),2))</formula>
    </cfRule>
  </conditionalFormatting>
  <conditionalFormatting sqref="H307">
    <cfRule type="expression" dxfId="21994" priority="4428">
      <formula>AND(#REF!&lt;&gt;"",MOD(ROW(),2))</formula>
    </cfRule>
  </conditionalFormatting>
  <conditionalFormatting sqref="H308">
    <cfRule type="expression" dxfId="21993" priority="4424">
      <formula>AND($A338&lt;&gt;"",MOD(ROW(),2))</formula>
    </cfRule>
  </conditionalFormatting>
  <conditionalFormatting sqref="H308">
    <cfRule type="expression" dxfId="21992" priority="4426">
      <formula>AND(#REF!&lt;&gt;"",MOD(ROW(),2))</formula>
    </cfRule>
  </conditionalFormatting>
  <conditionalFormatting sqref="H308">
    <cfRule type="expression" dxfId="21991" priority="4425">
      <formula>AND(#REF!&lt;&gt;"",MOD(ROW(),2))</formula>
    </cfRule>
  </conditionalFormatting>
  <conditionalFormatting sqref="H309">
    <cfRule type="expression" dxfId="21990" priority="4421">
      <formula>AND($A339&lt;&gt;"",MOD(ROW(),2))</formula>
    </cfRule>
  </conditionalFormatting>
  <conditionalFormatting sqref="H309">
    <cfRule type="expression" dxfId="21989" priority="4423">
      <formula>AND(#REF!&lt;&gt;"",MOD(ROW(),2))</formula>
    </cfRule>
  </conditionalFormatting>
  <conditionalFormatting sqref="H309">
    <cfRule type="expression" dxfId="21988" priority="4422">
      <formula>AND(#REF!&lt;&gt;"",MOD(ROW(),2))</formula>
    </cfRule>
  </conditionalFormatting>
  <conditionalFormatting sqref="H310">
    <cfRule type="expression" dxfId="21987" priority="4418">
      <formula>AND($A340&lt;&gt;"",MOD(ROW(),2))</formula>
    </cfRule>
  </conditionalFormatting>
  <conditionalFormatting sqref="H310">
    <cfRule type="expression" dxfId="21986" priority="4420">
      <formula>AND(#REF!&lt;&gt;"",MOD(ROW(),2))</formula>
    </cfRule>
  </conditionalFormatting>
  <conditionalFormatting sqref="H310">
    <cfRule type="expression" dxfId="21985" priority="4419">
      <formula>AND(#REF!&lt;&gt;"",MOD(ROW(),2))</formula>
    </cfRule>
  </conditionalFormatting>
  <conditionalFormatting sqref="H311">
    <cfRule type="expression" dxfId="21984" priority="4415">
      <formula>AND($A341&lt;&gt;"",MOD(ROW(),2))</formula>
    </cfRule>
  </conditionalFormatting>
  <conditionalFormatting sqref="H311">
    <cfRule type="expression" dxfId="21983" priority="4417">
      <formula>AND(#REF!&lt;&gt;"",MOD(ROW(),2))</formula>
    </cfRule>
  </conditionalFormatting>
  <conditionalFormatting sqref="H311">
    <cfRule type="expression" dxfId="21982" priority="4416">
      <formula>AND(#REF!&lt;&gt;"",MOD(ROW(),2))</formula>
    </cfRule>
  </conditionalFormatting>
  <conditionalFormatting sqref="H312:H422">
    <cfRule type="expression" dxfId="21981" priority="4412">
      <formula>AND($A342&lt;&gt;"",MOD(ROW(),2))</formula>
    </cfRule>
  </conditionalFormatting>
  <conditionalFormatting sqref="H312:H422">
    <cfRule type="expression" dxfId="21980" priority="4414">
      <formula>AND(#REF!&lt;&gt;"",MOD(ROW(),2))</formula>
    </cfRule>
  </conditionalFormatting>
  <conditionalFormatting sqref="H312:H422 H424:H470 H472:H620 H622:H629 H631">
    <cfRule type="expression" dxfId="21979" priority="4413">
      <formula>AND(#REF!&lt;&gt;"",MOD(ROW(),2))</formula>
    </cfRule>
  </conditionalFormatting>
  <conditionalFormatting sqref="H313">
    <cfRule type="expression" dxfId="21978" priority="4409">
      <formula>AND($A343&lt;&gt;"",MOD(ROW(),2))</formula>
    </cfRule>
  </conditionalFormatting>
  <conditionalFormatting sqref="H313">
    <cfRule type="expression" dxfId="21977" priority="4411">
      <formula>AND(#REF!&lt;&gt;"",MOD(ROW(),2))</formula>
    </cfRule>
  </conditionalFormatting>
  <conditionalFormatting sqref="H313">
    <cfRule type="expression" dxfId="21976" priority="4410">
      <formula>AND(#REF!&lt;&gt;"",MOD(ROW(),2))</formula>
    </cfRule>
  </conditionalFormatting>
  <conditionalFormatting sqref="H307">
    <cfRule type="expression" dxfId="21975" priority="4406">
      <formula>AND($A337&lt;&gt;"",MOD(ROW(),2))</formula>
    </cfRule>
  </conditionalFormatting>
  <conditionalFormatting sqref="H307">
    <cfRule type="expression" dxfId="21974" priority="4408">
      <formula>AND(#REF!&lt;&gt;"",MOD(ROW(),2))</formula>
    </cfRule>
  </conditionalFormatting>
  <conditionalFormatting sqref="H307">
    <cfRule type="expression" dxfId="21973" priority="4407">
      <formula>AND(#REF!&lt;&gt;"",MOD(ROW(),2))</formula>
    </cfRule>
  </conditionalFormatting>
  <conditionalFormatting sqref="H308">
    <cfRule type="expression" dxfId="21972" priority="4403">
      <formula>AND($A338&lt;&gt;"",MOD(ROW(),2))</formula>
    </cfRule>
  </conditionalFormatting>
  <conditionalFormatting sqref="H308">
    <cfRule type="expression" dxfId="21971" priority="4405">
      <formula>AND(#REF!&lt;&gt;"",MOD(ROW(),2))</formula>
    </cfRule>
  </conditionalFormatting>
  <conditionalFormatting sqref="H308">
    <cfRule type="expression" dxfId="21970" priority="4404">
      <formula>AND(#REF!&lt;&gt;"",MOD(ROW(),2))</formula>
    </cfRule>
  </conditionalFormatting>
  <conditionalFormatting sqref="H309">
    <cfRule type="expression" dxfId="21969" priority="4400">
      <formula>AND($A339&lt;&gt;"",MOD(ROW(),2))</formula>
    </cfRule>
  </conditionalFormatting>
  <conditionalFormatting sqref="H309">
    <cfRule type="expression" dxfId="21968" priority="4402">
      <formula>AND(#REF!&lt;&gt;"",MOD(ROW(),2))</formula>
    </cfRule>
  </conditionalFormatting>
  <conditionalFormatting sqref="H309">
    <cfRule type="expression" dxfId="21967" priority="4401">
      <formula>AND(#REF!&lt;&gt;"",MOD(ROW(),2))</formula>
    </cfRule>
  </conditionalFormatting>
  <conditionalFormatting sqref="H310">
    <cfRule type="expression" dxfId="21966" priority="4397">
      <formula>AND($A340&lt;&gt;"",MOD(ROW(),2))</formula>
    </cfRule>
  </conditionalFormatting>
  <conditionalFormatting sqref="H310">
    <cfRule type="expression" dxfId="21965" priority="4399">
      <formula>AND(#REF!&lt;&gt;"",MOD(ROW(),2))</formula>
    </cfRule>
  </conditionalFormatting>
  <conditionalFormatting sqref="H310">
    <cfRule type="expression" dxfId="21964" priority="4398">
      <formula>AND(#REF!&lt;&gt;"",MOD(ROW(),2))</formula>
    </cfRule>
  </conditionalFormatting>
  <conditionalFormatting sqref="H311">
    <cfRule type="expression" dxfId="21963" priority="4394">
      <formula>AND($A341&lt;&gt;"",MOD(ROW(),2))</formula>
    </cfRule>
  </conditionalFormatting>
  <conditionalFormatting sqref="H311">
    <cfRule type="expression" dxfId="21962" priority="4396">
      <formula>AND(#REF!&lt;&gt;"",MOD(ROW(),2))</formula>
    </cfRule>
  </conditionalFormatting>
  <conditionalFormatting sqref="H311">
    <cfRule type="expression" dxfId="21961" priority="4395">
      <formula>AND(#REF!&lt;&gt;"",MOD(ROW(),2))</formula>
    </cfRule>
  </conditionalFormatting>
  <conditionalFormatting sqref="H312:H422">
    <cfRule type="expression" dxfId="21960" priority="4391">
      <formula>AND($A342&lt;&gt;"",MOD(ROW(),2))</formula>
    </cfRule>
  </conditionalFormatting>
  <conditionalFormatting sqref="H312:H422">
    <cfRule type="expression" dxfId="21959" priority="4393">
      <formula>AND(#REF!&lt;&gt;"",MOD(ROW(),2))</formula>
    </cfRule>
  </conditionalFormatting>
  <conditionalFormatting sqref="H312:H422 H424:H470 H472:H620 H622:H629 H631">
    <cfRule type="expression" dxfId="21958" priority="4392">
      <formula>AND(#REF!&lt;&gt;"",MOD(ROW(),2))</formula>
    </cfRule>
  </conditionalFormatting>
  <conditionalFormatting sqref="G323">
    <cfRule type="expression" dxfId="21957" priority="4390">
      <formula>AND($A307&lt;&gt;"",MOD(ROW(),2))</formula>
    </cfRule>
  </conditionalFormatting>
  <conditionalFormatting sqref="G323">
    <cfRule type="cellIs" dxfId="21956" priority="4387" operator="equal">
      <formula>#REF!</formula>
    </cfRule>
    <cfRule type="cellIs" dxfId="21955" priority="4388" operator="greaterThan">
      <formula>#REF!</formula>
    </cfRule>
    <cfRule type="cellIs" dxfId="21954" priority="4389" operator="lessThan">
      <formula>#REF!</formula>
    </cfRule>
  </conditionalFormatting>
  <conditionalFormatting sqref="G322">
    <cfRule type="expression" dxfId="21953" priority="4386">
      <formula>AND($A306&lt;&gt;"",MOD(ROW(),2))</formula>
    </cfRule>
  </conditionalFormatting>
  <conditionalFormatting sqref="G322">
    <cfRule type="cellIs" dxfId="21952" priority="4383" operator="equal">
      <formula>#REF!</formula>
    </cfRule>
    <cfRule type="cellIs" dxfId="21951" priority="4384" operator="greaterThan">
      <formula>#REF!</formula>
    </cfRule>
    <cfRule type="cellIs" dxfId="21950" priority="4385" operator="lessThan">
      <formula>#REF!</formula>
    </cfRule>
  </conditionalFormatting>
  <conditionalFormatting sqref="E65:E66">
    <cfRule type="expression" dxfId="21949" priority="4382">
      <formula>AND($A49&lt;&gt;"",MOD(ROW(),2))</formula>
    </cfRule>
  </conditionalFormatting>
  <conditionalFormatting sqref="C66">
    <cfRule type="expression" dxfId="21948" priority="4381">
      <formula>AND($A50&lt;&gt;"",MOD(ROW(),2))</formula>
    </cfRule>
  </conditionalFormatting>
  <conditionalFormatting sqref="C66">
    <cfRule type="cellIs" dxfId="21947" priority="4378" operator="equal">
      <formula>#REF!</formula>
    </cfRule>
    <cfRule type="cellIs" dxfId="21946" priority="4379" operator="greaterThan">
      <formula>#REF!</formula>
    </cfRule>
    <cfRule type="cellIs" dxfId="21945" priority="4380" operator="lessThan">
      <formula>#REF!</formula>
    </cfRule>
  </conditionalFormatting>
  <conditionalFormatting sqref="C65">
    <cfRule type="expression" dxfId="21944" priority="4377">
      <formula>AND($A49&lt;&gt;"",MOD(ROW(),2))</formula>
    </cfRule>
  </conditionalFormatting>
  <conditionalFormatting sqref="C65">
    <cfRule type="cellIs" dxfId="21943" priority="4374" operator="equal">
      <formula>#REF!</formula>
    </cfRule>
    <cfRule type="cellIs" dxfId="21942" priority="4375" operator="greaterThan">
      <formula>#REF!</formula>
    </cfRule>
    <cfRule type="cellIs" dxfId="21941" priority="4376" operator="lessThan">
      <formula>#REF!</formula>
    </cfRule>
  </conditionalFormatting>
  <conditionalFormatting sqref="G322">
    <cfRule type="expression" dxfId="21940" priority="4373">
      <formula>AND($A306&lt;&gt;"",MOD(ROW(),2))</formula>
    </cfRule>
  </conditionalFormatting>
  <conditionalFormatting sqref="G322">
    <cfRule type="cellIs" dxfId="21939" priority="4370" operator="equal">
      <formula>#REF!</formula>
    </cfRule>
    <cfRule type="cellIs" dxfId="21938" priority="4371" operator="greaterThan">
      <formula>#REF!</formula>
    </cfRule>
    <cfRule type="cellIs" dxfId="21937" priority="4372" operator="lessThan">
      <formula>#REF!</formula>
    </cfRule>
  </conditionalFormatting>
  <conditionalFormatting sqref="G321">
    <cfRule type="expression" dxfId="21936" priority="4369">
      <formula>AND($A305&lt;&gt;"",MOD(ROW(),2))</formula>
    </cfRule>
  </conditionalFormatting>
  <conditionalFormatting sqref="G321">
    <cfRule type="cellIs" dxfId="21935" priority="4366" operator="equal">
      <formula>#REF!</formula>
    </cfRule>
    <cfRule type="cellIs" dxfId="21934" priority="4367" operator="greaterThan">
      <formula>#REF!</formula>
    </cfRule>
    <cfRule type="cellIs" dxfId="21933" priority="4368" operator="lessThan">
      <formula>#REF!</formula>
    </cfRule>
  </conditionalFormatting>
  <conditionalFormatting sqref="H419:H424">
    <cfRule type="expression" dxfId="21932" priority="4363">
      <formula>AND($A449&lt;&gt;"",MOD(ROW(),2))</formula>
    </cfRule>
  </conditionalFormatting>
  <conditionalFormatting sqref="H419:H424">
    <cfRule type="expression" dxfId="21931" priority="4365">
      <formula>AND(#REF!&lt;&gt;"",MOD(ROW(),2))</formula>
    </cfRule>
  </conditionalFormatting>
  <conditionalFormatting sqref="H419:H424">
    <cfRule type="expression" dxfId="21930" priority="4364">
      <formula>AND(#REF!&lt;&gt;"",MOD(ROW(),2))</formula>
    </cfRule>
  </conditionalFormatting>
  <conditionalFormatting sqref="H419:H424">
    <cfRule type="expression" dxfId="21929" priority="4360">
      <formula>AND($A449&lt;&gt;"",MOD(ROW(),2))</formula>
    </cfRule>
  </conditionalFormatting>
  <conditionalFormatting sqref="H419:H424">
    <cfRule type="expression" dxfId="21928" priority="4362">
      <formula>AND(#REF!&lt;&gt;"",MOD(ROW(),2))</formula>
    </cfRule>
  </conditionalFormatting>
  <conditionalFormatting sqref="H419:H424">
    <cfRule type="expression" dxfId="21927" priority="4361">
      <formula>AND(#REF!&lt;&gt;"",MOD(ROW(),2))</formula>
    </cfRule>
  </conditionalFormatting>
  <conditionalFormatting sqref="H419:H424">
    <cfRule type="expression" dxfId="21926" priority="4357">
      <formula>AND($A449&lt;&gt;"",MOD(ROW(),2))</formula>
    </cfRule>
  </conditionalFormatting>
  <conditionalFormatting sqref="H419:H424">
    <cfRule type="expression" dxfId="21925" priority="4359">
      <formula>AND(#REF!&lt;&gt;"",MOD(ROW(),2))</formula>
    </cfRule>
  </conditionalFormatting>
  <conditionalFormatting sqref="H419:H424">
    <cfRule type="expression" dxfId="21924" priority="4358">
      <formula>AND(#REF!&lt;&gt;"",MOD(ROW(),2))</formula>
    </cfRule>
  </conditionalFormatting>
  <conditionalFormatting sqref="H419:H424">
    <cfRule type="expression" dxfId="21923" priority="4354">
      <formula>AND($A449&lt;&gt;"",MOD(ROW(),2))</formula>
    </cfRule>
  </conditionalFormatting>
  <conditionalFormatting sqref="H419:H424">
    <cfRule type="expression" dxfId="21922" priority="4356">
      <formula>AND(#REF!&lt;&gt;"",MOD(ROW(),2))</formula>
    </cfRule>
  </conditionalFormatting>
  <conditionalFormatting sqref="H419:H424">
    <cfRule type="expression" dxfId="21921" priority="4355">
      <formula>AND(#REF!&lt;&gt;"",MOD(ROW(),2))</formula>
    </cfRule>
  </conditionalFormatting>
  <conditionalFormatting sqref="H419:H424">
    <cfRule type="expression" dxfId="21920" priority="4351">
      <formula>AND($A449&lt;&gt;"",MOD(ROW(),2))</formula>
    </cfRule>
  </conditionalFormatting>
  <conditionalFormatting sqref="H419:H424">
    <cfRule type="expression" dxfId="21919" priority="4353">
      <formula>AND(#REF!&lt;&gt;"",MOD(ROW(),2))</formula>
    </cfRule>
  </conditionalFormatting>
  <conditionalFormatting sqref="H419:H424">
    <cfRule type="expression" dxfId="21918" priority="4352">
      <formula>AND(#REF!&lt;&gt;"",MOD(ROW(),2))</formula>
    </cfRule>
  </conditionalFormatting>
  <conditionalFormatting sqref="H419:H424">
    <cfRule type="expression" dxfId="21917" priority="4348">
      <formula>AND($A449&lt;&gt;"",MOD(ROW(),2))</formula>
    </cfRule>
  </conditionalFormatting>
  <conditionalFormatting sqref="H419:H424">
    <cfRule type="expression" dxfId="21916" priority="4350">
      <formula>AND(#REF!&lt;&gt;"",MOD(ROW(),2))</formula>
    </cfRule>
  </conditionalFormatting>
  <conditionalFormatting sqref="H419:H424">
    <cfRule type="expression" dxfId="21915" priority="4349">
      <formula>AND(#REF!&lt;&gt;"",MOD(ROW(),2))</formula>
    </cfRule>
  </conditionalFormatting>
  <conditionalFormatting sqref="H419:H424">
    <cfRule type="expression" dxfId="21914" priority="4345">
      <formula>AND($A449&lt;&gt;"",MOD(ROW(),2))</formula>
    </cfRule>
  </conditionalFormatting>
  <conditionalFormatting sqref="H419:H424">
    <cfRule type="expression" dxfId="21913" priority="4347">
      <formula>AND(#REF!&lt;&gt;"",MOD(ROW(),2))</formula>
    </cfRule>
  </conditionalFormatting>
  <conditionalFormatting sqref="H419:H424">
    <cfRule type="expression" dxfId="21912" priority="4346">
      <formula>AND(#REF!&lt;&gt;"",MOD(ROW(),2))</formula>
    </cfRule>
  </conditionalFormatting>
  <conditionalFormatting sqref="H425">
    <cfRule type="expression" dxfId="21911" priority="4342">
      <formula>AND($A455&lt;&gt;"",MOD(ROW(),2))</formula>
    </cfRule>
  </conditionalFormatting>
  <conditionalFormatting sqref="H425">
    <cfRule type="expression" dxfId="21910" priority="4344">
      <formula>AND(#REF!&lt;&gt;"",MOD(ROW(),2))</formula>
    </cfRule>
  </conditionalFormatting>
  <conditionalFormatting sqref="H425">
    <cfRule type="expression" dxfId="21909" priority="4343">
      <formula>AND(#REF!&lt;&gt;"",MOD(ROW(),2))</formula>
    </cfRule>
  </conditionalFormatting>
  <conditionalFormatting sqref="H425">
    <cfRule type="expression" dxfId="21908" priority="4339">
      <formula>AND($A455&lt;&gt;"",MOD(ROW(),2))</formula>
    </cfRule>
  </conditionalFormatting>
  <conditionalFormatting sqref="H425">
    <cfRule type="expression" dxfId="21907" priority="4341">
      <formula>AND(#REF!&lt;&gt;"",MOD(ROW(),2))</formula>
    </cfRule>
  </conditionalFormatting>
  <conditionalFormatting sqref="H425">
    <cfRule type="expression" dxfId="21906" priority="4340">
      <formula>AND(#REF!&lt;&gt;"",MOD(ROW(),2))</formula>
    </cfRule>
  </conditionalFormatting>
  <conditionalFormatting sqref="H425">
    <cfRule type="expression" dxfId="21905" priority="4336">
      <formula>AND($A455&lt;&gt;"",MOD(ROW(),2))</formula>
    </cfRule>
  </conditionalFormatting>
  <conditionalFormatting sqref="H425">
    <cfRule type="expression" dxfId="21904" priority="4338">
      <formula>AND(#REF!&lt;&gt;"",MOD(ROW(),2))</formula>
    </cfRule>
  </conditionalFormatting>
  <conditionalFormatting sqref="H425">
    <cfRule type="expression" dxfId="21903" priority="4337">
      <formula>AND(#REF!&lt;&gt;"",MOD(ROW(),2))</formula>
    </cfRule>
  </conditionalFormatting>
  <conditionalFormatting sqref="H425">
    <cfRule type="expression" dxfId="21902" priority="4333">
      <formula>AND($A455&lt;&gt;"",MOD(ROW(),2))</formula>
    </cfRule>
  </conditionalFormatting>
  <conditionalFormatting sqref="H425">
    <cfRule type="expression" dxfId="21901" priority="4335">
      <formula>AND(#REF!&lt;&gt;"",MOD(ROW(),2))</formula>
    </cfRule>
  </conditionalFormatting>
  <conditionalFormatting sqref="H425">
    <cfRule type="expression" dxfId="21900" priority="4334">
      <formula>AND(#REF!&lt;&gt;"",MOD(ROW(),2))</formula>
    </cfRule>
  </conditionalFormatting>
  <conditionalFormatting sqref="H425">
    <cfRule type="expression" dxfId="21899" priority="4330">
      <formula>AND($A455&lt;&gt;"",MOD(ROW(),2))</formula>
    </cfRule>
  </conditionalFormatting>
  <conditionalFormatting sqref="H425">
    <cfRule type="expression" dxfId="21898" priority="4332">
      <formula>AND(#REF!&lt;&gt;"",MOD(ROW(),2))</formula>
    </cfRule>
  </conditionalFormatting>
  <conditionalFormatting sqref="H425">
    <cfRule type="expression" dxfId="21897" priority="4331">
      <formula>AND(#REF!&lt;&gt;"",MOD(ROW(),2))</formula>
    </cfRule>
  </conditionalFormatting>
  <conditionalFormatting sqref="H425">
    <cfRule type="expression" dxfId="21896" priority="4327">
      <formula>AND($A455&lt;&gt;"",MOD(ROW(),2))</formula>
    </cfRule>
  </conditionalFormatting>
  <conditionalFormatting sqref="H425">
    <cfRule type="expression" dxfId="21895" priority="4329">
      <formula>AND(#REF!&lt;&gt;"",MOD(ROW(),2))</formula>
    </cfRule>
  </conditionalFormatting>
  <conditionalFormatting sqref="H425">
    <cfRule type="expression" dxfId="21894" priority="4328">
      <formula>AND(#REF!&lt;&gt;"",MOD(ROW(),2))</formula>
    </cfRule>
  </conditionalFormatting>
  <conditionalFormatting sqref="H425">
    <cfRule type="expression" dxfId="21893" priority="4324">
      <formula>AND($A455&lt;&gt;"",MOD(ROW(),2))</formula>
    </cfRule>
  </conditionalFormatting>
  <conditionalFormatting sqref="H425">
    <cfRule type="expression" dxfId="21892" priority="4326">
      <formula>AND(#REF!&lt;&gt;"",MOD(ROW(),2))</formula>
    </cfRule>
  </conditionalFormatting>
  <conditionalFormatting sqref="H425">
    <cfRule type="expression" dxfId="21891" priority="4325">
      <formula>AND(#REF!&lt;&gt;"",MOD(ROW(),2))</formula>
    </cfRule>
  </conditionalFormatting>
  <conditionalFormatting sqref="H426">
    <cfRule type="expression" dxfId="21890" priority="4321">
      <formula>AND($A456&lt;&gt;"",MOD(ROW(),2))</formula>
    </cfRule>
  </conditionalFormatting>
  <conditionalFormatting sqref="H426">
    <cfRule type="expression" dxfId="21889" priority="4323">
      <formula>AND(#REF!&lt;&gt;"",MOD(ROW(),2))</formula>
    </cfRule>
  </conditionalFormatting>
  <conditionalFormatting sqref="H426">
    <cfRule type="expression" dxfId="21888" priority="4322">
      <formula>AND(#REF!&lt;&gt;"",MOD(ROW(),2))</formula>
    </cfRule>
  </conditionalFormatting>
  <conditionalFormatting sqref="H426">
    <cfRule type="expression" dxfId="21887" priority="4318">
      <formula>AND($A456&lt;&gt;"",MOD(ROW(),2))</formula>
    </cfRule>
  </conditionalFormatting>
  <conditionalFormatting sqref="H426">
    <cfRule type="expression" dxfId="21886" priority="4320">
      <formula>AND(#REF!&lt;&gt;"",MOD(ROW(),2))</formula>
    </cfRule>
  </conditionalFormatting>
  <conditionalFormatting sqref="H426">
    <cfRule type="expression" dxfId="21885" priority="4319">
      <formula>AND(#REF!&lt;&gt;"",MOD(ROW(),2))</formula>
    </cfRule>
  </conditionalFormatting>
  <conditionalFormatting sqref="H426">
    <cfRule type="expression" dxfId="21884" priority="4315">
      <formula>AND($A456&lt;&gt;"",MOD(ROW(),2))</formula>
    </cfRule>
  </conditionalFormatting>
  <conditionalFormatting sqref="H426">
    <cfRule type="expression" dxfId="21883" priority="4317">
      <formula>AND(#REF!&lt;&gt;"",MOD(ROW(),2))</formula>
    </cfRule>
  </conditionalFormatting>
  <conditionalFormatting sqref="H426">
    <cfRule type="expression" dxfId="21882" priority="4316">
      <formula>AND(#REF!&lt;&gt;"",MOD(ROW(),2))</formula>
    </cfRule>
  </conditionalFormatting>
  <conditionalFormatting sqref="H426">
    <cfRule type="expression" dxfId="21881" priority="4312">
      <formula>AND($A456&lt;&gt;"",MOD(ROW(),2))</formula>
    </cfRule>
  </conditionalFormatting>
  <conditionalFormatting sqref="H426">
    <cfRule type="expression" dxfId="21880" priority="4314">
      <formula>AND(#REF!&lt;&gt;"",MOD(ROW(),2))</formula>
    </cfRule>
  </conditionalFormatting>
  <conditionalFormatting sqref="H426">
    <cfRule type="expression" dxfId="21879" priority="4313">
      <formula>AND(#REF!&lt;&gt;"",MOD(ROW(),2))</formula>
    </cfRule>
  </conditionalFormatting>
  <conditionalFormatting sqref="H426">
    <cfRule type="expression" dxfId="21878" priority="4309">
      <formula>AND($A456&lt;&gt;"",MOD(ROW(),2))</formula>
    </cfRule>
  </conditionalFormatting>
  <conditionalFormatting sqref="H426">
    <cfRule type="expression" dxfId="21877" priority="4311">
      <formula>AND(#REF!&lt;&gt;"",MOD(ROW(),2))</formula>
    </cfRule>
  </conditionalFormatting>
  <conditionalFormatting sqref="H426">
    <cfRule type="expression" dxfId="21876" priority="4310">
      <formula>AND(#REF!&lt;&gt;"",MOD(ROW(),2))</formula>
    </cfRule>
  </conditionalFormatting>
  <conditionalFormatting sqref="H426">
    <cfRule type="expression" dxfId="21875" priority="4306">
      <formula>AND($A456&lt;&gt;"",MOD(ROW(),2))</formula>
    </cfRule>
  </conditionalFormatting>
  <conditionalFormatting sqref="H426">
    <cfRule type="expression" dxfId="21874" priority="4308">
      <formula>AND(#REF!&lt;&gt;"",MOD(ROW(),2))</formula>
    </cfRule>
  </conditionalFormatting>
  <conditionalFormatting sqref="H426">
    <cfRule type="expression" dxfId="21873" priority="4307">
      <formula>AND(#REF!&lt;&gt;"",MOD(ROW(),2))</formula>
    </cfRule>
  </conditionalFormatting>
  <conditionalFormatting sqref="H426">
    <cfRule type="expression" dxfId="21872" priority="4303">
      <formula>AND($A456&lt;&gt;"",MOD(ROW(),2))</formula>
    </cfRule>
  </conditionalFormatting>
  <conditionalFormatting sqref="H426">
    <cfRule type="expression" dxfId="21871" priority="4305">
      <formula>AND(#REF!&lt;&gt;"",MOD(ROW(),2))</formula>
    </cfRule>
  </conditionalFormatting>
  <conditionalFormatting sqref="H426">
    <cfRule type="expression" dxfId="21870" priority="4304">
      <formula>AND(#REF!&lt;&gt;"",MOD(ROW(),2))</formula>
    </cfRule>
  </conditionalFormatting>
  <conditionalFormatting sqref="H424">
    <cfRule type="expression" dxfId="21869" priority="4300">
      <formula>AND($A454&lt;&gt;"",MOD(ROW(),2))</formula>
    </cfRule>
  </conditionalFormatting>
  <conditionalFormatting sqref="H424">
    <cfRule type="expression" dxfId="21868" priority="4302">
      <formula>AND(#REF!&lt;&gt;"",MOD(ROW(),2))</formula>
    </cfRule>
  </conditionalFormatting>
  <conditionalFormatting sqref="H424">
    <cfRule type="expression" dxfId="21867" priority="4301">
      <formula>AND(#REF!&lt;&gt;"",MOD(ROW(),2))</formula>
    </cfRule>
  </conditionalFormatting>
  <conditionalFormatting sqref="H424">
    <cfRule type="expression" dxfId="21866" priority="4297">
      <formula>AND($A454&lt;&gt;"",MOD(ROW(),2))</formula>
    </cfRule>
  </conditionalFormatting>
  <conditionalFormatting sqref="H424">
    <cfRule type="expression" dxfId="21865" priority="4299">
      <formula>AND(#REF!&lt;&gt;"",MOD(ROW(),2))</formula>
    </cfRule>
  </conditionalFormatting>
  <conditionalFormatting sqref="H424">
    <cfRule type="expression" dxfId="21864" priority="4298">
      <formula>AND(#REF!&lt;&gt;"",MOD(ROW(),2))</formula>
    </cfRule>
  </conditionalFormatting>
  <conditionalFormatting sqref="H424">
    <cfRule type="expression" dxfId="21863" priority="4294">
      <formula>AND($A454&lt;&gt;"",MOD(ROW(),2))</formula>
    </cfRule>
  </conditionalFormatting>
  <conditionalFormatting sqref="H424">
    <cfRule type="expression" dxfId="21862" priority="4296">
      <formula>AND(#REF!&lt;&gt;"",MOD(ROW(),2))</formula>
    </cfRule>
  </conditionalFormatting>
  <conditionalFormatting sqref="H424">
    <cfRule type="expression" dxfId="21861" priority="4295">
      <formula>AND(#REF!&lt;&gt;"",MOD(ROW(),2))</formula>
    </cfRule>
  </conditionalFormatting>
  <conditionalFormatting sqref="H424">
    <cfRule type="expression" dxfId="21860" priority="4291">
      <formula>AND($A454&lt;&gt;"",MOD(ROW(),2))</formula>
    </cfRule>
  </conditionalFormatting>
  <conditionalFormatting sqref="H424">
    <cfRule type="expression" dxfId="21859" priority="4293">
      <formula>AND(#REF!&lt;&gt;"",MOD(ROW(),2))</formula>
    </cfRule>
  </conditionalFormatting>
  <conditionalFormatting sqref="H424">
    <cfRule type="expression" dxfId="21858" priority="4292">
      <formula>AND(#REF!&lt;&gt;"",MOD(ROW(),2))</formula>
    </cfRule>
  </conditionalFormatting>
  <conditionalFormatting sqref="H424">
    <cfRule type="expression" dxfId="21857" priority="4288">
      <formula>AND($A454&lt;&gt;"",MOD(ROW(),2))</formula>
    </cfRule>
  </conditionalFormatting>
  <conditionalFormatting sqref="H424">
    <cfRule type="expression" dxfId="21856" priority="4290">
      <formula>AND(#REF!&lt;&gt;"",MOD(ROW(),2))</formula>
    </cfRule>
  </conditionalFormatting>
  <conditionalFormatting sqref="H424">
    <cfRule type="expression" dxfId="21855" priority="4289">
      <formula>AND(#REF!&lt;&gt;"",MOD(ROW(),2))</formula>
    </cfRule>
  </conditionalFormatting>
  <conditionalFormatting sqref="H424">
    <cfRule type="expression" dxfId="21854" priority="4285">
      <formula>AND($A454&lt;&gt;"",MOD(ROW(),2))</formula>
    </cfRule>
  </conditionalFormatting>
  <conditionalFormatting sqref="H424">
    <cfRule type="expression" dxfId="21853" priority="4287">
      <formula>AND(#REF!&lt;&gt;"",MOD(ROW(),2))</formula>
    </cfRule>
  </conditionalFormatting>
  <conditionalFormatting sqref="H424">
    <cfRule type="expression" dxfId="21852" priority="4286">
      <formula>AND(#REF!&lt;&gt;"",MOD(ROW(),2))</formula>
    </cfRule>
  </conditionalFormatting>
  <conditionalFormatting sqref="H424">
    <cfRule type="expression" dxfId="21851" priority="4282">
      <formula>AND($A454&lt;&gt;"",MOD(ROW(),2))</formula>
    </cfRule>
  </conditionalFormatting>
  <conditionalFormatting sqref="H424">
    <cfRule type="expression" dxfId="21850" priority="4284">
      <formula>AND(#REF!&lt;&gt;"",MOD(ROW(),2))</formula>
    </cfRule>
  </conditionalFormatting>
  <conditionalFormatting sqref="H424">
    <cfRule type="expression" dxfId="21849" priority="4283">
      <formula>AND(#REF!&lt;&gt;"",MOD(ROW(),2))</formula>
    </cfRule>
  </conditionalFormatting>
  <conditionalFormatting sqref="H425">
    <cfRule type="expression" dxfId="21848" priority="4279">
      <formula>AND($A455&lt;&gt;"",MOD(ROW(),2))</formula>
    </cfRule>
  </conditionalFormatting>
  <conditionalFormatting sqref="H425">
    <cfRule type="expression" dxfId="21847" priority="4281">
      <formula>AND(#REF!&lt;&gt;"",MOD(ROW(),2))</formula>
    </cfRule>
  </conditionalFormatting>
  <conditionalFormatting sqref="H425">
    <cfRule type="expression" dxfId="21846" priority="4280">
      <formula>AND(#REF!&lt;&gt;"",MOD(ROW(),2))</formula>
    </cfRule>
  </conditionalFormatting>
  <conditionalFormatting sqref="H425">
    <cfRule type="expression" dxfId="21845" priority="4276">
      <formula>AND($A455&lt;&gt;"",MOD(ROW(),2))</formula>
    </cfRule>
  </conditionalFormatting>
  <conditionalFormatting sqref="H425">
    <cfRule type="expression" dxfId="21844" priority="4278">
      <formula>AND(#REF!&lt;&gt;"",MOD(ROW(),2))</formula>
    </cfRule>
  </conditionalFormatting>
  <conditionalFormatting sqref="H425">
    <cfRule type="expression" dxfId="21843" priority="4277">
      <formula>AND(#REF!&lt;&gt;"",MOD(ROW(),2))</formula>
    </cfRule>
  </conditionalFormatting>
  <conditionalFormatting sqref="H425">
    <cfRule type="expression" dxfId="21842" priority="4273">
      <formula>AND($A455&lt;&gt;"",MOD(ROW(),2))</formula>
    </cfRule>
  </conditionalFormatting>
  <conditionalFormatting sqref="H425">
    <cfRule type="expression" dxfId="21841" priority="4275">
      <formula>AND(#REF!&lt;&gt;"",MOD(ROW(),2))</formula>
    </cfRule>
  </conditionalFormatting>
  <conditionalFormatting sqref="H425">
    <cfRule type="expression" dxfId="21840" priority="4274">
      <formula>AND(#REF!&lt;&gt;"",MOD(ROW(),2))</formula>
    </cfRule>
  </conditionalFormatting>
  <conditionalFormatting sqref="H425">
    <cfRule type="expression" dxfId="21839" priority="4270">
      <formula>AND($A455&lt;&gt;"",MOD(ROW(),2))</formula>
    </cfRule>
  </conditionalFormatting>
  <conditionalFormatting sqref="H425">
    <cfRule type="expression" dxfId="21838" priority="4272">
      <formula>AND(#REF!&lt;&gt;"",MOD(ROW(),2))</formula>
    </cfRule>
  </conditionalFormatting>
  <conditionalFormatting sqref="H425">
    <cfRule type="expression" dxfId="21837" priority="4271">
      <formula>AND(#REF!&lt;&gt;"",MOD(ROW(),2))</formula>
    </cfRule>
  </conditionalFormatting>
  <conditionalFormatting sqref="H425">
    <cfRule type="expression" dxfId="21836" priority="4267">
      <formula>AND($A455&lt;&gt;"",MOD(ROW(),2))</formula>
    </cfRule>
  </conditionalFormatting>
  <conditionalFormatting sqref="H425">
    <cfRule type="expression" dxfId="21835" priority="4269">
      <formula>AND(#REF!&lt;&gt;"",MOD(ROW(),2))</formula>
    </cfRule>
  </conditionalFormatting>
  <conditionalFormatting sqref="H425">
    <cfRule type="expression" dxfId="21834" priority="4268">
      <formula>AND(#REF!&lt;&gt;"",MOD(ROW(),2))</formula>
    </cfRule>
  </conditionalFormatting>
  <conditionalFormatting sqref="H425">
    <cfRule type="expression" dxfId="21833" priority="4264">
      <formula>AND($A455&lt;&gt;"",MOD(ROW(),2))</formula>
    </cfRule>
  </conditionalFormatting>
  <conditionalFormatting sqref="H425">
    <cfRule type="expression" dxfId="21832" priority="4266">
      <formula>AND(#REF!&lt;&gt;"",MOD(ROW(),2))</formula>
    </cfRule>
  </conditionalFormatting>
  <conditionalFormatting sqref="H425">
    <cfRule type="expression" dxfId="21831" priority="4265">
      <formula>AND(#REF!&lt;&gt;"",MOD(ROW(),2))</formula>
    </cfRule>
  </conditionalFormatting>
  <conditionalFormatting sqref="H425">
    <cfRule type="expression" dxfId="21830" priority="4261">
      <formula>AND($A455&lt;&gt;"",MOD(ROW(),2))</formula>
    </cfRule>
  </conditionalFormatting>
  <conditionalFormatting sqref="H425">
    <cfRule type="expression" dxfId="21829" priority="4263">
      <formula>AND(#REF!&lt;&gt;"",MOD(ROW(),2))</formula>
    </cfRule>
  </conditionalFormatting>
  <conditionalFormatting sqref="H425">
    <cfRule type="expression" dxfId="21828" priority="4262">
      <formula>AND(#REF!&lt;&gt;"",MOD(ROW(),2))</formula>
    </cfRule>
  </conditionalFormatting>
  <conditionalFormatting sqref="H424">
    <cfRule type="expression" dxfId="21827" priority="4258">
      <formula>AND($A454&lt;&gt;"",MOD(ROW(),2))</formula>
    </cfRule>
  </conditionalFormatting>
  <conditionalFormatting sqref="H424">
    <cfRule type="expression" dxfId="21826" priority="4260">
      <formula>AND(#REF!&lt;&gt;"",MOD(ROW(),2))</formula>
    </cfRule>
  </conditionalFormatting>
  <conditionalFormatting sqref="H424">
    <cfRule type="expression" dxfId="21825" priority="4259">
      <formula>AND(#REF!&lt;&gt;"",MOD(ROW(),2))</formula>
    </cfRule>
  </conditionalFormatting>
  <conditionalFormatting sqref="H424">
    <cfRule type="expression" dxfId="21824" priority="4255">
      <formula>AND($A454&lt;&gt;"",MOD(ROW(),2))</formula>
    </cfRule>
  </conditionalFormatting>
  <conditionalFormatting sqref="H424">
    <cfRule type="expression" dxfId="21823" priority="4257">
      <formula>AND(#REF!&lt;&gt;"",MOD(ROW(),2))</formula>
    </cfRule>
  </conditionalFormatting>
  <conditionalFormatting sqref="H424">
    <cfRule type="expression" dxfId="21822" priority="4256">
      <formula>AND(#REF!&lt;&gt;"",MOD(ROW(),2))</formula>
    </cfRule>
  </conditionalFormatting>
  <conditionalFormatting sqref="H424">
    <cfRule type="expression" dxfId="21821" priority="4252">
      <formula>AND($A454&lt;&gt;"",MOD(ROW(),2))</formula>
    </cfRule>
  </conditionalFormatting>
  <conditionalFormatting sqref="H424">
    <cfRule type="expression" dxfId="21820" priority="4254">
      <formula>AND(#REF!&lt;&gt;"",MOD(ROW(),2))</formula>
    </cfRule>
  </conditionalFormatting>
  <conditionalFormatting sqref="H424">
    <cfRule type="expression" dxfId="21819" priority="4253">
      <formula>AND(#REF!&lt;&gt;"",MOD(ROW(),2))</formula>
    </cfRule>
  </conditionalFormatting>
  <conditionalFormatting sqref="H424">
    <cfRule type="expression" dxfId="21818" priority="4249">
      <formula>AND($A454&lt;&gt;"",MOD(ROW(),2))</formula>
    </cfRule>
  </conditionalFormatting>
  <conditionalFormatting sqref="H424">
    <cfRule type="expression" dxfId="21817" priority="4251">
      <formula>AND(#REF!&lt;&gt;"",MOD(ROW(),2))</formula>
    </cfRule>
  </conditionalFormatting>
  <conditionalFormatting sqref="H424">
    <cfRule type="expression" dxfId="21816" priority="4250">
      <formula>AND(#REF!&lt;&gt;"",MOD(ROW(),2))</formula>
    </cfRule>
  </conditionalFormatting>
  <conditionalFormatting sqref="H424">
    <cfRule type="expression" dxfId="21815" priority="4246">
      <formula>AND($A454&lt;&gt;"",MOD(ROW(),2))</formula>
    </cfRule>
  </conditionalFormatting>
  <conditionalFormatting sqref="H424">
    <cfRule type="expression" dxfId="21814" priority="4248">
      <formula>AND(#REF!&lt;&gt;"",MOD(ROW(),2))</formula>
    </cfRule>
  </conditionalFormatting>
  <conditionalFormatting sqref="H424">
    <cfRule type="expression" dxfId="21813" priority="4247">
      <formula>AND(#REF!&lt;&gt;"",MOD(ROW(),2))</formula>
    </cfRule>
  </conditionalFormatting>
  <conditionalFormatting sqref="H424">
    <cfRule type="expression" dxfId="21812" priority="4243">
      <formula>AND($A454&lt;&gt;"",MOD(ROW(),2))</formula>
    </cfRule>
  </conditionalFormatting>
  <conditionalFormatting sqref="H424">
    <cfRule type="expression" dxfId="21811" priority="4245">
      <formula>AND(#REF!&lt;&gt;"",MOD(ROW(),2))</formula>
    </cfRule>
  </conditionalFormatting>
  <conditionalFormatting sqref="H424">
    <cfRule type="expression" dxfId="21810" priority="4244">
      <formula>AND(#REF!&lt;&gt;"",MOD(ROW(),2))</formula>
    </cfRule>
  </conditionalFormatting>
  <conditionalFormatting sqref="H424">
    <cfRule type="expression" dxfId="21809" priority="4240">
      <formula>AND($A454&lt;&gt;"",MOD(ROW(),2))</formula>
    </cfRule>
  </conditionalFormatting>
  <conditionalFormatting sqref="H424">
    <cfRule type="expression" dxfId="21808" priority="4242">
      <formula>AND(#REF!&lt;&gt;"",MOD(ROW(),2))</formula>
    </cfRule>
  </conditionalFormatting>
  <conditionalFormatting sqref="H424">
    <cfRule type="expression" dxfId="21807" priority="4241">
      <formula>AND(#REF!&lt;&gt;"",MOD(ROW(),2))</formula>
    </cfRule>
  </conditionalFormatting>
  <conditionalFormatting sqref="H423">
    <cfRule type="expression" dxfId="21806" priority="4237">
      <formula>AND($A453&lt;&gt;"",MOD(ROW(),2))</formula>
    </cfRule>
  </conditionalFormatting>
  <conditionalFormatting sqref="H423">
    <cfRule type="expression" dxfId="21805" priority="4239">
      <formula>AND(#REF!&lt;&gt;"",MOD(ROW(),2))</formula>
    </cfRule>
  </conditionalFormatting>
  <conditionalFormatting sqref="H423">
    <cfRule type="expression" dxfId="21804" priority="4238">
      <formula>AND(#REF!&lt;&gt;"",MOD(ROW(),2))</formula>
    </cfRule>
  </conditionalFormatting>
  <conditionalFormatting sqref="H423">
    <cfRule type="expression" dxfId="21803" priority="4234">
      <formula>AND($A453&lt;&gt;"",MOD(ROW(),2))</formula>
    </cfRule>
  </conditionalFormatting>
  <conditionalFormatting sqref="H423">
    <cfRule type="expression" dxfId="21802" priority="4236">
      <formula>AND(#REF!&lt;&gt;"",MOD(ROW(),2))</formula>
    </cfRule>
  </conditionalFormatting>
  <conditionalFormatting sqref="H423">
    <cfRule type="expression" dxfId="21801" priority="4235">
      <formula>AND(#REF!&lt;&gt;"",MOD(ROW(),2))</formula>
    </cfRule>
  </conditionalFormatting>
  <conditionalFormatting sqref="H423">
    <cfRule type="expression" dxfId="21800" priority="4231">
      <formula>AND($A453&lt;&gt;"",MOD(ROW(),2))</formula>
    </cfRule>
  </conditionalFormatting>
  <conditionalFormatting sqref="H423">
    <cfRule type="expression" dxfId="21799" priority="4233">
      <formula>AND(#REF!&lt;&gt;"",MOD(ROW(),2))</formula>
    </cfRule>
  </conditionalFormatting>
  <conditionalFormatting sqref="H423">
    <cfRule type="expression" dxfId="21798" priority="4232">
      <formula>AND(#REF!&lt;&gt;"",MOD(ROW(),2))</formula>
    </cfRule>
  </conditionalFormatting>
  <conditionalFormatting sqref="H423">
    <cfRule type="expression" dxfId="21797" priority="4228">
      <formula>AND($A453&lt;&gt;"",MOD(ROW(),2))</formula>
    </cfRule>
  </conditionalFormatting>
  <conditionalFormatting sqref="H423">
    <cfRule type="expression" dxfId="21796" priority="4230">
      <formula>AND(#REF!&lt;&gt;"",MOD(ROW(),2))</formula>
    </cfRule>
  </conditionalFormatting>
  <conditionalFormatting sqref="H423">
    <cfRule type="expression" dxfId="21795" priority="4229">
      <formula>AND(#REF!&lt;&gt;"",MOD(ROW(),2))</formula>
    </cfRule>
  </conditionalFormatting>
  <conditionalFormatting sqref="H423">
    <cfRule type="expression" dxfId="21794" priority="4225">
      <formula>AND($A453&lt;&gt;"",MOD(ROW(),2))</formula>
    </cfRule>
  </conditionalFormatting>
  <conditionalFormatting sqref="H423">
    <cfRule type="expression" dxfId="21793" priority="4227">
      <formula>AND(#REF!&lt;&gt;"",MOD(ROW(),2))</formula>
    </cfRule>
  </conditionalFormatting>
  <conditionalFormatting sqref="H423">
    <cfRule type="expression" dxfId="21792" priority="4226">
      <formula>AND(#REF!&lt;&gt;"",MOD(ROW(),2))</formula>
    </cfRule>
  </conditionalFormatting>
  <conditionalFormatting sqref="H423">
    <cfRule type="expression" dxfId="21791" priority="4222">
      <formula>AND($A453&lt;&gt;"",MOD(ROW(),2))</formula>
    </cfRule>
  </conditionalFormatting>
  <conditionalFormatting sqref="H423">
    <cfRule type="expression" dxfId="21790" priority="4224">
      <formula>AND(#REF!&lt;&gt;"",MOD(ROW(),2))</formula>
    </cfRule>
  </conditionalFormatting>
  <conditionalFormatting sqref="H423">
    <cfRule type="expression" dxfId="21789" priority="4223">
      <formula>AND(#REF!&lt;&gt;"",MOD(ROW(),2))</formula>
    </cfRule>
  </conditionalFormatting>
  <conditionalFormatting sqref="H423">
    <cfRule type="expression" dxfId="21788" priority="4219">
      <formula>AND($A453&lt;&gt;"",MOD(ROW(),2))</formula>
    </cfRule>
  </conditionalFormatting>
  <conditionalFormatting sqref="H423">
    <cfRule type="expression" dxfId="21787" priority="4221">
      <formula>AND(#REF!&lt;&gt;"",MOD(ROW(),2))</formula>
    </cfRule>
  </conditionalFormatting>
  <conditionalFormatting sqref="H423">
    <cfRule type="expression" dxfId="21786" priority="4220">
      <formula>AND(#REF!&lt;&gt;"",MOD(ROW(),2))</formula>
    </cfRule>
  </conditionalFormatting>
  <conditionalFormatting sqref="H424">
    <cfRule type="expression" dxfId="21785" priority="4216">
      <formula>AND($A454&lt;&gt;"",MOD(ROW(),2))</formula>
    </cfRule>
  </conditionalFormatting>
  <conditionalFormatting sqref="H424">
    <cfRule type="expression" dxfId="21784" priority="4218">
      <formula>AND(#REF!&lt;&gt;"",MOD(ROW(),2))</formula>
    </cfRule>
  </conditionalFormatting>
  <conditionalFormatting sqref="H424">
    <cfRule type="expression" dxfId="21783" priority="4217">
      <formula>AND(#REF!&lt;&gt;"",MOD(ROW(),2))</formula>
    </cfRule>
  </conditionalFormatting>
  <conditionalFormatting sqref="H424">
    <cfRule type="expression" dxfId="21782" priority="4213">
      <formula>AND($A454&lt;&gt;"",MOD(ROW(),2))</formula>
    </cfRule>
  </conditionalFormatting>
  <conditionalFormatting sqref="H424">
    <cfRule type="expression" dxfId="21781" priority="4215">
      <formula>AND(#REF!&lt;&gt;"",MOD(ROW(),2))</formula>
    </cfRule>
  </conditionalFormatting>
  <conditionalFormatting sqref="H424">
    <cfRule type="expression" dxfId="21780" priority="4214">
      <formula>AND(#REF!&lt;&gt;"",MOD(ROW(),2))</formula>
    </cfRule>
  </conditionalFormatting>
  <conditionalFormatting sqref="H424">
    <cfRule type="expression" dxfId="21779" priority="4210">
      <formula>AND($A454&lt;&gt;"",MOD(ROW(),2))</formula>
    </cfRule>
  </conditionalFormatting>
  <conditionalFormatting sqref="H424">
    <cfRule type="expression" dxfId="21778" priority="4212">
      <formula>AND(#REF!&lt;&gt;"",MOD(ROW(),2))</formula>
    </cfRule>
  </conditionalFormatting>
  <conditionalFormatting sqref="H424">
    <cfRule type="expression" dxfId="21777" priority="4211">
      <formula>AND(#REF!&lt;&gt;"",MOD(ROW(),2))</formula>
    </cfRule>
  </conditionalFormatting>
  <conditionalFormatting sqref="H424">
    <cfRule type="expression" dxfId="21776" priority="4207">
      <formula>AND($A454&lt;&gt;"",MOD(ROW(),2))</formula>
    </cfRule>
  </conditionalFormatting>
  <conditionalFormatting sqref="H424">
    <cfRule type="expression" dxfId="21775" priority="4209">
      <formula>AND(#REF!&lt;&gt;"",MOD(ROW(),2))</formula>
    </cfRule>
  </conditionalFormatting>
  <conditionalFormatting sqref="H424">
    <cfRule type="expression" dxfId="21774" priority="4208">
      <formula>AND(#REF!&lt;&gt;"",MOD(ROW(),2))</formula>
    </cfRule>
  </conditionalFormatting>
  <conditionalFormatting sqref="H424">
    <cfRule type="expression" dxfId="21773" priority="4204">
      <formula>AND($A454&lt;&gt;"",MOD(ROW(),2))</formula>
    </cfRule>
  </conditionalFormatting>
  <conditionalFormatting sqref="H424">
    <cfRule type="expression" dxfId="21772" priority="4206">
      <formula>AND(#REF!&lt;&gt;"",MOD(ROW(),2))</formula>
    </cfRule>
  </conditionalFormatting>
  <conditionalFormatting sqref="H424">
    <cfRule type="expression" dxfId="21771" priority="4205">
      <formula>AND(#REF!&lt;&gt;"",MOD(ROW(),2))</formula>
    </cfRule>
  </conditionalFormatting>
  <conditionalFormatting sqref="H424">
    <cfRule type="expression" dxfId="21770" priority="4201">
      <formula>AND($A454&lt;&gt;"",MOD(ROW(),2))</formula>
    </cfRule>
  </conditionalFormatting>
  <conditionalFormatting sqref="H424">
    <cfRule type="expression" dxfId="21769" priority="4203">
      <formula>AND(#REF!&lt;&gt;"",MOD(ROW(),2))</formula>
    </cfRule>
  </conditionalFormatting>
  <conditionalFormatting sqref="H424">
    <cfRule type="expression" dxfId="21768" priority="4202">
      <formula>AND(#REF!&lt;&gt;"",MOD(ROW(),2))</formula>
    </cfRule>
  </conditionalFormatting>
  <conditionalFormatting sqref="H424">
    <cfRule type="expression" dxfId="21767" priority="4198">
      <formula>AND($A454&lt;&gt;"",MOD(ROW(),2))</formula>
    </cfRule>
  </conditionalFormatting>
  <conditionalFormatting sqref="H424">
    <cfRule type="expression" dxfId="21766" priority="4200">
      <formula>AND(#REF!&lt;&gt;"",MOD(ROW(),2))</formula>
    </cfRule>
  </conditionalFormatting>
  <conditionalFormatting sqref="H424">
    <cfRule type="expression" dxfId="21765" priority="4199">
      <formula>AND(#REF!&lt;&gt;"",MOD(ROW(),2))</formula>
    </cfRule>
  </conditionalFormatting>
  <conditionalFormatting sqref="H422">
    <cfRule type="expression" dxfId="21764" priority="4195">
      <formula>AND($A452&lt;&gt;"",MOD(ROW(),2))</formula>
    </cfRule>
  </conditionalFormatting>
  <conditionalFormatting sqref="H422">
    <cfRule type="expression" dxfId="21763" priority="4197">
      <formula>AND(#REF!&lt;&gt;"",MOD(ROW(),2))</formula>
    </cfRule>
  </conditionalFormatting>
  <conditionalFormatting sqref="H422">
    <cfRule type="expression" dxfId="21762" priority="4196">
      <formula>AND(#REF!&lt;&gt;"",MOD(ROW(),2))</formula>
    </cfRule>
  </conditionalFormatting>
  <conditionalFormatting sqref="H422">
    <cfRule type="expression" dxfId="21761" priority="4192">
      <formula>AND($A452&lt;&gt;"",MOD(ROW(),2))</formula>
    </cfRule>
  </conditionalFormatting>
  <conditionalFormatting sqref="H422">
    <cfRule type="expression" dxfId="21760" priority="4194">
      <formula>AND(#REF!&lt;&gt;"",MOD(ROW(),2))</formula>
    </cfRule>
  </conditionalFormatting>
  <conditionalFormatting sqref="H422">
    <cfRule type="expression" dxfId="21759" priority="4193">
      <formula>AND(#REF!&lt;&gt;"",MOD(ROW(),2))</formula>
    </cfRule>
  </conditionalFormatting>
  <conditionalFormatting sqref="H422">
    <cfRule type="expression" dxfId="21758" priority="4189">
      <formula>AND($A452&lt;&gt;"",MOD(ROW(),2))</formula>
    </cfRule>
  </conditionalFormatting>
  <conditionalFormatting sqref="H422">
    <cfRule type="expression" dxfId="21757" priority="4191">
      <formula>AND(#REF!&lt;&gt;"",MOD(ROW(),2))</formula>
    </cfRule>
  </conditionalFormatting>
  <conditionalFormatting sqref="H422">
    <cfRule type="expression" dxfId="21756" priority="4190">
      <formula>AND(#REF!&lt;&gt;"",MOD(ROW(),2))</formula>
    </cfRule>
  </conditionalFormatting>
  <conditionalFormatting sqref="H422">
    <cfRule type="expression" dxfId="21755" priority="4186">
      <formula>AND($A452&lt;&gt;"",MOD(ROW(),2))</formula>
    </cfRule>
  </conditionalFormatting>
  <conditionalFormatting sqref="H422">
    <cfRule type="expression" dxfId="21754" priority="4188">
      <formula>AND(#REF!&lt;&gt;"",MOD(ROW(),2))</formula>
    </cfRule>
  </conditionalFormatting>
  <conditionalFormatting sqref="H422">
    <cfRule type="expression" dxfId="21753" priority="4187">
      <formula>AND(#REF!&lt;&gt;"",MOD(ROW(),2))</formula>
    </cfRule>
  </conditionalFormatting>
  <conditionalFormatting sqref="H422">
    <cfRule type="expression" dxfId="21752" priority="4183">
      <formula>AND($A452&lt;&gt;"",MOD(ROW(),2))</formula>
    </cfRule>
  </conditionalFormatting>
  <conditionalFormatting sqref="H422">
    <cfRule type="expression" dxfId="21751" priority="4185">
      <formula>AND(#REF!&lt;&gt;"",MOD(ROW(),2))</formula>
    </cfRule>
  </conditionalFormatting>
  <conditionalFormatting sqref="H422">
    <cfRule type="expression" dxfId="21750" priority="4184">
      <formula>AND(#REF!&lt;&gt;"",MOD(ROW(),2))</formula>
    </cfRule>
  </conditionalFormatting>
  <conditionalFormatting sqref="H422">
    <cfRule type="expression" dxfId="21749" priority="4180">
      <formula>AND($A452&lt;&gt;"",MOD(ROW(),2))</formula>
    </cfRule>
  </conditionalFormatting>
  <conditionalFormatting sqref="H422">
    <cfRule type="expression" dxfId="21748" priority="4182">
      <formula>AND(#REF!&lt;&gt;"",MOD(ROW(),2))</formula>
    </cfRule>
  </conditionalFormatting>
  <conditionalFormatting sqref="H422">
    <cfRule type="expression" dxfId="21747" priority="4181">
      <formula>AND(#REF!&lt;&gt;"",MOD(ROW(),2))</formula>
    </cfRule>
  </conditionalFormatting>
  <conditionalFormatting sqref="H422">
    <cfRule type="expression" dxfId="21746" priority="4177">
      <formula>AND($A452&lt;&gt;"",MOD(ROW(),2))</formula>
    </cfRule>
  </conditionalFormatting>
  <conditionalFormatting sqref="H422">
    <cfRule type="expression" dxfId="21745" priority="4179">
      <formula>AND(#REF!&lt;&gt;"",MOD(ROW(),2))</formula>
    </cfRule>
  </conditionalFormatting>
  <conditionalFormatting sqref="H422">
    <cfRule type="expression" dxfId="21744" priority="4178">
      <formula>AND(#REF!&lt;&gt;"",MOD(ROW(),2))</formula>
    </cfRule>
  </conditionalFormatting>
  <conditionalFormatting sqref="H422">
    <cfRule type="expression" dxfId="21743" priority="4174">
      <formula>AND($A452&lt;&gt;"",MOD(ROW(),2))</formula>
    </cfRule>
  </conditionalFormatting>
  <conditionalFormatting sqref="H422">
    <cfRule type="expression" dxfId="21742" priority="4176">
      <formula>AND(#REF!&lt;&gt;"",MOD(ROW(),2))</formula>
    </cfRule>
  </conditionalFormatting>
  <conditionalFormatting sqref="H422">
    <cfRule type="expression" dxfId="21741" priority="4175">
      <formula>AND(#REF!&lt;&gt;"",MOD(ROW(),2))</formula>
    </cfRule>
  </conditionalFormatting>
  <conditionalFormatting sqref="H422">
    <cfRule type="expression" dxfId="21740" priority="4171">
      <formula>AND($A452&lt;&gt;"",MOD(ROW(),2))</formula>
    </cfRule>
  </conditionalFormatting>
  <conditionalFormatting sqref="H422">
    <cfRule type="expression" dxfId="21739" priority="4173">
      <formula>AND(#REF!&lt;&gt;"",MOD(ROW(),2))</formula>
    </cfRule>
  </conditionalFormatting>
  <conditionalFormatting sqref="H422">
    <cfRule type="expression" dxfId="21738" priority="4172">
      <formula>AND(#REF!&lt;&gt;"",MOD(ROW(),2))</formula>
    </cfRule>
  </conditionalFormatting>
  <conditionalFormatting sqref="H422">
    <cfRule type="expression" dxfId="21737" priority="4168">
      <formula>AND($A452&lt;&gt;"",MOD(ROW(),2))</formula>
    </cfRule>
  </conditionalFormatting>
  <conditionalFormatting sqref="H422">
    <cfRule type="expression" dxfId="21736" priority="4170">
      <formula>AND(#REF!&lt;&gt;"",MOD(ROW(),2))</formula>
    </cfRule>
  </conditionalFormatting>
  <conditionalFormatting sqref="H422">
    <cfRule type="expression" dxfId="21735" priority="4169">
      <formula>AND(#REF!&lt;&gt;"",MOD(ROW(),2))</formula>
    </cfRule>
  </conditionalFormatting>
  <conditionalFormatting sqref="H422">
    <cfRule type="expression" dxfId="21734" priority="4165">
      <formula>AND($A452&lt;&gt;"",MOD(ROW(),2))</formula>
    </cfRule>
  </conditionalFormatting>
  <conditionalFormatting sqref="H422">
    <cfRule type="expression" dxfId="21733" priority="4167">
      <formula>AND(#REF!&lt;&gt;"",MOD(ROW(),2))</formula>
    </cfRule>
  </conditionalFormatting>
  <conditionalFormatting sqref="H422">
    <cfRule type="expression" dxfId="21732" priority="4166">
      <formula>AND(#REF!&lt;&gt;"",MOD(ROW(),2))</formula>
    </cfRule>
  </conditionalFormatting>
  <conditionalFormatting sqref="H422">
    <cfRule type="expression" dxfId="21731" priority="4162">
      <formula>AND($A452&lt;&gt;"",MOD(ROW(),2))</formula>
    </cfRule>
  </conditionalFormatting>
  <conditionalFormatting sqref="H422">
    <cfRule type="expression" dxfId="21730" priority="4164">
      <formula>AND(#REF!&lt;&gt;"",MOD(ROW(),2))</formula>
    </cfRule>
  </conditionalFormatting>
  <conditionalFormatting sqref="H422">
    <cfRule type="expression" dxfId="21729" priority="4163">
      <formula>AND(#REF!&lt;&gt;"",MOD(ROW(),2))</formula>
    </cfRule>
  </conditionalFormatting>
  <conditionalFormatting sqref="H422">
    <cfRule type="expression" dxfId="21728" priority="4159">
      <formula>AND($A452&lt;&gt;"",MOD(ROW(),2))</formula>
    </cfRule>
  </conditionalFormatting>
  <conditionalFormatting sqref="H422">
    <cfRule type="expression" dxfId="21727" priority="4161">
      <formula>AND(#REF!&lt;&gt;"",MOD(ROW(),2))</formula>
    </cfRule>
  </conditionalFormatting>
  <conditionalFormatting sqref="H422">
    <cfRule type="expression" dxfId="21726" priority="4160">
      <formula>AND(#REF!&lt;&gt;"",MOD(ROW(),2))</formula>
    </cfRule>
  </conditionalFormatting>
  <conditionalFormatting sqref="H422">
    <cfRule type="expression" dxfId="21725" priority="4156">
      <formula>AND($A452&lt;&gt;"",MOD(ROW(),2))</formula>
    </cfRule>
  </conditionalFormatting>
  <conditionalFormatting sqref="H422">
    <cfRule type="expression" dxfId="21724" priority="4158">
      <formula>AND(#REF!&lt;&gt;"",MOD(ROW(),2))</formula>
    </cfRule>
  </conditionalFormatting>
  <conditionalFormatting sqref="H422">
    <cfRule type="expression" dxfId="21723" priority="4157">
      <formula>AND(#REF!&lt;&gt;"",MOD(ROW(),2))</formula>
    </cfRule>
  </conditionalFormatting>
  <conditionalFormatting sqref="H421">
    <cfRule type="expression" dxfId="21722" priority="4153">
      <formula>AND($A451&lt;&gt;"",MOD(ROW(),2))</formula>
    </cfRule>
  </conditionalFormatting>
  <conditionalFormatting sqref="H421">
    <cfRule type="expression" dxfId="21721" priority="4155">
      <formula>AND(#REF!&lt;&gt;"",MOD(ROW(),2))</formula>
    </cfRule>
  </conditionalFormatting>
  <conditionalFormatting sqref="H421">
    <cfRule type="expression" dxfId="21720" priority="4154">
      <formula>AND(#REF!&lt;&gt;"",MOD(ROW(),2))</formula>
    </cfRule>
  </conditionalFormatting>
  <conditionalFormatting sqref="H421">
    <cfRule type="expression" dxfId="21719" priority="4150">
      <formula>AND($A451&lt;&gt;"",MOD(ROW(),2))</formula>
    </cfRule>
  </conditionalFormatting>
  <conditionalFormatting sqref="H421">
    <cfRule type="expression" dxfId="21718" priority="4152">
      <formula>AND(#REF!&lt;&gt;"",MOD(ROW(),2))</formula>
    </cfRule>
  </conditionalFormatting>
  <conditionalFormatting sqref="H421">
    <cfRule type="expression" dxfId="21717" priority="4151">
      <formula>AND(#REF!&lt;&gt;"",MOD(ROW(),2))</formula>
    </cfRule>
  </conditionalFormatting>
  <conditionalFormatting sqref="H421">
    <cfRule type="expression" dxfId="21716" priority="4147">
      <formula>AND($A451&lt;&gt;"",MOD(ROW(),2))</formula>
    </cfRule>
  </conditionalFormatting>
  <conditionalFormatting sqref="H421">
    <cfRule type="expression" dxfId="21715" priority="4149">
      <formula>AND(#REF!&lt;&gt;"",MOD(ROW(),2))</formula>
    </cfRule>
  </conditionalFormatting>
  <conditionalFormatting sqref="H421">
    <cfRule type="expression" dxfId="21714" priority="4148">
      <formula>AND(#REF!&lt;&gt;"",MOD(ROW(),2))</formula>
    </cfRule>
  </conditionalFormatting>
  <conditionalFormatting sqref="H421">
    <cfRule type="expression" dxfId="21713" priority="4144">
      <formula>AND($A451&lt;&gt;"",MOD(ROW(),2))</formula>
    </cfRule>
  </conditionalFormatting>
  <conditionalFormatting sqref="H421">
    <cfRule type="expression" dxfId="21712" priority="4146">
      <formula>AND(#REF!&lt;&gt;"",MOD(ROW(),2))</formula>
    </cfRule>
  </conditionalFormatting>
  <conditionalFormatting sqref="H421">
    <cfRule type="expression" dxfId="21711" priority="4145">
      <formula>AND(#REF!&lt;&gt;"",MOD(ROW(),2))</formula>
    </cfRule>
  </conditionalFormatting>
  <conditionalFormatting sqref="H421">
    <cfRule type="expression" dxfId="21710" priority="4141">
      <formula>AND($A451&lt;&gt;"",MOD(ROW(),2))</formula>
    </cfRule>
  </conditionalFormatting>
  <conditionalFormatting sqref="H421">
    <cfRule type="expression" dxfId="21709" priority="4143">
      <formula>AND(#REF!&lt;&gt;"",MOD(ROW(),2))</formula>
    </cfRule>
  </conditionalFormatting>
  <conditionalFormatting sqref="H421">
    <cfRule type="expression" dxfId="21708" priority="4142">
      <formula>AND(#REF!&lt;&gt;"",MOD(ROW(),2))</formula>
    </cfRule>
  </conditionalFormatting>
  <conditionalFormatting sqref="H421">
    <cfRule type="expression" dxfId="21707" priority="4138">
      <formula>AND($A451&lt;&gt;"",MOD(ROW(),2))</formula>
    </cfRule>
  </conditionalFormatting>
  <conditionalFormatting sqref="H421">
    <cfRule type="expression" dxfId="21706" priority="4140">
      <formula>AND(#REF!&lt;&gt;"",MOD(ROW(),2))</formula>
    </cfRule>
  </conditionalFormatting>
  <conditionalFormatting sqref="H421">
    <cfRule type="expression" dxfId="21705" priority="4139">
      <formula>AND(#REF!&lt;&gt;"",MOD(ROW(),2))</formula>
    </cfRule>
  </conditionalFormatting>
  <conditionalFormatting sqref="H421">
    <cfRule type="expression" dxfId="21704" priority="4135">
      <formula>AND($A451&lt;&gt;"",MOD(ROW(),2))</formula>
    </cfRule>
  </conditionalFormatting>
  <conditionalFormatting sqref="H421">
    <cfRule type="expression" dxfId="21703" priority="4137">
      <formula>AND(#REF!&lt;&gt;"",MOD(ROW(),2))</formula>
    </cfRule>
  </conditionalFormatting>
  <conditionalFormatting sqref="H421">
    <cfRule type="expression" dxfId="21702" priority="4136">
      <formula>AND(#REF!&lt;&gt;"",MOD(ROW(),2))</formula>
    </cfRule>
  </conditionalFormatting>
  <conditionalFormatting sqref="H422">
    <cfRule type="expression" dxfId="21701" priority="4132">
      <formula>AND($A452&lt;&gt;"",MOD(ROW(),2))</formula>
    </cfRule>
  </conditionalFormatting>
  <conditionalFormatting sqref="H422">
    <cfRule type="expression" dxfId="21700" priority="4134">
      <formula>AND(#REF!&lt;&gt;"",MOD(ROW(),2))</formula>
    </cfRule>
  </conditionalFormatting>
  <conditionalFormatting sqref="H422">
    <cfRule type="expression" dxfId="21699" priority="4133">
      <formula>AND(#REF!&lt;&gt;"",MOD(ROW(),2))</formula>
    </cfRule>
  </conditionalFormatting>
  <conditionalFormatting sqref="H422">
    <cfRule type="expression" dxfId="21698" priority="4129">
      <formula>AND($A452&lt;&gt;"",MOD(ROW(),2))</formula>
    </cfRule>
  </conditionalFormatting>
  <conditionalFormatting sqref="H422">
    <cfRule type="expression" dxfId="21697" priority="4131">
      <formula>AND(#REF!&lt;&gt;"",MOD(ROW(),2))</formula>
    </cfRule>
  </conditionalFormatting>
  <conditionalFormatting sqref="H422">
    <cfRule type="expression" dxfId="21696" priority="4130">
      <formula>AND(#REF!&lt;&gt;"",MOD(ROW(),2))</formula>
    </cfRule>
  </conditionalFormatting>
  <conditionalFormatting sqref="H422">
    <cfRule type="expression" dxfId="21695" priority="4126">
      <formula>AND($A452&lt;&gt;"",MOD(ROW(),2))</formula>
    </cfRule>
  </conditionalFormatting>
  <conditionalFormatting sqref="H422">
    <cfRule type="expression" dxfId="21694" priority="4128">
      <formula>AND(#REF!&lt;&gt;"",MOD(ROW(),2))</formula>
    </cfRule>
  </conditionalFormatting>
  <conditionalFormatting sqref="H422">
    <cfRule type="expression" dxfId="21693" priority="4127">
      <formula>AND(#REF!&lt;&gt;"",MOD(ROW(),2))</formula>
    </cfRule>
  </conditionalFormatting>
  <conditionalFormatting sqref="H422">
    <cfRule type="expression" dxfId="21692" priority="4123">
      <formula>AND($A452&lt;&gt;"",MOD(ROW(),2))</formula>
    </cfRule>
  </conditionalFormatting>
  <conditionalFormatting sqref="H422">
    <cfRule type="expression" dxfId="21691" priority="4125">
      <formula>AND(#REF!&lt;&gt;"",MOD(ROW(),2))</formula>
    </cfRule>
  </conditionalFormatting>
  <conditionalFormatting sqref="H422">
    <cfRule type="expression" dxfId="21690" priority="4124">
      <formula>AND(#REF!&lt;&gt;"",MOD(ROW(),2))</formula>
    </cfRule>
  </conditionalFormatting>
  <conditionalFormatting sqref="H422">
    <cfRule type="expression" dxfId="21689" priority="4120">
      <formula>AND($A452&lt;&gt;"",MOD(ROW(),2))</formula>
    </cfRule>
  </conditionalFormatting>
  <conditionalFormatting sqref="H422">
    <cfRule type="expression" dxfId="21688" priority="4122">
      <formula>AND(#REF!&lt;&gt;"",MOD(ROW(),2))</formula>
    </cfRule>
  </conditionalFormatting>
  <conditionalFormatting sqref="H422">
    <cfRule type="expression" dxfId="21687" priority="4121">
      <formula>AND(#REF!&lt;&gt;"",MOD(ROW(),2))</formula>
    </cfRule>
  </conditionalFormatting>
  <conditionalFormatting sqref="H422">
    <cfRule type="expression" dxfId="21686" priority="4117">
      <formula>AND($A452&lt;&gt;"",MOD(ROW(),2))</formula>
    </cfRule>
  </conditionalFormatting>
  <conditionalFormatting sqref="H422">
    <cfRule type="expression" dxfId="21685" priority="4119">
      <formula>AND(#REF!&lt;&gt;"",MOD(ROW(),2))</formula>
    </cfRule>
  </conditionalFormatting>
  <conditionalFormatting sqref="H422">
    <cfRule type="expression" dxfId="21684" priority="4118">
      <formula>AND(#REF!&lt;&gt;"",MOD(ROW(),2))</formula>
    </cfRule>
  </conditionalFormatting>
  <conditionalFormatting sqref="H422">
    <cfRule type="expression" dxfId="21683" priority="4114">
      <formula>AND($A452&lt;&gt;"",MOD(ROW(),2))</formula>
    </cfRule>
  </conditionalFormatting>
  <conditionalFormatting sqref="H422">
    <cfRule type="expression" dxfId="21682" priority="4116">
      <formula>AND(#REF!&lt;&gt;"",MOD(ROW(),2))</formula>
    </cfRule>
  </conditionalFormatting>
  <conditionalFormatting sqref="H422">
    <cfRule type="expression" dxfId="21681" priority="4115">
      <formula>AND(#REF!&lt;&gt;"",MOD(ROW(),2))</formula>
    </cfRule>
  </conditionalFormatting>
  <conditionalFormatting sqref="H427">
    <cfRule type="expression" dxfId="21680" priority="4111">
      <formula>AND($A457&lt;&gt;"",MOD(ROW(),2))</formula>
    </cfRule>
  </conditionalFormatting>
  <conditionalFormatting sqref="H427">
    <cfRule type="expression" dxfId="21679" priority="4113">
      <formula>AND(#REF!&lt;&gt;"",MOD(ROW(),2))</formula>
    </cfRule>
  </conditionalFormatting>
  <conditionalFormatting sqref="H427">
    <cfRule type="expression" dxfId="21678" priority="4112">
      <formula>AND(#REF!&lt;&gt;"",MOD(ROW(),2))</formula>
    </cfRule>
  </conditionalFormatting>
  <conditionalFormatting sqref="H427">
    <cfRule type="expression" dxfId="21677" priority="4108">
      <formula>AND($A457&lt;&gt;"",MOD(ROW(),2))</formula>
    </cfRule>
  </conditionalFormatting>
  <conditionalFormatting sqref="H427">
    <cfRule type="expression" dxfId="21676" priority="4110">
      <formula>AND(#REF!&lt;&gt;"",MOD(ROW(),2))</formula>
    </cfRule>
  </conditionalFormatting>
  <conditionalFormatting sqref="H427">
    <cfRule type="expression" dxfId="21675" priority="4109">
      <formula>AND(#REF!&lt;&gt;"",MOD(ROW(),2))</formula>
    </cfRule>
  </conditionalFormatting>
  <conditionalFormatting sqref="H427">
    <cfRule type="expression" dxfId="21674" priority="4105">
      <formula>AND($A457&lt;&gt;"",MOD(ROW(),2))</formula>
    </cfRule>
  </conditionalFormatting>
  <conditionalFormatting sqref="H427">
    <cfRule type="expression" dxfId="21673" priority="4107">
      <formula>AND(#REF!&lt;&gt;"",MOD(ROW(),2))</formula>
    </cfRule>
  </conditionalFormatting>
  <conditionalFormatting sqref="H427">
    <cfRule type="expression" dxfId="21672" priority="4106">
      <formula>AND(#REF!&lt;&gt;"",MOD(ROW(),2))</formula>
    </cfRule>
  </conditionalFormatting>
  <conditionalFormatting sqref="H427">
    <cfRule type="expression" dxfId="21671" priority="4102">
      <formula>AND($A457&lt;&gt;"",MOD(ROW(),2))</formula>
    </cfRule>
  </conditionalFormatting>
  <conditionalFormatting sqref="H427">
    <cfRule type="expression" dxfId="21670" priority="4104">
      <formula>AND(#REF!&lt;&gt;"",MOD(ROW(),2))</formula>
    </cfRule>
  </conditionalFormatting>
  <conditionalFormatting sqref="H427">
    <cfRule type="expression" dxfId="21669" priority="4103">
      <formula>AND(#REF!&lt;&gt;"",MOD(ROW(),2))</formula>
    </cfRule>
  </conditionalFormatting>
  <conditionalFormatting sqref="H427">
    <cfRule type="expression" dxfId="21668" priority="4099">
      <formula>AND($A457&lt;&gt;"",MOD(ROW(),2))</formula>
    </cfRule>
  </conditionalFormatting>
  <conditionalFormatting sqref="H427">
    <cfRule type="expression" dxfId="21667" priority="4101">
      <formula>AND(#REF!&lt;&gt;"",MOD(ROW(),2))</formula>
    </cfRule>
  </conditionalFormatting>
  <conditionalFormatting sqref="H427">
    <cfRule type="expression" dxfId="21666" priority="4100">
      <formula>AND(#REF!&lt;&gt;"",MOD(ROW(),2))</formula>
    </cfRule>
  </conditionalFormatting>
  <conditionalFormatting sqref="H427">
    <cfRule type="expression" dxfId="21665" priority="4096">
      <formula>AND($A457&lt;&gt;"",MOD(ROW(),2))</formula>
    </cfRule>
  </conditionalFormatting>
  <conditionalFormatting sqref="H427">
    <cfRule type="expression" dxfId="21664" priority="4098">
      <formula>AND(#REF!&lt;&gt;"",MOD(ROW(),2))</formula>
    </cfRule>
  </conditionalFormatting>
  <conditionalFormatting sqref="H427">
    <cfRule type="expression" dxfId="21663" priority="4097">
      <formula>AND(#REF!&lt;&gt;"",MOD(ROW(),2))</formula>
    </cfRule>
  </conditionalFormatting>
  <conditionalFormatting sqref="H427">
    <cfRule type="expression" dxfId="21662" priority="4093">
      <formula>AND($A457&lt;&gt;"",MOD(ROW(),2))</formula>
    </cfRule>
  </conditionalFormatting>
  <conditionalFormatting sqref="H427">
    <cfRule type="expression" dxfId="21661" priority="4095">
      <formula>AND(#REF!&lt;&gt;"",MOD(ROW(),2))</formula>
    </cfRule>
  </conditionalFormatting>
  <conditionalFormatting sqref="H427">
    <cfRule type="expression" dxfId="21660" priority="4094">
      <formula>AND(#REF!&lt;&gt;"",MOD(ROW(),2))</formula>
    </cfRule>
  </conditionalFormatting>
  <conditionalFormatting sqref="H421">
    <cfRule type="expression" dxfId="21659" priority="4090">
      <formula>AND($A451&lt;&gt;"",MOD(ROW(),2))</formula>
    </cfRule>
  </conditionalFormatting>
  <conditionalFormatting sqref="H421">
    <cfRule type="expression" dxfId="21658" priority="4092">
      <formula>AND(#REF!&lt;&gt;"",MOD(ROW(),2))</formula>
    </cfRule>
  </conditionalFormatting>
  <conditionalFormatting sqref="H421">
    <cfRule type="expression" dxfId="21657" priority="4091">
      <formula>AND(#REF!&lt;&gt;"",MOD(ROW(),2))</formula>
    </cfRule>
  </conditionalFormatting>
  <conditionalFormatting sqref="H421">
    <cfRule type="expression" dxfId="21656" priority="4087">
      <formula>AND($A451&lt;&gt;"",MOD(ROW(),2))</formula>
    </cfRule>
  </conditionalFormatting>
  <conditionalFormatting sqref="H421">
    <cfRule type="expression" dxfId="21655" priority="4089">
      <formula>AND(#REF!&lt;&gt;"",MOD(ROW(),2))</formula>
    </cfRule>
  </conditionalFormatting>
  <conditionalFormatting sqref="H421">
    <cfRule type="expression" dxfId="21654" priority="4088">
      <formula>AND(#REF!&lt;&gt;"",MOD(ROW(),2))</formula>
    </cfRule>
  </conditionalFormatting>
  <conditionalFormatting sqref="H421">
    <cfRule type="expression" dxfId="21653" priority="4084">
      <formula>AND($A451&lt;&gt;"",MOD(ROW(),2))</formula>
    </cfRule>
  </conditionalFormatting>
  <conditionalFormatting sqref="H421">
    <cfRule type="expression" dxfId="21652" priority="4086">
      <formula>AND(#REF!&lt;&gt;"",MOD(ROW(),2))</formula>
    </cfRule>
  </conditionalFormatting>
  <conditionalFormatting sqref="H421">
    <cfRule type="expression" dxfId="21651" priority="4085">
      <formula>AND(#REF!&lt;&gt;"",MOD(ROW(),2))</formula>
    </cfRule>
  </conditionalFormatting>
  <conditionalFormatting sqref="H421">
    <cfRule type="expression" dxfId="21650" priority="4081">
      <formula>AND($A451&lt;&gt;"",MOD(ROW(),2))</formula>
    </cfRule>
  </conditionalFormatting>
  <conditionalFormatting sqref="H421">
    <cfRule type="expression" dxfId="21649" priority="4083">
      <formula>AND(#REF!&lt;&gt;"",MOD(ROW(),2))</formula>
    </cfRule>
  </conditionalFormatting>
  <conditionalFormatting sqref="H421">
    <cfRule type="expression" dxfId="21648" priority="4082">
      <formula>AND(#REF!&lt;&gt;"",MOD(ROW(),2))</formula>
    </cfRule>
  </conditionalFormatting>
  <conditionalFormatting sqref="H421">
    <cfRule type="expression" dxfId="21647" priority="4078">
      <formula>AND($A451&lt;&gt;"",MOD(ROW(),2))</formula>
    </cfRule>
  </conditionalFormatting>
  <conditionalFormatting sqref="H421">
    <cfRule type="expression" dxfId="21646" priority="4080">
      <formula>AND(#REF!&lt;&gt;"",MOD(ROW(),2))</formula>
    </cfRule>
  </conditionalFormatting>
  <conditionalFormatting sqref="H421">
    <cfRule type="expression" dxfId="21645" priority="4079">
      <formula>AND(#REF!&lt;&gt;"",MOD(ROW(),2))</formula>
    </cfRule>
  </conditionalFormatting>
  <conditionalFormatting sqref="H421">
    <cfRule type="expression" dxfId="21644" priority="4075">
      <formula>AND($A451&lt;&gt;"",MOD(ROW(),2))</formula>
    </cfRule>
  </conditionalFormatting>
  <conditionalFormatting sqref="H421">
    <cfRule type="expression" dxfId="21643" priority="4077">
      <formula>AND(#REF!&lt;&gt;"",MOD(ROW(),2))</formula>
    </cfRule>
  </conditionalFormatting>
  <conditionalFormatting sqref="H421">
    <cfRule type="expression" dxfId="21642" priority="4076">
      <formula>AND(#REF!&lt;&gt;"",MOD(ROW(),2))</formula>
    </cfRule>
  </conditionalFormatting>
  <conditionalFormatting sqref="H421">
    <cfRule type="expression" dxfId="21641" priority="4072">
      <formula>AND($A451&lt;&gt;"",MOD(ROW(),2))</formula>
    </cfRule>
  </conditionalFormatting>
  <conditionalFormatting sqref="H421">
    <cfRule type="expression" dxfId="21640" priority="4074">
      <formula>AND(#REF!&lt;&gt;"",MOD(ROW(),2))</formula>
    </cfRule>
  </conditionalFormatting>
  <conditionalFormatting sqref="H421">
    <cfRule type="expression" dxfId="21639" priority="4073">
      <formula>AND(#REF!&lt;&gt;"",MOD(ROW(),2))</formula>
    </cfRule>
  </conditionalFormatting>
  <conditionalFormatting sqref="H422">
    <cfRule type="expression" dxfId="21638" priority="4069">
      <formula>AND($A452&lt;&gt;"",MOD(ROW(),2))</formula>
    </cfRule>
  </conditionalFormatting>
  <conditionalFormatting sqref="H422">
    <cfRule type="expression" dxfId="21637" priority="4071">
      <formula>AND(#REF!&lt;&gt;"",MOD(ROW(),2))</formula>
    </cfRule>
  </conditionalFormatting>
  <conditionalFormatting sqref="H422">
    <cfRule type="expression" dxfId="21636" priority="4070">
      <formula>AND(#REF!&lt;&gt;"",MOD(ROW(),2))</formula>
    </cfRule>
  </conditionalFormatting>
  <conditionalFormatting sqref="H422">
    <cfRule type="expression" dxfId="21635" priority="4066">
      <formula>AND($A452&lt;&gt;"",MOD(ROW(),2))</formula>
    </cfRule>
  </conditionalFormatting>
  <conditionalFormatting sqref="H422">
    <cfRule type="expression" dxfId="21634" priority="4068">
      <formula>AND(#REF!&lt;&gt;"",MOD(ROW(),2))</formula>
    </cfRule>
  </conditionalFormatting>
  <conditionalFormatting sqref="H422">
    <cfRule type="expression" dxfId="21633" priority="4067">
      <formula>AND(#REF!&lt;&gt;"",MOD(ROW(),2))</formula>
    </cfRule>
  </conditionalFormatting>
  <conditionalFormatting sqref="H422">
    <cfRule type="expression" dxfId="21632" priority="4063">
      <formula>AND($A452&lt;&gt;"",MOD(ROW(),2))</formula>
    </cfRule>
  </conditionalFormatting>
  <conditionalFormatting sqref="H422">
    <cfRule type="expression" dxfId="21631" priority="4065">
      <formula>AND(#REF!&lt;&gt;"",MOD(ROW(),2))</formula>
    </cfRule>
  </conditionalFormatting>
  <conditionalFormatting sqref="H422">
    <cfRule type="expression" dxfId="21630" priority="4064">
      <formula>AND(#REF!&lt;&gt;"",MOD(ROW(),2))</formula>
    </cfRule>
  </conditionalFormatting>
  <conditionalFormatting sqref="H422">
    <cfRule type="expression" dxfId="21629" priority="4060">
      <formula>AND($A452&lt;&gt;"",MOD(ROW(),2))</formula>
    </cfRule>
  </conditionalFormatting>
  <conditionalFormatting sqref="H422">
    <cfRule type="expression" dxfId="21628" priority="4062">
      <formula>AND(#REF!&lt;&gt;"",MOD(ROW(),2))</formula>
    </cfRule>
  </conditionalFormatting>
  <conditionalFormatting sqref="H422">
    <cfRule type="expression" dxfId="21627" priority="4061">
      <formula>AND(#REF!&lt;&gt;"",MOD(ROW(),2))</formula>
    </cfRule>
  </conditionalFormatting>
  <conditionalFormatting sqref="H422">
    <cfRule type="expression" dxfId="21626" priority="4057">
      <formula>AND($A452&lt;&gt;"",MOD(ROW(),2))</formula>
    </cfRule>
  </conditionalFormatting>
  <conditionalFormatting sqref="H422">
    <cfRule type="expression" dxfId="21625" priority="4059">
      <formula>AND(#REF!&lt;&gt;"",MOD(ROW(),2))</formula>
    </cfRule>
  </conditionalFormatting>
  <conditionalFormatting sqref="H422">
    <cfRule type="expression" dxfId="21624" priority="4058">
      <formula>AND(#REF!&lt;&gt;"",MOD(ROW(),2))</formula>
    </cfRule>
  </conditionalFormatting>
  <conditionalFormatting sqref="H422">
    <cfRule type="expression" dxfId="21623" priority="4054">
      <formula>AND($A452&lt;&gt;"",MOD(ROW(),2))</formula>
    </cfRule>
  </conditionalFormatting>
  <conditionalFormatting sqref="H422">
    <cfRule type="expression" dxfId="21622" priority="4056">
      <formula>AND(#REF!&lt;&gt;"",MOD(ROW(),2))</formula>
    </cfRule>
  </conditionalFormatting>
  <conditionalFormatting sqref="H422">
    <cfRule type="expression" dxfId="21621" priority="4055">
      <formula>AND(#REF!&lt;&gt;"",MOD(ROW(),2))</formula>
    </cfRule>
  </conditionalFormatting>
  <conditionalFormatting sqref="H422">
    <cfRule type="expression" dxfId="21620" priority="4051">
      <formula>AND($A452&lt;&gt;"",MOD(ROW(),2))</formula>
    </cfRule>
  </conditionalFormatting>
  <conditionalFormatting sqref="H422">
    <cfRule type="expression" dxfId="21619" priority="4053">
      <formula>AND(#REF!&lt;&gt;"",MOD(ROW(),2))</formula>
    </cfRule>
  </conditionalFormatting>
  <conditionalFormatting sqref="H422">
    <cfRule type="expression" dxfId="21618" priority="4052">
      <formula>AND(#REF!&lt;&gt;"",MOD(ROW(),2))</formula>
    </cfRule>
  </conditionalFormatting>
  <conditionalFormatting sqref="H420">
    <cfRule type="expression" dxfId="21617" priority="4048">
      <formula>AND($A450&lt;&gt;"",MOD(ROW(),2))</formula>
    </cfRule>
  </conditionalFormatting>
  <conditionalFormatting sqref="H420">
    <cfRule type="expression" dxfId="21616" priority="4050">
      <formula>AND(#REF!&lt;&gt;"",MOD(ROW(),2))</formula>
    </cfRule>
  </conditionalFormatting>
  <conditionalFormatting sqref="H420">
    <cfRule type="expression" dxfId="21615" priority="4049">
      <formula>AND(#REF!&lt;&gt;"",MOD(ROW(),2))</formula>
    </cfRule>
  </conditionalFormatting>
  <conditionalFormatting sqref="H420">
    <cfRule type="expression" dxfId="21614" priority="4045">
      <formula>AND($A450&lt;&gt;"",MOD(ROW(),2))</formula>
    </cfRule>
  </conditionalFormatting>
  <conditionalFormatting sqref="H420">
    <cfRule type="expression" dxfId="21613" priority="4047">
      <formula>AND(#REF!&lt;&gt;"",MOD(ROW(),2))</formula>
    </cfRule>
  </conditionalFormatting>
  <conditionalFormatting sqref="H420">
    <cfRule type="expression" dxfId="21612" priority="4046">
      <formula>AND(#REF!&lt;&gt;"",MOD(ROW(),2))</formula>
    </cfRule>
  </conditionalFormatting>
  <conditionalFormatting sqref="H420">
    <cfRule type="expression" dxfId="21611" priority="4042">
      <formula>AND($A450&lt;&gt;"",MOD(ROW(),2))</formula>
    </cfRule>
  </conditionalFormatting>
  <conditionalFormatting sqref="H420">
    <cfRule type="expression" dxfId="21610" priority="4044">
      <formula>AND(#REF!&lt;&gt;"",MOD(ROW(),2))</formula>
    </cfRule>
  </conditionalFormatting>
  <conditionalFormatting sqref="H420">
    <cfRule type="expression" dxfId="21609" priority="4043">
      <formula>AND(#REF!&lt;&gt;"",MOD(ROW(),2))</formula>
    </cfRule>
  </conditionalFormatting>
  <conditionalFormatting sqref="H420">
    <cfRule type="expression" dxfId="21608" priority="4039">
      <formula>AND($A450&lt;&gt;"",MOD(ROW(),2))</formula>
    </cfRule>
  </conditionalFormatting>
  <conditionalFormatting sqref="H420">
    <cfRule type="expression" dxfId="21607" priority="4041">
      <formula>AND(#REF!&lt;&gt;"",MOD(ROW(),2))</formula>
    </cfRule>
  </conditionalFormatting>
  <conditionalFormatting sqref="H420">
    <cfRule type="expression" dxfId="21606" priority="4040">
      <formula>AND(#REF!&lt;&gt;"",MOD(ROW(),2))</formula>
    </cfRule>
  </conditionalFormatting>
  <conditionalFormatting sqref="H420">
    <cfRule type="expression" dxfId="21605" priority="4036">
      <formula>AND($A450&lt;&gt;"",MOD(ROW(),2))</formula>
    </cfRule>
  </conditionalFormatting>
  <conditionalFormatting sqref="H420">
    <cfRule type="expression" dxfId="21604" priority="4038">
      <formula>AND(#REF!&lt;&gt;"",MOD(ROW(),2))</formula>
    </cfRule>
  </conditionalFormatting>
  <conditionalFormatting sqref="H420">
    <cfRule type="expression" dxfId="21603" priority="4037">
      <formula>AND(#REF!&lt;&gt;"",MOD(ROW(),2))</formula>
    </cfRule>
  </conditionalFormatting>
  <conditionalFormatting sqref="H420">
    <cfRule type="expression" dxfId="21602" priority="4033">
      <formula>AND($A450&lt;&gt;"",MOD(ROW(),2))</formula>
    </cfRule>
  </conditionalFormatting>
  <conditionalFormatting sqref="H420">
    <cfRule type="expression" dxfId="21601" priority="4035">
      <formula>AND(#REF!&lt;&gt;"",MOD(ROW(),2))</formula>
    </cfRule>
  </conditionalFormatting>
  <conditionalFormatting sqref="H420">
    <cfRule type="expression" dxfId="21600" priority="4034">
      <formula>AND(#REF!&lt;&gt;"",MOD(ROW(),2))</formula>
    </cfRule>
  </conditionalFormatting>
  <conditionalFormatting sqref="H420">
    <cfRule type="expression" dxfId="21599" priority="4030">
      <formula>AND($A450&lt;&gt;"",MOD(ROW(),2))</formula>
    </cfRule>
  </conditionalFormatting>
  <conditionalFormatting sqref="H420">
    <cfRule type="expression" dxfId="21598" priority="4032">
      <formula>AND(#REF!&lt;&gt;"",MOD(ROW(),2))</formula>
    </cfRule>
  </conditionalFormatting>
  <conditionalFormatting sqref="H420">
    <cfRule type="expression" dxfId="21597" priority="4031">
      <formula>AND(#REF!&lt;&gt;"",MOD(ROW(),2))</formula>
    </cfRule>
  </conditionalFormatting>
  <conditionalFormatting sqref="H421">
    <cfRule type="expression" dxfId="21596" priority="4027">
      <formula>AND($A451&lt;&gt;"",MOD(ROW(),2))</formula>
    </cfRule>
  </conditionalFormatting>
  <conditionalFormatting sqref="H421">
    <cfRule type="expression" dxfId="21595" priority="4029">
      <formula>AND(#REF!&lt;&gt;"",MOD(ROW(),2))</formula>
    </cfRule>
  </conditionalFormatting>
  <conditionalFormatting sqref="H421">
    <cfRule type="expression" dxfId="21594" priority="4028">
      <formula>AND(#REF!&lt;&gt;"",MOD(ROW(),2))</formula>
    </cfRule>
  </conditionalFormatting>
  <conditionalFormatting sqref="H421">
    <cfRule type="expression" dxfId="21593" priority="4024">
      <formula>AND($A451&lt;&gt;"",MOD(ROW(),2))</formula>
    </cfRule>
  </conditionalFormatting>
  <conditionalFormatting sqref="H421">
    <cfRule type="expression" dxfId="21592" priority="4026">
      <formula>AND(#REF!&lt;&gt;"",MOD(ROW(),2))</formula>
    </cfRule>
  </conditionalFormatting>
  <conditionalFormatting sqref="H421">
    <cfRule type="expression" dxfId="21591" priority="4025">
      <formula>AND(#REF!&lt;&gt;"",MOD(ROW(),2))</formula>
    </cfRule>
  </conditionalFormatting>
  <conditionalFormatting sqref="H421">
    <cfRule type="expression" dxfId="21590" priority="4021">
      <formula>AND($A451&lt;&gt;"",MOD(ROW(),2))</formula>
    </cfRule>
  </conditionalFormatting>
  <conditionalFormatting sqref="H421">
    <cfRule type="expression" dxfId="21589" priority="4023">
      <formula>AND(#REF!&lt;&gt;"",MOD(ROW(),2))</formula>
    </cfRule>
  </conditionalFormatting>
  <conditionalFormatting sqref="H421">
    <cfRule type="expression" dxfId="21588" priority="4022">
      <formula>AND(#REF!&lt;&gt;"",MOD(ROW(),2))</formula>
    </cfRule>
  </conditionalFormatting>
  <conditionalFormatting sqref="H421">
    <cfRule type="expression" dxfId="21587" priority="4018">
      <formula>AND($A451&lt;&gt;"",MOD(ROW(),2))</formula>
    </cfRule>
  </conditionalFormatting>
  <conditionalFormatting sqref="H421">
    <cfRule type="expression" dxfId="21586" priority="4020">
      <formula>AND(#REF!&lt;&gt;"",MOD(ROW(),2))</formula>
    </cfRule>
  </conditionalFormatting>
  <conditionalFormatting sqref="H421">
    <cfRule type="expression" dxfId="21585" priority="4019">
      <formula>AND(#REF!&lt;&gt;"",MOD(ROW(),2))</formula>
    </cfRule>
  </conditionalFormatting>
  <conditionalFormatting sqref="H421">
    <cfRule type="expression" dxfId="21584" priority="4015">
      <formula>AND($A451&lt;&gt;"",MOD(ROW(),2))</formula>
    </cfRule>
  </conditionalFormatting>
  <conditionalFormatting sqref="H421">
    <cfRule type="expression" dxfId="21583" priority="4017">
      <formula>AND(#REF!&lt;&gt;"",MOD(ROW(),2))</formula>
    </cfRule>
  </conditionalFormatting>
  <conditionalFormatting sqref="H421">
    <cfRule type="expression" dxfId="21582" priority="4016">
      <formula>AND(#REF!&lt;&gt;"",MOD(ROW(),2))</formula>
    </cfRule>
  </conditionalFormatting>
  <conditionalFormatting sqref="H421">
    <cfRule type="expression" dxfId="21581" priority="4012">
      <formula>AND($A451&lt;&gt;"",MOD(ROW(),2))</formula>
    </cfRule>
  </conditionalFormatting>
  <conditionalFormatting sqref="H421">
    <cfRule type="expression" dxfId="21580" priority="4014">
      <formula>AND(#REF!&lt;&gt;"",MOD(ROW(),2))</formula>
    </cfRule>
  </conditionalFormatting>
  <conditionalFormatting sqref="H421">
    <cfRule type="expression" dxfId="21579" priority="4013">
      <formula>AND(#REF!&lt;&gt;"",MOD(ROW(),2))</formula>
    </cfRule>
  </conditionalFormatting>
  <conditionalFormatting sqref="H421">
    <cfRule type="expression" dxfId="21578" priority="4009">
      <formula>AND($A451&lt;&gt;"",MOD(ROW(),2))</formula>
    </cfRule>
  </conditionalFormatting>
  <conditionalFormatting sqref="H421">
    <cfRule type="expression" dxfId="21577" priority="4011">
      <formula>AND(#REF!&lt;&gt;"",MOD(ROW(),2))</formula>
    </cfRule>
  </conditionalFormatting>
  <conditionalFormatting sqref="H421">
    <cfRule type="expression" dxfId="21576" priority="4010">
      <formula>AND(#REF!&lt;&gt;"",MOD(ROW(),2))</formula>
    </cfRule>
  </conditionalFormatting>
  <conditionalFormatting sqref="H420">
    <cfRule type="expression" dxfId="21575" priority="4006">
      <formula>AND($A450&lt;&gt;"",MOD(ROW(),2))</formula>
    </cfRule>
  </conditionalFormatting>
  <conditionalFormatting sqref="H420">
    <cfRule type="expression" dxfId="21574" priority="4008">
      <formula>AND(#REF!&lt;&gt;"",MOD(ROW(),2))</formula>
    </cfRule>
  </conditionalFormatting>
  <conditionalFormatting sqref="H420">
    <cfRule type="expression" dxfId="21573" priority="4007">
      <formula>AND(#REF!&lt;&gt;"",MOD(ROW(),2))</formula>
    </cfRule>
  </conditionalFormatting>
  <conditionalFormatting sqref="H420">
    <cfRule type="expression" dxfId="21572" priority="4003">
      <formula>AND($A450&lt;&gt;"",MOD(ROW(),2))</formula>
    </cfRule>
  </conditionalFormatting>
  <conditionalFormatting sqref="H420">
    <cfRule type="expression" dxfId="21571" priority="4005">
      <formula>AND(#REF!&lt;&gt;"",MOD(ROW(),2))</formula>
    </cfRule>
  </conditionalFormatting>
  <conditionalFormatting sqref="H420">
    <cfRule type="expression" dxfId="21570" priority="4004">
      <formula>AND(#REF!&lt;&gt;"",MOD(ROW(),2))</formula>
    </cfRule>
  </conditionalFormatting>
  <conditionalFormatting sqref="H420">
    <cfRule type="expression" dxfId="21569" priority="4000">
      <formula>AND($A450&lt;&gt;"",MOD(ROW(),2))</formula>
    </cfRule>
  </conditionalFormatting>
  <conditionalFormatting sqref="H420">
    <cfRule type="expression" dxfId="21568" priority="4002">
      <formula>AND(#REF!&lt;&gt;"",MOD(ROW(),2))</formula>
    </cfRule>
  </conditionalFormatting>
  <conditionalFormatting sqref="H420">
    <cfRule type="expression" dxfId="21567" priority="4001">
      <formula>AND(#REF!&lt;&gt;"",MOD(ROW(),2))</formula>
    </cfRule>
  </conditionalFormatting>
  <conditionalFormatting sqref="H420">
    <cfRule type="expression" dxfId="21566" priority="3997">
      <formula>AND($A450&lt;&gt;"",MOD(ROW(),2))</formula>
    </cfRule>
  </conditionalFormatting>
  <conditionalFormatting sqref="H420">
    <cfRule type="expression" dxfId="21565" priority="3999">
      <formula>AND(#REF!&lt;&gt;"",MOD(ROW(),2))</formula>
    </cfRule>
  </conditionalFormatting>
  <conditionalFormatting sqref="H420">
    <cfRule type="expression" dxfId="21564" priority="3998">
      <formula>AND(#REF!&lt;&gt;"",MOD(ROW(),2))</formula>
    </cfRule>
  </conditionalFormatting>
  <conditionalFormatting sqref="H420">
    <cfRule type="expression" dxfId="21563" priority="3994">
      <formula>AND($A450&lt;&gt;"",MOD(ROW(),2))</formula>
    </cfRule>
  </conditionalFormatting>
  <conditionalFormatting sqref="H420">
    <cfRule type="expression" dxfId="21562" priority="3996">
      <formula>AND(#REF!&lt;&gt;"",MOD(ROW(),2))</formula>
    </cfRule>
  </conditionalFormatting>
  <conditionalFormatting sqref="H420">
    <cfRule type="expression" dxfId="21561" priority="3995">
      <formula>AND(#REF!&lt;&gt;"",MOD(ROW(),2))</formula>
    </cfRule>
  </conditionalFormatting>
  <conditionalFormatting sqref="H420">
    <cfRule type="expression" dxfId="21560" priority="3991">
      <formula>AND($A450&lt;&gt;"",MOD(ROW(),2))</formula>
    </cfRule>
  </conditionalFormatting>
  <conditionalFormatting sqref="H420">
    <cfRule type="expression" dxfId="21559" priority="3993">
      <formula>AND(#REF!&lt;&gt;"",MOD(ROW(),2))</formula>
    </cfRule>
  </conditionalFormatting>
  <conditionalFormatting sqref="H420">
    <cfRule type="expression" dxfId="21558" priority="3992">
      <formula>AND(#REF!&lt;&gt;"",MOD(ROW(),2))</formula>
    </cfRule>
  </conditionalFormatting>
  <conditionalFormatting sqref="H420">
    <cfRule type="expression" dxfId="21557" priority="3988">
      <formula>AND($A450&lt;&gt;"",MOD(ROW(),2))</formula>
    </cfRule>
  </conditionalFormatting>
  <conditionalFormatting sqref="H420">
    <cfRule type="expression" dxfId="21556" priority="3990">
      <formula>AND(#REF!&lt;&gt;"",MOD(ROW(),2))</formula>
    </cfRule>
  </conditionalFormatting>
  <conditionalFormatting sqref="H420">
    <cfRule type="expression" dxfId="21555" priority="3989">
      <formula>AND(#REF!&lt;&gt;"",MOD(ROW(),2))</formula>
    </cfRule>
  </conditionalFormatting>
  <conditionalFormatting sqref="H419">
    <cfRule type="expression" dxfId="21554" priority="3985">
      <formula>AND($A449&lt;&gt;"",MOD(ROW(),2))</formula>
    </cfRule>
  </conditionalFormatting>
  <conditionalFormatting sqref="H419">
    <cfRule type="expression" dxfId="21553" priority="3987">
      <formula>AND(#REF!&lt;&gt;"",MOD(ROW(),2))</formula>
    </cfRule>
  </conditionalFormatting>
  <conditionalFormatting sqref="H419">
    <cfRule type="expression" dxfId="21552" priority="3986">
      <formula>AND(#REF!&lt;&gt;"",MOD(ROW(),2))</formula>
    </cfRule>
  </conditionalFormatting>
  <conditionalFormatting sqref="H419">
    <cfRule type="expression" dxfId="21551" priority="3982">
      <formula>AND($A449&lt;&gt;"",MOD(ROW(),2))</formula>
    </cfRule>
  </conditionalFormatting>
  <conditionalFormatting sqref="H419">
    <cfRule type="expression" dxfId="21550" priority="3984">
      <formula>AND(#REF!&lt;&gt;"",MOD(ROW(),2))</formula>
    </cfRule>
  </conditionalFormatting>
  <conditionalFormatting sqref="H419">
    <cfRule type="expression" dxfId="21549" priority="3983">
      <formula>AND(#REF!&lt;&gt;"",MOD(ROW(),2))</formula>
    </cfRule>
  </conditionalFormatting>
  <conditionalFormatting sqref="H419">
    <cfRule type="expression" dxfId="21548" priority="3979">
      <formula>AND($A449&lt;&gt;"",MOD(ROW(),2))</formula>
    </cfRule>
  </conditionalFormatting>
  <conditionalFormatting sqref="H419">
    <cfRule type="expression" dxfId="21547" priority="3981">
      <formula>AND(#REF!&lt;&gt;"",MOD(ROW(),2))</formula>
    </cfRule>
  </conditionalFormatting>
  <conditionalFormatting sqref="H419">
    <cfRule type="expression" dxfId="21546" priority="3980">
      <formula>AND(#REF!&lt;&gt;"",MOD(ROW(),2))</formula>
    </cfRule>
  </conditionalFormatting>
  <conditionalFormatting sqref="H419">
    <cfRule type="expression" dxfId="21545" priority="3976">
      <formula>AND($A449&lt;&gt;"",MOD(ROW(),2))</formula>
    </cfRule>
  </conditionalFormatting>
  <conditionalFormatting sqref="H419">
    <cfRule type="expression" dxfId="21544" priority="3978">
      <formula>AND(#REF!&lt;&gt;"",MOD(ROW(),2))</formula>
    </cfRule>
  </conditionalFormatting>
  <conditionalFormatting sqref="H419">
    <cfRule type="expression" dxfId="21543" priority="3977">
      <formula>AND(#REF!&lt;&gt;"",MOD(ROW(),2))</formula>
    </cfRule>
  </conditionalFormatting>
  <conditionalFormatting sqref="H419">
    <cfRule type="expression" dxfId="21542" priority="3973">
      <formula>AND($A449&lt;&gt;"",MOD(ROW(),2))</formula>
    </cfRule>
  </conditionalFormatting>
  <conditionalFormatting sqref="H419">
    <cfRule type="expression" dxfId="21541" priority="3975">
      <formula>AND(#REF!&lt;&gt;"",MOD(ROW(),2))</formula>
    </cfRule>
  </conditionalFormatting>
  <conditionalFormatting sqref="H419">
    <cfRule type="expression" dxfId="21540" priority="3974">
      <formula>AND(#REF!&lt;&gt;"",MOD(ROW(),2))</formula>
    </cfRule>
  </conditionalFormatting>
  <conditionalFormatting sqref="H419">
    <cfRule type="expression" dxfId="21539" priority="3970">
      <formula>AND($A449&lt;&gt;"",MOD(ROW(),2))</formula>
    </cfRule>
  </conditionalFormatting>
  <conditionalFormatting sqref="H419">
    <cfRule type="expression" dxfId="21538" priority="3972">
      <formula>AND(#REF!&lt;&gt;"",MOD(ROW(),2))</formula>
    </cfRule>
  </conditionalFormatting>
  <conditionalFormatting sqref="H419">
    <cfRule type="expression" dxfId="21537" priority="3971">
      <formula>AND(#REF!&lt;&gt;"",MOD(ROW(),2))</formula>
    </cfRule>
  </conditionalFormatting>
  <conditionalFormatting sqref="H419">
    <cfRule type="expression" dxfId="21536" priority="3967">
      <formula>AND($A449&lt;&gt;"",MOD(ROW(),2))</formula>
    </cfRule>
  </conditionalFormatting>
  <conditionalFormatting sqref="H419">
    <cfRule type="expression" dxfId="21535" priority="3969">
      <formula>AND(#REF!&lt;&gt;"",MOD(ROW(),2))</formula>
    </cfRule>
  </conditionalFormatting>
  <conditionalFormatting sqref="H419">
    <cfRule type="expression" dxfId="21534" priority="3968">
      <formula>AND(#REF!&lt;&gt;"",MOD(ROW(),2))</formula>
    </cfRule>
  </conditionalFormatting>
  <conditionalFormatting sqref="H420">
    <cfRule type="expression" dxfId="21533" priority="3964">
      <formula>AND($A450&lt;&gt;"",MOD(ROW(),2))</formula>
    </cfRule>
  </conditionalFormatting>
  <conditionalFormatting sqref="H420">
    <cfRule type="expression" dxfId="21532" priority="3966">
      <formula>AND(#REF!&lt;&gt;"",MOD(ROW(),2))</formula>
    </cfRule>
  </conditionalFormatting>
  <conditionalFormatting sqref="H420">
    <cfRule type="expression" dxfId="21531" priority="3965">
      <formula>AND(#REF!&lt;&gt;"",MOD(ROW(),2))</formula>
    </cfRule>
  </conditionalFormatting>
  <conditionalFormatting sqref="H420">
    <cfRule type="expression" dxfId="21530" priority="3961">
      <formula>AND($A450&lt;&gt;"",MOD(ROW(),2))</formula>
    </cfRule>
  </conditionalFormatting>
  <conditionalFormatting sqref="H420">
    <cfRule type="expression" dxfId="21529" priority="3963">
      <formula>AND(#REF!&lt;&gt;"",MOD(ROW(),2))</formula>
    </cfRule>
  </conditionalFormatting>
  <conditionalFormatting sqref="H420">
    <cfRule type="expression" dxfId="21528" priority="3962">
      <formula>AND(#REF!&lt;&gt;"",MOD(ROW(),2))</formula>
    </cfRule>
  </conditionalFormatting>
  <conditionalFormatting sqref="H420">
    <cfRule type="expression" dxfId="21527" priority="3958">
      <formula>AND($A450&lt;&gt;"",MOD(ROW(),2))</formula>
    </cfRule>
  </conditionalFormatting>
  <conditionalFormatting sqref="H420">
    <cfRule type="expression" dxfId="21526" priority="3960">
      <formula>AND(#REF!&lt;&gt;"",MOD(ROW(),2))</formula>
    </cfRule>
  </conditionalFormatting>
  <conditionalFormatting sqref="H420">
    <cfRule type="expression" dxfId="21525" priority="3959">
      <formula>AND(#REF!&lt;&gt;"",MOD(ROW(),2))</formula>
    </cfRule>
  </conditionalFormatting>
  <conditionalFormatting sqref="H420">
    <cfRule type="expression" dxfId="21524" priority="3955">
      <formula>AND($A450&lt;&gt;"",MOD(ROW(),2))</formula>
    </cfRule>
  </conditionalFormatting>
  <conditionalFormatting sqref="H420">
    <cfRule type="expression" dxfId="21523" priority="3957">
      <formula>AND(#REF!&lt;&gt;"",MOD(ROW(),2))</formula>
    </cfRule>
  </conditionalFormatting>
  <conditionalFormatting sqref="H420">
    <cfRule type="expression" dxfId="21522" priority="3956">
      <formula>AND(#REF!&lt;&gt;"",MOD(ROW(),2))</formula>
    </cfRule>
  </conditionalFormatting>
  <conditionalFormatting sqref="H420">
    <cfRule type="expression" dxfId="21521" priority="3952">
      <formula>AND($A450&lt;&gt;"",MOD(ROW(),2))</formula>
    </cfRule>
  </conditionalFormatting>
  <conditionalFormatting sqref="H420">
    <cfRule type="expression" dxfId="21520" priority="3954">
      <formula>AND(#REF!&lt;&gt;"",MOD(ROW(),2))</formula>
    </cfRule>
  </conditionalFormatting>
  <conditionalFormatting sqref="H420">
    <cfRule type="expression" dxfId="21519" priority="3953">
      <formula>AND(#REF!&lt;&gt;"",MOD(ROW(),2))</formula>
    </cfRule>
  </conditionalFormatting>
  <conditionalFormatting sqref="H420">
    <cfRule type="expression" dxfId="21518" priority="3949">
      <formula>AND($A450&lt;&gt;"",MOD(ROW(),2))</formula>
    </cfRule>
  </conditionalFormatting>
  <conditionalFormatting sqref="H420">
    <cfRule type="expression" dxfId="21517" priority="3951">
      <formula>AND(#REF!&lt;&gt;"",MOD(ROW(),2))</formula>
    </cfRule>
  </conditionalFormatting>
  <conditionalFormatting sqref="H420">
    <cfRule type="expression" dxfId="21516" priority="3950">
      <formula>AND(#REF!&lt;&gt;"",MOD(ROW(),2))</formula>
    </cfRule>
  </conditionalFormatting>
  <conditionalFormatting sqref="H420">
    <cfRule type="expression" dxfId="21515" priority="3946">
      <formula>AND($A450&lt;&gt;"",MOD(ROW(),2))</formula>
    </cfRule>
  </conditionalFormatting>
  <conditionalFormatting sqref="H420">
    <cfRule type="expression" dxfId="21514" priority="3948">
      <formula>AND(#REF!&lt;&gt;"",MOD(ROW(),2))</formula>
    </cfRule>
  </conditionalFormatting>
  <conditionalFormatting sqref="H420">
    <cfRule type="expression" dxfId="21513" priority="3947">
      <formula>AND(#REF!&lt;&gt;"",MOD(ROW(),2))</formula>
    </cfRule>
  </conditionalFormatting>
  <conditionalFormatting sqref="H423">
    <cfRule type="expression" dxfId="21512" priority="3943">
      <formula>AND($A453&lt;&gt;"",MOD(ROW(),2))</formula>
    </cfRule>
  </conditionalFormatting>
  <conditionalFormatting sqref="H423">
    <cfRule type="expression" dxfId="21511" priority="3945">
      <formula>AND(#REF!&lt;&gt;"",MOD(ROW(),2))</formula>
    </cfRule>
  </conditionalFormatting>
  <conditionalFormatting sqref="H423">
    <cfRule type="expression" dxfId="21510" priority="3944">
      <formula>AND(#REF!&lt;&gt;"",MOD(ROW(),2))</formula>
    </cfRule>
  </conditionalFormatting>
  <conditionalFormatting sqref="H423">
    <cfRule type="expression" dxfId="21509" priority="3940">
      <formula>AND($A453&lt;&gt;"",MOD(ROW(),2))</formula>
    </cfRule>
  </conditionalFormatting>
  <conditionalFormatting sqref="H423">
    <cfRule type="expression" dxfId="21508" priority="3942">
      <formula>AND(#REF!&lt;&gt;"",MOD(ROW(),2))</formula>
    </cfRule>
  </conditionalFormatting>
  <conditionalFormatting sqref="H423">
    <cfRule type="expression" dxfId="21507" priority="3941">
      <formula>AND(#REF!&lt;&gt;"",MOD(ROW(),2))</formula>
    </cfRule>
  </conditionalFormatting>
  <conditionalFormatting sqref="H423">
    <cfRule type="expression" dxfId="21506" priority="3937">
      <formula>AND($A453&lt;&gt;"",MOD(ROW(),2))</formula>
    </cfRule>
  </conditionalFormatting>
  <conditionalFormatting sqref="H423">
    <cfRule type="expression" dxfId="21505" priority="3939">
      <formula>AND(#REF!&lt;&gt;"",MOD(ROW(),2))</formula>
    </cfRule>
  </conditionalFormatting>
  <conditionalFormatting sqref="H423">
    <cfRule type="expression" dxfId="21504" priority="3938">
      <formula>AND(#REF!&lt;&gt;"",MOD(ROW(),2))</formula>
    </cfRule>
  </conditionalFormatting>
  <conditionalFormatting sqref="H423">
    <cfRule type="expression" dxfId="21503" priority="3934">
      <formula>AND($A453&lt;&gt;"",MOD(ROW(),2))</formula>
    </cfRule>
  </conditionalFormatting>
  <conditionalFormatting sqref="H423">
    <cfRule type="expression" dxfId="21502" priority="3936">
      <formula>AND(#REF!&lt;&gt;"",MOD(ROW(),2))</formula>
    </cfRule>
  </conditionalFormatting>
  <conditionalFormatting sqref="H423">
    <cfRule type="expression" dxfId="21501" priority="3935">
      <formula>AND(#REF!&lt;&gt;"",MOD(ROW(),2))</formula>
    </cfRule>
  </conditionalFormatting>
  <conditionalFormatting sqref="H423">
    <cfRule type="expression" dxfId="21500" priority="3931">
      <formula>AND($A453&lt;&gt;"",MOD(ROW(),2))</formula>
    </cfRule>
  </conditionalFormatting>
  <conditionalFormatting sqref="H423">
    <cfRule type="expression" dxfId="21499" priority="3933">
      <formula>AND(#REF!&lt;&gt;"",MOD(ROW(),2))</formula>
    </cfRule>
  </conditionalFormatting>
  <conditionalFormatting sqref="H423">
    <cfRule type="expression" dxfId="21498" priority="3932">
      <formula>AND(#REF!&lt;&gt;"",MOD(ROW(),2))</formula>
    </cfRule>
  </conditionalFormatting>
  <conditionalFormatting sqref="H423">
    <cfRule type="expression" dxfId="21497" priority="3928">
      <formula>AND($A453&lt;&gt;"",MOD(ROW(),2))</formula>
    </cfRule>
  </conditionalFormatting>
  <conditionalFormatting sqref="H423">
    <cfRule type="expression" dxfId="21496" priority="3930">
      <formula>AND(#REF!&lt;&gt;"",MOD(ROW(),2))</formula>
    </cfRule>
  </conditionalFormatting>
  <conditionalFormatting sqref="H423">
    <cfRule type="expression" dxfId="21495" priority="3929">
      <formula>AND(#REF!&lt;&gt;"",MOD(ROW(),2))</formula>
    </cfRule>
  </conditionalFormatting>
  <conditionalFormatting sqref="H423">
    <cfRule type="expression" dxfId="21494" priority="3925">
      <formula>AND($A453&lt;&gt;"",MOD(ROW(),2))</formula>
    </cfRule>
  </conditionalFormatting>
  <conditionalFormatting sqref="H423">
    <cfRule type="expression" dxfId="21493" priority="3927">
      <formula>AND(#REF!&lt;&gt;"",MOD(ROW(),2))</formula>
    </cfRule>
  </conditionalFormatting>
  <conditionalFormatting sqref="H423">
    <cfRule type="expression" dxfId="21492" priority="3926">
      <formula>AND(#REF!&lt;&gt;"",MOD(ROW(),2))</formula>
    </cfRule>
  </conditionalFormatting>
  <conditionalFormatting sqref="H471">
    <cfRule type="expression" dxfId="21491" priority="3922">
      <formula>AND($A501&lt;&gt;"",MOD(ROW(),2))</formula>
    </cfRule>
  </conditionalFormatting>
  <conditionalFormatting sqref="H471">
    <cfRule type="expression" dxfId="21490" priority="3924">
      <formula>AND(#REF!&lt;&gt;"",MOD(ROW(),2))</formula>
    </cfRule>
  </conditionalFormatting>
  <conditionalFormatting sqref="H471">
    <cfRule type="expression" dxfId="21489" priority="3923">
      <formula>AND(#REF!&lt;&gt;"",MOD(ROW(),2))</formula>
    </cfRule>
  </conditionalFormatting>
  <conditionalFormatting sqref="G543:G546">
    <cfRule type="expression" dxfId="21488" priority="3921">
      <formula>AND($A527&lt;&gt;"",MOD(ROW(),2))</formula>
    </cfRule>
  </conditionalFormatting>
  <conditionalFormatting sqref="G543:G546">
    <cfRule type="cellIs" dxfId="21487" priority="3918" operator="equal">
      <formula>#REF!</formula>
    </cfRule>
    <cfRule type="cellIs" dxfId="21486" priority="3919" operator="greaterThan">
      <formula>#REF!</formula>
    </cfRule>
    <cfRule type="cellIs" dxfId="21485" priority="3920" operator="lessThan">
      <formula>#REF!</formula>
    </cfRule>
  </conditionalFormatting>
  <conditionalFormatting sqref="G546:G548">
    <cfRule type="expression" dxfId="21484" priority="3917">
      <formula>AND($A530&lt;&gt;"",MOD(ROW(),2))</formula>
    </cfRule>
  </conditionalFormatting>
  <conditionalFormatting sqref="G546:G548">
    <cfRule type="cellIs" dxfId="21483" priority="3914" operator="equal">
      <formula>#REF!</formula>
    </cfRule>
    <cfRule type="cellIs" dxfId="21482" priority="3915" operator="greaterThan">
      <formula>#REF!</formula>
    </cfRule>
    <cfRule type="cellIs" dxfId="21481" priority="3916" operator="lessThan">
      <formula>#REF!</formula>
    </cfRule>
  </conditionalFormatting>
  <conditionalFormatting sqref="G549">
    <cfRule type="expression" dxfId="21480" priority="3913">
      <formula>AND($A533&lt;&gt;"",MOD(ROW(),2))</formula>
    </cfRule>
  </conditionalFormatting>
  <conditionalFormatting sqref="G549">
    <cfRule type="cellIs" dxfId="21479" priority="3910" operator="equal">
      <formula>#REF!</formula>
    </cfRule>
    <cfRule type="cellIs" dxfId="21478" priority="3911" operator="greaterThan">
      <formula>#REF!</formula>
    </cfRule>
    <cfRule type="cellIs" dxfId="21477" priority="3912" operator="lessThan">
      <formula>#REF!</formula>
    </cfRule>
  </conditionalFormatting>
  <conditionalFormatting sqref="C40">
    <cfRule type="expression" dxfId="21476" priority="3909">
      <formula>AND($A66&lt;&gt;"",MOD(ROW(),2))</formula>
    </cfRule>
  </conditionalFormatting>
  <conditionalFormatting sqref="C40">
    <cfRule type="cellIs" dxfId="21475" priority="3906" operator="equal">
      <formula>#REF!</formula>
    </cfRule>
    <cfRule type="cellIs" dxfId="21474" priority="3907" operator="greaterThan">
      <formula>#REF!</formula>
    </cfRule>
    <cfRule type="cellIs" dxfId="21473" priority="3908" operator="lessThan">
      <formula>#REF!</formula>
    </cfRule>
  </conditionalFormatting>
  <conditionalFormatting sqref="G550">
    <cfRule type="expression" dxfId="21472" priority="3905">
      <formula>AND($A534&lt;&gt;"",MOD(ROW(),2))</formula>
    </cfRule>
  </conditionalFormatting>
  <conditionalFormatting sqref="G550">
    <cfRule type="cellIs" dxfId="21471" priority="3902" operator="equal">
      <formula>#REF!</formula>
    </cfRule>
    <cfRule type="cellIs" dxfId="21470" priority="3903" operator="greaterThan">
      <formula>#REF!</formula>
    </cfRule>
    <cfRule type="cellIs" dxfId="21469" priority="3904" operator="lessThan">
      <formula>#REF!</formula>
    </cfRule>
  </conditionalFormatting>
  <conditionalFormatting sqref="G551">
    <cfRule type="expression" dxfId="21468" priority="3901">
      <formula>AND($A535&lt;&gt;"",MOD(ROW(),2))</formula>
    </cfRule>
  </conditionalFormatting>
  <conditionalFormatting sqref="G551">
    <cfRule type="cellIs" dxfId="21467" priority="3898" operator="equal">
      <formula>#REF!</formula>
    </cfRule>
    <cfRule type="cellIs" dxfId="21466" priority="3899" operator="greaterThan">
      <formula>#REF!</formula>
    </cfRule>
    <cfRule type="cellIs" dxfId="21465" priority="3900" operator="lessThan">
      <formula>#REF!</formula>
    </cfRule>
  </conditionalFormatting>
  <conditionalFormatting sqref="G552">
    <cfRule type="expression" dxfId="21464" priority="3897">
      <formula>AND($A536&lt;&gt;"",MOD(ROW(),2))</formula>
    </cfRule>
  </conditionalFormatting>
  <conditionalFormatting sqref="G552">
    <cfRule type="cellIs" dxfId="21463" priority="3894" operator="equal">
      <formula>#REF!</formula>
    </cfRule>
    <cfRule type="cellIs" dxfId="21462" priority="3895" operator="greaterThan">
      <formula>#REF!</formula>
    </cfRule>
    <cfRule type="cellIs" dxfId="21461" priority="3896" operator="lessThan">
      <formula>#REF!</formula>
    </cfRule>
  </conditionalFormatting>
  <conditionalFormatting sqref="G553">
    <cfRule type="expression" dxfId="21460" priority="3893">
      <formula>AND($A537&lt;&gt;"",MOD(ROW(),2))</formula>
    </cfRule>
  </conditionalFormatting>
  <conditionalFormatting sqref="G553">
    <cfRule type="cellIs" dxfId="21459" priority="3890" operator="equal">
      <formula>#REF!</formula>
    </cfRule>
    <cfRule type="cellIs" dxfId="21458" priority="3891" operator="greaterThan">
      <formula>#REF!</formula>
    </cfRule>
    <cfRule type="cellIs" dxfId="21457" priority="3892" operator="lessThan">
      <formula>#REF!</formula>
    </cfRule>
  </conditionalFormatting>
  <conditionalFormatting sqref="G554">
    <cfRule type="expression" dxfId="21456" priority="3889">
      <formula>AND($A538&lt;&gt;"",MOD(ROW(),2))</formula>
    </cfRule>
  </conditionalFormatting>
  <conditionalFormatting sqref="G554">
    <cfRule type="cellIs" dxfId="21455" priority="3886" operator="equal">
      <formula>#REF!</formula>
    </cfRule>
    <cfRule type="cellIs" dxfId="21454" priority="3887" operator="greaterThan">
      <formula>#REF!</formula>
    </cfRule>
    <cfRule type="cellIs" dxfId="21453" priority="3888" operator="lessThan">
      <formula>#REF!</formula>
    </cfRule>
  </conditionalFormatting>
  <conditionalFormatting sqref="G555">
    <cfRule type="expression" dxfId="21452" priority="3885">
      <formula>AND($A539&lt;&gt;"",MOD(ROW(),2))</formula>
    </cfRule>
  </conditionalFormatting>
  <conditionalFormatting sqref="G555">
    <cfRule type="cellIs" dxfId="21451" priority="3882" operator="equal">
      <formula>#REF!</formula>
    </cfRule>
    <cfRule type="cellIs" dxfId="21450" priority="3883" operator="greaterThan">
      <formula>#REF!</formula>
    </cfRule>
    <cfRule type="cellIs" dxfId="21449" priority="3884" operator="lessThan">
      <formula>#REF!</formula>
    </cfRule>
  </conditionalFormatting>
  <conditionalFormatting sqref="G556">
    <cfRule type="expression" dxfId="21448" priority="3881">
      <formula>AND($A540&lt;&gt;"",MOD(ROW(),2))</formula>
    </cfRule>
  </conditionalFormatting>
  <conditionalFormatting sqref="G556">
    <cfRule type="cellIs" dxfId="21447" priority="3878" operator="equal">
      <formula>#REF!</formula>
    </cfRule>
    <cfRule type="cellIs" dxfId="21446" priority="3879" operator="greaterThan">
      <formula>#REF!</formula>
    </cfRule>
    <cfRule type="cellIs" dxfId="21445" priority="3880" operator="lessThan">
      <formula>#REF!</formula>
    </cfRule>
  </conditionalFormatting>
  <conditionalFormatting sqref="G557">
    <cfRule type="expression" dxfId="21444" priority="3877">
      <formula>AND($A541&lt;&gt;"",MOD(ROW(),2))</formula>
    </cfRule>
  </conditionalFormatting>
  <conditionalFormatting sqref="G557">
    <cfRule type="cellIs" dxfId="21443" priority="3874" operator="equal">
      <formula>#REF!</formula>
    </cfRule>
    <cfRule type="cellIs" dxfId="21442" priority="3875" operator="greaterThan">
      <formula>#REF!</formula>
    </cfRule>
    <cfRule type="cellIs" dxfId="21441" priority="3876" operator="lessThan">
      <formula>#REF!</formula>
    </cfRule>
  </conditionalFormatting>
  <conditionalFormatting sqref="G558">
    <cfRule type="expression" dxfId="21440" priority="3873">
      <formula>AND($A542&lt;&gt;"",MOD(ROW(),2))</formula>
    </cfRule>
  </conditionalFormatting>
  <conditionalFormatting sqref="G558">
    <cfRule type="cellIs" dxfId="21439" priority="3870" operator="equal">
      <formula>#REF!</formula>
    </cfRule>
    <cfRule type="cellIs" dxfId="21438" priority="3871" operator="greaterThan">
      <formula>#REF!</formula>
    </cfRule>
    <cfRule type="cellIs" dxfId="21437" priority="3872" operator="lessThan">
      <formula>#REF!</formula>
    </cfRule>
  </conditionalFormatting>
  <conditionalFormatting sqref="G559">
    <cfRule type="expression" dxfId="21436" priority="3869">
      <formula>AND($A543&lt;&gt;"",MOD(ROW(),2))</formula>
    </cfRule>
  </conditionalFormatting>
  <conditionalFormatting sqref="G559">
    <cfRule type="cellIs" dxfId="21435" priority="3866" operator="equal">
      <formula>#REF!</formula>
    </cfRule>
    <cfRule type="cellIs" dxfId="21434" priority="3867" operator="greaterThan">
      <formula>#REF!</formula>
    </cfRule>
    <cfRule type="cellIs" dxfId="21433" priority="3868" operator="lessThan">
      <formula>#REF!</formula>
    </cfRule>
  </conditionalFormatting>
  <conditionalFormatting sqref="G560">
    <cfRule type="expression" dxfId="21432" priority="3865">
      <formula>AND($A544&lt;&gt;"",MOD(ROW(),2))</formula>
    </cfRule>
  </conditionalFormatting>
  <conditionalFormatting sqref="G560">
    <cfRule type="cellIs" dxfId="21431" priority="3862" operator="equal">
      <formula>#REF!</formula>
    </cfRule>
    <cfRule type="cellIs" dxfId="21430" priority="3863" operator="greaterThan">
      <formula>#REF!</formula>
    </cfRule>
    <cfRule type="cellIs" dxfId="21429" priority="3864" operator="lessThan">
      <formula>#REF!</formula>
    </cfRule>
  </conditionalFormatting>
  <conditionalFormatting sqref="G561">
    <cfRule type="expression" dxfId="21428" priority="3861">
      <formula>AND($A545&lt;&gt;"",MOD(ROW(),2))</formula>
    </cfRule>
  </conditionalFormatting>
  <conditionalFormatting sqref="G561">
    <cfRule type="cellIs" dxfId="21427" priority="3858" operator="equal">
      <formula>#REF!</formula>
    </cfRule>
    <cfRule type="cellIs" dxfId="21426" priority="3859" operator="greaterThan">
      <formula>#REF!</formula>
    </cfRule>
    <cfRule type="cellIs" dxfId="21425" priority="3860" operator="lessThan">
      <formula>#REF!</formula>
    </cfRule>
  </conditionalFormatting>
  <conditionalFormatting sqref="G562">
    <cfRule type="expression" dxfId="21424" priority="3857">
      <formula>AND($A546&lt;&gt;"",MOD(ROW(),2))</formula>
    </cfRule>
  </conditionalFormatting>
  <conditionalFormatting sqref="G562">
    <cfRule type="cellIs" dxfId="21423" priority="3854" operator="equal">
      <formula>#REF!</formula>
    </cfRule>
    <cfRule type="cellIs" dxfId="21422" priority="3855" operator="greaterThan">
      <formula>#REF!</formula>
    </cfRule>
    <cfRule type="cellIs" dxfId="21421" priority="3856" operator="lessThan">
      <formula>#REF!</formula>
    </cfRule>
  </conditionalFormatting>
  <conditionalFormatting sqref="G563">
    <cfRule type="expression" dxfId="21420" priority="3853">
      <formula>AND($A547&lt;&gt;"",MOD(ROW(),2))</formula>
    </cfRule>
  </conditionalFormatting>
  <conditionalFormatting sqref="G563">
    <cfRule type="cellIs" dxfId="21419" priority="3850" operator="equal">
      <formula>#REF!</formula>
    </cfRule>
    <cfRule type="cellIs" dxfId="21418" priority="3851" operator="greaterThan">
      <formula>#REF!</formula>
    </cfRule>
    <cfRule type="cellIs" dxfId="21417" priority="3852" operator="lessThan">
      <formula>#REF!</formula>
    </cfRule>
  </conditionalFormatting>
  <conditionalFormatting sqref="G564">
    <cfRule type="expression" dxfId="21416" priority="3849">
      <formula>AND($A548&lt;&gt;"",MOD(ROW(),2))</formula>
    </cfRule>
  </conditionalFormatting>
  <conditionalFormatting sqref="G564">
    <cfRule type="cellIs" dxfId="21415" priority="3846" operator="equal">
      <formula>#REF!</formula>
    </cfRule>
    <cfRule type="cellIs" dxfId="21414" priority="3847" operator="greaterThan">
      <formula>#REF!</formula>
    </cfRule>
    <cfRule type="cellIs" dxfId="21413" priority="3848" operator="lessThan">
      <formula>#REF!</formula>
    </cfRule>
  </conditionalFormatting>
  <conditionalFormatting sqref="G565">
    <cfRule type="expression" dxfId="21412" priority="3845">
      <formula>AND($A549&lt;&gt;"",MOD(ROW(),2))</formula>
    </cfRule>
  </conditionalFormatting>
  <conditionalFormatting sqref="G565">
    <cfRule type="cellIs" dxfId="21411" priority="3842" operator="equal">
      <formula>#REF!</formula>
    </cfRule>
    <cfRule type="cellIs" dxfId="21410" priority="3843" operator="greaterThan">
      <formula>#REF!</formula>
    </cfRule>
    <cfRule type="cellIs" dxfId="21409" priority="3844" operator="lessThan">
      <formula>#REF!</formula>
    </cfRule>
  </conditionalFormatting>
  <conditionalFormatting sqref="G566">
    <cfRule type="expression" dxfId="21408" priority="3841">
      <formula>AND($A550&lt;&gt;"",MOD(ROW(),2))</formula>
    </cfRule>
  </conditionalFormatting>
  <conditionalFormatting sqref="G566">
    <cfRule type="cellIs" dxfId="21407" priority="3838" operator="equal">
      <formula>#REF!</formula>
    </cfRule>
    <cfRule type="cellIs" dxfId="21406" priority="3839" operator="greaterThan">
      <formula>#REF!</formula>
    </cfRule>
    <cfRule type="cellIs" dxfId="21405" priority="3840" operator="lessThan">
      <formula>#REF!</formula>
    </cfRule>
  </conditionalFormatting>
  <conditionalFormatting sqref="G567">
    <cfRule type="expression" dxfId="21404" priority="3837">
      <formula>AND($A551&lt;&gt;"",MOD(ROW(),2))</formula>
    </cfRule>
  </conditionalFormatting>
  <conditionalFormatting sqref="G567">
    <cfRule type="cellIs" dxfId="21403" priority="3834" operator="equal">
      <formula>#REF!</formula>
    </cfRule>
    <cfRule type="cellIs" dxfId="21402" priority="3835" operator="greaterThan">
      <formula>#REF!</formula>
    </cfRule>
    <cfRule type="cellIs" dxfId="21401" priority="3836" operator="lessThan">
      <formula>#REF!</formula>
    </cfRule>
  </conditionalFormatting>
  <conditionalFormatting sqref="G568">
    <cfRule type="expression" dxfId="21400" priority="3833">
      <formula>AND($A552&lt;&gt;"",MOD(ROW(),2))</formula>
    </cfRule>
  </conditionalFormatting>
  <conditionalFormatting sqref="G568">
    <cfRule type="cellIs" dxfId="21399" priority="3830" operator="equal">
      <formula>#REF!</formula>
    </cfRule>
    <cfRule type="cellIs" dxfId="21398" priority="3831" operator="greaterThan">
      <formula>#REF!</formula>
    </cfRule>
    <cfRule type="cellIs" dxfId="21397" priority="3832" operator="lessThan">
      <formula>#REF!</formula>
    </cfRule>
  </conditionalFormatting>
  <conditionalFormatting sqref="G569">
    <cfRule type="expression" dxfId="21396" priority="3829">
      <formula>AND($A553&lt;&gt;"",MOD(ROW(),2))</formula>
    </cfRule>
  </conditionalFormatting>
  <conditionalFormatting sqref="G569">
    <cfRule type="cellIs" dxfId="21395" priority="3826" operator="equal">
      <formula>#REF!</formula>
    </cfRule>
    <cfRule type="cellIs" dxfId="21394" priority="3827" operator="greaterThan">
      <formula>#REF!</formula>
    </cfRule>
    <cfRule type="cellIs" dxfId="21393" priority="3828" operator="lessThan">
      <formula>#REF!</formula>
    </cfRule>
  </conditionalFormatting>
  <conditionalFormatting sqref="G570">
    <cfRule type="expression" dxfId="21392" priority="3825">
      <formula>AND($A554&lt;&gt;"",MOD(ROW(),2))</formula>
    </cfRule>
  </conditionalFormatting>
  <conditionalFormatting sqref="G570">
    <cfRule type="cellIs" dxfId="21391" priority="3822" operator="equal">
      <formula>#REF!</formula>
    </cfRule>
    <cfRule type="cellIs" dxfId="21390" priority="3823" operator="greaterThan">
      <formula>#REF!</formula>
    </cfRule>
    <cfRule type="cellIs" dxfId="21389" priority="3824" operator="lessThan">
      <formula>#REF!</formula>
    </cfRule>
  </conditionalFormatting>
  <conditionalFormatting sqref="G571">
    <cfRule type="expression" dxfId="21388" priority="3821">
      <formula>AND($A555&lt;&gt;"",MOD(ROW(),2))</formula>
    </cfRule>
  </conditionalFormatting>
  <conditionalFormatting sqref="G571">
    <cfRule type="cellIs" dxfId="21387" priority="3818" operator="equal">
      <formula>#REF!</formula>
    </cfRule>
    <cfRule type="cellIs" dxfId="21386" priority="3819" operator="greaterThan">
      <formula>#REF!</formula>
    </cfRule>
    <cfRule type="cellIs" dxfId="21385" priority="3820" operator="lessThan">
      <formula>#REF!</formula>
    </cfRule>
  </conditionalFormatting>
  <conditionalFormatting sqref="C100">
    <cfRule type="cellIs" dxfId="21384" priority="3815" operator="equal">
      <formula>#REF!</formula>
    </cfRule>
    <cfRule type="cellIs" dxfId="21383" priority="3816" operator="greaterThan">
      <formula>#REF!</formula>
    </cfRule>
    <cfRule type="cellIs" dxfId="21382" priority="3817" operator="lessThan">
      <formula>#REF!</formula>
    </cfRule>
  </conditionalFormatting>
  <conditionalFormatting sqref="C100">
    <cfRule type="expression" dxfId="21381" priority="3814">
      <formula>AND($A84&lt;&gt;"",MOD(ROW(),2))</formula>
    </cfRule>
  </conditionalFormatting>
  <conditionalFormatting sqref="G572">
    <cfRule type="expression" dxfId="21380" priority="3813">
      <formula>AND($A556&lt;&gt;"",MOD(ROW(),2))</formula>
    </cfRule>
  </conditionalFormatting>
  <conditionalFormatting sqref="G572">
    <cfRule type="cellIs" dxfId="21379" priority="3810" operator="equal">
      <formula>#REF!</formula>
    </cfRule>
    <cfRule type="cellIs" dxfId="21378" priority="3811" operator="greaterThan">
      <formula>#REF!</formula>
    </cfRule>
    <cfRule type="cellIs" dxfId="21377" priority="3812" operator="lessThan">
      <formula>#REF!</formula>
    </cfRule>
  </conditionalFormatting>
  <conditionalFormatting sqref="G573">
    <cfRule type="expression" dxfId="21376" priority="3809">
      <formula>AND($A557&lt;&gt;"",MOD(ROW(),2))</formula>
    </cfRule>
  </conditionalFormatting>
  <conditionalFormatting sqref="G573">
    <cfRule type="cellIs" dxfId="21375" priority="3806" operator="equal">
      <formula>#REF!</formula>
    </cfRule>
    <cfRule type="cellIs" dxfId="21374" priority="3807" operator="greaterThan">
      <formula>#REF!</formula>
    </cfRule>
    <cfRule type="cellIs" dxfId="21373" priority="3808" operator="lessThan">
      <formula>#REF!</formula>
    </cfRule>
  </conditionalFormatting>
  <conditionalFormatting sqref="G574">
    <cfRule type="expression" dxfId="21372" priority="3805">
      <formula>AND($A558&lt;&gt;"",MOD(ROW(),2))</formula>
    </cfRule>
  </conditionalFormatting>
  <conditionalFormatting sqref="G574">
    <cfRule type="cellIs" dxfId="21371" priority="3802" operator="equal">
      <formula>#REF!</formula>
    </cfRule>
    <cfRule type="cellIs" dxfId="21370" priority="3803" operator="greaterThan">
      <formula>#REF!</formula>
    </cfRule>
    <cfRule type="cellIs" dxfId="21369" priority="3804" operator="lessThan">
      <formula>#REF!</formula>
    </cfRule>
  </conditionalFormatting>
  <conditionalFormatting sqref="G575">
    <cfRule type="expression" dxfId="21368" priority="3801">
      <formula>AND($A559&lt;&gt;"",MOD(ROW(),2))</formula>
    </cfRule>
  </conditionalFormatting>
  <conditionalFormatting sqref="G575">
    <cfRule type="cellIs" dxfId="21367" priority="3798" operator="equal">
      <formula>#REF!</formula>
    </cfRule>
    <cfRule type="cellIs" dxfId="21366" priority="3799" operator="greaterThan">
      <formula>#REF!</formula>
    </cfRule>
    <cfRule type="cellIs" dxfId="21365" priority="3800" operator="lessThan">
      <formula>#REF!</formula>
    </cfRule>
  </conditionalFormatting>
  <conditionalFormatting sqref="G576">
    <cfRule type="expression" dxfId="21364" priority="3797">
      <formula>AND($A560&lt;&gt;"",MOD(ROW(),2))</formula>
    </cfRule>
  </conditionalFormatting>
  <conditionalFormatting sqref="G576">
    <cfRule type="cellIs" dxfId="21363" priority="3794" operator="equal">
      <formula>#REF!</formula>
    </cfRule>
    <cfRule type="cellIs" dxfId="21362" priority="3795" operator="greaterThan">
      <formula>#REF!</formula>
    </cfRule>
    <cfRule type="cellIs" dxfId="21361" priority="3796" operator="lessThan">
      <formula>#REF!</formula>
    </cfRule>
  </conditionalFormatting>
  <conditionalFormatting sqref="G577">
    <cfRule type="expression" dxfId="21360" priority="3793">
      <formula>AND($A561&lt;&gt;"",MOD(ROW(),2))</formula>
    </cfRule>
  </conditionalFormatting>
  <conditionalFormatting sqref="G577">
    <cfRule type="cellIs" dxfId="21359" priority="3790" operator="equal">
      <formula>#REF!</formula>
    </cfRule>
    <cfRule type="cellIs" dxfId="21358" priority="3791" operator="greaterThan">
      <formula>#REF!</formula>
    </cfRule>
    <cfRule type="cellIs" dxfId="21357" priority="3792" operator="lessThan">
      <formula>#REF!</formula>
    </cfRule>
  </conditionalFormatting>
  <conditionalFormatting sqref="G578">
    <cfRule type="expression" dxfId="21356" priority="3789">
      <formula>AND($A562&lt;&gt;"",MOD(ROW(),2))</formula>
    </cfRule>
  </conditionalFormatting>
  <conditionalFormatting sqref="G578">
    <cfRule type="cellIs" dxfId="21355" priority="3786" operator="equal">
      <formula>#REF!</formula>
    </cfRule>
    <cfRule type="cellIs" dxfId="21354" priority="3787" operator="greaterThan">
      <formula>#REF!</formula>
    </cfRule>
    <cfRule type="cellIs" dxfId="21353" priority="3788" operator="lessThan">
      <formula>#REF!</formula>
    </cfRule>
  </conditionalFormatting>
  <conditionalFormatting sqref="G579">
    <cfRule type="expression" dxfId="21352" priority="3785">
      <formula>AND($A563&lt;&gt;"",MOD(ROW(),2))</formula>
    </cfRule>
  </conditionalFormatting>
  <conditionalFormatting sqref="G579">
    <cfRule type="cellIs" dxfId="21351" priority="3782" operator="equal">
      <formula>#REF!</formula>
    </cfRule>
    <cfRule type="cellIs" dxfId="21350" priority="3783" operator="greaterThan">
      <formula>#REF!</formula>
    </cfRule>
    <cfRule type="cellIs" dxfId="21349" priority="3784" operator="lessThan">
      <formula>#REF!</formula>
    </cfRule>
  </conditionalFormatting>
  <conditionalFormatting sqref="G580">
    <cfRule type="expression" dxfId="21348" priority="3781">
      <formula>AND($A564&lt;&gt;"",MOD(ROW(),2))</formula>
    </cfRule>
  </conditionalFormatting>
  <conditionalFormatting sqref="G580">
    <cfRule type="cellIs" dxfId="21347" priority="3778" operator="equal">
      <formula>#REF!</formula>
    </cfRule>
    <cfRule type="cellIs" dxfId="21346" priority="3779" operator="greaterThan">
      <formula>#REF!</formula>
    </cfRule>
    <cfRule type="cellIs" dxfId="21345" priority="3780" operator="lessThan">
      <formula>#REF!</formula>
    </cfRule>
  </conditionalFormatting>
  <conditionalFormatting sqref="G581">
    <cfRule type="expression" dxfId="21344" priority="3777">
      <formula>AND($A565&lt;&gt;"",MOD(ROW(),2))</formula>
    </cfRule>
  </conditionalFormatting>
  <conditionalFormatting sqref="G581">
    <cfRule type="cellIs" dxfId="21343" priority="3774" operator="equal">
      <formula>#REF!</formula>
    </cfRule>
    <cfRule type="cellIs" dxfId="21342" priority="3775" operator="greaterThan">
      <formula>#REF!</formula>
    </cfRule>
    <cfRule type="cellIs" dxfId="21341" priority="3776" operator="lessThan">
      <formula>#REF!</formula>
    </cfRule>
  </conditionalFormatting>
  <conditionalFormatting sqref="G582">
    <cfRule type="expression" dxfId="21340" priority="3773">
      <formula>AND($A566&lt;&gt;"",MOD(ROW(),2))</formula>
    </cfRule>
  </conditionalFormatting>
  <conditionalFormatting sqref="G582">
    <cfRule type="cellIs" dxfId="21339" priority="3770" operator="equal">
      <formula>#REF!</formula>
    </cfRule>
    <cfRule type="cellIs" dxfId="21338" priority="3771" operator="greaterThan">
      <formula>#REF!</formula>
    </cfRule>
    <cfRule type="cellIs" dxfId="21337" priority="3772" operator="lessThan">
      <formula>#REF!</formula>
    </cfRule>
  </conditionalFormatting>
  <conditionalFormatting sqref="G583">
    <cfRule type="expression" dxfId="21336" priority="3769">
      <formula>AND($A567&lt;&gt;"",MOD(ROW(),2))</formula>
    </cfRule>
  </conditionalFormatting>
  <conditionalFormatting sqref="G583">
    <cfRule type="cellIs" dxfId="21335" priority="3766" operator="equal">
      <formula>#REF!</formula>
    </cfRule>
    <cfRule type="cellIs" dxfId="21334" priority="3767" operator="greaterThan">
      <formula>#REF!</formula>
    </cfRule>
    <cfRule type="cellIs" dxfId="21333" priority="3768" operator="lessThan">
      <formula>#REF!</formula>
    </cfRule>
  </conditionalFormatting>
  <conditionalFormatting sqref="C102">
    <cfRule type="cellIs" dxfId="21332" priority="3763" operator="equal">
      <formula>#REF!</formula>
    </cfRule>
    <cfRule type="cellIs" dxfId="21331" priority="3764" operator="greaterThan">
      <formula>#REF!</formula>
    </cfRule>
    <cfRule type="cellIs" dxfId="21330" priority="3765" operator="lessThan">
      <formula>#REF!</formula>
    </cfRule>
  </conditionalFormatting>
  <conditionalFormatting sqref="C102">
    <cfRule type="expression" dxfId="21329" priority="3762">
      <formula>AND($A86&lt;&gt;"",MOD(ROW(),2))</formula>
    </cfRule>
  </conditionalFormatting>
  <conditionalFormatting sqref="G584">
    <cfRule type="expression" dxfId="21328" priority="3761">
      <formula>AND($A568&lt;&gt;"",MOD(ROW(),2))</formula>
    </cfRule>
  </conditionalFormatting>
  <conditionalFormatting sqref="G584">
    <cfRule type="cellIs" dxfId="21327" priority="3758" operator="equal">
      <formula>#REF!</formula>
    </cfRule>
    <cfRule type="cellIs" dxfId="21326" priority="3759" operator="greaterThan">
      <formula>#REF!</formula>
    </cfRule>
    <cfRule type="cellIs" dxfId="21325" priority="3760" operator="lessThan">
      <formula>#REF!</formula>
    </cfRule>
  </conditionalFormatting>
  <conditionalFormatting sqref="G585">
    <cfRule type="expression" dxfId="21324" priority="3757">
      <formula>AND($A569&lt;&gt;"",MOD(ROW(),2))</formula>
    </cfRule>
  </conditionalFormatting>
  <conditionalFormatting sqref="G585">
    <cfRule type="cellIs" dxfId="21323" priority="3754" operator="equal">
      <formula>#REF!</formula>
    </cfRule>
    <cfRule type="cellIs" dxfId="21322" priority="3755" operator="greaterThan">
      <formula>#REF!</formula>
    </cfRule>
    <cfRule type="cellIs" dxfId="21321" priority="3756" operator="lessThan">
      <formula>#REF!</formula>
    </cfRule>
  </conditionalFormatting>
  <conditionalFormatting sqref="G586">
    <cfRule type="expression" dxfId="21320" priority="3753">
      <formula>AND($A570&lt;&gt;"",MOD(ROW(),2))</formula>
    </cfRule>
  </conditionalFormatting>
  <conditionalFormatting sqref="G586">
    <cfRule type="cellIs" dxfId="21319" priority="3750" operator="equal">
      <formula>#REF!</formula>
    </cfRule>
    <cfRule type="cellIs" dxfId="21318" priority="3751" operator="greaterThan">
      <formula>#REF!</formula>
    </cfRule>
    <cfRule type="cellIs" dxfId="21317" priority="3752" operator="lessThan">
      <formula>#REF!</formula>
    </cfRule>
  </conditionalFormatting>
  <conditionalFormatting sqref="G587">
    <cfRule type="expression" dxfId="21316" priority="3749">
      <formula>AND($A571&lt;&gt;"",MOD(ROW(),2))</formula>
    </cfRule>
  </conditionalFormatting>
  <conditionalFormatting sqref="G587">
    <cfRule type="cellIs" dxfId="21315" priority="3746" operator="equal">
      <formula>#REF!</formula>
    </cfRule>
    <cfRule type="cellIs" dxfId="21314" priority="3747" operator="greaterThan">
      <formula>#REF!</formula>
    </cfRule>
    <cfRule type="cellIs" dxfId="21313" priority="3748" operator="lessThan">
      <formula>#REF!</formula>
    </cfRule>
  </conditionalFormatting>
  <conditionalFormatting sqref="G588">
    <cfRule type="expression" dxfId="21312" priority="3745">
      <formula>AND($A572&lt;&gt;"",MOD(ROW(),2))</formula>
    </cfRule>
  </conditionalFormatting>
  <conditionalFormatting sqref="G588">
    <cfRule type="cellIs" dxfId="21311" priority="3742" operator="equal">
      <formula>#REF!</formula>
    </cfRule>
    <cfRule type="cellIs" dxfId="21310" priority="3743" operator="greaterThan">
      <formula>#REF!</formula>
    </cfRule>
    <cfRule type="cellIs" dxfId="21309" priority="3744" operator="lessThan">
      <formula>#REF!</formula>
    </cfRule>
  </conditionalFormatting>
  <conditionalFormatting sqref="G589">
    <cfRule type="expression" dxfId="21308" priority="3741">
      <formula>AND($A573&lt;&gt;"",MOD(ROW(),2))</formula>
    </cfRule>
  </conditionalFormatting>
  <conditionalFormatting sqref="G589">
    <cfRule type="cellIs" dxfId="21307" priority="3738" operator="equal">
      <formula>#REF!</formula>
    </cfRule>
    <cfRule type="cellIs" dxfId="21306" priority="3739" operator="greaterThan">
      <formula>#REF!</formula>
    </cfRule>
    <cfRule type="cellIs" dxfId="21305" priority="3740" operator="lessThan">
      <formula>#REF!</formula>
    </cfRule>
  </conditionalFormatting>
  <conditionalFormatting sqref="G590">
    <cfRule type="expression" dxfId="21304" priority="3737">
      <formula>AND($A574&lt;&gt;"",MOD(ROW(),2))</formula>
    </cfRule>
  </conditionalFormatting>
  <conditionalFormatting sqref="G590">
    <cfRule type="cellIs" dxfId="21303" priority="3734" operator="equal">
      <formula>#REF!</formula>
    </cfRule>
    <cfRule type="cellIs" dxfId="21302" priority="3735" operator="greaterThan">
      <formula>#REF!</formula>
    </cfRule>
    <cfRule type="cellIs" dxfId="21301" priority="3736" operator="lessThan">
      <formula>#REF!</formula>
    </cfRule>
  </conditionalFormatting>
  <conditionalFormatting sqref="G591">
    <cfRule type="expression" dxfId="21300" priority="3733">
      <formula>AND($A575&lt;&gt;"",MOD(ROW(),2))</formula>
    </cfRule>
  </conditionalFormatting>
  <conditionalFormatting sqref="G591">
    <cfRule type="cellIs" dxfId="21299" priority="3730" operator="equal">
      <formula>#REF!</formula>
    </cfRule>
    <cfRule type="cellIs" dxfId="21298" priority="3731" operator="greaterThan">
      <formula>#REF!</formula>
    </cfRule>
    <cfRule type="cellIs" dxfId="21297" priority="3732" operator="lessThan">
      <formula>#REF!</formula>
    </cfRule>
  </conditionalFormatting>
  <conditionalFormatting sqref="G592">
    <cfRule type="expression" dxfId="21296" priority="3729">
      <formula>AND($A576&lt;&gt;"",MOD(ROW(),2))</formula>
    </cfRule>
  </conditionalFormatting>
  <conditionalFormatting sqref="G592">
    <cfRule type="cellIs" dxfId="21295" priority="3726" operator="equal">
      <formula>#REF!</formula>
    </cfRule>
    <cfRule type="cellIs" dxfId="21294" priority="3727" operator="greaterThan">
      <formula>#REF!</formula>
    </cfRule>
    <cfRule type="cellIs" dxfId="21293" priority="3728" operator="lessThan">
      <formula>#REF!</formula>
    </cfRule>
  </conditionalFormatting>
  <conditionalFormatting sqref="G593">
    <cfRule type="expression" dxfId="21292" priority="3725">
      <formula>AND($A577&lt;&gt;"",MOD(ROW(),2))</formula>
    </cfRule>
  </conditionalFormatting>
  <conditionalFormatting sqref="G593">
    <cfRule type="cellIs" dxfId="21291" priority="3722" operator="equal">
      <formula>#REF!</formula>
    </cfRule>
    <cfRule type="cellIs" dxfId="21290" priority="3723" operator="greaterThan">
      <formula>#REF!</formula>
    </cfRule>
    <cfRule type="cellIs" dxfId="21289" priority="3724" operator="lessThan">
      <formula>#REF!</formula>
    </cfRule>
  </conditionalFormatting>
  <conditionalFormatting sqref="G594">
    <cfRule type="expression" dxfId="21288" priority="3721">
      <formula>AND($A578&lt;&gt;"",MOD(ROW(),2))</formula>
    </cfRule>
  </conditionalFormatting>
  <conditionalFormatting sqref="G594">
    <cfRule type="cellIs" dxfId="21287" priority="3718" operator="equal">
      <formula>#REF!</formula>
    </cfRule>
    <cfRule type="cellIs" dxfId="21286" priority="3719" operator="greaterThan">
      <formula>#REF!</formula>
    </cfRule>
    <cfRule type="cellIs" dxfId="21285" priority="3720" operator="lessThan">
      <formula>#REF!</formula>
    </cfRule>
  </conditionalFormatting>
  <conditionalFormatting sqref="G595">
    <cfRule type="expression" dxfId="21284" priority="3717">
      <formula>AND($A579&lt;&gt;"",MOD(ROW(),2))</formula>
    </cfRule>
  </conditionalFormatting>
  <conditionalFormatting sqref="G595">
    <cfRule type="cellIs" dxfId="21283" priority="3714" operator="equal">
      <formula>#REF!</formula>
    </cfRule>
    <cfRule type="cellIs" dxfId="21282" priority="3715" operator="greaterThan">
      <formula>#REF!</formula>
    </cfRule>
    <cfRule type="cellIs" dxfId="21281" priority="3716" operator="lessThan">
      <formula>#REF!</formula>
    </cfRule>
  </conditionalFormatting>
  <conditionalFormatting sqref="G596">
    <cfRule type="expression" dxfId="21280" priority="3713">
      <formula>AND($A580&lt;&gt;"",MOD(ROW(),2))</formula>
    </cfRule>
  </conditionalFormatting>
  <conditionalFormatting sqref="G596">
    <cfRule type="cellIs" dxfId="21279" priority="3710" operator="equal">
      <formula>#REF!</formula>
    </cfRule>
    <cfRule type="cellIs" dxfId="21278" priority="3711" operator="greaterThan">
      <formula>#REF!</formula>
    </cfRule>
    <cfRule type="cellIs" dxfId="21277" priority="3712" operator="lessThan">
      <formula>#REF!</formula>
    </cfRule>
  </conditionalFormatting>
  <conditionalFormatting sqref="G597">
    <cfRule type="expression" dxfId="21276" priority="3709">
      <formula>AND($A581&lt;&gt;"",MOD(ROW(),2))</formula>
    </cfRule>
  </conditionalFormatting>
  <conditionalFormatting sqref="G597">
    <cfRule type="cellIs" dxfId="21275" priority="3706" operator="equal">
      <formula>#REF!</formula>
    </cfRule>
    <cfRule type="cellIs" dxfId="21274" priority="3707" operator="greaterThan">
      <formula>#REF!</formula>
    </cfRule>
    <cfRule type="cellIs" dxfId="21273" priority="3708" operator="lessThan">
      <formula>#REF!</formula>
    </cfRule>
  </conditionalFormatting>
  <conditionalFormatting sqref="G598">
    <cfRule type="expression" dxfId="21272" priority="3705">
      <formula>AND($A582&lt;&gt;"",MOD(ROW(),2))</formula>
    </cfRule>
  </conditionalFormatting>
  <conditionalFormatting sqref="G598">
    <cfRule type="cellIs" dxfId="21271" priority="3702" operator="equal">
      <formula>#REF!</formula>
    </cfRule>
    <cfRule type="cellIs" dxfId="21270" priority="3703" operator="greaterThan">
      <formula>#REF!</formula>
    </cfRule>
    <cfRule type="cellIs" dxfId="21269" priority="3704" operator="lessThan">
      <formula>#REF!</formula>
    </cfRule>
  </conditionalFormatting>
  <conditionalFormatting sqref="G599">
    <cfRule type="expression" dxfId="21268" priority="3701">
      <formula>AND($A583&lt;&gt;"",MOD(ROW(),2))</formula>
    </cfRule>
  </conditionalFormatting>
  <conditionalFormatting sqref="G599">
    <cfRule type="cellIs" dxfId="21267" priority="3698" operator="equal">
      <formula>#REF!</formula>
    </cfRule>
    <cfRule type="cellIs" dxfId="21266" priority="3699" operator="greaterThan">
      <formula>#REF!</formula>
    </cfRule>
    <cfRule type="cellIs" dxfId="21265" priority="3700" operator="lessThan">
      <formula>#REF!</formula>
    </cfRule>
  </conditionalFormatting>
  <conditionalFormatting sqref="G600">
    <cfRule type="expression" dxfId="21264" priority="3697">
      <formula>AND($A584&lt;&gt;"",MOD(ROW(),2))</formula>
    </cfRule>
  </conditionalFormatting>
  <conditionalFormatting sqref="G600">
    <cfRule type="cellIs" dxfId="21263" priority="3694" operator="equal">
      <formula>#REF!</formula>
    </cfRule>
    <cfRule type="cellIs" dxfId="21262" priority="3695" operator="greaterThan">
      <formula>#REF!</formula>
    </cfRule>
    <cfRule type="cellIs" dxfId="21261" priority="3696" operator="lessThan">
      <formula>#REF!</formula>
    </cfRule>
  </conditionalFormatting>
  <conditionalFormatting sqref="G601">
    <cfRule type="expression" dxfId="21260" priority="3693">
      <formula>AND($A585&lt;&gt;"",MOD(ROW(),2))</formula>
    </cfRule>
  </conditionalFormatting>
  <conditionalFormatting sqref="G601">
    <cfRule type="cellIs" dxfId="21259" priority="3690" operator="equal">
      <formula>#REF!</formula>
    </cfRule>
    <cfRule type="cellIs" dxfId="21258" priority="3691" operator="greaterThan">
      <formula>#REF!</formula>
    </cfRule>
    <cfRule type="cellIs" dxfId="21257" priority="3692" operator="lessThan">
      <formula>#REF!</formula>
    </cfRule>
  </conditionalFormatting>
  <conditionalFormatting sqref="G602">
    <cfRule type="expression" dxfId="21256" priority="3689">
      <formula>AND($A586&lt;&gt;"",MOD(ROW(),2))</formula>
    </cfRule>
  </conditionalFormatting>
  <conditionalFormatting sqref="G602">
    <cfRule type="cellIs" dxfId="21255" priority="3686" operator="equal">
      <formula>#REF!</formula>
    </cfRule>
    <cfRule type="cellIs" dxfId="21254" priority="3687" operator="greaterThan">
      <formula>#REF!</formula>
    </cfRule>
    <cfRule type="cellIs" dxfId="21253" priority="3688" operator="lessThan">
      <formula>#REF!</formula>
    </cfRule>
  </conditionalFormatting>
  <conditionalFormatting sqref="G603">
    <cfRule type="expression" dxfId="21252" priority="3685">
      <formula>AND($A587&lt;&gt;"",MOD(ROW(),2))</formula>
    </cfRule>
  </conditionalFormatting>
  <conditionalFormatting sqref="G603">
    <cfRule type="cellIs" dxfId="21251" priority="3682" operator="equal">
      <formula>#REF!</formula>
    </cfRule>
    <cfRule type="cellIs" dxfId="21250" priority="3683" operator="greaterThan">
      <formula>#REF!</formula>
    </cfRule>
    <cfRule type="cellIs" dxfId="21249" priority="3684" operator="lessThan">
      <formula>#REF!</formula>
    </cfRule>
  </conditionalFormatting>
  <conditionalFormatting sqref="G604">
    <cfRule type="expression" dxfId="21248" priority="3681">
      <formula>AND($A588&lt;&gt;"",MOD(ROW(),2))</formula>
    </cfRule>
  </conditionalFormatting>
  <conditionalFormatting sqref="G604">
    <cfRule type="cellIs" dxfId="21247" priority="3678" operator="equal">
      <formula>#REF!</formula>
    </cfRule>
    <cfRule type="cellIs" dxfId="21246" priority="3679" operator="greaterThan">
      <formula>#REF!</formula>
    </cfRule>
    <cfRule type="cellIs" dxfId="21245" priority="3680" operator="lessThan">
      <formula>#REF!</formula>
    </cfRule>
  </conditionalFormatting>
  <conditionalFormatting sqref="G605">
    <cfRule type="expression" dxfId="21244" priority="3677">
      <formula>AND($A589&lt;&gt;"",MOD(ROW(),2))</formula>
    </cfRule>
  </conditionalFormatting>
  <conditionalFormatting sqref="G605">
    <cfRule type="cellIs" dxfId="21243" priority="3674" operator="equal">
      <formula>#REF!</formula>
    </cfRule>
    <cfRule type="cellIs" dxfId="21242" priority="3675" operator="greaterThan">
      <formula>#REF!</formula>
    </cfRule>
    <cfRule type="cellIs" dxfId="21241" priority="3676" operator="lessThan">
      <formula>#REF!</formula>
    </cfRule>
  </conditionalFormatting>
  <conditionalFormatting sqref="G606">
    <cfRule type="expression" dxfId="21240" priority="3673">
      <formula>AND($A590&lt;&gt;"",MOD(ROW(),2))</formula>
    </cfRule>
  </conditionalFormatting>
  <conditionalFormatting sqref="G606">
    <cfRule type="cellIs" dxfId="21239" priority="3670" operator="equal">
      <formula>#REF!</formula>
    </cfRule>
    <cfRule type="cellIs" dxfId="21238" priority="3671" operator="greaterThan">
      <formula>#REF!</formula>
    </cfRule>
    <cfRule type="cellIs" dxfId="21237" priority="3672" operator="lessThan">
      <formula>#REF!</formula>
    </cfRule>
  </conditionalFormatting>
  <conditionalFormatting sqref="G607">
    <cfRule type="expression" dxfId="21236" priority="3669">
      <formula>AND($A591&lt;&gt;"",MOD(ROW(),2))</formula>
    </cfRule>
  </conditionalFormatting>
  <conditionalFormatting sqref="G607">
    <cfRule type="cellIs" dxfId="21235" priority="3666" operator="equal">
      <formula>#REF!</formula>
    </cfRule>
    <cfRule type="cellIs" dxfId="21234" priority="3667" operator="greaterThan">
      <formula>#REF!</formula>
    </cfRule>
    <cfRule type="cellIs" dxfId="21233" priority="3668" operator="lessThan">
      <formula>#REF!</formula>
    </cfRule>
  </conditionalFormatting>
  <conditionalFormatting sqref="G608">
    <cfRule type="expression" dxfId="21232" priority="3665">
      <formula>AND($A592&lt;&gt;"",MOD(ROW(),2))</formula>
    </cfRule>
  </conditionalFormatting>
  <conditionalFormatting sqref="G608">
    <cfRule type="cellIs" dxfId="21231" priority="3662" operator="equal">
      <formula>#REF!</formula>
    </cfRule>
    <cfRule type="cellIs" dxfId="21230" priority="3663" operator="greaterThan">
      <formula>#REF!</formula>
    </cfRule>
    <cfRule type="cellIs" dxfId="21229" priority="3664" operator="lessThan">
      <formula>#REF!</formula>
    </cfRule>
  </conditionalFormatting>
  <conditionalFormatting sqref="G609">
    <cfRule type="expression" dxfId="21228" priority="3661">
      <formula>AND($A593&lt;&gt;"",MOD(ROW(),2))</formula>
    </cfRule>
  </conditionalFormatting>
  <conditionalFormatting sqref="G609">
    <cfRule type="cellIs" dxfId="21227" priority="3658" operator="equal">
      <formula>#REF!</formula>
    </cfRule>
    <cfRule type="cellIs" dxfId="21226" priority="3659" operator="greaterThan">
      <formula>#REF!</formula>
    </cfRule>
    <cfRule type="cellIs" dxfId="21225" priority="3660" operator="lessThan">
      <formula>#REF!</formula>
    </cfRule>
  </conditionalFormatting>
  <conditionalFormatting sqref="G610">
    <cfRule type="expression" dxfId="21224" priority="3657">
      <formula>AND($A594&lt;&gt;"",MOD(ROW(),2))</formula>
    </cfRule>
  </conditionalFormatting>
  <conditionalFormatting sqref="G610">
    <cfRule type="cellIs" dxfId="21223" priority="3654" operator="equal">
      <formula>#REF!</formula>
    </cfRule>
    <cfRule type="cellIs" dxfId="21222" priority="3655" operator="greaterThan">
      <formula>#REF!</formula>
    </cfRule>
    <cfRule type="cellIs" dxfId="21221" priority="3656" operator="lessThan">
      <formula>#REF!</formula>
    </cfRule>
  </conditionalFormatting>
  <conditionalFormatting sqref="G611">
    <cfRule type="expression" dxfId="21220" priority="3653">
      <formula>AND($A595&lt;&gt;"",MOD(ROW(),2))</formula>
    </cfRule>
  </conditionalFormatting>
  <conditionalFormatting sqref="G611">
    <cfRule type="cellIs" dxfId="21219" priority="3650" operator="equal">
      <formula>#REF!</formula>
    </cfRule>
    <cfRule type="cellIs" dxfId="21218" priority="3651" operator="greaterThan">
      <formula>#REF!</formula>
    </cfRule>
    <cfRule type="cellIs" dxfId="21217" priority="3652" operator="lessThan">
      <formula>#REF!</formula>
    </cfRule>
  </conditionalFormatting>
  <conditionalFormatting sqref="G612">
    <cfRule type="expression" dxfId="21216" priority="3649">
      <formula>AND($A596&lt;&gt;"",MOD(ROW(),2))</formula>
    </cfRule>
  </conditionalFormatting>
  <conditionalFormatting sqref="G612">
    <cfRule type="cellIs" dxfId="21215" priority="3646" operator="equal">
      <formula>#REF!</formula>
    </cfRule>
    <cfRule type="cellIs" dxfId="21214" priority="3647" operator="greaterThan">
      <formula>#REF!</formula>
    </cfRule>
    <cfRule type="cellIs" dxfId="21213" priority="3648" operator="lessThan">
      <formula>#REF!</formula>
    </cfRule>
  </conditionalFormatting>
  <conditionalFormatting sqref="G613">
    <cfRule type="expression" dxfId="21212" priority="3645">
      <formula>AND($A597&lt;&gt;"",MOD(ROW(),2))</formula>
    </cfRule>
  </conditionalFormatting>
  <conditionalFormatting sqref="G613">
    <cfRule type="cellIs" dxfId="21211" priority="3642" operator="equal">
      <formula>#REF!</formula>
    </cfRule>
    <cfRule type="cellIs" dxfId="21210" priority="3643" operator="greaterThan">
      <formula>#REF!</formula>
    </cfRule>
    <cfRule type="cellIs" dxfId="21209" priority="3644" operator="lessThan">
      <formula>#REF!</formula>
    </cfRule>
  </conditionalFormatting>
  <conditionalFormatting sqref="G614">
    <cfRule type="expression" dxfId="21208" priority="3641">
      <formula>AND($A598&lt;&gt;"",MOD(ROW(),2))</formula>
    </cfRule>
  </conditionalFormatting>
  <conditionalFormatting sqref="G614">
    <cfRule type="cellIs" dxfId="21207" priority="3638" operator="equal">
      <formula>#REF!</formula>
    </cfRule>
    <cfRule type="cellIs" dxfId="21206" priority="3639" operator="greaterThan">
      <formula>#REF!</formula>
    </cfRule>
    <cfRule type="cellIs" dxfId="21205" priority="3640" operator="lessThan">
      <formula>#REF!</formula>
    </cfRule>
  </conditionalFormatting>
  <conditionalFormatting sqref="H614">
    <cfRule type="expression" dxfId="21204" priority="3636">
      <formula>AND($A644&lt;&gt;"",MOD(ROW(),2))</formula>
    </cfRule>
  </conditionalFormatting>
  <conditionalFormatting sqref="H614">
    <cfRule type="expression" dxfId="21203" priority="3637">
      <formula>AND(#REF!&lt;&gt;"",MOD(ROW(),2))</formula>
    </cfRule>
  </conditionalFormatting>
  <conditionalFormatting sqref="H614">
    <cfRule type="expression" dxfId="21202" priority="3634">
      <formula>AND($A644&lt;&gt;"",MOD(ROW(),2))</formula>
    </cfRule>
  </conditionalFormatting>
  <conditionalFormatting sqref="H614">
    <cfRule type="expression" dxfId="21201" priority="3635">
      <formula>AND(#REF!&lt;&gt;"",MOD(ROW(),2))</formula>
    </cfRule>
  </conditionalFormatting>
  <conditionalFormatting sqref="H614">
    <cfRule type="expression" dxfId="21200" priority="3632">
      <formula>AND($A644&lt;&gt;"",MOD(ROW(),2))</formula>
    </cfRule>
  </conditionalFormatting>
  <conditionalFormatting sqref="H614">
    <cfRule type="expression" dxfId="21199" priority="3633">
      <formula>AND(#REF!&lt;&gt;"",MOD(ROW(),2))</formula>
    </cfRule>
  </conditionalFormatting>
  <conditionalFormatting sqref="H614">
    <cfRule type="expression" dxfId="21198" priority="3630">
      <formula>AND($A644&lt;&gt;"",MOD(ROW(),2))</formula>
    </cfRule>
  </conditionalFormatting>
  <conditionalFormatting sqref="H614">
    <cfRule type="expression" dxfId="21197" priority="3631">
      <formula>AND(#REF!&lt;&gt;"",MOD(ROW(),2))</formula>
    </cfRule>
  </conditionalFormatting>
  <conditionalFormatting sqref="H614">
    <cfRule type="expression" dxfId="21196" priority="3628">
      <formula>AND($A644&lt;&gt;"",MOD(ROW(),2))</formula>
    </cfRule>
  </conditionalFormatting>
  <conditionalFormatting sqref="H614">
    <cfRule type="expression" dxfId="21195" priority="3629">
      <formula>AND(#REF!&lt;&gt;"",MOD(ROW(),2))</formula>
    </cfRule>
  </conditionalFormatting>
  <conditionalFormatting sqref="H614">
    <cfRule type="expression" dxfId="21194" priority="3626">
      <formula>AND($A644&lt;&gt;"",MOD(ROW(),2))</formula>
    </cfRule>
  </conditionalFormatting>
  <conditionalFormatting sqref="H614">
    <cfRule type="expression" dxfId="21193" priority="3627">
      <formula>AND(#REF!&lt;&gt;"",MOD(ROW(),2))</formula>
    </cfRule>
  </conditionalFormatting>
  <conditionalFormatting sqref="H614">
    <cfRule type="expression" dxfId="21192" priority="3624">
      <formula>AND($A644&lt;&gt;"",MOD(ROW(),2))</formula>
    </cfRule>
  </conditionalFormatting>
  <conditionalFormatting sqref="H614">
    <cfRule type="expression" dxfId="21191" priority="3625">
      <formula>AND(#REF!&lt;&gt;"",MOD(ROW(),2))</formula>
    </cfRule>
  </conditionalFormatting>
  <conditionalFormatting sqref="G615">
    <cfRule type="expression" dxfId="21190" priority="3623">
      <formula>AND($A599&lt;&gt;"",MOD(ROW(),2))</formula>
    </cfRule>
  </conditionalFormatting>
  <conditionalFormatting sqref="G615">
    <cfRule type="cellIs" dxfId="21189" priority="3620" operator="equal">
      <formula>#REF!</formula>
    </cfRule>
    <cfRule type="cellIs" dxfId="21188" priority="3621" operator="greaterThan">
      <formula>#REF!</formula>
    </cfRule>
    <cfRule type="cellIs" dxfId="21187" priority="3622" operator="lessThan">
      <formula>#REF!</formula>
    </cfRule>
  </conditionalFormatting>
  <conditionalFormatting sqref="G616">
    <cfRule type="expression" dxfId="21186" priority="3619">
      <formula>AND($A600&lt;&gt;"",MOD(ROW(),2))</formula>
    </cfRule>
  </conditionalFormatting>
  <conditionalFormatting sqref="G616">
    <cfRule type="cellIs" dxfId="21185" priority="3616" operator="equal">
      <formula>#REF!</formula>
    </cfRule>
    <cfRule type="cellIs" dxfId="21184" priority="3617" operator="greaterThan">
      <formula>#REF!</formula>
    </cfRule>
    <cfRule type="cellIs" dxfId="21183" priority="3618" operator="lessThan">
      <formula>#REF!</formula>
    </cfRule>
  </conditionalFormatting>
  <conditionalFormatting sqref="G617">
    <cfRule type="expression" dxfId="21182" priority="3615">
      <formula>AND($A601&lt;&gt;"",MOD(ROW(),2))</formula>
    </cfRule>
  </conditionalFormatting>
  <conditionalFormatting sqref="G617">
    <cfRule type="cellIs" dxfId="21181" priority="3612" operator="equal">
      <formula>#REF!</formula>
    </cfRule>
    <cfRule type="cellIs" dxfId="21180" priority="3613" operator="greaterThan">
      <formula>#REF!</formula>
    </cfRule>
    <cfRule type="cellIs" dxfId="21179" priority="3614" operator="lessThan">
      <formula>#REF!</formula>
    </cfRule>
  </conditionalFormatting>
  <conditionalFormatting sqref="G618">
    <cfRule type="expression" dxfId="21178" priority="3611">
      <formula>AND($A602&lt;&gt;"",MOD(ROW(),2))</formula>
    </cfRule>
  </conditionalFormatting>
  <conditionalFormatting sqref="G618">
    <cfRule type="cellIs" dxfId="21177" priority="3608" operator="equal">
      <formula>#REF!</formula>
    </cfRule>
    <cfRule type="cellIs" dxfId="21176" priority="3609" operator="greaterThan">
      <formula>#REF!</formula>
    </cfRule>
    <cfRule type="cellIs" dxfId="21175" priority="3610" operator="lessThan">
      <formula>#REF!</formula>
    </cfRule>
  </conditionalFormatting>
  <conditionalFormatting sqref="G619">
    <cfRule type="expression" dxfId="21174" priority="3607">
      <formula>AND($A603&lt;&gt;"",MOD(ROW(),2))</formula>
    </cfRule>
  </conditionalFormatting>
  <conditionalFormatting sqref="G619">
    <cfRule type="cellIs" dxfId="21173" priority="3604" operator="equal">
      <formula>#REF!</formula>
    </cfRule>
    <cfRule type="cellIs" dxfId="21172" priority="3605" operator="greaterThan">
      <formula>#REF!</formula>
    </cfRule>
    <cfRule type="cellIs" dxfId="21171" priority="3606" operator="lessThan">
      <formula>#REF!</formula>
    </cfRule>
  </conditionalFormatting>
  <conditionalFormatting sqref="G620">
    <cfRule type="expression" dxfId="21170" priority="3603">
      <formula>AND($A604&lt;&gt;"",MOD(ROW(),2))</formula>
    </cfRule>
  </conditionalFormatting>
  <conditionalFormatting sqref="G620">
    <cfRule type="cellIs" dxfId="21169" priority="3600" operator="equal">
      <formula>#REF!</formula>
    </cfRule>
    <cfRule type="cellIs" dxfId="21168" priority="3601" operator="greaterThan">
      <formula>#REF!</formula>
    </cfRule>
    <cfRule type="cellIs" dxfId="21167" priority="3602" operator="lessThan">
      <formula>#REF!</formula>
    </cfRule>
  </conditionalFormatting>
  <conditionalFormatting sqref="G622">
    <cfRule type="expression" dxfId="21166" priority="3595">
      <formula>AND($A606&lt;&gt;"",MOD(ROW(),2))</formula>
    </cfRule>
  </conditionalFormatting>
  <conditionalFormatting sqref="G622">
    <cfRule type="cellIs" dxfId="21165" priority="3592" operator="equal">
      <formula>#REF!</formula>
    </cfRule>
    <cfRule type="cellIs" dxfId="21164" priority="3593" operator="greaterThan">
      <formula>#REF!</formula>
    </cfRule>
    <cfRule type="cellIs" dxfId="21163" priority="3594" operator="lessThan">
      <formula>#REF!</formula>
    </cfRule>
  </conditionalFormatting>
  <conditionalFormatting sqref="H622">
    <cfRule type="expression" dxfId="21162" priority="3590">
      <formula>AND($A652&lt;&gt;"",MOD(ROW(),2))</formula>
    </cfRule>
  </conditionalFormatting>
  <conditionalFormatting sqref="H622">
    <cfRule type="expression" dxfId="21161" priority="3591">
      <formula>AND(#REF!&lt;&gt;"",MOD(ROW(),2))</formula>
    </cfRule>
  </conditionalFormatting>
  <conditionalFormatting sqref="H622">
    <cfRule type="expression" dxfId="21160" priority="3588">
      <formula>AND($A652&lt;&gt;"",MOD(ROW(),2))</formula>
    </cfRule>
  </conditionalFormatting>
  <conditionalFormatting sqref="H622">
    <cfRule type="expression" dxfId="21159" priority="3589">
      <formula>AND(#REF!&lt;&gt;"",MOD(ROW(),2))</formula>
    </cfRule>
  </conditionalFormatting>
  <conditionalFormatting sqref="H622">
    <cfRule type="expression" dxfId="21158" priority="3586">
      <formula>AND($A652&lt;&gt;"",MOD(ROW(),2))</formula>
    </cfRule>
  </conditionalFormatting>
  <conditionalFormatting sqref="H622">
    <cfRule type="expression" dxfId="21157" priority="3587">
      <formula>AND(#REF!&lt;&gt;"",MOD(ROW(),2))</formula>
    </cfRule>
  </conditionalFormatting>
  <conditionalFormatting sqref="H622">
    <cfRule type="expression" dxfId="21156" priority="3584">
      <formula>AND($A652&lt;&gt;"",MOD(ROW(),2))</formula>
    </cfRule>
  </conditionalFormatting>
  <conditionalFormatting sqref="H622">
    <cfRule type="expression" dxfId="21155" priority="3585">
      <formula>AND(#REF!&lt;&gt;"",MOD(ROW(),2))</formula>
    </cfRule>
  </conditionalFormatting>
  <conditionalFormatting sqref="H622">
    <cfRule type="expression" dxfId="21154" priority="3582">
      <formula>AND($A652&lt;&gt;"",MOD(ROW(),2))</formula>
    </cfRule>
  </conditionalFormatting>
  <conditionalFormatting sqref="H622">
    <cfRule type="expression" dxfId="21153" priority="3583">
      <formula>AND(#REF!&lt;&gt;"",MOD(ROW(),2))</formula>
    </cfRule>
  </conditionalFormatting>
  <conditionalFormatting sqref="H622">
    <cfRule type="expression" dxfId="21152" priority="3580">
      <formula>AND($A652&lt;&gt;"",MOD(ROW(),2))</formula>
    </cfRule>
  </conditionalFormatting>
  <conditionalFormatting sqref="H622">
    <cfRule type="expression" dxfId="21151" priority="3581">
      <formula>AND(#REF!&lt;&gt;"",MOD(ROW(),2))</formula>
    </cfRule>
  </conditionalFormatting>
  <conditionalFormatting sqref="H622">
    <cfRule type="expression" dxfId="21150" priority="3578">
      <formula>AND($A652&lt;&gt;"",MOD(ROW(),2))</formula>
    </cfRule>
  </conditionalFormatting>
  <conditionalFormatting sqref="H622">
    <cfRule type="expression" dxfId="21149" priority="3579">
      <formula>AND(#REF!&lt;&gt;"",MOD(ROW(),2))</formula>
    </cfRule>
  </conditionalFormatting>
  <conditionalFormatting sqref="H621">
    <cfRule type="expression" dxfId="21148" priority="3577">
      <formula>AND(#REF!&lt;&gt;"",MOD(ROW(),2))</formula>
    </cfRule>
  </conditionalFormatting>
  <conditionalFormatting sqref="H621">
    <cfRule type="expression" dxfId="21147" priority="3576">
      <formula>AND(#REF!&lt;&gt;"",MOD(ROW(),2))</formula>
    </cfRule>
  </conditionalFormatting>
  <conditionalFormatting sqref="H621">
    <cfRule type="expression" dxfId="21146" priority="3575">
      <formula>AND(#REF!&lt;&gt;"",MOD(ROW(),2))</formula>
    </cfRule>
  </conditionalFormatting>
  <conditionalFormatting sqref="H621">
    <cfRule type="expression" dxfId="21145" priority="3574">
      <formula>AND(#REF!&lt;&gt;"",MOD(ROW(),2))</formula>
    </cfRule>
  </conditionalFormatting>
  <conditionalFormatting sqref="H621">
    <cfRule type="expression" dxfId="21144" priority="3573">
      <formula>AND(#REF!&lt;&gt;"",MOD(ROW(),2))</formula>
    </cfRule>
  </conditionalFormatting>
  <conditionalFormatting sqref="H621">
    <cfRule type="expression" dxfId="21143" priority="3572">
      <formula>AND(#REF!&lt;&gt;"",MOD(ROW(),2))</formula>
    </cfRule>
  </conditionalFormatting>
  <conditionalFormatting sqref="H621">
    <cfRule type="expression" dxfId="21142" priority="3571">
      <formula>AND(#REF!&lt;&gt;"",MOD(ROW(),2))</formula>
    </cfRule>
  </conditionalFormatting>
  <conditionalFormatting sqref="G621">
    <cfRule type="expression" dxfId="21141" priority="3570">
      <formula>AND($A605&lt;&gt;"",MOD(ROW(),2))</formula>
    </cfRule>
  </conditionalFormatting>
  <conditionalFormatting sqref="G621">
    <cfRule type="cellIs" dxfId="21140" priority="3567" operator="equal">
      <formula>#REF!</formula>
    </cfRule>
    <cfRule type="cellIs" dxfId="21139" priority="3568" operator="greaterThan">
      <formula>#REF!</formula>
    </cfRule>
    <cfRule type="cellIs" dxfId="21138" priority="3569" operator="lessThan">
      <formula>#REF!</formula>
    </cfRule>
  </conditionalFormatting>
  <conditionalFormatting sqref="H621">
    <cfRule type="expression" dxfId="21137" priority="3565">
      <formula>AND($A651&lt;&gt;"",MOD(ROW(),2))</formula>
    </cfRule>
  </conditionalFormatting>
  <conditionalFormatting sqref="H621">
    <cfRule type="expression" dxfId="21136" priority="3566">
      <formula>AND(#REF!&lt;&gt;"",MOD(ROW(),2))</formula>
    </cfRule>
  </conditionalFormatting>
  <conditionalFormatting sqref="H621">
    <cfRule type="expression" dxfId="21135" priority="3563">
      <formula>AND($A651&lt;&gt;"",MOD(ROW(),2))</formula>
    </cfRule>
  </conditionalFormatting>
  <conditionalFormatting sqref="H621">
    <cfRule type="expression" dxfId="21134" priority="3564">
      <formula>AND(#REF!&lt;&gt;"",MOD(ROW(),2))</formula>
    </cfRule>
  </conditionalFormatting>
  <conditionalFormatting sqref="H621">
    <cfRule type="expression" dxfId="21133" priority="3561">
      <formula>AND($A651&lt;&gt;"",MOD(ROW(),2))</formula>
    </cfRule>
  </conditionalFormatting>
  <conditionalFormatting sqref="H621">
    <cfRule type="expression" dxfId="21132" priority="3562">
      <formula>AND(#REF!&lt;&gt;"",MOD(ROW(),2))</formula>
    </cfRule>
  </conditionalFormatting>
  <conditionalFormatting sqref="H621">
    <cfRule type="expression" dxfId="21131" priority="3559">
      <formula>AND($A651&lt;&gt;"",MOD(ROW(),2))</formula>
    </cfRule>
  </conditionalFormatting>
  <conditionalFormatting sqref="H621">
    <cfRule type="expression" dxfId="21130" priority="3560">
      <formula>AND(#REF!&lt;&gt;"",MOD(ROW(),2))</formula>
    </cfRule>
  </conditionalFormatting>
  <conditionalFormatting sqref="H621">
    <cfRule type="expression" dxfId="21129" priority="3557">
      <formula>AND($A651&lt;&gt;"",MOD(ROW(),2))</formula>
    </cfRule>
  </conditionalFormatting>
  <conditionalFormatting sqref="H621">
    <cfRule type="expression" dxfId="21128" priority="3558">
      <formula>AND(#REF!&lt;&gt;"",MOD(ROW(),2))</formula>
    </cfRule>
  </conditionalFormatting>
  <conditionalFormatting sqref="H621">
    <cfRule type="expression" dxfId="21127" priority="3555">
      <formula>AND($A651&lt;&gt;"",MOD(ROW(),2))</formula>
    </cfRule>
  </conditionalFormatting>
  <conditionalFormatting sqref="H621">
    <cfRule type="expression" dxfId="21126" priority="3556">
      <formula>AND(#REF!&lt;&gt;"",MOD(ROW(),2))</formula>
    </cfRule>
  </conditionalFormatting>
  <conditionalFormatting sqref="H621">
    <cfRule type="expression" dxfId="21125" priority="3553">
      <formula>AND($A651&lt;&gt;"",MOD(ROW(),2))</formula>
    </cfRule>
  </conditionalFormatting>
  <conditionalFormatting sqref="H621">
    <cfRule type="expression" dxfId="21124" priority="3554">
      <formula>AND(#REF!&lt;&gt;"",MOD(ROW(),2))</formula>
    </cfRule>
  </conditionalFormatting>
  <conditionalFormatting sqref="G623">
    <cfRule type="expression" dxfId="21123" priority="3552">
      <formula>AND($A607&lt;&gt;"",MOD(ROW(),2))</formula>
    </cfRule>
  </conditionalFormatting>
  <conditionalFormatting sqref="G623">
    <cfRule type="cellIs" dxfId="21122" priority="3549" operator="equal">
      <formula>#REF!</formula>
    </cfRule>
    <cfRule type="cellIs" dxfId="21121" priority="3550" operator="greaterThan">
      <formula>#REF!</formula>
    </cfRule>
    <cfRule type="cellIs" dxfId="21120" priority="3551" operator="lessThan">
      <formula>#REF!</formula>
    </cfRule>
  </conditionalFormatting>
  <conditionalFormatting sqref="G624">
    <cfRule type="expression" dxfId="21119" priority="3548">
      <formula>AND($A608&lt;&gt;"",MOD(ROW(),2))</formula>
    </cfRule>
  </conditionalFormatting>
  <conditionalFormatting sqref="G624">
    <cfRule type="cellIs" dxfId="21118" priority="3545" operator="equal">
      <formula>#REF!</formula>
    </cfRule>
    <cfRule type="cellIs" dxfId="21117" priority="3546" operator="greaterThan">
      <formula>#REF!</formula>
    </cfRule>
    <cfRule type="cellIs" dxfId="21116" priority="3547" operator="lessThan">
      <formula>#REF!</formula>
    </cfRule>
  </conditionalFormatting>
  <conditionalFormatting sqref="G625">
    <cfRule type="expression" dxfId="21115" priority="3544">
      <formula>AND($A609&lt;&gt;"",MOD(ROW(),2))</formula>
    </cfRule>
  </conditionalFormatting>
  <conditionalFormatting sqref="G625">
    <cfRule type="cellIs" dxfId="21114" priority="3541" operator="equal">
      <formula>#REF!</formula>
    </cfRule>
    <cfRule type="cellIs" dxfId="21113" priority="3542" operator="greaterThan">
      <formula>#REF!</formula>
    </cfRule>
    <cfRule type="cellIs" dxfId="21112" priority="3543" operator="lessThan">
      <formula>#REF!</formula>
    </cfRule>
  </conditionalFormatting>
  <conditionalFormatting sqref="G626">
    <cfRule type="expression" dxfId="21111" priority="3540">
      <formula>AND($A610&lt;&gt;"",MOD(ROW(),2))</formula>
    </cfRule>
  </conditionalFormatting>
  <conditionalFormatting sqref="G626">
    <cfRule type="cellIs" dxfId="21110" priority="3537" operator="equal">
      <formula>#REF!</formula>
    </cfRule>
    <cfRule type="cellIs" dxfId="21109" priority="3538" operator="greaterThan">
      <formula>#REF!</formula>
    </cfRule>
    <cfRule type="cellIs" dxfId="21108" priority="3539" operator="lessThan">
      <formula>#REF!</formula>
    </cfRule>
  </conditionalFormatting>
  <conditionalFormatting sqref="G627">
    <cfRule type="expression" dxfId="21107" priority="3536">
      <formula>AND($A611&lt;&gt;"",MOD(ROW(),2))</formula>
    </cfRule>
  </conditionalFormatting>
  <conditionalFormatting sqref="G627">
    <cfRule type="cellIs" dxfId="21106" priority="3533" operator="equal">
      <formula>#REF!</formula>
    </cfRule>
    <cfRule type="cellIs" dxfId="21105" priority="3534" operator="greaterThan">
      <formula>#REF!</formula>
    </cfRule>
    <cfRule type="cellIs" dxfId="21104" priority="3535" operator="lessThan">
      <formula>#REF!</formula>
    </cfRule>
  </conditionalFormatting>
  <conditionalFormatting sqref="G628">
    <cfRule type="expression" dxfId="21103" priority="3532">
      <formula>AND($A612&lt;&gt;"",MOD(ROW(),2))</formula>
    </cfRule>
  </conditionalFormatting>
  <conditionalFormatting sqref="G628">
    <cfRule type="cellIs" dxfId="21102" priority="3529" operator="equal">
      <formula>#REF!</formula>
    </cfRule>
    <cfRule type="cellIs" dxfId="21101" priority="3530" operator="greaterThan">
      <formula>#REF!</formula>
    </cfRule>
    <cfRule type="cellIs" dxfId="21100" priority="3531" operator="lessThan">
      <formula>#REF!</formula>
    </cfRule>
  </conditionalFormatting>
  <conditionalFormatting sqref="G629">
    <cfRule type="expression" dxfId="21099" priority="3528">
      <formula>AND($A613&lt;&gt;"",MOD(ROW(),2))</formula>
    </cfRule>
  </conditionalFormatting>
  <conditionalFormatting sqref="G629">
    <cfRule type="cellIs" dxfId="21098" priority="3525" operator="equal">
      <formula>#REF!</formula>
    </cfRule>
    <cfRule type="cellIs" dxfId="21097" priority="3526" operator="greaterThan">
      <formula>#REF!</formula>
    </cfRule>
    <cfRule type="cellIs" dxfId="21096" priority="3527" operator="lessThan">
      <formula>#REF!</formula>
    </cfRule>
  </conditionalFormatting>
  <conditionalFormatting sqref="G630">
    <cfRule type="expression" dxfId="21095" priority="3524">
      <formula>AND($A614&lt;&gt;"",MOD(ROW(),2))</formula>
    </cfRule>
  </conditionalFormatting>
  <conditionalFormatting sqref="G630">
    <cfRule type="cellIs" dxfId="21094" priority="3521" operator="equal">
      <formula>#REF!</formula>
    </cfRule>
    <cfRule type="cellIs" dxfId="21093" priority="3522" operator="greaterThan">
      <formula>#REF!</formula>
    </cfRule>
    <cfRule type="cellIs" dxfId="21092" priority="3523" operator="lessThan">
      <formula>#REF!</formula>
    </cfRule>
  </conditionalFormatting>
  <conditionalFormatting sqref="G631">
    <cfRule type="expression" dxfId="21091" priority="3520">
      <formula>AND($A615&lt;&gt;"",MOD(ROW(),2))</formula>
    </cfRule>
  </conditionalFormatting>
  <conditionalFormatting sqref="G631">
    <cfRule type="cellIs" dxfId="21090" priority="3517" operator="equal">
      <formula>#REF!</formula>
    </cfRule>
    <cfRule type="cellIs" dxfId="21089" priority="3518" operator="greaterThan">
      <formula>#REF!</formula>
    </cfRule>
    <cfRule type="cellIs" dxfId="21088" priority="3519" operator="lessThan">
      <formula>#REF!</formula>
    </cfRule>
  </conditionalFormatting>
  <conditionalFormatting sqref="G632">
    <cfRule type="expression" dxfId="21087" priority="3516">
      <formula>AND($A616&lt;&gt;"",MOD(ROW(),2))</formula>
    </cfRule>
  </conditionalFormatting>
  <conditionalFormatting sqref="G632">
    <cfRule type="cellIs" dxfId="21086" priority="3513" operator="equal">
      <formula>#REF!</formula>
    </cfRule>
    <cfRule type="cellIs" dxfId="21085" priority="3514" operator="greaterThan">
      <formula>#REF!</formula>
    </cfRule>
    <cfRule type="cellIs" dxfId="21084" priority="3515" operator="lessThan">
      <formula>#REF!</formula>
    </cfRule>
  </conditionalFormatting>
  <conditionalFormatting sqref="G633">
    <cfRule type="expression" dxfId="21083" priority="3512">
      <formula>AND($A617&lt;&gt;"",MOD(ROW(),2))</formula>
    </cfRule>
  </conditionalFormatting>
  <conditionalFormatting sqref="G633">
    <cfRule type="cellIs" dxfId="21082" priority="3509" operator="equal">
      <formula>#REF!</formula>
    </cfRule>
    <cfRule type="cellIs" dxfId="21081" priority="3510" operator="greaterThan">
      <formula>#REF!</formula>
    </cfRule>
    <cfRule type="cellIs" dxfId="21080" priority="3511" operator="lessThan">
      <formula>#REF!</formula>
    </cfRule>
  </conditionalFormatting>
  <conditionalFormatting sqref="G634">
    <cfRule type="expression" dxfId="21079" priority="3508">
      <formula>AND($A618&lt;&gt;"",MOD(ROW(),2))</formula>
    </cfRule>
  </conditionalFormatting>
  <conditionalFormatting sqref="G634">
    <cfRule type="cellIs" dxfId="21078" priority="3505" operator="equal">
      <formula>#REF!</formula>
    </cfRule>
    <cfRule type="cellIs" dxfId="21077" priority="3506" operator="greaterThan">
      <formula>#REF!</formula>
    </cfRule>
    <cfRule type="cellIs" dxfId="21076" priority="3507" operator="lessThan">
      <formula>#REF!</formula>
    </cfRule>
  </conditionalFormatting>
  <conditionalFormatting sqref="G635">
    <cfRule type="expression" dxfId="21075" priority="3504">
      <formula>AND($A619&lt;&gt;"",MOD(ROW(),2))</formula>
    </cfRule>
  </conditionalFormatting>
  <conditionalFormatting sqref="G635">
    <cfRule type="cellIs" dxfId="21074" priority="3501" operator="equal">
      <formula>#REF!</formula>
    </cfRule>
    <cfRule type="cellIs" dxfId="21073" priority="3502" operator="greaterThan">
      <formula>#REF!</formula>
    </cfRule>
    <cfRule type="cellIs" dxfId="21072" priority="3503" operator="lessThan">
      <formula>#REF!</formula>
    </cfRule>
  </conditionalFormatting>
  <conditionalFormatting sqref="G636">
    <cfRule type="expression" dxfId="21071" priority="3500">
      <formula>AND($A620&lt;&gt;"",MOD(ROW(),2))</formula>
    </cfRule>
  </conditionalFormatting>
  <conditionalFormatting sqref="G636">
    <cfRule type="cellIs" dxfId="21070" priority="3497" operator="equal">
      <formula>#REF!</formula>
    </cfRule>
    <cfRule type="cellIs" dxfId="21069" priority="3498" operator="greaterThan">
      <formula>#REF!</formula>
    </cfRule>
    <cfRule type="cellIs" dxfId="21068" priority="3499" operator="lessThan">
      <formula>#REF!</formula>
    </cfRule>
  </conditionalFormatting>
  <conditionalFormatting sqref="G637">
    <cfRule type="expression" dxfId="21067" priority="3496">
      <formula>AND($A621&lt;&gt;"",MOD(ROW(),2))</formula>
    </cfRule>
  </conditionalFormatting>
  <conditionalFormatting sqref="G637">
    <cfRule type="cellIs" dxfId="21066" priority="3493" operator="equal">
      <formula>#REF!</formula>
    </cfRule>
    <cfRule type="cellIs" dxfId="21065" priority="3494" operator="greaterThan">
      <formula>#REF!</formula>
    </cfRule>
    <cfRule type="cellIs" dxfId="21064" priority="3495" operator="lessThan">
      <formula>#REF!</formula>
    </cfRule>
  </conditionalFormatting>
  <conditionalFormatting sqref="G638">
    <cfRule type="expression" dxfId="21063" priority="3492">
      <formula>AND($A622&lt;&gt;"",MOD(ROW(),2))</formula>
    </cfRule>
  </conditionalFormatting>
  <conditionalFormatting sqref="G638">
    <cfRule type="cellIs" dxfId="21062" priority="3489" operator="equal">
      <formula>#REF!</formula>
    </cfRule>
    <cfRule type="cellIs" dxfId="21061" priority="3490" operator="greaterThan">
      <formula>#REF!</formula>
    </cfRule>
    <cfRule type="cellIs" dxfId="21060" priority="3491" operator="lessThan">
      <formula>#REF!</formula>
    </cfRule>
  </conditionalFormatting>
  <conditionalFormatting sqref="G639">
    <cfRule type="expression" dxfId="21059" priority="3488">
      <formula>AND($A623&lt;&gt;"",MOD(ROW(),2))</formula>
    </cfRule>
  </conditionalFormatting>
  <conditionalFormatting sqref="G639">
    <cfRule type="cellIs" dxfId="21058" priority="3485" operator="equal">
      <formula>#REF!</formula>
    </cfRule>
    <cfRule type="cellIs" dxfId="21057" priority="3486" operator="greaterThan">
      <formula>#REF!</formula>
    </cfRule>
    <cfRule type="cellIs" dxfId="21056" priority="3487" operator="lessThan">
      <formula>#REF!</formula>
    </cfRule>
  </conditionalFormatting>
  <conditionalFormatting sqref="G640">
    <cfRule type="expression" dxfId="21055" priority="3484">
      <formula>AND($A624&lt;&gt;"",MOD(ROW(),2))</formula>
    </cfRule>
  </conditionalFormatting>
  <conditionalFormatting sqref="G640">
    <cfRule type="cellIs" dxfId="21054" priority="3481" operator="equal">
      <formula>#REF!</formula>
    </cfRule>
    <cfRule type="cellIs" dxfId="21053" priority="3482" operator="greaterThan">
      <formula>#REF!</formula>
    </cfRule>
    <cfRule type="cellIs" dxfId="21052" priority="3483" operator="lessThan">
      <formula>#REF!</formula>
    </cfRule>
  </conditionalFormatting>
  <conditionalFormatting sqref="G641">
    <cfRule type="expression" dxfId="21051" priority="3480">
      <formula>AND($A625&lt;&gt;"",MOD(ROW(),2))</formula>
    </cfRule>
  </conditionalFormatting>
  <conditionalFormatting sqref="G641">
    <cfRule type="cellIs" dxfId="21050" priority="3477" operator="equal">
      <formula>#REF!</formula>
    </cfRule>
    <cfRule type="cellIs" dxfId="21049" priority="3478" operator="greaterThan">
      <formula>#REF!</formula>
    </cfRule>
    <cfRule type="cellIs" dxfId="21048" priority="3479" operator="lessThan">
      <formula>#REF!</formula>
    </cfRule>
  </conditionalFormatting>
  <conditionalFormatting sqref="G642">
    <cfRule type="expression" dxfId="21047" priority="3476">
      <formula>AND($A626&lt;&gt;"",MOD(ROW(),2))</formula>
    </cfRule>
  </conditionalFormatting>
  <conditionalFormatting sqref="G642">
    <cfRule type="cellIs" dxfId="21046" priority="3473" operator="equal">
      <formula>#REF!</formula>
    </cfRule>
    <cfRule type="cellIs" dxfId="21045" priority="3474" operator="greaterThan">
      <formula>#REF!</formula>
    </cfRule>
    <cfRule type="cellIs" dxfId="21044" priority="3475" operator="lessThan">
      <formula>#REF!</formula>
    </cfRule>
  </conditionalFormatting>
  <conditionalFormatting sqref="G643">
    <cfRule type="expression" dxfId="21043" priority="3472">
      <formula>AND($A627&lt;&gt;"",MOD(ROW(),2))</formula>
    </cfRule>
  </conditionalFormatting>
  <conditionalFormatting sqref="G643">
    <cfRule type="cellIs" dxfId="21042" priority="3469" operator="equal">
      <formula>#REF!</formula>
    </cfRule>
    <cfRule type="cellIs" dxfId="21041" priority="3470" operator="greaterThan">
      <formula>#REF!</formula>
    </cfRule>
    <cfRule type="cellIs" dxfId="21040" priority="3471" operator="lessThan">
      <formula>#REF!</formula>
    </cfRule>
  </conditionalFormatting>
  <conditionalFormatting sqref="G644">
    <cfRule type="expression" dxfId="21039" priority="3468">
      <formula>AND($A628&lt;&gt;"",MOD(ROW(),2))</formula>
    </cfRule>
  </conditionalFormatting>
  <conditionalFormatting sqref="G644">
    <cfRule type="cellIs" dxfId="21038" priority="3465" operator="equal">
      <formula>#REF!</formula>
    </cfRule>
    <cfRule type="cellIs" dxfId="21037" priority="3466" operator="greaterThan">
      <formula>#REF!</formula>
    </cfRule>
    <cfRule type="cellIs" dxfId="21036" priority="3467" operator="lessThan">
      <formula>#REF!</formula>
    </cfRule>
  </conditionalFormatting>
  <conditionalFormatting sqref="G645">
    <cfRule type="expression" dxfId="21035" priority="3464">
      <formula>AND($A629&lt;&gt;"",MOD(ROW(),2))</formula>
    </cfRule>
  </conditionalFormatting>
  <conditionalFormatting sqref="G645">
    <cfRule type="cellIs" dxfId="21034" priority="3461" operator="equal">
      <formula>#REF!</formula>
    </cfRule>
    <cfRule type="cellIs" dxfId="21033" priority="3462" operator="greaterThan">
      <formula>#REF!</formula>
    </cfRule>
    <cfRule type="cellIs" dxfId="21032" priority="3463" operator="lessThan">
      <formula>#REF!</formula>
    </cfRule>
  </conditionalFormatting>
  <conditionalFormatting sqref="G646">
    <cfRule type="expression" dxfId="21031" priority="3460">
      <formula>AND($A630&lt;&gt;"",MOD(ROW(),2))</formula>
    </cfRule>
  </conditionalFormatting>
  <conditionalFormatting sqref="G646">
    <cfRule type="cellIs" dxfId="21030" priority="3457" operator="equal">
      <formula>#REF!</formula>
    </cfRule>
    <cfRule type="cellIs" dxfId="21029" priority="3458" operator="greaterThan">
      <formula>#REF!</formula>
    </cfRule>
    <cfRule type="cellIs" dxfId="21028" priority="3459" operator="lessThan">
      <formula>#REF!</formula>
    </cfRule>
  </conditionalFormatting>
  <conditionalFormatting sqref="G647">
    <cfRule type="expression" dxfId="21027" priority="3456">
      <formula>AND($A631&lt;&gt;"",MOD(ROW(),2))</formula>
    </cfRule>
  </conditionalFormatting>
  <conditionalFormatting sqref="G647">
    <cfRule type="cellIs" dxfId="21026" priority="3453" operator="equal">
      <formula>#REF!</formula>
    </cfRule>
    <cfRule type="cellIs" dxfId="21025" priority="3454" operator="greaterThan">
      <formula>#REF!</formula>
    </cfRule>
    <cfRule type="cellIs" dxfId="21024" priority="3455" operator="lessThan">
      <formula>#REF!</formula>
    </cfRule>
  </conditionalFormatting>
  <conditionalFormatting sqref="G648">
    <cfRule type="expression" dxfId="21023" priority="3452">
      <formula>AND($A632&lt;&gt;"",MOD(ROW(),2))</formula>
    </cfRule>
  </conditionalFormatting>
  <conditionalFormatting sqref="G648">
    <cfRule type="cellIs" dxfId="21022" priority="3449" operator="equal">
      <formula>#REF!</formula>
    </cfRule>
    <cfRule type="cellIs" dxfId="21021" priority="3450" operator="greaterThan">
      <formula>#REF!</formula>
    </cfRule>
    <cfRule type="cellIs" dxfId="21020" priority="3451" operator="lessThan">
      <formula>#REF!</formula>
    </cfRule>
  </conditionalFormatting>
  <conditionalFormatting sqref="G649">
    <cfRule type="expression" dxfId="21019" priority="3448">
      <formula>AND($A633&lt;&gt;"",MOD(ROW(),2))</formula>
    </cfRule>
  </conditionalFormatting>
  <conditionalFormatting sqref="G649">
    <cfRule type="cellIs" dxfId="21018" priority="3445" operator="equal">
      <formula>#REF!</formula>
    </cfRule>
    <cfRule type="cellIs" dxfId="21017" priority="3446" operator="greaterThan">
      <formula>#REF!</formula>
    </cfRule>
    <cfRule type="cellIs" dxfId="21016" priority="3447" operator="lessThan">
      <formula>#REF!</formula>
    </cfRule>
  </conditionalFormatting>
  <conditionalFormatting sqref="G650">
    <cfRule type="expression" dxfId="21015" priority="3444">
      <formula>AND($A634&lt;&gt;"",MOD(ROW(),2))</formula>
    </cfRule>
  </conditionalFormatting>
  <conditionalFormatting sqref="G650">
    <cfRule type="cellIs" dxfId="21014" priority="3441" operator="equal">
      <formula>#REF!</formula>
    </cfRule>
    <cfRule type="cellIs" dxfId="21013" priority="3442" operator="greaterThan">
      <formula>#REF!</formula>
    </cfRule>
    <cfRule type="cellIs" dxfId="21012" priority="3443" operator="lessThan">
      <formula>#REF!</formula>
    </cfRule>
  </conditionalFormatting>
  <conditionalFormatting sqref="G651">
    <cfRule type="expression" dxfId="21011" priority="3440">
      <formula>AND($A635&lt;&gt;"",MOD(ROW(),2))</formula>
    </cfRule>
  </conditionalFormatting>
  <conditionalFormatting sqref="G651">
    <cfRule type="cellIs" dxfId="21010" priority="3437" operator="equal">
      <formula>#REF!</formula>
    </cfRule>
    <cfRule type="cellIs" dxfId="21009" priority="3438" operator="greaterThan">
      <formula>#REF!</formula>
    </cfRule>
    <cfRule type="cellIs" dxfId="21008" priority="3439" operator="lessThan">
      <formula>#REF!</formula>
    </cfRule>
  </conditionalFormatting>
  <conditionalFormatting sqref="G652">
    <cfRule type="expression" dxfId="21007" priority="3436">
      <formula>AND($A636&lt;&gt;"",MOD(ROW(),2))</formula>
    </cfRule>
  </conditionalFormatting>
  <conditionalFormatting sqref="G652">
    <cfRule type="cellIs" dxfId="21006" priority="3433" operator="equal">
      <formula>#REF!</formula>
    </cfRule>
    <cfRule type="cellIs" dxfId="21005" priority="3434" operator="greaterThan">
      <formula>#REF!</formula>
    </cfRule>
    <cfRule type="cellIs" dxfId="21004" priority="3435" operator="lessThan">
      <formula>#REF!</formula>
    </cfRule>
  </conditionalFormatting>
  <conditionalFormatting sqref="G653">
    <cfRule type="expression" dxfId="21003" priority="3432">
      <formula>AND($A637&lt;&gt;"",MOD(ROW(),2))</formula>
    </cfRule>
  </conditionalFormatting>
  <conditionalFormatting sqref="G653">
    <cfRule type="cellIs" dxfId="21002" priority="3429" operator="equal">
      <formula>#REF!</formula>
    </cfRule>
    <cfRule type="cellIs" dxfId="21001" priority="3430" operator="greaterThan">
      <formula>#REF!</formula>
    </cfRule>
    <cfRule type="cellIs" dxfId="21000" priority="3431" operator="lessThan">
      <formula>#REF!</formula>
    </cfRule>
  </conditionalFormatting>
  <conditionalFormatting sqref="G654">
    <cfRule type="expression" dxfId="20999" priority="3428">
      <formula>AND($A638&lt;&gt;"",MOD(ROW(),2))</formula>
    </cfRule>
  </conditionalFormatting>
  <conditionalFormatting sqref="G654">
    <cfRule type="cellIs" dxfId="20998" priority="3425" operator="equal">
      <formula>#REF!</formula>
    </cfRule>
    <cfRule type="cellIs" dxfId="20997" priority="3426" operator="greaterThan">
      <formula>#REF!</formula>
    </cfRule>
    <cfRule type="cellIs" dxfId="20996" priority="3427" operator="lessThan">
      <formula>#REF!</formula>
    </cfRule>
  </conditionalFormatting>
  <conditionalFormatting sqref="G655">
    <cfRule type="expression" dxfId="20995" priority="3424">
      <formula>AND($A639&lt;&gt;"",MOD(ROW(),2))</formula>
    </cfRule>
  </conditionalFormatting>
  <conditionalFormatting sqref="G655">
    <cfRule type="cellIs" dxfId="20994" priority="3421" operator="equal">
      <formula>#REF!</formula>
    </cfRule>
    <cfRule type="cellIs" dxfId="20993" priority="3422" operator="greaterThan">
      <formula>#REF!</formula>
    </cfRule>
    <cfRule type="cellIs" dxfId="20992" priority="3423" operator="lessThan">
      <formula>#REF!</formula>
    </cfRule>
  </conditionalFormatting>
  <conditionalFormatting sqref="G656">
    <cfRule type="expression" dxfId="20991" priority="3420">
      <formula>AND($A640&lt;&gt;"",MOD(ROW(),2))</formula>
    </cfRule>
  </conditionalFormatting>
  <conditionalFormatting sqref="G656">
    <cfRule type="cellIs" dxfId="20990" priority="3417" operator="equal">
      <formula>#REF!</formula>
    </cfRule>
    <cfRule type="cellIs" dxfId="20989" priority="3418" operator="greaterThan">
      <formula>#REF!</formula>
    </cfRule>
    <cfRule type="cellIs" dxfId="20988" priority="3419" operator="lessThan">
      <formula>#REF!</formula>
    </cfRule>
  </conditionalFormatting>
  <conditionalFormatting sqref="G657">
    <cfRule type="expression" dxfId="20987" priority="3416">
      <formula>AND($A641&lt;&gt;"",MOD(ROW(),2))</formula>
    </cfRule>
  </conditionalFormatting>
  <conditionalFormatting sqref="G657">
    <cfRule type="cellIs" dxfId="20986" priority="3413" operator="equal">
      <formula>#REF!</formula>
    </cfRule>
    <cfRule type="cellIs" dxfId="20985" priority="3414" operator="greaterThan">
      <formula>#REF!</formula>
    </cfRule>
    <cfRule type="cellIs" dxfId="20984" priority="3415" operator="lessThan">
      <formula>#REF!</formula>
    </cfRule>
  </conditionalFormatting>
  <conditionalFormatting sqref="G658">
    <cfRule type="expression" dxfId="20983" priority="3412">
      <formula>AND($A642&lt;&gt;"",MOD(ROW(),2))</formula>
    </cfRule>
  </conditionalFormatting>
  <conditionalFormatting sqref="G658">
    <cfRule type="cellIs" dxfId="20982" priority="3409" operator="equal">
      <formula>#REF!</formula>
    </cfRule>
    <cfRule type="cellIs" dxfId="20981" priority="3410" operator="greaterThan">
      <formula>#REF!</formula>
    </cfRule>
    <cfRule type="cellIs" dxfId="20980" priority="3411" operator="lessThan">
      <formula>#REF!</formula>
    </cfRule>
  </conditionalFormatting>
  <conditionalFormatting sqref="G659">
    <cfRule type="expression" dxfId="20979" priority="3408">
      <formula>AND($A643&lt;&gt;"",MOD(ROW(),2))</formula>
    </cfRule>
  </conditionalFormatting>
  <conditionalFormatting sqref="G659">
    <cfRule type="cellIs" dxfId="20978" priority="3405" operator="equal">
      <formula>#REF!</formula>
    </cfRule>
    <cfRule type="cellIs" dxfId="20977" priority="3406" operator="greaterThan">
      <formula>#REF!</formula>
    </cfRule>
    <cfRule type="cellIs" dxfId="20976" priority="3407" operator="lessThan">
      <formula>#REF!</formula>
    </cfRule>
  </conditionalFormatting>
  <conditionalFormatting sqref="G660">
    <cfRule type="expression" dxfId="20975" priority="3404">
      <formula>AND($A644&lt;&gt;"",MOD(ROW(),2))</formula>
    </cfRule>
  </conditionalFormatting>
  <conditionalFormatting sqref="G660">
    <cfRule type="cellIs" dxfId="20974" priority="3401" operator="equal">
      <formula>#REF!</formula>
    </cfRule>
    <cfRule type="cellIs" dxfId="20973" priority="3402" operator="greaterThan">
      <formula>#REF!</formula>
    </cfRule>
    <cfRule type="cellIs" dxfId="20972" priority="3403" operator="lessThan">
      <formula>#REF!</formula>
    </cfRule>
  </conditionalFormatting>
  <conditionalFormatting sqref="G661">
    <cfRule type="expression" dxfId="20971" priority="3400">
      <formula>AND($A645&lt;&gt;"",MOD(ROW(),2))</formula>
    </cfRule>
  </conditionalFormatting>
  <conditionalFormatting sqref="G661">
    <cfRule type="cellIs" dxfId="20970" priority="3397" operator="equal">
      <formula>#REF!</formula>
    </cfRule>
    <cfRule type="cellIs" dxfId="20969" priority="3398" operator="greaterThan">
      <formula>#REF!</formula>
    </cfRule>
    <cfRule type="cellIs" dxfId="20968" priority="3399" operator="lessThan">
      <formula>#REF!</formula>
    </cfRule>
  </conditionalFormatting>
  <conditionalFormatting sqref="G662">
    <cfRule type="expression" dxfId="20967" priority="3396">
      <formula>AND($A646&lt;&gt;"",MOD(ROW(),2))</formula>
    </cfRule>
  </conditionalFormatting>
  <conditionalFormatting sqref="G662">
    <cfRule type="cellIs" dxfId="20966" priority="3393" operator="equal">
      <formula>#REF!</formula>
    </cfRule>
    <cfRule type="cellIs" dxfId="20965" priority="3394" operator="greaterThan">
      <formula>#REF!</formula>
    </cfRule>
    <cfRule type="cellIs" dxfId="20964" priority="3395" operator="lessThan">
      <formula>#REF!</formula>
    </cfRule>
  </conditionalFormatting>
  <conditionalFormatting sqref="G663">
    <cfRule type="expression" dxfId="20963" priority="3392">
      <formula>AND($A647&lt;&gt;"",MOD(ROW(),2))</formula>
    </cfRule>
  </conditionalFormatting>
  <conditionalFormatting sqref="G663">
    <cfRule type="cellIs" dxfId="20962" priority="3389" operator="equal">
      <formula>#REF!</formula>
    </cfRule>
    <cfRule type="cellIs" dxfId="20961" priority="3390" operator="greaterThan">
      <formula>#REF!</formula>
    </cfRule>
    <cfRule type="cellIs" dxfId="20960" priority="3391" operator="lessThan">
      <formula>#REF!</formula>
    </cfRule>
  </conditionalFormatting>
  <conditionalFormatting sqref="G664">
    <cfRule type="expression" dxfId="20959" priority="3388">
      <formula>AND($A648&lt;&gt;"",MOD(ROW(),2))</formula>
    </cfRule>
  </conditionalFormatting>
  <conditionalFormatting sqref="G664">
    <cfRule type="cellIs" dxfId="20958" priority="3385" operator="equal">
      <formula>#REF!</formula>
    </cfRule>
    <cfRule type="cellIs" dxfId="20957" priority="3386" operator="greaterThan">
      <formula>#REF!</formula>
    </cfRule>
    <cfRule type="cellIs" dxfId="20956" priority="3387" operator="lessThan">
      <formula>#REF!</formula>
    </cfRule>
  </conditionalFormatting>
  <conditionalFormatting sqref="G665">
    <cfRule type="expression" dxfId="20955" priority="3384">
      <formula>AND($A649&lt;&gt;"",MOD(ROW(),2))</formula>
    </cfRule>
  </conditionalFormatting>
  <conditionalFormatting sqref="G665">
    <cfRule type="cellIs" dxfId="20954" priority="3381" operator="equal">
      <formula>#REF!</formula>
    </cfRule>
    <cfRule type="cellIs" dxfId="20953" priority="3382" operator="greaterThan">
      <formula>#REF!</formula>
    </cfRule>
    <cfRule type="cellIs" dxfId="20952" priority="3383" operator="lessThan">
      <formula>#REF!</formula>
    </cfRule>
  </conditionalFormatting>
  <conditionalFormatting sqref="G666">
    <cfRule type="expression" dxfId="20951" priority="3380">
      <formula>AND($A650&lt;&gt;"",MOD(ROW(),2))</formula>
    </cfRule>
  </conditionalFormatting>
  <conditionalFormatting sqref="G666">
    <cfRule type="cellIs" dxfId="20950" priority="3377" operator="equal">
      <formula>#REF!</formula>
    </cfRule>
    <cfRule type="cellIs" dxfId="20949" priority="3378" operator="greaterThan">
      <formula>#REF!</formula>
    </cfRule>
    <cfRule type="cellIs" dxfId="20948" priority="3379" operator="lessThan">
      <formula>#REF!</formula>
    </cfRule>
  </conditionalFormatting>
  <conditionalFormatting sqref="G667">
    <cfRule type="expression" dxfId="20947" priority="3376">
      <formula>AND($A651&lt;&gt;"",MOD(ROW(),2))</formula>
    </cfRule>
  </conditionalFormatting>
  <conditionalFormatting sqref="G667">
    <cfRule type="cellIs" dxfId="20946" priority="3373" operator="equal">
      <formula>#REF!</formula>
    </cfRule>
    <cfRule type="cellIs" dxfId="20945" priority="3374" operator="greaterThan">
      <formula>#REF!</formula>
    </cfRule>
    <cfRule type="cellIs" dxfId="20944" priority="3375" operator="lessThan">
      <formula>#REF!</formula>
    </cfRule>
  </conditionalFormatting>
  <conditionalFormatting sqref="G668">
    <cfRule type="expression" dxfId="20943" priority="3372">
      <formula>AND($A652&lt;&gt;"",MOD(ROW(),2))</formula>
    </cfRule>
  </conditionalFormatting>
  <conditionalFormatting sqref="G668">
    <cfRule type="cellIs" dxfId="20942" priority="3369" operator="equal">
      <formula>#REF!</formula>
    </cfRule>
    <cfRule type="cellIs" dxfId="20941" priority="3370" operator="greaterThan">
      <formula>#REF!</formula>
    </cfRule>
    <cfRule type="cellIs" dxfId="20940" priority="3371" operator="lessThan">
      <formula>#REF!</formula>
    </cfRule>
  </conditionalFormatting>
  <conditionalFormatting sqref="G669">
    <cfRule type="expression" dxfId="20939" priority="3368">
      <formula>AND($A653&lt;&gt;"",MOD(ROW(),2))</formula>
    </cfRule>
  </conditionalFormatting>
  <conditionalFormatting sqref="G669">
    <cfRule type="cellIs" dxfId="20938" priority="3365" operator="equal">
      <formula>#REF!</formula>
    </cfRule>
    <cfRule type="cellIs" dxfId="20937" priority="3366" operator="greaterThan">
      <formula>#REF!</formula>
    </cfRule>
    <cfRule type="cellIs" dxfId="20936" priority="3367" operator="lessThan">
      <formula>#REF!</formula>
    </cfRule>
  </conditionalFormatting>
  <conditionalFormatting sqref="G670">
    <cfRule type="expression" dxfId="20935" priority="3364">
      <formula>AND($A654&lt;&gt;"",MOD(ROW(),2))</formula>
    </cfRule>
  </conditionalFormatting>
  <conditionalFormatting sqref="G670">
    <cfRule type="cellIs" dxfId="20934" priority="3361" operator="equal">
      <formula>#REF!</formula>
    </cfRule>
    <cfRule type="cellIs" dxfId="20933" priority="3362" operator="greaterThan">
      <formula>#REF!</formula>
    </cfRule>
    <cfRule type="cellIs" dxfId="20932" priority="3363" operator="lessThan">
      <formula>#REF!</formula>
    </cfRule>
  </conditionalFormatting>
  <conditionalFormatting sqref="G671">
    <cfRule type="expression" dxfId="20931" priority="3360">
      <formula>AND($A655&lt;&gt;"",MOD(ROW(),2))</formula>
    </cfRule>
  </conditionalFormatting>
  <conditionalFormatting sqref="G671">
    <cfRule type="cellIs" dxfId="20930" priority="3357" operator="equal">
      <formula>#REF!</formula>
    </cfRule>
    <cfRule type="cellIs" dxfId="20929" priority="3358" operator="greaterThan">
      <formula>#REF!</formula>
    </cfRule>
    <cfRule type="cellIs" dxfId="20928" priority="3359" operator="lessThan">
      <formula>#REF!</formula>
    </cfRule>
  </conditionalFormatting>
  <conditionalFormatting sqref="G672">
    <cfRule type="expression" dxfId="20927" priority="3356">
      <formula>AND($A656&lt;&gt;"",MOD(ROW(),2))</formula>
    </cfRule>
  </conditionalFormatting>
  <conditionalFormatting sqref="G672">
    <cfRule type="cellIs" dxfId="20926" priority="3353" operator="equal">
      <formula>#REF!</formula>
    </cfRule>
    <cfRule type="cellIs" dxfId="20925" priority="3354" operator="greaterThan">
      <formula>#REF!</formula>
    </cfRule>
    <cfRule type="cellIs" dxfId="20924" priority="3355" operator="lessThan">
      <formula>#REF!</formula>
    </cfRule>
  </conditionalFormatting>
  <conditionalFormatting sqref="G673">
    <cfRule type="expression" dxfId="20923" priority="3352">
      <formula>AND($A657&lt;&gt;"",MOD(ROW(),2))</formula>
    </cfRule>
  </conditionalFormatting>
  <conditionalFormatting sqref="G673">
    <cfRule type="cellIs" dxfId="20922" priority="3349" operator="equal">
      <formula>#REF!</formula>
    </cfRule>
    <cfRule type="cellIs" dxfId="20921" priority="3350" operator="greaterThan">
      <formula>#REF!</formula>
    </cfRule>
    <cfRule type="cellIs" dxfId="20920" priority="3351" operator="lessThan">
      <formula>#REF!</formula>
    </cfRule>
  </conditionalFormatting>
  <conditionalFormatting sqref="G674">
    <cfRule type="expression" dxfId="20919" priority="3348">
      <formula>AND($A658&lt;&gt;"",MOD(ROW(),2))</formula>
    </cfRule>
  </conditionalFormatting>
  <conditionalFormatting sqref="G674">
    <cfRule type="cellIs" dxfId="20918" priority="3345" operator="equal">
      <formula>#REF!</formula>
    </cfRule>
    <cfRule type="cellIs" dxfId="20917" priority="3346" operator="greaterThan">
      <formula>#REF!</formula>
    </cfRule>
    <cfRule type="cellIs" dxfId="20916" priority="3347" operator="lessThan">
      <formula>#REF!</formula>
    </cfRule>
  </conditionalFormatting>
  <conditionalFormatting sqref="G675">
    <cfRule type="expression" dxfId="20915" priority="3344">
      <formula>AND($A659&lt;&gt;"",MOD(ROW(),2))</formula>
    </cfRule>
  </conditionalFormatting>
  <conditionalFormatting sqref="G675">
    <cfRule type="cellIs" dxfId="20914" priority="3341" operator="equal">
      <formula>#REF!</formula>
    </cfRule>
    <cfRule type="cellIs" dxfId="20913" priority="3342" operator="greaterThan">
      <formula>#REF!</formula>
    </cfRule>
    <cfRule type="cellIs" dxfId="20912" priority="3343" operator="lessThan">
      <formula>#REF!</formula>
    </cfRule>
  </conditionalFormatting>
  <conditionalFormatting sqref="G676">
    <cfRule type="expression" dxfId="20911" priority="3340">
      <formula>AND($A660&lt;&gt;"",MOD(ROW(),2))</formula>
    </cfRule>
  </conditionalFormatting>
  <conditionalFormatting sqref="G676">
    <cfRule type="cellIs" dxfId="20910" priority="3337" operator="equal">
      <formula>#REF!</formula>
    </cfRule>
    <cfRule type="cellIs" dxfId="20909" priority="3338" operator="greaterThan">
      <formula>#REF!</formula>
    </cfRule>
    <cfRule type="cellIs" dxfId="20908" priority="3339" operator="lessThan">
      <formula>#REF!</formula>
    </cfRule>
  </conditionalFormatting>
  <conditionalFormatting sqref="G677">
    <cfRule type="expression" dxfId="20907" priority="3336">
      <formula>AND($A661&lt;&gt;"",MOD(ROW(),2))</formula>
    </cfRule>
  </conditionalFormatting>
  <conditionalFormatting sqref="G677">
    <cfRule type="cellIs" dxfId="20906" priority="3333" operator="equal">
      <formula>#REF!</formula>
    </cfRule>
    <cfRule type="cellIs" dxfId="20905" priority="3334" operator="greaterThan">
      <formula>#REF!</formula>
    </cfRule>
    <cfRule type="cellIs" dxfId="20904" priority="3335" operator="lessThan">
      <formula>#REF!</formula>
    </cfRule>
  </conditionalFormatting>
  <conditionalFormatting sqref="G678">
    <cfRule type="expression" dxfId="20903" priority="3332">
      <formula>AND($A662&lt;&gt;"",MOD(ROW(),2))</formula>
    </cfRule>
  </conditionalFormatting>
  <conditionalFormatting sqref="G678">
    <cfRule type="cellIs" dxfId="20902" priority="3329" operator="equal">
      <formula>#REF!</formula>
    </cfRule>
    <cfRule type="cellIs" dxfId="20901" priority="3330" operator="greaterThan">
      <formula>#REF!</formula>
    </cfRule>
    <cfRule type="cellIs" dxfId="20900" priority="3331" operator="lessThan">
      <formula>#REF!</formula>
    </cfRule>
  </conditionalFormatting>
  <conditionalFormatting sqref="G679">
    <cfRule type="expression" dxfId="20899" priority="3328">
      <formula>AND($A663&lt;&gt;"",MOD(ROW(),2))</formula>
    </cfRule>
  </conditionalFormatting>
  <conditionalFormatting sqref="G679">
    <cfRule type="cellIs" dxfId="20898" priority="3325" operator="equal">
      <formula>#REF!</formula>
    </cfRule>
    <cfRule type="cellIs" dxfId="20897" priority="3326" operator="greaterThan">
      <formula>#REF!</formula>
    </cfRule>
    <cfRule type="cellIs" dxfId="20896" priority="3327" operator="lessThan">
      <formula>#REF!</formula>
    </cfRule>
  </conditionalFormatting>
  <conditionalFormatting sqref="G680">
    <cfRule type="expression" dxfId="20895" priority="3324">
      <formula>AND($A664&lt;&gt;"",MOD(ROW(),2))</formula>
    </cfRule>
  </conditionalFormatting>
  <conditionalFormatting sqref="G680">
    <cfRule type="cellIs" dxfId="20894" priority="3321" operator="equal">
      <formula>#REF!</formula>
    </cfRule>
    <cfRule type="cellIs" dxfId="20893" priority="3322" operator="greaterThan">
      <formula>#REF!</formula>
    </cfRule>
    <cfRule type="cellIs" dxfId="20892" priority="3323" operator="lessThan">
      <formula>#REF!</formula>
    </cfRule>
  </conditionalFormatting>
  <conditionalFormatting sqref="G681">
    <cfRule type="expression" dxfId="20891" priority="3320">
      <formula>AND($A665&lt;&gt;"",MOD(ROW(),2))</formula>
    </cfRule>
  </conditionalFormatting>
  <conditionalFormatting sqref="G681">
    <cfRule type="cellIs" dxfId="20890" priority="3317" operator="equal">
      <formula>#REF!</formula>
    </cfRule>
    <cfRule type="cellIs" dxfId="20889" priority="3318" operator="greaterThan">
      <formula>#REF!</formula>
    </cfRule>
    <cfRule type="cellIs" dxfId="20888" priority="3319" operator="lessThan">
      <formula>#REF!</formula>
    </cfRule>
  </conditionalFormatting>
  <conditionalFormatting sqref="G682">
    <cfRule type="expression" dxfId="20887" priority="3316">
      <formula>AND($A666&lt;&gt;"",MOD(ROW(),2))</formula>
    </cfRule>
  </conditionalFormatting>
  <conditionalFormatting sqref="G682">
    <cfRule type="cellIs" dxfId="20886" priority="3313" operator="equal">
      <formula>#REF!</formula>
    </cfRule>
    <cfRule type="cellIs" dxfId="20885" priority="3314" operator="greaterThan">
      <formula>#REF!</formula>
    </cfRule>
    <cfRule type="cellIs" dxfId="20884" priority="3315" operator="lessThan">
      <formula>#REF!</formula>
    </cfRule>
  </conditionalFormatting>
  <conditionalFormatting sqref="G683">
    <cfRule type="expression" dxfId="20883" priority="3312">
      <formula>AND($A667&lt;&gt;"",MOD(ROW(),2))</formula>
    </cfRule>
  </conditionalFormatting>
  <conditionalFormatting sqref="G683">
    <cfRule type="cellIs" dxfId="20882" priority="3309" operator="equal">
      <formula>#REF!</formula>
    </cfRule>
    <cfRule type="cellIs" dxfId="20881" priority="3310" operator="greaterThan">
      <formula>#REF!</formula>
    </cfRule>
    <cfRule type="cellIs" dxfId="20880" priority="3311" operator="lessThan">
      <formula>#REF!</formula>
    </cfRule>
  </conditionalFormatting>
  <conditionalFormatting sqref="G684">
    <cfRule type="expression" dxfId="20879" priority="3308">
      <formula>AND($A668&lt;&gt;"",MOD(ROW(),2))</formula>
    </cfRule>
  </conditionalFormatting>
  <conditionalFormatting sqref="G684">
    <cfRule type="cellIs" dxfId="20878" priority="3305" operator="equal">
      <formula>#REF!</formula>
    </cfRule>
    <cfRule type="cellIs" dxfId="20877" priority="3306" operator="greaterThan">
      <formula>#REF!</formula>
    </cfRule>
    <cfRule type="cellIs" dxfId="20876" priority="3307" operator="lessThan">
      <formula>#REF!</formula>
    </cfRule>
  </conditionalFormatting>
  <conditionalFormatting sqref="G685">
    <cfRule type="expression" dxfId="20875" priority="3304">
      <formula>AND($A669&lt;&gt;"",MOD(ROW(),2))</formula>
    </cfRule>
  </conditionalFormatting>
  <conditionalFormatting sqref="G685">
    <cfRule type="cellIs" dxfId="20874" priority="3301" operator="equal">
      <formula>#REF!</formula>
    </cfRule>
    <cfRule type="cellIs" dxfId="20873" priority="3302" operator="greaterThan">
      <formula>#REF!</formula>
    </cfRule>
    <cfRule type="cellIs" dxfId="20872" priority="3303" operator="lessThan">
      <formula>#REF!</formula>
    </cfRule>
  </conditionalFormatting>
  <conditionalFormatting sqref="G686">
    <cfRule type="expression" dxfId="20871" priority="3300">
      <formula>AND($A670&lt;&gt;"",MOD(ROW(),2))</formula>
    </cfRule>
  </conditionalFormatting>
  <conditionalFormatting sqref="G686">
    <cfRule type="cellIs" dxfId="20870" priority="3297" operator="equal">
      <formula>#REF!</formula>
    </cfRule>
    <cfRule type="cellIs" dxfId="20869" priority="3298" operator="greaterThan">
      <formula>#REF!</formula>
    </cfRule>
    <cfRule type="cellIs" dxfId="20868" priority="3299" operator="lessThan">
      <formula>#REF!</formula>
    </cfRule>
  </conditionalFormatting>
  <conditionalFormatting sqref="G687">
    <cfRule type="expression" dxfId="20867" priority="3296">
      <formula>AND($A671&lt;&gt;"",MOD(ROW(),2))</formula>
    </cfRule>
  </conditionalFormatting>
  <conditionalFormatting sqref="G687">
    <cfRule type="cellIs" dxfId="20866" priority="3293" operator="equal">
      <formula>#REF!</formula>
    </cfRule>
    <cfRule type="cellIs" dxfId="20865" priority="3294" operator="greaterThan">
      <formula>#REF!</formula>
    </cfRule>
    <cfRule type="cellIs" dxfId="20864" priority="3295" operator="lessThan">
      <formula>#REF!</formula>
    </cfRule>
  </conditionalFormatting>
  <conditionalFormatting sqref="G688">
    <cfRule type="expression" dxfId="20863" priority="3292">
      <formula>AND($A672&lt;&gt;"",MOD(ROW(),2))</formula>
    </cfRule>
  </conditionalFormatting>
  <conditionalFormatting sqref="G688">
    <cfRule type="cellIs" dxfId="20862" priority="3289" operator="equal">
      <formula>#REF!</formula>
    </cfRule>
    <cfRule type="cellIs" dxfId="20861" priority="3290" operator="greaterThan">
      <formula>#REF!</formula>
    </cfRule>
    <cfRule type="cellIs" dxfId="20860" priority="3291" operator="lessThan">
      <formula>#REF!</formula>
    </cfRule>
  </conditionalFormatting>
  <conditionalFormatting sqref="G689">
    <cfRule type="expression" dxfId="20859" priority="3288">
      <formula>AND($A673&lt;&gt;"",MOD(ROW(),2))</formula>
    </cfRule>
  </conditionalFormatting>
  <conditionalFormatting sqref="G689">
    <cfRule type="cellIs" dxfId="20858" priority="3285" operator="equal">
      <formula>#REF!</formula>
    </cfRule>
    <cfRule type="cellIs" dxfId="20857" priority="3286" operator="greaterThan">
      <formula>#REF!</formula>
    </cfRule>
    <cfRule type="cellIs" dxfId="20856" priority="3287" operator="lessThan">
      <formula>#REF!</formula>
    </cfRule>
  </conditionalFormatting>
  <conditionalFormatting sqref="G690">
    <cfRule type="expression" dxfId="20855" priority="3284">
      <formula>AND($A674&lt;&gt;"",MOD(ROW(),2))</formula>
    </cfRule>
  </conditionalFormatting>
  <conditionalFormatting sqref="G690">
    <cfRule type="cellIs" dxfId="20854" priority="3281" operator="equal">
      <formula>#REF!</formula>
    </cfRule>
    <cfRule type="cellIs" dxfId="20853" priority="3282" operator="greaterThan">
      <formula>#REF!</formula>
    </cfRule>
    <cfRule type="cellIs" dxfId="20852" priority="3283" operator="lessThan">
      <formula>#REF!</formula>
    </cfRule>
  </conditionalFormatting>
  <conditionalFormatting sqref="G691">
    <cfRule type="expression" dxfId="20851" priority="3280">
      <formula>AND($A675&lt;&gt;"",MOD(ROW(),2))</formula>
    </cfRule>
  </conditionalFormatting>
  <conditionalFormatting sqref="G691">
    <cfRule type="cellIs" dxfId="20850" priority="3277" operator="equal">
      <formula>#REF!</formula>
    </cfRule>
    <cfRule type="cellIs" dxfId="20849" priority="3278" operator="greaterThan">
      <formula>#REF!</formula>
    </cfRule>
    <cfRule type="cellIs" dxfId="20848" priority="3279" operator="lessThan">
      <formula>#REF!</formula>
    </cfRule>
  </conditionalFormatting>
  <conditionalFormatting sqref="G692">
    <cfRule type="expression" dxfId="20847" priority="3276">
      <formula>AND($A676&lt;&gt;"",MOD(ROW(),2))</formula>
    </cfRule>
  </conditionalFormatting>
  <conditionalFormatting sqref="G692">
    <cfRule type="cellIs" dxfId="20846" priority="3273" operator="equal">
      <formula>#REF!</formula>
    </cfRule>
    <cfRule type="cellIs" dxfId="20845" priority="3274" operator="greaterThan">
      <formula>#REF!</formula>
    </cfRule>
    <cfRule type="cellIs" dxfId="20844" priority="3275" operator="lessThan">
      <formula>#REF!</formula>
    </cfRule>
  </conditionalFormatting>
  <conditionalFormatting sqref="G693">
    <cfRule type="expression" dxfId="20843" priority="3272">
      <formula>AND($A677&lt;&gt;"",MOD(ROW(),2))</formula>
    </cfRule>
  </conditionalFormatting>
  <conditionalFormatting sqref="G693">
    <cfRule type="cellIs" dxfId="20842" priority="3269" operator="equal">
      <formula>#REF!</formula>
    </cfRule>
    <cfRule type="cellIs" dxfId="20841" priority="3270" operator="greaterThan">
      <formula>#REF!</formula>
    </cfRule>
    <cfRule type="cellIs" dxfId="20840" priority="3271" operator="lessThan">
      <formula>#REF!</formula>
    </cfRule>
  </conditionalFormatting>
  <conditionalFormatting sqref="G694">
    <cfRule type="expression" dxfId="20839" priority="3268">
      <formula>AND($A678&lt;&gt;"",MOD(ROW(),2))</formula>
    </cfRule>
  </conditionalFormatting>
  <conditionalFormatting sqref="G694">
    <cfRule type="cellIs" dxfId="20838" priority="3265" operator="equal">
      <formula>#REF!</formula>
    </cfRule>
    <cfRule type="cellIs" dxfId="20837" priority="3266" operator="greaterThan">
      <formula>#REF!</formula>
    </cfRule>
    <cfRule type="cellIs" dxfId="20836" priority="3267" operator="lessThan">
      <formula>#REF!</formula>
    </cfRule>
  </conditionalFormatting>
  <conditionalFormatting sqref="G695">
    <cfRule type="expression" dxfId="20835" priority="3264">
      <formula>AND($A679&lt;&gt;"",MOD(ROW(),2))</formula>
    </cfRule>
  </conditionalFormatting>
  <conditionalFormatting sqref="G695">
    <cfRule type="cellIs" dxfId="20834" priority="3261" operator="equal">
      <formula>#REF!</formula>
    </cfRule>
    <cfRule type="cellIs" dxfId="20833" priority="3262" operator="greaterThan">
      <formula>#REF!</formula>
    </cfRule>
    <cfRule type="cellIs" dxfId="20832" priority="3263" operator="lessThan">
      <formula>#REF!</formula>
    </cfRule>
  </conditionalFormatting>
  <conditionalFormatting sqref="G696">
    <cfRule type="expression" dxfId="20831" priority="3260">
      <formula>AND($A680&lt;&gt;"",MOD(ROW(),2))</formula>
    </cfRule>
  </conditionalFormatting>
  <conditionalFormatting sqref="G696">
    <cfRule type="cellIs" dxfId="20830" priority="3257" operator="equal">
      <formula>#REF!</formula>
    </cfRule>
    <cfRule type="cellIs" dxfId="20829" priority="3258" operator="greaterThan">
      <formula>#REF!</formula>
    </cfRule>
    <cfRule type="cellIs" dxfId="20828" priority="3259" operator="lessThan">
      <formula>#REF!</formula>
    </cfRule>
  </conditionalFormatting>
  <conditionalFormatting sqref="G697">
    <cfRule type="expression" dxfId="20827" priority="3256">
      <formula>AND($A681&lt;&gt;"",MOD(ROW(),2))</formula>
    </cfRule>
  </conditionalFormatting>
  <conditionalFormatting sqref="G697">
    <cfRule type="cellIs" dxfId="20826" priority="3253" operator="equal">
      <formula>#REF!</formula>
    </cfRule>
    <cfRule type="cellIs" dxfId="20825" priority="3254" operator="greaterThan">
      <formula>#REF!</formula>
    </cfRule>
    <cfRule type="cellIs" dxfId="20824" priority="3255" operator="lessThan">
      <formula>#REF!</formula>
    </cfRule>
  </conditionalFormatting>
  <conditionalFormatting sqref="G698">
    <cfRule type="expression" dxfId="20823" priority="3252">
      <formula>AND($A682&lt;&gt;"",MOD(ROW(),2))</formula>
    </cfRule>
  </conditionalFormatting>
  <conditionalFormatting sqref="G698">
    <cfRule type="cellIs" dxfId="20822" priority="3249" operator="equal">
      <formula>#REF!</formula>
    </cfRule>
    <cfRule type="cellIs" dxfId="20821" priority="3250" operator="greaterThan">
      <formula>#REF!</formula>
    </cfRule>
    <cfRule type="cellIs" dxfId="20820" priority="3251" operator="lessThan">
      <formula>#REF!</formula>
    </cfRule>
  </conditionalFormatting>
  <conditionalFormatting sqref="G699">
    <cfRule type="expression" dxfId="20819" priority="3248">
      <formula>AND($A683&lt;&gt;"",MOD(ROW(),2))</formula>
    </cfRule>
  </conditionalFormatting>
  <conditionalFormatting sqref="G699">
    <cfRule type="cellIs" dxfId="20818" priority="3245" operator="equal">
      <formula>#REF!</formula>
    </cfRule>
    <cfRule type="cellIs" dxfId="20817" priority="3246" operator="greaterThan">
      <formula>#REF!</formula>
    </cfRule>
    <cfRule type="cellIs" dxfId="20816" priority="3247" operator="lessThan">
      <formula>#REF!</formula>
    </cfRule>
  </conditionalFormatting>
  <conditionalFormatting sqref="G700">
    <cfRule type="expression" dxfId="20815" priority="3244">
      <formula>AND($A684&lt;&gt;"",MOD(ROW(),2))</formula>
    </cfRule>
  </conditionalFormatting>
  <conditionalFormatting sqref="G700">
    <cfRule type="cellIs" dxfId="20814" priority="3241" operator="equal">
      <formula>#REF!</formula>
    </cfRule>
    <cfRule type="cellIs" dxfId="20813" priority="3242" operator="greaterThan">
      <formula>#REF!</formula>
    </cfRule>
    <cfRule type="cellIs" dxfId="20812" priority="3243" operator="lessThan">
      <formula>#REF!</formula>
    </cfRule>
  </conditionalFormatting>
  <conditionalFormatting sqref="G701">
    <cfRule type="expression" dxfId="20811" priority="3240">
      <formula>AND($A685&lt;&gt;"",MOD(ROW(),2))</formula>
    </cfRule>
  </conditionalFormatting>
  <conditionalFormatting sqref="G701">
    <cfRule type="cellIs" dxfId="20810" priority="3237" operator="equal">
      <formula>#REF!</formula>
    </cfRule>
    <cfRule type="cellIs" dxfId="20809" priority="3238" operator="greaterThan">
      <formula>#REF!</formula>
    </cfRule>
    <cfRule type="cellIs" dxfId="20808" priority="3239" operator="lessThan">
      <formula>#REF!</formula>
    </cfRule>
  </conditionalFormatting>
  <conditionalFormatting sqref="H701">
    <cfRule type="expression" dxfId="20807" priority="3234">
      <formula>AND($A731&lt;&gt;"",MOD(ROW(),2))</formula>
    </cfRule>
  </conditionalFormatting>
  <conditionalFormatting sqref="H701">
    <cfRule type="expression" dxfId="20806" priority="3236">
      <formula>AND(#REF!&lt;&gt;"",MOD(ROW(),2))</formula>
    </cfRule>
  </conditionalFormatting>
  <conditionalFormatting sqref="H701">
    <cfRule type="expression" dxfId="20805" priority="3235">
      <formula>AND(#REF!&lt;&gt;"",MOD(ROW(),2))</formula>
    </cfRule>
  </conditionalFormatting>
  <conditionalFormatting sqref="H701">
    <cfRule type="expression" dxfId="20804" priority="3231">
      <formula>AND($A731&lt;&gt;"",MOD(ROW(),2))</formula>
    </cfRule>
  </conditionalFormatting>
  <conditionalFormatting sqref="H701">
    <cfRule type="expression" dxfId="20803" priority="3233">
      <formula>AND(#REF!&lt;&gt;"",MOD(ROW(),2))</formula>
    </cfRule>
  </conditionalFormatting>
  <conditionalFormatting sqref="H701">
    <cfRule type="expression" dxfId="20802" priority="3232">
      <formula>AND(#REF!&lt;&gt;"",MOD(ROW(),2))</formula>
    </cfRule>
  </conditionalFormatting>
  <conditionalFormatting sqref="H701">
    <cfRule type="expression" dxfId="20801" priority="3228">
      <formula>AND($A731&lt;&gt;"",MOD(ROW(),2))</formula>
    </cfRule>
  </conditionalFormatting>
  <conditionalFormatting sqref="H701">
    <cfRule type="expression" dxfId="20800" priority="3230">
      <formula>AND(#REF!&lt;&gt;"",MOD(ROW(),2))</formula>
    </cfRule>
  </conditionalFormatting>
  <conditionalFormatting sqref="H701">
    <cfRule type="expression" dxfId="20799" priority="3229">
      <formula>AND(#REF!&lt;&gt;"",MOD(ROW(),2))</formula>
    </cfRule>
  </conditionalFormatting>
  <conditionalFormatting sqref="H701">
    <cfRule type="expression" dxfId="20798" priority="3225">
      <formula>AND($A731&lt;&gt;"",MOD(ROW(),2))</formula>
    </cfRule>
  </conditionalFormatting>
  <conditionalFormatting sqref="H701">
    <cfRule type="expression" dxfId="20797" priority="3227">
      <formula>AND(#REF!&lt;&gt;"",MOD(ROW(),2))</formula>
    </cfRule>
  </conditionalFormatting>
  <conditionalFormatting sqref="H701">
    <cfRule type="expression" dxfId="20796" priority="3226">
      <formula>AND(#REF!&lt;&gt;"",MOD(ROW(),2))</formula>
    </cfRule>
  </conditionalFormatting>
  <conditionalFormatting sqref="H701">
    <cfRule type="expression" dxfId="20795" priority="3222">
      <formula>AND($A731&lt;&gt;"",MOD(ROW(),2))</formula>
    </cfRule>
  </conditionalFormatting>
  <conditionalFormatting sqref="H701">
    <cfRule type="expression" dxfId="20794" priority="3224">
      <formula>AND(#REF!&lt;&gt;"",MOD(ROW(),2))</formula>
    </cfRule>
  </conditionalFormatting>
  <conditionalFormatting sqref="H701">
    <cfRule type="expression" dxfId="20793" priority="3223">
      <formula>AND(#REF!&lt;&gt;"",MOD(ROW(),2))</formula>
    </cfRule>
  </conditionalFormatting>
  <conditionalFormatting sqref="H701">
    <cfRule type="expression" dxfId="20792" priority="3219">
      <formula>AND($A731&lt;&gt;"",MOD(ROW(),2))</formula>
    </cfRule>
  </conditionalFormatting>
  <conditionalFormatting sqref="H701">
    <cfRule type="expression" dxfId="20791" priority="3221">
      <formula>AND(#REF!&lt;&gt;"",MOD(ROW(),2))</formula>
    </cfRule>
  </conditionalFormatting>
  <conditionalFormatting sqref="H701">
    <cfRule type="expression" dxfId="20790" priority="3220">
      <formula>AND(#REF!&lt;&gt;"",MOD(ROW(),2))</formula>
    </cfRule>
  </conditionalFormatting>
  <conditionalFormatting sqref="H701">
    <cfRule type="expression" dxfId="20789" priority="3216">
      <formula>AND($A731&lt;&gt;"",MOD(ROW(),2))</formula>
    </cfRule>
  </conditionalFormatting>
  <conditionalFormatting sqref="H701">
    <cfRule type="expression" dxfId="20788" priority="3218">
      <formula>AND(#REF!&lt;&gt;"",MOD(ROW(),2))</formula>
    </cfRule>
  </conditionalFormatting>
  <conditionalFormatting sqref="H701">
    <cfRule type="expression" dxfId="20787" priority="3217">
      <formula>AND(#REF!&lt;&gt;"",MOD(ROW(),2))</formula>
    </cfRule>
  </conditionalFormatting>
  <conditionalFormatting sqref="G702">
    <cfRule type="expression" dxfId="20786" priority="3215">
      <formula>AND($A686&lt;&gt;"",MOD(ROW(),2))</formula>
    </cfRule>
  </conditionalFormatting>
  <conditionalFormatting sqref="G702">
    <cfRule type="cellIs" dxfId="20785" priority="3212" operator="equal">
      <formula>#REF!</formula>
    </cfRule>
    <cfRule type="cellIs" dxfId="20784" priority="3213" operator="greaterThan">
      <formula>#REF!</formula>
    </cfRule>
    <cfRule type="cellIs" dxfId="20783" priority="3214" operator="lessThan">
      <formula>#REF!</formula>
    </cfRule>
  </conditionalFormatting>
  <conditionalFormatting sqref="G703">
    <cfRule type="expression" dxfId="20782" priority="3211">
      <formula>AND($A687&lt;&gt;"",MOD(ROW(),2))</formula>
    </cfRule>
  </conditionalFormatting>
  <conditionalFormatting sqref="G703">
    <cfRule type="cellIs" dxfId="20781" priority="3208" operator="equal">
      <formula>#REF!</formula>
    </cfRule>
    <cfRule type="cellIs" dxfId="20780" priority="3209" operator="greaterThan">
      <formula>#REF!</formula>
    </cfRule>
    <cfRule type="cellIs" dxfId="20779" priority="3210" operator="lessThan">
      <formula>#REF!</formula>
    </cfRule>
  </conditionalFormatting>
  <conditionalFormatting sqref="G704">
    <cfRule type="expression" dxfId="20778" priority="3207">
      <formula>AND($A688&lt;&gt;"",MOD(ROW(),2))</formula>
    </cfRule>
  </conditionalFormatting>
  <conditionalFormatting sqref="G704">
    <cfRule type="cellIs" dxfId="20777" priority="3204" operator="equal">
      <formula>#REF!</formula>
    </cfRule>
    <cfRule type="cellIs" dxfId="20776" priority="3205" operator="greaterThan">
      <formula>#REF!</formula>
    </cfRule>
    <cfRule type="cellIs" dxfId="20775" priority="3206" operator="lessThan">
      <formula>#REF!</formula>
    </cfRule>
  </conditionalFormatting>
  <conditionalFormatting sqref="G705">
    <cfRule type="expression" dxfId="20774" priority="3203">
      <formula>AND($A689&lt;&gt;"",MOD(ROW(),2))</formula>
    </cfRule>
  </conditionalFormatting>
  <conditionalFormatting sqref="G705">
    <cfRule type="cellIs" dxfId="20773" priority="3200" operator="equal">
      <formula>#REF!</formula>
    </cfRule>
    <cfRule type="cellIs" dxfId="20772" priority="3201" operator="greaterThan">
      <formula>#REF!</formula>
    </cfRule>
    <cfRule type="cellIs" dxfId="20771" priority="3202" operator="lessThan">
      <formula>#REF!</formula>
    </cfRule>
  </conditionalFormatting>
  <conditionalFormatting sqref="G706">
    <cfRule type="expression" dxfId="20770" priority="3199">
      <formula>AND($A690&lt;&gt;"",MOD(ROW(),2))</formula>
    </cfRule>
  </conditionalFormatting>
  <conditionalFormatting sqref="G706">
    <cfRule type="cellIs" dxfId="20769" priority="3196" operator="equal">
      <formula>#REF!</formula>
    </cfRule>
    <cfRule type="cellIs" dxfId="20768" priority="3197" operator="greaterThan">
      <formula>#REF!</formula>
    </cfRule>
    <cfRule type="cellIs" dxfId="20767" priority="3198" operator="lessThan">
      <formula>#REF!</formula>
    </cfRule>
  </conditionalFormatting>
  <conditionalFormatting sqref="G707">
    <cfRule type="expression" dxfId="20766" priority="3195">
      <formula>AND($A691&lt;&gt;"",MOD(ROW(),2))</formula>
    </cfRule>
  </conditionalFormatting>
  <conditionalFormatting sqref="G707">
    <cfRule type="cellIs" dxfId="20765" priority="3192" operator="equal">
      <formula>#REF!</formula>
    </cfRule>
    <cfRule type="cellIs" dxfId="20764" priority="3193" operator="greaterThan">
      <formula>#REF!</formula>
    </cfRule>
    <cfRule type="cellIs" dxfId="20763" priority="3194" operator="lessThan">
      <formula>#REF!</formula>
    </cfRule>
  </conditionalFormatting>
  <conditionalFormatting sqref="G708">
    <cfRule type="expression" dxfId="20762" priority="3191">
      <formula>AND($A692&lt;&gt;"",MOD(ROW(),2))</formula>
    </cfRule>
  </conditionalFormatting>
  <conditionalFormatting sqref="G708">
    <cfRule type="cellIs" dxfId="20761" priority="3188" operator="equal">
      <formula>#REF!</formula>
    </cfRule>
    <cfRule type="cellIs" dxfId="20760" priority="3189" operator="greaterThan">
      <formula>#REF!</formula>
    </cfRule>
    <cfRule type="cellIs" dxfId="20759" priority="3190" operator="lessThan">
      <formula>#REF!</formula>
    </cfRule>
  </conditionalFormatting>
  <conditionalFormatting sqref="G709">
    <cfRule type="expression" dxfId="20758" priority="3187">
      <formula>AND($A693&lt;&gt;"",MOD(ROW(),2))</formula>
    </cfRule>
  </conditionalFormatting>
  <conditionalFormatting sqref="G709">
    <cfRule type="cellIs" dxfId="20757" priority="3184" operator="equal">
      <formula>#REF!</formula>
    </cfRule>
    <cfRule type="cellIs" dxfId="20756" priority="3185" operator="greaterThan">
      <formula>#REF!</formula>
    </cfRule>
    <cfRule type="cellIs" dxfId="20755" priority="3186" operator="lessThan">
      <formula>#REF!</formula>
    </cfRule>
  </conditionalFormatting>
  <conditionalFormatting sqref="G710">
    <cfRule type="expression" dxfId="20754" priority="3183">
      <formula>AND($A694&lt;&gt;"",MOD(ROW(),2))</formula>
    </cfRule>
  </conditionalFormatting>
  <conditionalFormatting sqref="G710">
    <cfRule type="cellIs" dxfId="20753" priority="3180" operator="equal">
      <formula>#REF!</formula>
    </cfRule>
    <cfRule type="cellIs" dxfId="20752" priority="3181" operator="greaterThan">
      <formula>#REF!</formula>
    </cfRule>
    <cfRule type="cellIs" dxfId="20751" priority="3182" operator="lessThan">
      <formula>#REF!</formula>
    </cfRule>
  </conditionalFormatting>
  <conditionalFormatting sqref="G711">
    <cfRule type="expression" dxfId="20750" priority="3179">
      <formula>AND($A695&lt;&gt;"",MOD(ROW(),2))</formula>
    </cfRule>
  </conditionalFormatting>
  <conditionalFormatting sqref="G711">
    <cfRule type="cellIs" dxfId="20749" priority="3176" operator="equal">
      <formula>#REF!</formula>
    </cfRule>
    <cfRule type="cellIs" dxfId="20748" priority="3177" operator="greaterThan">
      <formula>#REF!</formula>
    </cfRule>
    <cfRule type="cellIs" dxfId="20747" priority="3178" operator="lessThan">
      <formula>#REF!</formula>
    </cfRule>
  </conditionalFormatting>
  <conditionalFormatting sqref="G712">
    <cfRule type="expression" dxfId="20746" priority="3175">
      <formula>AND($A696&lt;&gt;"",MOD(ROW(),2))</formula>
    </cfRule>
  </conditionalFormatting>
  <conditionalFormatting sqref="G712">
    <cfRule type="cellIs" dxfId="20745" priority="3172" operator="equal">
      <formula>#REF!</formula>
    </cfRule>
    <cfRule type="cellIs" dxfId="20744" priority="3173" operator="greaterThan">
      <formula>#REF!</formula>
    </cfRule>
    <cfRule type="cellIs" dxfId="20743" priority="3174" operator="lessThan">
      <formula>#REF!</formula>
    </cfRule>
  </conditionalFormatting>
  <conditionalFormatting sqref="G713">
    <cfRule type="expression" dxfId="20742" priority="3171">
      <formula>AND($A697&lt;&gt;"",MOD(ROW(),2))</formula>
    </cfRule>
  </conditionalFormatting>
  <conditionalFormatting sqref="G713">
    <cfRule type="cellIs" dxfId="20741" priority="3168" operator="equal">
      <formula>#REF!</formula>
    </cfRule>
    <cfRule type="cellIs" dxfId="20740" priority="3169" operator="greaterThan">
      <formula>#REF!</formula>
    </cfRule>
    <cfRule type="cellIs" dxfId="20739" priority="3170" operator="lessThan">
      <formula>#REF!</formula>
    </cfRule>
  </conditionalFormatting>
  <conditionalFormatting sqref="G714">
    <cfRule type="expression" dxfId="20738" priority="3167">
      <formula>AND($A698&lt;&gt;"",MOD(ROW(),2))</formula>
    </cfRule>
  </conditionalFormatting>
  <conditionalFormatting sqref="G714">
    <cfRule type="cellIs" dxfId="20737" priority="3164" operator="equal">
      <formula>#REF!</formula>
    </cfRule>
    <cfRule type="cellIs" dxfId="20736" priority="3165" operator="greaterThan">
      <formula>#REF!</formula>
    </cfRule>
    <cfRule type="cellIs" dxfId="20735" priority="3166" operator="lessThan">
      <formula>#REF!</formula>
    </cfRule>
  </conditionalFormatting>
  <conditionalFormatting sqref="G715">
    <cfRule type="expression" dxfId="20734" priority="3163">
      <formula>AND($A699&lt;&gt;"",MOD(ROW(),2))</formula>
    </cfRule>
  </conditionalFormatting>
  <conditionalFormatting sqref="G715">
    <cfRule type="cellIs" dxfId="20733" priority="3160" operator="equal">
      <formula>#REF!</formula>
    </cfRule>
    <cfRule type="cellIs" dxfId="20732" priority="3161" operator="greaterThan">
      <formula>#REF!</formula>
    </cfRule>
    <cfRule type="cellIs" dxfId="20731" priority="3162" operator="lessThan">
      <formula>#REF!</formula>
    </cfRule>
  </conditionalFormatting>
  <conditionalFormatting sqref="G716">
    <cfRule type="expression" dxfId="20730" priority="3159">
      <formula>AND($A700&lt;&gt;"",MOD(ROW(),2))</formula>
    </cfRule>
  </conditionalFormatting>
  <conditionalFormatting sqref="G716">
    <cfRule type="cellIs" dxfId="20729" priority="3156" operator="equal">
      <formula>#REF!</formula>
    </cfRule>
    <cfRule type="cellIs" dxfId="20728" priority="3157" operator="greaterThan">
      <formula>#REF!</formula>
    </cfRule>
    <cfRule type="cellIs" dxfId="20727" priority="3158" operator="lessThan">
      <formula>#REF!</formula>
    </cfRule>
  </conditionalFormatting>
  <conditionalFormatting sqref="G717">
    <cfRule type="expression" dxfId="20726" priority="3155">
      <formula>AND($A701&lt;&gt;"",MOD(ROW(),2))</formula>
    </cfRule>
  </conditionalFormatting>
  <conditionalFormatting sqref="G717">
    <cfRule type="cellIs" dxfId="20725" priority="3152" operator="equal">
      <formula>#REF!</formula>
    </cfRule>
    <cfRule type="cellIs" dxfId="20724" priority="3153" operator="greaterThan">
      <formula>#REF!</formula>
    </cfRule>
    <cfRule type="cellIs" dxfId="20723" priority="3154" operator="lessThan">
      <formula>#REF!</formula>
    </cfRule>
  </conditionalFormatting>
  <conditionalFormatting sqref="G718">
    <cfRule type="expression" dxfId="20722" priority="3151">
      <formula>AND($A702&lt;&gt;"",MOD(ROW(),2))</formula>
    </cfRule>
  </conditionalFormatting>
  <conditionalFormatting sqref="G718">
    <cfRule type="cellIs" dxfId="20721" priority="3148" operator="equal">
      <formula>#REF!</formula>
    </cfRule>
    <cfRule type="cellIs" dxfId="20720" priority="3149" operator="greaterThan">
      <formula>#REF!</formula>
    </cfRule>
    <cfRule type="cellIs" dxfId="20719" priority="3150" operator="lessThan">
      <formula>#REF!</formula>
    </cfRule>
  </conditionalFormatting>
  <conditionalFormatting sqref="G719">
    <cfRule type="expression" dxfId="20718" priority="3147">
      <formula>AND($A703&lt;&gt;"",MOD(ROW(),2))</formula>
    </cfRule>
  </conditionalFormatting>
  <conditionalFormatting sqref="G719">
    <cfRule type="cellIs" dxfId="20717" priority="3144" operator="equal">
      <formula>#REF!</formula>
    </cfRule>
    <cfRule type="cellIs" dxfId="20716" priority="3145" operator="greaterThan">
      <formula>#REF!</formula>
    </cfRule>
    <cfRule type="cellIs" dxfId="20715" priority="3146" operator="lessThan">
      <formula>#REF!</formula>
    </cfRule>
  </conditionalFormatting>
  <conditionalFormatting sqref="G720">
    <cfRule type="expression" dxfId="20714" priority="3143">
      <formula>AND($A704&lt;&gt;"",MOD(ROW(),2))</formula>
    </cfRule>
  </conditionalFormatting>
  <conditionalFormatting sqref="G720">
    <cfRule type="cellIs" dxfId="20713" priority="3140" operator="equal">
      <formula>#REF!</formula>
    </cfRule>
    <cfRule type="cellIs" dxfId="20712" priority="3141" operator="greaterThan">
      <formula>#REF!</formula>
    </cfRule>
    <cfRule type="cellIs" dxfId="20711" priority="3142" operator="lessThan">
      <formula>#REF!</formula>
    </cfRule>
  </conditionalFormatting>
  <conditionalFormatting sqref="G721">
    <cfRule type="expression" dxfId="20710" priority="3139">
      <formula>AND($A705&lt;&gt;"",MOD(ROW(),2))</formula>
    </cfRule>
  </conditionalFormatting>
  <conditionalFormatting sqref="G721">
    <cfRule type="cellIs" dxfId="20709" priority="3136" operator="equal">
      <formula>#REF!</formula>
    </cfRule>
    <cfRule type="cellIs" dxfId="20708" priority="3137" operator="greaterThan">
      <formula>#REF!</formula>
    </cfRule>
    <cfRule type="cellIs" dxfId="20707" priority="3138" operator="lessThan">
      <formula>#REF!</formula>
    </cfRule>
  </conditionalFormatting>
  <conditionalFormatting sqref="G722">
    <cfRule type="expression" dxfId="20706" priority="3135">
      <formula>AND($A706&lt;&gt;"",MOD(ROW(),2))</formula>
    </cfRule>
  </conditionalFormatting>
  <conditionalFormatting sqref="G722">
    <cfRule type="cellIs" dxfId="20705" priority="3132" operator="equal">
      <formula>#REF!</formula>
    </cfRule>
    <cfRule type="cellIs" dxfId="20704" priority="3133" operator="greaterThan">
      <formula>#REF!</formula>
    </cfRule>
    <cfRule type="cellIs" dxfId="20703" priority="3134" operator="lessThan">
      <formula>#REF!</formula>
    </cfRule>
  </conditionalFormatting>
  <conditionalFormatting sqref="G723">
    <cfRule type="expression" dxfId="20702" priority="3131">
      <formula>AND($A707&lt;&gt;"",MOD(ROW(),2))</formula>
    </cfRule>
  </conditionalFormatting>
  <conditionalFormatting sqref="G723">
    <cfRule type="cellIs" dxfId="20701" priority="3128" operator="equal">
      <formula>#REF!</formula>
    </cfRule>
    <cfRule type="cellIs" dxfId="20700" priority="3129" operator="greaterThan">
      <formula>#REF!</formula>
    </cfRule>
    <cfRule type="cellIs" dxfId="20699" priority="3130" operator="lessThan">
      <formula>#REF!</formula>
    </cfRule>
  </conditionalFormatting>
  <conditionalFormatting sqref="G724">
    <cfRule type="expression" dxfId="20698" priority="3127">
      <formula>AND($A708&lt;&gt;"",MOD(ROW(),2))</formula>
    </cfRule>
  </conditionalFormatting>
  <conditionalFormatting sqref="G724">
    <cfRule type="cellIs" dxfId="20697" priority="3124" operator="equal">
      <formula>#REF!</formula>
    </cfRule>
    <cfRule type="cellIs" dxfId="20696" priority="3125" operator="greaterThan">
      <formula>#REF!</formula>
    </cfRule>
    <cfRule type="cellIs" dxfId="20695" priority="3126" operator="lessThan">
      <formula>#REF!</formula>
    </cfRule>
  </conditionalFormatting>
  <conditionalFormatting sqref="G725">
    <cfRule type="expression" dxfId="20694" priority="3123">
      <formula>AND($A709&lt;&gt;"",MOD(ROW(),2))</formula>
    </cfRule>
  </conditionalFormatting>
  <conditionalFormatting sqref="G725">
    <cfRule type="cellIs" dxfId="20693" priority="3120" operator="equal">
      <formula>#REF!</formula>
    </cfRule>
    <cfRule type="cellIs" dxfId="20692" priority="3121" operator="greaterThan">
      <formula>#REF!</formula>
    </cfRule>
    <cfRule type="cellIs" dxfId="20691" priority="3122" operator="lessThan">
      <formula>#REF!</formula>
    </cfRule>
  </conditionalFormatting>
  <conditionalFormatting sqref="G726">
    <cfRule type="expression" dxfId="20690" priority="3119">
      <formula>AND($A710&lt;&gt;"",MOD(ROW(),2))</formula>
    </cfRule>
  </conditionalFormatting>
  <conditionalFormatting sqref="G726">
    <cfRule type="cellIs" dxfId="20689" priority="3116" operator="equal">
      <formula>#REF!</formula>
    </cfRule>
    <cfRule type="cellIs" dxfId="20688" priority="3117" operator="greaterThan">
      <formula>#REF!</formula>
    </cfRule>
    <cfRule type="cellIs" dxfId="20687" priority="3118" operator="lessThan">
      <formula>#REF!</formula>
    </cfRule>
  </conditionalFormatting>
  <conditionalFormatting sqref="G727">
    <cfRule type="expression" dxfId="20686" priority="3115">
      <formula>AND($A711&lt;&gt;"",MOD(ROW(),2))</formula>
    </cfRule>
  </conditionalFormatting>
  <conditionalFormatting sqref="G727">
    <cfRule type="cellIs" dxfId="20685" priority="3112" operator="equal">
      <formula>#REF!</formula>
    </cfRule>
    <cfRule type="cellIs" dxfId="20684" priority="3113" operator="greaterThan">
      <formula>#REF!</formula>
    </cfRule>
    <cfRule type="cellIs" dxfId="20683" priority="3114" operator="lessThan">
      <formula>#REF!</formula>
    </cfRule>
  </conditionalFormatting>
  <conditionalFormatting sqref="G728">
    <cfRule type="expression" dxfId="20682" priority="3111">
      <formula>AND($A712&lt;&gt;"",MOD(ROW(),2))</formula>
    </cfRule>
  </conditionalFormatting>
  <conditionalFormatting sqref="G728">
    <cfRule type="cellIs" dxfId="20681" priority="3108" operator="equal">
      <formula>#REF!</formula>
    </cfRule>
    <cfRule type="cellIs" dxfId="20680" priority="3109" operator="greaterThan">
      <formula>#REF!</formula>
    </cfRule>
    <cfRule type="cellIs" dxfId="20679" priority="3110" operator="lessThan">
      <formula>#REF!</formula>
    </cfRule>
  </conditionalFormatting>
  <conditionalFormatting sqref="G729">
    <cfRule type="expression" dxfId="20678" priority="3107">
      <formula>AND($A713&lt;&gt;"",MOD(ROW(),2))</formula>
    </cfRule>
  </conditionalFormatting>
  <conditionalFormatting sqref="G729">
    <cfRule type="cellIs" dxfId="20677" priority="3104" operator="equal">
      <formula>#REF!</formula>
    </cfRule>
    <cfRule type="cellIs" dxfId="20676" priority="3105" operator="greaterThan">
      <formula>#REF!</formula>
    </cfRule>
    <cfRule type="cellIs" dxfId="20675" priority="3106" operator="lessThan">
      <formula>#REF!</formula>
    </cfRule>
  </conditionalFormatting>
  <conditionalFormatting sqref="G730">
    <cfRule type="expression" dxfId="20674" priority="3103">
      <formula>AND($A714&lt;&gt;"",MOD(ROW(),2))</formula>
    </cfRule>
  </conditionalFormatting>
  <conditionalFormatting sqref="G730">
    <cfRule type="cellIs" dxfId="20673" priority="3100" operator="equal">
      <formula>#REF!</formula>
    </cfRule>
    <cfRule type="cellIs" dxfId="20672" priority="3101" operator="greaterThan">
      <formula>#REF!</formula>
    </cfRule>
    <cfRule type="cellIs" dxfId="20671" priority="3102" operator="lessThan">
      <formula>#REF!</formula>
    </cfRule>
  </conditionalFormatting>
  <conditionalFormatting sqref="G731">
    <cfRule type="expression" dxfId="20670" priority="3099">
      <formula>AND($A715&lt;&gt;"",MOD(ROW(),2))</formula>
    </cfRule>
  </conditionalFormatting>
  <conditionalFormatting sqref="G731">
    <cfRule type="cellIs" dxfId="20669" priority="3096" operator="equal">
      <formula>#REF!</formula>
    </cfRule>
    <cfRule type="cellIs" dxfId="20668" priority="3097" operator="greaterThan">
      <formula>#REF!</formula>
    </cfRule>
    <cfRule type="cellIs" dxfId="20667" priority="3098" operator="lessThan">
      <formula>#REF!</formula>
    </cfRule>
  </conditionalFormatting>
  <conditionalFormatting sqref="G732">
    <cfRule type="expression" dxfId="20666" priority="3095">
      <formula>AND($A716&lt;&gt;"",MOD(ROW(),2))</formula>
    </cfRule>
  </conditionalFormatting>
  <conditionalFormatting sqref="G732">
    <cfRule type="cellIs" dxfId="20665" priority="3092" operator="equal">
      <formula>#REF!</formula>
    </cfRule>
    <cfRule type="cellIs" dxfId="20664" priority="3093" operator="greaterThan">
      <formula>#REF!</formula>
    </cfRule>
    <cfRule type="cellIs" dxfId="20663" priority="3094" operator="lessThan">
      <formula>#REF!</formula>
    </cfRule>
  </conditionalFormatting>
  <conditionalFormatting sqref="G733">
    <cfRule type="expression" dxfId="20662" priority="3091">
      <formula>AND($A717&lt;&gt;"",MOD(ROW(),2))</formula>
    </cfRule>
  </conditionalFormatting>
  <conditionalFormatting sqref="G733">
    <cfRule type="cellIs" dxfId="20661" priority="3088" operator="equal">
      <formula>#REF!</formula>
    </cfRule>
    <cfRule type="cellIs" dxfId="20660" priority="3089" operator="greaterThan">
      <formula>#REF!</formula>
    </cfRule>
    <cfRule type="cellIs" dxfId="20659" priority="3090" operator="lessThan">
      <formula>#REF!</formula>
    </cfRule>
  </conditionalFormatting>
  <conditionalFormatting sqref="G734">
    <cfRule type="expression" dxfId="20658" priority="3087">
      <formula>AND($A718&lt;&gt;"",MOD(ROW(),2))</formula>
    </cfRule>
  </conditionalFormatting>
  <conditionalFormatting sqref="G734">
    <cfRule type="cellIs" dxfId="20657" priority="3084" operator="equal">
      <formula>#REF!</formula>
    </cfRule>
    <cfRule type="cellIs" dxfId="20656" priority="3085" operator="greaterThan">
      <formula>#REF!</formula>
    </cfRule>
    <cfRule type="cellIs" dxfId="20655" priority="3086" operator="lessThan">
      <formula>#REF!</formula>
    </cfRule>
  </conditionalFormatting>
  <conditionalFormatting sqref="G735">
    <cfRule type="expression" dxfId="20654" priority="3083">
      <formula>AND($A719&lt;&gt;"",MOD(ROW(),2))</formula>
    </cfRule>
  </conditionalFormatting>
  <conditionalFormatting sqref="G735">
    <cfRule type="cellIs" dxfId="20653" priority="3080" operator="equal">
      <formula>#REF!</formula>
    </cfRule>
    <cfRule type="cellIs" dxfId="20652" priority="3081" operator="greaterThan">
      <formula>#REF!</formula>
    </cfRule>
    <cfRule type="cellIs" dxfId="20651" priority="3082" operator="lessThan">
      <formula>#REF!</formula>
    </cfRule>
  </conditionalFormatting>
  <conditionalFormatting sqref="G736">
    <cfRule type="expression" dxfId="20650" priority="3079">
      <formula>AND($A720&lt;&gt;"",MOD(ROW(),2))</formula>
    </cfRule>
  </conditionalFormatting>
  <conditionalFormatting sqref="G736">
    <cfRule type="cellIs" dxfId="20649" priority="3076" operator="equal">
      <formula>#REF!</formula>
    </cfRule>
    <cfRule type="cellIs" dxfId="20648" priority="3077" operator="greaterThan">
      <formula>#REF!</formula>
    </cfRule>
    <cfRule type="cellIs" dxfId="20647" priority="3078" operator="lessThan">
      <formula>#REF!</formula>
    </cfRule>
  </conditionalFormatting>
  <conditionalFormatting sqref="G737">
    <cfRule type="expression" dxfId="20646" priority="3075">
      <formula>AND($A721&lt;&gt;"",MOD(ROW(),2))</formula>
    </cfRule>
  </conditionalFormatting>
  <conditionalFormatting sqref="G737">
    <cfRule type="cellIs" dxfId="20645" priority="3072" operator="equal">
      <formula>#REF!</formula>
    </cfRule>
    <cfRule type="cellIs" dxfId="20644" priority="3073" operator="greaterThan">
      <formula>#REF!</formula>
    </cfRule>
    <cfRule type="cellIs" dxfId="20643" priority="3074" operator="lessThan">
      <formula>#REF!</formula>
    </cfRule>
  </conditionalFormatting>
  <conditionalFormatting sqref="G738">
    <cfRule type="expression" dxfId="20642" priority="3071">
      <formula>AND($A722&lt;&gt;"",MOD(ROW(),2))</formula>
    </cfRule>
  </conditionalFormatting>
  <conditionalFormatting sqref="G738">
    <cfRule type="cellIs" dxfId="20641" priority="3068" operator="equal">
      <formula>#REF!</formula>
    </cfRule>
    <cfRule type="cellIs" dxfId="20640" priority="3069" operator="greaterThan">
      <formula>#REF!</formula>
    </cfRule>
    <cfRule type="cellIs" dxfId="20639" priority="3070" operator="lessThan">
      <formula>#REF!</formula>
    </cfRule>
  </conditionalFormatting>
  <conditionalFormatting sqref="G739">
    <cfRule type="expression" dxfId="20638" priority="3067">
      <formula>AND($A723&lt;&gt;"",MOD(ROW(),2))</formula>
    </cfRule>
  </conditionalFormatting>
  <conditionalFormatting sqref="G739">
    <cfRule type="cellIs" dxfId="20637" priority="3064" operator="equal">
      <formula>#REF!</formula>
    </cfRule>
    <cfRule type="cellIs" dxfId="20636" priority="3065" operator="greaterThan">
      <formula>#REF!</formula>
    </cfRule>
    <cfRule type="cellIs" dxfId="20635" priority="3066" operator="lessThan">
      <formula>#REF!</formula>
    </cfRule>
  </conditionalFormatting>
  <conditionalFormatting sqref="G740">
    <cfRule type="expression" dxfId="20634" priority="3063">
      <formula>AND($A724&lt;&gt;"",MOD(ROW(),2))</formula>
    </cfRule>
  </conditionalFormatting>
  <conditionalFormatting sqref="G740">
    <cfRule type="cellIs" dxfId="20633" priority="3060" operator="equal">
      <formula>#REF!</formula>
    </cfRule>
    <cfRule type="cellIs" dxfId="20632" priority="3061" operator="greaterThan">
      <formula>#REF!</formula>
    </cfRule>
    <cfRule type="cellIs" dxfId="20631" priority="3062" operator="lessThan">
      <formula>#REF!</formula>
    </cfRule>
  </conditionalFormatting>
  <conditionalFormatting sqref="G741">
    <cfRule type="expression" dxfId="20630" priority="3059">
      <formula>AND($A725&lt;&gt;"",MOD(ROW(),2))</formula>
    </cfRule>
  </conditionalFormatting>
  <conditionalFormatting sqref="G741">
    <cfRule type="cellIs" dxfId="20629" priority="3056" operator="equal">
      <formula>#REF!</formula>
    </cfRule>
    <cfRule type="cellIs" dxfId="20628" priority="3057" operator="greaterThan">
      <formula>#REF!</formula>
    </cfRule>
    <cfRule type="cellIs" dxfId="20627" priority="3058" operator="lessThan">
      <formula>#REF!</formula>
    </cfRule>
  </conditionalFormatting>
  <conditionalFormatting sqref="G742">
    <cfRule type="expression" dxfId="20626" priority="3055">
      <formula>AND($A726&lt;&gt;"",MOD(ROW(),2))</formula>
    </cfRule>
  </conditionalFormatting>
  <conditionalFormatting sqref="G742">
    <cfRule type="cellIs" dxfId="20625" priority="3052" operator="equal">
      <formula>#REF!</formula>
    </cfRule>
    <cfRule type="cellIs" dxfId="20624" priority="3053" operator="greaterThan">
      <formula>#REF!</formula>
    </cfRule>
    <cfRule type="cellIs" dxfId="20623" priority="3054" operator="lessThan">
      <formula>#REF!</formula>
    </cfRule>
  </conditionalFormatting>
  <conditionalFormatting sqref="G743">
    <cfRule type="expression" dxfId="20622" priority="3051">
      <formula>AND($A727&lt;&gt;"",MOD(ROW(),2))</formula>
    </cfRule>
  </conditionalFormatting>
  <conditionalFormatting sqref="G743">
    <cfRule type="cellIs" dxfId="20621" priority="3048" operator="equal">
      <formula>#REF!</formula>
    </cfRule>
    <cfRule type="cellIs" dxfId="20620" priority="3049" operator="greaterThan">
      <formula>#REF!</formula>
    </cfRule>
    <cfRule type="cellIs" dxfId="20619" priority="3050" operator="lessThan">
      <formula>#REF!</formula>
    </cfRule>
  </conditionalFormatting>
  <conditionalFormatting sqref="G744">
    <cfRule type="expression" dxfId="20618" priority="3047">
      <formula>AND($A728&lt;&gt;"",MOD(ROW(),2))</formula>
    </cfRule>
  </conditionalFormatting>
  <conditionalFormatting sqref="G744">
    <cfRule type="cellIs" dxfId="20617" priority="3044" operator="equal">
      <formula>#REF!</formula>
    </cfRule>
    <cfRule type="cellIs" dxfId="20616" priority="3045" operator="greaterThan">
      <formula>#REF!</formula>
    </cfRule>
    <cfRule type="cellIs" dxfId="20615" priority="3046" operator="lessThan">
      <formula>#REF!</formula>
    </cfRule>
  </conditionalFormatting>
  <conditionalFormatting sqref="G745">
    <cfRule type="expression" dxfId="20614" priority="3043">
      <formula>AND($A729&lt;&gt;"",MOD(ROW(),2))</formula>
    </cfRule>
  </conditionalFormatting>
  <conditionalFormatting sqref="G745">
    <cfRule type="cellIs" dxfId="20613" priority="3040" operator="equal">
      <formula>#REF!</formula>
    </cfRule>
    <cfRule type="cellIs" dxfId="20612" priority="3041" operator="greaterThan">
      <formula>#REF!</formula>
    </cfRule>
    <cfRule type="cellIs" dxfId="20611" priority="3042" operator="lessThan">
      <formula>#REF!</formula>
    </cfRule>
  </conditionalFormatting>
  <conditionalFormatting sqref="G746">
    <cfRule type="expression" dxfId="20610" priority="3039">
      <formula>AND($A730&lt;&gt;"",MOD(ROW(),2))</formula>
    </cfRule>
  </conditionalFormatting>
  <conditionalFormatting sqref="G746">
    <cfRule type="cellIs" dxfId="20609" priority="3036" operator="equal">
      <formula>#REF!</formula>
    </cfRule>
    <cfRule type="cellIs" dxfId="20608" priority="3037" operator="greaterThan">
      <formula>#REF!</formula>
    </cfRule>
    <cfRule type="cellIs" dxfId="20607" priority="3038" operator="lessThan">
      <formula>#REF!</formula>
    </cfRule>
  </conditionalFormatting>
  <conditionalFormatting sqref="G747">
    <cfRule type="expression" dxfId="20606" priority="3035">
      <formula>AND($A731&lt;&gt;"",MOD(ROW(),2))</formula>
    </cfRule>
  </conditionalFormatting>
  <conditionalFormatting sqref="G747">
    <cfRule type="cellIs" dxfId="20605" priority="3032" operator="equal">
      <formula>#REF!</formula>
    </cfRule>
    <cfRule type="cellIs" dxfId="20604" priority="3033" operator="greaterThan">
      <formula>#REF!</formula>
    </cfRule>
    <cfRule type="cellIs" dxfId="20603" priority="3034" operator="lessThan">
      <formula>#REF!</formula>
    </cfRule>
  </conditionalFormatting>
  <conditionalFormatting sqref="G748">
    <cfRule type="expression" dxfId="20602" priority="3031">
      <formula>AND($A732&lt;&gt;"",MOD(ROW(),2))</formula>
    </cfRule>
  </conditionalFormatting>
  <conditionalFormatting sqref="G748">
    <cfRule type="cellIs" dxfId="20601" priority="3028" operator="equal">
      <formula>#REF!</formula>
    </cfRule>
    <cfRule type="cellIs" dxfId="20600" priority="3029" operator="greaterThan">
      <formula>#REF!</formula>
    </cfRule>
    <cfRule type="cellIs" dxfId="20599" priority="3030" operator="lessThan">
      <formula>#REF!</formula>
    </cfRule>
  </conditionalFormatting>
  <conditionalFormatting sqref="G749">
    <cfRule type="expression" dxfId="20598" priority="3027">
      <formula>AND($A733&lt;&gt;"",MOD(ROW(),2))</formula>
    </cfRule>
  </conditionalFormatting>
  <conditionalFormatting sqref="G749">
    <cfRule type="cellIs" dxfId="20597" priority="3024" operator="equal">
      <formula>#REF!</formula>
    </cfRule>
    <cfRule type="cellIs" dxfId="20596" priority="3025" operator="greaterThan">
      <formula>#REF!</formula>
    </cfRule>
    <cfRule type="cellIs" dxfId="20595" priority="3026" operator="lessThan">
      <formula>#REF!</formula>
    </cfRule>
  </conditionalFormatting>
  <conditionalFormatting sqref="G750">
    <cfRule type="expression" dxfId="20594" priority="3023">
      <formula>AND($A734&lt;&gt;"",MOD(ROW(),2))</formula>
    </cfRule>
  </conditionalFormatting>
  <conditionalFormatting sqref="G750">
    <cfRule type="cellIs" dxfId="20593" priority="3020" operator="equal">
      <formula>#REF!</formula>
    </cfRule>
    <cfRule type="cellIs" dxfId="20592" priority="3021" operator="greaterThan">
      <formula>#REF!</formula>
    </cfRule>
    <cfRule type="cellIs" dxfId="20591" priority="3022" operator="lessThan">
      <formula>#REF!</formula>
    </cfRule>
  </conditionalFormatting>
  <conditionalFormatting sqref="G751">
    <cfRule type="expression" dxfId="20590" priority="3019">
      <formula>AND($A735&lt;&gt;"",MOD(ROW(),2))</formula>
    </cfRule>
  </conditionalFormatting>
  <conditionalFormatting sqref="G751">
    <cfRule type="cellIs" dxfId="20589" priority="3016" operator="equal">
      <formula>#REF!</formula>
    </cfRule>
    <cfRule type="cellIs" dxfId="20588" priority="3017" operator="greaterThan">
      <formula>#REF!</formula>
    </cfRule>
    <cfRule type="cellIs" dxfId="20587" priority="3018" operator="lessThan">
      <formula>#REF!</formula>
    </cfRule>
  </conditionalFormatting>
  <conditionalFormatting sqref="G752">
    <cfRule type="expression" dxfId="20586" priority="3015">
      <formula>AND($A736&lt;&gt;"",MOD(ROW(),2))</formula>
    </cfRule>
  </conditionalFormatting>
  <conditionalFormatting sqref="G752">
    <cfRule type="cellIs" dxfId="20585" priority="3012" operator="equal">
      <formula>#REF!</formula>
    </cfRule>
    <cfRule type="cellIs" dxfId="20584" priority="3013" operator="greaterThan">
      <formula>#REF!</formula>
    </cfRule>
    <cfRule type="cellIs" dxfId="20583" priority="3014" operator="lessThan">
      <formula>#REF!</formula>
    </cfRule>
  </conditionalFormatting>
  <conditionalFormatting sqref="G753">
    <cfRule type="expression" dxfId="20582" priority="3011">
      <formula>AND($A737&lt;&gt;"",MOD(ROW(),2))</formula>
    </cfRule>
  </conditionalFormatting>
  <conditionalFormatting sqref="G753">
    <cfRule type="cellIs" dxfId="20581" priority="3008" operator="equal">
      <formula>#REF!</formula>
    </cfRule>
    <cfRule type="cellIs" dxfId="20580" priority="3009" operator="greaterThan">
      <formula>#REF!</formula>
    </cfRule>
    <cfRule type="cellIs" dxfId="20579" priority="3010" operator="lessThan">
      <formula>#REF!</formula>
    </cfRule>
  </conditionalFormatting>
  <conditionalFormatting sqref="G754">
    <cfRule type="expression" dxfId="20578" priority="3007">
      <formula>AND($A738&lt;&gt;"",MOD(ROW(),2))</formula>
    </cfRule>
  </conditionalFormatting>
  <conditionalFormatting sqref="G754">
    <cfRule type="cellIs" dxfId="20577" priority="3004" operator="equal">
      <formula>#REF!</formula>
    </cfRule>
    <cfRule type="cellIs" dxfId="20576" priority="3005" operator="greaterThan">
      <formula>#REF!</formula>
    </cfRule>
    <cfRule type="cellIs" dxfId="20575" priority="3006" operator="lessThan">
      <formula>#REF!</formula>
    </cfRule>
  </conditionalFormatting>
  <conditionalFormatting sqref="G755">
    <cfRule type="expression" dxfId="20574" priority="3003">
      <formula>AND($A739&lt;&gt;"",MOD(ROW(),2))</formula>
    </cfRule>
  </conditionalFormatting>
  <conditionalFormatting sqref="G755">
    <cfRule type="cellIs" dxfId="20573" priority="3000" operator="equal">
      <formula>#REF!</formula>
    </cfRule>
    <cfRule type="cellIs" dxfId="20572" priority="3001" operator="greaterThan">
      <formula>#REF!</formula>
    </cfRule>
    <cfRule type="cellIs" dxfId="20571" priority="3002" operator="lessThan">
      <formula>#REF!</formula>
    </cfRule>
  </conditionalFormatting>
  <conditionalFormatting sqref="G757">
    <cfRule type="expression" dxfId="20570" priority="2995">
      <formula>AND($A741&lt;&gt;"",MOD(ROW(),2))</formula>
    </cfRule>
  </conditionalFormatting>
  <conditionalFormatting sqref="G757">
    <cfRule type="cellIs" dxfId="20569" priority="2992" operator="equal">
      <formula>#REF!</formula>
    </cfRule>
    <cfRule type="cellIs" dxfId="20568" priority="2993" operator="greaterThan">
      <formula>#REF!</formula>
    </cfRule>
    <cfRule type="cellIs" dxfId="20567" priority="2994" operator="lessThan">
      <formula>#REF!</formula>
    </cfRule>
  </conditionalFormatting>
  <conditionalFormatting sqref="G756">
    <cfRule type="expression" dxfId="20566" priority="2991">
      <formula>AND($A740&lt;&gt;"",MOD(ROW(),2))</formula>
    </cfRule>
  </conditionalFormatting>
  <conditionalFormatting sqref="G756">
    <cfRule type="cellIs" dxfId="20565" priority="2988" operator="equal">
      <formula>#REF!</formula>
    </cfRule>
    <cfRule type="cellIs" dxfId="20564" priority="2989" operator="greaterThan">
      <formula>#REF!</formula>
    </cfRule>
    <cfRule type="cellIs" dxfId="20563" priority="2990" operator="lessThan">
      <formula>#REF!</formula>
    </cfRule>
  </conditionalFormatting>
  <conditionalFormatting sqref="G758">
    <cfRule type="expression" dxfId="20562" priority="2987">
      <formula>AND($A742&lt;&gt;"",MOD(ROW(),2))</formula>
    </cfRule>
  </conditionalFormatting>
  <conditionalFormatting sqref="G758">
    <cfRule type="cellIs" dxfId="20561" priority="2984" operator="equal">
      <formula>#REF!</formula>
    </cfRule>
    <cfRule type="cellIs" dxfId="20560" priority="2985" operator="greaterThan">
      <formula>#REF!</formula>
    </cfRule>
    <cfRule type="cellIs" dxfId="20559" priority="2986" operator="lessThan">
      <formula>#REF!</formula>
    </cfRule>
  </conditionalFormatting>
  <conditionalFormatting sqref="G759">
    <cfRule type="expression" dxfId="20558" priority="2983">
      <formula>AND($A743&lt;&gt;"",MOD(ROW(),2))</formula>
    </cfRule>
  </conditionalFormatting>
  <conditionalFormatting sqref="G759">
    <cfRule type="cellIs" dxfId="20557" priority="2980" operator="equal">
      <formula>#REF!</formula>
    </cfRule>
    <cfRule type="cellIs" dxfId="20556" priority="2981" operator="greaterThan">
      <formula>#REF!</formula>
    </cfRule>
    <cfRule type="cellIs" dxfId="20555" priority="2982" operator="lessThan">
      <formula>#REF!</formula>
    </cfRule>
  </conditionalFormatting>
  <conditionalFormatting sqref="G760">
    <cfRule type="expression" dxfId="20554" priority="2979">
      <formula>AND($A744&lt;&gt;"",MOD(ROW(),2))</formula>
    </cfRule>
  </conditionalFormatting>
  <conditionalFormatting sqref="G760">
    <cfRule type="cellIs" dxfId="20553" priority="2976" operator="equal">
      <formula>#REF!</formula>
    </cfRule>
    <cfRule type="cellIs" dxfId="20552" priority="2977" operator="greaterThan">
      <formula>#REF!</formula>
    </cfRule>
    <cfRule type="cellIs" dxfId="20551" priority="2978" operator="lessThan">
      <formula>#REF!</formula>
    </cfRule>
  </conditionalFormatting>
  <conditionalFormatting sqref="G761">
    <cfRule type="expression" dxfId="20550" priority="2975">
      <formula>AND($A745&lt;&gt;"",MOD(ROW(),2))</formula>
    </cfRule>
  </conditionalFormatting>
  <conditionalFormatting sqref="G761">
    <cfRule type="cellIs" dxfId="20549" priority="2972" operator="equal">
      <formula>#REF!</formula>
    </cfRule>
    <cfRule type="cellIs" dxfId="20548" priority="2973" operator="greaterThan">
      <formula>#REF!</formula>
    </cfRule>
    <cfRule type="cellIs" dxfId="20547" priority="2974" operator="lessThan">
      <formula>#REF!</formula>
    </cfRule>
  </conditionalFormatting>
  <conditionalFormatting sqref="G762">
    <cfRule type="expression" dxfId="20546" priority="2971">
      <formula>AND($A746&lt;&gt;"",MOD(ROW(),2))</formula>
    </cfRule>
  </conditionalFormatting>
  <conditionalFormatting sqref="G762">
    <cfRule type="cellIs" dxfId="20545" priority="2968" operator="equal">
      <formula>#REF!</formula>
    </cfRule>
    <cfRule type="cellIs" dxfId="20544" priority="2969" operator="greaterThan">
      <formula>#REF!</formula>
    </cfRule>
    <cfRule type="cellIs" dxfId="20543" priority="2970" operator="lessThan">
      <formula>#REF!</formula>
    </cfRule>
  </conditionalFormatting>
  <conditionalFormatting sqref="G763">
    <cfRule type="expression" dxfId="20542" priority="2967">
      <formula>AND($A747&lt;&gt;"",MOD(ROW(),2))</formula>
    </cfRule>
  </conditionalFormatting>
  <conditionalFormatting sqref="G763">
    <cfRule type="cellIs" dxfId="20541" priority="2964" operator="equal">
      <formula>#REF!</formula>
    </cfRule>
    <cfRule type="cellIs" dxfId="20540" priority="2965" operator="greaterThan">
      <formula>#REF!</formula>
    </cfRule>
    <cfRule type="cellIs" dxfId="20539" priority="2966" operator="lessThan">
      <formula>#REF!</formula>
    </cfRule>
  </conditionalFormatting>
  <conditionalFormatting sqref="G764">
    <cfRule type="expression" dxfId="20538" priority="2963">
      <formula>AND($A748&lt;&gt;"",MOD(ROW(),2))</formula>
    </cfRule>
  </conditionalFormatting>
  <conditionalFormatting sqref="G764">
    <cfRule type="cellIs" dxfId="20537" priority="2960" operator="equal">
      <formula>#REF!</formula>
    </cfRule>
    <cfRule type="cellIs" dxfId="20536" priority="2961" operator="greaterThan">
      <formula>#REF!</formula>
    </cfRule>
    <cfRule type="cellIs" dxfId="20535" priority="2962" operator="lessThan">
      <formula>#REF!</formula>
    </cfRule>
  </conditionalFormatting>
  <conditionalFormatting sqref="G765">
    <cfRule type="expression" dxfId="20534" priority="2959">
      <formula>AND($A749&lt;&gt;"",MOD(ROW(),2))</formula>
    </cfRule>
  </conditionalFormatting>
  <conditionalFormatting sqref="G765">
    <cfRule type="cellIs" dxfId="20533" priority="2956" operator="equal">
      <formula>#REF!</formula>
    </cfRule>
    <cfRule type="cellIs" dxfId="20532" priority="2957" operator="greaterThan">
      <formula>#REF!</formula>
    </cfRule>
    <cfRule type="cellIs" dxfId="20531" priority="2958" operator="lessThan">
      <formula>#REF!</formula>
    </cfRule>
  </conditionalFormatting>
  <conditionalFormatting sqref="G766">
    <cfRule type="expression" dxfId="20530" priority="2955">
      <formula>AND($A750&lt;&gt;"",MOD(ROW(),2))</formula>
    </cfRule>
  </conditionalFormatting>
  <conditionalFormatting sqref="G766">
    <cfRule type="cellIs" dxfId="20529" priority="2952" operator="equal">
      <formula>#REF!</formula>
    </cfRule>
    <cfRule type="cellIs" dxfId="20528" priority="2953" operator="greaterThan">
      <formula>#REF!</formula>
    </cfRule>
    <cfRule type="cellIs" dxfId="20527" priority="2954" operator="lessThan">
      <formula>#REF!</formula>
    </cfRule>
  </conditionalFormatting>
  <conditionalFormatting sqref="G767">
    <cfRule type="expression" dxfId="20526" priority="2951">
      <formula>AND($A751&lt;&gt;"",MOD(ROW(),2))</formula>
    </cfRule>
  </conditionalFormatting>
  <conditionalFormatting sqref="G767">
    <cfRule type="cellIs" dxfId="20525" priority="2948" operator="equal">
      <formula>#REF!</formula>
    </cfRule>
    <cfRule type="cellIs" dxfId="20524" priority="2949" operator="greaterThan">
      <formula>#REF!</formula>
    </cfRule>
    <cfRule type="cellIs" dxfId="20523" priority="2950" operator="lessThan">
      <formula>#REF!</formula>
    </cfRule>
  </conditionalFormatting>
  <conditionalFormatting sqref="G768">
    <cfRule type="expression" dxfId="20522" priority="2947">
      <formula>AND($A752&lt;&gt;"",MOD(ROW(),2))</formula>
    </cfRule>
  </conditionalFormatting>
  <conditionalFormatting sqref="G768">
    <cfRule type="cellIs" dxfId="20521" priority="2944" operator="equal">
      <formula>#REF!</formula>
    </cfRule>
    <cfRule type="cellIs" dxfId="20520" priority="2945" operator="greaterThan">
      <formula>#REF!</formula>
    </cfRule>
    <cfRule type="cellIs" dxfId="20519" priority="2946" operator="lessThan">
      <formula>#REF!</formula>
    </cfRule>
  </conditionalFormatting>
  <conditionalFormatting sqref="G769">
    <cfRule type="expression" dxfId="20518" priority="2943">
      <formula>AND($A753&lt;&gt;"",MOD(ROW(),2))</formula>
    </cfRule>
  </conditionalFormatting>
  <conditionalFormatting sqref="G769">
    <cfRule type="cellIs" dxfId="20517" priority="2940" operator="equal">
      <formula>#REF!</formula>
    </cfRule>
    <cfRule type="cellIs" dxfId="20516" priority="2941" operator="greaterThan">
      <formula>#REF!</formula>
    </cfRule>
    <cfRule type="cellIs" dxfId="20515" priority="2942" operator="lessThan">
      <formula>#REF!</formula>
    </cfRule>
  </conditionalFormatting>
  <conditionalFormatting sqref="G770">
    <cfRule type="expression" dxfId="20514" priority="2939">
      <formula>AND($A754&lt;&gt;"",MOD(ROW(),2))</formula>
    </cfRule>
  </conditionalFormatting>
  <conditionalFormatting sqref="G770">
    <cfRule type="cellIs" dxfId="20513" priority="2936" operator="equal">
      <formula>#REF!</formula>
    </cfRule>
    <cfRule type="cellIs" dxfId="20512" priority="2937" operator="greaterThan">
      <formula>#REF!</formula>
    </cfRule>
    <cfRule type="cellIs" dxfId="20511" priority="2938" operator="lessThan">
      <formula>#REF!</formula>
    </cfRule>
  </conditionalFormatting>
  <conditionalFormatting sqref="G771">
    <cfRule type="expression" dxfId="20510" priority="2935">
      <formula>AND($A755&lt;&gt;"",MOD(ROW(),2))</formula>
    </cfRule>
  </conditionalFormatting>
  <conditionalFormatting sqref="G771">
    <cfRule type="cellIs" dxfId="20509" priority="2932" operator="equal">
      <formula>#REF!</formula>
    </cfRule>
    <cfRule type="cellIs" dxfId="20508" priority="2933" operator="greaterThan">
      <formula>#REF!</formula>
    </cfRule>
    <cfRule type="cellIs" dxfId="20507" priority="2934" operator="lessThan">
      <formula>#REF!</formula>
    </cfRule>
  </conditionalFormatting>
  <conditionalFormatting sqref="G772">
    <cfRule type="expression" dxfId="20506" priority="2931">
      <formula>AND($A756&lt;&gt;"",MOD(ROW(),2))</formula>
    </cfRule>
  </conditionalFormatting>
  <conditionalFormatting sqref="G772">
    <cfRule type="cellIs" dxfId="20505" priority="2928" operator="equal">
      <formula>#REF!</formula>
    </cfRule>
    <cfRule type="cellIs" dxfId="20504" priority="2929" operator="greaterThan">
      <formula>#REF!</formula>
    </cfRule>
    <cfRule type="cellIs" dxfId="20503" priority="2930" operator="lessThan">
      <formula>#REF!</formula>
    </cfRule>
  </conditionalFormatting>
  <conditionalFormatting sqref="G773">
    <cfRule type="expression" dxfId="20502" priority="2927">
      <formula>AND($A757&lt;&gt;"",MOD(ROW(),2))</formula>
    </cfRule>
  </conditionalFormatting>
  <conditionalFormatting sqref="G773">
    <cfRule type="cellIs" dxfId="20501" priority="2924" operator="equal">
      <formula>#REF!</formula>
    </cfRule>
    <cfRule type="cellIs" dxfId="20500" priority="2925" operator="greaterThan">
      <formula>#REF!</formula>
    </cfRule>
    <cfRule type="cellIs" dxfId="20499" priority="2926" operator="lessThan">
      <formula>#REF!</formula>
    </cfRule>
  </conditionalFormatting>
  <conditionalFormatting sqref="G774">
    <cfRule type="expression" dxfId="20498" priority="2923">
      <formula>AND($A758&lt;&gt;"",MOD(ROW(),2))</formula>
    </cfRule>
  </conditionalFormatting>
  <conditionalFormatting sqref="G774">
    <cfRule type="cellIs" dxfId="20497" priority="2920" operator="equal">
      <formula>#REF!</formula>
    </cfRule>
    <cfRule type="cellIs" dxfId="20496" priority="2921" operator="greaterThan">
      <formula>#REF!</formula>
    </cfRule>
    <cfRule type="cellIs" dxfId="20495" priority="2922" operator="lessThan">
      <formula>#REF!</formula>
    </cfRule>
  </conditionalFormatting>
  <conditionalFormatting sqref="G775">
    <cfRule type="expression" dxfId="20494" priority="2919">
      <formula>AND($A759&lt;&gt;"",MOD(ROW(),2))</formula>
    </cfRule>
  </conditionalFormatting>
  <conditionalFormatting sqref="G775">
    <cfRule type="cellIs" dxfId="20493" priority="2916" operator="equal">
      <formula>#REF!</formula>
    </cfRule>
    <cfRule type="cellIs" dxfId="20492" priority="2917" operator="greaterThan">
      <formula>#REF!</formula>
    </cfRule>
    <cfRule type="cellIs" dxfId="20491" priority="2918" operator="lessThan">
      <formula>#REF!</formula>
    </cfRule>
  </conditionalFormatting>
  <conditionalFormatting sqref="G776">
    <cfRule type="expression" dxfId="20490" priority="2915">
      <formula>AND($A760&lt;&gt;"",MOD(ROW(),2))</formula>
    </cfRule>
  </conditionalFormatting>
  <conditionalFormatting sqref="G776">
    <cfRule type="cellIs" dxfId="20489" priority="2912" operator="equal">
      <formula>#REF!</formula>
    </cfRule>
    <cfRule type="cellIs" dxfId="20488" priority="2913" operator="greaterThan">
      <formula>#REF!</formula>
    </cfRule>
    <cfRule type="cellIs" dxfId="20487" priority="2914" operator="lessThan">
      <formula>#REF!</formula>
    </cfRule>
  </conditionalFormatting>
  <conditionalFormatting sqref="G777">
    <cfRule type="expression" dxfId="20486" priority="2911">
      <formula>AND($A761&lt;&gt;"",MOD(ROW(),2))</formula>
    </cfRule>
  </conditionalFormatting>
  <conditionalFormatting sqref="G777">
    <cfRule type="cellIs" dxfId="20485" priority="2908" operator="equal">
      <formula>#REF!</formula>
    </cfRule>
    <cfRule type="cellIs" dxfId="20484" priority="2909" operator="greaterThan">
      <formula>#REF!</formula>
    </cfRule>
    <cfRule type="cellIs" dxfId="20483" priority="2910" operator="lessThan">
      <formula>#REF!</formula>
    </cfRule>
  </conditionalFormatting>
  <conditionalFormatting sqref="G778">
    <cfRule type="expression" dxfId="20482" priority="2907">
      <formula>AND($A762&lt;&gt;"",MOD(ROW(),2))</formula>
    </cfRule>
  </conditionalFormatting>
  <conditionalFormatting sqref="G778">
    <cfRule type="cellIs" dxfId="20481" priority="2904" operator="equal">
      <formula>#REF!</formula>
    </cfRule>
    <cfRule type="cellIs" dxfId="20480" priority="2905" operator="greaterThan">
      <formula>#REF!</formula>
    </cfRule>
    <cfRule type="cellIs" dxfId="20479" priority="2906" operator="lessThan">
      <formula>#REF!</formula>
    </cfRule>
  </conditionalFormatting>
  <conditionalFormatting sqref="G779">
    <cfRule type="expression" dxfId="20478" priority="2903">
      <formula>AND($A763&lt;&gt;"",MOD(ROW(),2))</formula>
    </cfRule>
  </conditionalFormatting>
  <conditionalFormatting sqref="G779">
    <cfRule type="cellIs" dxfId="20477" priority="2900" operator="equal">
      <formula>#REF!</formula>
    </cfRule>
    <cfRule type="cellIs" dxfId="20476" priority="2901" operator="greaterThan">
      <formula>#REF!</formula>
    </cfRule>
    <cfRule type="cellIs" dxfId="20475" priority="2902" operator="lessThan">
      <formula>#REF!</formula>
    </cfRule>
  </conditionalFormatting>
  <conditionalFormatting sqref="G780">
    <cfRule type="expression" dxfId="20474" priority="2899">
      <formula>AND($A764&lt;&gt;"",MOD(ROW(),2))</formula>
    </cfRule>
  </conditionalFormatting>
  <conditionalFormatting sqref="G780">
    <cfRule type="cellIs" dxfId="20473" priority="2896" operator="equal">
      <formula>#REF!</formula>
    </cfRule>
    <cfRule type="cellIs" dxfId="20472" priority="2897" operator="greaterThan">
      <formula>#REF!</formula>
    </cfRule>
    <cfRule type="cellIs" dxfId="20471" priority="2898" operator="lessThan">
      <formula>#REF!</formula>
    </cfRule>
  </conditionalFormatting>
  <conditionalFormatting sqref="G781">
    <cfRule type="expression" dxfId="20470" priority="2895">
      <formula>AND($A765&lt;&gt;"",MOD(ROW(),2))</formula>
    </cfRule>
  </conditionalFormatting>
  <conditionalFormatting sqref="G781">
    <cfRule type="cellIs" dxfId="20469" priority="2892" operator="equal">
      <formula>#REF!</formula>
    </cfRule>
    <cfRule type="cellIs" dxfId="20468" priority="2893" operator="greaterThan">
      <formula>#REF!</formula>
    </cfRule>
    <cfRule type="cellIs" dxfId="20467" priority="2894" operator="lessThan">
      <formula>#REF!</formula>
    </cfRule>
  </conditionalFormatting>
  <conditionalFormatting sqref="G782">
    <cfRule type="expression" dxfId="20466" priority="2891">
      <formula>AND($A766&lt;&gt;"",MOD(ROW(),2))</formula>
    </cfRule>
  </conditionalFormatting>
  <conditionalFormatting sqref="G782">
    <cfRule type="cellIs" dxfId="20465" priority="2888" operator="equal">
      <formula>#REF!</formula>
    </cfRule>
    <cfRule type="cellIs" dxfId="20464" priority="2889" operator="greaterThan">
      <formula>#REF!</formula>
    </cfRule>
    <cfRule type="cellIs" dxfId="20463" priority="2890" operator="lessThan">
      <formula>#REF!</formula>
    </cfRule>
  </conditionalFormatting>
  <conditionalFormatting sqref="G783">
    <cfRule type="expression" dxfId="20462" priority="2887">
      <formula>AND($A767&lt;&gt;"",MOD(ROW(),2))</formula>
    </cfRule>
  </conditionalFormatting>
  <conditionalFormatting sqref="G783">
    <cfRule type="cellIs" dxfId="20461" priority="2884" operator="equal">
      <formula>#REF!</formula>
    </cfRule>
    <cfRule type="cellIs" dxfId="20460" priority="2885" operator="greaterThan">
      <formula>#REF!</formula>
    </cfRule>
    <cfRule type="cellIs" dxfId="20459" priority="2886" operator="lessThan">
      <formula>#REF!</formula>
    </cfRule>
  </conditionalFormatting>
  <conditionalFormatting sqref="G784">
    <cfRule type="expression" dxfId="20458" priority="2883">
      <formula>AND($A768&lt;&gt;"",MOD(ROW(),2))</formula>
    </cfRule>
  </conditionalFormatting>
  <conditionalFormatting sqref="G784">
    <cfRule type="cellIs" dxfId="20457" priority="2880" operator="equal">
      <formula>#REF!</formula>
    </cfRule>
    <cfRule type="cellIs" dxfId="20456" priority="2881" operator="greaterThan">
      <formula>#REF!</formula>
    </cfRule>
    <cfRule type="cellIs" dxfId="20455" priority="2882" operator="lessThan">
      <formula>#REF!</formula>
    </cfRule>
  </conditionalFormatting>
  <conditionalFormatting sqref="G785">
    <cfRule type="expression" dxfId="20454" priority="2879">
      <formula>AND($A769&lt;&gt;"",MOD(ROW(),2))</formula>
    </cfRule>
  </conditionalFormatting>
  <conditionalFormatting sqref="G785">
    <cfRule type="cellIs" dxfId="20453" priority="2876" operator="equal">
      <formula>#REF!</formula>
    </cfRule>
    <cfRule type="cellIs" dxfId="20452" priority="2877" operator="greaterThan">
      <formula>#REF!</formula>
    </cfRule>
    <cfRule type="cellIs" dxfId="20451" priority="2878" operator="lessThan">
      <formula>#REF!</formula>
    </cfRule>
  </conditionalFormatting>
  <conditionalFormatting sqref="G786">
    <cfRule type="expression" dxfId="20450" priority="2875">
      <formula>AND($A770&lt;&gt;"",MOD(ROW(),2))</formula>
    </cfRule>
  </conditionalFormatting>
  <conditionalFormatting sqref="G786">
    <cfRule type="cellIs" dxfId="20449" priority="2872" operator="equal">
      <formula>#REF!</formula>
    </cfRule>
    <cfRule type="cellIs" dxfId="20448" priority="2873" operator="greaterThan">
      <formula>#REF!</formula>
    </cfRule>
    <cfRule type="cellIs" dxfId="20447" priority="2874" operator="lessThan">
      <formula>#REF!</formula>
    </cfRule>
  </conditionalFormatting>
  <conditionalFormatting sqref="G787">
    <cfRule type="expression" dxfId="20446" priority="2871">
      <formula>AND($A771&lt;&gt;"",MOD(ROW(),2))</formula>
    </cfRule>
  </conditionalFormatting>
  <conditionalFormatting sqref="G787">
    <cfRule type="cellIs" dxfId="20445" priority="2868" operator="equal">
      <formula>#REF!</formula>
    </cfRule>
    <cfRule type="cellIs" dxfId="20444" priority="2869" operator="greaterThan">
      <formula>#REF!</formula>
    </cfRule>
    <cfRule type="cellIs" dxfId="20443" priority="2870" operator="lessThan">
      <formula>#REF!</formula>
    </cfRule>
  </conditionalFormatting>
  <conditionalFormatting sqref="G788">
    <cfRule type="expression" dxfId="20442" priority="2867">
      <formula>AND($A772&lt;&gt;"",MOD(ROW(),2))</formula>
    </cfRule>
  </conditionalFormatting>
  <conditionalFormatting sqref="G788">
    <cfRule type="cellIs" dxfId="20441" priority="2864" operator="equal">
      <formula>#REF!</formula>
    </cfRule>
    <cfRule type="cellIs" dxfId="20440" priority="2865" operator="greaterThan">
      <formula>#REF!</formula>
    </cfRule>
    <cfRule type="cellIs" dxfId="20439" priority="2866" operator="lessThan">
      <formula>#REF!</formula>
    </cfRule>
  </conditionalFormatting>
  <conditionalFormatting sqref="G789">
    <cfRule type="expression" dxfId="20438" priority="2863">
      <formula>AND($A773&lt;&gt;"",MOD(ROW(),2))</formula>
    </cfRule>
  </conditionalFormatting>
  <conditionalFormatting sqref="G789">
    <cfRule type="cellIs" dxfId="20437" priority="2860" operator="equal">
      <formula>#REF!</formula>
    </cfRule>
    <cfRule type="cellIs" dxfId="20436" priority="2861" operator="greaterThan">
      <formula>#REF!</formula>
    </cfRule>
    <cfRule type="cellIs" dxfId="20435" priority="2862" operator="lessThan">
      <formula>#REF!</formula>
    </cfRule>
  </conditionalFormatting>
  <conditionalFormatting sqref="G790">
    <cfRule type="expression" dxfId="20434" priority="2859">
      <formula>AND($A774&lt;&gt;"",MOD(ROW(),2))</formula>
    </cfRule>
  </conditionalFormatting>
  <conditionalFormatting sqref="G790">
    <cfRule type="cellIs" dxfId="20433" priority="2856" operator="equal">
      <formula>#REF!</formula>
    </cfRule>
    <cfRule type="cellIs" dxfId="20432" priority="2857" operator="greaterThan">
      <formula>#REF!</formula>
    </cfRule>
    <cfRule type="cellIs" dxfId="20431" priority="2858" operator="lessThan">
      <formula>#REF!</formula>
    </cfRule>
  </conditionalFormatting>
  <conditionalFormatting sqref="G791">
    <cfRule type="expression" dxfId="20430" priority="2855">
      <formula>AND($A775&lt;&gt;"",MOD(ROW(),2))</formula>
    </cfRule>
  </conditionalFormatting>
  <conditionalFormatting sqref="G791">
    <cfRule type="cellIs" dxfId="20429" priority="2852" operator="equal">
      <formula>#REF!</formula>
    </cfRule>
    <cfRule type="cellIs" dxfId="20428" priority="2853" operator="greaterThan">
      <formula>#REF!</formula>
    </cfRule>
    <cfRule type="cellIs" dxfId="20427" priority="2854" operator="lessThan">
      <formula>#REF!</formula>
    </cfRule>
  </conditionalFormatting>
  <conditionalFormatting sqref="G792">
    <cfRule type="expression" dxfId="20426" priority="2851">
      <formula>AND($A776&lt;&gt;"",MOD(ROW(),2))</formula>
    </cfRule>
  </conditionalFormatting>
  <conditionalFormatting sqref="G792">
    <cfRule type="cellIs" dxfId="20425" priority="2848" operator="equal">
      <formula>#REF!</formula>
    </cfRule>
    <cfRule type="cellIs" dxfId="20424" priority="2849" operator="greaterThan">
      <formula>#REF!</formula>
    </cfRule>
    <cfRule type="cellIs" dxfId="20423" priority="2850" operator="lessThan">
      <formula>#REF!</formula>
    </cfRule>
  </conditionalFormatting>
  <conditionalFormatting sqref="G793">
    <cfRule type="expression" dxfId="20422" priority="2847">
      <formula>AND($A777&lt;&gt;"",MOD(ROW(),2))</formula>
    </cfRule>
  </conditionalFormatting>
  <conditionalFormatting sqref="G793">
    <cfRule type="cellIs" dxfId="20421" priority="2844" operator="equal">
      <formula>#REF!</formula>
    </cfRule>
    <cfRule type="cellIs" dxfId="20420" priority="2845" operator="greaterThan">
      <formula>#REF!</formula>
    </cfRule>
    <cfRule type="cellIs" dxfId="20419" priority="2846" operator="lessThan">
      <formula>#REF!</formula>
    </cfRule>
  </conditionalFormatting>
  <conditionalFormatting sqref="C130">
    <cfRule type="cellIs" dxfId="20418" priority="2841" operator="equal">
      <formula>#REF!</formula>
    </cfRule>
    <cfRule type="cellIs" dxfId="20417" priority="2842" operator="greaterThan">
      <formula>#REF!</formula>
    </cfRule>
    <cfRule type="cellIs" dxfId="20416" priority="2843" operator="lessThan">
      <formula>#REF!</formula>
    </cfRule>
  </conditionalFormatting>
  <conditionalFormatting sqref="C130">
    <cfRule type="expression" dxfId="20415" priority="2840">
      <formula>AND($A114&lt;&gt;"",MOD(ROW(),2))</formula>
    </cfRule>
  </conditionalFormatting>
  <conditionalFormatting sqref="G794">
    <cfRule type="expression" dxfId="20414" priority="2839">
      <formula>AND($A778&lt;&gt;"",MOD(ROW(),2))</formula>
    </cfRule>
  </conditionalFormatting>
  <conditionalFormatting sqref="G794">
    <cfRule type="cellIs" dxfId="20413" priority="2836" operator="equal">
      <formula>#REF!</formula>
    </cfRule>
    <cfRule type="cellIs" dxfId="20412" priority="2837" operator="greaterThan">
      <formula>#REF!</formula>
    </cfRule>
    <cfRule type="cellIs" dxfId="20411" priority="2838" operator="lessThan">
      <formula>#REF!</formula>
    </cfRule>
  </conditionalFormatting>
  <conditionalFormatting sqref="G795">
    <cfRule type="expression" dxfId="20410" priority="2835">
      <formula>AND($A779&lt;&gt;"",MOD(ROW(),2))</formula>
    </cfRule>
  </conditionalFormatting>
  <conditionalFormatting sqref="G795">
    <cfRule type="cellIs" dxfId="20409" priority="2832" operator="equal">
      <formula>#REF!</formula>
    </cfRule>
    <cfRule type="cellIs" dxfId="20408" priority="2833" operator="greaterThan">
      <formula>#REF!</formula>
    </cfRule>
    <cfRule type="cellIs" dxfId="20407" priority="2834" operator="lessThan">
      <formula>#REF!</formula>
    </cfRule>
  </conditionalFormatting>
  <conditionalFormatting sqref="G796">
    <cfRule type="expression" dxfId="20406" priority="2831">
      <formula>AND($A780&lt;&gt;"",MOD(ROW(),2))</formula>
    </cfRule>
  </conditionalFormatting>
  <conditionalFormatting sqref="G796">
    <cfRule type="cellIs" dxfId="20405" priority="2828" operator="equal">
      <formula>#REF!</formula>
    </cfRule>
    <cfRule type="cellIs" dxfId="20404" priority="2829" operator="greaterThan">
      <formula>#REF!</formula>
    </cfRule>
    <cfRule type="cellIs" dxfId="20403" priority="2830" operator="lessThan">
      <formula>#REF!</formula>
    </cfRule>
  </conditionalFormatting>
  <conditionalFormatting sqref="G797">
    <cfRule type="expression" dxfId="20402" priority="2827">
      <formula>AND($A781&lt;&gt;"",MOD(ROW(),2))</formula>
    </cfRule>
  </conditionalFormatting>
  <conditionalFormatting sqref="G797">
    <cfRule type="cellIs" dxfId="20401" priority="2824" operator="equal">
      <formula>#REF!</formula>
    </cfRule>
    <cfRule type="cellIs" dxfId="20400" priority="2825" operator="greaterThan">
      <formula>#REF!</formula>
    </cfRule>
    <cfRule type="cellIs" dxfId="20399" priority="2826" operator="lessThan">
      <formula>#REF!</formula>
    </cfRule>
  </conditionalFormatting>
  <conditionalFormatting sqref="G798">
    <cfRule type="expression" dxfId="20398" priority="2823">
      <formula>AND($A782&lt;&gt;"",MOD(ROW(),2))</formula>
    </cfRule>
  </conditionalFormatting>
  <conditionalFormatting sqref="G798">
    <cfRule type="cellIs" dxfId="20397" priority="2820" operator="equal">
      <formula>#REF!</formula>
    </cfRule>
    <cfRule type="cellIs" dxfId="20396" priority="2821" operator="greaterThan">
      <formula>#REF!</formula>
    </cfRule>
    <cfRule type="cellIs" dxfId="20395" priority="2822" operator="lessThan">
      <formula>#REF!</formula>
    </cfRule>
  </conditionalFormatting>
  <conditionalFormatting sqref="G799">
    <cfRule type="expression" dxfId="20394" priority="2819">
      <formula>AND($A783&lt;&gt;"",MOD(ROW(),2))</formula>
    </cfRule>
  </conditionalFormatting>
  <conditionalFormatting sqref="G799">
    <cfRule type="cellIs" dxfId="20393" priority="2816" operator="equal">
      <formula>#REF!</formula>
    </cfRule>
    <cfRule type="cellIs" dxfId="20392" priority="2817" operator="greaterThan">
      <formula>#REF!</formula>
    </cfRule>
    <cfRule type="cellIs" dxfId="20391" priority="2818" operator="lessThan">
      <formula>#REF!</formula>
    </cfRule>
  </conditionalFormatting>
  <conditionalFormatting sqref="G800">
    <cfRule type="expression" dxfId="20390" priority="2815">
      <formula>AND($A784&lt;&gt;"",MOD(ROW(),2))</formula>
    </cfRule>
  </conditionalFormatting>
  <conditionalFormatting sqref="G800">
    <cfRule type="cellIs" dxfId="20389" priority="2812" operator="equal">
      <formula>#REF!</formula>
    </cfRule>
    <cfRule type="cellIs" dxfId="20388" priority="2813" operator="greaterThan">
      <formula>#REF!</formula>
    </cfRule>
    <cfRule type="cellIs" dxfId="20387" priority="2814" operator="lessThan">
      <formula>#REF!</formula>
    </cfRule>
  </conditionalFormatting>
  <conditionalFormatting sqref="G801">
    <cfRule type="expression" dxfId="20386" priority="2811">
      <formula>AND($A785&lt;&gt;"",MOD(ROW(),2))</formula>
    </cfRule>
  </conditionalFormatting>
  <conditionalFormatting sqref="G801">
    <cfRule type="cellIs" dxfId="20385" priority="2808" operator="equal">
      <formula>#REF!</formula>
    </cfRule>
    <cfRule type="cellIs" dxfId="20384" priority="2809" operator="greaterThan">
      <formula>#REF!</formula>
    </cfRule>
    <cfRule type="cellIs" dxfId="20383" priority="2810" operator="lessThan">
      <formula>#REF!</formula>
    </cfRule>
  </conditionalFormatting>
  <conditionalFormatting sqref="G802">
    <cfRule type="expression" dxfId="20382" priority="2807">
      <formula>AND($A786&lt;&gt;"",MOD(ROW(),2))</formula>
    </cfRule>
  </conditionalFormatting>
  <conditionalFormatting sqref="G802">
    <cfRule type="cellIs" dxfId="20381" priority="2804" operator="equal">
      <formula>#REF!</formula>
    </cfRule>
    <cfRule type="cellIs" dxfId="20380" priority="2805" operator="greaterThan">
      <formula>#REF!</formula>
    </cfRule>
    <cfRule type="cellIs" dxfId="20379" priority="2806" operator="lessThan">
      <formula>#REF!</formula>
    </cfRule>
  </conditionalFormatting>
  <conditionalFormatting sqref="G803">
    <cfRule type="expression" dxfId="20378" priority="2803">
      <formula>AND($A787&lt;&gt;"",MOD(ROW(),2))</formula>
    </cfRule>
  </conditionalFormatting>
  <conditionalFormatting sqref="G803">
    <cfRule type="cellIs" dxfId="20377" priority="2800" operator="equal">
      <formula>#REF!</formula>
    </cfRule>
    <cfRule type="cellIs" dxfId="20376" priority="2801" operator="greaterThan">
      <formula>#REF!</formula>
    </cfRule>
    <cfRule type="cellIs" dxfId="20375" priority="2802" operator="lessThan">
      <formula>#REF!</formula>
    </cfRule>
  </conditionalFormatting>
  <conditionalFormatting sqref="G804">
    <cfRule type="expression" dxfId="20374" priority="2799">
      <formula>AND($A788&lt;&gt;"",MOD(ROW(),2))</formula>
    </cfRule>
  </conditionalFormatting>
  <conditionalFormatting sqref="G804">
    <cfRule type="cellIs" dxfId="20373" priority="2796" operator="equal">
      <formula>#REF!</formula>
    </cfRule>
    <cfRule type="cellIs" dxfId="20372" priority="2797" operator="greaterThan">
      <formula>#REF!</formula>
    </cfRule>
    <cfRule type="cellIs" dxfId="20371" priority="2798" operator="lessThan">
      <formula>#REF!</formula>
    </cfRule>
  </conditionalFormatting>
  <conditionalFormatting sqref="G805">
    <cfRule type="expression" dxfId="20370" priority="2795">
      <formula>AND($A789&lt;&gt;"",MOD(ROW(),2))</formula>
    </cfRule>
  </conditionalFormatting>
  <conditionalFormatting sqref="G805">
    <cfRule type="cellIs" dxfId="20369" priority="2792" operator="equal">
      <formula>#REF!</formula>
    </cfRule>
    <cfRule type="cellIs" dxfId="20368" priority="2793" operator="greaterThan">
      <formula>#REF!</formula>
    </cfRule>
    <cfRule type="cellIs" dxfId="20367" priority="2794" operator="lessThan">
      <formula>#REF!</formula>
    </cfRule>
  </conditionalFormatting>
  <conditionalFormatting sqref="G807">
    <cfRule type="expression" dxfId="20366" priority="2787">
      <formula>AND($A791&lt;&gt;"",MOD(ROW(),2))</formula>
    </cfRule>
  </conditionalFormatting>
  <conditionalFormatting sqref="G807">
    <cfRule type="cellIs" dxfId="20365" priority="2784" operator="equal">
      <formula>#REF!</formula>
    </cfRule>
    <cfRule type="cellIs" dxfId="20364" priority="2785" operator="greaterThan">
      <formula>#REF!</formula>
    </cfRule>
    <cfRule type="cellIs" dxfId="20363" priority="2786" operator="lessThan">
      <formula>#REF!</formula>
    </cfRule>
  </conditionalFormatting>
  <conditionalFormatting sqref="G806">
    <cfRule type="expression" dxfId="20362" priority="2783">
      <formula>AND($A790&lt;&gt;"",MOD(ROW(),2))</formula>
    </cfRule>
  </conditionalFormatting>
  <conditionalFormatting sqref="G806">
    <cfRule type="cellIs" dxfId="20361" priority="2780" operator="equal">
      <formula>#REF!</formula>
    </cfRule>
    <cfRule type="cellIs" dxfId="20360" priority="2781" operator="greaterThan">
      <formula>#REF!</formula>
    </cfRule>
    <cfRule type="cellIs" dxfId="20359" priority="2782" operator="lessThan">
      <formula>#REF!</formula>
    </cfRule>
  </conditionalFormatting>
  <conditionalFormatting sqref="G808">
    <cfRule type="expression" dxfId="20358" priority="2779">
      <formula>AND($A792&lt;&gt;"",MOD(ROW(),2))</formula>
    </cfRule>
  </conditionalFormatting>
  <conditionalFormatting sqref="G808">
    <cfRule type="cellIs" dxfId="20357" priority="2776" operator="equal">
      <formula>#REF!</formula>
    </cfRule>
    <cfRule type="cellIs" dxfId="20356" priority="2777" operator="greaterThan">
      <formula>#REF!</formula>
    </cfRule>
    <cfRule type="cellIs" dxfId="20355" priority="2778" operator="lessThan">
      <formula>#REF!</formula>
    </cfRule>
  </conditionalFormatting>
  <conditionalFormatting sqref="G807">
    <cfRule type="expression" dxfId="20354" priority="2771">
      <formula>AND($A791&lt;&gt;"",MOD(ROW(),2))</formula>
    </cfRule>
  </conditionalFormatting>
  <conditionalFormatting sqref="G807">
    <cfRule type="cellIs" dxfId="20353" priority="2768" operator="equal">
      <formula>#REF!</formula>
    </cfRule>
    <cfRule type="cellIs" dxfId="20352" priority="2769" operator="greaterThan">
      <formula>#REF!</formula>
    </cfRule>
    <cfRule type="cellIs" dxfId="20351" priority="2770" operator="lessThan">
      <formula>#REF!</formula>
    </cfRule>
  </conditionalFormatting>
  <conditionalFormatting sqref="G808">
    <cfRule type="expression" dxfId="20350" priority="2767">
      <formula>AND($A792&lt;&gt;"",MOD(ROW(),2))</formula>
    </cfRule>
  </conditionalFormatting>
  <conditionalFormatting sqref="G808">
    <cfRule type="cellIs" dxfId="20349" priority="2764" operator="equal">
      <formula>#REF!</formula>
    </cfRule>
    <cfRule type="cellIs" dxfId="20348" priority="2765" operator="greaterThan">
      <formula>#REF!</formula>
    </cfRule>
    <cfRule type="cellIs" dxfId="20347" priority="2766" operator="lessThan">
      <formula>#REF!</formula>
    </cfRule>
  </conditionalFormatting>
  <conditionalFormatting sqref="G809">
    <cfRule type="expression" dxfId="20346" priority="2763">
      <formula>AND($A793&lt;&gt;"",MOD(ROW(),2))</formula>
    </cfRule>
  </conditionalFormatting>
  <conditionalFormatting sqref="G809">
    <cfRule type="cellIs" dxfId="20345" priority="2760" operator="equal">
      <formula>#REF!</formula>
    </cfRule>
    <cfRule type="cellIs" dxfId="20344" priority="2761" operator="greaterThan">
      <formula>#REF!</formula>
    </cfRule>
    <cfRule type="cellIs" dxfId="20343" priority="2762" operator="lessThan">
      <formula>#REF!</formula>
    </cfRule>
  </conditionalFormatting>
  <conditionalFormatting sqref="G809">
    <cfRule type="expression" dxfId="20342" priority="2759">
      <formula>AND($A793&lt;&gt;"",MOD(ROW(),2))</formula>
    </cfRule>
  </conditionalFormatting>
  <conditionalFormatting sqref="G809">
    <cfRule type="cellIs" dxfId="20341" priority="2756" operator="equal">
      <formula>#REF!</formula>
    </cfRule>
    <cfRule type="cellIs" dxfId="20340" priority="2757" operator="greaterThan">
      <formula>#REF!</formula>
    </cfRule>
    <cfRule type="cellIs" dxfId="20339" priority="2758" operator="lessThan">
      <formula>#REF!</formula>
    </cfRule>
  </conditionalFormatting>
  <conditionalFormatting sqref="G810">
    <cfRule type="expression" dxfId="20338" priority="2755">
      <formula>AND($A794&lt;&gt;"",MOD(ROW(),2))</formula>
    </cfRule>
  </conditionalFormatting>
  <conditionalFormatting sqref="G810">
    <cfRule type="cellIs" dxfId="20337" priority="2752" operator="equal">
      <formula>#REF!</formula>
    </cfRule>
    <cfRule type="cellIs" dxfId="20336" priority="2753" operator="greaterThan">
      <formula>#REF!</formula>
    </cfRule>
    <cfRule type="cellIs" dxfId="20335" priority="2754" operator="lessThan">
      <formula>#REF!</formula>
    </cfRule>
  </conditionalFormatting>
  <conditionalFormatting sqref="G810">
    <cfRule type="expression" dxfId="20334" priority="2751">
      <formula>AND($A794&lt;&gt;"",MOD(ROW(),2))</formula>
    </cfRule>
  </conditionalFormatting>
  <conditionalFormatting sqref="G810">
    <cfRule type="cellIs" dxfId="20333" priority="2748" operator="equal">
      <formula>#REF!</formula>
    </cfRule>
    <cfRule type="cellIs" dxfId="20332" priority="2749" operator="greaterThan">
      <formula>#REF!</formula>
    </cfRule>
    <cfRule type="cellIs" dxfId="20331" priority="2750" operator="lessThan">
      <formula>#REF!</formula>
    </cfRule>
  </conditionalFormatting>
  <conditionalFormatting sqref="G811">
    <cfRule type="expression" dxfId="20330" priority="2747">
      <formula>AND($A795&lt;&gt;"",MOD(ROW(),2))</formula>
    </cfRule>
  </conditionalFormatting>
  <conditionalFormatting sqref="G811">
    <cfRule type="cellIs" dxfId="20329" priority="2744" operator="equal">
      <formula>#REF!</formula>
    </cfRule>
    <cfRule type="cellIs" dxfId="20328" priority="2745" operator="greaterThan">
      <formula>#REF!</formula>
    </cfRule>
    <cfRule type="cellIs" dxfId="20327" priority="2746" operator="lessThan">
      <formula>#REF!</formula>
    </cfRule>
  </conditionalFormatting>
  <conditionalFormatting sqref="G811">
    <cfRule type="expression" dxfId="20326" priority="2743">
      <formula>AND($A795&lt;&gt;"",MOD(ROW(),2))</formula>
    </cfRule>
  </conditionalFormatting>
  <conditionalFormatting sqref="G811">
    <cfRule type="cellIs" dxfId="20325" priority="2740" operator="equal">
      <formula>#REF!</formula>
    </cfRule>
    <cfRule type="cellIs" dxfId="20324" priority="2741" operator="greaterThan">
      <formula>#REF!</formula>
    </cfRule>
    <cfRule type="cellIs" dxfId="20323" priority="2742" operator="lessThan">
      <formula>#REF!</formula>
    </cfRule>
  </conditionalFormatting>
  <conditionalFormatting sqref="G812">
    <cfRule type="expression" dxfId="20322" priority="2739">
      <formula>AND($A796&lt;&gt;"",MOD(ROW(),2))</formula>
    </cfRule>
  </conditionalFormatting>
  <conditionalFormatting sqref="G812">
    <cfRule type="cellIs" dxfId="20321" priority="2736" operator="equal">
      <formula>#REF!</formula>
    </cfRule>
    <cfRule type="cellIs" dxfId="20320" priority="2737" operator="greaterThan">
      <formula>#REF!</formula>
    </cfRule>
    <cfRule type="cellIs" dxfId="20319" priority="2738" operator="lessThan">
      <formula>#REF!</formula>
    </cfRule>
  </conditionalFormatting>
  <conditionalFormatting sqref="G812">
    <cfRule type="expression" dxfId="20318" priority="2735">
      <formula>AND($A796&lt;&gt;"",MOD(ROW(),2))</formula>
    </cfRule>
  </conditionalFormatting>
  <conditionalFormatting sqref="G812">
    <cfRule type="cellIs" dxfId="20317" priority="2732" operator="equal">
      <formula>#REF!</formula>
    </cfRule>
    <cfRule type="cellIs" dxfId="20316" priority="2733" operator="greaterThan">
      <formula>#REF!</formula>
    </cfRule>
    <cfRule type="cellIs" dxfId="20315" priority="2734" operator="lessThan">
      <formula>#REF!</formula>
    </cfRule>
  </conditionalFormatting>
  <conditionalFormatting sqref="G813">
    <cfRule type="expression" dxfId="20314" priority="2731">
      <formula>AND($A797&lt;&gt;"",MOD(ROW(),2))</formula>
    </cfRule>
  </conditionalFormatting>
  <conditionalFormatting sqref="G813">
    <cfRule type="cellIs" dxfId="20313" priority="2728" operator="equal">
      <formula>#REF!</formula>
    </cfRule>
    <cfRule type="cellIs" dxfId="20312" priority="2729" operator="greaterThan">
      <formula>#REF!</formula>
    </cfRule>
    <cfRule type="cellIs" dxfId="20311" priority="2730" operator="lessThan">
      <formula>#REF!</formula>
    </cfRule>
  </conditionalFormatting>
  <conditionalFormatting sqref="G813">
    <cfRule type="expression" dxfId="20310" priority="2727">
      <formula>AND($A797&lt;&gt;"",MOD(ROW(),2))</formula>
    </cfRule>
  </conditionalFormatting>
  <conditionalFormatting sqref="G813">
    <cfRule type="cellIs" dxfId="20309" priority="2724" operator="equal">
      <formula>#REF!</formula>
    </cfRule>
    <cfRule type="cellIs" dxfId="20308" priority="2725" operator="greaterThan">
      <formula>#REF!</formula>
    </cfRule>
    <cfRule type="cellIs" dxfId="20307" priority="2726" operator="lessThan">
      <formula>#REF!</formula>
    </cfRule>
  </conditionalFormatting>
  <conditionalFormatting sqref="G814">
    <cfRule type="expression" dxfId="20306" priority="2723">
      <formula>AND($A798&lt;&gt;"",MOD(ROW(),2))</formula>
    </cfRule>
  </conditionalFormatting>
  <conditionalFormatting sqref="G814">
    <cfRule type="cellIs" dxfId="20305" priority="2720" operator="equal">
      <formula>#REF!</formula>
    </cfRule>
    <cfRule type="cellIs" dxfId="20304" priority="2721" operator="greaterThan">
      <formula>#REF!</formula>
    </cfRule>
    <cfRule type="cellIs" dxfId="20303" priority="2722" operator="lessThan">
      <formula>#REF!</formula>
    </cfRule>
  </conditionalFormatting>
  <conditionalFormatting sqref="G814">
    <cfRule type="expression" dxfId="20302" priority="2719">
      <formula>AND($A798&lt;&gt;"",MOD(ROW(),2))</formula>
    </cfRule>
  </conditionalFormatting>
  <conditionalFormatting sqref="G814">
    <cfRule type="cellIs" dxfId="20301" priority="2716" operator="equal">
      <formula>#REF!</formula>
    </cfRule>
    <cfRule type="cellIs" dxfId="20300" priority="2717" operator="greaterThan">
      <formula>#REF!</formula>
    </cfRule>
    <cfRule type="cellIs" dxfId="20299" priority="2718" operator="lessThan">
      <formula>#REF!</formula>
    </cfRule>
  </conditionalFormatting>
  <conditionalFormatting sqref="G815">
    <cfRule type="expression" dxfId="20298" priority="2715">
      <formula>AND($A799&lt;&gt;"",MOD(ROW(),2))</formula>
    </cfRule>
  </conditionalFormatting>
  <conditionalFormatting sqref="G815">
    <cfRule type="cellIs" dxfId="20297" priority="2712" operator="equal">
      <formula>#REF!</formula>
    </cfRule>
    <cfRule type="cellIs" dxfId="20296" priority="2713" operator="greaterThan">
      <formula>#REF!</formula>
    </cfRule>
    <cfRule type="cellIs" dxfId="20295" priority="2714" operator="lessThan">
      <formula>#REF!</formula>
    </cfRule>
  </conditionalFormatting>
  <conditionalFormatting sqref="G815">
    <cfRule type="expression" dxfId="20294" priority="2711">
      <formula>AND($A799&lt;&gt;"",MOD(ROW(),2))</formula>
    </cfRule>
  </conditionalFormatting>
  <conditionalFormatting sqref="G815">
    <cfRule type="cellIs" dxfId="20293" priority="2708" operator="equal">
      <formula>#REF!</formula>
    </cfRule>
    <cfRule type="cellIs" dxfId="20292" priority="2709" operator="greaterThan">
      <formula>#REF!</formula>
    </cfRule>
    <cfRule type="cellIs" dxfId="20291" priority="2710" operator="lessThan">
      <formula>#REF!</formula>
    </cfRule>
  </conditionalFormatting>
  <conditionalFormatting sqref="G816">
    <cfRule type="expression" dxfId="20290" priority="2707">
      <formula>AND($A800&lt;&gt;"",MOD(ROW(),2))</formula>
    </cfRule>
  </conditionalFormatting>
  <conditionalFormatting sqref="G816">
    <cfRule type="cellIs" dxfId="20289" priority="2704" operator="equal">
      <formula>#REF!</formula>
    </cfRule>
    <cfRule type="cellIs" dxfId="20288" priority="2705" operator="greaterThan">
      <formula>#REF!</formula>
    </cfRule>
    <cfRule type="cellIs" dxfId="20287" priority="2706" operator="lessThan">
      <formula>#REF!</formula>
    </cfRule>
  </conditionalFormatting>
  <conditionalFormatting sqref="G816">
    <cfRule type="expression" dxfId="20286" priority="2703">
      <formula>AND($A800&lt;&gt;"",MOD(ROW(),2))</formula>
    </cfRule>
  </conditionalFormatting>
  <conditionalFormatting sqref="G816">
    <cfRule type="cellIs" dxfId="20285" priority="2700" operator="equal">
      <formula>#REF!</formula>
    </cfRule>
    <cfRule type="cellIs" dxfId="20284" priority="2701" operator="greaterThan">
      <formula>#REF!</formula>
    </cfRule>
    <cfRule type="cellIs" dxfId="20283" priority="2702" operator="lessThan">
      <formula>#REF!</formula>
    </cfRule>
  </conditionalFormatting>
  <conditionalFormatting sqref="G817">
    <cfRule type="expression" dxfId="20282" priority="2699">
      <formula>AND($A801&lt;&gt;"",MOD(ROW(),2))</formula>
    </cfRule>
  </conditionalFormatting>
  <conditionalFormatting sqref="G817">
    <cfRule type="cellIs" dxfId="20281" priority="2696" operator="equal">
      <formula>#REF!</formula>
    </cfRule>
    <cfRule type="cellIs" dxfId="20280" priority="2697" operator="greaterThan">
      <formula>#REF!</formula>
    </cfRule>
    <cfRule type="cellIs" dxfId="20279" priority="2698" operator="lessThan">
      <formula>#REF!</formula>
    </cfRule>
  </conditionalFormatting>
  <conditionalFormatting sqref="G817">
    <cfRule type="expression" dxfId="20278" priority="2695">
      <formula>AND($A801&lt;&gt;"",MOD(ROW(),2))</formula>
    </cfRule>
  </conditionalFormatting>
  <conditionalFormatting sqref="G817">
    <cfRule type="cellIs" dxfId="20277" priority="2692" operator="equal">
      <formula>#REF!</formula>
    </cfRule>
    <cfRule type="cellIs" dxfId="20276" priority="2693" operator="greaterThan">
      <formula>#REF!</formula>
    </cfRule>
    <cfRule type="cellIs" dxfId="20275" priority="2694" operator="lessThan">
      <formula>#REF!</formula>
    </cfRule>
  </conditionalFormatting>
  <conditionalFormatting sqref="G818">
    <cfRule type="expression" dxfId="20274" priority="2691">
      <formula>AND($A802&lt;&gt;"",MOD(ROW(),2))</formula>
    </cfRule>
  </conditionalFormatting>
  <conditionalFormatting sqref="G818">
    <cfRule type="cellIs" dxfId="20273" priority="2688" operator="equal">
      <formula>#REF!</formula>
    </cfRule>
    <cfRule type="cellIs" dxfId="20272" priority="2689" operator="greaterThan">
      <formula>#REF!</formula>
    </cfRule>
    <cfRule type="cellIs" dxfId="20271" priority="2690" operator="lessThan">
      <formula>#REF!</formula>
    </cfRule>
  </conditionalFormatting>
  <conditionalFormatting sqref="G818">
    <cfRule type="expression" dxfId="20270" priority="2687">
      <formula>AND($A802&lt;&gt;"",MOD(ROW(),2))</formula>
    </cfRule>
  </conditionalFormatting>
  <conditionalFormatting sqref="G818">
    <cfRule type="cellIs" dxfId="20269" priority="2684" operator="equal">
      <formula>#REF!</formula>
    </cfRule>
    <cfRule type="cellIs" dxfId="20268" priority="2685" operator="greaterThan">
      <formula>#REF!</formula>
    </cfRule>
    <cfRule type="cellIs" dxfId="20267" priority="2686" operator="lessThan">
      <formula>#REF!</formula>
    </cfRule>
  </conditionalFormatting>
  <conditionalFormatting sqref="G819">
    <cfRule type="expression" dxfId="20266" priority="2683">
      <formula>AND($A803&lt;&gt;"",MOD(ROW(),2))</formula>
    </cfRule>
  </conditionalFormatting>
  <conditionalFormatting sqref="G819">
    <cfRule type="cellIs" dxfId="20265" priority="2680" operator="equal">
      <formula>#REF!</formula>
    </cfRule>
    <cfRule type="cellIs" dxfId="20264" priority="2681" operator="greaterThan">
      <formula>#REF!</formula>
    </cfRule>
    <cfRule type="cellIs" dxfId="20263" priority="2682" operator="lessThan">
      <formula>#REF!</formula>
    </cfRule>
  </conditionalFormatting>
  <conditionalFormatting sqref="G819">
    <cfRule type="expression" dxfId="20262" priority="2679">
      <formula>AND($A803&lt;&gt;"",MOD(ROW(),2))</formula>
    </cfRule>
  </conditionalFormatting>
  <conditionalFormatting sqref="G819">
    <cfRule type="cellIs" dxfId="20261" priority="2676" operator="equal">
      <formula>#REF!</formula>
    </cfRule>
    <cfRule type="cellIs" dxfId="20260" priority="2677" operator="greaterThan">
      <formula>#REF!</formula>
    </cfRule>
    <cfRule type="cellIs" dxfId="20259" priority="2678" operator="lessThan">
      <formula>#REF!</formula>
    </cfRule>
  </conditionalFormatting>
  <conditionalFormatting sqref="G820">
    <cfRule type="expression" dxfId="20258" priority="2675">
      <formula>AND($A804&lt;&gt;"",MOD(ROW(),2))</formula>
    </cfRule>
  </conditionalFormatting>
  <conditionalFormatting sqref="G820">
    <cfRule type="cellIs" dxfId="20257" priority="2672" operator="equal">
      <formula>#REF!</formula>
    </cfRule>
    <cfRule type="cellIs" dxfId="20256" priority="2673" operator="greaterThan">
      <formula>#REF!</formula>
    </cfRule>
    <cfRule type="cellIs" dxfId="20255" priority="2674" operator="lessThan">
      <formula>#REF!</formula>
    </cfRule>
  </conditionalFormatting>
  <conditionalFormatting sqref="G820">
    <cfRule type="expression" dxfId="20254" priority="2671">
      <formula>AND($A804&lt;&gt;"",MOD(ROW(),2))</formula>
    </cfRule>
  </conditionalFormatting>
  <conditionalFormatting sqref="G820">
    <cfRule type="cellIs" dxfId="20253" priority="2668" operator="equal">
      <formula>#REF!</formula>
    </cfRule>
    <cfRule type="cellIs" dxfId="20252" priority="2669" operator="greaterThan">
      <formula>#REF!</formula>
    </cfRule>
    <cfRule type="cellIs" dxfId="20251" priority="2670" operator="lessThan">
      <formula>#REF!</formula>
    </cfRule>
  </conditionalFormatting>
  <conditionalFormatting sqref="G821">
    <cfRule type="expression" dxfId="20250" priority="2667">
      <formula>AND($A805&lt;&gt;"",MOD(ROW(),2))</formula>
    </cfRule>
  </conditionalFormatting>
  <conditionalFormatting sqref="G821">
    <cfRule type="cellIs" dxfId="20249" priority="2664" operator="equal">
      <formula>#REF!</formula>
    </cfRule>
    <cfRule type="cellIs" dxfId="20248" priority="2665" operator="greaterThan">
      <formula>#REF!</formula>
    </cfRule>
    <cfRule type="cellIs" dxfId="20247" priority="2666" operator="lessThan">
      <formula>#REF!</formula>
    </cfRule>
  </conditionalFormatting>
  <conditionalFormatting sqref="G821">
    <cfRule type="expression" dxfId="20246" priority="2663">
      <formula>AND($A805&lt;&gt;"",MOD(ROW(),2))</formula>
    </cfRule>
  </conditionalFormatting>
  <conditionalFormatting sqref="G821">
    <cfRule type="cellIs" dxfId="20245" priority="2660" operator="equal">
      <formula>#REF!</formula>
    </cfRule>
    <cfRule type="cellIs" dxfId="20244" priority="2661" operator="greaterThan">
      <formula>#REF!</formula>
    </cfRule>
    <cfRule type="cellIs" dxfId="20243" priority="2662" operator="lessThan">
      <formula>#REF!</formula>
    </cfRule>
  </conditionalFormatting>
  <conditionalFormatting sqref="G822">
    <cfRule type="expression" dxfId="20242" priority="2659">
      <formula>AND($A806&lt;&gt;"",MOD(ROW(),2))</formula>
    </cfRule>
  </conditionalFormatting>
  <conditionalFormatting sqref="G822">
    <cfRule type="cellIs" dxfId="20241" priority="2656" operator="equal">
      <formula>#REF!</formula>
    </cfRule>
    <cfRule type="cellIs" dxfId="20240" priority="2657" operator="greaterThan">
      <formula>#REF!</formula>
    </cfRule>
    <cfRule type="cellIs" dxfId="20239" priority="2658" operator="lessThan">
      <formula>#REF!</formula>
    </cfRule>
  </conditionalFormatting>
  <conditionalFormatting sqref="G822">
    <cfRule type="expression" dxfId="20238" priority="2655">
      <formula>AND($A806&lt;&gt;"",MOD(ROW(),2))</formula>
    </cfRule>
  </conditionalFormatting>
  <conditionalFormatting sqref="G822">
    <cfRule type="cellIs" dxfId="20237" priority="2652" operator="equal">
      <formula>#REF!</formula>
    </cfRule>
    <cfRule type="cellIs" dxfId="20236" priority="2653" operator="greaterThan">
      <formula>#REF!</formula>
    </cfRule>
    <cfRule type="cellIs" dxfId="20235" priority="2654" operator="lessThan">
      <formula>#REF!</formula>
    </cfRule>
  </conditionalFormatting>
  <conditionalFormatting sqref="G823">
    <cfRule type="expression" dxfId="20234" priority="2651">
      <formula>AND($A807&lt;&gt;"",MOD(ROW(),2))</formula>
    </cfRule>
  </conditionalFormatting>
  <conditionalFormatting sqref="G823">
    <cfRule type="cellIs" dxfId="20233" priority="2648" operator="equal">
      <formula>#REF!</formula>
    </cfRule>
    <cfRule type="cellIs" dxfId="20232" priority="2649" operator="greaterThan">
      <formula>#REF!</formula>
    </cfRule>
    <cfRule type="cellIs" dxfId="20231" priority="2650" operator="lessThan">
      <formula>#REF!</formula>
    </cfRule>
  </conditionalFormatting>
  <conditionalFormatting sqref="G823">
    <cfRule type="expression" dxfId="20230" priority="2647">
      <formula>AND($A807&lt;&gt;"",MOD(ROW(),2))</formula>
    </cfRule>
  </conditionalFormatting>
  <conditionalFormatting sqref="G823">
    <cfRule type="cellIs" dxfId="20229" priority="2644" operator="equal">
      <formula>#REF!</formula>
    </cfRule>
    <cfRule type="cellIs" dxfId="20228" priority="2645" operator="greaterThan">
      <formula>#REF!</formula>
    </cfRule>
    <cfRule type="cellIs" dxfId="20227" priority="2646" operator="lessThan">
      <formula>#REF!</formula>
    </cfRule>
  </conditionalFormatting>
  <conditionalFormatting sqref="G824">
    <cfRule type="expression" dxfId="20226" priority="2643">
      <formula>AND($A808&lt;&gt;"",MOD(ROW(),2))</formula>
    </cfRule>
  </conditionalFormatting>
  <conditionalFormatting sqref="G824">
    <cfRule type="cellIs" dxfId="20225" priority="2640" operator="equal">
      <formula>#REF!</formula>
    </cfRule>
    <cfRule type="cellIs" dxfId="20224" priority="2641" operator="greaterThan">
      <formula>#REF!</formula>
    </cfRule>
    <cfRule type="cellIs" dxfId="20223" priority="2642" operator="lessThan">
      <formula>#REF!</formula>
    </cfRule>
  </conditionalFormatting>
  <conditionalFormatting sqref="G824">
    <cfRule type="expression" dxfId="20222" priority="2639">
      <formula>AND($A808&lt;&gt;"",MOD(ROW(),2))</formula>
    </cfRule>
  </conditionalFormatting>
  <conditionalFormatting sqref="G824">
    <cfRule type="cellIs" dxfId="20221" priority="2636" operator="equal">
      <formula>#REF!</formula>
    </cfRule>
    <cfRule type="cellIs" dxfId="20220" priority="2637" operator="greaterThan">
      <formula>#REF!</formula>
    </cfRule>
    <cfRule type="cellIs" dxfId="20219" priority="2638" operator="lessThan">
      <formula>#REF!</formula>
    </cfRule>
  </conditionalFormatting>
  <conditionalFormatting sqref="G825">
    <cfRule type="expression" dxfId="20218" priority="2635">
      <formula>AND($A809&lt;&gt;"",MOD(ROW(),2))</formula>
    </cfRule>
  </conditionalFormatting>
  <conditionalFormatting sqref="G825">
    <cfRule type="cellIs" dxfId="20217" priority="2632" operator="equal">
      <formula>#REF!</formula>
    </cfRule>
    <cfRule type="cellIs" dxfId="20216" priority="2633" operator="greaterThan">
      <formula>#REF!</formula>
    </cfRule>
    <cfRule type="cellIs" dxfId="20215" priority="2634" operator="lessThan">
      <formula>#REF!</formula>
    </cfRule>
  </conditionalFormatting>
  <conditionalFormatting sqref="G825">
    <cfRule type="expression" dxfId="20214" priority="2631">
      <formula>AND($A809&lt;&gt;"",MOD(ROW(),2))</formula>
    </cfRule>
  </conditionalFormatting>
  <conditionalFormatting sqref="G825">
    <cfRule type="cellIs" dxfId="20213" priority="2628" operator="equal">
      <formula>#REF!</formula>
    </cfRule>
    <cfRule type="cellIs" dxfId="20212" priority="2629" operator="greaterThan">
      <formula>#REF!</formula>
    </cfRule>
    <cfRule type="cellIs" dxfId="20211" priority="2630" operator="lessThan">
      <formula>#REF!</formula>
    </cfRule>
  </conditionalFormatting>
  <conditionalFormatting sqref="G826">
    <cfRule type="expression" dxfId="20210" priority="2627">
      <formula>AND($A810&lt;&gt;"",MOD(ROW(),2))</formula>
    </cfRule>
  </conditionalFormatting>
  <conditionalFormatting sqref="G826">
    <cfRule type="cellIs" dxfId="20209" priority="2624" operator="equal">
      <formula>#REF!</formula>
    </cfRule>
    <cfRule type="cellIs" dxfId="20208" priority="2625" operator="greaterThan">
      <formula>#REF!</formula>
    </cfRule>
    <cfRule type="cellIs" dxfId="20207" priority="2626" operator="lessThan">
      <formula>#REF!</formula>
    </cfRule>
  </conditionalFormatting>
  <conditionalFormatting sqref="G826">
    <cfRule type="expression" dxfId="20206" priority="2623">
      <formula>AND($A810&lt;&gt;"",MOD(ROW(),2))</formula>
    </cfRule>
  </conditionalFormatting>
  <conditionalFormatting sqref="G826">
    <cfRule type="cellIs" dxfId="20205" priority="2620" operator="equal">
      <formula>#REF!</formula>
    </cfRule>
    <cfRule type="cellIs" dxfId="20204" priority="2621" operator="greaterThan">
      <formula>#REF!</formula>
    </cfRule>
    <cfRule type="cellIs" dxfId="20203" priority="2622" operator="lessThan">
      <formula>#REF!</formula>
    </cfRule>
  </conditionalFormatting>
  <conditionalFormatting sqref="G827">
    <cfRule type="expression" dxfId="20202" priority="2619">
      <formula>AND($A811&lt;&gt;"",MOD(ROW(),2))</formula>
    </cfRule>
  </conditionalFormatting>
  <conditionalFormatting sqref="G827">
    <cfRule type="cellIs" dxfId="20201" priority="2616" operator="equal">
      <formula>#REF!</formula>
    </cfRule>
    <cfRule type="cellIs" dxfId="20200" priority="2617" operator="greaterThan">
      <formula>#REF!</formula>
    </cfRule>
    <cfRule type="cellIs" dxfId="20199" priority="2618" operator="lessThan">
      <formula>#REF!</formula>
    </cfRule>
  </conditionalFormatting>
  <conditionalFormatting sqref="G827">
    <cfRule type="expression" dxfId="20198" priority="2615">
      <formula>AND($A811&lt;&gt;"",MOD(ROW(),2))</formula>
    </cfRule>
  </conditionalFormatting>
  <conditionalFormatting sqref="G827">
    <cfRule type="cellIs" dxfId="20197" priority="2612" operator="equal">
      <formula>#REF!</formula>
    </cfRule>
    <cfRule type="cellIs" dxfId="20196" priority="2613" operator="greaterThan">
      <formula>#REF!</formula>
    </cfRule>
    <cfRule type="cellIs" dxfId="20195" priority="2614" operator="lessThan">
      <formula>#REF!</formula>
    </cfRule>
  </conditionalFormatting>
  <conditionalFormatting sqref="G828">
    <cfRule type="expression" dxfId="20194" priority="2611">
      <formula>AND($A812&lt;&gt;"",MOD(ROW(),2))</formula>
    </cfRule>
  </conditionalFormatting>
  <conditionalFormatting sqref="G828">
    <cfRule type="cellIs" dxfId="20193" priority="2608" operator="equal">
      <formula>#REF!</formula>
    </cfRule>
    <cfRule type="cellIs" dxfId="20192" priority="2609" operator="greaterThan">
      <formula>#REF!</formula>
    </cfRule>
    <cfRule type="cellIs" dxfId="20191" priority="2610" operator="lessThan">
      <formula>#REF!</formula>
    </cfRule>
  </conditionalFormatting>
  <conditionalFormatting sqref="G828">
    <cfRule type="expression" dxfId="20190" priority="2607">
      <formula>AND($A812&lt;&gt;"",MOD(ROW(),2))</formula>
    </cfRule>
  </conditionalFormatting>
  <conditionalFormatting sqref="G828">
    <cfRule type="cellIs" dxfId="20189" priority="2604" operator="equal">
      <formula>#REF!</formula>
    </cfRule>
    <cfRule type="cellIs" dxfId="20188" priority="2605" operator="greaterThan">
      <formula>#REF!</formula>
    </cfRule>
    <cfRule type="cellIs" dxfId="20187" priority="2606" operator="lessThan">
      <formula>#REF!</formula>
    </cfRule>
  </conditionalFormatting>
  <conditionalFormatting sqref="G829">
    <cfRule type="expression" dxfId="20186" priority="2603">
      <formula>AND($A813&lt;&gt;"",MOD(ROW(),2))</formula>
    </cfRule>
  </conditionalFormatting>
  <conditionalFormatting sqref="G829">
    <cfRule type="cellIs" dxfId="20185" priority="2600" operator="equal">
      <formula>#REF!</formula>
    </cfRule>
    <cfRule type="cellIs" dxfId="20184" priority="2601" operator="greaterThan">
      <formula>#REF!</formula>
    </cfRule>
    <cfRule type="cellIs" dxfId="20183" priority="2602" operator="lessThan">
      <formula>#REF!</formula>
    </cfRule>
  </conditionalFormatting>
  <conditionalFormatting sqref="G829">
    <cfRule type="expression" dxfId="20182" priority="2599">
      <formula>AND($A813&lt;&gt;"",MOD(ROW(),2))</formula>
    </cfRule>
  </conditionalFormatting>
  <conditionalFormatting sqref="G829">
    <cfRule type="cellIs" dxfId="20181" priority="2596" operator="equal">
      <formula>#REF!</formula>
    </cfRule>
    <cfRule type="cellIs" dxfId="20180" priority="2597" operator="greaterThan">
      <formula>#REF!</formula>
    </cfRule>
    <cfRule type="cellIs" dxfId="20179" priority="2598" operator="lessThan">
      <formula>#REF!</formula>
    </cfRule>
  </conditionalFormatting>
  <conditionalFormatting sqref="G830">
    <cfRule type="expression" dxfId="20178" priority="2595">
      <formula>AND($A814&lt;&gt;"",MOD(ROW(),2))</formula>
    </cfRule>
  </conditionalFormatting>
  <conditionalFormatting sqref="G830">
    <cfRule type="cellIs" dxfId="20177" priority="2592" operator="equal">
      <formula>#REF!</formula>
    </cfRule>
    <cfRule type="cellIs" dxfId="20176" priority="2593" operator="greaterThan">
      <formula>#REF!</formula>
    </cfRule>
    <cfRule type="cellIs" dxfId="20175" priority="2594" operator="lessThan">
      <formula>#REF!</formula>
    </cfRule>
  </conditionalFormatting>
  <conditionalFormatting sqref="G830">
    <cfRule type="expression" dxfId="20174" priority="2591">
      <formula>AND($A814&lt;&gt;"",MOD(ROW(),2))</formula>
    </cfRule>
  </conditionalFormatting>
  <conditionalFormatting sqref="G830">
    <cfRule type="cellIs" dxfId="20173" priority="2588" operator="equal">
      <formula>#REF!</formula>
    </cfRule>
    <cfRule type="cellIs" dxfId="20172" priority="2589" operator="greaterThan">
      <formula>#REF!</formula>
    </cfRule>
    <cfRule type="cellIs" dxfId="20171" priority="2590" operator="lessThan">
      <formula>#REF!</formula>
    </cfRule>
  </conditionalFormatting>
  <conditionalFormatting sqref="G831">
    <cfRule type="expression" dxfId="20170" priority="2587">
      <formula>AND($A815&lt;&gt;"",MOD(ROW(),2))</formula>
    </cfRule>
  </conditionalFormatting>
  <conditionalFormatting sqref="G831">
    <cfRule type="cellIs" dxfId="20169" priority="2584" operator="equal">
      <formula>#REF!</formula>
    </cfRule>
    <cfRule type="cellIs" dxfId="20168" priority="2585" operator="greaterThan">
      <formula>#REF!</formula>
    </cfRule>
    <cfRule type="cellIs" dxfId="20167" priority="2586" operator="lessThan">
      <formula>#REF!</formula>
    </cfRule>
  </conditionalFormatting>
  <conditionalFormatting sqref="G831">
    <cfRule type="expression" dxfId="20166" priority="2583">
      <formula>AND($A815&lt;&gt;"",MOD(ROW(),2))</formula>
    </cfRule>
  </conditionalFormatting>
  <conditionalFormatting sqref="G831">
    <cfRule type="cellIs" dxfId="20165" priority="2580" operator="equal">
      <formula>#REF!</formula>
    </cfRule>
    <cfRule type="cellIs" dxfId="20164" priority="2581" operator="greaterThan">
      <formula>#REF!</formula>
    </cfRule>
    <cfRule type="cellIs" dxfId="20163" priority="2582" operator="lessThan">
      <formula>#REF!</formula>
    </cfRule>
  </conditionalFormatting>
  <conditionalFormatting sqref="G832">
    <cfRule type="expression" dxfId="20162" priority="2579">
      <formula>AND($A816&lt;&gt;"",MOD(ROW(),2))</formula>
    </cfRule>
  </conditionalFormatting>
  <conditionalFormatting sqref="G832">
    <cfRule type="cellIs" dxfId="20161" priority="2576" operator="equal">
      <formula>#REF!</formula>
    </cfRule>
    <cfRule type="cellIs" dxfId="20160" priority="2577" operator="greaterThan">
      <formula>#REF!</formula>
    </cfRule>
    <cfRule type="cellIs" dxfId="20159" priority="2578" operator="lessThan">
      <formula>#REF!</formula>
    </cfRule>
  </conditionalFormatting>
  <conditionalFormatting sqref="G832">
    <cfRule type="expression" dxfId="20158" priority="2575">
      <formula>AND($A816&lt;&gt;"",MOD(ROW(),2))</formula>
    </cfRule>
  </conditionalFormatting>
  <conditionalFormatting sqref="G832">
    <cfRule type="cellIs" dxfId="20157" priority="2572" operator="equal">
      <formula>#REF!</formula>
    </cfRule>
    <cfRule type="cellIs" dxfId="20156" priority="2573" operator="greaterThan">
      <formula>#REF!</formula>
    </cfRule>
    <cfRule type="cellIs" dxfId="20155" priority="2574" operator="lessThan">
      <formula>#REF!</formula>
    </cfRule>
  </conditionalFormatting>
  <conditionalFormatting sqref="G833">
    <cfRule type="expression" dxfId="20154" priority="2571">
      <formula>AND($A817&lt;&gt;"",MOD(ROW(),2))</formula>
    </cfRule>
  </conditionalFormatting>
  <conditionalFormatting sqref="G833">
    <cfRule type="cellIs" dxfId="20153" priority="2568" operator="equal">
      <formula>#REF!</formula>
    </cfRule>
    <cfRule type="cellIs" dxfId="20152" priority="2569" operator="greaterThan">
      <formula>#REF!</formula>
    </cfRule>
    <cfRule type="cellIs" dxfId="20151" priority="2570" operator="lessThan">
      <formula>#REF!</formula>
    </cfRule>
  </conditionalFormatting>
  <conditionalFormatting sqref="G833">
    <cfRule type="expression" dxfId="20150" priority="2567">
      <formula>AND($A817&lt;&gt;"",MOD(ROW(),2))</formula>
    </cfRule>
  </conditionalFormatting>
  <conditionalFormatting sqref="G833">
    <cfRule type="cellIs" dxfId="20149" priority="2564" operator="equal">
      <formula>#REF!</formula>
    </cfRule>
    <cfRule type="cellIs" dxfId="20148" priority="2565" operator="greaterThan">
      <formula>#REF!</formula>
    </cfRule>
    <cfRule type="cellIs" dxfId="20147" priority="2566" operator="lessThan">
      <formula>#REF!</formula>
    </cfRule>
  </conditionalFormatting>
  <conditionalFormatting sqref="G834">
    <cfRule type="expression" dxfId="20146" priority="2563">
      <formula>AND($A818&lt;&gt;"",MOD(ROW(),2))</formula>
    </cfRule>
  </conditionalFormatting>
  <conditionalFormatting sqref="G834">
    <cfRule type="cellIs" dxfId="20145" priority="2560" operator="equal">
      <formula>#REF!</formula>
    </cfRule>
    <cfRule type="cellIs" dxfId="20144" priority="2561" operator="greaterThan">
      <formula>#REF!</formula>
    </cfRule>
    <cfRule type="cellIs" dxfId="20143" priority="2562" operator="lessThan">
      <formula>#REF!</formula>
    </cfRule>
  </conditionalFormatting>
  <conditionalFormatting sqref="G834">
    <cfRule type="expression" dxfId="20142" priority="2559">
      <formula>AND($A818&lt;&gt;"",MOD(ROW(),2))</formula>
    </cfRule>
  </conditionalFormatting>
  <conditionalFormatting sqref="G834">
    <cfRule type="cellIs" dxfId="20141" priority="2556" operator="equal">
      <formula>#REF!</formula>
    </cfRule>
    <cfRule type="cellIs" dxfId="20140" priority="2557" operator="greaterThan">
      <formula>#REF!</formula>
    </cfRule>
    <cfRule type="cellIs" dxfId="20139" priority="2558" operator="lessThan">
      <formula>#REF!</formula>
    </cfRule>
  </conditionalFormatting>
  <conditionalFormatting sqref="G835">
    <cfRule type="expression" dxfId="20138" priority="2555">
      <formula>AND($A819&lt;&gt;"",MOD(ROW(),2))</formula>
    </cfRule>
  </conditionalFormatting>
  <conditionalFormatting sqref="G835">
    <cfRule type="cellIs" dxfId="20137" priority="2552" operator="equal">
      <formula>#REF!</formula>
    </cfRule>
    <cfRule type="cellIs" dxfId="20136" priority="2553" operator="greaterThan">
      <formula>#REF!</formula>
    </cfRule>
    <cfRule type="cellIs" dxfId="20135" priority="2554" operator="lessThan">
      <formula>#REF!</formula>
    </cfRule>
  </conditionalFormatting>
  <conditionalFormatting sqref="G835">
    <cfRule type="expression" dxfId="20134" priority="2551">
      <formula>AND($A819&lt;&gt;"",MOD(ROW(),2))</formula>
    </cfRule>
  </conditionalFormatting>
  <conditionalFormatting sqref="G835">
    <cfRule type="cellIs" dxfId="20133" priority="2548" operator="equal">
      <formula>#REF!</formula>
    </cfRule>
    <cfRule type="cellIs" dxfId="20132" priority="2549" operator="greaterThan">
      <formula>#REF!</formula>
    </cfRule>
    <cfRule type="cellIs" dxfId="20131" priority="2550" operator="lessThan">
      <formula>#REF!</formula>
    </cfRule>
  </conditionalFormatting>
  <conditionalFormatting sqref="G836">
    <cfRule type="expression" dxfId="20130" priority="2547">
      <formula>AND($A820&lt;&gt;"",MOD(ROW(),2))</formula>
    </cfRule>
  </conditionalFormatting>
  <conditionalFormatting sqref="G836">
    <cfRule type="cellIs" dxfId="20129" priority="2544" operator="equal">
      <formula>#REF!</formula>
    </cfRule>
    <cfRule type="cellIs" dxfId="20128" priority="2545" operator="greaterThan">
      <formula>#REF!</formula>
    </cfRule>
    <cfRule type="cellIs" dxfId="20127" priority="2546" operator="lessThan">
      <formula>#REF!</formula>
    </cfRule>
  </conditionalFormatting>
  <conditionalFormatting sqref="G836">
    <cfRule type="expression" dxfId="20126" priority="2543">
      <formula>AND($A820&lt;&gt;"",MOD(ROW(),2))</formula>
    </cfRule>
  </conditionalFormatting>
  <conditionalFormatting sqref="G836">
    <cfRule type="cellIs" dxfId="20125" priority="2540" operator="equal">
      <formula>#REF!</formula>
    </cfRule>
    <cfRule type="cellIs" dxfId="20124" priority="2541" operator="greaterThan">
      <formula>#REF!</formula>
    </cfRule>
    <cfRule type="cellIs" dxfId="20123" priority="2542" operator="lessThan">
      <formula>#REF!</formula>
    </cfRule>
  </conditionalFormatting>
  <conditionalFormatting sqref="G837">
    <cfRule type="expression" dxfId="20122" priority="2539">
      <formula>AND($A821&lt;&gt;"",MOD(ROW(),2))</formula>
    </cfRule>
  </conditionalFormatting>
  <conditionalFormatting sqref="G837">
    <cfRule type="cellIs" dxfId="20121" priority="2536" operator="equal">
      <formula>#REF!</formula>
    </cfRule>
    <cfRule type="cellIs" dxfId="20120" priority="2537" operator="greaterThan">
      <formula>#REF!</formula>
    </cfRule>
    <cfRule type="cellIs" dxfId="20119" priority="2538" operator="lessThan">
      <formula>#REF!</formula>
    </cfRule>
  </conditionalFormatting>
  <conditionalFormatting sqref="G837">
    <cfRule type="expression" dxfId="20118" priority="2535">
      <formula>AND($A821&lt;&gt;"",MOD(ROW(),2))</formula>
    </cfRule>
  </conditionalFormatting>
  <conditionalFormatting sqref="G837">
    <cfRule type="cellIs" dxfId="20117" priority="2532" operator="equal">
      <formula>#REF!</formula>
    </cfRule>
    <cfRule type="cellIs" dxfId="20116" priority="2533" operator="greaterThan">
      <formula>#REF!</formula>
    </cfRule>
    <cfRule type="cellIs" dxfId="20115" priority="2534" operator="lessThan">
      <formula>#REF!</formula>
    </cfRule>
  </conditionalFormatting>
  <conditionalFormatting sqref="G838">
    <cfRule type="expression" dxfId="20114" priority="2531">
      <formula>AND($A822&lt;&gt;"",MOD(ROW(),2))</formula>
    </cfRule>
  </conditionalFormatting>
  <conditionalFormatting sqref="G838">
    <cfRule type="cellIs" dxfId="20113" priority="2528" operator="equal">
      <formula>#REF!</formula>
    </cfRule>
    <cfRule type="cellIs" dxfId="20112" priority="2529" operator="greaterThan">
      <formula>#REF!</formula>
    </cfRule>
    <cfRule type="cellIs" dxfId="20111" priority="2530" operator="lessThan">
      <formula>#REF!</formula>
    </cfRule>
  </conditionalFormatting>
  <conditionalFormatting sqref="G838">
    <cfRule type="expression" dxfId="20110" priority="2527">
      <formula>AND($A822&lt;&gt;"",MOD(ROW(),2))</formula>
    </cfRule>
  </conditionalFormatting>
  <conditionalFormatting sqref="G838">
    <cfRule type="cellIs" dxfId="20109" priority="2524" operator="equal">
      <formula>#REF!</formula>
    </cfRule>
    <cfRule type="cellIs" dxfId="20108" priority="2525" operator="greaterThan">
      <formula>#REF!</formula>
    </cfRule>
    <cfRule type="cellIs" dxfId="20107" priority="2526" operator="lessThan">
      <formula>#REF!</formula>
    </cfRule>
  </conditionalFormatting>
  <conditionalFormatting sqref="G839">
    <cfRule type="expression" dxfId="20106" priority="2523">
      <formula>AND($A823&lt;&gt;"",MOD(ROW(),2))</formula>
    </cfRule>
  </conditionalFormatting>
  <conditionalFormatting sqref="G839">
    <cfRule type="cellIs" dxfId="20105" priority="2520" operator="equal">
      <formula>#REF!</formula>
    </cfRule>
    <cfRule type="cellIs" dxfId="20104" priority="2521" operator="greaterThan">
      <formula>#REF!</formula>
    </cfRule>
    <cfRule type="cellIs" dxfId="20103" priority="2522" operator="lessThan">
      <formula>#REF!</formula>
    </cfRule>
  </conditionalFormatting>
  <conditionalFormatting sqref="G839">
    <cfRule type="expression" dxfId="20102" priority="2519">
      <formula>AND($A823&lt;&gt;"",MOD(ROW(),2))</formula>
    </cfRule>
  </conditionalFormatting>
  <conditionalFormatting sqref="G839">
    <cfRule type="cellIs" dxfId="20101" priority="2516" operator="equal">
      <formula>#REF!</formula>
    </cfRule>
    <cfRule type="cellIs" dxfId="20100" priority="2517" operator="greaterThan">
      <formula>#REF!</formula>
    </cfRule>
    <cfRule type="cellIs" dxfId="20099" priority="2518" operator="lessThan">
      <formula>#REF!</formula>
    </cfRule>
  </conditionalFormatting>
  <conditionalFormatting sqref="G840">
    <cfRule type="expression" dxfId="20098" priority="2515">
      <formula>AND($A824&lt;&gt;"",MOD(ROW(),2))</formula>
    </cfRule>
  </conditionalFormatting>
  <conditionalFormatting sqref="G840">
    <cfRule type="cellIs" dxfId="20097" priority="2512" operator="equal">
      <formula>#REF!</formula>
    </cfRule>
    <cfRule type="cellIs" dxfId="20096" priority="2513" operator="greaterThan">
      <formula>#REF!</formula>
    </cfRule>
    <cfRule type="cellIs" dxfId="20095" priority="2514" operator="lessThan">
      <formula>#REF!</formula>
    </cfRule>
  </conditionalFormatting>
  <conditionalFormatting sqref="G840">
    <cfRule type="expression" dxfId="20094" priority="2511">
      <formula>AND($A824&lt;&gt;"",MOD(ROW(),2))</formula>
    </cfRule>
  </conditionalFormatting>
  <conditionalFormatting sqref="G840">
    <cfRule type="cellIs" dxfId="20093" priority="2508" operator="equal">
      <formula>#REF!</formula>
    </cfRule>
    <cfRule type="cellIs" dxfId="20092" priority="2509" operator="greaterThan">
      <formula>#REF!</formula>
    </cfRule>
    <cfRule type="cellIs" dxfId="20091" priority="2510" operator="lessThan">
      <formula>#REF!</formula>
    </cfRule>
  </conditionalFormatting>
  <conditionalFormatting sqref="G841">
    <cfRule type="expression" dxfId="20090" priority="2507">
      <formula>AND($A825&lt;&gt;"",MOD(ROW(),2))</formula>
    </cfRule>
  </conditionalFormatting>
  <conditionalFormatting sqref="G841">
    <cfRule type="cellIs" dxfId="20089" priority="2504" operator="equal">
      <formula>#REF!</formula>
    </cfRule>
    <cfRule type="cellIs" dxfId="20088" priority="2505" operator="greaterThan">
      <formula>#REF!</formula>
    </cfRule>
    <cfRule type="cellIs" dxfId="20087" priority="2506" operator="lessThan">
      <formula>#REF!</formula>
    </cfRule>
  </conditionalFormatting>
  <conditionalFormatting sqref="G841">
    <cfRule type="expression" dxfId="20086" priority="2503">
      <formula>AND($A825&lt;&gt;"",MOD(ROW(),2))</formula>
    </cfRule>
  </conditionalFormatting>
  <conditionalFormatting sqref="G841">
    <cfRule type="cellIs" dxfId="20085" priority="2500" operator="equal">
      <formula>#REF!</formula>
    </cfRule>
    <cfRule type="cellIs" dxfId="20084" priority="2501" operator="greaterThan">
      <formula>#REF!</formula>
    </cfRule>
    <cfRule type="cellIs" dxfId="20083" priority="2502" operator="lessThan">
      <formula>#REF!</formula>
    </cfRule>
  </conditionalFormatting>
  <conditionalFormatting sqref="H840">
    <cfRule type="expression" dxfId="20082" priority="2497">
      <formula>AND($A870&lt;&gt;"",MOD(ROW(),2))</formula>
    </cfRule>
  </conditionalFormatting>
  <conditionalFormatting sqref="H840">
    <cfRule type="expression" dxfId="20081" priority="2499">
      <formula>AND(#REF!&lt;&gt;"",MOD(ROW(),2))</formula>
    </cfRule>
  </conditionalFormatting>
  <conditionalFormatting sqref="H840">
    <cfRule type="expression" dxfId="20080" priority="2498">
      <formula>AND(#REF!&lt;&gt;"",MOD(ROW(),2))</formula>
    </cfRule>
  </conditionalFormatting>
  <conditionalFormatting sqref="H840">
    <cfRule type="expression" dxfId="20079" priority="2494">
      <formula>AND($A870&lt;&gt;"",MOD(ROW(),2))</formula>
    </cfRule>
  </conditionalFormatting>
  <conditionalFormatting sqref="H840">
    <cfRule type="expression" dxfId="20078" priority="2496">
      <formula>AND(#REF!&lt;&gt;"",MOD(ROW(),2))</formula>
    </cfRule>
  </conditionalFormatting>
  <conditionalFormatting sqref="H840">
    <cfRule type="expression" dxfId="20077" priority="2495">
      <formula>AND(#REF!&lt;&gt;"",MOD(ROW(),2))</formula>
    </cfRule>
  </conditionalFormatting>
  <conditionalFormatting sqref="H840">
    <cfRule type="expression" dxfId="20076" priority="2491">
      <formula>AND($A870&lt;&gt;"",MOD(ROW(),2))</formula>
    </cfRule>
  </conditionalFormatting>
  <conditionalFormatting sqref="H840">
    <cfRule type="expression" dxfId="20075" priority="2493">
      <formula>AND(#REF!&lt;&gt;"",MOD(ROW(),2))</formula>
    </cfRule>
  </conditionalFormatting>
  <conditionalFormatting sqref="H840">
    <cfRule type="expression" dxfId="20074" priority="2492">
      <formula>AND(#REF!&lt;&gt;"",MOD(ROW(),2))</formula>
    </cfRule>
  </conditionalFormatting>
  <conditionalFormatting sqref="H840">
    <cfRule type="expression" dxfId="20073" priority="2488">
      <formula>AND($A870&lt;&gt;"",MOD(ROW(),2))</formula>
    </cfRule>
  </conditionalFormatting>
  <conditionalFormatting sqref="H840">
    <cfRule type="expression" dxfId="20072" priority="2490">
      <formula>AND(#REF!&lt;&gt;"",MOD(ROW(),2))</formula>
    </cfRule>
  </conditionalFormatting>
  <conditionalFormatting sqref="H840">
    <cfRule type="expression" dxfId="20071" priority="2489">
      <formula>AND(#REF!&lt;&gt;"",MOD(ROW(),2))</formula>
    </cfRule>
  </conditionalFormatting>
  <conditionalFormatting sqref="H840">
    <cfRule type="expression" dxfId="20070" priority="2485">
      <formula>AND($A870&lt;&gt;"",MOD(ROW(),2))</formula>
    </cfRule>
  </conditionalFormatting>
  <conditionalFormatting sqref="H840">
    <cfRule type="expression" dxfId="20069" priority="2487">
      <formula>AND(#REF!&lt;&gt;"",MOD(ROW(),2))</formula>
    </cfRule>
  </conditionalFormatting>
  <conditionalFormatting sqref="H840">
    <cfRule type="expression" dxfId="20068" priority="2486">
      <formula>AND(#REF!&lt;&gt;"",MOD(ROW(),2))</formula>
    </cfRule>
  </conditionalFormatting>
  <conditionalFormatting sqref="H840">
    <cfRule type="expression" dxfId="20067" priority="2482">
      <formula>AND($A870&lt;&gt;"",MOD(ROW(),2))</formula>
    </cfRule>
  </conditionalFormatting>
  <conditionalFormatting sqref="H840">
    <cfRule type="expression" dxfId="20066" priority="2484">
      <formula>AND(#REF!&lt;&gt;"",MOD(ROW(),2))</formula>
    </cfRule>
  </conditionalFormatting>
  <conditionalFormatting sqref="H840">
    <cfRule type="expression" dxfId="20065" priority="2483">
      <formula>AND(#REF!&lt;&gt;"",MOD(ROW(),2))</formula>
    </cfRule>
  </conditionalFormatting>
  <conditionalFormatting sqref="H840">
    <cfRule type="expression" dxfId="20064" priority="2479">
      <formula>AND($A870&lt;&gt;"",MOD(ROW(),2))</formula>
    </cfRule>
  </conditionalFormatting>
  <conditionalFormatting sqref="H840">
    <cfRule type="expression" dxfId="20063" priority="2481">
      <formula>AND(#REF!&lt;&gt;"",MOD(ROW(),2))</formula>
    </cfRule>
  </conditionalFormatting>
  <conditionalFormatting sqref="H840">
    <cfRule type="expression" dxfId="20062" priority="2480">
      <formula>AND(#REF!&lt;&gt;"",MOD(ROW(),2))</formula>
    </cfRule>
  </conditionalFormatting>
  <conditionalFormatting sqref="G842">
    <cfRule type="expression" dxfId="20061" priority="2478">
      <formula>AND($A826&lt;&gt;"",MOD(ROW(),2))</formula>
    </cfRule>
  </conditionalFormatting>
  <conditionalFormatting sqref="G842">
    <cfRule type="cellIs" dxfId="20060" priority="2475" operator="equal">
      <formula>#REF!</formula>
    </cfRule>
    <cfRule type="cellIs" dxfId="20059" priority="2476" operator="greaterThan">
      <formula>#REF!</formula>
    </cfRule>
    <cfRule type="cellIs" dxfId="20058" priority="2477" operator="lessThan">
      <formula>#REF!</formula>
    </cfRule>
  </conditionalFormatting>
  <conditionalFormatting sqref="G842">
    <cfRule type="expression" dxfId="20057" priority="2474">
      <formula>AND($A826&lt;&gt;"",MOD(ROW(),2))</formula>
    </cfRule>
  </conditionalFormatting>
  <conditionalFormatting sqref="G842">
    <cfRule type="cellIs" dxfId="20056" priority="2471" operator="equal">
      <formula>#REF!</formula>
    </cfRule>
    <cfRule type="cellIs" dxfId="20055" priority="2472" operator="greaterThan">
      <formula>#REF!</formula>
    </cfRule>
    <cfRule type="cellIs" dxfId="20054" priority="2473" operator="lessThan">
      <formula>#REF!</formula>
    </cfRule>
  </conditionalFormatting>
  <conditionalFormatting sqref="G843">
    <cfRule type="expression" dxfId="20053" priority="2470">
      <formula>AND($A827&lt;&gt;"",MOD(ROW(),2))</formula>
    </cfRule>
  </conditionalFormatting>
  <conditionalFormatting sqref="G843">
    <cfRule type="cellIs" dxfId="20052" priority="2467" operator="equal">
      <formula>#REF!</formula>
    </cfRule>
    <cfRule type="cellIs" dxfId="20051" priority="2468" operator="greaterThan">
      <formula>#REF!</formula>
    </cfRule>
    <cfRule type="cellIs" dxfId="20050" priority="2469" operator="lessThan">
      <formula>#REF!</formula>
    </cfRule>
  </conditionalFormatting>
  <conditionalFormatting sqref="G843">
    <cfRule type="expression" dxfId="20049" priority="2466">
      <formula>AND($A827&lt;&gt;"",MOD(ROW(),2))</formula>
    </cfRule>
  </conditionalFormatting>
  <conditionalFormatting sqref="G843">
    <cfRule type="cellIs" dxfId="20048" priority="2463" operator="equal">
      <formula>#REF!</formula>
    </cfRule>
    <cfRule type="cellIs" dxfId="20047" priority="2464" operator="greaterThan">
      <formula>#REF!</formula>
    </cfRule>
    <cfRule type="cellIs" dxfId="20046" priority="2465" operator="lessThan">
      <formula>#REF!</formula>
    </cfRule>
  </conditionalFormatting>
  <conditionalFormatting sqref="G844">
    <cfRule type="expression" dxfId="20045" priority="2462">
      <formula>AND($A828&lt;&gt;"",MOD(ROW(),2))</formula>
    </cfRule>
  </conditionalFormatting>
  <conditionalFormatting sqref="G844">
    <cfRule type="cellIs" dxfId="20044" priority="2459" operator="equal">
      <formula>#REF!</formula>
    </cfRule>
    <cfRule type="cellIs" dxfId="20043" priority="2460" operator="greaterThan">
      <formula>#REF!</formula>
    </cfRule>
    <cfRule type="cellIs" dxfId="20042" priority="2461" operator="lessThan">
      <formula>#REF!</formula>
    </cfRule>
  </conditionalFormatting>
  <conditionalFormatting sqref="G844">
    <cfRule type="expression" dxfId="20041" priority="2458">
      <formula>AND($A828&lt;&gt;"",MOD(ROW(),2))</formula>
    </cfRule>
  </conditionalFormatting>
  <conditionalFormatting sqref="G844">
    <cfRule type="cellIs" dxfId="20040" priority="2455" operator="equal">
      <formula>#REF!</formula>
    </cfRule>
    <cfRule type="cellIs" dxfId="20039" priority="2456" operator="greaterThan">
      <formula>#REF!</formula>
    </cfRule>
    <cfRule type="cellIs" dxfId="20038" priority="2457" operator="lessThan">
      <formula>#REF!</formula>
    </cfRule>
  </conditionalFormatting>
  <conditionalFormatting sqref="G845">
    <cfRule type="expression" dxfId="20037" priority="2454">
      <formula>AND($A829&lt;&gt;"",MOD(ROW(),2))</formula>
    </cfRule>
  </conditionalFormatting>
  <conditionalFormatting sqref="G845">
    <cfRule type="cellIs" dxfId="20036" priority="2451" operator="equal">
      <formula>#REF!</formula>
    </cfRule>
    <cfRule type="cellIs" dxfId="20035" priority="2452" operator="greaterThan">
      <formula>#REF!</formula>
    </cfRule>
    <cfRule type="cellIs" dxfId="20034" priority="2453" operator="lessThan">
      <formula>#REF!</formula>
    </cfRule>
  </conditionalFormatting>
  <conditionalFormatting sqref="G845">
    <cfRule type="expression" dxfId="20033" priority="2450">
      <formula>AND($A829&lt;&gt;"",MOD(ROW(),2))</formula>
    </cfRule>
  </conditionalFormatting>
  <conditionalFormatting sqref="G845">
    <cfRule type="cellIs" dxfId="20032" priority="2447" operator="equal">
      <formula>#REF!</formula>
    </cfRule>
    <cfRule type="cellIs" dxfId="20031" priority="2448" operator="greaterThan">
      <formula>#REF!</formula>
    </cfRule>
    <cfRule type="cellIs" dxfId="20030" priority="2449" operator="lessThan">
      <formula>#REF!</formula>
    </cfRule>
  </conditionalFormatting>
  <conditionalFormatting sqref="G846">
    <cfRule type="expression" dxfId="20029" priority="2446">
      <formula>AND($A830&lt;&gt;"",MOD(ROW(),2))</formula>
    </cfRule>
  </conditionalFormatting>
  <conditionalFormatting sqref="G846">
    <cfRule type="cellIs" dxfId="20028" priority="2443" operator="equal">
      <formula>#REF!</formula>
    </cfRule>
    <cfRule type="cellIs" dxfId="20027" priority="2444" operator="greaterThan">
      <formula>#REF!</formula>
    </cfRule>
    <cfRule type="cellIs" dxfId="20026" priority="2445" operator="lessThan">
      <formula>#REF!</formula>
    </cfRule>
  </conditionalFormatting>
  <conditionalFormatting sqref="G846">
    <cfRule type="expression" dxfId="20025" priority="2442">
      <formula>AND($A830&lt;&gt;"",MOD(ROW(),2))</formula>
    </cfRule>
  </conditionalFormatting>
  <conditionalFormatting sqref="G846">
    <cfRule type="cellIs" dxfId="20024" priority="2439" operator="equal">
      <formula>#REF!</formula>
    </cfRule>
    <cfRule type="cellIs" dxfId="20023" priority="2440" operator="greaterThan">
      <formula>#REF!</formula>
    </cfRule>
    <cfRule type="cellIs" dxfId="20022" priority="2441" operator="lessThan">
      <formula>#REF!</formula>
    </cfRule>
  </conditionalFormatting>
  <conditionalFormatting sqref="G847">
    <cfRule type="expression" dxfId="20021" priority="2438">
      <formula>AND($A831&lt;&gt;"",MOD(ROW(),2))</formula>
    </cfRule>
  </conditionalFormatting>
  <conditionalFormatting sqref="G847">
    <cfRule type="cellIs" dxfId="20020" priority="2435" operator="equal">
      <formula>#REF!</formula>
    </cfRule>
    <cfRule type="cellIs" dxfId="20019" priority="2436" operator="greaterThan">
      <formula>#REF!</formula>
    </cfRule>
    <cfRule type="cellIs" dxfId="20018" priority="2437" operator="lessThan">
      <formula>#REF!</formula>
    </cfRule>
  </conditionalFormatting>
  <conditionalFormatting sqref="G847">
    <cfRule type="expression" dxfId="20017" priority="2434">
      <formula>AND($A831&lt;&gt;"",MOD(ROW(),2))</formula>
    </cfRule>
  </conditionalFormatting>
  <conditionalFormatting sqref="G847">
    <cfRule type="cellIs" dxfId="20016" priority="2431" operator="equal">
      <formula>#REF!</formula>
    </cfRule>
    <cfRule type="cellIs" dxfId="20015" priority="2432" operator="greaterThan">
      <formula>#REF!</formula>
    </cfRule>
    <cfRule type="cellIs" dxfId="20014" priority="2433" operator="lessThan">
      <formula>#REF!</formula>
    </cfRule>
  </conditionalFormatting>
  <conditionalFormatting sqref="G848">
    <cfRule type="expression" dxfId="20013" priority="2430">
      <formula>AND($A832&lt;&gt;"",MOD(ROW(),2))</formula>
    </cfRule>
  </conditionalFormatting>
  <conditionalFormatting sqref="G848">
    <cfRule type="cellIs" dxfId="20012" priority="2427" operator="equal">
      <formula>#REF!</formula>
    </cfRule>
    <cfRule type="cellIs" dxfId="20011" priority="2428" operator="greaterThan">
      <formula>#REF!</formula>
    </cfRule>
    <cfRule type="cellIs" dxfId="20010" priority="2429" operator="lessThan">
      <formula>#REF!</formula>
    </cfRule>
  </conditionalFormatting>
  <conditionalFormatting sqref="G848">
    <cfRule type="expression" dxfId="20009" priority="2426">
      <formula>AND($A832&lt;&gt;"",MOD(ROW(),2))</formula>
    </cfRule>
  </conditionalFormatting>
  <conditionalFormatting sqref="G848">
    <cfRule type="cellIs" dxfId="20008" priority="2423" operator="equal">
      <formula>#REF!</formula>
    </cfRule>
    <cfRule type="cellIs" dxfId="20007" priority="2424" operator="greaterThan">
      <formula>#REF!</formula>
    </cfRule>
    <cfRule type="cellIs" dxfId="20006" priority="2425" operator="lessThan">
      <formula>#REF!</formula>
    </cfRule>
  </conditionalFormatting>
  <conditionalFormatting sqref="G849">
    <cfRule type="expression" dxfId="20005" priority="2422">
      <formula>AND($A833&lt;&gt;"",MOD(ROW(),2))</formula>
    </cfRule>
  </conditionalFormatting>
  <conditionalFormatting sqref="G849">
    <cfRule type="cellIs" dxfId="20004" priority="2419" operator="equal">
      <formula>#REF!</formula>
    </cfRule>
    <cfRule type="cellIs" dxfId="20003" priority="2420" operator="greaterThan">
      <formula>#REF!</formula>
    </cfRule>
    <cfRule type="cellIs" dxfId="20002" priority="2421" operator="lessThan">
      <formula>#REF!</formula>
    </cfRule>
  </conditionalFormatting>
  <conditionalFormatting sqref="G849">
    <cfRule type="expression" dxfId="20001" priority="2418">
      <formula>AND($A833&lt;&gt;"",MOD(ROW(),2))</formula>
    </cfRule>
  </conditionalFormatting>
  <conditionalFormatting sqref="G849">
    <cfRule type="cellIs" dxfId="20000" priority="2415" operator="equal">
      <formula>#REF!</formula>
    </cfRule>
    <cfRule type="cellIs" dxfId="19999" priority="2416" operator="greaterThan">
      <formula>#REF!</formula>
    </cfRule>
    <cfRule type="cellIs" dxfId="19998" priority="2417" operator="lessThan">
      <formula>#REF!</formula>
    </cfRule>
  </conditionalFormatting>
  <conditionalFormatting sqref="G850">
    <cfRule type="expression" dxfId="19997" priority="2414">
      <formula>AND($A834&lt;&gt;"",MOD(ROW(),2))</formula>
    </cfRule>
  </conditionalFormatting>
  <conditionalFormatting sqref="G850">
    <cfRule type="cellIs" dxfId="19996" priority="2411" operator="equal">
      <formula>#REF!</formula>
    </cfRule>
    <cfRule type="cellIs" dxfId="19995" priority="2412" operator="greaterThan">
      <formula>#REF!</formula>
    </cfRule>
    <cfRule type="cellIs" dxfId="19994" priority="2413" operator="lessThan">
      <formula>#REF!</formula>
    </cfRule>
  </conditionalFormatting>
  <conditionalFormatting sqref="G850">
    <cfRule type="expression" dxfId="19993" priority="2410">
      <formula>AND($A834&lt;&gt;"",MOD(ROW(),2))</formula>
    </cfRule>
  </conditionalFormatting>
  <conditionalFormatting sqref="G850">
    <cfRule type="cellIs" dxfId="19992" priority="2407" operator="equal">
      <formula>#REF!</formula>
    </cfRule>
    <cfRule type="cellIs" dxfId="19991" priority="2408" operator="greaterThan">
      <formula>#REF!</formula>
    </cfRule>
    <cfRule type="cellIs" dxfId="19990" priority="2409" operator="lessThan">
      <formula>#REF!</formula>
    </cfRule>
  </conditionalFormatting>
  <conditionalFormatting sqref="G851">
    <cfRule type="expression" dxfId="19989" priority="2406">
      <formula>AND($A835&lt;&gt;"",MOD(ROW(),2))</formula>
    </cfRule>
  </conditionalFormatting>
  <conditionalFormatting sqref="G851">
    <cfRule type="cellIs" dxfId="19988" priority="2403" operator="equal">
      <formula>#REF!</formula>
    </cfRule>
    <cfRule type="cellIs" dxfId="19987" priority="2404" operator="greaterThan">
      <formula>#REF!</formula>
    </cfRule>
    <cfRule type="cellIs" dxfId="19986" priority="2405" operator="lessThan">
      <formula>#REF!</formula>
    </cfRule>
  </conditionalFormatting>
  <conditionalFormatting sqref="G851">
    <cfRule type="expression" dxfId="19985" priority="2402">
      <formula>AND($A835&lt;&gt;"",MOD(ROW(),2))</formula>
    </cfRule>
  </conditionalFormatting>
  <conditionalFormatting sqref="G851">
    <cfRule type="cellIs" dxfId="19984" priority="2399" operator="equal">
      <formula>#REF!</formula>
    </cfRule>
    <cfRule type="cellIs" dxfId="19983" priority="2400" operator="greaterThan">
      <formula>#REF!</formula>
    </cfRule>
    <cfRule type="cellIs" dxfId="19982" priority="2401" operator="lessThan">
      <formula>#REF!</formula>
    </cfRule>
  </conditionalFormatting>
  <conditionalFormatting sqref="G852">
    <cfRule type="expression" dxfId="19981" priority="2398">
      <formula>AND($A836&lt;&gt;"",MOD(ROW(),2))</formula>
    </cfRule>
  </conditionalFormatting>
  <conditionalFormatting sqref="G852">
    <cfRule type="cellIs" dxfId="19980" priority="2395" operator="equal">
      <formula>#REF!</formula>
    </cfRule>
    <cfRule type="cellIs" dxfId="19979" priority="2396" operator="greaterThan">
      <formula>#REF!</formula>
    </cfRule>
    <cfRule type="cellIs" dxfId="19978" priority="2397" operator="lessThan">
      <formula>#REF!</formula>
    </cfRule>
  </conditionalFormatting>
  <conditionalFormatting sqref="G852">
    <cfRule type="expression" dxfId="19977" priority="2394">
      <formula>AND($A836&lt;&gt;"",MOD(ROW(),2))</formula>
    </cfRule>
  </conditionalFormatting>
  <conditionalFormatting sqref="G852">
    <cfRule type="cellIs" dxfId="19976" priority="2391" operator="equal">
      <formula>#REF!</formula>
    </cfRule>
    <cfRule type="cellIs" dxfId="19975" priority="2392" operator="greaterThan">
      <formula>#REF!</formula>
    </cfRule>
    <cfRule type="cellIs" dxfId="19974" priority="2393" operator="lessThan">
      <formula>#REF!</formula>
    </cfRule>
  </conditionalFormatting>
  <conditionalFormatting sqref="G853">
    <cfRule type="expression" dxfId="19973" priority="2390">
      <formula>AND($A837&lt;&gt;"",MOD(ROW(),2))</formula>
    </cfRule>
  </conditionalFormatting>
  <conditionalFormatting sqref="G853">
    <cfRule type="cellIs" dxfId="19972" priority="2387" operator="equal">
      <formula>#REF!</formula>
    </cfRule>
    <cfRule type="cellIs" dxfId="19971" priority="2388" operator="greaterThan">
      <formula>#REF!</formula>
    </cfRule>
    <cfRule type="cellIs" dxfId="19970" priority="2389" operator="lessThan">
      <formula>#REF!</formula>
    </cfRule>
  </conditionalFormatting>
  <conditionalFormatting sqref="G853">
    <cfRule type="expression" dxfId="19969" priority="2386">
      <formula>AND($A837&lt;&gt;"",MOD(ROW(),2))</formula>
    </cfRule>
  </conditionalFormatting>
  <conditionalFormatting sqref="G853">
    <cfRule type="cellIs" dxfId="19968" priority="2383" operator="equal">
      <formula>#REF!</formula>
    </cfRule>
    <cfRule type="cellIs" dxfId="19967" priority="2384" operator="greaterThan">
      <formula>#REF!</formula>
    </cfRule>
    <cfRule type="cellIs" dxfId="19966" priority="2385" operator="lessThan">
      <formula>#REF!</formula>
    </cfRule>
  </conditionalFormatting>
  <conditionalFormatting sqref="G854">
    <cfRule type="expression" dxfId="19965" priority="2382">
      <formula>AND($A838&lt;&gt;"",MOD(ROW(),2))</formula>
    </cfRule>
  </conditionalFormatting>
  <conditionalFormatting sqref="G854">
    <cfRule type="cellIs" dxfId="19964" priority="2379" operator="equal">
      <formula>#REF!</formula>
    </cfRule>
    <cfRule type="cellIs" dxfId="19963" priority="2380" operator="greaterThan">
      <formula>#REF!</formula>
    </cfRule>
    <cfRule type="cellIs" dxfId="19962" priority="2381" operator="lessThan">
      <formula>#REF!</formula>
    </cfRule>
  </conditionalFormatting>
  <conditionalFormatting sqref="G854">
    <cfRule type="expression" dxfId="19961" priority="2378">
      <formula>AND($A838&lt;&gt;"",MOD(ROW(),2))</formula>
    </cfRule>
  </conditionalFormatting>
  <conditionalFormatting sqref="G854">
    <cfRule type="cellIs" dxfId="19960" priority="2375" operator="equal">
      <formula>#REF!</formula>
    </cfRule>
    <cfRule type="cellIs" dxfId="19959" priority="2376" operator="greaterThan">
      <formula>#REF!</formula>
    </cfRule>
    <cfRule type="cellIs" dxfId="19958" priority="2377" operator="lessThan">
      <formula>#REF!</formula>
    </cfRule>
  </conditionalFormatting>
  <conditionalFormatting sqref="G855">
    <cfRule type="expression" dxfId="19957" priority="2374">
      <formula>AND($A839&lt;&gt;"",MOD(ROW(),2))</formula>
    </cfRule>
  </conditionalFormatting>
  <conditionalFormatting sqref="G855">
    <cfRule type="cellIs" dxfId="19956" priority="2371" operator="equal">
      <formula>#REF!</formula>
    </cfRule>
    <cfRule type="cellIs" dxfId="19955" priority="2372" operator="greaterThan">
      <formula>#REF!</formula>
    </cfRule>
    <cfRule type="cellIs" dxfId="19954" priority="2373" operator="lessThan">
      <formula>#REF!</formula>
    </cfRule>
  </conditionalFormatting>
  <conditionalFormatting sqref="G855">
    <cfRule type="expression" dxfId="19953" priority="2370">
      <formula>AND($A839&lt;&gt;"",MOD(ROW(),2))</formula>
    </cfRule>
  </conditionalFormatting>
  <conditionalFormatting sqref="G855">
    <cfRule type="cellIs" dxfId="19952" priority="2367" operator="equal">
      <formula>#REF!</formula>
    </cfRule>
    <cfRule type="cellIs" dxfId="19951" priority="2368" operator="greaterThan">
      <formula>#REF!</formula>
    </cfRule>
    <cfRule type="cellIs" dxfId="19950" priority="2369" operator="lessThan">
      <formula>#REF!</formula>
    </cfRule>
  </conditionalFormatting>
  <conditionalFormatting sqref="G856">
    <cfRule type="expression" dxfId="19949" priority="2366">
      <formula>AND($A840&lt;&gt;"",MOD(ROW(),2))</formula>
    </cfRule>
  </conditionalFormatting>
  <conditionalFormatting sqref="G856">
    <cfRule type="cellIs" dxfId="19948" priority="2363" operator="equal">
      <formula>#REF!</formula>
    </cfRule>
    <cfRule type="cellIs" dxfId="19947" priority="2364" operator="greaterThan">
      <formula>#REF!</formula>
    </cfRule>
    <cfRule type="cellIs" dxfId="19946" priority="2365" operator="lessThan">
      <formula>#REF!</formula>
    </cfRule>
  </conditionalFormatting>
  <conditionalFormatting sqref="G856">
    <cfRule type="expression" dxfId="19945" priority="2362">
      <formula>AND($A840&lt;&gt;"",MOD(ROW(),2))</formula>
    </cfRule>
  </conditionalFormatting>
  <conditionalFormatting sqref="G856">
    <cfRule type="cellIs" dxfId="19944" priority="2359" operator="equal">
      <formula>#REF!</formula>
    </cfRule>
    <cfRule type="cellIs" dxfId="19943" priority="2360" operator="greaterThan">
      <formula>#REF!</formula>
    </cfRule>
    <cfRule type="cellIs" dxfId="19942" priority="2361" operator="lessThan">
      <formula>#REF!</formula>
    </cfRule>
  </conditionalFormatting>
  <conditionalFormatting sqref="G857">
    <cfRule type="expression" dxfId="19941" priority="2358">
      <formula>AND($A841&lt;&gt;"",MOD(ROW(),2))</formula>
    </cfRule>
  </conditionalFormatting>
  <conditionalFormatting sqref="G857">
    <cfRule type="cellIs" dxfId="19940" priority="2355" operator="equal">
      <formula>#REF!</formula>
    </cfRule>
    <cfRule type="cellIs" dxfId="19939" priority="2356" operator="greaterThan">
      <formula>#REF!</formula>
    </cfRule>
    <cfRule type="cellIs" dxfId="19938" priority="2357" operator="lessThan">
      <formula>#REF!</formula>
    </cfRule>
  </conditionalFormatting>
  <conditionalFormatting sqref="G857">
    <cfRule type="expression" dxfId="19937" priority="2354">
      <formula>AND($A841&lt;&gt;"",MOD(ROW(),2))</formula>
    </cfRule>
  </conditionalFormatting>
  <conditionalFormatting sqref="G857">
    <cfRule type="cellIs" dxfId="19936" priority="2351" operator="equal">
      <formula>#REF!</formula>
    </cfRule>
    <cfRule type="cellIs" dxfId="19935" priority="2352" operator="greaterThan">
      <formula>#REF!</formula>
    </cfRule>
    <cfRule type="cellIs" dxfId="19934" priority="2353" operator="lessThan">
      <formula>#REF!</formula>
    </cfRule>
  </conditionalFormatting>
  <conditionalFormatting sqref="G858">
    <cfRule type="expression" dxfId="19933" priority="2350">
      <formula>AND($A842&lt;&gt;"",MOD(ROW(),2))</formula>
    </cfRule>
  </conditionalFormatting>
  <conditionalFormatting sqref="G858">
    <cfRule type="cellIs" dxfId="19932" priority="2347" operator="equal">
      <formula>#REF!</formula>
    </cfRule>
    <cfRule type="cellIs" dxfId="19931" priority="2348" operator="greaterThan">
      <formula>#REF!</formula>
    </cfRule>
    <cfRule type="cellIs" dxfId="19930" priority="2349" operator="lessThan">
      <formula>#REF!</formula>
    </cfRule>
  </conditionalFormatting>
  <conditionalFormatting sqref="G858">
    <cfRule type="expression" dxfId="19929" priority="2346">
      <formula>AND($A842&lt;&gt;"",MOD(ROW(),2))</formula>
    </cfRule>
  </conditionalFormatting>
  <conditionalFormatting sqref="G858">
    <cfRule type="cellIs" dxfId="19928" priority="2343" operator="equal">
      <formula>#REF!</formula>
    </cfRule>
    <cfRule type="cellIs" dxfId="19927" priority="2344" operator="greaterThan">
      <formula>#REF!</formula>
    </cfRule>
    <cfRule type="cellIs" dxfId="19926" priority="2345" operator="lessThan">
      <formula>#REF!</formula>
    </cfRule>
  </conditionalFormatting>
  <conditionalFormatting sqref="G859">
    <cfRule type="expression" dxfId="19925" priority="2342">
      <formula>AND($A843&lt;&gt;"",MOD(ROW(),2))</formula>
    </cfRule>
  </conditionalFormatting>
  <conditionalFormatting sqref="G859">
    <cfRule type="cellIs" dxfId="19924" priority="2339" operator="equal">
      <formula>#REF!</formula>
    </cfRule>
    <cfRule type="cellIs" dxfId="19923" priority="2340" operator="greaterThan">
      <formula>#REF!</formula>
    </cfRule>
    <cfRule type="cellIs" dxfId="19922" priority="2341" operator="lessThan">
      <formula>#REF!</formula>
    </cfRule>
  </conditionalFormatting>
  <conditionalFormatting sqref="G859">
    <cfRule type="expression" dxfId="19921" priority="2338">
      <formula>AND($A843&lt;&gt;"",MOD(ROW(),2))</formula>
    </cfRule>
  </conditionalFormatting>
  <conditionalFormatting sqref="G859">
    <cfRule type="cellIs" dxfId="19920" priority="2335" operator="equal">
      <formula>#REF!</formula>
    </cfRule>
    <cfRule type="cellIs" dxfId="19919" priority="2336" operator="greaterThan">
      <formula>#REF!</formula>
    </cfRule>
    <cfRule type="cellIs" dxfId="19918" priority="2337" operator="lessThan">
      <formula>#REF!</formula>
    </cfRule>
  </conditionalFormatting>
  <conditionalFormatting sqref="G860">
    <cfRule type="expression" dxfId="19917" priority="2334">
      <formula>AND($A844&lt;&gt;"",MOD(ROW(),2))</formula>
    </cfRule>
  </conditionalFormatting>
  <conditionalFormatting sqref="G860">
    <cfRule type="cellIs" dxfId="19916" priority="2331" operator="equal">
      <formula>#REF!</formula>
    </cfRule>
    <cfRule type="cellIs" dxfId="19915" priority="2332" operator="greaterThan">
      <formula>#REF!</formula>
    </cfRule>
    <cfRule type="cellIs" dxfId="19914" priority="2333" operator="lessThan">
      <formula>#REF!</formula>
    </cfRule>
  </conditionalFormatting>
  <conditionalFormatting sqref="G860">
    <cfRule type="expression" dxfId="19913" priority="2330">
      <formula>AND($A844&lt;&gt;"",MOD(ROW(),2))</formula>
    </cfRule>
  </conditionalFormatting>
  <conditionalFormatting sqref="G860">
    <cfRule type="cellIs" dxfId="19912" priority="2327" operator="equal">
      <formula>#REF!</formula>
    </cfRule>
    <cfRule type="cellIs" dxfId="19911" priority="2328" operator="greaterThan">
      <formula>#REF!</formula>
    </cfRule>
    <cfRule type="cellIs" dxfId="19910" priority="2329" operator="lessThan">
      <formula>#REF!</formula>
    </cfRule>
  </conditionalFormatting>
  <conditionalFormatting sqref="G861">
    <cfRule type="expression" dxfId="19909" priority="2326">
      <formula>AND($A845&lt;&gt;"",MOD(ROW(),2))</formula>
    </cfRule>
  </conditionalFormatting>
  <conditionalFormatting sqref="G861">
    <cfRule type="cellIs" dxfId="19908" priority="2323" operator="equal">
      <formula>#REF!</formula>
    </cfRule>
    <cfRule type="cellIs" dxfId="19907" priority="2324" operator="greaterThan">
      <formula>#REF!</formula>
    </cfRule>
    <cfRule type="cellIs" dxfId="19906" priority="2325" operator="lessThan">
      <formula>#REF!</formula>
    </cfRule>
  </conditionalFormatting>
  <conditionalFormatting sqref="G861">
    <cfRule type="expression" dxfId="19905" priority="2322">
      <formula>AND($A845&lt;&gt;"",MOD(ROW(),2))</formula>
    </cfRule>
  </conditionalFormatting>
  <conditionalFormatting sqref="G861">
    <cfRule type="cellIs" dxfId="19904" priority="2319" operator="equal">
      <formula>#REF!</formula>
    </cfRule>
    <cfRule type="cellIs" dxfId="19903" priority="2320" operator="greaterThan">
      <formula>#REF!</formula>
    </cfRule>
    <cfRule type="cellIs" dxfId="19902" priority="2321" operator="lessThan">
      <formula>#REF!</formula>
    </cfRule>
  </conditionalFormatting>
  <conditionalFormatting sqref="G862">
    <cfRule type="expression" dxfId="19901" priority="2318">
      <formula>AND($A846&lt;&gt;"",MOD(ROW(),2))</formula>
    </cfRule>
  </conditionalFormatting>
  <conditionalFormatting sqref="G862">
    <cfRule type="cellIs" dxfId="19900" priority="2315" operator="equal">
      <formula>#REF!</formula>
    </cfRule>
    <cfRule type="cellIs" dxfId="19899" priority="2316" operator="greaterThan">
      <formula>#REF!</formula>
    </cfRule>
    <cfRule type="cellIs" dxfId="19898" priority="2317" operator="lessThan">
      <formula>#REF!</formula>
    </cfRule>
  </conditionalFormatting>
  <conditionalFormatting sqref="G862">
    <cfRule type="expression" dxfId="19897" priority="2314">
      <formula>AND($A846&lt;&gt;"",MOD(ROW(),2))</formula>
    </cfRule>
  </conditionalFormatting>
  <conditionalFormatting sqref="G862">
    <cfRule type="cellIs" dxfId="19896" priority="2311" operator="equal">
      <formula>#REF!</formula>
    </cfRule>
    <cfRule type="cellIs" dxfId="19895" priority="2312" operator="greaterThan">
      <formula>#REF!</formula>
    </cfRule>
    <cfRule type="cellIs" dxfId="19894" priority="2313" operator="lessThan">
      <formula>#REF!</formula>
    </cfRule>
  </conditionalFormatting>
  <conditionalFormatting sqref="G863">
    <cfRule type="expression" dxfId="19893" priority="2310">
      <formula>AND($A847&lt;&gt;"",MOD(ROW(),2))</formula>
    </cfRule>
  </conditionalFormatting>
  <conditionalFormatting sqref="G863">
    <cfRule type="cellIs" dxfId="19892" priority="2307" operator="equal">
      <formula>#REF!</formula>
    </cfRule>
    <cfRule type="cellIs" dxfId="19891" priority="2308" operator="greaterThan">
      <formula>#REF!</formula>
    </cfRule>
    <cfRule type="cellIs" dxfId="19890" priority="2309" operator="lessThan">
      <formula>#REF!</formula>
    </cfRule>
  </conditionalFormatting>
  <conditionalFormatting sqref="G863">
    <cfRule type="expression" dxfId="19889" priority="2306">
      <formula>AND($A847&lt;&gt;"",MOD(ROW(),2))</formula>
    </cfRule>
  </conditionalFormatting>
  <conditionalFormatting sqref="G863">
    <cfRule type="cellIs" dxfId="19888" priority="2303" operator="equal">
      <formula>#REF!</formula>
    </cfRule>
    <cfRule type="cellIs" dxfId="19887" priority="2304" operator="greaterThan">
      <formula>#REF!</formula>
    </cfRule>
    <cfRule type="cellIs" dxfId="19886" priority="2305" operator="lessThan">
      <formula>#REF!</formula>
    </cfRule>
  </conditionalFormatting>
  <conditionalFormatting sqref="G864">
    <cfRule type="expression" dxfId="19885" priority="2302">
      <formula>AND($A848&lt;&gt;"",MOD(ROW(),2))</formula>
    </cfRule>
  </conditionalFormatting>
  <conditionalFormatting sqref="G864">
    <cfRule type="cellIs" dxfId="19884" priority="2299" operator="equal">
      <formula>#REF!</formula>
    </cfRule>
    <cfRule type="cellIs" dxfId="19883" priority="2300" operator="greaterThan">
      <formula>#REF!</formula>
    </cfRule>
    <cfRule type="cellIs" dxfId="19882" priority="2301" operator="lessThan">
      <formula>#REF!</formula>
    </cfRule>
  </conditionalFormatting>
  <conditionalFormatting sqref="G864">
    <cfRule type="expression" dxfId="19881" priority="2298">
      <formula>AND($A848&lt;&gt;"",MOD(ROW(),2))</formula>
    </cfRule>
  </conditionalFormatting>
  <conditionalFormatting sqref="G864">
    <cfRule type="cellIs" dxfId="19880" priority="2295" operator="equal">
      <formula>#REF!</formula>
    </cfRule>
    <cfRule type="cellIs" dxfId="19879" priority="2296" operator="greaterThan">
      <formula>#REF!</formula>
    </cfRule>
    <cfRule type="cellIs" dxfId="19878" priority="2297" operator="lessThan">
      <formula>#REF!</formula>
    </cfRule>
  </conditionalFormatting>
  <conditionalFormatting sqref="G865">
    <cfRule type="expression" dxfId="19877" priority="2294">
      <formula>AND($A849&lt;&gt;"",MOD(ROW(),2))</formula>
    </cfRule>
  </conditionalFormatting>
  <conditionalFormatting sqref="G865">
    <cfRule type="cellIs" dxfId="19876" priority="2291" operator="equal">
      <formula>#REF!</formula>
    </cfRule>
    <cfRule type="cellIs" dxfId="19875" priority="2292" operator="greaterThan">
      <formula>#REF!</formula>
    </cfRule>
    <cfRule type="cellIs" dxfId="19874" priority="2293" operator="lessThan">
      <formula>#REF!</formula>
    </cfRule>
  </conditionalFormatting>
  <conditionalFormatting sqref="G865">
    <cfRule type="expression" dxfId="19873" priority="2290">
      <formula>AND($A849&lt;&gt;"",MOD(ROW(),2))</formula>
    </cfRule>
  </conditionalFormatting>
  <conditionalFormatting sqref="G865">
    <cfRule type="cellIs" dxfId="19872" priority="2287" operator="equal">
      <formula>#REF!</formula>
    </cfRule>
    <cfRule type="cellIs" dxfId="19871" priority="2288" operator="greaterThan">
      <formula>#REF!</formula>
    </cfRule>
    <cfRule type="cellIs" dxfId="19870" priority="2289" operator="lessThan">
      <formula>#REF!</formula>
    </cfRule>
  </conditionalFormatting>
  <conditionalFormatting sqref="G866">
    <cfRule type="expression" dxfId="19869" priority="2286">
      <formula>AND($A850&lt;&gt;"",MOD(ROW(),2))</formula>
    </cfRule>
  </conditionalFormatting>
  <conditionalFormatting sqref="G866">
    <cfRule type="cellIs" dxfId="19868" priority="2283" operator="equal">
      <formula>#REF!</formula>
    </cfRule>
    <cfRule type="cellIs" dxfId="19867" priority="2284" operator="greaterThan">
      <formula>#REF!</formula>
    </cfRule>
    <cfRule type="cellIs" dxfId="19866" priority="2285" operator="lessThan">
      <formula>#REF!</formula>
    </cfRule>
  </conditionalFormatting>
  <conditionalFormatting sqref="G866">
    <cfRule type="expression" dxfId="19865" priority="2282">
      <formula>AND($A850&lt;&gt;"",MOD(ROW(),2))</formula>
    </cfRule>
  </conditionalFormatting>
  <conditionalFormatting sqref="G866">
    <cfRule type="cellIs" dxfId="19864" priority="2279" operator="equal">
      <formula>#REF!</formula>
    </cfRule>
    <cfRule type="cellIs" dxfId="19863" priority="2280" operator="greaterThan">
      <formula>#REF!</formula>
    </cfRule>
    <cfRule type="cellIs" dxfId="19862" priority="2281" operator="lessThan">
      <formula>#REF!</formula>
    </cfRule>
  </conditionalFormatting>
  <conditionalFormatting sqref="G867">
    <cfRule type="expression" dxfId="19861" priority="2278">
      <formula>AND($A851&lt;&gt;"",MOD(ROW(),2))</formula>
    </cfRule>
  </conditionalFormatting>
  <conditionalFormatting sqref="G867">
    <cfRule type="cellIs" dxfId="19860" priority="2275" operator="equal">
      <formula>#REF!</formula>
    </cfRule>
    <cfRule type="cellIs" dxfId="19859" priority="2276" operator="greaterThan">
      <formula>#REF!</formula>
    </cfRule>
    <cfRule type="cellIs" dxfId="19858" priority="2277" operator="lessThan">
      <formula>#REF!</formula>
    </cfRule>
  </conditionalFormatting>
  <conditionalFormatting sqref="G867">
    <cfRule type="expression" dxfId="19857" priority="2274">
      <formula>AND($A851&lt;&gt;"",MOD(ROW(),2))</formula>
    </cfRule>
  </conditionalFormatting>
  <conditionalFormatting sqref="G867">
    <cfRule type="cellIs" dxfId="19856" priority="2271" operator="equal">
      <formula>#REF!</formula>
    </cfRule>
    <cfRule type="cellIs" dxfId="19855" priority="2272" operator="greaterThan">
      <formula>#REF!</formula>
    </cfRule>
    <cfRule type="cellIs" dxfId="19854" priority="2273" operator="lessThan">
      <formula>#REF!</formula>
    </cfRule>
  </conditionalFormatting>
  <conditionalFormatting sqref="G868">
    <cfRule type="expression" dxfId="19853" priority="2270">
      <formula>AND($A852&lt;&gt;"",MOD(ROW(),2))</formula>
    </cfRule>
  </conditionalFormatting>
  <conditionalFormatting sqref="G868">
    <cfRule type="cellIs" dxfId="19852" priority="2267" operator="equal">
      <formula>#REF!</formula>
    </cfRule>
    <cfRule type="cellIs" dxfId="19851" priority="2268" operator="greaterThan">
      <formula>#REF!</formula>
    </cfRule>
    <cfRule type="cellIs" dxfId="19850" priority="2269" operator="lessThan">
      <formula>#REF!</formula>
    </cfRule>
  </conditionalFormatting>
  <conditionalFormatting sqref="G868">
    <cfRule type="expression" dxfId="19849" priority="2266">
      <formula>AND($A852&lt;&gt;"",MOD(ROW(),2))</formula>
    </cfRule>
  </conditionalFormatting>
  <conditionalFormatting sqref="G868">
    <cfRule type="cellIs" dxfId="19848" priority="2263" operator="equal">
      <formula>#REF!</formula>
    </cfRule>
    <cfRule type="cellIs" dxfId="19847" priority="2264" operator="greaterThan">
      <formula>#REF!</formula>
    </cfRule>
    <cfRule type="cellIs" dxfId="19846" priority="2265" operator="lessThan">
      <formula>#REF!</formula>
    </cfRule>
  </conditionalFormatting>
  <conditionalFormatting sqref="G869">
    <cfRule type="expression" dxfId="19845" priority="2262">
      <formula>AND($A853&lt;&gt;"",MOD(ROW(),2))</formula>
    </cfRule>
  </conditionalFormatting>
  <conditionalFormatting sqref="G869">
    <cfRule type="cellIs" dxfId="19844" priority="2259" operator="equal">
      <formula>#REF!</formula>
    </cfRule>
    <cfRule type="cellIs" dxfId="19843" priority="2260" operator="greaterThan">
      <formula>#REF!</formula>
    </cfRule>
    <cfRule type="cellIs" dxfId="19842" priority="2261" operator="lessThan">
      <formula>#REF!</formula>
    </cfRule>
  </conditionalFormatting>
  <conditionalFormatting sqref="G869">
    <cfRule type="expression" dxfId="19841" priority="2258">
      <formula>AND($A853&lt;&gt;"",MOD(ROW(),2))</formula>
    </cfRule>
  </conditionalFormatting>
  <conditionalFormatting sqref="G869">
    <cfRule type="cellIs" dxfId="19840" priority="2255" operator="equal">
      <formula>#REF!</formula>
    </cfRule>
    <cfRule type="cellIs" dxfId="19839" priority="2256" operator="greaterThan">
      <formula>#REF!</formula>
    </cfRule>
    <cfRule type="cellIs" dxfId="19838" priority="2257" operator="lessThan">
      <formula>#REF!</formula>
    </cfRule>
  </conditionalFormatting>
  <conditionalFormatting sqref="G870">
    <cfRule type="expression" dxfId="19837" priority="2254">
      <formula>AND($A854&lt;&gt;"",MOD(ROW(),2))</formula>
    </cfRule>
  </conditionalFormatting>
  <conditionalFormatting sqref="G870">
    <cfRule type="cellIs" dxfId="19836" priority="2251" operator="equal">
      <formula>#REF!</formula>
    </cfRule>
    <cfRule type="cellIs" dxfId="19835" priority="2252" operator="greaterThan">
      <formula>#REF!</formula>
    </cfRule>
    <cfRule type="cellIs" dxfId="19834" priority="2253" operator="lessThan">
      <formula>#REF!</formula>
    </cfRule>
  </conditionalFormatting>
  <conditionalFormatting sqref="G870">
    <cfRule type="expression" dxfId="19833" priority="2250">
      <formula>AND($A854&lt;&gt;"",MOD(ROW(),2))</formula>
    </cfRule>
  </conditionalFormatting>
  <conditionalFormatting sqref="G870">
    <cfRule type="cellIs" dxfId="19832" priority="2247" operator="equal">
      <formula>#REF!</formula>
    </cfRule>
    <cfRule type="cellIs" dxfId="19831" priority="2248" operator="greaterThan">
      <formula>#REF!</formula>
    </cfRule>
    <cfRule type="cellIs" dxfId="19830" priority="2249" operator="lessThan">
      <formula>#REF!</formula>
    </cfRule>
  </conditionalFormatting>
  <conditionalFormatting sqref="G871">
    <cfRule type="expression" dxfId="19829" priority="2246">
      <formula>AND($A855&lt;&gt;"",MOD(ROW(),2))</formula>
    </cfRule>
  </conditionalFormatting>
  <conditionalFormatting sqref="G871">
    <cfRule type="cellIs" dxfId="19828" priority="2243" operator="equal">
      <formula>#REF!</formula>
    </cfRule>
    <cfRule type="cellIs" dxfId="19827" priority="2244" operator="greaterThan">
      <formula>#REF!</formula>
    </cfRule>
    <cfRule type="cellIs" dxfId="19826" priority="2245" operator="lessThan">
      <formula>#REF!</formula>
    </cfRule>
  </conditionalFormatting>
  <conditionalFormatting sqref="G871">
    <cfRule type="expression" dxfId="19825" priority="2242">
      <formula>AND($A855&lt;&gt;"",MOD(ROW(),2))</formula>
    </cfRule>
  </conditionalFormatting>
  <conditionalFormatting sqref="G871">
    <cfRule type="cellIs" dxfId="19824" priority="2239" operator="equal">
      <formula>#REF!</formula>
    </cfRule>
    <cfRule type="cellIs" dxfId="19823" priority="2240" operator="greaterThan">
      <formula>#REF!</formula>
    </cfRule>
    <cfRule type="cellIs" dxfId="19822" priority="2241" operator="lessThan">
      <formula>#REF!</formula>
    </cfRule>
  </conditionalFormatting>
  <conditionalFormatting sqref="G872">
    <cfRule type="expression" dxfId="19821" priority="2238">
      <formula>AND($A856&lt;&gt;"",MOD(ROW(),2))</formula>
    </cfRule>
  </conditionalFormatting>
  <conditionalFormatting sqref="G872">
    <cfRule type="cellIs" dxfId="19820" priority="2235" operator="equal">
      <formula>#REF!</formula>
    </cfRule>
    <cfRule type="cellIs" dxfId="19819" priority="2236" operator="greaterThan">
      <formula>#REF!</formula>
    </cfRule>
    <cfRule type="cellIs" dxfId="19818" priority="2237" operator="lessThan">
      <formula>#REF!</formula>
    </cfRule>
  </conditionalFormatting>
  <conditionalFormatting sqref="G872">
    <cfRule type="expression" dxfId="19817" priority="2234">
      <formula>AND($A856&lt;&gt;"",MOD(ROW(),2))</formula>
    </cfRule>
  </conditionalFormatting>
  <conditionalFormatting sqref="G872">
    <cfRule type="cellIs" dxfId="19816" priority="2231" operator="equal">
      <formula>#REF!</formula>
    </cfRule>
    <cfRule type="cellIs" dxfId="19815" priority="2232" operator="greaterThan">
      <formula>#REF!</formula>
    </cfRule>
    <cfRule type="cellIs" dxfId="19814" priority="2233" operator="lessThan">
      <formula>#REF!</formula>
    </cfRule>
  </conditionalFormatting>
  <conditionalFormatting sqref="G873">
    <cfRule type="expression" dxfId="19813" priority="2230">
      <formula>AND($A857&lt;&gt;"",MOD(ROW(),2))</formula>
    </cfRule>
  </conditionalFormatting>
  <conditionalFormatting sqref="G873">
    <cfRule type="cellIs" dxfId="19812" priority="2227" operator="equal">
      <formula>#REF!</formula>
    </cfRule>
    <cfRule type="cellIs" dxfId="19811" priority="2228" operator="greaterThan">
      <formula>#REF!</formula>
    </cfRule>
    <cfRule type="cellIs" dxfId="19810" priority="2229" operator="lessThan">
      <formula>#REF!</formula>
    </cfRule>
  </conditionalFormatting>
  <conditionalFormatting sqref="G873">
    <cfRule type="expression" dxfId="19809" priority="2226">
      <formula>AND($A857&lt;&gt;"",MOD(ROW(),2))</formula>
    </cfRule>
  </conditionalFormatting>
  <conditionalFormatting sqref="G873">
    <cfRule type="cellIs" dxfId="19808" priority="2223" operator="equal">
      <formula>#REF!</formula>
    </cfRule>
    <cfRule type="cellIs" dxfId="19807" priority="2224" operator="greaterThan">
      <formula>#REF!</formula>
    </cfRule>
    <cfRule type="cellIs" dxfId="19806" priority="2225" operator="lessThan">
      <formula>#REF!</formula>
    </cfRule>
  </conditionalFormatting>
  <conditionalFormatting sqref="G874">
    <cfRule type="expression" dxfId="19805" priority="2222">
      <formula>AND($A858&lt;&gt;"",MOD(ROW(),2))</formula>
    </cfRule>
  </conditionalFormatting>
  <conditionalFormatting sqref="G874">
    <cfRule type="cellIs" dxfId="19804" priority="2219" operator="equal">
      <formula>#REF!</formula>
    </cfRule>
    <cfRule type="cellIs" dxfId="19803" priority="2220" operator="greaterThan">
      <formula>#REF!</formula>
    </cfRule>
    <cfRule type="cellIs" dxfId="19802" priority="2221" operator="lessThan">
      <formula>#REF!</formula>
    </cfRule>
  </conditionalFormatting>
  <conditionalFormatting sqref="G874">
    <cfRule type="expression" dxfId="19801" priority="2218">
      <formula>AND($A858&lt;&gt;"",MOD(ROW(),2))</formula>
    </cfRule>
  </conditionalFormatting>
  <conditionalFormatting sqref="G874">
    <cfRule type="cellIs" dxfId="19800" priority="2215" operator="equal">
      <formula>#REF!</formula>
    </cfRule>
    <cfRule type="cellIs" dxfId="19799" priority="2216" operator="greaterThan">
      <formula>#REF!</formula>
    </cfRule>
    <cfRule type="cellIs" dxfId="19798" priority="2217" operator="lessThan">
      <formula>#REF!</formula>
    </cfRule>
  </conditionalFormatting>
  <conditionalFormatting sqref="G875">
    <cfRule type="expression" dxfId="19797" priority="2214">
      <formula>AND($A859&lt;&gt;"",MOD(ROW(),2))</formula>
    </cfRule>
  </conditionalFormatting>
  <conditionalFormatting sqref="G875">
    <cfRule type="cellIs" dxfId="19796" priority="2211" operator="equal">
      <formula>#REF!</formula>
    </cfRule>
    <cfRule type="cellIs" dxfId="19795" priority="2212" operator="greaterThan">
      <formula>#REF!</formula>
    </cfRule>
    <cfRule type="cellIs" dxfId="19794" priority="2213" operator="lessThan">
      <formula>#REF!</formula>
    </cfRule>
  </conditionalFormatting>
  <conditionalFormatting sqref="G875">
    <cfRule type="expression" dxfId="19793" priority="2210">
      <formula>AND($A859&lt;&gt;"",MOD(ROW(),2))</formula>
    </cfRule>
  </conditionalFormatting>
  <conditionalFormatting sqref="G875">
    <cfRule type="cellIs" dxfId="19792" priority="2207" operator="equal">
      <formula>#REF!</formula>
    </cfRule>
    <cfRule type="cellIs" dxfId="19791" priority="2208" operator="greaterThan">
      <formula>#REF!</formula>
    </cfRule>
    <cfRule type="cellIs" dxfId="19790" priority="2209" operator="lessThan">
      <formula>#REF!</formula>
    </cfRule>
  </conditionalFormatting>
  <conditionalFormatting sqref="G876">
    <cfRule type="expression" dxfId="19789" priority="2206">
      <formula>AND($A860&lt;&gt;"",MOD(ROW(),2))</formula>
    </cfRule>
  </conditionalFormatting>
  <conditionalFormatting sqref="G876">
    <cfRule type="cellIs" dxfId="19788" priority="2203" operator="equal">
      <formula>#REF!</formula>
    </cfRule>
    <cfRule type="cellIs" dxfId="19787" priority="2204" operator="greaterThan">
      <formula>#REF!</formula>
    </cfRule>
    <cfRule type="cellIs" dxfId="19786" priority="2205" operator="lessThan">
      <formula>#REF!</formula>
    </cfRule>
  </conditionalFormatting>
  <conditionalFormatting sqref="G876">
    <cfRule type="expression" dxfId="19785" priority="2202">
      <formula>AND($A860&lt;&gt;"",MOD(ROW(),2))</formula>
    </cfRule>
  </conditionalFormatting>
  <conditionalFormatting sqref="G876">
    <cfRule type="cellIs" dxfId="19784" priority="2199" operator="equal">
      <formula>#REF!</formula>
    </cfRule>
    <cfRule type="cellIs" dxfId="19783" priority="2200" operator="greaterThan">
      <formula>#REF!</formula>
    </cfRule>
    <cfRule type="cellIs" dxfId="19782" priority="2201" operator="lessThan">
      <formula>#REF!</formula>
    </cfRule>
  </conditionalFormatting>
  <conditionalFormatting sqref="G877">
    <cfRule type="expression" dxfId="19781" priority="2198">
      <formula>AND($A861&lt;&gt;"",MOD(ROW(),2))</formula>
    </cfRule>
  </conditionalFormatting>
  <conditionalFormatting sqref="G877">
    <cfRule type="cellIs" dxfId="19780" priority="2195" operator="equal">
      <formula>#REF!</formula>
    </cfRule>
    <cfRule type="cellIs" dxfId="19779" priority="2196" operator="greaterThan">
      <formula>#REF!</formula>
    </cfRule>
    <cfRule type="cellIs" dxfId="19778" priority="2197" operator="lessThan">
      <formula>#REF!</formula>
    </cfRule>
  </conditionalFormatting>
  <conditionalFormatting sqref="G877">
    <cfRule type="expression" dxfId="19777" priority="2194">
      <formula>AND($A861&lt;&gt;"",MOD(ROW(),2))</formula>
    </cfRule>
  </conditionalFormatting>
  <conditionalFormatting sqref="G877">
    <cfRule type="cellIs" dxfId="19776" priority="2191" operator="equal">
      <formula>#REF!</formula>
    </cfRule>
    <cfRule type="cellIs" dxfId="19775" priority="2192" operator="greaterThan">
      <formula>#REF!</formula>
    </cfRule>
    <cfRule type="cellIs" dxfId="19774" priority="2193" operator="lessThan">
      <formula>#REF!</formula>
    </cfRule>
  </conditionalFormatting>
  <conditionalFormatting sqref="G878">
    <cfRule type="expression" dxfId="19773" priority="2190">
      <formula>AND($A862&lt;&gt;"",MOD(ROW(),2))</formula>
    </cfRule>
  </conditionalFormatting>
  <conditionalFormatting sqref="G878">
    <cfRule type="cellIs" dxfId="19772" priority="2187" operator="equal">
      <formula>#REF!</formula>
    </cfRule>
    <cfRule type="cellIs" dxfId="19771" priority="2188" operator="greaterThan">
      <formula>#REF!</formula>
    </cfRule>
    <cfRule type="cellIs" dxfId="19770" priority="2189" operator="lessThan">
      <formula>#REF!</formula>
    </cfRule>
  </conditionalFormatting>
  <conditionalFormatting sqref="G878">
    <cfRule type="expression" dxfId="19769" priority="2186">
      <formula>AND($A862&lt;&gt;"",MOD(ROW(),2))</formula>
    </cfRule>
  </conditionalFormatting>
  <conditionalFormatting sqref="G878">
    <cfRule type="cellIs" dxfId="19768" priority="2183" operator="equal">
      <formula>#REF!</formula>
    </cfRule>
    <cfRule type="cellIs" dxfId="19767" priority="2184" operator="greaterThan">
      <formula>#REF!</formula>
    </cfRule>
    <cfRule type="cellIs" dxfId="19766" priority="2185" operator="lessThan">
      <formula>#REF!</formula>
    </cfRule>
  </conditionalFormatting>
  <conditionalFormatting sqref="G879">
    <cfRule type="expression" dxfId="19765" priority="2182">
      <formula>AND($A863&lt;&gt;"",MOD(ROW(),2))</formula>
    </cfRule>
  </conditionalFormatting>
  <conditionalFormatting sqref="G879">
    <cfRule type="cellIs" dxfId="19764" priority="2179" operator="equal">
      <formula>#REF!</formula>
    </cfRule>
    <cfRule type="cellIs" dxfId="19763" priority="2180" operator="greaterThan">
      <formula>#REF!</formula>
    </cfRule>
    <cfRule type="cellIs" dxfId="19762" priority="2181" operator="lessThan">
      <formula>#REF!</formula>
    </cfRule>
  </conditionalFormatting>
  <conditionalFormatting sqref="G879">
    <cfRule type="expression" dxfId="19761" priority="2178">
      <formula>AND($A863&lt;&gt;"",MOD(ROW(),2))</formula>
    </cfRule>
  </conditionalFormatting>
  <conditionalFormatting sqref="G879">
    <cfRule type="cellIs" dxfId="19760" priority="2175" operator="equal">
      <formula>#REF!</formula>
    </cfRule>
    <cfRule type="cellIs" dxfId="19759" priority="2176" operator="greaterThan">
      <formula>#REF!</formula>
    </cfRule>
    <cfRule type="cellIs" dxfId="19758" priority="2177" operator="lessThan">
      <formula>#REF!</formula>
    </cfRule>
  </conditionalFormatting>
  <conditionalFormatting sqref="G880">
    <cfRule type="expression" dxfId="19757" priority="2174">
      <formula>AND($A864&lt;&gt;"",MOD(ROW(),2))</formula>
    </cfRule>
  </conditionalFormatting>
  <conditionalFormatting sqref="G880">
    <cfRule type="cellIs" dxfId="19756" priority="2171" operator="equal">
      <formula>#REF!</formula>
    </cfRule>
    <cfRule type="cellIs" dxfId="19755" priority="2172" operator="greaterThan">
      <formula>#REF!</formula>
    </cfRule>
    <cfRule type="cellIs" dxfId="19754" priority="2173" operator="lessThan">
      <formula>#REF!</formula>
    </cfRule>
  </conditionalFormatting>
  <conditionalFormatting sqref="G880">
    <cfRule type="expression" dxfId="19753" priority="2170">
      <formula>AND($A864&lt;&gt;"",MOD(ROW(),2))</formula>
    </cfRule>
  </conditionalFormatting>
  <conditionalFormatting sqref="G880">
    <cfRule type="cellIs" dxfId="19752" priority="2167" operator="equal">
      <formula>#REF!</formula>
    </cfRule>
    <cfRule type="cellIs" dxfId="19751" priority="2168" operator="greaterThan">
      <formula>#REF!</formula>
    </cfRule>
    <cfRule type="cellIs" dxfId="19750" priority="2169" operator="lessThan">
      <formula>#REF!</formula>
    </cfRule>
  </conditionalFormatting>
  <conditionalFormatting sqref="G881">
    <cfRule type="expression" dxfId="19749" priority="2166">
      <formula>AND($A865&lt;&gt;"",MOD(ROW(),2))</formula>
    </cfRule>
  </conditionalFormatting>
  <conditionalFormatting sqref="G881">
    <cfRule type="cellIs" dxfId="19748" priority="2163" operator="equal">
      <formula>#REF!</formula>
    </cfRule>
    <cfRule type="cellIs" dxfId="19747" priority="2164" operator="greaterThan">
      <formula>#REF!</formula>
    </cfRule>
    <cfRule type="cellIs" dxfId="19746" priority="2165" operator="lessThan">
      <formula>#REF!</formula>
    </cfRule>
  </conditionalFormatting>
  <conditionalFormatting sqref="G881">
    <cfRule type="expression" dxfId="19745" priority="2162">
      <formula>AND($A865&lt;&gt;"",MOD(ROW(),2))</formula>
    </cfRule>
  </conditionalFormatting>
  <conditionalFormatting sqref="G881">
    <cfRule type="cellIs" dxfId="19744" priority="2159" operator="equal">
      <formula>#REF!</formula>
    </cfRule>
    <cfRule type="cellIs" dxfId="19743" priority="2160" operator="greaterThan">
      <formula>#REF!</formula>
    </cfRule>
    <cfRule type="cellIs" dxfId="19742" priority="2161" operator="lessThan">
      <formula>#REF!</formula>
    </cfRule>
  </conditionalFormatting>
  <conditionalFormatting sqref="G882">
    <cfRule type="expression" dxfId="19741" priority="2158">
      <formula>AND($A866&lt;&gt;"",MOD(ROW(),2))</formula>
    </cfRule>
  </conditionalFormatting>
  <conditionalFormatting sqref="G882">
    <cfRule type="cellIs" dxfId="19740" priority="2155" operator="equal">
      <formula>#REF!</formula>
    </cfRule>
    <cfRule type="cellIs" dxfId="19739" priority="2156" operator="greaterThan">
      <formula>#REF!</formula>
    </cfRule>
    <cfRule type="cellIs" dxfId="19738" priority="2157" operator="lessThan">
      <formula>#REF!</formula>
    </cfRule>
  </conditionalFormatting>
  <conditionalFormatting sqref="G882">
    <cfRule type="expression" dxfId="19737" priority="2154">
      <formula>AND($A866&lt;&gt;"",MOD(ROW(),2))</formula>
    </cfRule>
  </conditionalFormatting>
  <conditionalFormatting sqref="G882">
    <cfRule type="cellIs" dxfId="19736" priority="2151" operator="equal">
      <formula>#REF!</formula>
    </cfRule>
    <cfRule type="cellIs" dxfId="19735" priority="2152" operator="greaterThan">
      <formula>#REF!</formula>
    </cfRule>
    <cfRule type="cellIs" dxfId="19734" priority="2153" operator="lessThan">
      <formula>#REF!</formula>
    </cfRule>
  </conditionalFormatting>
  <conditionalFormatting sqref="G883">
    <cfRule type="expression" dxfId="19733" priority="2150">
      <formula>AND($A867&lt;&gt;"",MOD(ROW(),2))</formula>
    </cfRule>
  </conditionalFormatting>
  <conditionalFormatting sqref="G883">
    <cfRule type="cellIs" dxfId="19732" priority="2147" operator="equal">
      <formula>#REF!</formula>
    </cfRule>
    <cfRule type="cellIs" dxfId="19731" priority="2148" operator="greaterThan">
      <formula>#REF!</formula>
    </cfRule>
    <cfRule type="cellIs" dxfId="19730" priority="2149" operator="lessThan">
      <formula>#REF!</formula>
    </cfRule>
  </conditionalFormatting>
  <conditionalFormatting sqref="G883">
    <cfRule type="expression" dxfId="19729" priority="2146">
      <formula>AND($A867&lt;&gt;"",MOD(ROW(),2))</formula>
    </cfRule>
  </conditionalFormatting>
  <conditionalFormatting sqref="G883">
    <cfRule type="cellIs" dxfId="19728" priority="2143" operator="equal">
      <formula>#REF!</formula>
    </cfRule>
    <cfRule type="cellIs" dxfId="19727" priority="2144" operator="greaterThan">
      <formula>#REF!</formula>
    </cfRule>
    <cfRule type="cellIs" dxfId="19726" priority="2145" operator="lessThan">
      <formula>#REF!</formula>
    </cfRule>
  </conditionalFormatting>
  <conditionalFormatting sqref="G884">
    <cfRule type="expression" dxfId="19725" priority="2142">
      <formula>AND($A868&lt;&gt;"",MOD(ROW(),2))</formula>
    </cfRule>
  </conditionalFormatting>
  <conditionalFormatting sqref="G884">
    <cfRule type="cellIs" dxfId="19724" priority="2139" operator="equal">
      <formula>#REF!</formula>
    </cfRule>
    <cfRule type="cellIs" dxfId="19723" priority="2140" operator="greaterThan">
      <formula>#REF!</formula>
    </cfRule>
    <cfRule type="cellIs" dxfId="19722" priority="2141" operator="lessThan">
      <formula>#REF!</formula>
    </cfRule>
  </conditionalFormatting>
  <conditionalFormatting sqref="G884">
    <cfRule type="expression" dxfId="19721" priority="2138">
      <formula>AND($A868&lt;&gt;"",MOD(ROW(),2))</formula>
    </cfRule>
  </conditionalFormatting>
  <conditionalFormatting sqref="G884">
    <cfRule type="cellIs" dxfId="19720" priority="2135" operator="equal">
      <formula>#REF!</formula>
    </cfRule>
    <cfRule type="cellIs" dxfId="19719" priority="2136" operator="greaterThan">
      <formula>#REF!</formula>
    </cfRule>
    <cfRule type="cellIs" dxfId="19718" priority="2137" operator="lessThan">
      <formula>#REF!</formula>
    </cfRule>
  </conditionalFormatting>
  <conditionalFormatting sqref="G885">
    <cfRule type="expression" dxfId="19717" priority="2134">
      <formula>AND($A869&lt;&gt;"",MOD(ROW(),2))</formula>
    </cfRule>
  </conditionalFormatting>
  <conditionalFormatting sqref="G885">
    <cfRule type="cellIs" dxfId="19716" priority="2131" operator="equal">
      <formula>#REF!</formula>
    </cfRule>
    <cfRule type="cellIs" dxfId="19715" priority="2132" operator="greaterThan">
      <formula>#REF!</formula>
    </cfRule>
    <cfRule type="cellIs" dxfId="19714" priority="2133" operator="lessThan">
      <formula>#REF!</formula>
    </cfRule>
  </conditionalFormatting>
  <conditionalFormatting sqref="G885">
    <cfRule type="expression" dxfId="19713" priority="2130">
      <formula>AND($A869&lt;&gt;"",MOD(ROW(),2))</formula>
    </cfRule>
  </conditionalFormatting>
  <conditionalFormatting sqref="G885">
    <cfRule type="cellIs" dxfId="19712" priority="2127" operator="equal">
      <formula>#REF!</formula>
    </cfRule>
    <cfRule type="cellIs" dxfId="19711" priority="2128" operator="greaterThan">
      <formula>#REF!</formula>
    </cfRule>
    <cfRule type="cellIs" dxfId="19710" priority="2129" operator="lessThan">
      <formula>#REF!</formula>
    </cfRule>
  </conditionalFormatting>
  <conditionalFormatting sqref="G886">
    <cfRule type="expression" dxfId="19709" priority="2126">
      <formula>AND($A870&lt;&gt;"",MOD(ROW(),2))</formula>
    </cfRule>
  </conditionalFormatting>
  <conditionalFormatting sqref="G886">
    <cfRule type="cellIs" dxfId="19708" priority="2123" operator="equal">
      <formula>#REF!</formula>
    </cfRule>
    <cfRule type="cellIs" dxfId="19707" priority="2124" operator="greaterThan">
      <formula>#REF!</formula>
    </cfRule>
    <cfRule type="cellIs" dxfId="19706" priority="2125" operator="lessThan">
      <formula>#REF!</formula>
    </cfRule>
  </conditionalFormatting>
  <conditionalFormatting sqref="G886">
    <cfRule type="expression" dxfId="19705" priority="2122">
      <formula>AND($A870&lt;&gt;"",MOD(ROW(),2))</formula>
    </cfRule>
  </conditionalFormatting>
  <conditionalFormatting sqref="G886">
    <cfRule type="cellIs" dxfId="19704" priority="2119" operator="equal">
      <formula>#REF!</formula>
    </cfRule>
    <cfRule type="cellIs" dxfId="19703" priority="2120" operator="greaterThan">
      <formula>#REF!</formula>
    </cfRule>
    <cfRule type="cellIs" dxfId="19702" priority="2121" operator="lessThan">
      <formula>#REF!</formula>
    </cfRule>
  </conditionalFormatting>
  <conditionalFormatting sqref="G887">
    <cfRule type="expression" dxfId="19701" priority="2118">
      <formula>AND($A871&lt;&gt;"",MOD(ROW(),2))</formula>
    </cfRule>
  </conditionalFormatting>
  <conditionalFormatting sqref="G887">
    <cfRule type="cellIs" dxfId="19700" priority="2115" operator="equal">
      <formula>#REF!</formula>
    </cfRule>
    <cfRule type="cellIs" dxfId="19699" priority="2116" operator="greaterThan">
      <formula>#REF!</formula>
    </cfRule>
    <cfRule type="cellIs" dxfId="19698" priority="2117" operator="lessThan">
      <formula>#REF!</formula>
    </cfRule>
  </conditionalFormatting>
  <conditionalFormatting sqref="G887">
    <cfRule type="expression" dxfId="19697" priority="2114">
      <formula>AND($A871&lt;&gt;"",MOD(ROW(),2))</formula>
    </cfRule>
  </conditionalFormatting>
  <conditionalFormatting sqref="G887">
    <cfRule type="cellIs" dxfId="19696" priority="2111" operator="equal">
      <formula>#REF!</formula>
    </cfRule>
    <cfRule type="cellIs" dxfId="19695" priority="2112" operator="greaterThan">
      <formula>#REF!</formula>
    </cfRule>
    <cfRule type="cellIs" dxfId="19694" priority="2113" operator="lessThan">
      <formula>#REF!</formula>
    </cfRule>
  </conditionalFormatting>
  <conditionalFormatting sqref="G888">
    <cfRule type="expression" dxfId="19693" priority="2110">
      <formula>AND($A872&lt;&gt;"",MOD(ROW(),2))</formula>
    </cfRule>
  </conditionalFormatting>
  <conditionalFormatting sqref="G888">
    <cfRule type="cellIs" dxfId="19692" priority="2107" operator="equal">
      <formula>#REF!</formula>
    </cfRule>
    <cfRule type="cellIs" dxfId="19691" priority="2108" operator="greaterThan">
      <formula>#REF!</formula>
    </cfRule>
    <cfRule type="cellIs" dxfId="19690" priority="2109" operator="lessThan">
      <formula>#REF!</formula>
    </cfRule>
  </conditionalFormatting>
  <conditionalFormatting sqref="G888">
    <cfRule type="expression" dxfId="19689" priority="2106">
      <formula>AND($A872&lt;&gt;"",MOD(ROW(),2))</formula>
    </cfRule>
  </conditionalFormatting>
  <conditionalFormatting sqref="G888">
    <cfRule type="cellIs" dxfId="19688" priority="2103" operator="equal">
      <formula>#REF!</formula>
    </cfRule>
    <cfRule type="cellIs" dxfId="19687" priority="2104" operator="greaterThan">
      <formula>#REF!</formula>
    </cfRule>
    <cfRule type="cellIs" dxfId="19686" priority="2105" operator="lessThan">
      <formula>#REF!</formula>
    </cfRule>
  </conditionalFormatting>
  <conditionalFormatting sqref="G889">
    <cfRule type="expression" dxfId="19685" priority="2102">
      <formula>AND($A873&lt;&gt;"",MOD(ROW(),2))</formula>
    </cfRule>
  </conditionalFormatting>
  <conditionalFormatting sqref="G889">
    <cfRule type="cellIs" dxfId="19684" priority="2099" operator="equal">
      <formula>#REF!</formula>
    </cfRule>
    <cfRule type="cellIs" dxfId="19683" priority="2100" operator="greaterThan">
      <formula>#REF!</formula>
    </cfRule>
    <cfRule type="cellIs" dxfId="19682" priority="2101" operator="lessThan">
      <formula>#REF!</formula>
    </cfRule>
  </conditionalFormatting>
  <conditionalFormatting sqref="G889">
    <cfRule type="expression" dxfId="19681" priority="2098">
      <formula>AND($A873&lt;&gt;"",MOD(ROW(),2))</formula>
    </cfRule>
  </conditionalFormatting>
  <conditionalFormatting sqref="G889">
    <cfRule type="cellIs" dxfId="19680" priority="2095" operator="equal">
      <formula>#REF!</formula>
    </cfRule>
    <cfRule type="cellIs" dxfId="19679" priority="2096" operator="greaterThan">
      <formula>#REF!</formula>
    </cfRule>
    <cfRule type="cellIs" dxfId="19678" priority="2097" operator="lessThan">
      <formula>#REF!</formula>
    </cfRule>
  </conditionalFormatting>
  <conditionalFormatting sqref="G890">
    <cfRule type="expression" dxfId="19677" priority="2094">
      <formula>AND($A874&lt;&gt;"",MOD(ROW(),2))</formula>
    </cfRule>
  </conditionalFormatting>
  <conditionalFormatting sqref="G890">
    <cfRule type="cellIs" dxfId="19676" priority="2091" operator="equal">
      <formula>#REF!</formula>
    </cfRule>
    <cfRule type="cellIs" dxfId="19675" priority="2092" operator="greaterThan">
      <formula>#REF!</formula>
    </cfRule>
    <cfRule type="cellIs" dxfId="19674" priority="2093" operator="lessThan">
      <formula>#REF!</formula>
    </cfRule>
  </conditionalFormatting>
  <conditionalFormatting sqref="G890">
    <cfRule type="expression" dxfId="19673" priority="2090">
      <formula>AND($A874&lt;&gt;"",MOD(ROW(),2))</formula>
    </cfRule>
  </conditionalFormatting>
  <conditionalFormatting sqref="G890">
    <cfRule type="cellIs" dxfId="19672" priority="2087" operator="equal">
      <formula>#REF!</formula>
    </cfRule>
    <cfRule type="cellIs" dxfId="19671" priority="2088" operator="greaterThan">
      <formula>#REF!</formula>
    </cfRule>
    <cfRule type="cellIs" dxfId="19670" priority="2089" operator="lessThan">
      <formula>#REF!</formula>
    </cfRule>
  </conditionalFormatting>
  <conditionalFormatting sqref="G891">
    <cfRule type="expression" dxfId="19669" priority="2086">
      <formula>AND($A875&lt;&gt;"",MOD(ROW(),2))</formula>
    </cfRule>
  </conditionalFormatting>
  <conditionalFormatting sqref="G891">
    <cfRule type="cellIs" dxfId="19668" priority="2083" operator="equal">
      <formula>#REF!</formula>
    </cfRule>
    <cfRule type="cellIs" dxfId="19667" priority="2084" operator="greaterThan">
      <formula>#REF!</formula>
    </cfRule>
    <cfRule type="cellIs" dxfId="19666" priority="2085" operator="lessThan">
      <formula>#REF!</formula>
    </cfRule>
  </conditionalFormatting>
  <conditionalFormatting sqref="G891">
    <cfRule type="expression" dxfId="19665" priority="2082">
      <formula>AND($A875&lt;&gt;"",MOD(ROW(),2))</formula>
    </cfRule>
  </conditionalFormatting>
  <conditionalFormatting sqref="G891">
    <cfRule type="cellIs" dxfId="19664" priority="2079" operator="equal">
      <formula>#REF!</formula>
    </cfRule>
    <cfRule type="cellIs" dxfId="19663" priority="2080" operator="greaterThan">
      <formula>#REF!</formula>
    </cfRule>
    <cfRule type="cellIs" dxfId="19662" priority="2081" operator="lessThan">
      <formula>#REF!</formula>
    </cfRule>
  </conditionalFormatting>
  <conditionalFormatting sqref="G892">
    <cfRule type="expression" dxfId="19661" priority="2078">
      <formula>AND($A876&lt;&gt;"",MOD(ROW(),2))</formula>
    </cfRule>
  </conditionalFormatting>
  <conditionalFormatting sqref="G892">
    <cfRule type="cellIs" dxfId="19660" priority="2075" operator="equal">
      <formula>#REF!</formula>
    </cfRule>
    <cfRule type="cellIs" dxfId="19659" priority="2076" operator="greaterThan">
      <formula>#REF!</formula>
    </cfRule>
    <cfRule type="cellIs" dxfId="19658" priority="2077" operator="lessThan">
      <formula>#REF!</formula>
    </cfRule>
  </conditionalFormatting>
  <conditionalFormatting sqref="G892">
    <cfRule type="expression" dxfId="19657" priority="2074">
      <formula>AND($A876&lt;&gt;"",MOD(ROW(),2))</formula>
    </cfRule>
  </conditionalFormatting>
  <conditionalFormatting sqref="G892">
    <cfRule type="cellIs" dxfId="19656" priority="2071" operator="equal">
      <formula>#REF!</formula>
    </cfRule>
    <cfRule type="cellIs" dxfId="19655" priority="2072" operator="greaterThan">
      <formula>#REF!</formula>
    </cfRule>
    <cfRule type="cellIs" dxfId="19654" priority="2073" operator="lessThan">
      <formula>#REF!</formula>
    </cfRule>
  </conditionalFormatting>
  <conditionalFormatting sqref="G893">
    <cfRule type="expression" dxfId="19653" priority="2070">
      <formula>AND($A877&lt;&gt;"",MOD(ROW(),2))</formula>
    </cfRule>
  </conditionalFormatting>
  <conditionalFormatting sqref="G893">
    <cfRule type="cellIs" dxfId="19652" priority="2067" operator="equal">
      <formula>#REF!</formula>
    </cfRule>
    <cfRule type="cellIs" dxfId="19651" priority="2068" operator="greaterThan">
      <formula>#REF!</formula>
    </cfRule>
    <cfRule type="cellIs" dxfId="19650" priority="2069" operator="lessThan">
      <formula>#REF!</formula>
    </cfRule>
  </conditionalFormatting>
  <conditionalFormatting sqref="G893">
    <cfRule type="expression" dxfId="19649" priority="2066">
      <formula>AND($A877&lt;&gt;"",MOD(ROW(),2))</formula>
    </cfRule>
  </conditionalFormatting>
  <conditionalFormatting sqref="G893">
    <cfRule type="cellIs" dxfId="19648" priority="2063" operator="equal">
      <formula>#REF!</formula>
    </cfRule>
    <cfRule type="cellIs" dxfId="19647" priority="2064" operator="greaterThan">
      <formula>#REF!</formula>
    </cfRule>
    <cfRule type="cellIs" dxfId="19646" priority="2065" operator="lessThan">
      <formula>#REF!</formula>
    </cfRule>
  </conditionalFormatting>
  <conditionalFormatting sqref="G894">
    <cfRule type="expression" dxfId="19645" priority="2062">
      <formula>AND($A878&lt;&gt;"",MOD(ROW(),2))</formula>
    </cfRule>
  </conditionalFormatting>
  <conditionalFormatting sqref="G894">
    <cfRule type="cellIs" dxfId="19644" priority="2059" operator="equal">
      <formula>#REF!</formula>
    </cfRule>
    <cfRule type="cellIs" dxfId="19643" priority="2060" operator="greaterThan">
      <formula>#REF!</formula>
    </cfRule>
    <cfRule type="cellIs" dxfId="19642" priority="2061" operator="lessThan">
      <formula>#REF!</formula>
    </cfRule>
  </conditionalFormatting>
  <conditionalFormatting sqref="G894">
    <cfRule type="expression" dxfId="19641" priority="2058">
      <formula>AND($A878&lt;&gt;"",MOD(ROW(),2))</formula>
    </cfRule>
  </conditionalFormatting>
  <conditionalFormatting sqref="G894">
    <cfRule type="cellIs" dxfId="19640" priority="2055" operator="equal">
      <formula>#REF!</formula>
    </cfRule>
    <cfRule type="cellIs" dxfId="19639" priority="2056" operator="greaterThan">
      <formula>#REF!</formula>
    </cfRule>
    <cfRule type="cellIs" dxfId="19638" priority="2057" operator="lessThan">
      <formula>#REF!</formula>
    </cfRule>
  </conditionalFormatting>
  <conditionalFormatting sqref="G895">
    <cfRule type="expression" dxfId="19637" priority="2054">
      <formula>AND($A879&lt;&gt;"",MOD(ROW(),2))</formula>
    </cfRule>
  </conditionalFormatting>
  <conditionalFormatting sqref="G895">
    <cfRule type="cellIs" dxfId="19636" priority="2051" operator="equal">
      <formula>#REF!</formula>
    </cfRule>
    <cfRule type="cellIs" dxfId="19635" priority="2052" operator="greaterThan">
      <formula>#REF!</formula>
    </cfRule>
    <cfRule type="cellIs" dxfId="19634" priority="2053" operator="lessThan">
      <formula>#REF!</formula>
    </cfRule>
  </conditionalFormatting>
  <conditionalFormatting sqref="G895">
    <cfRule type="expression" dxfId="19633" priority="2050">
      <formula>AND($A879&lt;&gt;"",MOD(ROW(),2))</formula>
    </cfRule>
  </conditionalFormatting>
  <conditionalFormatting sqref="G895">
    <cfRule type="cellIs" dxfId="19632" priority="2047" operator="equal">
      <formula>#REF!</formula>
    </cfRule>
    <cfRule type="cellIs" dxfId="19631" priority="2048" operator="greaterThan">
      <formula>#REF!</formula>
    </cfRule>
    <cfRule type="cellIs" dxfId="19630" priority="2049" operator="lessThan">
      <formula>#REF!</formula>
    </cfRule>
  </conditionalFormatting>
  <conditionalFormatting sqref="G896">
    <cfRule type="expression" dxfId="19629" priority="2046">
      <formula>AND($A880&lt;&gt;"",MOD(ROW(),2))</formula>
    </cfRule>
  </conditionalFormatting>
  <conditionalFormatting sqref="G896">
    <cfRule type="cellIs" dxfId="19628" priority="2043" operator="equal">
      <formula>#REF!</formula>
    </cfRule>
    <cfRule type="cellIs" dxfId="19627" priority="2044" operator="greaterThan">
      <formula>#REF!</formula>
    </cfRule>
    <cfRule type="cellIs" dxfId="19626" priority="2045" operator="lessThan">
      <formula>#REF!</formula>
    </cfRule>
  </conditionalFormatting>
  <conditionalFormatting sqref="G896">
    <cfRule type="expression" dxfId="19625" priority="2042">
      <formula>AND($A880&lt;&gt;"",MOD(ROW(),2))</formula>
    </cfRule>
  </conditionalFormatting>
  <conditionalFormatting sqref="G896">
    <cfRule type="cellIs" dxfId="19624" priority="2039" operator="equal">
      <formula>#REF!</formula>
    </cfRule>
    <cfRule type="cellIs" dxfId="19623" priority="2040" operator="greaterThan">
      <formula>#REF!</formula>
    </cfRule>
    <cfRule type="cellIs" dxfId="19622" priority="2041" operator="lessThan">
      <formula>#REF!</formula>
    </cfRule>
  </conditionalFormatting>
  <conditionalFormatting sqref="G897">
    <cfRule type="expression" dxfId="19621" priority="2038">
      <formula>AND($A881&lt;&gt;"",MOD(ROW(),2))</formula>
    </cfRule>
  </conditionalFormatting>
  <conditionalFormatting sqref="G897">
    <cfRule type="cellIs" dxfId="19620" priority="2035" operator="equal">
      <formula>#REF!</formula>
    </cfRule>
    <cfRule type="cellIs" dxfId="19619" priority="2036" operator="greaterThan">
      <formula>#REF!</formula>
    </cfRule>
    <cfRule type="cellIs" dxfId="19618" priority="2037" operator="lessThan">
      <formula>#REF!</formula>
    </cfRule>
  </conditionalFormatting>
  <conditionalFormatting sqref="G897">
    <cfRule type="expression" dxfId="19617" priority="2034">
      <formula>AND($A881&lt;&gt;"",MOD(ROW(),2))</formula>
    </cfRule>
  </conditionalFormatting>
  <conditionalFormatting sqref="G897">
    <cfRule type="cellIs" dxfId="19616" priority="2031" operator="equal">
      <formula>#REF!</formula>
    </cfRule>
    <cfRule type="cellIs" dxfId="19615" priority="2032" operator="greaterThan">
      <formula>#REF!</formula>
    </cfRule>
    <cfRule type="cellIs" dxfId="19614" priority="2033" operator="lessThan">
      <formula>#REF!</formula>
    </cfRule>
  </conditionalFormatting>
  <conditionalFormatting sqref="G898">
    <cfRule type="expression" dxfId="19613" priority="2030">
      <formula>AND($A882&lt;&gt;"",MOD(ROW(),2))</formula>
    </cfRule>
  </conditionalFormatting>
  <conditionalFormatting sqref="G898">
    <cfRule type="cellIs" dxfId="19612" priority="2027" operator="equal">
      <formula>#REF!</formula>
    </cfRule>
    <cfRule type="cellIs" dxfId="19611" priority="2028" operator="greaterThan">
      <formula>#REF!</formula>
    </cfRule>
    <cfRule type="cellIs" dxfId="19610" priority="2029" operator="lessThan">
      <formula>#REF!</formula>
    </cfRule>
  </conditionalFormatting>
  <conditionalFormatting sqref="G898">
    <cfRule type="expression" dxfId="19609" priority="2026">
      <formula>AND($A882&lt;&gt;"",MOD(ROW(),2))</formula>
    </cfRule>
  </conditionalFormatting>
  <conditionalFormatting sqref="G898">
    <cfRule type="cellIs" dxfId="19608" priority="2023" operator="equal">
      <formula>#REF!</formula>
    </cfRule>
    <cfRule type="cellIs" dxfId="19607" priority="2024" operator="greaterThan">
      <formula>#REF!</formula>
    </cfRule>
    <cfRule type="cellIs" dxfId="19606" priority="2025" operator="lessThan">
      <formula>#REF!</formula>
    </cfRule>
  </conditionalFormatting>
  <conditionalFormatting sqref="G899">
    <cfRule type="expression" dxfId="19605" priority="2022">
      <formula>AND($A883&lt;&gt;"",MOD(ROW(),2))</formula>
    </cfRule>
  </conditionalFormatting>
  <conditionalFormatting sqref="G899">
    <cfRule type="cellIs" dxfId="19604" priority="2019" operator="equal">
      <formula>#REF!</formula>
    </cfRule>
    <cfRule type="cellIs" dxfId="19603" priority="2020" operator="greaterThan">
      <formula>#REF!</formula>
    </cfRule>
    <cfRule type="cellIs" dxfId="19602" priority="2021" operator="lessThan">
      <formula>#REF!</formula>
    </cfRule>
  </conditionalFormatting>
  <conditionalFormatting sqref="G899">
    <cfRule type="expression" dxfId="19601" priority="2018">
      <formula>AND($A883&lt;&gt;"",MOD(ROW(),2))</formula>
    </cfRule>
  </conditionalFormatting>
  <conditionalFormatting sqref="G899">
    <cfRule type="cellIs" dxfId="19600" priority="2015" operator="equal">
      <formula>#REF!</formula>
    </cfRule>
    <cfRule type="cellIs" dxfId="19599" priority="2016" operator="greaterThan">
      <formula>#REF!</formula>
    </cfRule>
    <cfRule type="cellIs" dxfId="19598" priority="2017" operator="lessThan">
      <formula>#REF!</formula>
    </cfRule>
  </conditionalFormatting>
  <conditionalFormatting sqref="G900">
    <cfRule type="expression" dxfId="19597" priority="2014">
      <formula>AND($A884&lt;&gt;"",MOD(ROW(),2))</formula>
    </cfRule>
  </conditionalFormatting>
  <conditionalFormatting sqref="G900">
    <cfRule type="cellIs" dxfId="19596" priority="2011" operator="equal">
      <formula>#REF!</formula>
    </cfRule>
    <cfRule type="cellIs" dxfId="19595" priority="2012" operator="greaterThan">
      <formula>#REF!</formula>
    </cfRule>
    <cfRule type="cellIs" dxfId="19594" priority="2013" operator="lessThan">
      <formula>#REF!</formula>
    </cfRule>
  </conditionalFormatting>
  <conditionalFormatting sqref="G900">
    <cfRule type="expression" dxfId="19593" priority="2010">
      <formula>AND($A884&lt;&gt;"",MOD(ROW(),2))</formula>
    </cfRule>
  </conditionalFormatting>
  <conditionalFormatting sqref="G900">
    <cfRule type="cellIs" dxfId="19592" priority="2007" operator="equal">
      <formula>#REF!</formula>
    </cfRule>
    <cfRule type="cellIs" dxfId="19591" priority="2008" operator="greaterThan">
      <formula>#REF!</formula>
    </cfRule>
    <cfRule type="cellIs" dxfId="19590" priority="2009" operator="lessThan">
      <formula>#REF!</formula>
    </cfRule>
  </conditionalFormatting>
  <conditionalFormatting sqref="G901">
    <cfRule type="expression" dxfId="19589" priority="2006">
      <formula>AND($A885&lt;&gt;"",MOD(ROW(),2))</formula>
    </cfRule>
  </conditionalFormatting>
  <conditionalFormatting sqref="G901">
    <cfRule type="cellIs" dxfId="19588" priority="2003" operator="equal">
      <formula>#REF!</formula>
    </cfRule>
    <cfRule type="cellIs" dxfId="19587" priority="2004" operator="greaterThan">
      <formula>#REF!</formula>
    </cfRule>
    <cfRule type="cellIs" dxfId="19586" priority="2005" operator="lessThan">
      <formula>#REF!</formula>
    </cfRule>
  </conditionalFormatting>
  <conditionalFormatting sqref="G901">
    <cfRule type="expression" dxfId="19585" priority="2002">
      <formula>AND($A885&lt;&gt;"",MOD(ROW(),2))</formula>
    </cfRule>
  </conditionalFormatting>
  <conditionalFormatting sqref="G901">
    <cfRule type="cellIs" dxfId="19584" priority="1999" operator="equal">
      <formula>#REF!</formula>
    </cfRule>
    <cfRule type="cellIs" dxfId="19583" priority="2000" operator="greaterThan">
      <formula>#REF!</formula>
    </cfRule>
    <cfRule type="cellIs" dxfId="19582" priority="2001" operator="lessThan">
      <formula>#REF!</formula>
    </cfRule>
  </conditionalFormatting>
  <conditionalFormatting sqref="G902">
    <cfRule type="expression" dxfId="19581" priority="1998">
      <formula>AND($A886&lt;&gt;"",MOD(ROW(),2))</formula>
    </cfRule>
  </conditionalFormatting>
  <conditionalFormatting sqref="G902">
    <cfRule type="cellIs" dxfId="19580" priority="1995" operator="equal">
      <formula>#REF!</formula>
    </cfRule>
    <cfRule type="cellIs" dxfId="19579" priority="1996" operator="greaterThan">
      <formula>#REF!</formula>
    </cfRule>
    <cfRule type="cellIs" dxfId="19578" priority="1997" operator="lessThan">
      <formula>#REF!</formula>
    </cfRule>
  </conditionalFormatting>
  <conditionalFormatting sqref="G902">
    <cfRule type="expression" dxfId="19577" priority="1994">
      <formula>AND($A886&lt;&gt;"",MOD(ROW(),2))</formula>
    </cfRule>
  </conditionalFormatting>
  <conditionalFormatting sqref="G902">
    <cfRule type="cellIs" dxfId="19576" priority="1991" operator="equal">
      <formula>#REF!</formula>
    </cfRule>
    <cfRule type="cellIs" dxfId="19575" priority="1992" operator="greaterThan">
      <formula>#REF!</formula>
    </cfRule>
    <cfRule type="cellIs" dxfId="19574" priority="1993" operator="lessThan">
      <formula>#REF!</formula>
    </cfRule>
  </conditionalFormatting>
  <conditionalFormatting sqref="G903">
    <cfRule type="expression" dxfId="19573" priority="1990">
      <formula>AND($A887&lt;&gt;"",MOD(ROW(),2))</formula>
    </cfRule>
  </conditionalFormatting>
  <conditionalFormatting sqref="G903">
    <cfRule type="cellIs" dxfId="19572" priority="1987" operator="equal">
      <formula>#REF!</formula>
    </cfRule>
    <cfRule type="cellIs" dxfId="19571" priority="1988" operator="greaterThan">
      <formula>#REF!</formula>
    </cfRule>
    <cfRule type="cellIs" dxfId="19570" priority="1989" operator="lessThan">
      <formula>#REF!</formula>
    </cfRule>
  </conditionalFormatting>
  <conditionalFormatting sqref="G903">
    <cfRule type="expression" dxfId="19569" priority="1986">
      <formula>AND($A887&lt;&gt;"",MOD(ROW(),2))</formula>
    </cfRule>
  </conditionalFormatting>
  <conditionalFormatting sqref="G903">
    <cfRule type="cellIs" dxfId="19568" priority="1983" operator="equal">
      <formula>#REF!</formula>
    </cfRule>
    <cfRule type="cellIs" dxfId="19567" priority="1984" operator="greaterThan">
      <formula>#REF!</formula>
    </cfRule>
    <cfRule type="cellIs" dxfId="19566" priority="1985" operator="lessThan">
      <formula>#REF!</formula>
    </cfRule>
  </conditionalFormatting>
  <conditionalFormatting sqref="G904">
    <cfRule type="expression" dxfId="19565" priority="1982">
      <formula>AND($A888&lt;&gt;"",MOD(ROW(),2))</formula>
    </cfRule>
  </conditionalFormatting>
  <conditionalFormatting sqref="G904">
    <cfRule type="cellIs" dxfId="19564" priority="1979" operator="equal">
      <formula>#REF!</formula>
    </cfRule>
    <cfRule type="cellIs" dxfId="19563" priority="1980" operator="greaterThan">
      <formula>#REF!</formula>
    </cfRule>
    <cfRule type="cellIs" dxfId="19562" priority="1981" operator="lessThan">
      <formula>#REF!</formula>
    </cfRule>
  </conditionalFormatting>
  <conditionalFormatting sqref="G904">
    <cfRule type="expression" dxfId="19561" priority="1978">
      <formula>AND($A888&lt;&gt;"",MOD(ROW(),2))</formula>
    </cfRule>
  </conditionalFormatting>
  <conditionalFormatting sqref="G904">
    <cfRule type="cellIs" dxfId="19560" priority="1975" operator="equal">
      <formula>#REF!</formula>
    </cfRule>
    <cfRule type="cellIs" dxfId="19559" priority="1976" operator="greaterThan">
      <formula>#REF!</formula>
    </cfRule>
    <cfRule type="cellIs" dxfId="19558" priority="1977" operator="lessThan">
      <formula>#REF!</formula>
    </cfRule>
  </conditionalFormatting>
  <conditionalFormatting sqref="G905">
    <cfRule type="expression" dxfId="19557" priority="1974">
      <formula>AND($A889&lt;&gt;"",MOD(ROW(),2))</formula>
    </cfRule>
  </conditionalFormatting>
  <conditionalFormatting sqref="G905">
    <cfRule type="cellIs" dxfId="19556" priority="1971" operator="equal">
      <formula>#REF!</formula>
    </cfRule>
    <cfRule type="cellIs" dxfId="19555" priority="1972" operator="greaterThan">
      <formula>#REF!</formula>
    </cfRule>
    <cfRule type="cellIs" dxfId="19554" priority="1973" operator="lessThan">
      <formula>#REF!</formula>
    </cfRule>
  </conditionalFormatting>
  <conditionalFormatting sqref="G905">
    <cfRule type="expression" dxfId="19553" priority="1970">
      <formula>AND($A889&lt;&gt;"",MOD(ROW(),2))</formula>
    </cfRule>
  </conditionalFormatting>
  <conditionalFormatting sqref="G905">
    <cfRule type="cellIs" dxfId="19552" priority="1967" operator="equal">
      <formula>#REF!</formula>
    </cfRule>
    <cfRule type="cellIs" dxfId="19551" priority="1968" operator="greaterThan">
      <formula>#REF!</formula>
    </cfRule>
    <cfRule type="cellIs" dxfId="19550" priority="1969" operator="lessThan">
      <formula>#REF!</formula>
    </cfRule>
  </conditionalFormatting>
  <conditionalFormatting sqref="G906">
    <cfRule type="expression" dxfId="19549" priority="1966">
      <formula>AND($A890&lt;&gt;"",MOD(ROW(),2))</formula>
    </cfRule>
  </conditionalFormatting>
  <conditionalFormatting sqref="G906">
    <cfRule type="cellIs" dxfId="19548" priority="1963" operator="equal">
      <formula>#REF!</formula>
    </cfRule>
    <cfRule type="cellIs" dxfId="19547" priority="1964" operator="greaterThan">
      <formula>#REF!</formula>
    </cfRule>
    <cfRule type="cellIs" dxfId="19546" priority="1965" operator="lessThan">
      <formula>#REF!</formula>
    </cfRule>
  </conditionalFormatting>
  <conditionalFormatting sqref="G906">
    <cfRule type="expression" dxfId="19545" priority="1962">
      <formula>AND($A890&lt;&gt;"",MOD(ROW(),2))</formula>
    </cfRule>
  </conditionalFormatting>
  <conditionalFormatting sqref="G906">
    <cfRule type="cellIs" dxfId="19544" priority="1959" operator="equal">
      <formula>#REF!</formula>
    </cfRule>
    <cfRule type="cellIs" dxfId="19543" priority="1960" operator="greaterThan">
      <formula>#REF!</formula>
    </cfRule>
    <cfRule type="cellIs" dxfId="19542" priority="1961" operator="lessThan">
      <formula>#REF!</formula>
    </cfRule>
  </conditionalFormatting>
  <conditionalFormatting sqref="G907">
    <cfRule type="expression" dxfId="19541" priority="1958">
      <formula>AND($A891&lt;&gt;"",MOD(ROW(),2))</formula>
    </cfRule>
  </conditionalFormatting>
  <conditionalFormatting sqref="G907">
    <cfRule type="cellIs" dxfId="19540" priority="1955" operator="equal">
      <formula>#REF!</formula>
    </cfRule>
    <cfRule type="cellIs" dxfId="19539" priority="1956" operator="greaterThan">
      <formula>#REF!</formula>
    </cfRule>
    <cfRule type="cellIs" dxfId="19538" priority="1957" operator="lessThan">
      <formula>#REF!</formula>
    </cfRule>
  </conditionalFormatting>
  <conditionalFormatting sqref="G907">
    <cfRule type="expression" dxfId="19537" priority="1954">
      <formula>AND($A891&lt;&gt;"",MOD(ROW(),2))</formula>
    </cfRule>
  </conditionalFormatting>
  <conditionalFormatting sqref="G907">
    <cfRule type="cellIs" dxfId="19536" priority="1951" operator="equal">
      <formula>#REF!</formula>
    </cfRule>
    <cfRule type="cellIs" dxfId="19535" priority="1952" operator="greaterThan">
      <formula>#REF!</formula>
    </cfRule>
    <cfRule type="cellIs" dxfId="19534" priority="1953" operator="lessThan">
      <formula>#REF!</formula>
    </cfRule>
  </conditionalFormatting>
  <conditionalFormatting sqref="G908">
    <cfRule type="expression" dxfId="19533" priority="1950">
      <formula>AND($A892&lt;&gt;"",MOD(ROW(),2))</formula>
    </cfRule>
  </conditionalFormatting>
  <conditionalFormatting sqref="G908">
    <cfRule type="cellIs" dxfId="19532" priority="1947" operator="equal">
      <formula>#REF!</formula>
    </cfRule>
    <cfRule type="cellIs" dxfId="19531" priority="1948" operator="greaterThan">
      <formula>#REF!</formula>
    </cfRule>
    <cfRule type="cellIs" dxfId="19530" priority="1949" operator="lessThan">
      <formula>#REF!</formula>
    </cfRule>
  </conditionalFormatting>
  <conditionalFormatting sqref="G908">
    <cfRule type="expression" dxfId="19529" priority="1946">
      <formula>AND($A892&lt;&gt;"",MOD(ROW(),2))</formula>
    </cfRule>
  </conditionalFormatting>
  <conditionalFormatting sqref="G908">
    <cfRule type="cellIs" dxfId="19528" priority="1943" operator="equal">
      <formula>#REF!</formula>
    </cfRule>
    <cfRule type="cellIs" dxfId="19527" priority="1944" operator="greaterThan">
      <formula>#REF!</formula>
    </cfRule>
    <cfRule type="cellIs" dxfId="19526" priority="1945" operator="lessThan">
      <formula>#REF!</formula>
    </cfRule>
  </conditionalFormatting>
  <conditionalFormatting sqref="G909">
    <cfRule type="expression" dxfId="19525" priority="1942">
      <formula>AND($A893&lt;&gt;"",MOD(ROW(),2))</formula>
    </cfRule>
  </conditionalFormatting>
  <conditionalFormatting sqref="G909">
    <cfRule type="cellIs" dxfId="19524" priority="1939" operator="equal">
      <formula>#REF!</formula>
    </cfRule>
    <cfRule type="cellIs" dxfId="19523" priority="1940" operator="greaterThan">
      <formula>#REF!</formula>
    </cfRule>
    <cfRule type="cellIs" dxfId="19522" priority="1941" operator="lessThan">
      <formula>#REF!</formula>
    </cfRule>
  </conditionalFormatting>
  <conditionalFormatting sqref="G909">
    <cfRule type="expression" dxfId="19521" priority="1938">
      <formula>AND($A893&lt;&gt;"",MOD(ROW(),2))</formula>
    </cfRule>
  </conditionalFormatting>
  <conditionalFormatting sqref="G909">
    <cfRule type="cellIs" dxfId="19520" priority="1935" operator="equal">
      <formula>#REF!</formula>
    </cfRule>
    <cfRule type="cellIs" dxfId="19519" priority="1936" operator="greaterThan">
      <formula>#REF!</formula>
    </cfRule>
    <cfRule type="cellIs" dxfId="19518" priority="1937" operator="lessThan">
      <formula>#REF!</formula>
    </cfRule>
  </conditionalFormatting>
  <conditionalFormatting sqref="G910">
    <cfRule type="expression" dxfId="19517" priority="1934">
      <formula>AND($A894&lt;&gt;"",MOD(ROW(),2))</formula>
    </cfRule>
  </conditionalFormatting>
  <conditionalFormatting sqref="G910">
    <cfRule type="cellIs" dxfId="19516" priority="1931" operator="equal">
      <formula>#REF!</formula>
    </cfRule>
    <cfRule type="cellIs" dxfId="19515" priority="1932" operator="greaterThan">
      <formula>#REF!</formula>
    </cfRule>
    <cfRule type="cellIs" dxfId="19514" priority="1933" operator="lessThan">
      <formula>#REF!</formula>
    </cfRule>
  </conditionalFormatting>
  <conditionalFormatting sqref="G910">
    <cfRule type="expression" dxfId="19513" priority="1930">
      <formula>AND($A894&lt;&gt;"",MOD(ROW(),2))</formula>
    </cfRule>
  </conditionalFormatting>
  <conditionalFormatting sqref="G910">
    <cfRule type="cellIs" dxfId="19512" priority="1927" operator="equal">
      <formula>#REF!</formula>
    </cfRule>
    <cfRule type="cellIs" dxfId="19511" priority="1928" operator="greaterThan">
      <formula>#REF!</formula>
    </cfRule>
    <cfRule type="cellIs" dxfId="19510" priority="1929" operator="lessThan">
      <formula>#REF!</formula>
    </cfRule>
  </conditionalFormatting>
  <conditionalFormatting sqref="G911">
    <cfRule type="expression" dxfId="19509" priority="1926">
      <formula>AND($A895&lt;&gt;"",MOD(ROW(),2))</formula>
    </cfRule>
  </conditionalFormatting>
  <conditionalFormatting sqref="G911">
    <cfRule type="cellIs" dxfId="19508" priority="1923" operator="equal">
      <formula>#REF!</formula>
    </cfRule>
    <cfRule type="cellIs" dxfId="19507" priority="1924" operator="greaterThan">
      <formula>#REF!</formula>
    </cfRule>
    <cfRule type="cellIs" dxfId="19506" priority="1925" operator="lessThan">
      <formula>#REF!</formula>
    </cfRule>
  </conditionalFormatting>
  <conditionalFormatting sqref="G911">
    <cfRule type="expression" dxfId="19505" priority="1922">
      <formula>AND($A895&lt;&gt;"",MOD(ROW(),2))</formula>
    </cfRule>
  </conditionalFormatting>
  <conditionalFormatting sqref="G911">
    <cfRule type="cellIs" dxfId="19504" priority="1919" operator="equal">
      <formula>#REF!</formula>
    </cfRule>
    <cfRule type="cellIs" dxfId="19503" priority="1920" operator="greaterThan">
      <formula>#REF!</formula>
    </cfRule>
    <cfRule type="cellIs" dxfId="19502" priority="1921" operator="lessThan">
      <formula>#REF!</formula>
    </cfRule>
  </conditionalFormatting>
  <conditionalFormatting sqref="G912">
    <cfRule type="expression" dxfId="19501" priority="1918">
      <formula>AND($A896&lt;&gt;"",MOD(ROW(),2))</formula>
    </cfRule>
  </conditionalFormatting>
  <conditionalFormatting sqref="G912">
    <cfRule type="cellIs" dxfId="19500" priority="1915" operator="equal">
      <formula>#REF!</formula>
    </cfRule>
    <cfRule type="cellIs" dxfId="19499" priority="1916" operator="greaterThan">
      <formula>#REF!</formula>
    </cfRule>
    <cfRule type="cellIs" dxfId="19498" priority="1917" operator="lessThan">
      <formula>#REF!</formula>
    </cfRule>
  </conditionalFormatting>
  <conditionalFormatting sqref="G912">
    <cfRule type="expression" dxfId="19497" priority="1914">
      <formula>AND($A896&lt;&gt;"",MOD(ROW(),2))</formula>
    </cfRule>
  </conditionalFormatting>
  <conditionalFormatting sqref="G912">
    <cfRule type="cellIs" dxfId="19496" priority="1911" operator="equal">
      <formula>#REF!</formula>
    </cfRule>
    <cfRule type="cellIs" dxfId="19495" priority="1912" operator="greaterThan">
      <formula>#REF!</formula>
    </cfRule>
    <cfRule type="cellIs" dxfId="19494" priority="1913" operator="lessThan">
      <formula>#REF!</formula>
    </cfRule>
  </conditionalFormatting>
  <conditionalFormatting sqref="G913">
    <cfRule type="expression" dxfId="19493" priority="1910">
      <formula>AND($A897&lt;&gt;"",MOD(ROW(),2))</formula>
    </cfRule>
  </conditionalFormatting>
  <conditionalFormatting sqref="G913">
    <cfRule type="cellIs" dxfId="19492" priority="1907" operator="equal">
      <formula>#REF!</formula>
    </cfRule>
    <cfRule type="cellIs" dxfId="19491" priority="1908" operator="greaterThan">
      <formula>#REF!</formula>
    </cfRule>
    <cfRule type="cellIs" dxfId="19490" priority="1909" operator="lessThan">
      <formula>#REF!</formula>
    </cfRule>
  </conditionalFormatting>
  <conditionalFormatting sqref="G913">
    <cfRule type="expression" dxfId="19489" priority="1906">
      <formula>AND($A897&lt;&gt;"",MOD(ROW(),2))</formula>
    </cfRule>
  </conditionalFormatting>
  <conditionalFormatting sqref="G913">
    <cfRule type="cellIs" dxfId="19488" priority="1903" operator="equal">
      <formula>#REF!</formula>
    </cfRule>
    <cfRule type="cellIs" dxfId="19487" priority="1904" operator="greaterThan">
      <formula>#REF!</formula>
    </cfRule>
    <cfRule type="cellIs" dxfId="19486" priority="1905" operator="lessThan">
      <formula>#REF!</formula>
    </cfRule>
  </conditionalFormatting>
  <conditionalFormatting sqref="G914">
    <cfRule type="expression" dxfId="19485" priority="1902">
      <formula>AND($A898&lt;&gt;"",MOD(ROW(),2))</formula>
    </cfRule>
  </conditionalFormatting>
  <conditionalFormatting sqref="G914">
    <cfRule type="cellIs" dxfId="19484" priority="1899" operator="equal">
      <formula>#REF!</formula>
    </cfRule>
    <cfRule type="cellIs" dxfId="19483" priority="1900" operator="greaterThan">
      <formula>#REF!</formula>
    </cfRule>
    <cfRule type="cellIs" dxfId="19482" priority="1901" operator="lessThan">
      <formula>#REF!</formula>
    </cfRule>
  </conditionalFormatting>
  <conditionalFormatting sqref="G914">
    <cfRule type="expression" dxfId="19481" priority="1898">
      <formula>AND($A898&lt;&gt;"",MOD(ROW(),2))</formula>
    </cfRule>
  </conditionalFormatting>
  <conditionalFormatting sqref="G914">
    <cfRule type="cellIs" dxfId="19480" priority="1895" operator="equal">
      <formula>#REF!</formula>
    </cfRule>
    <cfRule type="cellIs" dxfId="19479" priority="1896" operator="greaterThan">
      <formula>#REF!</formula>
    </cfRule>
    <cfRule type="cellIs" dxfId="19478" priority="1897" operator="lessThan">
      <formula>#REF!</formula>
    </cfRule>
  </conditionalFormatting>
  <conditionalFormatting sqref="G915">
    <cfRule type="expression" dxfId="19477" priority="1894">
      <formula>AND($A899&lt;&gt;"",MOD(ROW(),2))</formula>
    </cfRule>
  </conditionalFormatting>
  <conditionalFormatting sqref="G915">
    <cfRule type="cellIs" dxfId="19476" priority="1891" operator="equal">
      <formula>#REF!</formula>
    </cfRule>
    <cfRule type="cellIs" dxfId="19475" priority="1892" operator="greaterThan">
      <formula>#REF!</formula>
    </cfRule>
    <cfRule type="cellIs" dxfId="19474" priority="1893" operator="lessThan">
      <formula>#REF!</formula>
    </cfRule>
  </conditionalFormatting>
  <conditionalFormatting sqref="G915">
    <cfRule type="expression" dxfId="19473" priority="1890">
      <formula>AND($A899&lt;&gt;"",MOD(ROW(),2))</formula>
    </cfRule>
  </conditionalFormatting>
  <conditionalFormatting sqref="G915">
    <cfRule type="cellIs" dxfId="19472" priority="1887" operator="equal">
      <formula>#REF!</formula>
    </cfRule>
    <cfRule type="cellIs" dxfId="19471" priority="1888" operator="greaterThan">
      <formula>#REF!</formula>
    </cfRule>
    <cfRule type="cellIs" dxfId="19470" priority="1889" operator="lessThan">
      <formula>#REF!</formula>
    </cfRule>
  </conditionalFormatting>
  <conditionalFormatting sqref="G916">
    <cfRule type="expression" dxfId="19469" priority="1886">
      <formula>AND($A900&lt;&gt;"",MOD(ROW(),2))</formula>
    </cfRule>
  </conditionalFormatting>
  <conditionalFormatting sqref="G916">
    <cfRule type="cellIs" dxfId="19468" priority="1883" operator="equal">
      <formula>#REF!</formula>
    </cfRule>
    <cfRule type="cellIs" dxfId="19467" priority="1884" operator="greaterThan">
      <formula>#REF!</formula>
    </cfRule>
    <cfRule type="cellIs" dxfId="19466" priority="1885" operator="lessThan">
      <formula>#REF!</formula>
    </cfRule>
  </conditionalFormatting>
  <conditionalFormatting sqref="G916">
    <cfRule type="expression" dxfId="19465" priority="1882">
      <formula>AND($A900&lt;&gt;"",MOD(ROW(),2))</formula>
    </cfRule>
  </conditionalFormatting>
  <conditionalFormatting sqref="G916">
    <cfRule type="cellIs" dxfId="19464" priority="1879" operator="equal">
      <formula>#REF!</formula>
    </cfRule>
    <cfRule type="cellIs" dxfId="19463" priority="1880" operator="greaterThan">
      <formula>#REF!</formula>
    </cfRule>
    <cfRule type="cellIs" dxfId="19462" priority="1881" operator="lessThan">
      <formula>#REF!</formula>
    </cfRule>
  </conditionalFormatting>
  <conditionalFormatting sqref="G917">
    <cfRule type="expression" dxfId="19461" priority="1878">
      <formula>AND($A901&lt;&gt;"",MOD(ROW(),2))</formula>
    </cfRule>
  </conditionalFormatting>
  <conditionalFormatting sqref="G917">
    <cfRule type="cellIs" dxfId="19460" priority="1875" operator="equal">
      <formula>#REF!</formula>
    </cfRule>
    <cfRule type="cellIs" dxfId="19459" priority="1876" operator="greaterThan">
      <formula>#REF!</formula>
    </cfRule>
    <cfRule type="cellIs" dxfId="19458" priority="1877" operator="lessThan">
      <formula>#REF!</formula>
    </cfRule>
  </conditionalFormatting>
  <conditionalFormatting sqref="G917">
    <cfRule type="expression" dxfId="19457" priority="1874">
      <formula>AND($A901&lt;&gt;"",MOD(ROW(),2))</formula>
    </cfRule>
  </conditionalFormatting>
  <conditionalFormatting sqref="G917">
    <cfRule type="cellIs" dxfId="19456" priority="1871" operator="equal">
      <formula>#REF!</formula>
    </cfRule>
    <cfRule type="cellIs" dxfId="19455" priority="1872" operator="greaterThan">
      <formula>#REF!</formula>
    </cfRule>
    <cfRule type="cellIs" dxfId="19454" priority="1873" operator="lessThan">
      <formula>#REF!</formula>
    </cfRule>
  </conditionalFormatting>
  <conditionalFormatting sqref="G918">
    <cfRule type="expression" dxfId="19453" priority="1870">
      <formula>AND($A902&lt;&gt;"",MOD(ROW(),2))</formula>
    </cfRule>
  </conditionalFormatting>
  <conditionalFormatting sqref="G918">
    <cfRule type="cellIs" dxfId="19452" priority="1867" operator="equal">
      <formula>#REF!</formula>
    </cfRule>
    <cfRule type="cellIs" dxfId="19451" priority="1868" operator="greaterThan">
      <formula>#REF!</formula>
    </cfRule>
    <cfRule type="cellIs" dxfId="19450" priority="1869" operator="lessThan">
      <formula>#REF!</formula>
    </cfRule>
  </conditionalFormatting>
  <conditionalFormatting sqref="G918">
    <cfRule type="expression" dxfId="19449" priority="1866">
      <formula>AND($A902&lt;&gt;"",MOD(ROW(),2))</formula>
    </cfRule>
  </conditionalFormatting>
  <conditionalFormatting sqref="G918">
    <cfRule type="cellIs" dxfId="19448" priority="1863" operator="equal">
      <formula>#REF!</formula>
    </cfRule>
    <cfRule type="cellIs" dxfId="19447" priority="1864" operator="greaterThan">
      <formula>#REF!</formula>
    </cfRule>
    <cfRule type="cellIs" dxfId="19446" priority="1865" operator="lessThan">
      <formula>#REF!</formula>
    </cfRule>
  </conditionalFormatting>
  <conditionalFormatting sqref="G919">
    <cfRule type="expression" dxfId="19445" priority="1862">
      <formula>AND($A903&lt;&gt;"",MOD(ROW(),2))</formula>
    </cfRule>
  </conditionalFormatting>
  <conditionalFormatting sqref="G919">
    <cfRule type="cellIs" dxfId="19444" priority="1859" operator="equal">
      <formula>#REF!</formula>
    </cfRule>
    <cfRule type="cellIs" dxfId="19443" priority="1860" operator="greaterThan">
      <formula>#REF!</formula>
    </cfRule>
    <cfRule type="cellIs" dxfId="19442" priority="1861" operator="lessThan">
      <formula>#REF!</formula>
    </cfRule>
  </conditionalFormatting>
  <conditionalFormatting sqref="G919">
    <cfRule type="expression" dxfId="19441" priority="1858">
      <formula>AND($A903&lt;&gt;"",MOD(ROW(),2))</formula>
    </cfRule>
  </conditionalFormatting>
  <conditionalFormatting sqref="G919">
    <cfRule type="cellIs" dxfId="19440" priority="1855" operator="equal">
      <formula>#REF!</formula>
    </cfRule>
    <cfRule type="cellIs" dxfId="19439" priority="1856" operator="greaterThan">
      <formula>#REF!</formula>
    </cfRule>
    <cfRule type="cellIs" dxfId="19438" priority="1857" operator="lessThan">
      <formula>#REF!</formula>
    </cfRule>
  </conditionalFormatting>
  <conditionalFormatting sqref="G920">
    <cfRule type="expression" dxfId="19437" priority="1854">
      <formula>AND($A904&lt;&gt;"",MOD(ROW(),2))</formula>
    </cfRule>
  </conditionalFormatting>
  <conditionalFormatting sqref="G920">
    <cfRule type="cellIs" dxfId="19436" priority="1851" operator="equal">
      <formula>#REF!</formula>
    </cfRule>
    <cfRule type="cellIs" dxfId="19435" priority="1852" operator="greaterThan">
      <formula>#REF!</formula>
    </cfRule>
    <cfRule type="cellIs" dxfId="19434" priority="1853" operator="lessThan">
      <formula>#REF!</formula>
    </cfRule>
  </conditionalFormatting>
  <conditionalFormatting sqref="G920">
    <cfRule type="expression" dxfId="19433" priority="1850">
      <formula>AND($A904&lt;&gt;"",MOD(ROW(),2))</formula>
    </cfRule>
  </conditionalFormatting>
  <conditionalFormatting sqref="G920">
    <cfRule type="cellIs" dxfId="19432" priority="1847" operator="equal">
      <formula>#REF!</formula>
    </cfRule>
    <cfRule type="cellIs" dxfId="19431" priority="1848" operator="greaterThan">
      <formula>#REF!</formula>
    </cfRule>
    <cfRule type="cellIs" dxfId="19430" priority="1849" operator="lessThan">
      <formula>#REF!</formula>
    </cfRule>
  </conditionalFormatting>
  <conditionalFormatting sqref="G921">
    <cfRule type="expression" dxfId="19429" priority="1846">
      <formula>AND($A905&lt;&gt;"",MOD(ROW(),2))</formula>
    </cfRule>
  </conditionalFormatting>
  <conditionalFormatting sqref="G921">
    <cfRule type="cellIs" dxfId="19428" priority="1843" operator="equal">
      <formula>#REF!</formula>
    </cfRule>
    <cfRule type="cellIs" dxfId="19427" priority="1844" operator="greaterThan">
      <formula>#REF!</formula>
    </cfRule>
    <cfRule type="cellIs" dxfId="19426" priority="1845" operator="lessThan">
      <formula>#REF!</formula>
    </cfRule>
  </conditionalFormatting>
  <conditionalFormatting sqref="G921">
    <cfRule type="expression" dxfId="19425" priority="1842">
      <formula>AND($A905&lt;&gt;"",MOD(ROW(),2))</formula>
    </cfRule>
  </conditionalFormatting>
  <conditionalFormatting sqref="G921">
    <cfRule type="cellIs" dxfId="19424" priority="1839" operator="equal">
      <formula>#REF!</formula>
    </cfRule>
    <cfRule type="cellIs" dxfId="19423" priority="1840" operator="greaterThan">
      <formula>#REF!</formula>
    </cfRule>
    <cfRule type="cellIs" dxfId="19422" priority="1841" operator="lessThan">
      <formula>#REF!</formula>
    </cfRule>
  </conditionalFormatting>
  <conditionalFormatting sqref="G922">
    <cfRule type="expression" dxfId="19421" priority="1838">
      <formula>AND($A906&lt;&gt;"",MOD(ROW(),2))</formula>
    </cfRule>
  </conditionalFormatting>
  <conditionalFormatting sqref="G922">
    <cfRule type="cellIs" dxfId="19420" priority="1835" operator="equal">
      <formula>#REF!</formula>
    </cfRule>
    <cfRule type="cellIs" dxfId="19419" priority="1836" operator="greaterThan">
      <formula>#REF!</formula>
    </cfRule>
    <cfRule type="cellIs" dxfId="19418" priority="1837" operator="lessThan">
      <formula>#REF!</formula>
    </cfRule>
  </conditionalFormatting>
  <conditionalFormatting sqref="G922">
    <cfRule type="expression" dxfId="19417" priority="1834">
      <formula>AND($A906&lt;&gt;"",MOD(ROW(),2))</formula>
    </cfRule>
  </conditionalFormatting>
  <conditionalFormatting sqref="G922">
    <cfRule type="cellIs" dxfId="19416" priority="1831" operator="equal">
      <formula>#REF!</formula>
    </cfRule>
    <cfRule type="cellIs" dxfId="19415" priority="1832" operator="greaterThan">
      <formula>#REF!</formula>
    </cfRule>
    <cfRule type="cellIs" dxfId="19414" priority="1833" operator="lessThan">
      <formula>#REF!</formula>
    </cfRule>
  </conditionalFormatting>
  <conditionalFormatting sqref="G923">
    <cfRule type="expression" dxfId="19413" priority="1830">
      <formula>AND($A907&lt;&gt;"",MOD(ROW(),2))</formula>
    </cfRule>
  </conditionalFormatting>
  <conditionalFormatting sqref="G923">
    <cfRule type="cellIs" dxfId="19412" priority="1827" operator="equal">
      <formula>#REF!</formula>
    </cfRule>
    <cfRule type="cellIs" dxfId="19411" priority="1828" operator="greaterThan">
      <formula>#REF!</formula>
    </cfRule>
    <cfRule type="cellIs" dxfId="19410" priority="1829" operator="lessThan">
      <formula>#REF!</formula>
    </cfRule>
  </conditionalFormatting>
  <conditionalFormatting sqref="G923">
    <cfRule type="expression" dxfId="19409" priority="1826">
      <formula>AND($A907&lt;&gt;"",MOD(ROW(),2))</formula>
    </cfRule>
  </conditionalFormatting>
  <conditionalFormatting sqref="G923">
    <cfRule type="cellIs" dxfId="19408" priority="1823" operator="equal">
      <formula>#REF!</formula>
    </cfRule>
    <cfRule type="cellIs" dxfId="19407" priority="1824" operator="greaterThan">
      <formula>#REF!</formula>
    </cfRule>
    <cfRule type="cellIs" dxfId="19406" priority="1825" operator="lessThan">
      <formula>#REF!</formula>
    </cfRule>
  </conditionalFormatting>
  <conditionalFormatting sqref="G924">
    <cfRule type="expression" dxfId="19405" priority="1822">
      <formula>AND($A908&lt;&gt;"",MOD(ROW(),2))</formula>
    </cfRule>
  </conditionalFormatting>
  <conditionalFormatting sqref="G924">
    <cfRule type="cellIs" dxfId="19404" priority="1819" operator="equal">
      <formula>#REF!</formula>
    </cfRule>
    <cfRule type="cellIs" dxfId="19403" priority="1820" operator="greaterThan">
      <formula>#REF!</formula>
    </cfRule>
    <cfRule type="cellIs" dxfId="19402" priority="1821" operator="lessThan">
      <formula>#REF!</formula>
    </cfRule>
  </conditionalFormatting>
  <conditionalFormatting sqref="G924">
    <cfRule type="expression" dxfId="19401" priority="1818">
      <formula>AND($A908&lt;&gt;"",MOD(ROW(),2))</formula>
    </cfRule>
  </conditionalFormatting>
  <conditionalFormatting sqref="G924">
    <cfRule type="cellIs" dxfId="19400" priority="1815" operator="equal">
      <formula>#REF!</formula>
    </cfRule>
    <cfRule type="cellIs" dxfId="19399" priority="1816" operator="greaterThan">
      <formula>#REF!</formula>
    </cfRule>
    <cfRule type="cellIs" dxfId="19398" priority="1817" operator="lessThan">
      <formula>#REF!</formula>
    </cfRule>
  </conditionalFormatting>
  <conditionalFormatting sqref="G925">
    <cfRule type="expression" dxfId="19397" priority="1814">
      <formula>AND($A909&lt;&gt;"",MOD(ROW(),2))</formula>
    </cfRule>
  </conditionalFormatting>
  <conditionalFormatting sqref="G925">
    <cfRule type="cellIs" dxfId="19396" priority="1811" operator="equal">
      <formula>#REF!</formula>
    </cfRule>
    <cfRule type="cellIs" dxfId="19395" priority="1812" operator="greaterThan">
      <formula>#REF!</formula>
    </cfRule>
    <cfRule type="cellIs" dxfId="19394" priority="1813" operator="lessThan">
      <formula>#REF!</formula>
    </cfRule>
  </conditionalFormatting>
  <conditionalFormatting sqref="G925">
    <cfRule type="expression" dxfId="19393" priority="1810">
      <formula>AND($A909&lt;&gt;"",MOD(ROW(),2))</formula>
    </cfRule>
  </conditionalFormatting>
  <conditionalFormatting sqref="G925">
    <cfRule type="cellIs" dxfId="19392" priority="1807" operator="equal">
      <formula>#REF!</formula>
    </cfRule>
    <cfRule type="cellIs" dxfId="19391" priority="1808" operator="greaterThan">
      <formula>#REF!</formula>
    </cfRule>
    <cfRule type="cellIs" dxfId="19390" priority="1809" operator="lessThan">
      <formula>#REF!</formula>
    </cfRule>
  </conditionalFormatting>
  <conditionalFormatting sqref="G926">
    <cfRule type="expression" dxfId="19389" priority="1806">
      <formula>AND($A910&lt;&gt;"",MOD(ROW(),2))</formula>
    </cfRule>
  </conditionalFormatting>
  <conditionalFormatting sqref="G926">
    <cfRule type="cellIs" dxfId="19388" priority="1803" operator="equal">
      <formula>#REF!</formula>
    </cfRule>
    <cfRule type="cellIs" dxfId="19387" priority="1804" operator="greaterThan">
      <formula>#REF!</formula>
    </cfRule>
    <cfRule type="cellIs" dxfId="19386" priority="1805" operator="lessThan">
      <formula>#REF!</formula>
    </cfRule>
  </conditionalFormatting>
  <conditionalFormatting sqref="G926">
    <cfRule type="expression" dxfId="19385" priority="1802">
      <formula>AND($A910&lt;&gt;"",MOD(ROW(),2))</formula>
    </cfRule>
  </conditionalFormatting>
  <conditionalFormatting sqref="G926">
    <cfRule type="cellIs" dxfId="19384" priority="1799" operator="equal">
      <formula>#REF!</formula>
    </cfRule>
    <cfRule type="cellIs" dxfId="19383" priority="1800" operator="greaterThan">
      <formula>#REF!</formula>
    </cfRule>
    <cfRule type="cellIs" dxfId="19382" priority="1801" operator="lessThan">
      <formula>#REF!</formula>
    </cfRule>
  </conditionalFormatting>
  <conditionalFormatting sqref="G927">
    <cfRule type="expression" dxfId="19381" priority="1798">
      <formula>AND($A911&lt;&gt;"",MOD(ROW(),2))</formula>
    </cfRule>
  </conditionalFormatting>
  <conditionalFormatting sqref="G927">
    <cfRule type="cellIs" dxfId="19380" priority="1795" operator="equal">
      <formula>#REF!</formula>
    </cfRule>
    <cfRule type="cellIs" dxfId="19379" priority="1796" operator="greaterThan">
      <formula>#REF!</formula>
    </cfRule>
    <cfRule type="cellIs" dxfId="19378" priority="1797" operator="lessThan">
      <formula>#REF!</formula>
    </cfRule>
  </conditionalFormatting>
  <conditionalFormatting sqref="G927">
    <cfRule type="expression" dxfId="19377" priority="1794">
      <formula>AND($A911&lt;&gt;"",MOD(ROW(),2))</formula>
    </cfRule>
  </conditionalFormatting>
  <conditionalFormatting sqref="G927">
    <cfRule type="cellIs" dxfId="19376" priority="1791" operator="equal">
      <formula>#REF!</formula>
    </cfRule>
    <cfRule type="cellIs" dxfId="19375" priority="1792" operator="greaterThan">
      <formula>#REF!</formula>
    </cfRule>
    <cfRule type="cellIs" dxfId="19374" priority="1793" operator="lessThan">
      <formula>#REF!</formula>
    </cfRule>
  </conditionalFormatting>
  <conditionalFormatting sqref="G928">
    <cfRule type="expression" dxfId="19373" priority="1790">
      <formula>AND($A912&lt;&gt;"",MOD(ROW(),2))</formula>
    </cfRule>
  </conditionalFormatting>
  <conditionalFormatting sqref="G928">
    <cfRule type="cellIs" dxfId="19372" priority="1787" operator="equal">
      <formula>#REF!</formula>
    </cfRule>
    <cfRule type="cellIs" dxfId="19371" priority="1788" operator="greaterThan">
      <formula>#REF!</formula>
    </cfRule>
    <cfRule type="cellIs" dxfId="19370" priority="1789" operator="lessThan">
      <formula>#REF!</formula>
    </cfRule>
  </conditionalFormatting>
  <conditionalFormatting sqref="G928">
    <cfRule type="expression" dxfId="19369" priority="1786">
      <formula>AND($A912&lt;&gt;"",MOD(ROW(),2))</formula>
    </cfRule>
  </conditionalFormatting>
  <conditionalFormatting sqref="G928">
    <cfRule type="cellIs" dxfId="19368" priority="1783" operator="equal">
      <formula>#REF!</formula>
    </cfRule>
    <cfRule type="cellIs" dxfId="19367" priority="1784" operator="greaterThan">
      <formula>#REF!</formula>
    </cfRule>
    <cfRule type="cellIs" dxfId="19366" priority="1785" operator="lessThan">
      <formula>#REF!</formula>
    </cfRule>
  </conditionalFormatting>
  <conditionalFormatting sqref="G929">
    <cfRule type="expression" dxfId="19365" priority="1782">
      <formula>AND($A913&lt;&gt;"",MOD(ROW(),2))</formula>
    </cfRule>
  </conditionalFormatting>
  <conditionalFormatting sqref="G929">
    <cfRule type="cellIs" dxfId="19364" priority="1779" operator="equal">
      <formula>#REF!</formula>
    </cfRule>
    <cfRule type="cellIs" dxfId="19363" priority="1780" operator="greaterThan">
      <formula>#REF!</formula>
    </cfRule>
    <cfRule type="cellIs" dxfId="19362" priority="1781" operator="lessThan">
      <formula>#REF!</formula>
    </cfRule>
  </conditionalFormatting>
  <conditionalFormatting sqref="G929">
    <cfRule type="expression" dxfId="19361" priority="1778">
      <formula>AND($A913&lt;&gt;"",MOD(ROW(),2))</formula>
    </cfRule>
  </conditionalFormatting>
  <conditionalFormatting sqref="G929">
    <cfRule type="cellIs" dxfId="19360" priority="1775" operator="equal">
      <formula>#REF!</formula>
    </cfRule>
    <cfRule type="cellIs" dxfId="19359" priority="1776" operator="greaterThan">
      <formula>#REF!</formula>
    </cfRule>
    <cfRule type="cellIs" dxfId="19358" priority="1777" operator="lessThan">
      <formula>#REF!</formula>
    </cfRule>
  </conditionalFormatting>
  <conditionalFormatting sqref="G930">
    <cfRule type="expression" dxfId="19357" priority="1774">
      <formula>AND($A914&lt;&gt;"",MOD(ROW(),2))</formula>
    </cfRule>
  </conditionalFormatting>
  <conditionalFormatting sqref="G930">
    <cfRule type="cellIs" dxfId="19356" priority="1771" operator="equal">
      <formula>#REF!</formula>
    </cfRule>
    <cfRule type="cellIs" dxfId="19355" priority="1772" operator="greaterThan">
      <formula>#REF!</formula>
    </cfRule>
    <cfRule type="cellIs" dxfId="19354" priority="1773" operator="lessThan">
      <formula>#REF!</formula>
    </cfRule>
  </conditionalFormatting>
  <conditionalFormatting sqref="G930">
    <cfRule type="expression" dxfId="19353" priority="1770">
      <formula>AND($A914&lt;&gt;"",MOD(ROW(),2))</formula>
    </cfRule>
  </conditionalFormatting>
  <conditionalFormatting sqref="G930">
    <cfRule type="cellIs" dxfId="19352" priority="1767" operator="equal">
      <formula>#REF!</formula>
    </cfRule>
    <cfRule type="cellIs" dxfId="19351" priority="1768" operator="greaterThan">
      <formula>#REF!</formula>
    </cfRule>
    <cfRule type="cellIs" dxfId="19350" priority="1769" operator="lessThan">
      <formula>#REF!</formula>
    </cfRule>
  </conditionalFormatting>
  <conditionalFormatting sqref="G931">
    <cfRule type="expression" dxfId="19349" priority="1766">
      <formula>AND($A915&lt;&gt;"",MOD(ROW(),2))</formula>
    </cfRule>
  </conditionalFormatting>
  <conditionalFormatting sqref="G931">
    <cfRule type="cellIs" dxfId="19348" priority="1763" operator="equal">
      <formula>#REF!</formula>
    </cfRule>
    <cfRule type="cellIs" dxfId="19347" priority="1764" operator="greaterThan">
      <formula>#REF!</formula>
    </cfRule>
    <cfRule type="cellIs" dxfId="19346" priority="1765" operator="lessThan">
      <formula>#REF!</formula>
    </cfRule>
  </conditionalFormatting>
  <conditionalFormatting sqref="G931">
    <cfRule type="expression" dxfId="19345" priority="1762">
      <formula>AND($A915&lt;&gt;"",MOD(ROW(),2))</formula>
    </cfRule>
  </conditionalFormatting>
  <conditionalFormatting sqref="G931">
    <cfRule type="cellIs" dxfId="19344" priority="1759" operator="equal">
      <formula>#REF!</formula>
    </cfRule>
    <cfRule type="cellIs" dxfId="19343" priority="1760" operator="greaterThan">
      <formula>#REF!</formula>
    </cfRule>
    <cfRule type="cellIs" dxfId="19342" priority="1761" operator="lessThan">
      <formula>#REF!</formula>
    </cfRule>
  </conditionalFormatting>
  <conditionalFormatting sqref="G932">
    <cfRule type="expression" dxfId="19341" priority="1758">
      <formula>AND($A916&lt;&gt;"",MOD(ROW(),2))</formula>
    </cfRule>
  </conditionalFormatting>
  <conditionalFormatting sqref="G932">
    <cfRule type="cellIs" dxfId="19340" priority="1755" operator="equal">
      <formula>#REF!</formula>
    </cfRule>
    <cfRule type="cellIs" dxfId="19339" priority="1756" operator="greaterThan">
      <formula>#REF!</formula>
    </cfRule>
    <cfRule type="cellIs" dxfId="19338" priority="1757" operator="lessThan">
      <formula>#REF!</formula>
    </cfRule>
  </conditionalFormatting>
  <conditionalFormatting sqref="G932">
    <cfRule type="expression" dxfId="19337" priority="1754">
      <formula>AND($A916&lt;&gt;"",MOD(ROW(),2))</formula>
    </cfRule>
  </conditionalFormatting>
  <conditionalFormatting sqref="G932">
    <cfRule type="cellIs" dxfId="19336" priority="1751" operator="equal">
      <formula>#REF!</formula>
    </cfRule>
    <cfRule type="cellIs" dxfId="19335" priority="1752" operator="greaterThan">
      <formula>#REF!</formula>
    </cfRule>
    <cfRule type="cellIs" dxfId="19334" priority="1753" operator="lessThan">
      <formula>#REF!</formula>
    </cfRule>
  </conditionalFormatting>
  <conditionalFormatting sqref="G933">
    <cfRule type="expression" dxfId="19333" priority="1750">
      <formula>AND($A917&lt;&gt;"",MOD(ROW(),2))</formula>
    </cfRule>
  </conditionalFormatting>
  <conditionalFormatting sqref="G933">
    <cfRule type="cellIs" dxfId="19332" priority="1747" operator="equal">
      <formula>#REF!</formula>
    </cfRule>
    <cfRule type="cellIs" dxfId="19331" priority="1748" operator="greaterThan">
      <formula>#REF!</formula>
    </cfRule>
    <cfRule type="cellIs" dxfId="19330" priority="1749" operator="lessThan">
      <formula>#REF!</formula>
    </cfRule>
  </conditionalFormatting>
  <conditionalFormatting sqref="G933">
    <cfRule type="expression" dxfId="19329" priority="1746">
      <formula>AND($A917&lt;&gt;"",MOD(ROW(),2))</formula>
    </cfRule>
  </conditionalFormatting>
  <conditionalFormatting sqref="G933">
    <cfRule type="cellIs" dxfId="19328" priority="1743" operator="equal">
      <formula>#REF!</formula>
    </cfRule>
    <cfRule type="cellIs" dxfId="19327" priority="1744" operator="greaterThan">
      <formula>#REF!</formula>
    </cfRule>
    <cfRule type="cellIs" dxfId="19326" priority="1745" operator="lessThan">
      <formula>#REF!</formula>
    </cfRule>
  </conditionalFormatting>
  <conditionalFormatting sqref="G934">
    <cfRule type="expression" dxfId="19325" priority="1742">
      <formula>AND($A918&lt;&gt;"",MOD(ROW(),2))</formula>
    </cfRule>
  </conditionalFormatting>
  <conditionalFormatting sqref="G934">
    <cfRule type="cellIs" dxfId="19324" priority="1739" operator="equal">
      <formula>#REF!</formula>
    </cfRule>
    <cfRule type="cellIs" dxfId="19323" priority="1740" operator="greaterThan">
      <formula>#REF!</formula>
    </cfRule>
    <cfRule type="cellIs" dxfId="19322" priority="1741" operator="lessThan">
      <formula>#REF!</formula>
    </cfRule>
  </conditionalFormatting>
  <conditionalFormatting sqref="G934">
    <cfRule type="expression" dxfId="19321" priority="1738">
      <formula>AND($A918&lt;&gt;"",MOD(ROW(),2))</formula>
    </cfRule>
  </conditionalFormatting>
  <conditionalFormatting sqref="G934">
    <cfRule type="cellIs" dxfId="19320" priority="1735" operator="equal">
      <formula>#REF!</formula>
    </cfRule>
    <cfRule type="cellIs" dxfId="19319" priority="1736" operator="greaterThan">
      <formula>#REF!</formula>
    </cfRule>
    <cfRule type="cellIs" dxfId="19318" priority="1737" operator="lessThan">
      <formula>#REF!</formula>
    </cfRule>
  </conditionalFormatting>
  <conditionalFormatting sqref="G935">
    <cfRule type="expression" dxfId="19317" priority="1734">
      <formula>AND($A919&lt;&gt;"",MOD(ROW(),2))</formula>
    </cfRule>
  </conditionalFormatting>
  <conditionalFormatting sqref="G935">
    <cfRule type="cellIs" dxfId="19316" priority="1731" operator="equal">
      <formula>#REF!</formula>
    </cfRule>
    <cfRule type="cellIs" dxfId="19315" priority="1732" operator="greaterThan">
      <formula>#REF!</formula>
    </cfRule>
    <cfRule type="cellIs" dxfId="19314" priority="1733" operator="lessThan">
      <formula>#REF!</formula>
    </cfRule>
  </conditionalFormatting>
  <conditionalFormatting sqref="G935">
    <cfRule type="expression" dxfId="19313" priority="1730">
      <formula>AND($A919&lt;&gt;"",MOD(ROW(),2))</formula>
    </cfRule>
  </conditionalFormatting>
  <conditionalFormatting sqref="G935">
    <cfRule type="cellIs" dxfId="19312" priority="1727" operator="equal">
      <formula>#REF!</formula>
    </cfRule>
    <cfRule type="cellIs" dxfId="19311" priority="1728" operator="greaterThan">
      <formula>#REF!</formula>
    </cfRule>
    <cfRule type="cellIs" dxfId="19310" priority="1729" operator="lessThan">
      <formula>#REF!</formula>
    </cfRule>
  </conditionalFormatting>
  <conditionalFormatting sqref="G936">
    <cfRule type="expression" dxfId="19309" priority="1726">
      <formula>AND($A920&lt;&gt;"",MOD(ROW(),2))</formula>
    </cfRule>
  </conditionalFormatting>
  <conditionalFormatting sqref="G936">
    <cfRule type="cellIs" dxfId="19308" priority="1723" operator="equal">
      <formula>#REF!</formula>
    </cfRule>
    <cfRule type="cellIs" dxfId="19307" priority="1724" operator="greaterThan">
      <formula>#REF!</formula>
    </cfRule>
    <cfRule type="cellIs" dxfId="19306" priority="1725" operator="lessThan">
      <formula>#REF!</formula>
    </cfRule>
  </conditionalFormatting>
  <conditionalFormatting sqref="G936">
    <cfRule type="expression" dxfId="19305" priority="1722">
      <formula>AND($A920&lt;&gt;"",MOD(ROW(),2))</formula>
    </cfRule>
  </conditionalFormatting>
  <conditionalFormatting sqref="G936">
    <cfRule type="cellIs" dxfId="19304" priority="1719" operator="equal">
      <formula>#REF!</formula>
    </cfRule>
    <cfRule type="cellIs" dxfId="19303" priority="1720" operator="greaterThan">
      <formula>#REF!</formula>
    </cfRule>
    <cfRule type="cellIs" dxfId="19302" priority="1721" operator="lessThan">
      <formula>#REF!</formula>
    </cfRule>
  </conditionalFormatting>
  <conditionalFormatting sqref="G937">
    <cfRule type="expression" dxfId="19301" priority="1718">
      <formula>AND($A921&lt;&gt;"",MOD(ROW(),2))</formula>
    </cfRule>
  </conditionalFormatting>
  <conditionalFormatting sqref="G937">
    <cfRule type="cellIs" dxfId="19300" priority="1715" operator="equal">
      <formula>#REF!</formula>
    </cfRule>
    <cfRule type="cellIs" dxfId="19299" priority="1716" operator="greaterThan">
      <formula>#REF!</formula>
    </cfRule>
    <cfRule type="cellIs" dxfId="19298" priority="1717" operator="lessThan">
      <formula>#REF!</formula>
    </cfRule>
  </conditionalFormatting>
  <conditionalFormatting sqref="G937">
    <cfRule type="expression" dxfId="19297" priority="1714">
      <formula>AND($A921&lt;&gt;"",MOD(ROW(),2))</formula>
    </cfRule>
  </conditionalFormatting>
  <conditionalFormatting sqref="G937">
    <cfRule type="cellIs" dxfId="19296" priority="1711" operator="equal">
      <formula>#REF!</formula>
    </cfRule>
    <cfRule type="cellIs" dxfId="19295" priority="1712" operator="greaterThan">
      <formula>#REF!</formula>
    </cfRule>
    <cfRule type="cellIs" dxfId="19294" priority="1713" operator="lessThan">
      <formula>#REF!</formula>
    </cfRule>
  </conditionalFormatting>
  <conditionalFormatting sqref="G938">
    <cfRule type="expression" dxfId="19293" priority="1710">
      <formula>AND($A922&lt;&gt;"",MOD(ROW(),2))</formula>
    </cfRule>
  </conditionalFormatting>
  <conditionalFormatting sqref="G938">
    <cfRule type="cellIs" dxfId="19292" priority="1707" operator="equal">
      <formula>#REF!</formula>
    </cfRule>
    <cfRule type="cellIs" dxfId="19291" priority="1708" operator="greaterThan">
      <formula>#REF!</formula>
    </cfRule>
    <cfRule type="cellIs" dxfId="19290" priority="1709" operator="lessThan">
      <formula>#REF!</formula>
    </cfRule>
  </conditionalFormatting>
  <conditionalFormatting sqref="G938">
    <cfRule type="expression" dxfId="19289" priority="1706">
      <formula>AND($A922&lt;&gt;"",MOD(ROW(),2))</formula>
    </cfRule>
  </conditionalFormatting>
  <conditionalFormatting sqref="G938">
    <cfRule type="cellIs" dxfId="19288" priority="1703" operator="equal">
      <formula>#REF!</formula>
    </cfRule>
    <cfRule type="cellIs" dxfId="19287" priority="1704" operator="greaterThan">
      <formula>#REF!</formula>
    </cfRule>
    <cfRule type="cellIs" dxfId="19286" priority="1705" operator="lessThan">
      <formula>#REF!</formula>
    </cfRule>
  </conditionalFormatting>
  <conditionalFormatting sqref="G939">
    <cfRule type="expression" dxfId="19285" priority="1702">
      <formula>AND($A923&lt;&gt;"",MOD(ROW(),2))</formula>
    </cfRule>
  </conditionalFormatting>
  <conditionalFormatting sqref="G939">
    <cfRule type="cellIs" dxfId="19284" priority="1699" operator="equal">
      <formula>#REF!</formula>
    </cfRule>
    <cfRule type="cellIs" dxfId="19283" priority="1700" operator="greaterThan">
      <formula>#REF!</formula>
    </cfRule>
    <cfRule type="cellIs" dxfId="19282" priority="1701" operator="lessThan">
      <formula>#REF!</formula>
    </cfRule>
  </conditionalFormatting>
  <conditionalFormatting sqref="G939">
    <cfRule type="expression" dxfId="19281" priority="1698">
      <formula>AND($A923&lt;&gt;"",MOD(ROW(),2))</formula>
    </cfRule>
  </conditionalFormatting>
  <conditionalFormatting sqref="G939">
    <cfRule type="cellIs" dxfId="19280" priority="1695" operator="equal">
      <formula>#REF!</formula>
    </cfRule>
    <cfRule type="cellIs" dxfId="19279" priority="1696" operator="greaterThan">
      <formula>#REF!</formula>
    </cfRule>
    <cfRule type="cellIs" dxfId="19278" priority="1697" operator="lessThan">
      <formula>#REF!</formula>
    </cfRule>
  </conditionalFormatting>
  <conditionalFormatting sqref="G940">
    <cfRule type="expression" dxfId="19277" priority="1694">
      <formula>AND($A924&lt;&gt;"",MOD(ROW(),2))</formula>
    </cfRule>
  </conditionalFormatting>
  <conditionalFormatting sqref="G940">
    <cfRule type="cellIs" dxfId="19276" priority="1691" operator="equal">
      <formula>#REF!</formula>
    </cfRule>
    <cfRule type="cellIs" dxfId="19275" priority="1692" operator="greaterThan">
      <formula>#REF!</formula>
    </cfRule>
    <cfRule type="cellIs" dxfId="19274" priority="1693" operator="lessThan">
      <formula>#REF!</formula>
    </cfRule>
  </conditionalFormatting>
  <conditionalFormatting sqref="G940">
    <cfRule type="expression" dxfId="19273" priority="1690">
      <formula>AND($A924&lt;&gt;"",MOD(ROW(),2))</formula>
    </cfRule>
  </conditionalFormatting>
  <conditionalFormatting sqref="G940">
    <cfRule type="cellIs" dxfId="19272" priority="1687" operator="equal">
      <formula>#REF!</formula>
    </cfRule>
    <cfRule type="cellIs" dxfId="19271" priority="1688" operator="greaterThan">
      <formula>#REF!</formula>
    </cfRule>
    <cfRule type="cellIs" dxfId="19270" priority="1689" operator="lessThan">
      <formula>#REF!</formula>
    </cfRule>
  </conditionalFormatting>
  <conditionalFormatting sqref="G941">
    <cfRule type="expression" dxfId="19269" priority="1686">
      <formula>AND($A925&lt;&gt;"",MOD(ROW(),2))</formula>
    </cfRule>
  </conditionalFormatting>
  <conditionalFormatting sqref="G941">
    <cfRule type="cellIs" dxfId="19268" priority="1683" operator="equal">
      <formula>#REF!</formula>
    </cfRule>
    <cfRule type="cellIs" dxfId="19267" priority="1684" operator="greaterThan">
      <formula>#REF!</formula>
    </cfRule>
    <cfRule type="cellIs" dxfId="19266" priority="1685" operator="lessThan">
      <formula>#REF!</formula>
    </cfRule>
  </conditionalFormatting>
  <conditionalFormatting sqref="G941">
    <cfRule type="expression" dxfId="19265" priority="1682">
      <formula>AND($A925&lt;&gt;"",MOD(ROW(),2))</formula>
    </cfRule>
  </conditionalFormatting>
  <conditionalFormatting sqref="G941">
    <cfRule type="cellIs" dxfId="19264" priority="1679" operator="equal">
      <formula>#REF!</formula>
    </cfRule>
    <cfRule type="cellIs" dxfId="19263" priority="1680" operator="greaterThan">
      <formula>#REF!</formula>
    </cfRule>
    <cfRule type="cellIs" dxfId="19262" priority="1681" operator="lessThan">
      <formula>#REF!</formula>
    </cfRule>
  </conditionalFormatting>
  <conditionalFormatting sqref="G942">
    <cfRule type="expression" dxfId="19261" priority="1678">
      <formula>AND($A926&lt;&gt;"",MOD(ROW(),2))</formula>
    </cfRule>
  </conditionalFormatting>
  <conditionalFormatting sqref="G942">
    <cfRule type="cellIs" dxfId="19260" priority="1675" operator="equal">
      <formula>#REF!</formula>
    </cfRule>
    <cfRule type="cellIs" dxfId="19259" priority="1676" operator="greaterThan">
      <formula>#REF!</formula>
    </cfRule>
    <cfRule type="cellIs" dxfId="19258" priority="1677" operator="lessThan">
      <formula>#REF!</formula>
    </cfRule>
  </conditionalFormatting>
  <conditionalFormatting sqref="G942">
    <cfRule type="expression" dxfId="19257" priority="1674">
      <formula>AND($A926&lt;&gt;"",MOD(ROW(),2))</formula>
    </cfRule>
  </conditionalFormatting>
  <conditionalFormatting sqref="G942">
    <cfRule type="cellIs" dxfId="19256" priority="1671" operator="equal">
      <formula>#REF!</formula>
    </cfRule>
    <cfRule type="cellIs" dxfId="19255" priority="1672" operator="greaterThan">
      <formula>#REF!</formula>
    </cfRule>
    <cfRule type="cellIs" dxfId="19254" priority="1673" operator="lessThan">
      <formula>#REF!</formula>
    </cfRule>
  </conditionalFormatting>
  <conditionalFormatting sqref="G943">
    <cfRule type="expression" dxfId="19253" priority="1670">
      <formula>AND($A927&lt;&gt;"",MOD(ROW(),2))</formula>
    </cfRule>
  </conditionalFormatting>
  <conditionalFormatting sqref="G943">
    <cfRule type="cellIs" dxfId="19252" priority="1667" operator="equal">
      <formula>#REF!</formula>
    </cfRule>
    <cfRule type="cellIs" dxfId="19251" priority="1668" operator="greaterThan">
      <formula>#REF!</formula>
    </cfRule>
    <cfRule type="cellIs" dxfId="19250" priority="1669" operator="lessThan">
      <formula>#REF!</formula>
    </cfRule>
  </conditionalFormatting>
  <conditionalFormatting sqref="G943">
    <cfRule type="expression" dxfId="19249" priority="1666">
      <formula>AND($A927&lt;&gt;"",MOD(ROW(),2))</formula>
    </cfRule>
  </conditionalFormatting>
  <conditionalFormatting sqref="G943">
    <cfRule type="cellIs" dxfId="19248" priority="1663" operator="equal">
      <formula>#REF!</formula>
    </cfRule>
    <cfRule type="cellIs" dxfId="19247" priority="1664" operator="greaterThan">
      <formula>#REF!</formula>
    </cfRule>
    <cfRule type="cellIs" dxfId="19246" priority="1665" operator="lessThan">
      <formula>#REF!</formula>
    </cfRule>
  </conditionalFormatting>
  <conditionalFormatting sqref="G944">
    <cfRule type="expression" dxfId="19245" priority="1662">
      <formula>AND($A928&lt;&gt;"",MOD(ROW(),2))</formula>
    </cfRule>
  </conditionalFormatting>
  <conditionalFormatting sqref="G944">
    <cfRule type="cellIs" dxfId="19244" priority="1659" operator="equal">
      <formula>#REF!</formula>
    </cfRule>
    <cfRule type="cellIs" dxfId="19243" priority="1660" operator="greaterThan">
      <formula>#REF!</formula>
    </cfRule>
    <cfRule type="cellIs" dxfId="19242" priority="1661" operator="lessThan">
      <formula>#REF!</formula>
    </cfRule>
  </conditionalFormatting>
  <conditionalFormatting sqref="G944">
    <cfRule type="expression" dxfId="19241" priority="1658">
      <formula>AND($A928&lt;&gt;"",MOD(ROW(),2))</formula>
    </cfRule>
  </conditionalFormatting>
  <conditionalFormatting sqref="G944">
    <cfRule type="cellIs" dxfId="19240" priority="1655" operator="equal">
      <formula>#REF!</formula>
    </cfRule>
    <cfRule type="cellIs" dxfId="19239" priority="1656" operator="greaterThan">
      <formula>#REF!</formula>
    </cfRule>
    <cfRule type="cellIs" dxfId="19238" priority="1657" operator="lessThan">
      <formula>#REF!</formula>
    </cfRule>
  </conditionalFormatting>
  <conditionalFormatting sqref="C142">
    <cfRule type="cellIs" dxfId="19237" priority="1652" operator="equal">
      <formula>#REF!</formula>
    </cfRule>
    <cfRule type="cellIs" dxfId="19236" priority="1653" operator="greaterThan">
      <formula>#REF!</formula>
    </cfRule>
    <cfRule type="cellIs" dxfId="19235" priority="1654" operator="lessThan">
      <formula>#REF!</formula>
    </cfRule>
  </conditionalFormatting>
  <conditionalFormatting sqref="C142">
    <cfRule type="expression" dxfId="19234" priority="1651">
      <formula>AND($A126&lt;&gt;"",MOD(ROW(),2))</formula>
    </cfRule>
  </conditionalFormatting>
  <conditionalFormatting sqref="G945">
    <cfRule type="expression" dxfId="19233" priority="1650">
      <formula>AND($A929&lt;&gt;"",MOD(ROW(),2))</formula>
    </cfRule>
  </conditionalFormatting>
  <conditionalFormatting sqref="G945">
    <cfRule type="cellIs" dxfId="19232" priority="1647" operator="equal">
      <formula>#REF!</formula>
    </cfRule>
    <cfRule type="cellIs" dxfId="19231" priority="1648" operator="greaterThan">
      <formula>#REF!</formula>
    </cfRule>
    <cfRule type="cellIs" dxfId="19230" priority="1649" operator="lessThan">
      <formula>#REF!</formula>
    </cfRule>
  </conditionalFormatting>
  <conditionalFormatting sqref="G945">
    <cfRule type="expression" dxfId="19229" priority="1646">
      <formula>AND($A929&lt;&gt;"",MOD(ROW(),2))</formula>
    </cfRule>
  </conditionalFormatting>
  <conditionalFormatting sqref="G945">
    <cfRule type="cellIs" dxfId="19228" priority="1643" operator="equal">
      <formula>#REF!</formula>
    </cfRule>
    <cfRule type="cellIs" dxfId="19227" priority="1644" operator="greaterThan">
      <formula>#REF!</formula>
    </cfRule>
    <cfRule type="cellIs" dxfId="19226" priority="1645" operator="lessThan">
      <formula>#REF!</formula>
    </cfRule>
  </conditionalFormatting>
  <conditionalFormatting sqref="G946">
    <cfRule type="expression" dxfId="19225" priority="1642">
      <formula>AND($A930&lt;&gt;"",MOD(ROW(),2))</formula>
    </cfRule>
  </conditionalFormatting>
  <conditionalFormatting sqref="G946">
    <cfRule type="cellIs" dxfId="19224" priority="1639" operator="equal">
      <formula>#REF!</formula>
    </cfRule>
    <cfRule type="cellIs" dxfId="19223" priority="1640" operator="greaterThan">
      <formula>#REF!</formula>
    </cfRule>
    <cfRule type="cellIs" dxfId="19222" priority="1641" operator="lessThan">
      <formula>#REF!</formula>
    </cfRule>
  </conditionalFormatting>
  <conditionalFormatting sqref="G946">
    <cfRule type="expression" dxfId="19221" priority="1638">
      <formula>AND($A930&lt;&gt;"",MOD(ROW(),2))</formula>
    </cfRule>
  </conditionalFormatting>
  <conditionalFormatting sqref="G946">
    <cfRule type="cellIs" dxfId="19220" priority="1635" operator="equal">
      <formula>#REF!</formula>
    </cfRule>
    <cfRule type="cellIs" dxfId="19219" priority="1636" operator="greaterThan">
      <formula>#REF!</formula>
    </cfRule>
    <cfRule type="cellIs" dxfId="19218" priority="1637" operator="lessThan">
      <formula>#REF!</formula>
    </cfRule>
  </conditionalFormatting>
  <conditionalFormatting sqref="G947">
    <cfRule type="expression" dxfId="19217" priority="1634">
      <formula>AND($A931&lt;&gt;"",MOD(ROW(),2))</formula>
    </cfRule>
  </conditionalFormatting>
  <conditionalFormatting sqref="G947">
    <cfRule type="cellIs" dxfId="19216" priority="1631" operator="equal">
      <formula>#REF!</formula>
    </cfRule>
    <cfRule type="cellIs" dxfId="19215" priority="1632" operator="greaterThan">
      <formula>#REF!</formula>
    </cfRule>
    <cfRule type="cellIs" dxfId="19214" priority="1633" operator="lessThan">
      <formula>#REF!</formula>
    </cfRule>
  </conditionalFormatting>
  <conditionalFormatting sqref="G947">
    <cfRule type="expression" dxfId="19213" priority="1630">
      <formula>AND($A931&lt;&gt;"",MOD(ROW(),2))</formula>
    </cfRule>
  </conditionalFormatting>
  <conditionalFormatting sqref="G947">
    <cfRule type="cellIs" dxfId="19212" priority="1627" operator="equal">
      <formula>#REF!</formula>
    </cfRule>
    <cfRule type="cellIs" dxfId="19211" priority="1628" operator="greaterThan">
      <formula>#REF!</formula>
    </cfRule>
    <cfRule type="cellIs" dxfId="19210" priority="1629" operator="lessThan">
      <formula>#REF!</formula>
    </cfRule>
  </conditionalFormatting>
  <conditionalFormatting sqref="G950">
    <cfRule type="expression" dxfId="19209" priority="1610">
      <formula>AND($A934&lt;&gt;"",MOD(ROW(),2))</formula>
    </cfRule>
  </conditionalFormatting>
  <conditionalFormatting sqref="G950">
    <cfRule type="cellIs" dxfId="19208" priority="1607" operator="equal">
      <formula>#REF!</formula>
    </cfRule>
    <cfRule type="cellIs" dxfId="19207" priority="1608" operator="greaterThan">
      <formula>#REF!</formula>
    </cfRule>
    <cfRule type="cellIs" dxfId="19206" priority="1609" operator="lessThan">
      <formula>#REF!</formula>
    </cfRule>
  </conditionalFormatting>
  <conditionalFormatting sqref="G950">
    <cfRule type="expression" dxfId="19205" priority="1606">
      <formula>AND($A934&lt;&gt;"",MOD(ROW(),2))</formula>
    </cfRule>
  </conditionalFormatting>
  <conditionalFormatting sqref="G950">
    <cfRule type="cellIs" dxfId="19204" priority="1603" operator="equal">
      <formula>#REF!</formula>
    </cfRule>
    <cfRule type="cellIs" dxfId="19203" priority="1604" operator="greaterThan">
      <formula>#REF!</formula>
    </cfRule>
    <cfRule type="cellIs" dxfId="19202" priority="1605" operator="lessThan">
      <formula>#REF!</formula>
    </cfRule>
  </conditionalFormatting>
  <conditionalFormatting sqref="G951">
    <cfRule type="expression" dxfId="19201" priority="1602">
      <formula>AND($A935&lt;&gt;"",MOD(ROW(),2))</formula>
    </cfRule>
  </conditionalFormatting>
  <conditionalFormatting sqref="G951">
    <cfRule type="cellIs" dxfId="19200" priority="1599" operator="equal">
      <formula>#REF!</formula>
    </cfRule>
    <cfRule type="cellIs" dxfId="19199" priority="1600" operator="greaterThan">
      <formula>#REF!</formula>
    </cfRule>
    <cfRule type="cellIs" dxfId="19198" priority="1601" operator="lessThan">
      <formula>#REF!</formula>
    </cfRule>
  </conditionalFormatting>
  <conditionalFormatting sqref="G951">
    <cfRule type="expression" dxfId="19197" priority="1598">
      <formula>AND($A935&lt;&gt;"",MOD(ROW(),2))</formula>
    </cfRule>
  </conditionalFormatting>
  <conditionalFormatting sqref="G951">
    <cfRule type="cellIs" dxfId="19196" priority="1595" operator="equal">
      <formula>#REF!</formula>
    </cfRule>
    <cfRule type="cellIs" dxfId="19195" priority="1596" operator="greaterThan">
      <formula>#REF!</formula>
    </cfRule>
    <cfRule type="cellIs" dxfId="19194" priority="1597" operator="lessThan">
      <formula>#REF!</formula>
    </cfRule>
  </conditionalFormatting>
  <conditionalFormatting sqref="G948">
    <cfRule type="expression" dxfId="19193" priority="1594">
      <formula>AND($A932&lt;&gt;"",MOD(ROW(),2))</formula>
    </cfRule>
  </conditionalFormatting>
  <conditionalFormatting sqref="G948">
    <cfRule type="cellIs" dxfId="19192" priority="1591" operator="equal">
      <formula>#REF!</formula>
    </cfRule>
    <cfRule type="cellIs" dxfId="19191" priority="1592" operator="greaterThan">
      <formula>#REF!</formula>
    </cfRule>
    <cfRule type="cellIs" dxfId="19190" priority="1593" operator="lessThan">
      <formula>#REF!</formula>
    </cfRule>
  </conditionalFormatting>
  <conditionalFormatting sqref="G948">
    <cfRule type="expression" dxfId="19189" priority="1590">
      <formula>AND($A932&lt;&gt;"",MOD(ROW(),2))</formula>
    </cfRule>
  </conditionalFormatting>
  <conditionalFormatting sqref="G948">
    <cfRule type="cellIs" dxfId="19188" priority="1587" operator="equal">
      <formula>#REF!</formula>
    </cfRule>
    <cfRule type="cellIs" dxfId="19187" priority="1588" operator="greaterThan">
      <formula>#REF!</formula>
    </cfRule>
    <cfRule type="cellIs" dxfId="19186" priority="1589" operator="lessThan">
      <formula>#REF!</formula>
    </cfRule>
  </conditionalFormatting>
  <conditionalFormatting sqref="G949">
    <cfRule type="expression" dxfId="19185" priority="1586">
      <formula>AND($A933&lt;&gt;"",MOD(ROW(),2))</formula>
    </cfRule>
  </conditionalFormatting>
  <conditionalFormatting sqref="G949">
    <cfRule type="cellIs" dxfId="19184" priority="1583" operator="equal">
      <formula>#REF!</formula>
    </cfRule>
    <cfRule type="cellIs" dxfId="19183" priority="1584" operator="greaterThan">
      <formula>#REF!</formula>
    </cfRule>
    <cfRule type="cellIs" dxfId="19182" priority="1585" operator="lessThan">
      <formula>#REF!</formula>
    </cfRule>
  </conditionalFormatting>
  <conditionalFormatting sqref="G949">
    <cfRule type="expression" dxfId="19181" priority="1582">
      <formula>AND($A933&lt;&gt;"",MOD(ROW(),2))</formula>
    </cfRule>
  </conditionalFormatting>
  <conditionalFormatting sqref="G949">
    <cfRule type="cellIs" dxfId="19180" priority="1579" operator="equal">
      <formula>#REF!</formula>
    </cfRule>
    <cfRule type="cellIs" dxfId="19179" priority="1580" operator="greaterThan">
      <formula>#REF!</formula>
    </cfRule>
    <cfRule type="cellIs" dxfId="19178" priority="1581" operator="lessThan">
      <formula>#REF!</formula>
    </cfRule>
  </conditionalFormatting>
  <conditionalFormatting sqref="G952">
    <cfRule type="expression" dxfId="19177" priority="1578">
      <formula>AND($A936&lt;&gt;"",MOD(ROW(),2))</formula>
    </cfRule>
  </conditionalFormatting>
  <conditionalFormatting sqref="G952">
    <cfRule type="cellIs" dxfId="19176" priority="1575" operator="equal">
      <formula>#REF!</formula>
    </cfRule>
    <cfRule type="cellIs" dxfId="19175" priority="1576" operator="greaterThan">
      <formula>#REF!</formula>
    </cfRule>
    <cfRule type="cellIs" dxfId="19174" priority="1577" operator="lessThan">
      <formula>#REF!</formula>
    </cfRule>
  </conditionalFormatting>
  <conditionalFormatting sqref="G952">
    <cfRule type="expression" dxfId="19173" priority="1574">
      <formula>AND($A936&lt;&gt;"",MOD(ROW(),2))</formula>
    </cfRule>
  </conditionalFormatting>
  <conditionalFormatting sqref="G952">
    <cfRule type="cellIs" dxfId="19172" priority="1571" operator="equal">
      <formula>#REF!</formula>
    </cfRule>
    <cfRule type="cellIs" dxfId="19171" priority="1572" operator="greaterThan">
      <formula>#REF!</formula>
    </cfRule>
    <cfRule type="cellIs" dxfId="19170" priority="1573" operator="lessThan">
      <formula>#REF!</formula>
    </cfRule>
  </conditionalFormatting>
  <conditionalFormatting sqref="G953">
    <cfRule type="expression" dxfId="19169" priority="1570">
      <formula>AND($A937&lt;&gt;"",MOD(ROW(),2))</formula>
    </cfRule>
  </conditionalFormatting>
  <conditionalFormatting sqref="G953">
    <cfRule type="cellIs" dxfId="19168" priority="1567" operator="equal">
      <formula>#REF!</formula>
    </cfRule>
    <cfRule type="cellIs" dxfId="19167" priority="1568" operator="greaterThan">
      <formula>#REF!</formula>
    </cfRule>
    <cfRule type="cellIs" dxfId="19166" priority="1569" operator="lessThan">
      <formula>#REF!</formula>
    </cfRule>
  </conditionalFormatting>
  <conditionalFormatting sqref="G953">
    <cfRule type="expression" dxfId="19165" priority="1566">
      <formula>AND($A937&lt;&gt;"",MOD(ROW(),2))</formula>
    </cfRule>
  </conditionalFormatting>
  <conditionalFormatting sqref="G953">
    <cfRule type="cellIs" dxfId="19164" priority="1563" operator="equal">
      <formula>#REF!</formula>
    </cfRule>
    <cfRule type="cellIs" dxfId="19163" priority="1564" operator="greaterThan">
      <formula>#REF!</formula>
    </cfRule>
    <cfRule type="cellIs" dxfId="19162" priority="1565" operator="lessThan">
      <formula>#REF!</formula>
    </cfRule>
  </conditionalFormatting>
  <conditionalFormatting sqref="G954">
    <cfRule type="expression" dxfId="19161" priority="1562">
      <formula>AND($A938&lt;&gt;"",MOD(ROW(),2))</formula>
    </cfRule>
  </conditionalFormatting>
  <conditionalFormatting sqref="G954">
    <cfRule type="cellIs" dxfId="19160" priority="1559" operator="equal">
      <formula>#REF!</formula>
    </cfRule>
    <cfRule type="cellIs" dxfId="19159" priority="1560" operator="greaterThan">
      <formula>#REF!</formula>
    </cfRule>
    <cfRule type="cellIs" dxfId="19158" priority="1561" operator="lessThan">
      <formula>#REF!</formula>
    </cfRule>
  </conditionalFormatting>
  <conditionalFormatting sqref="G954">
    <cfRule type="expression" dxfId="19157" priority="1558">
      <formula>AND($A938&lt;&gt;"",MOD(ROW(),2))</formula>
    </cfRule>
  </conditionalFormatting>
  <conditionalFormatting sqref="G954">
    <cfRule type="cellIs" dxfId="19156" priority="1555" operator="equal">
      <formula>#REF!</formula>
    </cfRule>
    <cfRule type="cellIs" dxfId="19155" priority="1556" operator="greaterThan">
      <formula>#REF!</formula>
    </cfRule>
    <cfRule type="cellIs" dxfId="19154" priority="1557" operator="lessThan">
      <formula>#REF!</formula>
    </cfRule>
  </conditionalFormatting>
  <conditionalFormatting sqref="G955">
    <cfRule type="expression" dxfId="19153" priority="1554">
      <formula>AND($A939&lt;&gt;"",MOD(ROW(),2))</formula>
    </cfRule>
  </conditionalFormatting>
  <conditionalFormatting sqref="G955">
    <cfRule type="cellIs" dxfId="19152" priority="1551" operator="equal">
      <formula>#REF!</formula>
    </cfRule>
    <cfRule type="cellIs" dxfId="19151" priority="1552" operator="greaterThan">
      <formula>#REF!</formula>
    </cfRule>
    <cfRule type="cellIs" dxfId="19150" priority="1553" operator="lessThan">
      <formula>#REF!</formula>
    </cfRule>
  </conditionalFormatting>
  <conditionalFormatting sqref="G955">
    <cfRule type="expression" dxfId="19149" priority="1550">
      <formula>AND($A939&lt;&gt;"",MOD(ROW(),2))</formula>
    </cfRule>
  </conditionalFormatting>
  <conditionalFormatting sqref="G955">
    <cfRule type="cellIs" dxfId="19148" priority="1547" operator="equal">
      <formula>#REF!</formula>
    </cfRule>
    <cfRule type="cellIs" dxfId="19147" priority="1548" operator="greaterThan">
      <formula>#REF!</formula>
    </cfRule>
    <cfRule type="cellIs" dxfId="19146" priority="1549" operator="lessThan">
      <formula>#REF!</formula>
    </cfRule>
  </conditionalFormatting>
  <conditionalFormatting sqref="G956">
    <cfRule type="expression" dxfId="19145" priority="1546">
      <formula>AND($A940&lt;&gt;"",MOD(ROW(),2))</formula>
    </cfRule>
  </conditionalFormatting>
  <conditionalFormatting sqref="G956">
    <cfRule type="cellIs" dxfId="19144" priority="1543" operator="equal">
      <formula>#REF!</formula>
    </cfRule>
    <cfRule type="cellIs" dxfId="19143" priority="1544" operator="greaterThan">
      <formula>#REF!</formula>
    </cfRule>
    <cfRule type="cellIs" dxfId="19142" priority="1545" operator="lessThan">
      <formula>#REF!</formula>
    </cfRule>
  </conditionalFormatting>
  <conditionalFormatting sqref="G956">
    <cfRule type="expression" dxfId="19141" priority="1542">
      <formula>AND($A940&lt;&gt;"",MOD(ROW(),2))</formula>
    </cfRule>
  </conditionalFormatting>
  <conditionalFormatting sqref="G956">
    <cfRule type="cellIs" dxfId="19140" priority="1539" operator="equal">
      <formula>#REF!</formula>
    </cfRule>
    <cfRule type="cellIs" dxfId="19139" priority="1540" operator="greaterThan">
      <formula>#REF!</formula>
    </cfRule>
    <cfRule type="cellIs" dxfId="19138" priority="1541" operator="lessThan">
      <formula>#REF!</formula>
    </cfRule>
  </conditionalFormatting>
  <conditionalFormatting sqref="G957">
    <cfRule type="expression" dxfId="19137" priority="1538">
      <formula>AND($A941&lt;&gt;"",MOD(ROW(),2))</formula>
    </cfRule>
  </conditionalFormatting>
  <conditionalFormatting sqref="G957">
    <cfRule type="cellIs" dxfId="19136" priority="1535" operator="equal">
      <formula>#REF!</formula>
    </cfRule>
    <cfRule type="cellIs" dxfId="19135" priority="1536" operator="greaterThan">
      <formula>#REF!</formula>
    </cfRule>
    <cfRule type="cellIs" dxfId="19134" priority="1537" operator="lessThan">
      <formula>#REF!</formula>
    </cfRule>
  </conditionalFormatting>
  <conditionalFormatting sqref="G957">
    <cfRule type="expression" dxfId="19133" priority="1534">
      <formula>AND($A941&lt;&gt;"",MOD(ROW(),2))</formula>
    </cfRule>
  </conditionalFormatting>
  <conditionalFormatting sqref="G957">
    <cfRule type="cellIs" dxfId="19132" priority="1531" operator="equal">
      <formula>#REF!</formula>
    </cfRule>
    <cfRule type="cellIs" dxfId="19131" priority="1532" operator="greaterThan">
      <formula>#REF!</formula>
    </cfRule>
    <cfRule type="cellIs" dxfId="19130" priority="1533" operator="lessThan">
      <formula>#REF!</formula>
    </cfRule>
  </conditionalFormatting>
  <conditionalFormatting sqref="G958">
    <cfRule type="expression" dxfId="19129" priority="1530">
      <formula>AND($A942&lt;&gt;"",MOD(ROW(),2))</formula>
    </cfRule>
  </conditionalFormatting>
  <conditionalFormatting sqref="G958">
    <cfRule type="cellIs" dxfId="19128" priority="1527" operator="equal">
      <formula>#REF!</formula>
    </cfRule>
    <cfRule type="cellIs" dxfId="19127" priority="1528" operator="greaterThan">
      <formula>#REF!</formula>
    </cfRule>
    <cfRule type="cellIs" dxfId="19126" priority="1529" operator="lessThan">
      <formula>#REF!</formula>
    </cfRule>
  </conditionalFormatting>
  <conditionalFormatting sqref="G958">
    <cfRule type="expression" dxfId="19125" priority="1526">
      <formula>AND($A942&lt;&gt;"",MOD(ROW(),2))</formula>
    </cfRule>
  </conditionalFormatting>
  <conditionalFormatting sqref="G958">
    <cfRule type="cellIs" dxfId="19124" priority="1523" operator="equal">
      <formula>#REF!</formula>
    </cfRule>
    <cfRule type="cellIs" dxfId="19123" priority="1524" operator="greaterThan">
      <formula>#REF!</formula>
    </cfRule>
    <cfRule type="cellIs" dxfId="19122" priority="1525" operator="lessThan">
      <formula>#REF!</formula>
    </cfRule>
  </conditionalFormatting>
  <conditionalFormatting sqref="G959">
    <cfRule type="expression" dxfId="19121" priority="1522">
      <formula>AND($A943&lt;&gt;"",MOD(ROW(),2))</formula>
    </cfRule>
  </conditionalFormatting>
  <conditionalFormatting sqref="G959">
    <cfRule type="cellIs" dxfId="19120" priority="1519" operator="equal">
      <formula>#REF!</formula>
    </cfRule>
    <cfRule type="cellIs" dxfId="19119" priority="1520" operator="greaterThan">
      <formula>#REF!</formula>
    </cfRule>
    <cfRule type="cellIs" dxfId="19118" priority="1521" operator="lessThan">
      <formula>#REF!</formula>
    </cfRule>
  </conditionalFormatting>
  <conditionalFormatting sqref="G959">
    <cfRule type="expression" dxfId="19117" priority="1518">
      <formula>AND($A943&lt;&gt;"",MOD(ROW(),2))</formula>
    </cfRule>
  </conditionalFormatting>
  <conditionalFormatting sqref="G959">
    <cfRule type="cellIs" dxfId="19116" priority="1515" operator="equal">
      <formula>#REF!</formula>
    </cfRule>
    <cfRule type="cellIs" dxfId="19115" priority="1516" operator="greaterThan">
      <formula>#REF!</formula>
    </cfRule>
    <cfRule type="cellIs" dxfId="19114" priority="1517" operator="lessThan">
      <formula>#REF!</formula>
    </cfRule>
  </conditionalFormatting>
  <conditionalFormatting sqref="G960">
    <cfRule type="expression" dxfId="19113" priority="1514">
      <formula>AND($A944&lt;&gt;"",MOD(ROW(),2))</formula>
    </cfRule>
  </conditionalFormatting>
  <conditionalFormatting sqref="G960">
    <cfRule type="cellIs" dxfId="19112" priority="1511" operator="equal">
      <formula>#REF!</formula>
    </cfRule>
    <cfRule type="cellIs" dxfId="19111" priority="1512" operator="greaterThan">
      <formula>#REF!</formula>
    </cfRule>
    <cfRule type="cellIs" dxfId="19110" priority="1513" operator="lessThan">
      <formula>#REF!</formula>
    </cfRule>
  </conditionalFormatting>
  <conditionalFormatting sqref="G960">
    <cfRule type="expression" dxfId="19109" priority="1510">
      <formula>AND($A944&lt;&gt;"",MOD(ROW(),2))</formula>
    </cfRule>
  </conditionalFormatting>
  <conditionalFormatting sqref="G960">
    <cfRule type="cellIs" dxfId="19108" priority="1507" operator="equal">
      <formula>#REF!</formula>
    </cfRule>
    <cfRule type="cellIs" dxfId="19107" priority="1508" operator="greaterThan">
      <formula>#REF!</formula>
    </cfRule>
    <cfRule type="cellIs" dxfId="19106" priority="1509" operator="lessThan">
      <formula>#REF!</formula>
    </cfRule>
  </conditionalFormatting>
  <conditionalFormatting sqref="G961">
    <cfRule type="expression" dxfId="19105" priority="1506">
      <formula>AND($A945&lt;&gt;"",MOD(ROW(),2))</formula>
    </cfRule>
  </conditionalFormatting>
  <conditionalFormatting sqref="G961">
    <cfRule type="cellIs" dxfId="19104" priority="1503" operator="equal">
      <formula>#REF!</formula>
    </cfRule>
    <cfRule type="cellIs" dxfId="19103" priority="1504" operator="greaterThan">
      <formula>#REF!</formula>
    </cfRule>
    <cfRule type="cellIs" dxfId="19102" priority="1505" operator="lessThan">
      <formula>#REF!</formula>
    </cfRule>
  </conditionalFormatting>
  <conditionalFormatting sqref="G961">
    <cfRule type="expression" dxfId="19101" priority="1502">
      <formula>AND($A945&lt;&gt;"",MOD(ROW(),2))</formula>
    </cfRule>
  </conditionalFormatting>
  <conditionalFormatting sqref="G961">
    <cfRule type="cellIs" dxfId="19100" priority="1499" operator="equal">
      <formula>#REF!</formula>
    </cfRule>
    <cfRule type="cellIs" dxfId="19099" priority="1500" operator="greaterThan">
      <formula>#REF!</formula>
    </cfRule>
    <cfRule type="cellIs" dxfId="19098" priority="1501" operator="lessThan">
      <formula>#REF!</formula>
    </cfRule>
  </conditionalFormatting>
  <conditionalFormatting sqref="G962">
    <cfRule type="expression" dxfId="19097" priority="1498">
      <formula>AND($A946&lt;&gt;"",MOD(ROW(),2))</formula>
    </cfRule>
  </conditionalFormatting>
  <conditionalFormatting sqref="G962">
    <cfRule type="cellIs" dxfId="19096" priority="1495" operator="equal">
      <formula>#REF!</formula>
    </cfRule>
    <cfRule type="cellIs" dxfId="19095" priority="1496" operator="greaterThan">
      <formula>#REF!</formula>
    </cfRule>
    <cfRule type="cellIs" dxfId="19094" priority="1497" operator="lessThan">
      <formula>#REF!</formula>
    </cfRule>
  </conditionalFormatting>
  <conditionalFormatting sqref="G962">
    <cfRule type="expression" dxfId="19093" priority="1494">
      <formula>AND($A946&lt;&gt;"",MOD(ROW(),2))</formula>
    </cfRule>
  </conditionalFormatting>
  <conditionalFormatting sqref="G962">
    <cfRule type="cellIs" dxfId="19092" priority="1491" operator="equal">
      <formula>#REF!</formula>
    </cfRule>
    <cfRule type="cellIs" dxfId="19091" priority="1492" operator="greaterThan">
      <formula>#REF!</formula>
    </cfRule>
    <cfRule type="cellIs" dxfId="19090" priority="1493" operator="lessThan">
      <formula>#REF!</formula>
    </cfRule>
  </conditionalFormatting>
  <conditionalFormatting sqref="G963">
    <cfRule type="expression" dxfId="19089" priority="1490">
      <formula>AND($A947&lt;&gt;"",MOD(ROW(),2))</formula>
    </cfRule>
  </conditionalFormatting>
  <conditionalFormatting sqref="G963">
    <cfRule type="cellIs" dxfId="19088" priority="1487" operator="equal">
      <formula>#REF!</formula>
    </cfRule>
    <cfRule type="cellIs" dxfId="19087" priority="1488" operator="greaterThan">
      <formula>#REF!</formula>
    </cfRule>
    <cfRule type="cellIs" dxfId="19086" priority="1489" operator="lessThan">
      <formula>#REF!</formula>
    </cfRule>
  </conditionalFormatting>
  <conditionalFormatting sqref="G963">
    <cfRule type="expression" dxfId="19085" priority="1486">
      <formula>AND($A947&lt;&gt;"",MOD(ROW(),2))</formula>
    </cfRule>
  </conditionalFormatting>
  <conditionalFormatting sqref="G963">
    <cfRule type="cellIs" dxfId="19084" priority="1483" operator="equal">
      <formula>#REF!</formula>
    </cfRule>
    <cfRule type="cellIs" dxfId="19083" priority="1484" operator="greaterThan">
      <formula>#REF!</formula>
    </cfRule>
    <cfRule type="cellIs" dxfId="19082" priority="1485" operator="lessThan">
      <formula>#REF!</formula>
    </cfRule>
  </conditionalFormatting>
  <conditionalFormatting sqref="G964">
    <cfRule type="expression" dxfId="19081" priority="1482">
      <formula>AND($A948&lt;&gt;"",MOD(ROW(),2))</formula>
    </cfRule>
  </conditionalFormatting>
  <conditionalFormatting sqref="G964">
    <cfRule type="cellIs" dxfId="19080" priority="1479" operator="equal">
      <formula>#REF!</formula>
    </cfRule>
    <cfRule type="cellIs" dxfId="19079" priority="1480" operator="greaterThan">
      <formula>#REF!</formula>
    </cfRule>
    <cfRule type="cellIs" dxfId="19078" priority="1481" operator="lessThan">
      <formula>#REF!</formula>
    </cfRule>
  </conditionalFormatting>
  <conditionalFormatting sqref="G964">
    <cfRule type="expression" dxfId="19077" priority="1478">
      <formula>AND($A948&lt;&gt;"",MOD(ROW(),2))</formula>
    </cfRule>
  </conditionalFormatting>
  <conditionalFormatting sqref="G964">
    <cfRule type="cellIs" dxfId="19076" priority="1475" operator="equal">
      <formula>#REF!</formula>
    </cfRule>
    <cfRule type="cellIs" dxfId="19075" priority="1476" operator="greaterThan">
      <formula>#REF!</formula>
    </cfRule>
    <cfRule type="cellIs" dxfId="19074" priority="1477" operator="lessThan">
      <formula>#REF!</formula>
    </cfRule>
  </conditionalFormatting>
  <conditionalFormatting sqref="G965">
    <cfRule type="expression" dxfId="19073" priority="1474">
      <formula>AND($A949&lt;&gt;"",MOD(ROW(),2))</formula>
    </cfRule>
  </conditionalFormatting>
  <conditionalFormatting sqref="G965">
    <cfRule type="cellIs" dxfId="19072" priority="1471" operator="equal">
      <formula>#REF!</formula>
    </cfRule>
    <cfRule type="cellIs" dxfId="19071" priority="1472" operator="greaterThan">
      <formula>#REF!</formula>
    </cfRule>
    <cfRule type="cellIs" dxfId="19070" priority="1473" operator="lessThan">
      <formula>#REF!</formula>
    </cfRule>
  </conditionalFormatting>
  <conditionalFormatting sqref="G965">
    <cfRule type="expression" dxfId="19069" priority="1470">
      <formula>AND($A949&lt;&gt;"",MOD(ROW(),2))</formula>
    </cfRule>
  </conditionalFormatting>
  <conditionalFormatting sqref="G965">
    <cfRule type="cellIs" dxfId="19068" priority="1467" operator="equal">
      <formula>#REF!</formula>
    </cfRule>
    <cfRule type="cellIs" dxfId="19067" priority="1468" operator="greaterThan">
      <formula>#REF!</formula>
    </cfRule>
    <cfRule type="cellIs" dxfId="19066" priority="1469" operator="lessThan">
      <formula>#REF!</formula>
    </cfRule>
  </conditionalFormatting>
  <conditionalFormatting sqref="G966">
    <cfRule type="expression" dxfId="19065" priority="1466">
      <formula>AND($A950&lt;&gt;"",MOD(ROW(),2))</formula>
    </cfRule>
  </conditionalFormatting>
  <conditionalFormatting sqref="G966">
    <cfRule type="cellIs" dxfId="19064" priority="1463" operator="equal">
      <formula>#REF!</formula>
    </cfRule>
    <cfRule type="cellIs" dxfId="19063" priority="1464" operator="greaterThan">
      <formula>#REF!</formula>
    </cfRule>
    <cfRule type="cellIs" dxfId="19062" priority="1465" operator="lessThan">
      <formula>#REF!</formula>
    </cfRule>
  </conditionalFormatting>
  <conditionalFormatting sqref="G966">
    <cfRule type="expression" dxfId="19061" priority="1462">
      <formula>AND($A950&lt;&gt;"",MOD(ROW(),2))</formula>
    </cfRule>
  </conditionalFormatting>
  <conditionalFormatting sqref="G966">
    <cfRule type="cellIs" dxfId="19060" priority="1459" operator="equal">
      <formula>#REF!</formula>
    </cfRule>
    <cfRule type="cellIs" dxfId="19059" priority="1460" operator="greaterThan">
      <formula>#REF!</formula>
    </cfRule>
    <cfRule type="cellIs" dxfId="19058" priority="1461" operator="lessThan">
      <formula>#REF!</formula>
    </cfRule>
  </conditionalFormatting>
  <conditionalFormatting sqref="G967">
    <cfRule type="expression" dxfId="19057" priority="1458">
      <formula>AND($A951&lt;&gt;"",MOD(ROW(),2))</formula>
    </cfRule>
  </conditionalFormatting>
  <conditionalFormatting sqref="G967">
    <cfRule type="cellIs" dxfId="19056" priority="1455" operator="equal">
      <formula>#REF!</formula>
    </cfRule>
    <cfRule type="cellIs" dxfId="19055" priority="1456" operator="greaterThan">
      <formula>#REF!</formula>
    </cfRule>
    <cfRule type="cellIs" dxfId="19054" priority="1457" operator="lessThan">
      <formula>#REF!</formula>
    </cfRule>
  </conditionalFormatting>
  <conditionalFormatting sqref="G967">
    <cfRule type="expression" dxfId="19053" priority="1454">
      <formula>AND($A951&lt;&gt;"",MOD(ROW(),2))</formula>
    </cfRule>
  </conditionalFormatting>
  <conditionalFormatting sqref="G967">
    <cfRule type="cellIs" dxfId="19052" priority="1451" operator="equal">
      <formula>#REF!</formula>
    </cfRule>
    <cfRule type="cellIs" dxfId="19051" priority="1452" operator="greaterThan">
      <formula>#REF!</formula>
    </cfRule>
    <cfRule type="cellIs" dxfId="19050" priority="1453" operator="lessThan">
      <formula>#REF!</formula>
    </cfRule>
  </conditionalFormatting>
  <conditionalFormatting sqref="G968">
    <cfRule type="expression" dxfId="19049" priority="1450">
      <formula>AND($A952&lt;&gt;"",MOD(ROW(),2))</formula>
    </cfRule>
  </conditionalFormatting>
  <conditionalFormatting sqref="G968">
    <cfRule type="cellIs" dxfId="19048" priority="1447" operator="equal">
      <formula>#REF!</formula>
    </cfRule>
    <cfRule type="cellIs" dxfId="19047" priority="1448" operator="greaterThan">
      <formula>#REF!</formula>
    </cfRule>
    <cfRule type="cellIs" dxfId="19046" priority="1449" operator="lessThan">
      <formula>#REF!</formula>
    </cfRule>
  </conditionalFormatting>
  <conditionalFormatting sqref="G968">
    <cfRule type="expression" dxfId="19045" priority="1446">
      <formula>AND($A952&lt;&gt;"",MOD(ROW(),2))</formula>
    </cfRule>
  </conditionalFormatting>
  <conditionalFormatting sqref="G968">
    <cfRule type="cellIs" dxfId="19044" priority="1443" operator="equal">
      <formula>#REF!</formula>
    </cfRule>
    <cfRule type="cellIs" dxfId="19043" priority="1444" operator="greaterThan">
      <formula>#REF!</formula>
    </cfRule>
    <cfRule type="cellIs" dxfId="19042" priority="1445" operator="lessThan">
      <formula>#REF!</formula>
    </cfRule>
  </conditionalFormatting>
  <conditionalFormatting sqref="G969">
    <cfRule type="expression" dxfId="19041" priority="1442">
      <formula>AND($A953&lt;&gt;"",MOD(ROW(),2))</formula>
    </cfRule>
  </conditionalFormatting>
  <conditionalFormatting sqref="G969">
    <cfRule type="cellIs" dxfId="19040" priority="1439" operator="equal">
      <formula>#REF!</formula>
    </cfRule>
    <cfRule type="cellIs" dxfId="19039" priority="1440" operator="greaterThan">
      <formula>#REF!</formula>
    </cfRule>
    <cfRule type="cellIs" dxfId="19038" priority="1441" operator="lessThan">
      <formula>#REF!</formula>
    </cfRule>
  </conditionalFormatting>
  <conditionalFormatting sqref="G969">
    <cfRule type="expression" dxfId="19037" priority="1438">
      <formula>AND($A953&lt;&gt;"",MOD(ROW(),2))</formula>
    </cfRule>
  </conditionalFormatting>
  <conditionalFormatting sqref="G969">
    <cfRule type="cellIs" dxfId="19036" priority="1435" operator="equal">
      <formula>#REF!</formula>
    </cfRule>
    <cfRule type="cellIs" dxfId="19035" priority="1436" operator="greaterThan">
      <formula>#REF!</formula>
    </cfRule>
    <cfRule type="cellIs" dxfId="19034" priority="1437" operator="lessThan">
      <formula>#REF!</formula>
    </cfRule>
  </conditionalFormatting>
  <conditionalFormatting sqref="C139">
    <cfRule type="cellIs" dxfId="19033" priority="1432" operator="equal">
      <formula>#REF!</formula>
    </cfRule>
    <cfRule type="cellIs" dxfId="19032" priority="1433" operator="greaterThan">
      <formula>#REF!</formula>
    </cfRule>
    <cfRule type="cellIs" dxfId="19031" priority="1434" operator="lessThan">
      <formula>#REF!</formula>
    </cfRule>
  </conditionalFormatting>
  <conditionalFormatting sqref="C139">
    <cfRule type="expression" dxfId="19030" priority="1431">
      <formula>AND($A123&lt;&gt;"",MOD(ROW(),2))</formula>
    </cfRule>
  </conditionalFormatting>
  <conditionalFormatting sqref="G970">
    <cfRule type="expression" dxfId="19029" priority="1430">
      <formula>AND($A954&lt;&gt;"",MOD(ROW(),2))</formula>
    </cfRule>
  </conditionalFormatting>
  <conditionalFormatting sqref="G970">
    <cfRule type="cellIs" dxfId="19028" priority="1427" operator="equal">
      <formula>#REF!</formula>
    </cfRule>
    <cfRule type="cellIs" dxfId="19027" priority="1428" operator="greaterThan">
      <formula>#REF!</formula>
    </cfRule>
    <cfRule type="cellIs" dxfId="19026" priority="1429" operator="lessThan">
      <formula>#REF!</formula>
    </cfRule>
  </conditionalFormatting>
  <conditionalFormatting sqref="G970">
    <cfRule type="expression" dxfId="19025" priority="1426">
      <formula>AND($A954&lt;&gt;"",MOD(ROW(),2))</formula>
    </cfRule>
  </conditionalFormatting>
  <conditionalFormatting sqref="G970">
    <cfRule type="cellIs" dxfId="19024" priority="1423" operator="equal">
      <formula>#REF!</formula>
    </cfRule>
    <cfRule type="cellIs" dxfId="19023" priority="1424" operator="greaterThan">
      <formula>#REF!</formula>
    </cfRule>
    <cfRule type="cellIs" dxfId="19022" priority="1425" operator="lessThan">
      <formula>#REF!</formula>
    </cfRule>
  </conditionalFormatting>
  <conditionalFormatting sqref="G971">
    <cfRule type="expression" dxfId="19021" priority="1422">
      <formula>AND($A955&lt;&gt;"",MOD(ROW(),2))</formula>
    </cfRule>
  </conditionalFormatting>
  <conditionalFormatting sqref="G971">
    <cfRule type="cellIs" dxfId="19020" priority="1419" operator="equal">
      <formula>#REF!</formula>
    </cfRule>
    <cfRule type="cellIs" dxfId="19019" priority="1420" operator="greaterThan">
      <formula>#REF!</formula>
    </cfRule>
    <cfRule type="cellIs" dxfId="19018" priority="1421" operator="lessThan">
      <formula>#REF!</formula>
    </cfRule>
  </conditionalFormatting>
  <conditionalFormatting sqref="G971">
    <cfRule type="expression" dxfId="19017" priority="1418">
      <formula>AND($A955&lt;&gt;"",MOD(ROW(),2))</formula>
    </cfRule>
  </conditionalFormatting>
  <conditionalFormatting sqref="G971">
    <cfRule type="cellIs" dxfId="19016" priority="1415" operator="equal">
      <formula>#REF!</formula>
    </cfRule>
    <cfRule type="cellIs" dxfId="19015" priority="1416" operator="greaterThan">
      <formula>#REF!</formula>
    </cfRule>
    <cfRule type="cellIs" dxfId="19014" priority="1417" operator="lessThan">
      <formula>#REF!</formula>
    </cfRule>
  </conditionalFormatting>
  <conditionalFormatting sqref="G972">
    <cfRule type="expression" dxfId="19013" priority="1414">
      <formula>AND($A956&lt;&gt;"",MOD(ROW(),2))</formula>
    </cfRule>
  </conditionalFormatting>
  <conditionalFormatting sqref="G972">
    <cfRule type="cellIs" dxfId="19012" priority="1411" operator="equal">
      <formula>#REF!</formula>
    </cfRule>
    <cfRule type="cellIs" dxfId="19011" priority="1412" operator="greaterThan">
      <formula>#REF!</formula>
    </cfRule>
    <cfRule type="cellIs" dxfId="19010" priority="1413" operator="lessThan">
      <formula>#REF!</formula>
    </cfRule>
  </conditionalFormatting>
  <conditionalFormatting sqref="G972">
    <cfRule type="expression" dxfId="19009" priority="1410">
      <formula>AND($A956&lt;&gt;"",MOD(ROW(),2))</formula>
    </cfRule>
  </conditionalFormatting>
  <conditionalFormatting sqref="G972">
    <cfRule type="cellIs" dxfId="19008" priority="1407" operator="equal">
      <formula>#REF!</formula>
    </cfRule>
    <cfRule type="cellIs" dxfId="19007" priority="1408" operator="greaterThan">
      <formula>#REF!</formula>
    </cfRule>
    <cfRule type="cellIs" dxfId="19006" priority="1409" operator="lessThan">
      <formula>#REF!</formula>
    </cfRule>
  </conditionalFormatting>
  <conditionalFormatting sqref="G973">
    <cfRule type="expression" dxfId="19005" priority="1406">
      <formula>AND($A957&lt;&gt;"",MOD(ROW(),2))</formula>
    </cfRule>
  </conditionalFormatting>
  <conditionalFormatting sqref="G973">
    <cfRule type="cellIs" dxfId="19004" priority="1403" operator="equal">
      <formula>#REF!</formula>
    </cfRule>
    <cfRule type="cellIs" dxfId="19003" priority="1404" operator="greaterThan">
      <formula>#REF!</formula>
    </cfRule>
    <cfRule type="cellIs" dxfId="19002" priority="1405" operator="lessThan">
      <formula>#REF!</formula>
    </cfRule>
  </conditionalFormatting>
  <conditionalFormatting sqref="G973">
    <cfRule type="expression" dxfId="19001" priority="1402">
      <formula>AND($A957&lt;&gt;"",MOD(ROW(),2))</formula>
    </cfRule>
  </conditionalFormatting>
  <conditionalFormatting sqref="G973">
    <cfRule type="cellIs" dxfId="19000" priority="1399" operator="equal">
      <formula>#REF!</formula>
    </cfRule>
    <cfRule type="cellIs" dxfId="18999" priority="1400" operator="greaterThan">
      <formula>#REF!</formula>
    </cfRule>
    <cfRule type="cellIs" dxfId="18998" priority="1401" operator="lessThan">
      <formula>#REF!</formula>
    </cfRule>
  </conditionalFormatting>
  <conditionalFormatting sqref="G974">
    <cfRule type="expression" dxfId="18997" priority="1398">
      <formula>AND($A958&lt;&gt;"",MOD(ROW(),2))</formula>
    </cfRule>
  </conditionalFormatting>
  <conditionalFormatting sqref="G974">
    <cfRule type="cellIs" dxfId="18996" priority="1395" operator="equal">
      <formula>#REF!</formula>
    </cfRule>
    <cfRule type="cellIs" dxfId="18995" priority="1396" operator="greaterThan">
      <formula>#REF!</formula>
    </cfRule>
    <cfRule type="cellIs" dxfId="18994" priority="1397" operator="lessThan">
      <formula>#REF!</formula>
    </cfRule>
  </conditionalFormatting>
  <conditionalFormatting sqref="G974">
    <cfRule type="expression" dxfId="18993" priority="1394">
      <formula>AND($A958&lt;&gt;"",MOD(ROW(),2))</formula>
    </cfRule>
  </conditionalFormatting>
  <conditionalFormatting sqref="G974">
    <cfRule type="cellIs" dxfId="18992" priority="1391" operator="equal">
      <formula>#REF!</formula>
    </cfRule>
    <cfRule type="cellIs" dxfId="18991" priority="1392" operator="greaterThan">
      <formula>#REF!</formula>
    </cfRule>
    <cfRule type="cellIs" dxfId="18990" priority="1393" operator="lessThan">
      <formula>#REF!</formula>
    </cfRule>
  </conditionalFormatting>
  <conditionalFormatting sqref="G975">
    <cfRule type="expression" dxfId="18989" priority="1390">
      <formula>AND($A959&lt;&gt;"",MOD(ROW(),2))</formula>
    </cfRule>
  </conditionalFormatting>
  <conditionalFormatting sqref="G975">
    <cfRule type="cellIs" dxfId="18988" priority="1387" operator="equal">
      <formula>#REF!</formula>
    </cfRule>
    <cfRule type="cellIs" dxfId="18987" priority="1388" operator="greaterThan">
      <formula>#REF!</formula>
    </cfRule>
    <cfRule type="cellIs" dxfId="18986" priority="1389" operator="lessThan">
      <formula>#REF!</formula>
    </cfRule>
  </conditionalFormatting>
  <conditionalFormatting sqref="G975">
    <cfRule type="expression" dxfId="18985" priority="1386">
      <formula>AND($A959&lt;&gt;"",MOD(ROW(),2))</formula>
    </cfRule>
  </conditionalFormatting>
  <conditionalFormatting sqref="G975">
    <cfRule type="cellIs" dxfId="18984" priority="1383" operator="equal">
      <formula>#REF!</formula>
    </cfRule>
    <cfRule type="cellIs" dxfId="18983" priority="1384" operator="greaterThan">
      <formula>#REF!</formula>
    </cfRule>
    <cfRule type="cellIs" dxfId="18982" priority="1385" operator="lessThan">
      <formula>#REF!</formula>
    </cfRule>
  </conditionalFormatting>
  <conditionalFormatting sqref="G976">
    <cfRule type="expression" dxfId="18981" priority="1358">
      <formula>AND($A960&lt;&gt;"",MOD(ROW(),2))</formula>
    </cfRule>
  </conditionalFormatting>
  <conditionalFormatting sqref="G976">
    <cfRule type="cellIs" dxfId="18980" priority="1355" operator="equal">
      <formula>#REF!</formula>
    </cfRule>
    <cfRule type="cellIs" dxfId="18979" priority="1356" operator="greaterThan">
      <formula>#REF!</formula>
    </cfRule>
    <cfRule type="cellIs" dxfId="18978" priority="1357" operator="lessThan">
      <formula>#REF!</formula>
    </cfRule>
  </conditionalFormatting>
  <conditionalFormatting sqref="G976">
    <cfRule type="expression" dxfId="18977" priority="1354">
      <formula>AND($A960&lt;&gt;"",MOD(ROW(),2))</formula>
    </cfRule>
  </conditionalFormatting>
  <conditionalFormatting sqref="G976">
    <cfRule type="cellIs" dxfId="18976" priority="1351" operator="equal">
      <formula>#REF!</formula>
    </cfRule>
    <cfRule type="cellIs" dxfId="18975" priority="1352" operator="greaterThan">
      <formula>#REF!</formula>
    </cfRule>
    <cfRule type="cellIs" dxfId="18974" priority="1353" operator="lessThan">
      <formula>#REF!</formula>
    </cfRule>
  </conditionalFormatting>
  <conditionalFormatting sqref="G977">
    <cfRule type="expression" dxfId="18973" priority="1350">
      <formula>AND($A961&lt;&gt;"",MOD(ROW(),2))</formula>
    </cfRule>
  </conditionalFormatting>
  <conditionalFormatting sqref="G977">
    <cfRule type="cellIs" dxfId="18972" priority="1347" operator="equal">
      <formula>#REF!</formula>
    </cfRule>
    <cfRule type="cellIs" dxfId="18971" priority="1348" operator="greaterThan">
      <formula>#REF!</formula>
    </cfRule>
    <cfRule type="cellIs" dxfId="18970" priority="1349" operator="lessThan">
      <formula>#REF!</formula>
    </cfRule>
  </conditionalFormatting>
  <conditionalFormatting sqref="G977">
    <cfRule type="expression" dxfId="18969" priority="1346">
      <formula>AND($A961&lt;&gt;"",MOD(ROW(),2))</formula>
    </cfRule>
  </conditionalFormatting>
  <conditionalFormatting sqref="G977">
    <cfRule type="cellIs" dxfId="18968" priority="1343" operator="equal">
      <formula>#REF!</formula>
    </cfRule>
    <cfRule type="cellIs" dxfId="18967" priority="1344" operator="greaterThan">
      <formula>#REF!</formula>
    </cfRule>
    <cfRule type="cellIs" dxfId="18966" priority="1345" operator="lessThan">
      <formula>#REF!</formula>
    </cfRule>
  </conditionalFormatting>
  <conditionalFormatting sqref="G978">
    <cfRule type="expression" dxfId="18965" priority="1342">
      <formula>AND($A962&lt;&gt;"",MOD(ROW(),2))</formula>
    </cfRule>
  </conditionalFormatting>
  <conditionalFormatting sqref="G978">
    <cfRule type="cellIs" dxfId="18964" priority="1339" operator="equal">
      <formula>#REF!</formula>
    </cfRule>
    <cfRule type="cellIs" dxfId="18963" priority="1340" operator="greaterThan">
      <formula>#REF!</formula>
    </cfRule>
    <cfRule type="cellIs" dxfId="18962" priority="1341" operator="lessThan">
      <formula>#REF!</formula>
    </cfRule>
  </conditionalFormatting>
  <conditionalFormatting sqref="G978">
    <cfRule type="expression" dxfId="18961" priority="1338">
      <formula>AND($A962&lt;&gt;"",MOD(ROW(),2))</formula>
    </cfRule>
  </conditionalFormatting>
  <conditionalFormatting sqref="G978">
    <cfRule type="cellIs" dxfId="18960" priority="1335" operator="equal">
      <formula>#REF!</formula>
    </cfRule>
    <cfRule type="cellIs" dxfId="18959" priority="1336" operator="greaterThan">
      <formula>#REF!</formula>
    </cfRule>
    <cfRule type="cellIs" dxfId="18958" priority="1337" operator="lessThan">
      <formula>#REF!</formula>
    </cfRule>
  </conditionalFormatting>
  <conditionalFormatting sqref="G979">
    <cfRule type="expression" dxfId="18957" priority="1334">
      <formula>AND($A963&lt;&gt;"",MOD(ROW(),2))</formula>
    </cfRule>
  </conditionalFormatting>
  <conditionalFormatting sqref="G979">
    <cfRule type="cellIs" dxfId="18956" priority="1331" operator="equal">
      <formula>#REF!</formula>
    </cfRule>
    <cfRule type="cellIs" dxfId="18955" priority="1332" operator="greaterThan">
      <formula>#REF!</formula>
    </cfRule>
    <cfRule type="cellIs" dxfId="18954" priority="1333" operator="lessThan">
      <formula>#REF!</formula>
    </cfRule>
  </conditionalFormatting>
  <conditionalFormatting sqref="G979">
    <cfRule type="expression" dxfId="18953" priority="1330">
      <formula>AND($A963&lt;&gt;"",MOD(ROW(),2))</formula>
    </cfRule>
  </conditionalFormatting>
  <conditionalFormatting sqref="G979">
    <cfRule type="cellIs" dxfId="18952" priority="1327" operator="equal">
      <formula>#REF!</formula>
    </cfRule>
    <cfRule type="cellIs" dxfId="18951" priority="1328" operator="greaterThan">
      <formula>#REF!</formula>
    </cfRule>
    <cfRule type="cellIs" dxfId="18950" priority="1329" operator="lessThan">
      <formula>#REF!</formula>
    </cfRule>
  </conditionalFormatting>
  <conditionalFormatting sqref="G980">
    <cfRule type="expression" dxfId="18949" priority="1326">
      <formula>AND($A964&lt;&gt;"",MOD(ROW(),2))</formula>
    </cfRule>
  </conditionalFormatting>
  <conditionalFormatting sqref="G980">
    <cfRule type="cellIs" dxfId="18948" priority="1323" operator="equal">
      <formula>#REF!</formula>
    </cfRule>
    <cfRule type="cellIs" dxfId="18947" priority="1324" operator="greaterThan">
      <formula>#REF!</formula>
    </cfRule>
    <cfRule type="cellIs" dxfId="18946" priority="1325" operator="lessThan">
      <formula>#REF!</formula>
    </cfRule>
  </conditionalFormatting>
  <conditionalFormatting sqref="G980">
    <cfRule type="expression" dxfId="18945" priority="1322">
      <formula>AND($A964&lt;&gt;"",MOD(ROW(),2))</formula>
    </cfRule>
  </conditionalFormatting>
  <conditionalFormatting sqref="G980">
    <cfRule type="cellIs" dxfId="18944" priority="1319" operator="equal">
      <formula>#REF!</formula>
    </cfRule>
    <cfRule type="cellIs" dxfId="18943" priority="1320" operator="greaterThan">
      <formula>#REF!</formula>
    </cfRule>
    <cfRule type="cellIs" dxfId="18942" priority="1321" operator="lessThan">
      <formula>#REF!</formula>
    </cfRule>
  </conditionalFormatting>
  <conditionalFormatting sqref="G981">
    <cfRule type="expression" dxfId="18941" priority="1318">
      <formula>AND($A965&lt;&gt;"",MOD(ROW(),2))</formula>
    </cfRule>
  </conditionalFormatting>
  <conditionalFormatting sqref="G981">
    <cfRule type="cellIs" dxfId="18940" priority="1315" operator="equal">
      <formula>#REF!</formula>
    </cfRule>
    <cfRule type="cellIs" dxfId="18939" priority="1316" operator="greaterThan">
      <formula>#REF!</formula>
    </cfRule>
    <cfRule type="cellIs" dxfId="18938" priority="1317" operator="lessThan">
      <formula>#REF!</formula>
    </cfRule>
  </conditionalFormatting>
  <conditionalFormatting sqref="G981">
    <cfRule type="expression" dxfId="18937" priority="1314">
      <formula>AND($A965&lt;&gt;"",MOD(ROW(),2))</formula>
    </cfRule>
  </conditionalFormatting>
  <conditionalFormatting sqref="G981">
    <cfRule type="cellIs" dxfId="18936" priority="1311" operator="equal">
      <formula>#REF!</formula>
    </cfRule>
    <cfRule type="cellIs" dxfId="18935" priority="1312" operator="greaterThan">
      <formula>#REF!</formula>
    </cfRule>
    <cfRule type="cellIs" dxfId="18934" priority="1313" operator="lessThan">
      <formula>#REF!</formula>
    </cfRule>
  </conditionalFormatting>
  <conditionalFormatting sqref="G982">
    <cfRule type="expression" dxfId="18933" priority="1310">
      <formula>AND($A966&lt;&gt;"",MOD(ROW(),2))</formula>
    </cfRule>
  </conditionalFormatting>
  <conditionalFormatting sqref="G982">
    <cfRule type="cellIs" dxfId="18932" priority="1307" operator="equal">
      <formula>#REF!</formula>
    </cfRule>
    <cfRule type="cellIs" dxfId="18931" priority="1308" operator="greaterThan">
      <formula>#REF!</formula>
    </cfRule>
    <cfRule type="cellIs" dxfId="18930" priority="1309" operator="lessThan">
      <formula>#REF!</formula>
    </cfRule>
  </conditionalFormatting>
  <conditionalFormatting sqref="G982">
    <cfRule type="expression" dxfId="18929" priority="1306">
      <formula>AND($A966&lt;&gt;"",MOD(ROW(),2))</formula>
    </cfRule>
  </conditionalFormatting>
  <conditionalFormatting sqref="G982">
    <cfRule type="cellIs" dxfId="18928" priority="1303" operator="equal">
      <formula>#REF!</formula>
    </cfRule>
    <cfRule type="cellIs" dxfId="18927" priority="1304" operator="greaterThan">
      <formula>#REF!</formula>
    </cfRule>
    <cfRule type="cellIs" dxfId="18926" priority="1305" operator="lessThan">
      <formula>#REF!</formula>
    </cfRule>
  </conditionalFormatting>
  <conditionalFormatting sqref="G983">
    <cfRule type="expression" dxfId="18925" priority="1302">
      <formula>AND($A967&lt;&gt;"",MOD(ROW(),2))</formula>
    </cfRule>
  </conditionalFormatting>
  <conditionalFormatting sqref="G983">
    <cfRule type="cellIs" dxfId="18924" priority="1299" operator="equal">
      <formula>#REF!</formula>
    </cfRule>
    <cfRule type="cellIs" dxfId="18923" priority="1300" operator="greaterThan">
      <formula>#REF!</formula>
    </cfRule>
    <cfRule type="cellIs" dxfId="18922" priority="1301" operator="lessThan">
      <formula>#REF!</formula>
    </cfRule>
  </conditionalFormatting>
  <conditionalFormatting sqref="G983">
    <cfRule type="expression" dxfId="18921" priority="1298">
      <formula>AND($A967&lt;&gt;"",MOD(ROW(),2))</formula>
    </cfRule>
  </conditionalFormatting>
  <conditionalFormatting sqref="G983">
    <cfRule type="cellIs" dxfId="18920" priority="1295" operator="equal">
      <formula>#REF!</formula>
    </cfRule>
    <cfRule type="cellIs" dxfId="18919" priority="1296" operator="greaterThan">
      <formula>#REF!</formula>
    </cfRule>
    <cfRule type="cellIs" dxfId="18918" priority="1297" operator="lessThan">
      <formula>#REF!</formula>
    </cfRule>
  </conditionalFormatting>
  <conditionalFormatting sqref="G984">
    <cfRule type="expression" dxfId="18917" priority="1294">
      <formula>AND($A968&lt;&gt;"",MOD(ROW(),2))</formula>
    </cfRule>
  </conditionalFormatting>
  <conditionalFormatting sqref="G984">
    <cfRule type="cellIs" dxfId="18916" priority="1291" operator="equal">
      <formula>#REF!</formula>
    </cfRule>
    <cfRule type="cellIs" dxfId="18915" priority="1292" operator="greaterThan">
      <formula>#REF!</formula>
    </cfRule>
    <cfRule type="cellIs" dxfId="18914" priority="1293" operator="lessThan">
      <formula>#REF!</formula>
    </cfRule>
  </conditionalFormatting>
  <conditionalFormatting sqref="G984">
    <cfRule type="expression" dxfId="18913" priority="1290">
      <formula>AND($A968&lt;&gt;"",MOD(ROW(),2))</formula>
    </cfRule>
  </conditionalFormatting>
  <conditionalFormatting sqref="G984">
    <cfRule type="cellIs" dxfId="18912" priority="1287" operator="equal">
      <formula>#REF!</formula>
    </cfRule>
    <cfRule type="cellIs" dxfId="18911" priority="1288" operator="greaterThan">
      <formula>#REF!</formula>
    </cfRule>
    <cfRule type="cellIs" dxfId="18910" priority="1289" operator="lessThan">
      <formula>#REF!</formula>
    </cfRule>
  </conditionalFormatting>
  <conditionalFormatting sqref="G985">
    <cfRule type="expression" dxfId="18909" priority="1286">
      <formula>AND($A969&lt;&gt;"",MOD(ROW(),2))</formula>
    </cfRule>
  </conditionalFormatting>
  <conditionalFormatting sqref="G985">
    <cfRule type="cellIs" dxfId="18908" priority="1283" operator="equal">
      <formula>#REF!</formula>
    </cfRule>
    <cfRule type="cellIs" dxfId="18907" priority="1284" operator="greaterThan">
      <formula>#REF!</formula>
    </cfRule>
    <cfRule type="cellIs" dxfId="18906" priority="1285" operator="lessThan">
      <formula>#REF!</formula>
    </cfRule>
  </conditionalFormatting>
  <conditionalFormatting sqref="G985">
    <cfRule type="expression" dxfId="18905" priority="1282">
      <formula>AND($A969&lt;&gt;"",MOD(ROW(),2))</formula>
    </cfRule>
  </conditionalFormatting>
  <conditionalFormatting sqref="G985">
    <cfRule type="cellIs" dxfId="18904" priority="1279" operator="equal">
      <formula>#REF!</formula>
    </cfRule>
    <cfRule type="cellIs" dxfId="18903" priority="1280" operator="greaterThan">
      <formula>#REF!</formula>
    </cfRule>
    <cfRule type="cellIs" dxfId="18902" priority="1281" operator="lessThan">
      <formula>#REF!</formula>
    </cfRule>
  </conditionalFormatting>
  <conditionalFormatting sqref="G986">
    <cfRule type="expression" dxfId="18901" priority="1278">
      <formula>AND($A970&lt;&gt;"",MOD(ROW(),2))</formula>
    </cfRule>
  </conditionalFormatting>
  <conditionalFormatting sqref="G986">
    <cfRule type="cellIs" dxfId="18900" priority="1275" operator="equal">
      <formula>#REF!</formula>
    </cfRule>
    <cfRule type="cellIs" dxfId="18899" priority="1276" operator="greaterThan">
      <formula>#REF!</formula>
    </cfRule>
    <cfRule type="cellIs" dxfId="18898" priority="1277" operator="lessThan">
      <formula>#REF!</formula>
    </cfRule>
  </conditionalFormatting>
  <conditionalFormatting sqref="G986">
    <cfRule type="expression" dxfId="18897" priority="1274">
      <formula>AND($A970&lt;&gt;"",MOD(ROW(),2))</formula>
    </cfRule>
  </conditionalFormatting>
  <conditionalFormatting sqref="G986">
    <cfRule type="cellIs" dxfId="18896" priority="1271" operator="equal">
      <formula>#REF!</formula>
    </cfRule>
    <cfRule type="cellIs" dxfId="18895" priority="1272" operator="greaterThan">
      <formula>#REF!</formula>
    </cfRule>
    <cfRule type="cellIs" dxfId="18894" priority="1273" operator="lessThan">
      <formula>#REF!</formula>
    </cfRule>
  </conditionalFormatting>
  <conditionalFormatting sqref="G987">
    <cfRule type="expression" dxfId="18893" priority="1270">
      <formula>AND($A971&lt;&gt;"",MOD(ROW(),2))</formula>
    </cfRule>
  </conditionalFormatting>
  <conditionalFormatting sqref="G987">
    <cfRule type="cellIs" dxfId="18892" priority="1267" operator="equal">
      <formula>#REF!</formula>
    </cfRule>
    <cfRule type="cellIs" dxfId="18891" priority="1268" operator="greaterThan">
      <formula>#REF!</formula>
    </cfRule>
    <cfRule type="cellIs" dxfId="18890" priority="1269" operator="lessThan">
      <formula>#REF!</formula>
    </cfRule>
  </conditionalFormatting>
  <conditionalFormatting sqref="G987">
    <cfRule type="expression" dxfId="18889" priority="1266">
      <formula>AND($A971&lt;&gt;"",MOD(ROW(),2))</formula>
    </cfRule>
  </conditionalFormatting>
  <conditionalFormatting sqref="G987">
    <cfRule type="cellIs" dxfId="18888" priority="1263" operator="equal">
      <formula>#REF!</formula>
    </cfRule>
    <cfRule type="cellIs" dxfId="18887" priority="1264" operator="greaterThan">
      <formula>#REF!</formula>
    </cfRule>
    <cfRule type="cellIs" dxfId="18886" priority="1265" operator="lessThan">
      <formula>#REF!</formula>
    </cfRule>
  </conditionalFormatting>
  <conditionalFormatting sqref="G988">
    <cfRule type="expression" dxfId="18885" priority="1262">
      <formula>AND($A972&lt;&gt;"",MOD(ROW(),2))</formula>
    </cfRule>
  </conditionalFormatting>
  <conditionalFormatting sqref="G988">
    <cfRule type="cellIs" dxfId="18884" priority="1259" operator="equal">
      <formula>#REF!</formula>
    </cfRule>
    <cfRule type="cellIs" dxfId="18883" priority="1260" operator="greaterThan">
      <formula>#REF!</formula>
    </cfRule>
    <cfRule type="cellIs" dxfId="18882" priority="1261" operator="lessThan">
      <formula>#REF!</formula>
    </cfRule>
  </conditionalFormatting>
  <conditionalFormatting sqref="G988">
    <cfRule type="expression" dxfId="18881" priority="1258">
      <formula>AND($A972&lt;&gt;"",MOD(ROW(),2))</formula>
    </cfRule>
  </conditionalFormatting>
  <conditionalFormatting sqref="G988">
    <cfRule type="cellIs" dxfId="18880" priority="1255" operator="equal">
      <formula>#REF!</formula>
    </cfRule>
    <cfRule type="cellIs" dxfId="18879" priority="1256" operator="greaterThan">
      <formula>#REF!</formula>
    </cfRule>
    <cfRule type="cellIs" dxfId="18878" priority="1257" operator="lessThan">
      <formula>#REF!</formula>
    </cfRule>
  </conditionalFormatting>
  <conditionalFormatting sqref="G989">
    <cfRule type="expression" dxfId="18877" priority="1254">
      <formula>AND($A973&lt;&gt;"",MOD(ROW(),2))</formula>
    </cfRule>
  </conditionalFormatting>
  <conditionalFormatting sqref="G989">
    <cfRule type="cellIs" dxfId="18876" priority="1251" operator="equal">
      <formula>#REF!</formula>
    </cfRule>
    <cfRule type="cellIs" dxfId="18875" priority="1252" operator="greaterThan">
      <formula>#REF!</formula>
    </cfRule>
    <cfRule type="cellIs" dxfId="18874" priority="1253" operator="lessThan">
      <formula>#REF!</formula>
    </cfRule>
  </conditionalFormatting>
  <conditionalFormatting sqref="G989">
    <cfRule type="expression" dxfId="18873" priority="1250">
      <formula>AND($A973&lt;&gt;"",MOD(ROW(),2))</formula>
    </cfRule>
  </conditionalFormatting>
  <conditionalFormatting sqref="G989">
    <cfRule type="cellIs" dxfId="18872" priority="1247" operator="equal">
      <formula>#REF!</formula>
    </cfRule>
    <cfRule type="cellIs" dxfId="18871" priority="1248" operator="greaterThan">
      <formula>#REF!</formula>
    </cfRule>
    <cfRule type="cellIs" dxfId="18870" priority="1249" operator="lessThan">
      <formula>#REF!</formula>
    </cfRule>
  </conditionalFormatting>
  <conditionalFormatting sqref="G990">
    <cfRule type="expression" dxfId="18869" priority="1246">
      <formula>AND($A974&lt;&gt;"",MOD(ROW(),2))</formula>
    </cfRule>
  </conditionalFormatting>
  <conditionalFormatting sqref="G990">
    <cfRule type="cellIs" dxfId="18868" priority="1243" operator="equal">
      <formula>#REF!</formula>
    </cfRule>
    <cfRule type="cellIs" dxfId="18867" priority="1244" operator="greaterThan">
      <formula>#REF!</formula>
    </cfRule>
    <cfRule type="cellIs" dxfId="18866" priority="1245" operator="lessThan">
      <formula>#REF!</formula>
    </cfRule>
  </conditionalFormatting>
  <conditionalFormatting sqref="G990">
    <cfRule type="expression" dxfId="18865" priority="1242">
      <formula>AND($A974&lt;&gt;"",MOD(ROW(),2))</formula>
    </cfRule>
  </conditionalFormatting>
  <conditionalFormatting sqref="G990">
    <cfRule type="cellIs" dxfId="18864" priority="1239" operator="equal">
      <formula>#REF!</formula>
    </cfRule>
    <cfRule type="cellIs" dxfId="18863" priority="1240" operator="greaterThan">
      <formula>#REF!</formula>
    </cfRule>
    <cfRule type="cellIs" dxfId="18862" priority="1241" operator="lessThan">
      <formula>#REF!</formula>
    </cfRule>
  </conditionalFormatting>
  <conditionalFormatting sqref="G991">
    <cfRule type="expression" dxfId="18861" priority="1238">
      <formula>AND($A975&lt;&gt;"",MOD(ROW(),2))</formula>
    </cfRule>
  </conditionalFormatting>
  <conditionalFormatting sqref="G991">
    <cfRule type="cellIs" dxfId="18860" priority="1235" operator="equal">
      <formula>#REF!</formula>
    </cfRule>
    <cfRule type="cellIs" dxfId="18859" priority="1236" operator="greaterThan">
      <formula>#REF!</formula>
    </cfRule>
    <cfRule type="cellIs" dxfId="18858" priority="1237" operator="lessThan">
      <formula>#REF!</formula>
    </cfRule>
  </conditionalFormatting>
  <conditionalFormatting sqref="G991">
    <cfRule type="expression" dxfId="18857" priority="1234">
      <formula>AND($A975&lt;&gt;"",MOD(ROW(),2))</formula>
    </cfRule>
  </conditionalFormatting>
  <conditionalFormatting sqref="G991">
    <cfRule type="cellIs" dxfId="18856" priority="1231" operator="equal">
      <formula>#REF!</formula>
    </cfRule>
    <cfRule type="cellIs" dxfId="18855" priority="1232" operator="greaterThan">
      <formula>#REF!</formula>
    </cfRule>
    <cfRule type="cellIs" dxfId="18854" priority="1233" operator="lessThan">
      <formula>#REF!</formula>
    </cfRule>
  </conditionalFormatting>
  <conditionalFormatting sqref="G992">
    <cfRule type="expression" dxfId="18853" priority="1230">
      <formula>AND($A976&lt;&gt;"",MOD(ROW(),2))</formula>
    </cfRule>
  </conditionalFormatting>
  <conditionalFormatting sqref="G992">
    <cfRule type="cellIs" dxfId="18852" priority="1227" operator="equal">
      <formula>#REF!</formula>
    </cfRule>
    <cfRule type="cellIs" dxfId="18851" priority="1228" operator="greaterThan">
      <formula>#REF!</formula>
    </cfRule>
    <cfRule type="cellIs" dxfId="18850" priority="1229" operator="lessThan">
      <formula>#REF!</formula>
    </cfRule>
  </conditionalFormatting>
  <conditionalFormatting sqref="G992">
    <cfRule type="expression" dxfId="18849" priority="1226">
      <formula>AND($A976&lt;&gt;"",MOD(ROW(),2))</formula>
    </cfRule>
  </conditionalFormatting>
  <conditionalFormatting sqref="G992">
    <cfRule type="cellIs" dxfId="18848" priority="1223" operator="equal">
      <formula>#REF!</formula>
    </cfRule>
    <cfRule type="cellIs" dxfId="18847" priority="1224" operator="greaterThan">
      <formula>#REF!</formula>
    </cfRule>
    <cfRule type="cellIs" dxfId="18846" priority="1225" operator="lessThan">
      <formula>#REF!</formula>
    </cfRule>
  </conditionalFormatting>
  <conditionalFormatting sqref="G993">
    <cfRule type="expression" dxfId="18845" priority="1222">
      <formula>AND($A977&lt;&gt;"",MOD(ROW(),2))</formula>
    </cfRule>
  </conditionalFormatting>
  <conditionalFormatting sqref="G993">
    <cfRule type="cellIs" dxfId="18844" priority="1219" operator="equal">
      <formula>#REF!</formula>
    </cfRule>
    <cfRule type="cellIs" dxfId="18843" priority="1220" operator="greaterThan">
      <formula>#REF!</formula>
    </cfRule>
    <cfRule type="cellIs" dxfId="18842" priority="1221" operator="lessThan">
      <formula>#REF!</formula>
    </cfRule>
  </conditionalFormatting>
  <conditionalFormatting sqref="G993">
    <cfRule type="expression" dxfId="18841" priority="1218">
      <formula>AND($A977&lt;&gt;"",MOD(ROW(),2))</formula>
    </cfRule>
  </conditionalFormatting>
  <conditionalFormatting sqref="G993">
    <cfRule type="cellIs" dxfId="18840" priority="1215" operator="equal">
      <formula>#REF!</formula>
    </cfRule>
    <cfRule type="cellIs" dxfId="18839" priority="1216" operator="greaterThan">
      <formula>#REF!</formula>
    </cfRule>
    <cfRule type="cellIs" dxfId="18838" priority="1217" operator="lessThan">
      <formula>#REF!</formula>
    </cfRule>
  </conditionalFormatting>
  <conditionalFormatting sqref="G994">
    <cfRule type="expression" dxfId="18837" priority="1214">
      <formula>AND($A978&lt;&gt;"",MOD(ROW(),2))</formula>
    </cfRule>
  </conditionalFormatting>
  <conditionalFormatting sqref="G994">
    <cfRule type="cellIs" dxfId="18836" priority="1211" operator="equal">
      <formula>#REF!</formula>
    </cfRule>
    <cfRule type="cellIs" dxfId="18835" priority="1212" operator="greaterThan">
      <formula>#REF!</formula>
    </cfRule>
    <cfRule type="cellIs" dxfId="18834" priority="1213" operator="lessThan">
      <formula>#REF!</formula>
    </cfRule>
  </conditionalFormatting>
  <conditionalFormatting sqref="G994">
    <cfRule type="expression" dxfId="18833" priority="1210">
      <formula>AND($A978&lt;&gt;"",MOD(ROW(),2))</formula>
    </cfRule>
  </conditionalFormatting>
  <conditionalFormatting sqref="G994">
    <cfRule type="cellIs" dxfId="18832" priority="1207" operator="equal">
      <formula>#REF!</formula>
    </cfRule>
    <cfRule type="cellIs" dxfId="18831" priority="1208" operator="greaterThan">
      <formula>#REF!</formula>
    </cfRule>
    <cfRule type="cellIs" dxfId="18830" priority="1209" operator="lessThan">
      <formula>#REF!</formula>
    </cfRule>
  </conditionalFormatting>
  <conditionalFormatting sqref="G995">
    <cfRule type="expression" dxfId="18829" priority="1206">
      <formula>AND($A979&lt;&gt;"",MOD(ROW(),2))</formula>
    </cfRule>
  </conditionalFormatting>
  <conditionalFormatting sqref="G995">
    <cfRule type="cellIs" dxfId="18828" priority="1203" operator="equal">
      <formula>#REF!</formula>
    </cfRule>
    <cfRule type="cellIs" dxfId="18827" priority="1204" operator="greaterThan">
      <formula>#REF!</formula>
    </cfRule>
    <cfRule type="cellIs" dxfId="18826" priority="1205" operator="lessThan">
      <formula>#REF!</formula>
    </cfRule>
  </conditionalFormatting>
  <conditionalFormatting sqref="G995">
    <cfRule type="expression" dxfId="18825" priority="1202">
      <formula>AND($A979&lt;&gt;"",MOD(ROW(),2))</formula>
    </cfRule>
  </conditionalFormatting>
  <conditionalFormatting sqref="G995">
    <cfRule type="cellIs" dxfId="18824" priority="1199" operator="equal">
      <formula>#REF!</formula>
    </cfRule>
    <cfRule type="cellIs" dxfId="18823" priority="1200" operator="greaterThan">
      <formula>#REF!</formula>
    </cfRule>
    <cfRule type="cellIs" dxfId="18822" priority="1201" operator="lessThan">
      <formula>#REF!</formula>
    </cfRule>
  </conditionalFormatting>
  <conditionalFormatting sqref="G996">
    <cfRule type="expression" dxfId="18821" priority="1198">
      <formula>AND($A980&lt;&gt;"",MOD(ROW(),2))</formula>
    </cfRule>
  </conditionalFormatting>
  <conditionalFormatting sqref="G996">
    <cfRule type="cellIs" dxfId="18820" priority="1195" operator="equal">
      <formula>#REF!</formula>
    </cfRule>
    <cfRule type="cellIs" dxfId="18819" priority="1196" operator="greaterThan">
      <formula>#REF!</formula>
    </cfRule>
    <cfRule type="cellIs" dxfId="18818" priority="1197" operator="lessThan">
      <formula>#REF!</formula>
    </cfRule>
  </conditionalFormatting>
  <conditionalFormatting sqref="G996">
    <cfRule type="expression" dxfId="18817" priority="1194">
      <formula>AND($A980&lt;&gt;"",MOD(ROW(),2))</formula>
    </cfRule>
  </conditionalFormatting>
  <conditionalFormatting sqref="G996">
    <cfRule type="cellIs" dxfId="18816" priority="1191" operator="equal">
      <formula>#REF!</formula>
    </cfRule>
    <cfRule type="cellIs" dxfId="18815" priority="1192" operator="greaterThan">
      <formula>#REF!</formula>
    </cfRule>
    <cfRule type="cellIs" dxfId="18814" priority="1193" operator="lessThan">
      <formula>#REF!</formula>
    </cfRule>
  </conditionalFormatting>
  <conditionalFormatting sqref="G997">
    <cfRule type="expression" dxfId="18813" priority="1190">
      <formula>AND($A981&lt;&gt;"",MOD(ROW(),2))</formula>
    </cfRule>
  </conditionalFormatting>
  <conditionalFormatting sqref="G997">
    <cfRule type="cellIs" dxfId="18812" priority="1187" operator="equal">
      <formula>#REF!</formula>
    </cfRule>
    <cfRule type="cellIs" dxfId="18811" priority="1188" operator="greaterThan">
      <formula>#REF!</formula>
    </cfRule>
    <cfRule type="cellIs" dxfId="18810" priority="1189" operator="lessThan">
      <formula>#REF!</formula>
    </cfRule>
  </conditionalFormatting>
  <conditionalFormatting sqref="G997">
    <cfRule type="expression" dxfId="18809" priority="1186">
      <formula>AND($A981&lt;&gt;"",MOD(ROW(),2))</formula>
    </cfRule>
  </conditionalFormatting>
  <conditionalFormatting sqref="G997">
    <cfRule type="cellIs" dxfId="18808" priority="1183" operator="equal">
      <formula>#REF!</formula>
    </cfRule>
    <cfRule type="cellIs" dxfId="18807" priority="1184" operator="greaterThan">
      <formula>#REF!</formula>
    </cfRule>
    <cfRule type="cellIs" dxfId="18806" priority="1185" operator="lessThan">
      <formula>#REF!</formula>
    </cfRule>
  </conditionalFormatting>
  <conditionalFormatting sqref="G998">
    <cfRule type="expression" dxfId="18805" priority="1182">
      <formula>AND($A982&lt;&gt;"",MOD(ROW(),2))</formula>
    </cfRule>
  </conditionalFormatting>
  <conditionalFormatting sqref="G998">
    <cfRule type="cellIs" dxfId="18804" priority="1179" operator="equal">
      <formula>#REF!</formula>
    </cfRule>
    <cfRule type="cellIs" dxfId="18803" priority="1180" operator="greaterThan">
      <formula>#REF!</formula>
    </cfRule>
    <cfRule type="cellIs" dxfId="18802" priority="1181" operator="lessThan">
      <formula>#REF!</formula>
    </cfRule>
  </conditionalFormatting>
  <conditionalFormatting sqref="G998">
    <cfRule type="expression" dxfId="18801" priority="1178">
      <formula>AND($A982&lt;&gt;"",MOD(ROW(),2))</formula>
    </cfRule>
  </conditionalFormatting>
  <conditionalFormatting sqref="G998">
    <cfRule type="cellIs" dxfId="18800" priority="1175" operator="equal">
      <formula>#REF!</formula>
    </cfRule>
    <cfRule type="cellIs" dxfId="18799" priority="1176" operator="greaterThan">
      <formula>#REF!</formula>
    </cfRule>
    <cfRule type="cellIs" dxfId="18798" priority="1177" operator="lessThan">
      <formula>#REF!</formula>
    </cfRule>
  </conditionalFormatting>
  <conditionalFormatting sqref="G999">
    <cfRule type="expression" dxfId="18797" priority="1174">
      <formula>AND($A983&lt;&gt;"",MOD(ROW(),2))</formula>
    </cfRule>
  </conditionalFormatting>
  <conditionalFormatting sqref="G999">
    <cfRule type="cellIs" dxfId="18796" priority="1171" operator="equal">
      <formula>#REF!</formula>
    </cfRule>
    <cfRule type="cellIs" dxfId="18795" priority="1172" operator="greaterThan">
      <formula>#REF!</formula>
    </cfRule>
    <cfRule type="cellIs" dxfId="18794" priority="1173" operator="lessThan">
      <formula>#REF!</formula>
    </cfRule>
  </conditionalFormatting>
  <conditionalFormatting sqref="G999">
    <cfRule type="expression" dxfId="18793" priority="1170">
      <formula>AND($A983&lt;&gt;"",MOD(ROW(),2))</formula>
    </cfRule>
  </conditionalFormatting>
  <conditionalFormatting sqref="G999">
    <cfRule type="cellIs" dxfId="18792" priority="1167" operator="equal">
      <formula>#REF!</formula>
    </cfRule>
    <cfRule type="cellIs" dxfId="18791" priority="1168" operator="greaterThan">
      <formula>#REF!</formula>
    </cfRule>
    <cfRule type="cellIs" dxfId="18790" priority="1169" operator="lessThan">
      <formula>#REF!</formula>
    </cfRule>
  </conditionalFormatting>
  <conditionalFormatting sqref="G1000">
    <cfRule type="expression" dxfId="18789" priority="1166">
      <formula>AND($A984&lt;&gt;"",MOD(ROW(),2))</formula>
    </cfRule>
  </conditionalFormatting>
  <conditionalFormatting sqref="G1000">
    <cfRule type="cellIs" dxfId="18788" priority="1163" operator="equal">
      <formula>#REF!</formula>
    </cfRule>
    <cfRule type="cellIs" dxfId="18787" priority="1164" operator="greaterThan">
      <formula>#REF!</formula>
    </cfRule>
    <cfRule type="cellIs" dxfId="18786" priority="1165" operator="lessThan">
      <formula>#REF!</formula>
    </cfRule>
  </conditionalFormatting>
  <conditionalFormatting sqref="G1000">
    <cfRule type="expression" dxfId="18785" priority="1162">
      <formula>AND($A984&lt;&gt;"",MOD(ROW(),2))</formula>
    </cfRule>
  </conditionalFormatting>
  <conditionalFormatting sqref="G1000">
    <cfRule type="cellIs" dxfId="18784" priority="1159" operator="equal">
      <formula>#REF!</formula>
    </cfRule>
    <cfRule type="cellIs" dxfId="18783" priority="1160" operator="greaterThan">
      <formula>#REF!</formula>
    </cfRule>
    <cfRule type="cellIs" dxfId="18782" priority="1161" operator="lessThan">
      <formula>#REF!</formula>
    </cfRule>
  </conditionalFormatting>
  <conditionalFormatting sqref="G1001">
    <cfRule type="expression" dxfId="18781" priority="1158">
      <formula>AND($A985&lt;&gt;"",MOD(ROW(),2))</formula>
    </cfRule>
  </conditionalFormatting>
  <conditionalFormatting sqref="G1001">
    <cfRule type="cellIs" dxfId="18780" priority="1155" operator="equal">
      <formula>#REF!</formula>
    </cfRule>
    <cfRule type="cellIs" dxfId="18779" priority="1156" operator="greaterThan">
      <formula>#REF!</formula>
    </cfRule>
    <cfRule type="cellIs" dxfId="18778" priority="1157" operator="lessThan">
      <formula>#REF!</formula>
    </cfRule>
  </conditionalFormatting>
  <conditionalFormatting sqref="G1001">
    <cfRule type="expression" dxfId="18777" priority="1154">
      <formula>AND($A985&lt;&gt;"",MOD(ROW(),2))</formula>
    </cfRule>
  </conditionalFormatting>
  <conditionalFormatting sqref="G1001">
    <cfRule type="cellIs" dxfId="18776" priority="1151" operator="equal">
      <formula>#REF!</formula>
    </cfRule>
    <cfRule type="cellIs" dxfId="18775" priority="1152" operator="greaterThan">
      <formula>#REF!</formula>
    </cfRule>
    <cfRule type="cellIs" dxfId="18774" priority="1153" operator="lessThan">
      <formula>#REF!</formula>
    </cfRule>
  </conditionalFormatting>
  <conditionalFormatting sqref="G1002">
    <cfRule type="expression" dxfId="18773" priority="1150">
      <formula>AND($A986&lt;&gt;"",MOD(ROW(),2))</formula>
    </cfRule>
  </conditionalFormatting>
  <conditionalFormatting sqref="G1002">
    <cfRule type="cellIs" dxfId="18772" priority="1147" operator="equal">
      <formula>#REF!</formula>
    </cfRule>
    <cfRule type="cellIs" dxfId="18771" priority="1148" operator="greaterThan">
      <formula>#REF!</formula>
    </cfRule>
    <cfRule type="cellIs" dxfId="18770" priority="1149" operator="lessThan">
      <formula>#REF!</formula>
    </cfRule>
  </conditionalFormatting>
  <conditionalFormatting sqref="G1002">
    <cfRule type="expression" dxfId="18769" priority="1146">
      <formula>AND($A986&lt;&gt;"",MOD(ROW(),2))</formula>
    </cfRule>
  </conditionalFormatting>
  <conditionalFormatting sqref="G1002">
    <cfRule type="cellIs" dxfId="18768" priority="1143" operator="equal">
      <formula>#REF!</formula>
    </cfRule>
    <cfRule type="cellIs" dxfId="18767" priority="1144" operator="greaterThan">
      <formula>#REF!</formula>
    </cfRule>
    <cfRule type="cellIs" dxfId="18766" priority="1145" operator="lessThan">
      <formula>#REF!</formula>
    </cfRule>
  </conditionalFormatting>
  <conditionalFormatting sqref="G1003">
    <cfRule type="expression" dxfId="18765" priority="1142">
      <formula>AND($A987&lt;&gt;"",MOD(ROW(),2))</formula>
    </cfRule>
  </conditionalFormatting>
  <conditionalFormatting sqref="G1003">
    <cfRule type="cellIs" dxfId="18764" priority="1139" operator="equal">
      <formula>#REF!</formula>
    </cfRule>
    <cfRule type="cellIs" dxfId="18763" priority="1140" operator="greaterThan">
      <formula>#REF!</formula>
    </cfRule>
    <cfRule type="cellIs" dxfId="18762" priority="1141" operator="lessThan">
      <formula>#REF!</formula>
    </cfRule>
  </conditionalFormatting>
  <conditionalFormatting sqref="G1003">
    <cfRule type="expression" dxfId="18761" priority="1138">
      <formula>AND($A987&lt;&gt;"",MOD(ROW(),2))</formula>
    </cfRule>
  </conditionalFormatting>
  <conditionalFormatting sqref="G1003">
    <cfRule type="cellIs" dxfId="18760" priority="1135" operator="equal">
      <formula>#REF!</formula>
    </cfRule>
    <cfRule type="cellIs" dxfId="18759" priority="1136" operator="greaterThan">
      <formula>#REF!</formula>
    </cfRule>
    <cfRule type="cellIs" dxfId="18758" priority="1137" operator="lessThan">
      <formula>#REF!</formula>
    </cfRule>
  </conditionalFormatting>
  <conditionalFormatting sqref="G1004">
    <cfRule type="expression" dxfId="18757" priority="1134">
      <formula>AND($A988&lt;&gt;"",MOD(ROW(),2))</formula>
    </cfRule>
  </conditionalFormatting>
  <conditionalFormatting sqref="G1004">
    <cfRule type="cellIs" dxfId="18756" priority="1131" operator="equal">
      <formula>#REF!</formula>
    </cfRule>
    <cfRule type="cellIs" dxfId="18755" priority="1132" operator="greaterThan">
      <formula>#REF!</formula>
    </cfRule>
    <cfRule type="cellIs" dxfId="18754" priority="1133" operator="lessThan">
      <formula>#REF!</formula>
    </cfRule>
  </conditionalFormatting>
  <conditionalFormatting sqref="G1004">
    <cfRule type="expression" dxfId="18753" priority="1130">
      <formula>AND($A988&lt;&gt;"",MOD(ROW(),2))</formula>
    </cfRule>
  </conditionalFormatting>
  <conditionalFormatting sqref="G1004">
    <cfRule type="cellIs" dxfId="18752" priority="1127" operator="equal">
      <formula>#REF!</formula>
    </cfRule>
    <cfRule type="cellIs" dxfId="18751" priority="1128" operator="greaterThan">
      <formula>#REF!</formula>
    </cfRule>
    <cfRule type="cellIs" dxfId="18750" priority="1129" operator="lessThan">
      <formula>#REF!</formula>
    </cfRule>
  </conditionalFormatting>
  <conditionalFormatting sqref="G1005">
    <cfRule type="expression" dxfId="18749" priority="1126">
      <formula>AND($A989&lt;&gt;"",MOD(ROW(),2))</formula>
    </cfRule>
  </conditionalFormatting>
  <conditionalFormatting sqref="G1005">
    <cfRule type="cellIs" dxfId="18748" priority="1123" operator="equal">
      <formula>#REF!</formula>
    </cfRule>
    <cfRule type="cellIs" dxfId="18747" priority="1124" operator="greaterThan">
      <formula>#REF!</formula>
    </cfRule>
    <cfRule type="cellIs" dxfId="18746" priority="1125" operator="lessThan">
      <formula>#REF!</formula>
    </cfRule>
  </conditionalFormatting>
  <conditionalFormatting sqref="G1005">
    <cfRule type="expression" dxfId="18745" priority="1122">
      <formula>AND($A989&lt;&gt;"",MOD(ROW(),2))</formula>
    </cfRule>
  </conditionalFormatting>
  <conditionalFormatting sqref="G1005">
    <cfRule type="cellIs" dxfId="18744" priority="1119" operator="equal">
      <formula>#REF!</formula>
    </cfRule>
    <cfRule type="cellIs" dxfId="18743" priority="1120" operator="greaterThan">
      <formula>#REF!</formula>
    </cfRule>
    <cfRule type="cellIs" dxfId="18742" priority="1121" operator="lessThan">
      <formula>#REF!</formula>
    </cfRule>
  </conditionalFormatting>
  <conditionalFormatting sqref="G1006">
    <cfRule type="expression" dxfId="18741" priority="1118">
      <formula>AND($A990&lt;&gt;"",MOD(ROW(),2))</formula>
    </cfRule>
  </conditionalFormatting>
  <conditionalFormatting sqref="G1006">
    <cfRule type="cellIs" dxfId="18740" priority="1115" operator="equal">
      <formula>#REF!</formula>
    </cfRule>
    <cfRule type="cellIs" dxfId="18739" priority="1116" operator="greaterThan">
      <formula>#REF!</formula>
    </cfRule>
    <cfRule type="cellIs" dxfId="18738" priority="1117" operator="lessThan">
      <formula>#REF!</formula>
    </cfRule>
  </conditionalFormatting>
  <conditionalFormatting sqref="G1006">
    <cfRule type="expression" dxfId="18737" priority="1114">
      <formula>AND($A990&lt;&gt;"",MOD(ROW(),2))</formula>
    </cfRule>
  </conditionalFormatting>
  <conditionalFormatting sqref="G1006">
    <cfRule type="cellIs" dxfId="18736" priority="1111" operator="equal">
      <formula>#REF!</formula>
    </cfRule>
    <cfRule type="cellIs" dxfId="18735" priority="1112" operator="greaterThan">
      <formula>#REF!</formula>
    </cfRule>
    <cfRule type="cellIs" dxfId="18734" priority="1113" operator="lessThan">
      <formula>#REF!</formula>
    </cfRule>
  </conditionalFormatting>
  <conditionalFormatting sqref="G1007">
    <cfRule type="expression" dxfId="18733" priority="1110">
      <formula>AND($A991&lt;&gt;"",MOD(ROW(),2))</formula>
    </cfRule>
  </conditionalFormatting>
  <conditionalFormatting sqref="G1007">
    <cfRule type="cellIs" dxfId="18732" priority="1107" operator="equal">
      <formula>#REF!</formula>
    </cfRule>
    <cfRule type="cellIs" dxfId="18731" priority="1108" operator="greaterThan">
      <formula>#REF!</formula>
    </cfRule>
    <cfRule type="cellIs" dxfId="18730" priority="1109" operator="lessThan">
      <formula>#REF!</formula>
    </cfRule>
  </conditionalFormatting>
  <conditionalFormatting sqref="G1007">
    <cfRule type="expression" dxfId="18729" priority="1106">
      <formula>AND($A991&lt;&gt;"",MOD(ROW(),2))</formula>
    </cfRule>
  </conditionalFormatting>
  <conditionalFormatting sqref="G1007">
    <cfRule type="cellIs" dxfId="18728" priority="1103" operator="equal">
      <formula>#REF!</formula>
    </cfRule>
    <cfRule type="cellIs" dxfId="18727" priority="1104" operator="greaterThan">
      <formula>#REF!</formula>
    </cfRule>
    <cfRule type="cellIs" dxfId="18726" priority="1105" operator="lessThan">
      <formula>#REF!</formula>
    </cfRule>
  </conditionalFormatting>
  <conditionalFormatting sqref="G1008">
    <cfRule type="expression" dxfId="18725" priority="1102">
      <formula>AND($A992&lt;&gt;"",MOD(ROW(),2))</formula>
    </cfRule>
  </conditionalFormatting>
  <conditionalFormatting sqref="G1008">
    <cfRule type="cellIs" dxfId="18724" priority="1099" operator="equal">
      <formula>#REF!</formula>
    </cfRule>
    <cfRule type="cellIs" dxfId="18723" priority="1100" operator="greaterThan">
      <formula>#REF!</formula>
    </cfRule>
    <cfRule type="cellIs" dxfId="18722" priority="1101" operator="lessThan">
      <formula>#REF!</formula>
    </cfRule>
  </conditionalFormatting>
  <conditionalFormatting sqref="G1008">
    <cfRule type="expression" dxfId="18721" priority="1098">
      <formula>AND($A992&lt;&gt;"",MOD(ROW(),2))</formula>
    </cfRule>
  </conditionalFormatting>
  <conditionalFormatting sqref="G1008">
    <cfRule type="cellIs" dxfId="18720" priority="1095" operator="equal">
      <formula>#REF!</formula>
    </cfRule>
    <cfRule type="cellIs" dxfId="18719" priority="1096" operator="greaterThan">
      <formula>#REF!</formula>
    </cfRule>
    <cfRule type="cellIs" dxfId="18718" priority="1097" operator="lessThan">
      <formula>#REF!</formula>
    </cfRule>
  </conditionalFormatting>
  <conditionalFormatting sqref="G1009">
    <cfRule type="expression" dxfId="18717" priority="1094">
      <formula>AND($A993&lt;&gt;"",MOD(ROW(),2))</formula>
    </cfRule>
  </conditionalFormatting>
  <conditionalFormatting sqref="G1009">
    <cfRule type="cellIs" dxfId="18716" priority="1091" operator="equal">
      <formula>#REF!</formula>
    </cfRule>
    <cfRule type="cellIs" dxfId="18715" priority="1092" operator="greaterThan">
      <formula>#REF!</formula>
    </cfRule>
    <cfRule type="cellIs" dxfId="18714" priority="1093" operator="lessThan">
      <formula>#REF!</formula>
    </cfRule>
  </conditionalFormatting>
  <conditionalFormatting sqref="G1009">
    <cfRule type="expression" dxfId="18713" priority="1090">
      <formula>AND($A993&lt;&gt;"",MOD(ROW(),2))</formula>
    </cfRule>
  </conditionalFormatting>
  <conditionalFormatting sqref="G1009">
    <cfRule type="cellIs" dxfId="18712" priority="1087" operator="equal">
      <formula>#REF!</formula>
    </cfRule>
    <cfRule type="cellIs" dxfId="18711" priority="1088" operator="greaterThan">
      <formula>#REF!</formula>
    </cfRule>
    <cfRule type="cellIs" dxfId="18710" priority="1089" operator="lessThan">
      <formula>#REF!</formula>
    </cfRule>
  </conditionalFormatting>
  <conditionalFormatting sqref="G1010">
    <cfRule type="expression" dxfId="18709" priority="1086">
      <formula>AND($A994&lt;&gt;"",MOD(ROW(),2))</formula>
    </cfRule>
  </conditionalFormatting>
  <conditionalFormatting sqref="G1010">
    <cfRule type="cellIs" dxfId="18708" priority="1083" operator="equal">
      <formula>#REF!</formula>
    </cfRule>
    <cfRule type="cellIs" dxfId="18707" priority="1084" operator="greaterThan">
      <formula>#REF!</formula>
    </cfRule>
    <cfRule type="cellIs" dxfId="18706" priority="1085" operator="lessThan">
      <formula>#REF!</formula>
    </cfRule>
  </conditionalFormatting>
  <conditionalFormatting sqref="G1010">
    <cfRule type="expression" dxfId="18705" priority="1082">
      <formula>AND($A994&lt;&gt;"",MOD(ROW(),2))</formula>
    </cfRule>
  </conditionalFormatting>
  <conditionalFormatting sqref="G1010">
    <cfRule type="cellIs" dxfId="18704" priority="1079" operator="equal">
      <formula>#REF!</formula>
    </cfRule>
    <cfRule type="cellIs" dxfId="18703" priority="1080" operator="greaterThan">
      <formula>#REF!</formula>
    </cfRule>
    <cfRule type="cellIs" dxfId="18702" priority="1081" operator="lessThan">
      <formula>#REF!</formula>
    </cfRule>
  </conditionalFormatting>
  <conditionalFormatting sqref="G1011">
    <cfRule type="expression" dxfId="18701" priority="1078">
      <formula>AND($A995&lt;&gt;"",MOD(ROW(),2))</formula>
    </cfRule>
  </conditionalFormatting>
  <conditionalFormatting sqref="G1011">
    <cfRule type="cellIs" dxfId="18700" priority="1075" operator="equal">
      <formula>#REF!</formula>
    </cfRule>
    <cfRule type="cellIs" dxfId="18699" priority="1076" operator="greaterThan">
      <formula>#REF!</formula>
    </cfRule>
    <cfRule type="cellIs" dxfId="18698" priority="1077" operator="lessThan">
      <formula>#REF!</formula>
    </cfRule>
  </conditionalFormatting>
  <conditionalFormatting sqref="G1011">
    <cfRule type="expression" dxfId="18697" priority="1074">
      <formula>AND($A995&lt;&gt;"",MOD(ROW(),2))</formula>
    </cfRule>
  </conditionalFormatting>
  <conditionalFormatting sqref="G1011">
    <cfRule type="cellIs" dxfId="18696" priority="1071" operator="equal">
      <formula>#REF!</formula>
    </cfRule>
    <cfRule type="cellIs" dxfId="18695" priority="1072" operator="greaterThan">
      <formula>#REF!</formula>
    </cfRule>
    <cfRule type="cellIs" dxfId="18694" priority="1073" operator="lessThan">
      <formula>#REF!</formula>
    </cfRule>
  </conditionalFormatting>
  <conditionalFormatting sqref="G1012">
    <cfRule type="expression" dxfId="18693" priority="1070">
      <formula>AND($A996&lt;&gt;"",MOD(ROW(),2))</formula>
    </cfRule>
  </conditionalFormatting>
  <conditionalFormatting sqref="G1012">
    <cfRule type="cellIs" dxfId="18692" priority="1067" operator="equal">
      <formula>#REF!</formula>
    </cfRule>
    <cfRule type="cellIs" dxfId="18691" priority="1068" operator="greaterThan">
      <formula>#REF!</formula>
    </cfRule>
    <cfRule type="cellIs" dxfId="18690" priority="1069" operator="lessThan">
      <formula>#REF!</formula>
    </cfRule>
  </conditionalFormatting>
  <conditionalFormatting sqref="G1012">
    <cfRule type="expression" dxfId="18689" priority="1066">
      <formula>AND($A996&lt;&gt;"",MOD(ROW(),2))</formula>
    </cfRule>
  </conditionalFormatting>
  <conditionalFormatting sqref="G1012">
    <cfRule type="cellIs" dxfId="18688" priority="1063" operator="equal">
      <formula>#REF!</formula>
    </cfRule>
    <cfRule type="cellIs" dxfId="18687" priority="1064" operator="greaterThan">
      <formula>#REF!</formula>
    </cfRule>
    <cfRule type="cellIs" dxfId="18686" priority="1065" operator="lessThan">
      <formula>#REF!</formula>
    </cfRule>
  </conditionalFormatting>
  <conditionalFormatting sqref="G1013">
    <cfRule type="expression" dxfId="18685" priority="1062">
      <formula>AND($A997&lt;&gt;"",MOD(ROW(),2))</formula>
    </cfRule>
  </conditionalFormatting>
  <conditionalFormatting sqref="G1013">
    <cfRule type="cellIs" dxfId="18684" priority="1059" operator="equal">
      <formula>#REF!</formula>
    </cfRule>
    <cfRule type="cellIs" dxfId="18683" priority="1060" operator="greaterThan">
      <formula>#REF!</formula>
    </cfRule>
    <cfRule type="cellIs" dxfId="18682" priority="1061" operator="lessThan">
      <formula>#REF!</formula>
    </cfRule>
  </conditionalFormatting>
  <conditionalFormatting sqref="G1013">
    <cfRule type="expression" dxfId="18681" priority="1058">
      <formula>AND($A997&lt;&gt;"",MOD(ROW(),2))</formula>
    </cfRule>
  </conditionalFormatting>
  <conditionalFormatting sqref="G1013">
    <cfRule type="cellIs" dxfId="18680" priority="1055" operator="equal">
      <formula>#REF!</formula>
    </cfRule>
    <cfRule type="cellIs" dxfId="18679" priority="1056" operator="greaterThan">
      <formula>#REF!</formula>
    </cfRule>
    <cfRule type="cellIs" dxfId="18678" priority="1057" operator="lessThan">
      <formula>#REF!</formula>
    </cfRule>
  </conditionalFormatting>
  <conditionalFormatting sqref="G1014">
    <cfRule type="expression" dxfId="18677" priority="1054">
      <formula>AND($A998&lt;&gt;"",MOD(ROW(),2))</formula>
    </cfRule>
  </conditionalFormatting>
  <conditionalFormatting sqref="G1014">
    <cfRule type="cellIs" dxfId="18676" priority="1051" operator="equal">
      <formula>#REF!</formula>
    </cfRule>
    <cfRule type="cellIs" dxfId="18675" priority="1052" operator="greaterThan">
      <formula>#REF!</formula>
    </cfRule>
    <cfRule type="cellIs" dxfId="18674" priority="1053" operator="lessThan">
      <formula>#REF!</formula>
    </cfRule>
  </conditionalFormatting>
  <conditionalFormatting sqref="G1014">
    <cfRule type="expression" dxfId="18673" priority="1050">
      <formula>AND($A998&lt;&gt;"",MOD(ROW(),2))</formula>
    </cfRule>
  </conditionalFormatting>
  <conditionalFormatting sqref="G1014">
    <cfRule type="cellIs" dxfId="18672" priority="1047" operator="equal">
      <formula>#REF!</formula>
    </cfRule>
    <cfRule type="cellIs" dxfId="18671" priority="1048" operator="greaterThan">
      <formula>#REF!</formula>
    </cfRule>
    <cfRule type="cellIs" dxfId="18670" priority="1049" operator="lessThan">
      <formula>#REF!</formula>
    </cfRule>
  </conditionalFormatting>
  <conditionalFormatting sqref="G1015">
    <cfRule type="expression" dxfId="18669" priority="1046">
      <formula>AND($A999&lt;&gt;"",MOD(ROW(),2))</formula>
    </cfRule>
  </conditionalFormatting>
  <conditionalFormatting sqref="G1015">
    <cfRule type="cellIs" dxfId="18668" priority="1043" operator="equal">
      <formula>#REF!</formula>
    </cfRule>
    <cfRule type="cellIs" dxfId="18667" priority="1044" operator="greaterThan">
      <formula>#REF!</formula>
    </cfRule>
    <cfRule type="cellIs" dxfId="18666" priority="1045" operator="lessThan">
      <formula>#REF!</formula>
    </cfRule>
  </conditionalFormatting>
  <conditionalFormatting sqref="G1015">
    <cfRule type="expression" dxfId="18665" priority="1042">
      <formula>AND($A999&lt;&gt;"",MOD(ROW(),2))</formula>
    </cfRule>
  </conditionalFormatting>
  <conditionalFormatting sqref="G1015">
    <cfRule type="cellIs" dxfId="18664" priority="1039" operator="equal">
      <formula>#REF!</formula>
    </cfRule>
    <cfRule type="cellIs" dxfId="18663" priority="1040" operator="greaterThan">
      <formula>#REF!</formula>
    </cfRule>
    <cfRule type="cellIs" dxfId="18662" priority="1041" operator="lessThan">
      <formula>#REF!</formula>
    </cfRule>
  </conditionalFormatting>
  <conditionalFormatting sqref="G1016">
    <cfRule type="expression" dxfId="18661" priority="1038">
      <formula>AND($A1000&lt;&gt;"",MOD(ROW(),2))</formula>
    </cfRule>
  </conditionalFormatting>
  <conditionalFormatting sqref="G1016">
    <cfRule type="cellIs" dxfId="18660" priority="1035" operator="equal">
      <formula>#REF!</formula>
    </cfRule>
    <cfRule type="cellIs" dxfId="18659" priority="1036" operator="greaterThan">
      <formula>#REF!</formula>
    </cfRule>
    <cfRule type="cellIs" dxfId="18658" priority="1037" operator="lessThan">
      <formula>#REF!</formula>
    </cfRule>
  </conditionalFormatting>
  <conditionalFormatting sqref="G1016">
    <cfRule type="expression" dxfId="18657" priority="1034">
      <formula>AND($A1000&lt;&gt;"",MOD(ROW(),2))</formula>
    </cfRule>
  </conditionalFormatting>
  <conditionalFormatting sqref="G1016">
    <cfRule type="cellIs" dxfId="18656" priority="1031" operator="equal">
      <formula>#REF!</formula>
    </cfRule>
    <cfRule type="cellIs" dxfId="18655" priority="1032" operator="greaterThan">
      <formula>#REF!</formula>
    </cfRule>
    <cfRule type="cellIs" dxfId="18654" priority="1033" operator="lessThan">
      <formula>#REF!</formula>
    </cfRule>
  </conditionalFormatting>
  <conditionalFormatting sqref="G1017">
    <cfRule type="expression" dxfId="18653" priority="1030">
      <formula>AND($A1001&lt;&gt;"",MOD(ROW(),2))</formula>
    </cfRule>
  </conditionalFormatting>
  <conditionalFormatting sqref="G1017">
    <cfRule type="cellIs" dxfId="18652" priority="1027" operator="equal">
      <formula>#REF!</formula>
    </cfRule>
    <cfRule type="cellIs" dxfId="18651" priority="1028" operator="greaterThan">
      <formula>#REF!</formula>
    </cfRule>
    <cfRule type="cellIs" dxfId="18650" priority="1029" operator="lessThan">
      <formula>#REF!</formula>
    </cfRule>
  </conditionalFormatting>
  <conditionalFormatting sqref="G1017">
    <cfRule type="expression" dxfId="18649" priority="1026">
      <formula>AND($A1001&lt;&gt;"",MOD(ROW(),2))</formula>
    </cfRule>
  </conditionalFormatting>
  <conditionalFormatting sqref="G1017">
    <cfRule type="cellIs" dxfId="18648" priority="1023" operator="equal">
      <formula>#REF!</formula>
    </cfRule>
    <cfRule type="cellIs" dxfId="18647" priority="1024" operator="greaterThan">
      <formula>#REF!</formula>
    </cfRule>
    <cfRule type="cellIs" dxfId="18646" priority="1025" operator="lessThan">
      <formula>#REF!</formula>
    </cfRule>
  </conditionalFormatting>
  <conditionalFormatting sqref="G1018">
    <cfRule type="expression" dxfId="18645" priority="1022">
      <formula>AND($A1002&lt;&gt;"",MOD(ROW(),2))</formula>
    </cfRule>
  </conditionalFormatting>
  <conditionalFormatting sqref="G1018">
    <cfRule type="cellIs" dxfId="18644" priority="1019" operator="equal">
      <formula>#REF!</formula>
    </cfRule>
    <cfRule type="cellIs" dxfId="18643" priority="1020" operator="greaterThan">
      <formula>#REF!</formula>
    </cfRule>
    <cfRule type="cellIs" dxfId="18642" priority="1021" operator="lessThan">
      <formula>#REF!</formula>
    </cfRule>
  </conditionalFormatting>
  <conditionalFormatting sqref="G1018">
    <cfRule type="expression" dxfId="18641" priority="1018">
      <formula>AND($A1002&lt;&gt;"",MOD(ROW(),2))</formula>
    </cfRule>
  </conditionalFormatting>
  <conditionalFormatting sqref="G1018">
    <cfRule type="cellIs" dxfId="18640" priority="1015" operator="equal">
      <formula>#REF!</formula>
    </cfRule>
    <cfRule type="cellIs" dxfId="18639" priority="1016" operator="greaterThan">
      <formula>#REF!</formula>
    </cfRule>
    <cfRule type="cellIs" dxfId="18638" priority="1017" operator="lessThan">
      <formula>#REF!</formula>
    </cfRule>
  </conditionalFormatting>
  <conditionalFormatting sqref="G1019">
    <cfRule type="expression" dxfId="18637" priority="1014">
      <formula>AND($A1003&lt;&gt;"",MOD(ROW(),2))</formula>
    </cfRule>
  </conditionalFormatting>
  <conditionalFormatting sqref="G1019">
    <cfRule type="cellIs" dxfId="18636" priority="1011" operator="equal">
      <formula>#REF!</formula>
    </cfRule>
    <cfRule type="cellIs" dxfId="18635" priority="1012" operator="greaterThan">
      <formula>#REF!</formula>
    </cfRule>
    <cfRule type="cellIs" dxfId="18634" priority="1013" operator="lessThan">
      <formula>#REF!</formula>
    </cfRule>
  </conditionalFormatting>
  <conditionalFormatting sqref="G1019">
    <cfRule type="expression" dxfId="18633" priority="1010">
      <formula>AND($A1003&lt;&gt;"",MOD(ROW(),2))</formula>
    </cfRule>
  </conditionalFormatting>
  <conditionalFormatting sqref="G1019">
    <cfRule type="cellIs" dxfId="18632" priority="1007" operator="equal">
      <formula>#REF!</formula>
    </cfRule>
    <cfRule type="cellIs" dxfId="18631" priority="1008" operator="greaterThan">
      <formula>#REF!</formula>
    </cfRule>
    <cfRule type="cellIs" dxfId="18630" priority="1009" operator="lessThan">
      <formula>#REF!</formula>
    </cfRule>
  </conditionalFormatting>
  <conditionalFormatting sqref="G1020">
    <cfRule type="expression" dxfId="18629" priority="1006">
      <formula>AND($A1004&lt;&gt;"",MOD(ROW(),2))</formula>
    </cfRule>
  </conditionalFormatting>
  <conditionalFormatting sqref="G1020">
    <cfRule type="cellIs" dxfId="18628" priority="1003" operator="equal">
      <formula>#REF!</formula>
    </cfRule>
    <cfRule type="cellIs" dxfId="18627" priority="1004" operator="greaterThan">
      <formula>#REF!</formula>
    </cfRule>
    <cfRule type="cellIs" dxfId="18626" priority="1005" operator="lessThan">
      <formula>#REF!</formula>
    </cfRule>
  </conditionalFormatting>
  <conditionalFormatting sqref="G1020">
    <cfRule type="expression" dxfId="18625" priority="1002">
      <formula>AND($A1004&lt;&gt;"",MOD(ROW(),2))</formula>
    </cfRule>
  </conditionalFormatting>
  <conditionalFormatting sqref="G1020">
    <cfRule type="cellIs" dxfId="18624" priority="999" operator="equal">
      <formula>#REF!</formula>
    </cfRule>
    <cfRule type="cellIs" dxfId="18623" priority="1000" operator="greaterThan">
      <formula>#REF!</formula>
    </cfRule>
    <cfRule type="cellIs" dxfId="18622" priority="1001" operator="lessThan">
      <formula>#REF!</formula>
    </cfRule>
  </conditionalFormatting>
  <conditionalFormatting sqref="G1021">
    <cfRule type="expression" dxfId="18621" priority="998">
      <formula>AND($A1005&lt;&gt;"",MOD(ROW(),2))</formula>
    </cfRule>
  </conditionalFormatting>
  <conditionalFormatting sqref="G1021">
    <cfRule type="cellIs" dxfId="18620" priority="995" operator="equal">
      <formula>#REF!</formula>
    </cfRule>
    <cfRule type="cellIs" dxfId="18619" priority="996" operator="greaterThan">
      <formula>#REF!</formula>
    </cfRule>
    <cfRule type="cellIs" dxfId="18618" priority="997" operator="lessThan">
      <formula>#REF!</formula>
    </cfRule>
  </conditionalFormatting>
  <conditionalFormatting sqref="G1021">
    <cfRule type="expression" dxfId="18617" priority="994">
      <formula>AND($A1005&lt;&gt;"",MOD(ROW(),2))</formula>
    </cfRule>
  </conditionalFormatting>
  <conditionalFormatting sqref="G1021">
    <cfRule type="cellIs" dxfId="18616" priority="991" operator="equal">
      <formula>#REF!</formula>
    </cfRule>
    <cfRule type="cellIs" dxfId="18615" priority="992" operator="greaterThan">
      <formula>#REF!</formula>
    </cfRule>
    <cfRule type="cellIs" dxfId="18614" priority="993" operator="lessThan">
      <formula>#REF!</formula>
    </cfRule>
  </conditionalFormatting>
  <conditionalFormatting sqref="G1022">
    <cfRule type="expression" dxfId="18613" priority="990">
      <formula>AND($A1006&lt;&gt;"",MOD(ROW(),2))</formula>
    </cfRule>
  </conditionalFormatting>
  <conditionalFormatting sqref="G1022">
    <cfRule type="cellIs" dxfId="18612" priority="987" operator="equal">
      <formula>#REF!</formula>
    </cfRule>
    <cfRule type="cellIs" dxfId="18611" priority="988" operator="greaterThan">
      <formula>#REF!</formula>
    </cfRule>
    <cfRule type="cellIs" dxfId="18610" priority="989" operator="lessThan">
      <formula>#REF!</formula>
    </cfRule>
  </conditionalFormatting>
  <conditionalFormatting sqref="G1022">
    <cfRule type="expression" dxfId="18609" priority="986">
      <formula>AND($A1006&lt;&gt;"",MOD(ROW(),2))</formula>
    </cfRule>
  </conditionalFormatting>
  <conditionalFormatting sqref="G1022">
    <cfRule type="cellIs" dxfId="18608" priority="983" operator="equal">
      <formula>#REF!</formula>
    </cfRule>
    <cfRule type="cellIs" dxfId="18607" priority="984" operator="greaterThan">
      <formula>#REF!</formula>
    </cfRule>
    <cfRule type="cellIs" dxfId="18606" priority="985" operator="lessThan">
      <formula>#REF!</formula>
    </cfRule>
  </conditionalFormatting>
  <conditionalFormatting sqref="G1023">
    <cfRule type="expression" dxfId="18605" priority="982">
      <formula>AND($A1007&lt;&gt;"",MOD(ROW(),2))</formula>
    </cfRule>
  </conditionalFormatting>
  <conditionalFormatting sqref="G1023">
    <cfRule type="cellIs" dxfId="18604" priority="979" operator="equal">
      <formula>#REF!</formula>
    </cfRule>
    <cfRule type="cellIs" dxfId="18603" priority="980" operator="greaterThan">
      <formula>#REF!</formula>
    </cfRule>
    <cfRule type="cellIs" dxfId="18602" priority="981" operator="lessThan">
      <formula>#REF!</formula>
    </cfRule>
  </conditionalFormatting>
  <conditionalFormatting sqref="G1023">
    <cfRule type="expression" dxfId="18601" priority="978">
      <formula>AND($A1007&lt;&gt;"",MOD(ROW(),2))</formula>
    </cfRule>
  </conditionalFormatting>
  <conditionalFormatting sqref="G1023">
    <cfRule type="cellIs" dxfId="18600" priority="975" operator="equal">
      <formula>#REF!</formula>
    </cfRule>
    <cfRule type="cellIs" dxfId="18599" priority="976" operator="greaterThan">
      <formula>#REF!</formula>
    </cfRule>
    <cfRule type="cellIs" dxfId="18598" priority="977" operator="lessThan">
      <formula>#REF!</formula>
    </cfRule>
  </conditionalFormatting>
  <conditionalFormatting sqref="G1024">
    <cfRule type="expression" dxfId="18597" priority="974">
      <formula>AND($A1008&lt;&gt;"",MOD(ROW(),2))</formula>
    </cfRule>
  </conditionalFormatting>
  <conditionalFormatting sqref="G1024">
    <cfRule type="cellIs" dxfId="18596" priority="971" operator="equal">
      <formula>#REF!</formula>
    </cfRule>
    <cfRule type="cellIs" dxfId="18595" priority="972" operator="greaterThan">
      <formula>#REF!</formula>
    </cfRule>
    <cfRule type="cellIs" dxfId="18594" priority="973" operator="lessThan">
      <formula>#REF!</formula>
    </cfRule>
  </conditionalFormatting>
  <conditionalFormatting sqref="G1024">
    <cfRule type="expression" dxfId="18593" priority="970">
      <formula>AND($A1008&lt;&gt;"",MOD(ROW(),2))</formula>
    </cfRule>
  </conditionalFormatting>
  <conditionalFormatting sqref="G1024">
    <cfRule type="cellIs" dxfId="18592" priority="967" operator="equal">
      <formula>#REF!</formula>
    </cfRule>
    <cfRule type="cellIs" dxfId="18591" priority="968" operator="greaterThan">
      <formula>#REF!</formula>
    </cfRule>
    <cfRule type="cellIs" dxfId="18590" priority="969" operator="lessThan">
      <formula>#REF!</formula>
    </cfRule>
  </conditionalFormatting>
  <conditionalFormatting sqref="G1025">
    <cfRule type="expression" dxfId="18589" priority="966">
      <formula>AND($A1009&lt;&gt;"",MOD(ROW(),2))</formula>
    </cfRule>
  </conditionalFormatting>
  <conditionalFormatting sqref="G1025">
    <cfRule type="cellIs" dxfId="18588" priority="963" operator="equal">
      <formula>#REF!</formula>
    </cfRule>
    <cfRule type="cellIs" dxfId="18587" priority="964" operator="greaterThan">
      <formula>#REF!</formula>
    </cfRule>
    <cfRule type="cellIs" dxfId="18586" priority="965" operator="lessThan">
      <formula>#REF!</formula>
    </cfRule>
  </conditionalFormatting>
  <conditionalFormatting sqref="G1025">
    <cfRule type="expression" dxfId="18585" priority="962">
      <formula>AND($A1009&lt;&gt;"",MOD(ROW(),2))</formula>
    </cfRule>
  </conditionalFormatting>
  <conditionalFormatting sqref="G1025">
    <cfRule type="cellIs" dxfId="18584" priority="959" operator="equal">
      <formula>#REF!</formula>
    </cfRule>
    <cfRule type="cellIs" dxfId="18583" priority="960" operator="greaterThan">
      <formula>#REF!</formula>
    </cfRule>
    <cfRule type="cellIs" dxfId="18582" priority="961" operator="lessThan">
      <formula>#REF!</formula>
    </cfRule>
  </conditionalFormatting>
  <conditionalFormatting sqref="G1026">
    <cfRule type="expression" dxfId="18581" priority="958">
      <formula>AND($A1010&lt;&gt;"",MOD(ROW(),2))</formula>
    </cfRule>
  </conditionalFormatting>
  <conditionalFormatting sqref="G1026">
    <cfRule type="cellIs" dxfId="18580" priority="955" operator="equal">
      <formula>#REF!</formula>
    </cfRule>
    <cfRule type="cellIs" dxfId="18579" priority="956" operator="greaterThan">
      <formula>#REF!</formula>
    </cfRule>
    <cfRule type="cellIs" dxfId="18578" priority="957" operator="lessThan">
      <formula>#REF!</formula>
    </cfRule>
  </conditionalFormatting>
  <conditionalFormatting sqref="G1026">
    <cfRule type="expression" dxfId="18577" priority="954">
      <formula>AND($A1010&lt;&gt;"",MOD(ROW(),2))</formula>
    </cfRule>
  </conditionalFormatting>
  <conditionalFormatting sqref="G1026">
    <cfRule type="cellIs" dxfId="18576" priority="951" operator="equal">
      <formula>#REF!</formula>
    </cfRule>
    <cfRule type="cellIs" dxfId="18575" priority="952" operator="greaterThan">
      <formula>#REF!</formula>
    </cfRule>
    <cfRule type="cellIs" dxfId="18574" priority="953" operator="lessThan">
      <formula>#REF!</formula>
    </cfRule>
  </conditionalFormatting>
  <conditionalFormatting sqref="H1027">
    <cfRule type="expression" dxfId="18573" priority="949">
      <formula>AND(#REF!&lt;&gt;"",MOD(ROW(),2))</formula>
    </cfRule>
  </conditionalFormatting>
  <conditionalFormatting sqref="H1027">
    <cfRule type="expression" dxfId="18572" priority="948">
      <formula>AND(#REF!&lt;&gt;"",MOD(ROW(),2))</formula>
    </cfRule>
  </conditionalFormatting>
  <conditionalFormatting sqref="H1027">
    <cfRule type="expression" dxfId="18571" priority="950">
      <formula>AND($A1023&lt;&gt;"",MOD(ROW(),2))</formula>
    </cfRule>
  </conditionalFormatting>
  <conditionalFormatting sqref="G1027">
    <cfRule type="expression" dxfId="18570" priority="947">
      <formula>AND($A1011&lt;&gt;"",MOD(ROW(),2))</formula>
    </cfRule>
  </conditionalFormatting>
  <conditionalFormatting sqref="G1027">
    <cfRule type="cellIs" dxfId="18569" priority="944" operator="equal">
      <formula>#REF!</formula>
    </cfRule>
    <cfRule type="cellIs" dxfId="18568" priority="945" operator="greaterThan">
      <formula>#REF!</formula>
    </cfRule>
    <cfRule type="cellIs" dxfId="18567" priority="946" operator="lessThan">
      <formula>#REF!</formula>
    </cfRule>
  </conditionalFormatting>
  <conditionalFormatting sqref="G1027">
    <cfRule type="expression" dxfId="18566" priority="943">
      <formula>AND($A1011&lt;&gt;"",MOD(ROW(),2))</formula>
    </cfRule>
  </conditionalFormatting>
  <conditionalFormatting sqref="G1027">
    <cfRule type="cellIs" dxfId="18565" priority="940" operator="equal">
      <formula>#REF!</formula>
    </cfRule>
    <cfRule type="cellIs" dxfId="18564" priority="941" operator="greaterThan">
      <formula>#REF!</formula>
    </cfRule>
    <cfRule type="cellIs" dxfId="18563" priority="942" operator="lessThan">
      <formula>#REF!</formula>
    </cfRule>
  </conditionalFormatting>
  <conditionalFormatting sqref="G1028">
    <cfRule type="expression" dxfId="18562" priority="939">
      <formula>AND($A1012&lt;&gt;"",MOD(ROW(),2))</formula>
    </cfRule>
  </conditionalFormatting>
  <conditionalFormatting sqref="G1028">
    <cfRule type="cellIs" dxfId="18561" priority="936" operator="equal">
      <formula>#REF!</formula>
    </cfRule>
    <cfRule type="cellIs" dxfId="18560" priority="937" operator="greaterThan">
      <formula>#REF!</formula>
    </cfRule>
    <cfRule type="cellIs" dxfId="18559" priority="938" operator="lessThan">
      <formula>#REF!</formula>
    </cfRule>
  </conditionalFormatting>
  <conditionalFormatting sqref="G1028">
    <cfRule type="expression" dxfId="18558" priority="935">
      <formula>AND($A1012&lt;&gt;"",MOD(ROW(),2))</formula>
    </cfRule>
  </conditionalFormatting>
  <conditionalFormatting sqref="G1028">
    <cfRule type="cellIs" dxfId="18557" priority="932" operator="equal">
      <formula>#REF!</formula>
    </cfRule>
    <cfRule type="cellIs" dxfId="18556" priority="933" operator="greaterThan">
      <formula>#REF!</formula>
    </cfRule>
    <cfRule type="cellIs" dxfId="18555" priority="934" operator="lessThan">
      <formula>#REF!</formula>
    </cfRule>
  </conditionalFormatting>
  <conditionalFormatting sqref="G1029">
    <cfRule type="expression" dxfId="18554" priority="931">
      <formula>AND($A1013&lt;&gt;"",MOD(ROW(),2))</formula>
    </cfRule>
  </conditionalFormatting>
  <conditionalFormatting sqref="G1029">
    <cfRule type="cellIs" dxfId="18553" priority="928" operator="equal">
      <formula>#REF!</formula>
    </cfRule>
    <cfRule type="cellIs" dxfId="18552" priority="929" operator="greaterThan">
      <formula>#REF!</formula>
    </cfRule>
    <cfRule type="cellIs" dxfId="18551" priority="930" operator="lessThan">
      <formula>#REF!</formula>
    </cfRule>
  </conditionalFormatting>
  <conditionalFormatting sqref="G1029">
    <cfRule type="expression" dxfId="18550" priority="927">
      <formula>AND($A1013&lt;&gt;"",MOD(ROW(),2))</formula>
    </cfRule>
  </conditionalFormatting>
  <conditionalFormatting sqref="G1029">
    <cfRule type="cellIs" dxfId="18549" priority="924" operator="equal">
      <formula>#REF!</formula>
    </cfRule>
    <cfRule type="cellIs" dxfId="18548" priority="925" operator="greaterThan">
      <formula>#REF!</formula>
    </cfRule>
    <cfRule type="cellIs" dxfId="18547" priority="926" operator="lessThan">
      <formula>#REF!</formula>
    </cfRule>
  </conditionalFormatting>
  <conditionalFormatting sqref="G1030">
    <cfRule type="expression" dxfId="18546" priority="923">
      <formula>AND($A1014&lt;&gt;"",MOD(ROW(),2))</formula>
    </cfRule>
  </conditionalFormatting>
  <conditionalFormatting sqref="G1030">
    <cfRule type="cellIs" dxfId="18545" priority="920" operator="equal">
      <formula>#REF!</formula>
    </cfRule>
    <cfRule type="cellIs" dxfId="18544" priority="921" operator="greaterThan">
      <formula>#REF!</formula>
    </cfRule>
    <cfRule type="cellIs" dxfId="18543" priority="922" operator="lessThan">
      <formula>#REF!</formula>
    </cfRule>
  </conditionalFormatting>
  <conditionalFormatting sqref="G1030">
    <cfRule type="expression" dxfId="18542" priority="919">
      <formula>AND($A1014&lt;&gt;"",MOD(ROW(),2))</formula>
    </cfRule>
  </conditionalFormatting>
  <conditionalFormatting sqref="G1030">
    <cfRule type="cellIs" dxfId="18541" priority="916" operator="equal">
      <formula>#REF!</formula>
    </cfRule>
    <cfRule type="cellIs" dxfId="18540" priority="917" operator="greaterThan">
      <formula>#REF!</formula>
    </cfRule>
    <cfRule type="cellIs" dxfId="18539" priority="918" operator="lessThan">
      <formula>#REF!</formula>
    </cfRule>
  </conditionalFormatting>
  <conditionalFormatting sqref="G1031">
    <cfRule type="expression" dxfId="18538" priority="915">
      <formula>AND($A1015&lt;&gt;"",MOD(ROW(),2))</formula>
    </cfRule>
  </conditionalFormatting>
  <conditionalFormatting sqref="G1031">
    <cfRule type="cellIs" dxfId="18537" priority="912" operator="equal">
      <formula>#REF!</formula>
    </cfRule>
    <cfRule type="cellIs" dxfId="18536" priority="913" operator="greaterThan">
      <formula>#REF!</formula>
    </cfRule>
    <cfRule type="cellIs" dxfId="18535" priority="914" operator="lessThan">
      <formula>#REF!</formula>
    </cfRule>
  </conditionalFormatting>
  <conditionalFormatting sqref="G1031">
    <cfRule type="expression" dxfId="18534" priority="911">
      <formula>AND($A1015&lt;&gt;"",MOD(ROW(),2))</formula>
    </cfRule>
  </conditionalFormatting>
  <conditionalFormatting sqref="G1031">
    <cfRule type="cellIs" dxfId="18533" priority="908" operator="equal">
      <formula>#REF!</formula>
    </cfRule>
    <cfRule type="cellIs" dxfId="18532" priority="909" operator="greaterThan">
      <formula>#REF!</formula>
    </cfRule>
    <cfRule type="cellIs" dxfId="18531" priority="910" operator="lessThan">
      <formula>#REF!</formula>
    </cfRule>
  </conditionalFormatting>
  <conditionalFormatting sqref="G1032">
    <cfRule type="expression" dxfId="18530" priority="907">
      <formula>AND($A1016&lt;&gt;"",MOD(ROW(),2))</formula>
    </cfRule>
  </conditionalFormatting>
  <conditionalFormatting sqref="G1032">
    <cfRule type="cellIs" dxfId="18529" priority="904" operator="equal">
      <formula>#REF!</formula>
    </cfRule>
    <cfRule type="cellIs" dxfId="18528" priority="905" operator="greaterThan">
      <formula>#REF!</formula>
    </cfRule>
    <cfRule type="cellIs" dxfId="18527" priority="906" operator="lessThan">
      <formula>#REF!</formula>
    </cfRule>
  </conditionalFormatting>
  <conditionalFormatting sqref="G1032">
    <cfRule type="expression" dxfId="18526" priority="903">
      <formula>AND($A1016&lt;&gt;"",MOD(ROW(),2))</formula>
    </cfRule>
  </conditionalFormatting>
  <conditionalFormatting sqref="G1032">
    <cfRule type="cellIs" dxfId="18525" priority="900" operator="equal">
      <formula>#REF!</formula>
    </cfRule>
    <cfRule type="cellIs" dxfId="18524" priority="901" operator="greaterThan">
      <formula>#REF!</formula>
    </cfRule>
    <cfRule type="cellIs" dxfId="18523" priority="902" operator="lessThan">
      <formula>#REF!</formula>
    </cfRule>
  </conditionalFormatting>
  <conditionalFormatting sqref="G1033">
    <cfRule type="expression" dxfId="18522" priority="899">
      <formula>AND($A1017&lt;&gt;"",MOD(ROW(),2))</formula>
    </cfRule>
  </conditionalFormatting>
  <conditionalFormatting sqref="G1033">
    <cfRule type="cellIs" dxfId="18521" priority="896" operator="equal">
      <formula>#REF!</formula>
    </cfRule>
    <cfRule type="cellIs" dxfId="18520" priority="897" operator="greaterThan">
      <formula>#REF!</formula>
    </cfRule>
    <cfRule type="cellIs" dxfId="18519" priority="898" operator="lessThan">
      <formula>#REF!</formula>
    </cfRule>
  </conditionalFormatting>
  <conditionalFormatting sqref="G1033">
    <cfRule type="expression" dxfId="18518" priority="895">
      <formula>AND($A1017&lt;&gt;"",MOD(ROW(),2))</formula>
    </cfRule>
  </conditionalFormatting>
  <conditionalFormatting sqref="G1033">
    <cfRule type="cellIs" dxfId="18517" priority="892" operator="equal">
      <formula>#REF!</formula>
    </cfRule>
    <cfRule type="cellIs" dxfId="18516" priority="893" operator="greaterThan">
      <formula>#REF!</formula>
    </cfRule>
    <cfRule type="cellIs" dxfId="18515" priority="894" operator="lessThan">
      <formula>#REF!</formula>
    </cfRule>
  </conditionalFormatting>
  <conditionalFormatting sqref="G1034">
    <cfRule type="expression" dxfId="18514" priority="891">
      <formula>AND($A1018&lt;&gt;"",MOD(ROW(),2))</formula>
    </cfRule>
  </conditionalFormatting>
  <conditionalFormatting sqref="G1034">
    <cfRule type="cellIs" dxfId="18513" priority="888" operator="equal">
      <formula>#REF!</formula>
    </cfRule>
    <cfRule type="cellIs" dxfId="18512" priority="889" operator="greaterThan">
      <formula>#REF!</formula>
    </cfRule>
    <cfRule type="cellIs" dxfId="18511" priority="890" operator="lessThan">
      <formula>#REF!</formula>
    </cfRule>
  </conditionalFormatting>
  <conditionalFormatting sqref="G1034">
    <cfRule type="expression" dxfId="18510" priority="887">
      <formula>AND($A1018&lt;&gt;"",MOD(ROW(),2))</formula>
    </cfRule>
  </conditionalFormatting>
  <conditionalFormatting sqref="G1034">
    <cfRule type="cellIs" dxfId="18509" priority="884" operator="equal">
      <formula>#REF!</formula>
    </cfRule>
    <cfRule type="cellIs" dxfId="18508" priority="885" operator="greaterThan">
      <formula>#REF!</formula>
    </cfRule>
    <cfRule type="cellIs" dxfId="18507" priority="886" operator="lessThan">
      <formula>#REF!</formula>
    </cfRule>
  </conditionalFormatting>
  <conditionalFormatting sqref="G1035">
    <cfRule type="expression" dxfId="18506" priority="883">
      <formula>AND($A1019&lt;&gt;"",MOD(ROW(),2))</formula>
    </cfRule>
  </conditionalFormatting>
  <conditionalFormatting sqref="G1035">
    <cfRule type="cellIs" dxfId="18505" priority="880" operator="equal">
      <formula>#REF!</formula>
    </cfRule>
    <cfRule type="cellIs" dxfId="18504" priority="881" operator="greaterThan">
      <formula>#REF!</formula>
    </cfRule>
    <cfRule type="cellIs" dxfId="18503" priority="882" operator="lessThan">
      <formula>#REF!</formula>
    </cfRule>
  </conditionalFormatting>
  <conditionalFormatting sqref="G1035">
    <cfRule type="expression" dxfId="18502" priority="879">
      <formula>AND($A1019&lt;&gt;"",MOD(ROW(),2))</formula>
    </cfRule>
  </conditionalFormatting>
  <conditionalFormatting sqref="G1035">
    <cfRule type="cellIs" dxfId="18501" priority="876" operator="equal">
      <formula>#REF!</formula>
    </cfRule>
    <cfRule type="cellIs" dxfId="18500" priority="877" operator="greaterThan">
      <formula>#REF!</formula>
    </cfRule>
    <cfRule type="cellIs" dxfId="18499" priority="878" operator="lessThan">
      <formula>#REF!</formula>
    </cfRule>
  </conditionalFormatting>
  <conditionalFormatting sqref="G1036">
    <cfRule type="expression" dxfId="18498" priority="875">
      <formula>AND($A1020&lt;&gt;"",MOD(ROW(),2))</formula>
    </cfRule>
  </conditionalFormatting>
  <conditionalFormatting sqref="G1036">
    <cfRule type="cellIs" dxfId="18497" priority="872" operator="equal">
      <formula>#REF!</formula>
    </cfRule>
    <cfRule type="cellIs" dxfId="18496" priority="873" operator="greaterThan">
      <formula>#REF!</formula>
    </cfRule>
    <cfRule type="cellIs" dxfId="18495" priority="874" operator="lessThan">
      <formula>#REF!</formula>
    </cfRule>
  </conditionalFormatting>
  <conditionalFormatting sqref="G1036">
    <cfRule type="expression" dxfId="18494" priority="871">
      <formula>AND($A1020&lt;&gt;"",MOD(ROW(),2))</formula>
    </cfRule>
  </conditionalFormatting>
  <conditionalFormatting sqref="G1036">
    <cfRule type="cellIs" dxfId="18493" priority="868" operator="equal">
      <formula>#REF!</formula>
    </cfRule>
    <cfRule type="cellIs" dxfId="18492" priority="869" operator="greaterThan">
      <formula>#REF!</formula>
    </cfRule>
    <cfRule type="cellIs" dxfId="18491" priority="870" operator="lessThan">
      <formula>#REF!</formula>
    </cfRule>
  </conditionalFormatting>
  <conditionalFormatting sqref="G1037">
    <cfRule type="expression" dxfId="18490" priority="867">
      <formula>AND($A1021&lt;&gt;"",MOD(ROW(),2))</formula>
    </cfRule>
  </conditionalFormatting>
  <conditionalFormatting sqref="G1037">
    <cfRule type="cellIs" dxfId="18489" priority="864" operator="equal">
      <formula>#REF!</formula>
    </cfRule>
    <cfRule type="cellIs" dxfId="18488" priority="865" operator="greaterThan">
      <formula>#REF!</formula>
    </cfRule>
    <cfRule type="cellIs" dxfId="18487" priority="866" operator="lessThan">
      <formula>#REF!</formula>
    </cfRule>
  </conditionalFormatting>
  <conditionalFormatting sqref="G1037">
    <cfRule type="expression" dxfId="18486" priority="863">
      <formula>AND($A1021&lt;&gt;"",MOD(ROW(),2))</formula>
    </cfRule>
  </conditionalFormatting>
  <conditionalFormatting sqref="G1037">
    <cfRule type="cellIs" dxfId="18485" priority="860" operator="equal">
      <formula>#REF!</formula>
    </cfRule>
    <cfRule type="cellIs" dxfId="18484" priority="861" operator="greaterThan">
      <formula>#REF!</formula>
    </cfRule>
    <cfRule type="cellIs" dxfId="18483" priority="862" operator="lessThan">
      <formula>#REF!</formula>
    </cfRule>
  </conditionalFormatting>
  <conditionalFormatting sqref="G1038">
    <cfRule type="expression" dxfId="18482" priority="859">
      <formula>AND($A1022&lt;&gt;"",MOD(ROW(),2))</formula>
    </cfRule>
  </conditionalFormatting>
  <conditionalFormatting sqref="G1038">
    <cfRule type="cellIs" dxfId="18481" priority="856" operator="equal">
      <formula>#REF!</formula>
    </cfRule>
    <cfRule type="cellIs" dxfId="18480" priority="857" operator="greaterThan">
      <formula>#REF!</formula>
    </cfRule>
    <cfRule type="cellIs" dxfId="18479" priority="858" operator="lessThan">
      <formula>#REF!</formula>
    </cfRule>
  </conditionalFormatting>
  <conditionalFormatting sqref="G1038">
    <cfRule type="expression" dxfId="18478" priority="855">
      <formula>AND($A1022&lt;&gt;"",MOD(ROW(),2))</formula>
    </cfRule>
  </conditionalFormatting>
  <conditionalFormatting sqref="G1038">
    <cfRule type="cellIs" dxfId="18477" priority="852" operator="equal">
      <formula>#REF!</formula>
    </cfRule>
    <cfRule type="cellIs" dxfId="18476" priority="853" operator="greaterThan">
      <formula>#REF!</formula>
    </cfRule>
    <cfRule type="cellIs" dxfId="18475" priority="854" operator="lessThan">
      <formula>#REF!</formula>
    </cfRule>
  </conditionalFormatting>
  <conditionalFormatting sqref="G1039">
    <cfRule type="expression" dxfId="18474" priority="851">
      <formula>AND($A1023&lt;&gt;"",MOD(ROW(),2))</formula>
    </cfRule>
  </conditionalFormatting>
  <conditionalFormatting sqref="G1039">
    <cfRule type="cellIs" dxfId="18473" priority="848" operator="equal">
      <formula>#REF!</formula>
    </cfRule>
    <cfRule type="cellIs" dxfId="18472" priority="849" operator="greaterThan">
      <formula>#REF!</formula>
    </cfRule>
    <cfRule type="cellIs" dxfId="18471" priority="850" operator="lessThan">
      <formula>#REF!</formula>
    </cfRule>
  </conditionalFormatting>
  <conditionalFormatting sqref="G1039">
    <cfRule type="expression" dxfId="18470" priority="847">
      <formula>AND($A1023&lt;&gt;"",MOD(ROW(),2))</formula>
    </cfRule>
  </conditionalFormatting>
  <conditionalFormatting sqref="G1039">
    <cfRule type="cellIs" dxfId="18469" priority="844" operator="equal">
      <formula>#REF!</formula>
    </cfRule>
    <cfRule type="cellIs" dxfId="18468" priority="845" operator="greaterThan">
      <formula>#REF!</formula>
    </cfRule>
    <cfRule type="cellIs" dxfId="18467" priority="846" operator="lessThan">
      <formula>#REF!</formula>
    </cfRule>
  </conditionalFormatting>
  <conditionalFormatting sqref="G1040">
    <cfRule type="expression" dxfId="18466" priority="843">
      <formula>AND($A1024&lt;&gt;"",MOD(ROW(),2))</formula>
    </cfRule>
  </conditionalFormatting>
  <conditionalFormatting sqref="G1040">
    <cfRule type="cellIs" dxfId="18465" priority="840" operator="equal">
      <formula>#REF!</formula>
    </cfRule>
    <cfRule type="cellIs" dxfId="18464" priority="841" operator="greaterThan">
      <formula>#REF!</formula>
    </cfRule>
    <cfRule type="cellIs" dxfId="18463" priority="842" operator="lessThan">
      <formula>#REF!</formula>
    </cfRule>
  </conditionalFormatting>
  <conditionalFormatting sqref="G1040">
    <cfRule type="expression" dxfId="18462" priority="839">
      <formula>AND($A1024&lt;&gt;"",MOD(ROW(),2))</formula>
    </cfRule>
  </conditionalFormatting>
  <conditionalFormatting sqref="G1040">
    <cfRule type="cellIs" dxfId="18461" priority="836" operator="equal">
      <formula>#REF!</formula>
    </cfRule>
    <cfRule type="cellIs" dxfId="18460" priority="837" operator="greaterThan">
      <formula>#REF!</formula>
    </cfRule>
    <cfRule type="cellIs" dxfId="18459" priority="838" operator="lessThan">
      <formula>#REF!</formula>
    </cfRule>
  </conditionalFormatting>
  <conditionalFormatting sqref="G1041">
    <cfRule type="expression" dxfId="18458" priority="835">
      <formula>AND($A1025&lt;&gt;"",MOD(ROW(),2))</formula>
    </cfRule>
  </conditionalFormatting>
  <conditionalFormatting sqref="G1041">
    <cfRule type="cellIs" dxfId="18457" priority="832" operator="equal">
      <formula>#REF!</formula>
    </cfRule>
    <cfRule type="cellIs" dxfId="18456" priority="833" operator="greaterThan">
      <formula>#REF!</formula>
    </cfRule>
    <cfRule type="cellIs" dxfId="18455" priority="834" operator="lessThan">
      <formula>#REF!</formula>
    </cfRule>
  </conditionalFormatting>
  <conditionalFormatting sqref="G1041">
    <cfRule type="expression" dxfId="18454" priority="831">
      <formula>AND($A1025&lt;&gt;"",MOD(ROW(),2))</formula>
    </cfRule>
  </conditionalFormatting>
  <conditionalFormatting sqref="G1041">
    <cfRule type="cellIs" dxfId="18453" priority="828" operator="equal">
      <formula>#REF!</formula>
    </cfRule>
    <cfRule type="cellIs" dxfId="18452" priority="829" operator="greaterThan">
      <formula>#REF!</formula>
    </cfRule>
    <cfRule type="cellIs" dxfId="18451" priority="830" operator="lessThan">
      <formula>#REF!</formula>
    </cfRule>
  </conditionalFormatting>
  <conditionalFormatting sqref="G1042">
    <cfRule type="expression" dxfId="18450" priority="827">
      <formula>AND($A1026&lt;&gt;"",MOD(ROW(),2))</formula>
    </cfRule>
  </conditionalFormatting>
  <conditionalFormatting sqref="G1042">
    <cfRule type="cellIs" dxfId="18449" priority="824" operator="equal">
      <formula>#REF!</formula>
    </cfRule>
    <cfRule type="cellIs" dxfId="18448" priority="825" operator="greaterThan">
      <formula>#REF!</formula>
    </cfRule>
    <cfRule type="cellIs" dxfId="18447" priority="826" operator="lessThan">
      <formula>#REF!</formula>
    </cfRule>
  </conditionalFormatting>
  <conditionalFormatting sqref="G1042">
    <cfRule type="expression" dxfId="18446" priority="823">
      <formula>AND($A1026&lt;&gt;"",MOD(ROW(),2))</formula>
    </cfRule>
  </conditionalFormatting>
  <conditionalFormatting sqref="G1042">
    <cfRule type="cellIs" dxfId="18445" priority="820" operator="equal">
      <formula>#REF!</formula>
    </cfRule>
    <cfRule type="cellIs" dxfId="18444" priority="821" operator="greaterThan">
      <formula>#REF!</formula>
    </cfRule>
    <cfRule type="cellIs" dxfId="18443" priority="822" operator="lessThan">
      <formula>#REF!</formula>
    </cfRule>
  </conditionalFormatting>
  <conditionalFormatting sqref="G1043">
    <cfRule type="expression" dxfId="18442" priority="819">
      <formula>AND($A1027&lt;&gt;"",MOD(ROW(),2))</formula>
    </cfRule>
  </conditionalFormatting>
  <conditionalFormatting sqref="G1043">
    <cfRule type="cellIs" dxfId="18441" priority="816" operator="equal">
      <formula>#REF!</formula>
    </cfRule>
    <cfRule type="cellIs" dxfId="18440" priority="817" operator="greaterThan">
      <formula>#REF!</formula>
    </cfRule>
    <cfRule type="cellIs" dxfId="18439" priority="818" operator="lessThan">
      <formula>#REF!</formula>
    </cfRule>
  </conditionalFormatting>
  <conditionalFormatting sqref="G1043">
    <cfRule type="expression" dxfId="18438" priority="815">
      <formula>AND($A1027&lt;&gt;"",MOD(ROW(),2))</formula>
    </cfRule>
  </conditionalFormatting>
  <conditionalFormatting sqref="G1043">
    <cfRule type="cellIs" dxfId="18437" priority="812" operator="equal">
      <formula>#REF!</formula>
    </cfRule>
    <cfRule type="cellIs" dxfId="18436" priority="813" operator="greaterThan">
      <formula>#REF!</formula>
    </cfRule>
    <cfRule type="cellIs" dxfId="18435" priority="814" operator="lessThan">
      <formula>#REF!</formula>
    </cfRule>
  </conditionalFormatting>
  <conditionalFormatting sqref="G1044">
    <cfRule type="expression" dxfId="18434" priority="811">
      <formula>AND($A1028&lt;&gt;"",MOD(ROW(),2))</formula>
    </cfRule>
  </conditionalFormatting>
  <conditionalFormatting sqref="G1044">
    <cfRule type="cellIs" dxfId="18433" priority="808" operator="equal">
      <formula>#REF!</formula>
    </cfRule>
    <cfRule type="cellIs" dxfId="18432" priority="809" operator="greaterThan">
      <formula>#REF!</formula>
    </cfRule>
    <cfRule type="cellIs" dxfId="18431" priority="810" operator="lessThan">
      <formula>#REF!</formula>
    </cfRule>
  </conditionalFormatting>
  <conditionalFormatting sqref="G1044">
    <cfRule type="expression" dxfId="18430" priority="807">
      <formula>AND($A1028&lt;&gt;"",MOD(ROW(),2))</formula>
    </cfRule>
  </conditionalFormatting>
  <conditionalFormatting sqref="G1044">
    <cfRule type="cellIs" dxfId="18429" priority="804" operator="equal">
      <formula>#REF!</formula>
    </cfRule>
    <cfRule type="cellIs" dxfId="18428" priority="805" operator="greaterThan">
      <formula>#REF!</formula>
    </cfRule>
    <cfRule type="cellIs" dxfId="18427" priority="806" operator="lessThan">
      <formula>#REF!</formula>
    </cfRule>
  </conditionalFormatting>
  <conditionalFormatting sqref="G1045">
    <cfRule type="expression" dxfId="18426" priority="803">
      <formula>AND($A1029&lt;&gt;"",MOD(ROW(),2))</formula>
    </cfRule>
  </conditionalFormatting>
  <conditionalFormatting sqref="G1045">
    <cfRule type="cellIs" dxfId="18425" priority="800" operator="equal">
      <formula>#REF!</formula>
    </cfRule>
    <cfRule type="cellIs" dxfId="18424" priority="801" operator="greaterThan">
      <formula>#REF!</formula>
    </cfRule>
    <cfRule type="cellIs" dxfId="18423" priority="802" operator="lessThan">
      <formula>#REF!</formula>
    </cfRule>
  </conditionalFormatting>
  <conditionalFormatting sqref="G1045">
    <cfRule type="expression" dxfId="18422" priority="799">
      <formula>AND($A1029&lt;&gt;"",MOD(ROW(),2))</formula>
    </cfRule>
  </conditionalFormatting>
  <conditionalFormatting sqref="G1045">
    <cfRule type="cellIs" dxfId="18421" priority="796" operator="equal">
      <formula>#REF!</formula>
    </cfRule>
    <cfRule type="cellIs" dxfId="18420" priority="797" operator="greaterThan">
      <formula>#REF!</formula>
    </cfRule>
    <cfRule type="cellIs" dxfId="18419" priority="798" operator="lessThan">
      <formula>#REF!</formula>
    </cfRule>
  </conditionalFormatting>
  <conditionalFormatting sqref="G1046">
    <cfRule type="expression" dxfId="18418" priority="795">
      <formula>AND($A1030&lt;&gt;"",MOD(ROW(),2))</formula>
    </cfRule>
  </conditionalFormatting>
  <conditionalFormatting sqref="G1046">
    <cfRule type="cellIs" dxfId="18417" priority="792" operator="equal">
      <formula>#REF!</formula>
    </cfRule>
    <cfRule type="cellIs" dxfId="18416" priority="793" operator="greaterThan">
      <formula>#REF!</formula>
    </cfRule>
    <cfRule type="cellIs" dxfId="18415" priority="794" operator="lessThan">
      <formula>#REF!</formula>
    </cfRule>
  </conditionalFormatting>
  <conditionalFormatting sqref="G1046">
    <cfRule type="expression" dxfId="18414" priority="791">
      <formula>AND($A1030&lt;&gt;"",MOD(ROW(),2))</formula>
    </cfRule>
  </conditionalFormatting>
  <conditionalFormatting sqref="G1046">
    <cfRule type="cellIs" dxfId="18413" priority="788" operator="equal">
      <formula>#REF!</formula>
    </cfRule>
    <cfRule type="cellIs" dxfId="18412" priority="789" operator="greaterThan">
      <formula>#REF!</formula>
    </cfRule>
    <cfRule type="cellIs" dxfId="18411" priority="790" operator="lessThan">
      <formula>#REF!</formula>
    </cfRule>
  </conditionalFormatting>
  <conditionalFormatting sqref="G1047">
    <cfRule type="expression" dxfId="18410" priority="787">
      <formula>AND($A1031&lt;&gt;"",MOD(ROW(),2))</formula>
    </cfRule>
  </conditionalFormatting>
  <conditionalFormatting sqref="G1047">
    <cfRule type="cellIs" dxfId="18409" priority="784" operator="equal">
      <formula>#REF!</formula>
    </cfRule>
    <cfRule type="cellIs" dxfId="18408" priority="785" operator="greaterThan">
      <formula>#REF!</formula>
    </cfRule>
    <cfRule type="cellIs" dxfId="18407" priority="786" operator="lessThan">
      <formula>#REF!</formula>
    </cfRule>
  </conditionalFormatting>
  <conditionalFormatting sqref="G1047">
    <cfRule type="expression" dxfId="18406" priority="783">
      <formula>AND($A1031&lt;&gt;"",MOD(ROW(),2))</formula>
    </cfRule>
  </conditionalFormatting>
  <conditionalFormatting sqref="G1047">
    <cfRule type="cellIs" dxfId="18405" priority="780" operator="equal">
      <formula>#REF!</formula>
    </cfRule>
    <cfRule type="cellIs" dxfId="18404" priority="781" operator="greaterThan">
      <formula>#REF!</formula>
    </cfRule>
    <cfRule type="cellIs" dxfId="18403" priority="782" operator="lessThan">
      <formula>#REF!</formula>
    </cfRule>
  </conditionalFormatting>
  <conditionalFormatting sqref="G1048">
    <cfRule type="expression" dxfId="18402" priority="779">
      <formula>AND($A1032&lt;&gt;"",MOD(ROW(),2))</formula>
    </cfRule>
  </conditionalFormatting>
  <conditionalFormatting sqref="G1048">
    <cfRule type="cellIs" dxfId="18401" priority="776" operator="equal">
      <formula>#REF!</formula>
    </cfRule>
    <cfRule type="cellIs" dxfId="18400" priority="777" operator="greaterThan">
      <formula>#REF!</formula>
    </cfRule>
    <cfRule type="cellIs" dxfId="18399" priority="778" operator="lessThan">
      <formula>#REF!</formula>
    </cfRule>
  </conditionalFormatting>
  <conditionalFormatting sqref="G1048">
    <cfRule type="expression" dxfId="18398" priority="775">
      <formula>AND($A1032&lt;&gt;"",MOD(ROW(),2))</formula>
    </cfRule>
  </conditionalFormatting>
  <conditionalFormatting sqref="G1048">
    <cfRule type="cellIs" dxfId="18397" priority="772" operator="equal">
      <formula>#REF!</formula>
    </cfRule>
    <cfRule type="cellIs" dxfId="18396" priority="773" operator="greaterThan">
      <formula>#REF!</formula>
    </cfRule>
    <cfRule type="cellIs" dxfId="18395" priority="774" operator="lessThan">
      <formula>#REF!</formula>
    </cfRule>
  </conditionalFormatting>
  <conditionalFormatting sqref="G1049">
    <cfRule type="expression" dxfId="18394" priority="771">
      <formula>AND($A1033&lt;&gt;"",MOD(ROW(),2))</formula>
    </cfRule>
  </conditionalFormatting>
  <conditionalFormatting sqref="G1049">
    <cfRule type="cellIs" dxfId="18393" priority="768" operator="equal">
      <formula>#REF!</formula>
    </cfRule>
    <cfRule type="cellIs" dxfId="18392" priority="769" operator="greaterThan">
      <formula>#REF!</formula>
    </cfRule>
    <cfRule type="cellIs" dxfId="18391" priority="770" operator="lessThan">
      <formula>#REF!</formula>
    </cfRule>
  </conditionalFormatting>
  <conditionalFormatting sqref="G1049">
    <cfRule type="expression" dxfId="18390" priority="767">
      <formula>AND($A1033&lt;&gt;"",MOD(ROW(),2))</formula>
    </cfRule>
  </conditionalFormatting>
  <conditionalFormatting sqref="G1049">
    <cfRule type="cellIs" dxfId="18389" priority="764" operator="equal">
      <formula>#REF!</formula>
    </cfRule>
    <cfRule type="cellIs" dxfId="18388" priority="765" operator="greaterThan">
      <formula>#REF!</formula>
    </cfRule>
    <cfRule type="cellIs" dxfId="18387" priority="766" operator="lessThan">
      <formula>#REF!</formula>
    </cfRule>
  </conditionalFormatting>
  <conditionalFormatting sqref="G1050">
    <cfRule type="expression" dxfId="18386" priority="763">
      <formula>AND($A1034&lt;&gt;"",MOD(ROW(),2))</formula>
    </cfRule>
  </conditionalFormatting>
  <conditionalFormatting sqref="G1050">
    <cfRule type="cellIs" dxfId="18385" priority="760" operator="equal">
      <formula>#REF!</formula>
    </cfRule>
    <cfRule type="cellIs" dxfId="18384" priority="761" operator="greaterThan">
      <formula>#REF!</formula>
    </cfRule>
    <cfRule type="cellIs" dxfId="18383" priority="762" operator="lessThan">
      <formula>#REF!</formula>
    </cfRule>
  </conditionalFormatting>
  <conditionalFormatting sqref="G1050">
    <cfRule type="expression" dxfId="18382" priority="759">
      <formula>AND($A1034&lt;&gt;"",MOD(ROW(),2))</formula>
    </cfRule>
  </conditionalFormatting>
  <conditionalFormatting sqref="G1050">
    <cfRule type="cellIs" dxfId="18381" priority="756" operator="equal">
      <formula>#REF!</formula>
    </cfRule>
    <cfRule type="cellIs" dxfId="18380" priority="757" operator="greaterThan">
      <formula>#REF!</formula>
    </cfRule>
    <cfRule type="cellIs" dxfId="18379" priority="758" operator="lessThan">
      <formula>#REF!</formula>
    </cfRule>
  </conditionalFormatting>
  <conditionalFormatting sqref="G1051">
    <cfRule type="expression" dxfId="18378" priority="755">
      <formula>AND($A1035&lt;&gt;"",MOD(ROW(),2))</formula>
    </cfRule>
  </conditionalFormatting>
  <conditionalFormatting sqref="G1051">
    <cfRule type="cellIs" dxfId="18377" priority="752" operator="equal">
      <formula>#REF!</formula>
    </cfRule>
    <cfRule type="cellIs" dxfId="18376" priority="753" operator="greaterThan">
      <formula>#REF!</formula>
    </cfRule>
    <cfRule type="cellIs" dxfId="18375" priority="754" operator="lessThan">
      <formula>#REF!</formula>
    </cfRule>
  </conditionalFormatting>
  <conditionalFormatting sqref="G1051">
    <cfRule type="expression" dxfId="18374" priority="751">
      <formula>AND($A1035&lt;&gt;"",MOD(ROW(),2))</formula>
    </cfRule>
  </conditionalFormatting>
  <conditionalFormatting sqref="G1051">
    <cfRule type="cellIs" dxfId="18373" priority="748" operator="equal">
      <formula>#REF!</formula>
    </cfRule>
    <cfRule type="cellIs" dxfId="18372" priority="749" operator="greaterThan">
      <formula>#REF!</formula>
    </cfRule>
    <cfRule type="cellIs" dxfId="18371" priority="750" operator="lessThan">
      <formula>#REF!</formula>
    </cfRule>
  </conditionalFormatting>
  <conditionalFormatting sqref="G1052">
    <cfRule type="expression" dxfId="18370" priority="747">
      <formula>AND($A1036&lt;&gt;"",MOD(ROW(),2))</formula>
    </cfRule>
  </conditionalFormatting>
  <conditionalFormatting sqref="G1052">
    <cfRule type="cellIs" dxfId="18369" priority="744" operator="equal">
      <formula>#REF!</formula>
    </cfRule>
    <cfRule type="cellIs" dxfId="18368" priority="745" operator="greaterThan">
      <formula>#REF!</formula>
    </cfRule>
    <cfRule type="cellIs" dxfId="18367" priority="746" operator="lessThan">
      <formula>#REF!</formula>
    </cfRule>
  </conditionalFormatting>
  <conditionalFormatting sqref="G1052">
    <cfRule type="expression" dxfId="18366" priority="743">
      <formula>AND($A1036&lt;&gt;"",MOD(ROW(),2))</formula>
    </cfRule>
  </conditionalFormatting>
  <conditionalFormatting sqref="G1052">
    <cfRule type="cellIs" dxfId="18365" priority="740" operator="equal">
      <formula>#REF!</formula>
    </cfRule>
    <cfRule type="cellIs" dxfId="18364" priority="741" operator="greaterThan">
      <formula>#REF!</formula>
    </cfRule>
    <cfRule type="cellIs" dxfId="18363" priority="742" operator="lessThan">
      <formula>#REF!</formula>
    </cfRule>
  </conditionalFormatting>
  <conditionalFormatting sqref="G1053">
    <cfRule type="expression" dxfId="18362" priority="739">
      <formula>AND($A1037&lt;&gt;"",MOD(ROW(),2))</formula>
    </cfRule>
  </conditionalFormatting>
  <conditionalFormatting sqref="G1053">
    <cfRule type="cellIs" dxfId="18361" priority="736" operator="equal">
      <formula>#REF!</formula>
    </cfRule>
    <cfRule type="cellIs" dxfId="18360" priority="737" operator="greaterThan">
      <formula>#REF!</formula>
    </cfRule>
    <cfRule type="cellIs" dxfId="18359" priority="738" operator="lessThan">
      <formula>#REF!</formula>
    </cfRule>
  </conditionalFormatting>
  <conditionalFormatting sqref="G1053">
    <cfRule type="expression" dxfId="18358" priority="735">
      <formula>AND($A1037&lt;&gt;"",MOD(ROW(),2))</formula>
    </cfRule>
  </conditionalFormatting>
  <conditionalFormatting sqref="G1053">
    <cfRule type="cellIs" dxfId="18357" priority="732" operator="equal">
      <formula>#REF!</formula>
    </cfRule>
    <cfRule type="cellIs" dxfId="18356" priority="733" operator="greaterThan">
      <formula>#REF!</formula>
    </cfRule>
    <cfRule type="cellIs" dxfId="18355" priority="734" operator="lessThan">
      <formula>#REF!</formula>
    </cfRule>
  </conditionalFormatting>
  <conditionalFormatting sqref="G1054">
    <cfRule type="expression" dxfId="18354" priority="731">
      <formula>AND($A1038&lt;&gt;"",MOD(ROW(),2))</formula>
    </cfRule>
  </conditionalFormatting>
  <conditionalFormatting sqref="G1054">
    <cfRule type="cellIs" dxfId="18353" priority="728" operator="equal">
      <formula>#REF!</formula>
    </cfRule>
    <cfRule type="cellIs" dxfId="18352" priority="729" operator="greaterThan">
      <formula>#REF!</formula>
    </cfRule>
    <cfRule type="cellIs" dxfId="18351" priority="730" operator="lessThan">
      <formula>#REF!</formula>
    </cfRule>
  </conditionalFormatting>
  <conditionalFormatting sqref="G1054">
    <cfRule type="expression" dxfId="18350" priority="727">
      <formula>AND($A1038&lt;&gt;"",MOD(ROW(),2))</formula>
    </cfRule>
  </conditionalFormatting>
  <conditionalFormatting sqref="G1054">
    <cfRule type="cellIs" dxfId="18349" priority="724" operator="equal">
      <formula>#REF!</formula>
    </cfRule>
    <cfRule type="cellIs" dxfId="18348" priority="725" operator="greaterThan">
      <formula>#REF!</formula>
    </cfRule>
    <cfRule type="cellIs" dxfId="18347" priority="726" operator="lessThan">
      <formula>#REF!</formula>
    </cfRule>
  </conditionalFormatting>
  <conditionalFormatting sqref="G1055">
    <cfRule type="expression" dxfId="18346" priority="723">
      <formula>AND($A1039&lt;&gt;"",MOD(ROW(),2))</formula>
    </cfRule>
  </conditionalFormatting>
  <conditionalFormatting sqref="G1055">
    <cfRule type="cellIs" dxfId="18345" priority="720" operator="equal">
      <formula>#REF!</formula>
    </cfRule>
    <cfRule type="cellIs" dxfId="18344" priority="721" operator="greaterThan">
      <formula>#REF!</formula>
    </cfRule>
    <cfRule type="cellIs" dxfId="18343" priority="722" operator="lessThan">
      <formula>#REF!</formula>
    </cfRule>
  </conditionalFormatting>
  <conditionalFormatting sqref="G1055">
    <cfRule type="expression" dxfId="18342" priority="719">
      <formula>AND($A1039&lt;&gt;"",MOD(ROW(),2))</formula>
    </cfRule>
  </conditionalFormatting>
  <conditionalFormatting sqref="G1055">
    <cfRule type="cellIs" dxfId="18341" priority="716" operator="equal">
      <formula>#REF!</formula>
    </cfRule>
    <cfRule type="cellIs" dxfId="18340" priority="717" operator="greaterThan">
      <formula>#REF!</formula>
    </cfRule>
    <cfRule type="cellIs" dxfId="18339" priority="718" operator="lessThan">
      <formula>#REF!</formula>
    </cfRule>
  </conditionalFormatting>
  <conditionalFormatting sqref="G1056">
    <cfRule type="expression" dxfId="18338" priority="715">
      <formula>AND($A1040&lt;&gt;"",MOD(ROW(),2))</formula>
    </cfRule>
  </conditionalFormatting>
  <conditionalFormatting sqref="G1056">
    <cfRule type="cellIs" dxfId="18337" priority="712" operator="equal">
      <formula>#REF!</formula>
    </cfRule>
    <cfRule type="cellIs" dxfId="18336" priority="713" operator="greaterThan">
      <formula>#REF!</formula>
    </cfRule>
    <cfRule type="cellIs" dxfId="18335" priority="714" operator="lessThan">
      <formula>#REF!</formula>
    </cfRule>
  </conditionalFormatting>
  <conditionalFormatting sqref="G1056">
    <cfRule type="expression" dxfId="18334" priority="711">
      <formula>AND($A1040&lt;&gt;"",MOD(ROW(),2))</formula>
    </cfRule>
  </conditionalFormatting>
  <conditionalFormatting sqref="G1056">
    <cfRule type="cellIs" dxfId="18333" priority="708" operator="equal">
      <formula>#REF!</formula>
    </cfRule>
    <cfRule type="cellIs" dxfId="18332" priority="709" operator="greaterThan">
      <formula>#REF!</formula>
    </cfRule>
    <cfRule type="cellIs" dxfId="18331" priority="710" operator="lessThan">
      <formula>#REF!</formula>
    </cfRule>
  </conditionalFormatting>
  <conditionalFormatting sqref="G1057">
    <cfRule type="expression" dxfId="18330" priority="707">
      <formula>AND($A1041&lt;&gt;"",MOD(ROW(),2))</formula>
    </cfRule>
  </conditionalFormatting>
  <conditionalFormatting sqref="G1057">
    <cfRule type="cellIs" dxfId="18329" priority="704" operator="equal">
      <formula>#REF!</formula>
    </cfRule>
    <cfRule type="cellIs" dxfId="18328" priority="705" operator="greaterThan">
      <formula>#REF!</formula>
    </cfRule>
    <cfRule type="cellIs" dxfId="18327" priority="706" operator="lessThan">
      <formula>#REF!</formula>
    </cfRule>
  </conditionalFormatting>
  <conditionalFormatting sqref="G1057">
    <cfRule type="expression" dxfId="18326" priority="703">
      <formula>AND($A1041&lt;&gt;"",MOD(ROW(),2))</formula>
    </cfRule>
  </conditionalFormatting>
  <conditionalFormatting sqref="G1057">
    <cfRule type="cellIs" dxfId="18325" priority="700" operator="equal">
      <formula>#REF!</formula>
    </cfRule>
    <cfRule type="cellIs" dxfId="18324" priority="701" operator="greaterThan">
      <formula>#REF!</formula>
    </cfRule>
    <cfRule type="cellIs" dxfId="18323" priority="702" operator="lessThan">
      <formula>#REF!</formula>
    </cfRule>
  </conditionalFormatting>
  <conditionalFormatting sqref="G1058">
    <cfRule type="expression" dxfId="18322" priority="699">
      <formula>AND($A1042&lt;&gt;"",MOD(ROW(),2))</formula>
    </cfRule>
  </conditionalFormatting>
  <conditionalFormatting sqref="G1058">
    <cfRule type="cellIs" dxfId="18321" priority="696" operator="equal">
      <formula>#REF!</formula>
    </cfRule>
    <cfRule type="cellIs" dxfId="18320" priority="697" operator="greaterThan">
      <formula>#REF!</formula>
    </cfRule>
    <cfRule type="cellIs" dxfId="18319" priority="698" operator="lessThan">
      <formula>#REF!</formula>
    </cfRule>
  </conditionalFormatting>
  <conditionalFormatting sqref="G1058">
    <cfRule type="expression" dxfId="18318" priority="695">
      <formula>AND($A1042&lt;&gt;"",MOD(ROW(),2))</formula>
    </cfRule>
  </conditionalFormatting>
  <conditionalFormatting sqref="G1058">
    <cfRule type="cellIs" dxfId="18317" priority="692" operator="equal">
      <formula>#REF!</formula>
    </cfRule>
    <cfRule type="cellIs" dxfId="18316" priority="693" operator="greaterThan">
      <formula>#REF!</formula>
    </cfRule>
    <cfRule type="cellIs" dxfId="18315" priority="694" operator="lessThan">
      <formula>#REF!</formula>
    </cfRule>
  </conditionalFormatting>
  <conditionalFormatting sqref="G1059">
    <cfRule type="expression" dxfId="18314" priority="691">
      <formula>AND($A1043&lt;&gt;"",MOD(ROW(),2))</formula>
    </cfRule>
  </conditionalFormatting>
  <conditionalFormatting sqref="G1059">
    <cfRule type="cellIs" dxfId="18313" priority="688" operator="equal">
      <formula>#REF!</formula>
    </cfRule>
    <cfRule type="cellIs" dxfId="18312" priority="689" operator="greaterThan">
      <formula>#REF!</formula>
    </cfRule>
    <cfRule type="cellIs" dxfId="18311" priority="690" operator="lessThan">
      <formula>#REF!</formula>
    </cfRule>
  </conditionalFormatting>
  <conditionalFormatting sqref="G1059">
    <cfRule type="expression" dxfId="18310" priority="687">
      <formula>AND($A1043&lt;&gt;"",MOD(ROW(),2))</formula>
    </cfRule>
  </conditionalFormatting>
  <conditionalFormatting sqref="G1059">
    <cfRule type="cellIs" dxfId="18309" priority="684" operator="equal">
      <formula>#REF!</formula>
    </cfRule>
    <cfRule type="cellIs" dxfId="18308" priority="685" operator="greaterThan">
      <formula>#REF!</formula>
    </cfRule>
    <cfRule type="cellIs" dxfId="18307" priority="686" operator="lessThan">
      <formula>#REF!</formula>
    </cfRule>
  </conditionalFormatting>
  <conditionalFormatting sqref="G1060">
    <cfRule type="expression" dxfId="18306" priority="683">
      <formula>AND($A1044&lt;&gt;"",MOD(ROW(),2))</formula>
    </cfRule>
  </conditionalFormatting>
  <conditionalFormatting sqref="G1060">
    <cfRule type="cellIs" dxfId="18305" priority="680" operator="equal">
      <formula>#REF!</formula>
    </cfRule>
    <cfRule type="cellIs" dxfId="18304" priority="681" operator="greaterThan">
      <formula>#REF!</formula>
    </cfRule>
    <cfRule type="cellIs" dxfId="18303" priority="682" operator="lessThan">
      <formula>#REF!</formula>
    </cfRule>
  </conditionalFormatting>
  <conditionalFormatting sqref="G1060">
    <cfRule type="expression" dxfId="18302" priority="679">
      <formula>AND($A1044&lt;&gt;"",MOD(ROW(),2))</formula>
    </cfRule>
  </conditionalFormatting>
  <conditionalFormatting sqref="G1060">
    <cfRule type="cellIs" dxfId="18301" priority="676" operator="equal">
      <formula>#REF!</formula>
    </cfRule>
    <cfRule type="cellIs" dxfId="18300" priority="677" operator="greaterThan">
      <formula>#REF!</formula>
    </cfRule>
    <cfRule type="cellIs" dxfId="18299" priority="678" operator="lessThan">
      <formula>#REF!</formula>
    </cfRule>
  </conditionalFormatting>
  <conditionalFormatting sqref="G1061">
    <cfRule type="expression" dxfId="18298" priority="675">
      <formula>AND($A1045&lt;&gt;"",MOD(ROW(),2))</formula>
    </cfRule>
  </conditionalFormatting>
  <conditionalFormatting sqref="G1061">
    <cfRule type="cellIs" dxfId="18297" priority="672" operator="equal">
      <formula>#REF!</formula>
    </cfRule>
    <cfRule type="cellIs" dxfId="18296" priority="673" operator="greaterThan">
      <formula>#REF!</formula>
    </cfRule>
    <cfRule type="cellIs" dxfId="18295" priority="674" operator="lessThan">
      <formula>#REF!</formula>
    </cfRule>
  </conditionalFormatting>
  <conditionalFormatting sqref="G1061">
    <cfRule type="expression" dxfId="18294" priority="671">
      <formula>AND($A1045&lt;&gt;"",MOD(ROW(),2))</formula>
    </cfRule>
  </conditionalFormatting>
  <conditionalFormatting sqref="G1061">
    <cfRule type="cellIs" dxfId="18293" priority="668" operator="equal">
      <formula>#REF!</formula>
    </cfRule>
    <cfRule type="cellIs" dxfId="18292" priority="669" operator="greaterThan">
      <formula>#REF!</formula>
    </cfRule>
    <cfRule type="cellIs" dxfId="18291" priority="670" operator="lessThan">
      <formula>#REF!</formula>
    </cfRule>
  </conditionalFormatting>
  <conditionalFormatting sqref="G1062">
    <cfRule type="expression" dxfId="18290" priority="667">
      <formula>AND($A1046&lt;&gt;"",MOD(ROW(),2))</formula>
    </cfRule>
  </conditionalFormatting>
  <conditionalFormatting sqref="G1062">
    <cfRule type="cellIs" dxfId="18289" priority="664" operator="equal">
      <formula>#REF!</formula>
    </cfRule>
    <cfRule type="cellIs" dxfId="18288" priority="665" operator="greaterThan">
      <formula>#REF!</formula>
    </cfRule>
    <cfRule type="cellIs" dxfId="18287" priority="666" operator="lessThan">
      <formula>#REF!</formula>
    </cfRule>
  </conditionalFormatting>
  <conditionalFormatting sqref="G1062">
    <cfRule type="expression" dxfId="18286" priority="663">
      <formula>AND($A1046&lt;&gt;"",MOD(ROW(),2))</formula>
    </cfRule>
  </conditionalFormatting>
  <conditionalFormatting sqref="G1062">
    <cfRule type="cellIs" dxfId="18285" priority="660" operator="equal">
      <formula>#REF!</formula>
    </cfRule>
    <cfRule type="cellIs" dxfId="18284" priority="661" operator="greaterThan">
      <formula>#REF!</formula>
    </cfRule>
    <cfRule type="cellIs" dxfId="18283" priority="662" operator="lessThan">
      <formula>#REF!</formula>
    </cfRule>
  </conditionalFormatting>
  <conditionalFormatting sqref="G1063">
    <cfRule type="expression" dxfId="18282" priority="659">
      <formula>AND($A1047&lt;&gt;"",MOD(ROW(),2))</formula>
    </cfRule>
  </conditionalFormatting>
  <conditionalFormatting sqref="G1063">
    <cfRule type="cellIs" dxfId="18281" priority="656" operator="equal">
      <formula>#REF!</formula>
    </cfRule>
    <cfRule type="cellIs" dxfId="18280" priority="657" operator="greaterThan">
      <formula>#REF!</formula>
    </cfRule>
    <cfRule type="cellIs" dxfId="18279" priority="658" operator="lessThan">
      <formula>#REF!</formula>
    </cfRule>
  </conditionalFormatting>
  <conditionalFormatting sqref="G1063">
    <cfRule type="expression" dxfId="18278" priority="655">
      <formula>AND($A1047&lt;&gt;"",MOD(ROW(),2))</formula>
    </cfRule>
  </conditionalFormatting>
  <conditionalFormatting sqref="G1063">
    <cfRule type="cellIs" dxfId="18277" priority="652" operator="equal">
      <formula>#REF!</formula>
    </cfRule>
    <cfRule type="cellIs" dxfId="18276" priority="653" operator="greaterThan">
      <formula>#REF!</formula>
    </cfRule>
    <cfRule type="cellIs" dxfId="18275" priority="654" operator="lessThan">
      <formula>#REF!</formula>
    </cfRule>
  </conditionalFormatting>
  <conditionalFormatting sqref="G1064">
    <cfRule type="expression" dxfId="18274" priority="651">
      <formula>AND($A1048&lt;&gt;"",MOD(ROW(),2))</formula>
    </cfRule>
  </conditionalFormatting>
  <conditionalFormatting sqref="G1064">
    <cfRule type="cellIs" dxfId="18273" priority="648" operator="equal">
      <formula>#REF!</formula>
    </cfRule>
    <cfRule type="cellIs" dxfId="18272" priority="649" operator="greaterThan">
      <formula>#REF!</formula>
    </cfRule>
    <cfRule type="cellIs" dxfId="18271" priority="650" operator="lessThan">
      <formula>#REF!</formula>
    </cfRule>
  </conditionalFormatting>
  <conditionalFormatting sqref="G1064">
    <cfRule type="expression" dxfId="18270" priority="647">
      <formula>AND($A1048&lt;&gt;"",MOD(ROW(),2))</formula>
    </cfRule>
  </conditionalFormatting>
  <conditionalFormatting sqref="G1064">
    <cfRule type="cellIs" dxfId="18269" priority="644" operator="equal">
      <formula>#REF!</formula>
    </cfRule>
    <cfRule type="cellIs" dxfId="18268" priority="645" operator="greaterThan">
      <formula>#REF!</formula>
    </cfRule>
    <cfRule type="cellIs" dxfId="18267" priority="646" operator="lessThan">
      <formula>#REF!</formula>
    </cfRule>
  </conditionalFormatting>
  <conditionalFormatting sqref="G1065">
    <cfRule type="expression" dxfId="18266" priority="643">
      <formula>AND($A1049&lt;&gt;"",MOD(ROW(),2))</formula>
    </cfRule>
  </conditionalFormatting>
  <conditionalFormatting sqref="G1065">
    <cfRule type="cellIs" dxfId="18265" priority="640" operator="equal">
      <formula>#REF!</formula>
    </cfRule>
    <cfRule type="cellIs" dxfId="18264" priority="641" operator="greaterThan">
      <formula>#REF!</formula>
    </cfRule>
    <cfRule type="cellIs" dxfId="18263" priority="642" operator="lessThan">
      <formula>#REF!</formula>
    </cfRule>
  </conditionalFormatting>
  <conditionalFormatting sqref="G1065">
    <cfRule type="expression" dxfId="18262" priority="639">
      <formula>AND($A1049&lt;&gt;"",MOD(ROW(),2))</formula>
    </cfRule>
  </conditionalFormatting>
  <conditionalFormatting sqref="G1065">
    <cfRule type="cellIs" dxfId="18261" priority="636" operator="equal">
      <formula>#REF!</formula>
    </cfRule>
    <cfRule type="cellIs" dxfId="18260" priority="637" operator="greaterThan">
      <formula>#REF!</formula>
    </cfRule>
    <cfRule type="cellIs" dxfId="18259" priority="638" operator="lessThan">
      <formula>#REF!</formula>
    </cfRule>
  </conditionalFormatting>
  <conditionalFormatting sqref="G1066">
    <cfRule type="expression" dxfId="18258" priority="635">
      <formula>AND($A1050&lt;&gt;"",MOD(ROW(),2))</formula>
    </cfRule>
  </conditionalFormatting>
  <conditionalFormatting sqref="G1066">
    <cfRule type="cellIs" dxfId="18257" priority="632" operator="equal">
      <formula>#REF!</formula>
    </cfRule>
    <cfRule type="cellIs" dxfId="18256" priority="633" operator="greaterThan">
      <formula>#REF!</formula>
    </cfRule>
    <cfRule type="cellIs" dxfId="18255" priority="634" operator="lessThan">
      <formula>#REF!</formula>
    </cfRule>
  </conditionalFormatting>
  <conditionalFormatting sqref="G1066">
    <cfRule type="expression" dxfId="18254" priority="631">
      <formula>AND($A1050&lt;&gt;"",MOD(ROW(),2))</formula>
    </cfRule>
  </conditionalFormatting>
  <conditionalFormatting sqref="G1066">
    <cfRule type="cellIs" dxfId="18253" priority="628" operator="equal">
      <formula>#REF!</formula>
    </cfRule>
    <cfRule type="cellIs" dxfId="18252" priority="629" operator="greaterThan">
      <formula>#REF!</formula>
    </cfRule>
    <cfRule type="cellIs" dxfId="18251" priority="630" operator="lessThan">
      <formula>#REF!</formula>
    </cfRule>
  </conditionalFormatting>
  <conditionalFormatting sqref="G1067">
    <cfRule type="expression" dxfId="18250" priority="627">
      <formula>AND($A1051&lt;&gt;"",MOD(ROW(),2))</formula>
    </cfRule>
  </conditionalFormatting>
  <conditionalFormatting sqref="G1067">
    <cfRule type="cellIs" dxfId="18249" priority="624" operator="equal">
      <formula>#REF!</formula>
    </cfRule>
    <cfRule type="cellIs" dxfId="18248" priority="625" operator="greaterThan">
      <formula>#REF!</formula>
    </cfRule>
    <cfRule type="cellIs" dxfId="18247" priority="626" operator="lessThan">
      <formula>#REF!</formula>
    </cfRule>
  </conditionalFormatting>
  <conditionalFormatting sqref="G1067">
    <cfRule type="expression" dxfId="18246" priority="623">
      <formula>AND($A1051&lt;&gt;"",MOD(ROW(),2))</formula>
    </cfRule>
  </conditionalFormatting>
  <conditionalFormatting sqref="G1067">
    <cfRule type="cellIs" dxfId="18245" priority="620" operator="equal">
      <formula>#REF!</formula>
    </cfRule>
    <cfRule type="cellIs" dxfId="18244" priority="621" operator="greaterThan">
      <formula>#REF!</formula>
    </cfRule>
    <cfRule type="cellIs" dxfId="18243" priority="622" operator="lessThan">
      <formula>#REF!</formula>
    </cfRule>
  </conditionalFormatting>
  <conditionalFormatting sqref="G1068">
    <cfRule type="expression" dxfId="18242" priority="619">
      <formula>AND($A1052&lt;&gt;"",MOD(ROW(),2))</formula>
    </cfRule>
  </conditionalFormatting>
  <conditionalFormatting sqref="G1068">
    <cfRule type="cellIs" dxfId="18241" priority="616" operator="equal">
      <formula>#REF!</formula>
    </cfRule>
    <cfRule type="cellIs" dxfId="18240" priority="617" operator="greaterThan">
      <formula>#REF!</formula>
    </cfRule>
    <cfRule type="cellIs" dxfId="18239" priority="618" operator="lessThan">
      <formula>#REF!</formula>
    </cfRule>
  </conditionalFormatting>
  <conditionalFormatting sqref="G1068">
    <cfRule type="expression" dxfId="18238" priority="615">
      <formula>AND($A1052&lt;&gt;"",MOD(ROW(),2))</formula>
    </cfRule>
  </conditionalFormatting>
  <conditionalFormatting sqref="G1068">
    <cfRule type="cellIs" dxfId="18237" priority="612" operator="equal">
      <formula>#REF!</formula>
    </cfRule>
    <cfRule type="cellIs" dxfId="18236" priority="613" operator="greaterThan">
      <formula>#REF!</formula>
    </cfRule>
    <cfRule type="cellIs" dxfId="18235" priority="614" operator="lessThan">
      <formula>#REF!</formula>
    </cfRule>
  </conditionalFormatting>
  <conditionalFormatting sqref="G1069">
    <cfRule type="expression" dxfId="18234" priority="611">
      <formula>AND($A1053&lt;&gt;"",MOD(ROW(),2))</formula>
    </cfRule>
  </conditionalFormatting>
  <conditionalFormatting sqref="G1069">
    <cfRule type="cellIs" dxfId="18233" priority="608" operator="equal">
      <formula>#REF!</formula>
    </cfRule>
    <cfRule type="cellIs" dxfId="18232" priority="609" operator="greaterThan">
      <formula>#REF!</formula>
    </cfRule>
    <cfRule type="cellIs" dxfId="18231" priority="610" operator="lessThan">
      <formula>#REF!</formula>
    </cfRule>
  </conditionalFormatting>
  <conditionalFormatting sqref="G1069">
    <cfRule type="expression" dxfId="18230" priority="607">
      <formula>AND($A1053&lt;&gt;"",MOD(ROW(),2))</formula>
    </cfRule>
  </conditionalFormatting>
  <conditionalFormatting sqref="G1069">
    <cfRule type="cellIs" dxfId="18229" priority="604" operator="equal">
      <formula>#REF!</formula>
    </cfRule>
    <cfRule type="cellIs" dxfId="18228" priority="605" operator="greaterThan">
      <formula>#REF!</formula>
    </cfRule>
    <cfRule type="cellIs" dxfId="18227" priority="606" operator="lessThan">
      <formula>#REF!</formula>
    </cfRule>
  </conditionalFormatting>
  <conditionalFormatting sqref="G1070">
    <cfRule type="expression" dxfId="18226" priority="603">
      <formula>AND($A1054&lt;&gt;"",MOD(ROW(),2))</formula>
    </cfRule>
  </conditionalFormatting>
  <conditionalFormatting sqref="G1070">
    <cfRule type="cellIs" dxfId="18225" priority="600" operator="equal">
      <formula>#REF!</formula>
    </cfRule>
    <cfRule type="cellIs" dxfId="18224" priority="601" operator="greaterThan">
      <formula>#REF!</formula>
    </cfRule>
    <cfRule type="cellIs" dxfId="18223" priority="602" operator="lessThan">
      <formula>#REF!</formula>
    </cfRule>
  </conditionalFormatting>
  <conditionalFormatting sqref="G1070">
    <cfRule type="expression" dxfId="18222" priority="599">
      <formula>AND($A1054&lt;&gt;"",MOD(ROW(),2))</formula>
    </cfRule>
  </conditionalFormatting>
  <conditionalFormatting sqref="G1070">
    <cfRule type="cellIs" dxfId="18221" priority="596" operator="equal">
      <formula>#REF!</formula>
    </cfRule>
    <cfRule type="cellIs" dxfId="18220" priority="597" operator="greaterThan">
      <formula>#REF!</formula>
    </cfRule>
    <cfRule type="cellIs" dxfId="18219" priority="598" operator="lessThan">
      <formula>#REF!</formula>
    </cfRule>
  </conditionalFormatting>
  <conditionalFormatting sqref="G1071">
    <cfRule type="expression" dxfId="18218" priority="595">
      <formula>AND($A1055&lt;&gt;"",MOD(ROW(),2))</formula>
    </cfRule>
  </conditionalFormatting>
  <conditionalFormatting sqref="G1071">
    <cfRule type="cellIs" dxfId="18217" priority="592" operator="equal">
      <formula>#REF!</formula>
    </cfRule>
    <cfRule type="cellIs" dxfId="18216" priority="593" operator="greaterThan">
      <formula>#REF!</formula>
    </cfRule>
    <cfRule type="cellIs" dxfId="18215" priority="594" operator="lessThan">
      <formula>#REF!</formula>
    </cfRule>
  </conditionalFormatting>
  <conditionalFormatting sqref="G1071">
    <cfRule type="expression" dxfId="18214" priority="591">
      <formula>AND($A1055&lt;&gt;"",MOD(ROW(),2))</formula>
    </cfRule>
  </conditionalFormatting>
  <conditionalFormatting sqref="G1071">
    <cfRule type="cellIs" dxfId="18213" priority="588" operator="equal">
      <formula>#REF!</formula>
    </cfRule>
    <cfRule type="cellIs" dxfId="18212" priority="589" operator="greaterThan">
      <formula>#REF!</formula>
    </cfRule>
    <cfRule type="cellIs" dxfId="18211" priority="590" operator="lessThan">
      <formula>#REF!</formula>
    </cfRule>
  </conditionalFormatting>
  <conditionalFormatting sqref="G1072">
    <cfRule type="expression" dxfId="18210" priority="587">
      <formula>AND($A1056&lt;&gt;"",MOD(ROW(),2))</formula>
    </cfRule>
  </conditionalFormatting>
  <conditionalFormatting sqref="G1072">
    <cfRule type="cellIs" dxfId="18209" priority="584" operator="equal">
      <formula>#REF!</formula>
    </cfRule>
    <cfRule type="cellIs" dxfId="18208" priority="585" operator="greaterThan">
      <formula>#REF!</formula>
    </cfRule>
    <cfRule type="cellIs" dxfId="18207" priority="586" operator="lessThan">
      <formula>#REF!</formula>
    </cfRule>
  </conditionalFormatting>
  <conditionalFormatting sqref="G1072">
    <cfRule type="expression" dxfId="18206" priority="583">
      <formula>AND($A1056&lt;&gt;"",MOD(ROW(),2))</formula>
    </cfRule>
  </conditionalFormatting>
  <conditionalFormatting sqref="G1072">
    <cfRule type="cellIs" dxfId="18205" priority="580" operator="equal">
      <formula>#REF!</formula>
    </cfRule>
    <cfRule type="cellIs" dxfId="18204" priority="581" operator="greaterThan">
      <formula>#REF!</formula>
    </cfRule>
    <cfRule type="cellIs" dxfId="18203" priority="582" operator="lessThan">
      <formula>#REF!</formula>
    </cfRule>
  </conditionalFormatting>
  <conditionalFormatting sqref="G1073">
    <cfRule type="expression" dxfId="18202" priority="579">
      <formula>AND($A1057&lt;&gt;"",MOD(ROW(),2))</formula>
    </cfRule>
  </conditionalFormatting>
  <conditionalFormatting sqref="G1073">
    <cfRule type="cellIs" dxfId="18201" priority="576" operator="equal">
      <formula>#REF!</formula>
    </cfRule>
    <cfRule type="cellIs" dxfId="18200" priority="577" operator="greaterThan">
      <formula>#REF!</formula>
    </cfRule>
    <cfRule type="cellIs" dxfId="18199" priority="578" operator="lessThan">
      <formula>#REF!</formula>
    </cfRule>
  </conditionalFormatting>
  <conditionalFormatting sqref="G1073">
    <cfRule type="expression" dxfId="18198" priority="575">
      <formula>AND($A1057&lt;&gt;"",MOD(ROW(),2))</formula>
    </cfRule>
  </conditionalFormatting>
  <conditionalFormatting sqref="G1073">
    <cfRule type="cellIs" dxfId="18197" priority="572" operator="equal">
      <formula>#REF!</formula>
    </cfRule>
    <cfRule type="cellIs" dxfId="18196" priority="573" operator="greaterThan">
      <formula>#REF!</formula>
    </cfRule>
    <cfRule type="cellIs" dxfId="18195" priority="574" operator="lessThan">
      <formula>#REF!</formula>
    </cfRule>
  </conditionalFormatting>
  <conditionalFormatting sqref="G1074">
    <cfRule type="expression" dxfId="18194" priority="571">
      <formula>AND($A1058&lt;&gt;"",MOD(ROW(),2))</formula>
    </cfRule>
  </conditionalFormatting>
  <conditionalFormatting sqref="G1074">
    <cfRule type="cellIs" dxfId="18193" priority="568" operator="equal">
      <formula>#REF!</formula>
    </cfRule>
    <cfRule type="cellIs" dxfId="18192" priority="569" operator="greaterThan">
      <formula>#REF!</formula>
    </cfRule>
    <cfRule type="cellIs" dxfId="18191" priority="570" operator="lessThan">
      <formula>#REF!</formula>
    </cfRule>
  </conditionalFormatting>
  <conditionalFormatting sqref="G1074">
    <cfRule type="expression" dxfId="18190" priority="567">
      <formula>AND($A1058&lt;&gt;"",MOD(ROW(),2))</formula>
    </cfRule>
  </conditionalFormatting>
  <conditionalFormatting sqref="G1074">
    <cfRule type="cellIs" dxfId="18189" priority="564" operator="equal">
      <formula>#REF!</formula>
    </cfRule>
    <cfRule type="cellIs" dxfId="18188" priority="565" operator="greaterThan">
      <formula>#REF!</formula>
    </cfRule>
    <cfRule type="cellIs" dxfId="18187" priority="566" operator="lessThan">
      <formula>#REF!</formula>
    </cfRule>
  </conditionalFormatting>
  <conditionalFormatting sqref="G1075">
    <cfRule type="expression" dxfId="18186" priority="563">
      <formula>AND($A1059&lt;&gt;"",MOD(ROW(),2))</formula>
    </cfRule>
  </conditionalFormatting>
  <conditionalFormatting sqref="G1075">
    <cfRule type="cellIs" dxfId="18185" priority="560" operator="equal">
      <formula>#REF!</formula>
    </cfRule>
    <cfRule type="cellIs" dxfId="18184" priority="561" operator="greaterThan">
      <formula>#REF!</formula>
    </cfRule>
    <cfRule type="cellIs" dxfId="18183" priority="562" operator="lessThan">
      <formula>#REF!</formula>
    </cfRule>
  </conditionalFormatting>
  <conditionalFormatting sqref="G1075">
    <cfRule type="expression" dxfId="18182" priority="559">
      <formula>AND($A1059&lt;&gt;"",MOD(ROW(),2))</formula>
    </cfRule>
  </conditionalFormatting>
  <conditionalFormatting sqref="G1075">
    <cfRule type="cellIs" dxfId="18181" priority="556" operator="equal">
      <formula>#REF!</formula>
    </cfRule>
    <cfRule type="cellIs" dxfId="18180" priority="557" operator="greaterThan">
      <formula>#REF!</formula>
    </cfRule>
    <cfRule type="cellIs" dxfId="18179" priority="558" operator="lessThan">
      <formula>#REF!</formula>
    </cfRule>
  </conditionalFormatting>
  <conditionalFormatting sqref="H1075">
    <cfRule type="expression" dxfId="18178" priority="553">
      <formula>AND($A1105&lt;&gt;"",MOD(ROW(),2))</formula>
    </cfRule>
  </conditionalFormatting>
  <conditionalFormatting sqref="H1075">
    <cfRule type="expression" dxfId="18177" priority="555">
      <formula>AND(#REF!&lt;&gt;"",MOD(ROW(),2))</formula>
    </cfRule>
  </conditionalFormatting>
  <conditionalFormatting sqref="H1075">
    <cfRule type="expression" dxfId="18176" priority="554">
      <formula>AND(#REF!&lt;&gt;"",MOD(ROW(),2))</formula>
    </cfRule>
  </conditionalFormatting>
  <conditionalFormatting sqref="H1075">
    <cfRule type="expression" dxfId="18175" priority="550">
      <formula>AND($A1105&lt;&gt;"",MOD(ROW(),2))</formula>
    </cfRule>
  </conditionalFormatting>
  <conditionalFormatting sqref="H1075">
    <cfRule type="expression" dxfId="18174" priority="552">
      <formula>AND(#REF!&lt;&gt;"",MOD(ROW(),2))</formula>
    </cfRule>
  </conditionalFormatting>
  <conditionalFormatting sqref="H1075">
    <cfRule type="expression" dxfId="18173" priority="551">
      <formula>AND(#REF!&lt;&gt;"",MOD(ROW(),2))</formula>
    </cfRule>
  </conditionalFormatting>
  <conditionalFormatting sqref="H1075">
    <cfRule type="expression" dxfId="18172" priority="547">
      <formula>AND($A1105&lt;&gt;"",MOD(ROW(),2))</formula>
    </cfRule>
  </conditionalFormatting>
  <conditionalFormatting sqref="H1075">
    <cfRule type="expression" dxfId="18171" priority="549">
      <formula>AND(#REF!&lt;&gt;"",MOD(ROW(),2))</formula>
    </cfRule>
  </conditionalFormatting>
  <conditionalFormatting sqref="H1075">
    <cfRule type="expression" dxfId="18170" priority="548">
      <formula>AND(#REF!&lt;&gt;"",MOD(ROW(),2))</formula>
    </cfRule>
  </conditionalFormatting>
  <conditionalFormatting sqref="H1075">
    <cfRule type="expression" dxfId="18169" priority="544">
      <formula>AND($A1105&lt;&gt;"",MOD(ROW(),2))</formula>
    </cfRule>
  </conditionalFormatting>
  <conditionalFormatting sqref="H1075">
    <cfRule type="expression" dxfId="18168" priority="546">
      <formula>AND(#REF!&lt;&gt;"",MOD(ROW(),2))</formula>
    </cfRule>
  </conditionalFormatting>
  <conditionalFormatting sqref="H1075">
    <cfRule type="expression" dxfId="18167" priority="545">
      <formula>AND(#REF!&lt;&gt;"",MOD(ROW(),2))</formula>
    </cfRule>
  </conditionalFormatting>
  <conditionalFormatting sqref="H1075">
    <cfRule type="expression" dxfId="18166" priority="541">
      <formula>AND($A1105&lt;&gt;"",MOD(ROW(),2))</formula>
    </cfRule>
  </conditionalFormatting>
  <conditionalFormatting sqref="H1075">
    <cfRule type="expression" dxfId="18165" priority="543">
      <formula>AND(#REF!&lt;&gt;"",MOD(ROW(),2))</formula>
    </cfRule>
  </conditionalFormatting>
  <conditionalFormatting sqref="H1075">
    <cfRule type="expression" dxfId="18164" priority="542">
      <formula>AND(#REF!&lt;&gt;"",MOD(ROW(),2))</formula>
    </cfRule>
  </conditionalFormatting>
  <conditionalFormatting sqref="H1075">
    <cfRule type="expression" dxfId="18163" priority="538">
      <formula>AND($A1105&lt;&gt;"",MOD(ROW(),2))</formula>
    </cfRule>
  </conditionalFormatting>
  <conditionalFormatting sqref="H1075">
    <cfRule type="expression" dxfId="18162" priority="540">
      <formula>AND(#REF!&lt;&gt;"",MOD(ROW(),2))</formula>
    </cfRule>
  </conditionalFormatting>
  <conditionalFormatting sqref="H1075">
    <cfRule type="expression" dxfId="18161" priority="539">
      <formula>AND(#REF!&lt;&gt;"",MOD(ROW(),2))</formula>
    </cfRule>
  </conditionalFormatting>
  <conditionalFormatting sqref="H1075">
    <cfRule type="expression" dxfId="18160" priority="535">
      <formula>AND($A1105&lt;&gt;"",MOD(ROW(),2))</formula>
    </cfRule>
  </conditionalFormatting>
  <conditionalFormatting sqref="H1075">
    <cfRule type="expression" dxfId="18159" priority="537">
      <formula>AND(#REF!&lt;&gt;"",MOD(ROW(),2))</formula>
    </cfRule>
  </conditionalFormatting>
  <conditionalFormatting sqref="H1075">
    <cfRule type="expression" dxfId="18158" priority="536">
      <formula>AND(#REF!&lt;&gt;"",MOD(ROW(),2))</formula>
    </cfRule>
  </conditionalFormatting>
  <conditionalFormatting sqref="G1076">
    <cfRule type="expression" dxfId="18157" priority="534">
      <formula>AND($A1060&lt;&gt;"",MOD(ROW(),2))</formula>
    </cfRule>
  </conditionalFormatting>
  <conditionalFormatting sqref="G1076">
    <cfRule type="cellIs" dxfId="18156" priority="531" operator="equal">
      <formula>#REF!</formula>
    </cfRule>
    <cfRule type="cellIs" dxfId="18155" priority="532" operator="greaterThan">
      <formula>#REF!</formula>
    </cfRule>
    <cfRule type="cellIs" dxfId="18154" priority="533" operator="lessThan">
      <formula>#REF!</formula>
    </cfRule>
  </conditionalFormatting>
  <conditionalFormatting sqref="G1076">
    <cfRule type="expression" dxfId="18153" priority="530">
      <formula>AND($A1060&lt;&gt;"",MOD(ROW(),2))</formula>
    </cfRule>
  </conditionalFormatting>
  <conditionalFormatting sqref="G1076">
    <cfRule type="cellIs" dxfId="18152" priority="527" operator="equal">
      <formula>#REF!</formula>
    </cfRule>
    <cfRule type="cellIs" dxfId="18151" priority="528" operator="greaterThan">
      <formula>#REF!</formula>
    </cfRule>
    <cfRule type="cellIs" dxfId="18150" priority="529" operator="lessThan">
      <formula>#REF!</formula>
    </cfRule>
  </conditionalFormatting>
  <conditionalFormatting sqref="G1077">
    <cfRule type="expression" dxfId="18149" priority="526">
      <formula>AND($A1061&lt;&gt;"",MOD(ROW(),2))</formula>
    </cfRule>
  </conditionalFormatting>
  <conditionalFormatting sqref="G1077">
    <cfRule type="cellIs" dxfId="18148" priority="523" operator="equal">
      <formula>#REF!</formula>
    </cfRule>
    <cfRule type="cellIs" dxfId="18147" priority="524" operator="greaterThan">
      <formula>#REF!</formula>
    </cfRule>
    <cfRule type="cellIs" dxfId="18146" priority="525" operator="lessThan">
      <formula>#REF!</formula>
    </cfRule>
  </conditionalFormatting>
  <conditionalFormatting sqref="G1077">
    <cfRule type="expression" dxfId="18145" priority="522">
      <formula>AND($A1061&lt;&gt;"",MOD(ROW(),2))</formula>
    </cfRule>
  </conditionalFormatting>
  <conditionalFormatting sqref="G1077">
    <cfRule type="cellIs" dxfId="18144" priority="519" operator="equal">
      <formula>#REF!</formula>
    </cfRule>
    <cfRule type="cellIs" dxfId="18143" priority="520" operator="greaterThan">
      <formula>#REF!</formula>
    </cfRule>
    <cfRule type="cellIs" dxfId="18142" priority="521" operator="lessThan">
      <formula>#REF!</formula>
    </cfRule>
  </conditionalFormatting>
  <conditionalFormatting sqref="G1078">
    <cfRule type="expression" dxfId="18141" priority="518">
      <formula>AND($A1062&lt;&gt;"",MOD(ROW(),2))</formula>
    </cfRule>
  </conditionalFormatting>
  <conditionalFormatting sqref="G1078">
    <cfRule type="cellIs" dxfId="18140" priority="515" operator="equal">
      <formula>#REF!</formula>
    </cfRule>
    <cfRule type="cellIs" dxfId="18139" priority="516" operator="greaterThan">
      <formula>#REF!</formula>
    </cfRule>
    <cfRule type="cellIs" dxfId="18138" priority="517" operator="lessThan">
      <formula>#REF!</formula>
    </cfRule>
  </conditionalFormatting>
  <conditionalFormatting sqref="G1078">
    <cfRule type="expression" dxfId="18137" priority="514">
      <formula>AND($A1062&lt;&gt;"",MOD(ROW(),2))</formula>
    </cfRule>
  </conditionalFormatting>
  <conditionalFormatting sqref="G1078">
    <cfRule type="cellIs" dxfId="18136" priority="511" operator="equal">
      <formula>#REF!</formula>
    </cfRule>
    <cfRule type="cellIs" dxfId="18135" priority="512" operator="greaterThan">
      <formula>#REF!</formula>
    </cfRule>
    <cfRule type="cellIs" dxfId="18134" priority="513" operator="lessThan">
      <formula>#REF!</formula>
    </cfRule>
  </conditionalFormatting>
  <conditionalFormatting sqref="G1079">
    <cfRule type="expression" dxfId="18133" priority="510">
      <formula>AND($A1063&lt;&gt;"",MOD(ROW(),2))</formula>
    </cfRule>
  </conditionalFormatting>
  <conditionalFormatting sqref="G1079">
    <cfRule type="cellIs" dxfId="18132" priority="507" operator="equal">
      <formula>#REF!</formula>
    </cfRule>
    <cfRule type="cellIs" dxfId="18131" priority="508" operator="greaterThan">
      <formula>#REF!</formula>
    </cfRule>
    <cfRule type="cellIs" dxfId="18130" priority="509" operator="lessThan">
      <formula>#REF!</formula>
    </cfRule>
  </conditionalFormatting>
  <conditionalFormatting sqref="G1079">
    <cfRule type="expression" dxfId="18129" priority="506">
      <formula>AND($A1063&lt;&gt;"",MOD(ROW(),2))</formula>
    </cfRule>
  </conditionalFormatting>
  <conditionalFormatting sqref="G1079">
    <cfRule type="cellIs" dxfId="18128" priority="503" operator="equal">
      <formula>#REF!</formula>
    </cfRule>
    <cfRule type="cellIs" dxfId="18127" priority="504" operator="greaterThan">
      <formula>#REF!</formula>
    </cfRule>
    <cfRule type="cellIs" dxfId="18126" priority="505" operator="lessThan">
      <formula>#REF!</formula>
    </cfRule>
  </conditionalFormatting>
  <conditionalFormatting sqref="G1080">
    <cfRule type="expression" dxfId="18125" priority="502">
      <formula>AND($A1064&lt;&gt;"",MOD(ROW(),2))</formula>
    </cfRule>
  </conditionalFormatting>
  <conditionalFormatting sqref="G1080">
    <cfRule type="cellIs" dxfId="18124" priority="499" operator="equal">
      <formula>#REF!</formula>
    </cfRule>
    <cfRule type="cellIs" dxfId="18123" priority="500" operator="greaterThan">
      <formula>#REF!</formula>
    </cfRule>
    <cfRule type="cellIs" dxfId="18122" priority="501" operator="lessThan">
      <formula>#REF!</formula>
    </cfRule>
  </conditionalFormatting>
  <conditionalFormatting sqref="G1080">
    <cfRule type="expression" dxfId="18121" priority="498">
      <formula>AND($A1064&lt;&gt;"",MOD(ROW(),2))</formula>
    </cfRule>
  </conditionalFormatting>
  <conditionalFormatting sqref="G1080">
    <cfRule type="cellIs" dxfId="18120" priority="495" operator="equal">
      <formula>#REF!</formula>
    </cfRule>
    <cfRule type="cellIs" dxfId="18119" priority="496" operator="greaterThan">
      <formula>#REF!</formula>
    </cfRule>
    <cfRule type="cellIs" dxfId="18118" priority="497" operator="lessThan">
      <formula>#REF!</formula>
    </cfRule>
  </conditionalFormatting>
  <conditionalFormatting sqref="G1081">
    <cfRule type="expression" dxfId="18117" priority="494">
      <formula>AND($A1065&lt;&gt;"",MOD(ROW(),2))</formula>
    </cfRule>
  </conditionalFormatting>
  <conditionalFormatting sqref="G1081">
    <cfRule type="cellIs" dxfId="18116" priority="491" operator="equal">
      <formula>#REF!</formula>
    </cfRule>
    <cfRule type="cellIs" dxfId="18115" priority="492" operator="greaterThan">
      <formula>#REF!</formula>
    </cfRule>
    <cfRule type="cellIs" dxfId="18114" priority="493" operator="lessThan">
      <formula>#REF!</formula>
    </cfRule>
  </conditionalFormatting>
  <conditionalFormatting sqref="G1081">
    <cfRule type="expression" dxfId="18113" priority="490">
      <formula>AND($A1065&lt;&gt;"",MOD(ROW(),2))</formula>
    </cfRule>
  </conditionalFormatting>
  <conditionalFormatting sqref="G1081">
    <cfRule type="cellIs" dxfId="18112" priority="487" operator="equal">
      <formula>#REF!</formula>
    </cfRule>
    <cfRule type="cellIs" dxfId="18111" priority="488" operator="greaterThan">
      <formula>#REF!</formula>
    </cfRule>
    <cfRule type="cellIs" dxfId="18110" priority="489" operator="lessThan">
      <formula>#REF!</formula>
    </cfRule>
  </conditionalFormatting>
  <conditionalFormatting sqref="G1082">
    <cfRule type="expression" dxfId="18109" priority="486">
      <formula>AND($A1066&lt;&gt;"",MOD(ROW(),2))</formula>
    </cfRule>
  </conditionalFormatting>
  <conditionalFormatting sqref="G1082">
    <cfRule type="cellIs" dxfId="18108" priority="483" operator="equal">
      <formula>#REF!</formula>
    </cfRule>
    <cfRule type="cellIs" dxfId="18107" priority="484" operator="greaterThan">
      <formula>#REF!</formula>
    </cfRule>
    <cfRule type="cellIs" dxfId="18106" priority="485" operator="lessThan">
      <formula>#REF!</formula>
    </cfRule>
  </conditionalFormatting>
  <conditionalFormatting sqref="G1082">
    <cfRule type="expression" dxfId="18105" priority="482">
      <formula>AND($A1066&lt;&gt;"",MOD(ROW(),2))</formula>
    </cfRule>
  </conditionalFormatting>
  <conditionalFormatting sqref="G1082">
    <cfRule type="cellIs" dxfId="18104" priority="479" operator="equal">
      <formula>#REF!</formula>
    </cfRule>
    <cfRule type="cellIs" dxfId="18103" priority="480" operator="greaterThan">
      <formula>#REF!</formula>
    </cfRule>
    <cfRule type="cellIs" dxfId="18102" priority="481" operator="lessThan">
      <formula>#REF!</formula>
    </cfRule>
  </conditionalFormatting>
  <conditionalFormatting sqref="G1083">
    <cfRule type="expression" dxfId="18101" priority="478">
      <formula>AND($A1067&lt;&gt;"",MOD(ROW(),2))</formula>
    </cfRule>
  </conditionalFormatting>
  <conditionalFormatting sqref="G1083">
    <cfRule type="cellIs" dxfId="18100" priority="475" operator="equal">
      <formula>#REF!</formula>
    </cfRule>
    <cfRule type="cellIs" dxfId="18099" priority="476" operator="greaterThan">
      <formula>#REF!</formula>
    </cfRule>
    <cfRule type="cellIs" dxfId="18098" priority="477" operator="lessThan">
      <formula>#REF!</formula>
    </cfRule>
  </conditionalFormatting>
  <conditionalFormatting sqref="G1083">
    <cfRule type="expression" dxfId="18097" priority="474">
      <formula>AND($A1067&lt;&gt;"",MOD(ROW(),2))</formula>
    </cfRule>
  </conditionalFormatting>
  <conditionalFormatting sqref="G1083">
    <cfRule type="cellIs" dxfId="18096" priority="471" operator="equal">
      <formula>#REF!</formula>
    </cfRule>
    <cfRule type="cellIs" dxfId="18095" priority="472" operator="greaterThan">
      <formula>#REF!</formula>
    </cfRule>
    <cfRule type="cellIs" dxfId="18094" priority="473" operator="lessThan">
      <formula>#REF!</formula>
    </cfRule>
  </conditionalFormatting>
  <conditionalFormatting sqref="G1084">
    <cfRule type="expression" dxfId="18093" priority="470">
      <formula>AND($A1068&lt;&gt;"",MOD(ROW(),2))</formula>
    </cfRule>
  </conditionalFormatting>
  <conditionalFormatting sqref="G1084">
    <cfRule type="cellIs" dxfId="18092" priority="467" operator="equal">
      <formula>#REF!</formula>
    </cfRule>
    <cfRule type="cellIs" dxfId="18091" priority="468" operator="greaterThan">
      <formula>#REF!</formula>
    </cfRule>
    <cfRule type="cellIs" dxfId="18090" priority="469" operator="lessThan">
      <formula>#REF!</formula>
    </cfRule>
  </conditionalFormatting>
  <conditionalFormatting sqref="G1084">
    <cfRule type="expression" dxfId="18089" priority="466">
      <formula>AND($A1068&lt;&gt;"",MOD(ROW(),2))</formula>
    </cfRule>
  </conditionalFormatting>
  <conditionalFormatting sqref="G1084">
    <cfRule type="cellIs" dxfId="18088" priority="463" operator="equal">
      <formula>#REF!</formula>
    </cfRule>
    <cfRule type="cellIs" dxfId="18087" priority="464" operator="greaterThan">
      <formula>#REF!</formula>
    </cfRule>
    <cfRule type="cellIs" dxfId="18086" priority="465" operator="lessThan">
      <formula>#REF!</formula>
    </cfRule>
  </conditionalFormatting>
  <conditionalFormatting sqref="H1085">
    <cfRule type="expression" dxfId="18085" priority="460">
      <formula>AND($A1115&lt;&gt;"",MOD(ROW(),2))</formula>
    </cfRule>
  </conditionalFormatting>
  <conditionalFormatting sqref="H1085">
    <cfRule type="expression" dxfId="18084" priority="462">
      <formula>AND(#REF!&lt;&gt;"",MOD(ROW(),2))</formula>
    </cfRule>
  </conditionalFormatting>
  <conditionalFormatting sqref="H1085">
    <cfRule type="expression" dxfId="18083" priority="461">
      <formula>AND(#REF!&lt;&gt;"",MOD(ROW(),2))</formula>
    </cfRule>
  </conditionalFormatting>
  <conditionalFormatting sqref="H1085">
    <cfRule type="expression" dxfId="18082" priority="457">
      <formula>AND($A1115&lt;&gt;"",MOD(ROW(),2))</formula>
    </cfRule>
  </conditionalFormatting>
  <conditionalFormatting sqref="H1085">
    <cfRule type="expression" dxfId="18081" priority="459">
      <formula>AND(#REF!&lt;&gt;"",MOD(ROW(),2))</formula>
    </cfRule>
  </conditionalFormatting>
  <conditionalFormatting sqref="H1085">
    <cfRule type="expression" dxfId="18080" priority="458">
      <formula>AND(#REF!&lt;&gt;"",MOD(ROW(),2))</formula>
    </cfRule>
  </conditionalFormatting>
  <conditionalFormatting sqref="H1085">
    <cfRule type="expression" dxfId="18079" priority="454">
      <formula>AND($A1115&lt;&gt;"",MOD(ROW(),2))</formula>
    </cfRule>
  </conditionalFormatting>
  <conditionalFormatting sqref="H1085">
    <cfRule type="expression" dxfId="18078" priority="456">
      <formula>AND(#REF!&lt;&gt;"",MOD(ROW(),2))</formula>
    </cfRule>
  </conditionalFormatting>
  <conditionalFormatting sqref="H1085">
    <cfRule type="expression" dxfId="18077" priority="455">
      <formula>AND(#REF!&lt;&gt;"",MOD(ROW(),2))</formula>
    </cfRule>
  </conditionalFormatting>
  <conditionalFormatting sqref="H1085">
    <cfRule type="expression" dxfId="18076" priority="451">
      <formula>AND($A1115&lt;&gt;"",MOD(ROW(),2))</formula>
    </cfRule>
  </conditionalFormatting>
  <conditionalFormatting sqref="H1085">
    <cfRule type="expression" dxfId="18075" priority="453">
      <formula>AND(#REF!&lt;&gt;"",MOD(ROW(),2))</formula>
    </cfRule>
  </conditionalFormatting>
  <conditionalFormatting sqref="H1085">
    <cfRule type="expression" dxfId="18074" priority="452">
      <formula>AND(#REF!&lt;&gt;"",MOD(ROW(),2))</formula>
    </cfRule>
  </conditionalFormatting>
  <conditionalFormatting sqref="H1085">
    <cfRule type="expression" dxfId="18073" priority="448">
      <formula>AND($A1115&lt;&gt;"",MOD(ROW(),2))</formula>
    </cfRule>
  </conditionalFormatting>
  <conditionalFormatting sqref="H1085">
    <cfRule type="expression" dxfId="18072" priority="450">
      <formula>AND(#REF!&lt;&gt;"",MOD(ROW(),2))</formula>
    </cfRule>
  </conditionalFormatting>
  <conditionalFormatting sqref="H1085">
    <cfRule type="expression" dxfId="18071" priority="449">
      <formula>AND(#REF!&lt;&gt;"",MOD(ROW(),2))</formula>
    </cfRule>
  </conditionalFormatting>
  <conditionalFormatting sqref="H1085">
    <cfRule type="expression" dxfId="18070" priority="445">
      <formula>AND($A1115&lt;&gt;"",MOD(ROW(),2))</formula>
    </cfRule>
  </conditionalFormatting>
  <conditionalFormatting sqref="H1085">
    <cfRule type="expression" dxfId="18069" priority="447">
      <formula>AND(#REF!&lt;&gt;"",MOD(ROW(),2))</formula>
    </cfRule>
  </conditionalFormatting>
  <conditionalFormatting sqref="H1085">
    <cfRule type="expression" dxfId="18068" priority="446">
      <formula>AND(#REF!&lt;&gt;"",MOD(ROW(),2))</formula>
    </cfRule>
  </conditionalFormatting>
  <conditionalFormatting sqref="H1085">
    <cfRule type="expression" dxfId="18067" priority="442">
      <formula>AND($A1115&lt;&gt;"",MOD(ROW(),2))</formula>
    </cfRule>
  </conditionalFormatting>
  <conditionalFormatting sqref="H1085">
    <cfRule type="expression" dxfId="18066" priority="444">
      <formula>AND(#REF!&lt;&gt;"",MOD(ROW(),2))</formula>
    </cfRule>
  </conditionalFormatting>
  <conditionalFormatting sqref="H1085">
    <cfRule type="expression" dxfId="18065" priority="443">
      <formula>AND(#REF!&lt;&gt;"",MOD(ROW(),2))</formula>
    </cfRule>
  </conditionalFormatting>
  <conditionalFormatting sqref="H1086">
    <cfRule type="expression" dxfId="18064" priority="439">
      <formula>AND($A1116&lt;&gt;"",MOD(ROW(),2))</formula>
    </cfRule>
  </conditionalFormatting>
  <conditionalFormatting sqref="H1086">
    <cfRule type="expression" dxfId="18063" priority="441">
      <formula>AND(#REF!&lt;&gt;"",MOD(ROW(),2))</formula>
    </cfRule>
  </conditionalFormatting>
  <conditionalFormatting sqref="H1086">
    <cfRule type="expression" dxfId="18062" priority="440">
      <formula>AND(#REF!&lt;&gt;"",MOD(ROW(),2))</formula>
    </cfRule>
  </conditionalFormatting>
  <conditionalFormatting sqref="H1086">
    <cfRule type="expression" dxfId="18061" priority="436">
      <formula>AND($A1116&lt;&gt;"",MOD(ROW(),2))</formula>
    </cfRule>
  </conditionalFormatting>
  <conditionalFormatting sqref="H1086">
    <cfRule type="expression" dxfId="18060" priority="438">
      <formula>AND(#REF!&lt;&gt;"",MOD(ROW(),2))</formula>
    </cfRule>
  </conditionalFormatting>
  <conditionalFormatting sqref="H1086">
    <cfRule type="expression" dxfId="18059" priority="437">
      <formula>AND(#REF!&lt;&gt;"",MOD(ROW(),2))</formula>
    </cfRule>
  </conditionalFormatting>
  <conditionalFormatting sqref="H1086">
    <cfRule type="expression" dxfId="18058" priority="433">
      <formula>AND($A1116&lt;&gt;"",MOD(ROW(),2))</formula>
    </cfRule>
  </conditionalFormatting>
  <conditionalFormatting sqref="H1086">
    <cfRule type="expression" dxfId="18057" priority="435">
      <formula>AND(#REF!&lt;&gt;"",MOD(ROW(),2))</formula>
    </cfRule>
  </conditionalFormatting>
  <conditionalFormatting sqref="H1086">
    <cfRule type="expression" dxfId="18056" priority="434">
      <formula>AND(#REF!&lt;&gt;"",MOD(ROW(),2))</formula>
    </cfRule>
  </conditionalFormatting>
  <conditionalFormatting sqref="H1086">
    <cfRule type="expression" dxfId="18055" priority="430">
      <formula>AND($A1116&lt;&gt;"",MOD(ROW(),2))</formula>
    </cfRule>
  </conditionalFormatting>
  <conditionalFormatting sqref="H1086">
    <cfRule type="expression" dxfId="18054" priority="432">
      <formula>AND(#REF!&lt;&gt;"",MOD(ROW(),2))</formula>
    </cfRule>
  </conditionalFormatting>
  <conditionalFormatting sqref="H1086">
    <cfRule type="expression" dxfId="18053" priority="431">
      <formula>AND(#REF!&lt;&gt;"",MOD(ROW(),2))</formula>
    </cfRule>
  </conditionalFormatting>
  <conditionalFormatting sqref="H1086">
    <cfRule type="expression" dxfId="18052" priority="427">
      <formula>AND($A1116&lt;&gt;"",MOD(ROW(),2))</formula>
    </cfRule>
  </conditionalFormatting>
  <conditionalFormatting sqref="H1086">
    <cfRule type="expression" dxfId="18051" priority="429">
      <formula>AND(#REF!&lt;&gt;"",MOD(ROW(),2))</formula>
    </cfRule>
  </conditionalFormatting>
  <conditionalFormatting sqref="H1086">
    <cfRule type="expression" dxfId="18050" priority="428">
      <formula>AND(#REF!&lt;&gt;"",MOD(ROW(),2))</formula>
    </cfRule>
  </conditionalFormatting>
  <conditionalFormatting sqref="H1086">
    <cfRule type="expression" dxfId="18049" priority="424">
      <formula>AND($A1116&lt;&gt;"",MOD(ROW(),2))</formula>
    </cfRule>
  </conditionalFormatting>
  <conditionalFormatting sqref="H1086">
    <cfRule type="expression" dxfId="18048" priority="426">
      <formula>AND(#REF!&lt;&gt;"",MOD(ROW(),2))</formula>
    </cfRule>
  </conditionalFormatting>
  <conditionalFormatting sqref="H1086">
    <cfRule type="expression" dxfId="18047" priority="425">
      <formula>AND(#REF!&lt;&gt;"",MOD(ROW(),2))</formula>
    </cfRule>
  </conditionalFormatting>
  <conditionalFormatting sqref="H1086">
    <cfRule type="expression" dxfId="18046" priority="421">
      <formula>AND($A1116&lt;&gt;"",MOD(ROW(),2))</formula>
    </cfRule>
  </conditionalFormatting>
  <conditionalFormatting sqref="H1086">
    <cfRule type="expression" dxfId="18045" priority="423">
      <formula>AND(#REF!&lt;&gt;"",MOD(ROW(),2))</formula>
    </cfRule>
  </conditionalFormatting>
  <conditionalFormatting sqref="H1086">
    <cfRule type="expression" dxfId="18044" priority="422">
      <formula>AND(#REF!&lt;&gt;"",MOD(ROW(),2))</formula>
    </cfRule>
  </conditionalFormatting>
  <conditionalFormatting sqref="G1085">
    <cfRule type="expression" dxfId="18043" priority="420">
      <formula>AND($A1069&lt;&gt;"",MOD(ROW(),2))</formula>
    </cfRule>
  </conditionalFormatting>
  <conditionalFormatting sqref="G1085">
    <cfRule type="cellIs" dxfId="18042" priority="417" operator="equal">
      <formula>#REF!</formula>
    </cfRule>
    <cfRule type="cellIs" dxfId="18041" priority="418" operator="greaterThan">
      <formula>#REF!</formula>
    </cfRule>
    <cfRule type="cellIs" dxfId="18040" priority="419" operator="lessThan">
      <formula>#REF!</formula>
    </cfRule>
  </conditionalFormatting>
  <conditionalFormatting sqref="G1085">
    <cfRule type="expression" dxfId="18039" priority="416">
      <formula>AND($A1069&lt;&gt;"",MOD(ROW(),2))</formula>
    </cfRule>
  </conditionalFormatting>
  <conditionalFormatting sqref="G1085">
    <cfRule type="cellIs" dxfId="18038" priority="413" operator="equal">
      <formula>#REF!</formula>
    </cfRule>
    <cfRule type="cellIs" dxfId="18037" priority="414" operator="greaterThan">
      <formula>#REF!</formula>
    </cfRule>
    <cfRule type="cellIs" dxfId="18036" priority="415" operator="lessThan">
      <formula>#REF!</formula>
    </cfRule>
  </conditionalFormatting>
  <conditionalFormatting sqref="G1086">
    <cfRule type="expression" dxfId="18035" priority="412">
      <formula>AND($A1070&lt;&gt;"",MOD(ROW(),2))</formula>
    </cfRule>
  </conditionalFormatting>
  <conditionalFormatting sqref="G1086">
    <cfRule type="cellIs" dxfId="18034" priority="409" operator="equal">
      <formula>#REF!</formula>
    </cfRule>
    <cfRule type="cellIs" dxfId="18033" priority="410" operator="greaterThan">
      <formula>#REF!</formula>
    </cfRule>
    <cfRule type="cellIs" dxfId="18032" priority="411" operator="lessThan">
      <formula>#REF!</formula>
    </cfRule>
  </conditionalFormatting>
  <conditionalFormatting sqref="G1086">
    <cfRule type="expression" dxfId="18031" priority="408">
      <formula>AND($A1070&lt;&gt;"",MOD(ROW(),2))</formula>
    </cfRule>
  </conditionalFormatting>
  <conditionalFormatting sqref="G1086">
    <cfRule type="cellIs" dxfId="18030" priority="405" operator="equal">
      <formula>#REF!</formula>
    </cfRule>
    <cfRule type="cellIs" dxfId="18029" priority="406" operator="greaterThan">
      <formula>#REF!</formula>
    </cfRule>
    <cfRule type="cellIs" dxfId="18028" priority="407" operator="lessThan">
      <formula>#REF!</formula>
    </cfRule>
  </conditionalFormatting>
  <conditionalFormatting sqref="G1087">
    <cfRule type="expression" dxfId="18027" priority="404">
      <formula>AND($A1071&lt;&gt;"",MOD(ROW(),2))</formula>
    </cfRule>
  </conditionalFormatting>
  <conditionalFormatting sqref="G1087">
    <cfRule type="cellIs" dxfId="18026" priority="401" operator="equal">
      <formula>#REF!</formula>
    </cfRule>
    <cfRule type="cellIs" dxfId="18025" priority="402" operator="greaterThan">
      <formula>#REF!</formula>
    </cfRule>
    <cfRule type="cellIs" dxfId="18024" priority="403" operator="lessThan">
      <formula>#REF!</formula>
    </cfRule>
  </conditionalFormatting>
  <conditionalFormatting sqref="G1087">
    <cfRule type="expression" dxfId="18023" priority="400">
      <formula>AND($A1071&lt;&gt;"",MOD(ROW(),2))</formula>
    </cfRule>
  </conditionalFormatting>
  <conditionalFormatting sqref="G1087">
    <cfRule type="cellIs" dxfId="18022" priority="397" operator="equal">
      <formula>#REF!</formula>
    </cfRule>
    <cfRule type="cellIs" dxfId="18021" priority="398" operator="greaterThan">
      <formula>#REF!</formula>
    </cfRule>
    <cfRule type="cellIs" dxfId="18020" priority="399" operator="lessThan">
      <formula>#REF!</formula>
    </cfRule>
  </conditionalFormatting>
  <conditionalFormatting sqref="G1088">
    <cfRule type="expression" dxfId="18019" priority="396">
      <formula>AND($A1072&lt;&gt;"",MOD(ROW(),2))</formula>
    </cfRule>
  </conditionalFormatting>
  <conditionalFormatting sqref="G1088">
    <cfRule type="cellIs" dxfId="18018" priority="393" operator="equal">
      <formula>#REF!</formula>
    </cfRule>
    <cfRule type="cellIs" dxfId="18017" priority="394" operator="greaterThan">
      <formula>#REF!</formula>
    </cfRule>
    <cfRule type="cellIs" dxfId="18016" priority="395" operator="lessThan">
      <formula>#REF!</formula>
    </cfRule>
  </conditionalFormatting>
  <conditionalFormatting sqref="G1088">
    <cfRule type="expression" dxfId="18015" priority="392">
      <formula>AND($A1072&lt;&gt;"",MOD(ROW(),2))</formula>
    </cfRule>
  </conditionalFormatting>
  <conditionalFormatting sqref="G1088">
    <cfRule type="cellIs" dxfId="18014" priority="389" operator="equal">
      <formula>#REF!</formula>
    </cfRule>
    <cfRule type="cellIs" dxfId="18013" priority="390" operator="greaterThan">
      <formula>#REF!</formula>
    </cfRule>
    <cfRule type="cellIs" dxfId="18012" priority="391" operator="lessThan">
      <formula>#REF!</formula>
    </cfRule>
  </conditionalFormatting>
  <conditionalFormatting sqref="G1089">
    <cfRule type="expression" dxfId="18011" priority="388">
      <formula>AND($A1073&lt;&gt;"",MOD(ROW(),2))</formula>
    </cfRule>
  </conditionalFormatting>
  <conditionalFormatting sqref="G1089">
    <cfRule type="cellIs" dxfId="18010" priority="385" operator="equal">
      <formula>#REF!</formula>
    </cfRule>
    <cfRule type="cellIs" dxfId="18009" priority="386" operator="greaterThan">
      <formula>#REF!</formula>
    </cfRule>
    <cfRule type="cellIs" dxfId="18008" priority="387" operator="lessThan">
      <formula>#REF!</formula>
    </cfRule>
  </conditionalFormatting>
  <conditionalFormatting sqref="G1089">
    <cfRule type="expression" dxfId="18007" priority="384">
      <formula>AND($A1073&lt;&gt;"",MOD(ROW(),2))</formula>
    </cfRule>
  </conditionalFormatting>
  <conditionalFormatting sqref="G1089">
    <cfRule type="cellIs" dxfId="18006" priority="381" operator="equal">
      <formula>#REF!</formula>
    </cfRule>
    <cfRule type="cellIs" dxfId="18005" priority="382" operator="greaterThan">
      <formula>#REF!</formula>
    </cfRule>
    <cfRule type="cellIs" dxfId="18004" priority="383" operator="lessThan">
      <formula>#REF!</formula>
    </cfRule>
  </conditionalFormatting>
  <conditionalFormatting sqref="G1090">
    <cfRule type="expression" dxfId="18003" priority="380">
      <formula>AND($A1074&lt;&gt;"",MOD(ROW(),2))</formula>
    </cfRule>
  </conditionalFormatting>
  <conditionalFormatting sqref="G1090">
    <cfRule type="cellIs" dxfId="18002" priority="377" operator="equal">
      <formula>#REF!</formula>
    </cfRule>
    <cfRule type="cellIs" dxfId="18001" priority="378" operator="greaterThan">
      <formula>#REF!</formula>
    </cfRule>
    <cfRule type="cellIs" dxfId="18000" priority="379" operator="lessThan">
      <formula>#REF!</formula>
    </cfRule>
  </conditionalFormatting>
  <conditionalFormatting sqref="G1090">
    <cfRule type="expression" dxfId="17999" priority="376">
      <formula>AND($A1074&lt;&gt;"",MOD(ROW(),2))</formula>
    </cfRule>
  </conditionalFormatting>
  <conditionalFormatting sqref="G1090">
    <cfRule type="cellIs" dxfId="17998" priority="373" operator="equal">
      <formula>#REF!</formula>
    </cfRule>
    <cfRule type="cellIs" dxfId="17997" priority="374" operator="greaterThan">
      <formula>#REF!</formula>
    </cfRule>
    <cfRule type="cellIs" dxfId="17996" priority="375" operator="lessThan">
      <formula>#REF!</formula>
    </cfRule>
  </conditionalFormatting>
  <conditionalFormatting sqref="G1088">
    <cfRule type="expression" dxfId="17995" priority="372">
      <formula>AND($A1072&lt;&gt;"",MOD(ROW(),2))</formula>
    </cfRule>
  </conditionalFormatting>
  <conditionalFormatting sqref="G1088">
    <cfRule type="cellIs" dxfId="17994" priority="369" operator="equal">
      <formula>#REF!</formula>
    </cfRule>
    <cfRule type="cellIs" dxfId="17993" priority="370" operator="greaterThan">
      <formula>#REF!</formula>
    </cfRule>
    <cfRule type="cellIs" dxfId="17992" priority="371" operator="lessThan">
      <formula>#REF!</formula>
    </cfRule>
  </conditionalFormatting>
  <conditionalFormatting sqref="G1088">
    <cfRule type="expression" dxfId="17991" priority="368">
      <formula>AND($A1072&lt;&gt;"",MOD(ROW(),2))</formula>
    </cfRule>
  </conditionalFormatting>
  <conditionalFormatting sqref="G1088">
    <cfRule type="cellIs" dxfId="17990" priority="365" operator="equal">
      <formula>#REF!</formula>
    </cfRule>
    <cfRule type="cellIs" dxfId="17989" priority="366" operator="greaterThan">
      <formula>#REF!</formula>
    </cfRule>
    <cfRule type="cellIs" dxfId="17988" priority="367" operator="lessThan">
      <formula>#REF!</formula>
    </cfRule>
  </conditionalFormatting>
  <conditionalFormatting sqref="G1089">
    <cfRule type="expression" dxfId="17987" priority="364">
      <formula>AND($A1073&lt;&gt;"",MOD(ROW(),2))</formula>
    </cfRule>
  </conditionalFormatting>
  <conditionalFormatting sqref="G1089">
    <cfRule type="cellIs" dxfId="17986" priority="361" operator="equal">
      <formula>#REF!</formula>
    </cfRule>
    <cfRule type="cellIs" dxfId="17985" priority="362" operator="greaterThan">
      <formula>#REF!</formula>
    </cfRule>
    <cfRule type="cellIs" dxfId="17984" priority="363" operator="lessThan">
      <formula>#REF!</formula>
    </cfRule>
  </conditionalFormatting>
  <conditionalFormatting sqref="G1089">
    <cfRule type="expression" dxfId="17983" priority="360">
      <formula>AND($A1073&lt;&gt;"",MOD(ROW(),2))</formula>
    </cfRule>
  </conditionalFormatting>
  <conditionalFormatting sqref="G1089">
    <cfRule type="cellIs" dxfId="17982" priority="357" operator="equal">
      <formula>#REF!</formula>
    </cfRule>
    <cfRule type="cellIs" dxfId="17981" priority="358" operator="greaterThan">
      <formula>#REF!</formula>
    </cfRule>
    <cfRule type="cellIs" dxfId="17980" priority="359" operator="lessThan">
      <formula>#REF!</formula>
    </cfRule>
  </conditionalFormatting>
  <conditionalFormatting sqref="G1091">
    <cfRule type="expression" dxfId="17979" priority="356">
      <formula>AND($A1075&lt;&gt;"",MOD(ROW(),2))</formula>
    </cfRule>
  </conditionalFormatting>
  <conditionalFormatting sqref="G1091">
    <cfRule type="cellIs" dxfId="17978" priority="353" operator="equal">
      <formula>#REF!</formula>
    </cfRule>
    <cfRule type="cellIs" dxfId="17977" priority="354" operator="greaterThan">
      <formula>#REF!</formula>
    </cfRule>
    <cfRule type="cellIs" dxfId="17976" priority="355" operator="lessThan">
      <formula>#REF!</formula>
    </cfRule>
  </conditionalFormatting>
  <conditionalFormatting sqref="G1091">
    <cfRule type="expression" dxfId="17975" priority="352">
      <formula>AND($A1075&lt;&gt;"",MOD(ROW(),2))</formula>
    </cfRule>
  </conditionalFormatting>
  <conditionalFormatting sqref="G1091">
    <cfRule type="cellIs" dxfId="17974" priority="349" operator="equal">
      <formula>#REF!</formula>
    </cfRule>
    <cfRule type="cellIs" dxfId="17973" priority="350" operator="greaterThan">
      <formula>#REF!</formula>
    </cfRule>
    <cfRule type="cellIs" dxfId="17972" priority="351" operator="lessThan">
      <formula>#REF!</formula>
    </cfRule>
  </conditionalFormatting>
  <conditionalFormatting sqref="G1092">
    <cfRule type="expression" dxfId="17971" priority="348">
      <formula>AND($A1076&lt;&gt;"",MOD(ROW(),2))</formula>
    </cfRule>
  </conditionalFormatting>
  <conditionalFormatting sqref="G1092">
    <cfRule type="cellIs" dxfId="17970" priority="345" operator="equal">
      <formula>#REF!</formula>
    </cfRule>
    <cfRule type="cellIs" dxfId="17969" priority="346" operator="greaterThan">
      <formula>#REF!</formula>
    </cfRule>
    <cfRule type="cellIs" dxfId="17968" priority="347" operator="lessThan">
      <formula>#REF!</formula>
    </cfRule>
  </conditionalFormatting>
  <conditionalFormatting sqref="G1092">
    <cfRule type="expression" dxfId="17967" priority="344">
      <formula>AND($A1076&lt;&gt;"",MOD(ROW(),2))</formula>
    </cfRule>
  </conditionalFormatting>
  <conditionalFormatting sqref="G1092">
    <cfRule type="cellIs" dxfId="17966" priority="341" operator="equal">
      <formula>#REF!</formula>
    </cfRule>
    <cfRule type="cellIs" dxfId="17965" priority="342" operator="greaterThan">
      <formula>#REF!</formula>
    </cfRule>
    <cfRule type="cellIs" dxfId="17964" priority="343" operator="lessThan">
      <formula>#REF!</formula>
    </cfRule>
  </conditionalFormatting>
  <conditionalFormatting sqref="G1093">
    <cfRule type="expression" dxfId="17963" priority="340">
      <formula>AND($A1077&lt;&gt;"",MOD(ROW(),2))</formula>
    </cfRule>
  </conditionalFormatting>
  <conditionalFormatting sqref="G1093">
    <cfRule type="cellIs" dxfId="17962" priority="337" operator="equal">
      <formula>#REF!</formula>
    </cfRule>
    <cfRule type="cellIs" dxfId="17961" priority="338" operator="greaterThan">
      <formula>#REF!</formula>
    </cfRule>
    <cfRule type="cellIs" dxfId="17960" priority="339" operator="lessThan">
      <formula>#REF!</formula>
    </cfRule>
  </conditionalFormatting>
  <conditionalFormatting sqref="G1093">
    <cfRule type="expression" dxfId="17959" priority="336">
      <formula>AND($A1077&lt;&gt;"",MOD(ROW(),2))</formula>
    </cfRule>
  </conditionalFormatting>
  <conditionalFormatting sqref="G1093">
    <cfRule type="cellIs" dxfId="17958" priority="333" operator="equal">
      <formula>#REF!</formula>
    </cfRule>
    <cfRule type="cellIs" dxfId="17957" priority="334" operator="greaterThan">
      <formula>#REF!</formula>
    </cfRule>
    <cfRule type="cellIs" dxfId="17956" priority="335" operator="lessThan">
      <formula>#REF!</formula>
    </cfRule>
  </conditionalFormatting>
  <conditionalFormatting sqref="H1095">
    <cfRule type="expression" dxfId="17955" priority="330">
      <formula>AND($A1125&lt;&gt;"",MOD(ROW(),2))</formula>
    </cfRule>
  </conditionalFormatting>
  <conditionalFormatting sqref="H1095">
    <cfRule type="expression" dxfId="17954" priority="332">
      <formula>AND(#REF!&lt;&gt;"",MOD(ROW(),2))</formula>
    </cfRule>
  </conditionalFormatting>
  <conditionalFormatting sqref="H1095">
    <cfRule type="expression" dxfId="17953" priority="331">
      <formula>AND(#REF!&lt;&gt;"",MOD(ROW(),2))</formula>
    </cfRule>
  </conditionalFormatting>
  <conditionalFormatting sqref="H1095">
    <cfRule type="expression" dxfId="17952" priority="327">
      <formula>AND($A1125&lt;&gt;"",MOD(ROW(),2))</formula>
    </cfRule>
  </conditionalFormatting>
  <conditionalFormatting sqref="H1095">
    <cfRule type="expression" dxfId="17951" priority="329">
      <formula>AND(#REF!&lt;&gt;"",MOD(ROW(),2))</formula>
    </cfRule>
  </conditionalFormatting>
  <conditionalFormatting sqref="H1095">
    <cfRule type="expression" dxfId="17950" priority="328">
      <formula>AND(#REF!&lt;&gt;"",MOD(ROW(),2))</formula>
    </cfRule>
  </conditionalFormatting>
  <conditionalFormatting sqref="H1095">
    <cfRule type="expression" dxfId="17949" priority="324">
      <formula>AND($A1125&lt;&gt;"",MOD(ROW(),2))</formula>
    </cfRule>
  </conditionalFormatting>
  <conditionalFormatting sqref="H1095">
    <cfRule type="expression" dxfId="17948" priority="326">
      <formula>AND(#REF!&lt;&gt;"",MOD(ROW(),2))</formula>
    </cfRule>
  </conditionalFormatting>
  <conditionalFormatting sqref="H1095">
    <cfRule type="expression" dxfId="17947" priority="325">
      <formula>AND(#REF!&lt;&gt;"",MOD(ROW(),2))</formula>
    </cfRule>
  </conditionalFormatting>
  <conditionalFormatting sqref="H1095">
    <cfRule type="expression" dxfId="17946" priority="321">
      <formula>AND($A1125&lt;&gt;"",MOD(ROW(),2))</formula>
    </cfRule>
  </conditionalFormatting>
  <conditionalFormatting sqref="H1095">
    <cfRule type="expression" dxfId="17945" priority="323">
      <formula>AND(#REF!&lt;&gt;"",MOD(ROW(),2))</formula>
    </cfRule>
  </conditionalFormatting>
  <conditionalFormatting sqref="H1095">
    <cfRule type="expression" dxfId="17944" priority="322">
      <formula>AND(#REF!&lt;&gt;"",MOD(ROW(),2))</formula>
    </cfRule>
  </conditionalFormatting>
  <conditionalFormatting sqref="H1095">
    <cfRule type="expression" dxfId="17943" priority="318">
      <formula>AND($A1125&lt;&gt;"",MOD(ROW(),2))</formula>
    </cfRule>
  </conditionalFormatting>
  <conditionalFormatting sqref="H1095">
    <cfRule type="expression" dxfId="17942" priority="320">
      <formula>AND(#REF!&lt;&gt;"",MOD(ROW(),2))</formula>
    </cfRule>
  </conditionalFormatting>
  <conditionalFormatting sqref="H1095">
    <cfRule type="expression" dxfId="17941" priority="319">
      <formula>AND(#REF!&lt;&gt;"",MOD(ROW(),2))</formula>
    </cfRule>
  </conditionalFormatting>
  <conditionalFormatting sqref="H1095">
    <cfRule type="expression" dxfId="17940" priority="315">
      <formula>AND($A1125&lt;&gt;"",MOD(ROW(),2))</formula>
    </cfRule>
  </conditionalFormatting>
  <conditionalFormatting sqref="H1095">
    <cfRule type="expression" dxfId="17939" priority="317">
      <formula>AND(#REF!&lt;&gt;"",MOD(ROW(),2))</formula>
    </cfRule>
  </conditionalFormatting>
  <conditionalFormatting sqref="H1095">
    <cfRule type="expression" dxfId="17938" priority="316">
      <formula>AND(#REF!&lt;&gt;"",MOD(ROW(),2))</formula>
    </cfRule>
  </conditionalFormatting>
  <conditionalFormatting sqref="H1095">
    <cfRule type="expression" dxfId="17937" priority="312">
      <formula>AND($A1125&lt;&gt;"",MOD(ROW(),2))</formula>
    </cfRule>
  </conditionalFormatting>
  <conditionalFormatting sqref="H1095">
    <cfRule type="expression" dxfId="17936" priority="314">
      <formula>AND(#REF!&lt;&gt;"",MOD(ROW(),2))</formula>
    </cfRule>
  </conditionalFormatting>
  <conditionalFormatting sqref="H1095">
    <cfRule type="expression" dxfId="17935" priority="313">
      <formula>AND(#REF!&lt;&gt;"",MOD(ROW(),2))</formula>
    </cfRule>
  </conditionalFormatting>
  <conditionalFormatting sqref="G1094">
    <cfRule type="expression" dxfId="17934" priority="311">
      <formula>AND($A1078&lt;&gt;"",MOD(ROW(),2))</formula>
    </cfRule>
  </conditionalFormatting>
  <conditionalFormatting sqref="G1094">
    <cfRule type="cellIs" dxfId="17933" priority="308" operator="equal">
      <formula>#REF!</formula>
    </cfRule>
    <cfRule type="cellIs" dxfId="17932" priority="309" operator="greaterThan">
      <formula>#REF!</formula>
    </cfRule>
    <cfRule type="cellIs" dxfId="17931" priority="310" operator="lessThan">
      <formula>#REF!</formula>
    </cfRule>
  </conditionalFormatting>
  <conditionalFormatting sqref="G1094">
    <cfRule type="expression" dxfId="17930" priority="307">
      <formula>AND($A1078&lt;&gt;"",MOD(ROW(),2))</formula>
    </cfRule>
  </conditionalFormatting>
  <conditionalFormatting sqref="G1094">
    <cfRule type="cellIs" dxfId="17929" priority="304" operator="equal">
      <formula>#REF!</formula>
    </cfRule>
    <cfRule type="cellIs" dxfId="17928" priority="305" operator="greaterThan">
      <formula>#REF!</formula>
    </cfRule>
    <cfRule type="cellIs" dxfId="17927" priority="306" operator="lessThan">
      <formula>#REF!</formula>
    </cfRule>
  </conditionalFormatting>
  <conditionalFormatting sqref="G1095">
    <cfRule type="expression" dxfId="17926" priority="303">
      <formula>AND($A1079&lt;&gt;"",MOD(ROW(),2))</formula>
    </cfRule>
  </conditionalFormatting>
  <conditionalFormatting sqref="G1095">
    <cfRule type="cellIs" dxfId="17925" priority="300" operator="equal">
      <formula>#REF!</formula>
    </cfRule>
    <cfRule type="cellIs" dxfId="17924" priority="301" operator="greaterThan">
      <formula>#REF!</formula>
    </cfRule>
    <cfRule type="cellIs" dxfId="17923" priority="302" operator="lessThan">
      <formula>#REF!</formula>
    </cfRule>
  </conditionalFormatting>
  <conditionalFormatting sqref="G1095">
    <cfRule type="expression" dxfId="17922" priority="299">
      <formula>AND($A1079&lt;&gt;"",MOD(ROW(),2))</formula>
    </cfRule>
  </conditionalFormatting>
  <conditionalFormatting sqref="G1095">
    <cfRule type="cellIs" dxfId="17921" priority="296" operator="equal">
      <formula>#REF!</formula>
    </cfRule>
    <cfRule type="cellIs" dxfId="17920" priority="297" operator="greaterThan">
      <formula>#REF!</formula>
    </cfRule>
    <cfRule type="cellIs" dxfId="17919" priority="298" operator="lessThan">
      <formula>#REF!</formula>
    </cfRule>
  </conditionalFormatting>
  <conditionalFormatting sqref="G1096">
    <cfRule type="expression" dxfId="17918" priority="295">
      <formula>AND($A1080&lt;&gt;"",MOD(ROW(),2))</formula>
    </cfRule>
  </conditionalFormatting>
  <conditionalFormatting sqref="G1096">
    <cfRule type="cellIs" dxfId="17917" priority="292" operator="equal">
      <formula>#REF!</formula>
    </cfRule>
    <cfRule type="cellIs" dxfId="17916" priority="293" operator="greaterThan">
      <formula>#REF!</formula>
    </cfRule>
    <cfRule type="cellIs" dxfId="17915" priority="294" operator="lessThan">
      <formula>#REF!</formula>
    </cfRule>
  </conditionalFormatting>
  <conditionalFormatting sqref="G1096">
    <cfRule type="expression" dxfId="17914" priority="291">
      <formula>AND($A1080&lt;&gt;"",MOD(ROW(),2))</formula>
    </cfRule>
  </conditionalFormatting>
  <conditionalFormatting sqref="G1096">
    <cfRule type="cellIs" dxfId="17913" priority="288" operator="equal">
      <formula>#REF!</formula>
    </cfRule>
    <cfRule type="cellIs" dxfId="17912" priority="289" operator="greaterThan">
      <formula>#REF!</formula>
    </cfRule>
    <cfRule type="cellIs" dxfId="17911" priority="290" operator="lessThan">
      <formula>#REF!</formula>
    </cfRule>
  </conditionalFormatting>
  <conditionalFormatting sqref="G1097">
    <cfRule type="expression" dxfId="17910" priority="287">
      <formula>AND($A1081&lt;&gt;"",MOD(ROW(),2))</formula>
    </cfRule>
  </conditionalFormatting>
  <conditionalFormatting sqref="G1097">
    <cfRule type="cellIs" dxfId="17909" priority="284" operator="equal">
      <formula>#REF!</formula>
    </cfRule>
    <cfRule type="cellIs" dxfId="17908" priority="285" operator="greaterThan">
      <formula>#REF!</formula>
    </cfRule>
    <cfRule type="cellIs" dxfId="17907" priority="286" operator="lessThan">
      <formula>#REF!</formula>
    </cfRule>
  </conditionalFormatting>
  <conditionalFormatting sqref="G1097">
    <cfRule type="expression" dxfId="17906" priority="283">
      <formula>AND($A1081&lt;&gt;"",MOD(ROW(),2))</formula>
    </cfRule>
  </conditionalFormatting>
  <conditionalFormatting sqref="G1097">
    <cfRule type="cellIs" dxfId="17905" priority="280" operator="equal">
      <formula>#REF!</formula>
    </cfRule>
    <cfRule type="cellIs" dxfId="17904" priority="281" operator="greaterThan">
      <formula>#REF!</formula>
    </cfRule>
    <cfRule type="cellIs" dxfId="17903" priority="282" operator="lessThan">
      <formula>#REF!</formula>
    </cfRule>
  </conditionalFormatting>
  <conditionalFormatting sqref="G1098">
    <cfRule type="expression" dxfId="17902" priority="279">
      <formula>AND($A1082&lt;&gt;"",MOD(ROW(),2))</formula>
    </cfRule>
  </conditionalFormatting>
  <conditionalFormatting sqref="G1098">
    <cfRule type="cellIs" dxfId="17901" priority="276" operator="equal">
      <formula>#REF!</formula>
    </cfRule>
    <cfRule type="cellIs" dxfId="17900" priority="277" operator="greaterThan">
      <formula>#REF!</formula>
    </cfRule>
    <cfRule type="cellIs" dxfId="17899" priority="278" operator="lessThan">
      <formula>#REF!</formula>
    </cfRule>
  </conditionalFormatting>
  <conditionalFormatting sqref="G1098">
    <cfRule type="expression" dxfId="17898" priority="275">
      <formula>AND($A1082&lt;&gt;"",MOD(ROW(),2))</formula>
    </cfRule>
  </conditionalFormatting>
  <conditionalFormatting sqref="G1098">
    <cfRule type="cellIs" dxfId="17897" priority="272" operator="equal">
      <formula>#REF!</formula>
    </cfRule>
    <cfRule type="cellIs" dxfId="17896" priority="273" operator="greaterThan">
      <formula>#REF!</formula>
    </cfRule>
    <cfRule type="cellIs" dxfId="17895" priority="274" operator="lessThan">
      <formula>#REF!</formula>
    </cfRule>
  </conditionalFormatting>
  <conditionalFormatting sqref="G1099">
    <cfRule type="expression" dxfId="17894" priority="271">
      <formula>AND($A1083&lt;&gt;"",MOD(ROW(),2))</formula>
    </cfRule>
  </conditionalFormatting>
  <conditionalFormatting sqref="G1099">
    <cfRule type="cellIs" dxfId="17893" priority="268" operator="equal">
      <formula>#REF!</formula>
    </cfRule>
    <cfRule type="cellIs" dxfId="17892" priority="269" operator="greaterThan">
      <formula>#REF!</formula>
    </cfRule>
    <cfRule type="cellIs" dxfId="17891" priority="270" operator="lessThan">
      <formula>#REF!</formula>
    </cfRule>
  </conditionalFormatting>
  <conditionalFormatting sqref="G1099">
    <cfRule type="expression" dxfId="17890" priority="267">
      <formula>AND($A1083&lt;&gt;"",MOD(ROW(),2))</formula>
    </cfRule>
  </conditionalFormatting>
  <conditionalFormatting sqref="G1099">
    <cfRule type="cellIs" dxfId="17889" priority="264" operator="equal">
      <formula>#REF!</formula>
    </cfRule>
    <cfRule type="cellIs" dxfId="17888" priority="265" operator="greaterThan">
      <formula>#REF!</formula>
    </cfRule>
    <cfRule type="cellIs" dxfId="17887" priority="266" operator="lessThan">
      <formula>#REF!</formula>
    </cfRule>
  </conditionalFormatting>
  <conditionalFormatting sqref="G1100">
    <cfRule type="expression" dxfId="17886" priority="263">
      <formula>AND($A1084&lt;&gt;"",MOD(ROW(),2))</formula>
    </cfRule>
  </conditionalFormatting>
  <conditionalFormatting sqref="G1100">
    <cfRule type="cellIs" dxfId="17885" priority="260" operator="equal">
      <formula>#REF!</formula>
    </cfRule>
    <cfRule type="cellIs" dxfId="17884" priority="261" operator="greaterThan">
      <formula>#REF!</formula>
    </cfRule>
    <cfRule type="cellIs" dxfId="17883" priority="262" operator="lessThan">
      <formula>#REF!</formula>
    </cfRule>
  </conditionalFormatting>
  <conditionalFormatting sqref="G1100">
    <cfRule type="expression" dxfId="17882" priority="259">
      <formula>AND($A1084&lt;&gt;"",MOD(ROW(),2))</formula>
    </cfRule>
  </conditionalFormatting>
  <conditionalFormatting sqref="G1100">
    <cfRule type="cellIs" dxfId="17881" priority="256" operator="equal">
      <formula>#REF!</formula>
    </cfRule>
    <cfRule type="cellIs" dxfId="17880" priority="257" operator="greaterThan">
      <formula>#REF!</formula>
    </cfRule>
    <cfRule type="cellIs" dxfId="17879" priority="258" operator="lessThan">
      <formula>#REF!</formula>
    </cfRule>
  </conditionalFormatting>
  <conditionalFormatting sqref="G1101">
    <cfRule type="expression" dxfId="17878" priority="255">
      <formula>AND($A1085&lt;&gt;"",MOD(ROW(),2))</formula>
    </cfRule>
  </conditionalFormatting>
  <conditionalFormatting sqref="G1101">
    <cfRule type="cellIs" dxfId="17877" priority="252" operator="equal">
      <formula>#REF!</formula>
    </cfRule>
    <cfRule type="cellIs" dxfId="17876" priority="253" operator="greaterThan">
      <formula>#REF!</formula>
    </cfRule>
    <cfRule type="cellIs" dxfId="17875" priority="254" operator="lessThan">
      <formula>#REF!</formula>
    </cfRule>
  </conditionalFormatting>
  <conditionalFormatting sqref="G1101">
    <cfRule type="expression" dxfId="17874" priority="251">
      <formula>AND($A1085&lt;&gt;"",MOD(ROW(),2))</formula>
    </cfRule>
  </conditionalFormatting>
  <conditionalFormatting sqref="G1101">
    <cfRule type="cellIs" dxfId="17873" priority="248" operator="equal">
      <formula>#REF!</formula>
    </cfRule>
    <cfRule type="cellIs" dxfId="17872" priority="249" operator="greaterThan">
      <formula>#REF!</formula>
    </cfRule>
    <cfRule type="cellIs" dxfId="17871" priority="250" operator="lessThan">
      <formula>#REF!</formula>
    </cfRule>
  </conditionalFormatting>
  <conditionalFormatting sqref="G1102">
    <cfRule type="expression" dxfId="17870" priority="247">
      <formula>AND($A1086&lt;&gt;"",MOD(ROW(),2))</formula>
    </cfRule>
  </conditionalFormatting>
  <conditionalFormatting sqref="G1102">
    <cfRule type="cellIs" dxfId="17869" priority="244" operator="equal">
      <formula>#REF!</formula>
    </cfRule>
    <cfRule type="cellIs" dxfId="17868" priority="245" operator="greaterThan">
      <formula>#REF!</formula>
    </cfRule>
    <cfRule type="cellIs" dxfId="17867" priority="246" operator="lessThan">
      <formula>#REF!</formula>
    </cfRule>
  </conditionalFormatting>
  <conditionalFormatting sqref="G1102">
    <cfRule type="expression" dxfId="17866" priority="243">
      <formula>AND($A1086&lt;&gt;"",MOD(ROW(),2))</formula>
    </cfRule>
  </conditionalFormatting>
  <conditionalFormatting sqref="G1102">
    <cfRule type="cellIs" dxfId="17865" priority="240" operator="equal">
      <formula>#REF!</formula>
    </cfRule>
    <cfRule type="cellIs" dxfId="17864" priority="241" operator="greaterThan">
      <formula>#REF!</formula>
    </cfRule>
    <cfRule type="cellIs" dxfId="17863" priority="242" operator="lessThan">
      <formula>#REF!</formula>
    </cfRule>
  </conditionalFormatting>
  <conditionalFormatting sqref="G1103">
    <cfRule type="expression" dxfId="17862" priority="239">
      <formula>AND($A1087&lt;&gt;"",MOD(ROW(),2))</formula>
    </cfRule>
  </conditionalFormatting>
  <conditionalFormatting sqref="G1103">
    <cfRule type="cellIs" dxfId="17861" priority="236" operator="equal">
      <formula>#REF!</formula>
    </cfRule>
    <cfRule type="cellIs" dxfId="17860" priority="237" operator="greaterThan">
      <formula>#REF!</formula>
    </cfRule>
    <cfRule type="cellIs" dxfId="17859" priority="238" operator="lessThan">
      <formula>#REF!</formula>
    </cfRule>
  </conditionalFormatting>
  <conditionalFormatting sqref="G1103">
    <cfRule type="expression" dxfId="17858" priority="235">
      <formula>AND($A1087&lt;&gt;"",MOD(ROW(),2))</formula>
    </cfRule>
  </conditionalFormatting>
  <conditionalFormatting sqref="G1103">
    <cfRule type="cellIs" dxfId="17857" priority="232" operator="equal">
      <formula>#REF!</formula>
    </cfRule>
    <cfRule type="cellIs" dxfId="17856" priority="233" operator="greaterThan">
      <formula>#REF!</formula>
    </cfRule>
    <cfRule type="cellIs" dxfId="17855" priority="234" operator="lessThan">
      <formula>#REF!</formula>
    </cfRule>
  </conditionalFormatting>
  <conditionalFormatting sqref="G1104">
    <cfRule type="expression" dxfId="17854" priority="231">
      <formula>AND($A1088&lt;&gt;"",MOD(ROW(),2))</formula>
    </cfRule>
  </conditionalFormatting>
  <conditionalFormatting sqref="G1104">
    <cfRule type="cellIs" dxfId="17853" priority="228" operator="equal">
      <formula>#REF!</formula>
    </cfRule>
    <cfRule type="cellIs" dxfId="17852" priority="229" operator="greaterThan">
      <formula>#REF!</formula>
    </cfRule>
    <cfRule type="cellIs" dxfId="17851" priority="230" operator="lessThan">
      <formula>#REF!</formula>
    </cfRule>
  </conditionalFormatting>
  <conditionalFormatting sqref="G1104">
    <cfRule type="expression" dxfId="17850" priority="227">
      <formula>AND($A1088&lt;&gt;"",MOD(ROW(),2))</formula>
    </cfRule>
  </conditionalFormatting>
  <conditionalFormatting sqref="G1104">
    <cfRule type="cellIs" dxfId="17849" priority="224" operator="equal">
      <formula>#REF!</formula>
    </cfRule>
    <cfRule type="cellIs" dxfId="17848" priority="225" operator="greaterThan">
      <formula>#REF!</formula>
    </cfRule>
    <cfRule type="cellIs" dxfId="17847" priority="226" operator="lessThan">
      <formula>#REF!</formula>
    </cfRule>
  </conditionalFormatting>
  <conditionalFormatting sqref="G1105">
    <cfRule type="expression" dxfId="17846" priority="223">
      <formula>AND($A1089&lt;&gt;"",MOD(ROW(),2))</formula>
    </cfRule>
  </conditionalFormatting>
  <conditionalFormatting sqref="G1105">
    <cfRule type="cellIs" dxfId="17845" priority="220" operator="equal">
      <formula>#REF!</formula>
    </cfRule>
    <cfRule type="cellIs" dxfId="17844" priority="221" operator="greaterThan">
      <formula>#REF!</formula>
    </cfRule>
    <cfRule type="cellIs" dxfId="17843" priority="222" operator="lessThan">
      <formula>#REF!</formula>
    </cfRule>
  </conditionalFormatting>
  <conditionalFormatting sqref="G1105">
    <cfRule type="expression" dxfId="17842" priority="219">
      <formula>AND($A1089&lt;&gt;"",MOD(ROW(),2))</formula>
    </cfRule>
  </conditionalFormatting>
  <conditionalFormatting sqref="G1105">
    <cfRule type="cellIs" dxfId="17841" priority="216" operator="equal">
      <formula>#REF!</formula>
    </cfRule>
    <cfRule type="cellIs" dxfId="17840" priority="217" operator="greaterThan">
      <formula>#REF!</formula>
    </cfRule>
    <cfRule type="cellIs" dxfId="17839" priority="218" operator="lessThan">
      <formula>#REF!</formula>
    </cfRule>
  </conditionalFormatting>
  <conditionalFormatting sqref="G1106">
    <cfRule type="expression" dxfId="17838" priority="215">
      <formula>AND($A1090&lt;&gt;"",MOD(ROW(),2))</formula>
    </cfRule>
  </conditionalFormatting>
  <conditionalFormatting sqref="G1106">
    <cfRule type="cellIs" dxfId="17837" priority="212" operator="equal">
      <formula>#REF!</formula>
    </cfRule>
    <cfRule type="cellIs" dxfId="17836" priority="213" operator="greaterThan">
      <formula>#REF!</formula>
    </cfRule>
    <cfRule type="cellIs" dxfId="17835" priority="214" operator="lessThan">
      <formula>#REF!</formula>
    </cfRule>
  </conditionalFormatting>
  <conditionalFormatting sqref="G1106">
    <cfRule type="expression" dxfId="17834" priority="211">
      <formula>AND($A1090&lt;&gt;"",MOD(ROW(),2))</formula>
    </cfRule>
  </conditionalFormatting>
  <conditionalFormatting sqref="G1106">
    <cfRule type="cellIs" dxfId="17833" priority="208" operator="equal">
      <formula>#REF!</formula>
    </cfRule>
    <cfRule type="cellIs" dxfId="17832" priority="209" operator="greaterThan">
      <formula>#REF!</formula>
    </cfRule>
    <cfRule type="cellIs" dxfId="17831" priority="210" operator="lessThan">
      <formula>#REF!</formula>
    </cfRule>
  </conditionalFormatting>
  <conditionalFormatting sqref="G1107">
    <cfRule type="expression" dxfId="17830" priority="207">
      <formula>AND($A1091&lt;&gt;"",MOD(ROW(),2))</formula>
    </cfRule>
  </conditionalFormatting>
  <conditionalFormatting sqref="G1107">
    <cfRule type="cellIs" dxfId="17829" priority="204" operator="equal">
      <formula>#REF!</formula>
    </cfRule>
    <cfRule type="cellIs" dxfId="17828" priority="205" operator="greaterThan">
      <formula>#REF!</formula>
    </cfRule>
    <cfRule type="cellIs" dxfId="17827" priority="206" operator="lessThan">
      <formula>#REF!</formula>
    </cfRule>
  </conditionalFormatting>
  <conditionalFormatting sqref="G1107">
    <cfRule type="expression" dxfId="17826" priority="203">
      <formula>AND($A1091&lt;&gt;"",MOD(ROW(),2))</formula>
    </cfRule>
  </conditionalFormatting>
  <conditionalFormatting sqref="G1107">
    <cfRule type="cellIs" dxfId="17825" priority="200" operator="equal">
      <formula>#REF!</formula>
    </cfRule>
    <cfRule type="cellIs" dxfId="17824" priority="201" operator="greaterThan">
      <formula>#REF!</formula>
    </cfRule>
    <cfRule type="cellIs" dxfId="17823" priority="202" operator="lessThan">
      <formula>#REF!</formula>
    </cfRule>
  </conditionalFormatting>
  <conditionalFormatting sqref="G1108">
    <cfRule type="expression" dxfId="17822" priority="199">
      <formula>AND($A1092&lt;&gt;"",MOD(ROW(),2))</formula>
    </cfRule>
  </conditionalFormatting>
  <conditionalFormatting sqref="G1108">
    <cfRule type="cellIs" dxfId="17821" priority="196" operator="equal">
      <formula>#REF!</formula>
    </cfRule>
    <cfRule type="cellIs" dxfId="17820" priority="197" operator="greaterThan">
      <formula>#REF!</formula>
    </cfRule>
    <cfRule type="cellIs" dxfId="17819" priority="198" operator="lessThan">
      <formula>#REF!</formula>
    </cfRule>
  </conditionalFormatting>
  <conditionalFormatting sqref="G1108">
    <cfRule type="expression" dxfId="17818" priority="195">
      <formula>AND($A1092&lt;&gt;"",MOD(ROW(),2))</formula>
    </cfRule>
  </conditionalFormatting>
  <conditionalFormatting sqref="G1108">
    <cfRule type="cellIs" dxfId="17817" priority="192" operator="equal">
      <formula>#REF!</formula>
    </cfRule>
    <cfRule type="cellIs" dxfId="17816" priority="193" operator="greaterThan">
      <formula>#REF!</formula>
    </cfRule>
    <cfRule type="cellIs" dxfId="17815" priority="194" operator="lessThan">
      <formula>#REF!</formula>
    </cfRule>
  </conditionalFormatting>
  <conditionalFormatting sqref="G1109">
    <cfRule type="expression" dxfId="17814" priority="191">
      <formula>AND($A1093&lt;&gt;"",MOD(ROW(),2))</formula>
    </cfRule>
  </conditionalFormatting>
  <conditionalFormatting sqref="G1109">
    <cfRule type="cellIs" dxfId="17813" priority="188" operator="equal">
      <formula>#REF!</formula>
    </cfRule>
    <cfRule type="cellIs" dxfId="17812" priority="189" operator="greaterThan">
      <formula>#REF!</formula>
    </cfRule>
    <cfRule type="cellIs" dxfId="17811" priority="190" operator="lessThan">
      <formula>#REF!</formula>
    </cfRule>
  </conditionalFormatting>
  <conditionalFormatting sqref="G1109">
    <cfRule type="expression" dxfId="17810" priority="187">
      <formula>AND($A1093&lt;&gt;"",MOD(ROW(),2))</formula>
    </cfRule>
  </conditionalFormatting>
  <conditionalFormatting sqref="G1109">
    <cfRule type="cellIs" dxfId="17809" priority="184" operator="equal">
      <formula>#REF!</formula>
    </cfRule>
    <cfRule type="cellIs" dxfId="17808" priority="185" operator="greaterThan">
      <formula>#REF!</formula>
    </cfRule>
    <cfRule type="cellIs" dxfId="17807" priority="186" operator="lessThan">
      <formula>#REF!</formula>
    </cfRule>
  </conditionalFormatting>
  <conditionalFormatting sqref="G1110">
    <cfRule type="expression" dxfId="17806" priority="183">
      <formula>AND($A1094&lt;&gt;"",MOD(ROW(),2))</formula>
    </cfRule>
  </conditionalFormatting>
  <conditionalFormatting sqref="G1110">
    <cfRule type="cellIs" dxfId="17805" priority="180" operator="equal">
      <formula>#REF!</formula>
    </cfRule>
    <cfRule type="cellIs" dxfId="17804" priority="181" operator="greaterThan">
      <formula>#REF!</formula>
    </cfRule>
    <cfRule type="cellIs" dxfId="17803" priority="182" operator="lessThan">
      <formula>#REF!</formula>
    </cfRule>
  </conditionalFormatting>
  <conditionalFormatting sqref="G1110">
    <cfRule type="expression" dxfId="17802" priority="179">
      <formula>AND($A1094&lt;&gt;"",MOD(ROW(),2))</formula>
    </cfRule>
  </conditionalFormatting>
  <conditionalFormatting sqref="G1110">
    <cfRule type="cellIs" dxfId="17801" priority="176" operator="equal">
      <formula>#REF!</formula>
    </cfRule>
    <cfRule type="cellIs" dxfId="17800" priority="177" operator="greaterThan">
      <formula>#REF!</formula>
    </cfRule>
    <cfRule type="cellIs" dxfId="17799" priority="178" operator="lessThan">
      <formula>#REF!</formula>
    </cfRule>
  </conditionalFormatting>
  <conditionalFormatting sqref="G1111">
    <cfRule type="expression" dxfId="17798" priority="175">
      <formula>AND($A1095&lt;&gt;"",MOD(ROW(),2))</formula>
    </cfRule>
  </conditionalFormatting>
  <conditionalFormatting sqref="G1111">
    <cfRule type="cellIs" dxfId="17797" priority="172" operator="equal">
      <formula>#REF!</formula>
    </cfRule>
    <cfRule type="cellIs" dxfId="17796" priority="173" operator="greaterThan">
      <formula>#REF!</formula>
    </cfRule>
    <cfRule type="cellIs" dxfId="17795" priority="174" operator="lessThan">
      <formula>#REF!</formula>
    </cfRule>
  </conditionalFormatting>
  <conditionalFormatting sqref="G1111">
    <cfRule type="expression" dxfId="17794" priority="171">
      <formula>AND($A1095&lt;&gt;"",MOD(ROW(),2))</formula>
    </cfRule>
  </conditionalFormatting>
  <conditionalFormatting sqref="G1111">
    <cfRule type="cellIs" dxfId="17793" priority="168" operator="equal">
      <formula>#REF!</formula>
    </cfRule>
    <cfRule type="cellIs" dxfId="17792" priority="169" operator="greaterThan">
      <formula>#REF!</formula>
    </cfRule>
    <cfRule type="cellIs" dxfId="17791" priority="170" operator="lessThan">
      <formula>#REF!</formula>
    </cfRule>
  </conditionalFormatting>
  <conditionalFormatting sqref="G1112">
    <cfRule type="expression" dxfId="17790" priority="167">
      <formula>AND($A1096&lt;&gt;"",MOD(ROW(),2))</formula>
    </cfRule>
  </conditionalFormatting>
  <conditionalFormatting sqref="G1112">
    <cfRule type="cellIs" dxfId="17789" priority="164" operator="equal">
      <formula>#REF!</formula>
    </cfRule>
    <cfRule type="cellIs" dxfId="17788" priority="165" operator="greaterThan">
      <formula>#REF!</formula>
    </cfRule>
    <cfRule type="cellIs" dxfId="17787" priority="166" operator="lessThan">
      <formula>#REF!</formula>
    </cfRule>
  </conditionalFormatting>
  <conditionalFormatting sqref="G1112">
    <cfRule type="expression" dxfId="17786" priority="163">
      <formula>AND($A1096&lt;&gt;"",MOD(ROW(),2))</formula>
    </cfRule>
  </conditionalFormatting>
  <conditionalFormatting sqref="G1112">
    <cfRule type="cellIs" dxfId="17785" priority="160" operator="equal">
      <formula>#REF!</formula>
    </cfRule>
    <cfRule type="cellIs" dxfId="17784" priority="161" operator="greaterThan">
      <formula>#REF!</formula>
    </cfRule>
    <cfRule type="cellIs" dxfId="17783" priority="162" operator="lessThan">
      <formula>#REF!</formula>
    </cfRule>
  </conditionalFormatting>
  <conditionalFormatting sqref="G1113">
    <cfRule type="expression" dxfId="17782" priority="159">
      <formula>AND($A1097&lt;&gt;"",MOD(ROW(),2))</formula>
    </cfRule>
  </conditionalFormatting>
  <conditionalFormatting sqref="G1113">
    <cfRule type="cellIs" dxfId="17781" priority="156" operator="equal">
      <formula>#REF!</formula>
    </cfRule>
    <cfRule type="cellIs" dxfId="17780" priority="157" operator="greaterThan">
      <formula>#REF!</formula>
    </cfRule>
    <cfRule type="cellIs" dxfId="17779" priority="158" operator="lessThan">
      <formula>#REF!</formula>
    </cfRule>
  </conditionalFormatting>
  <conditionalFormatting sqref="G1113">
    <cfRule type="expression" dxfId="17778" priority="155">
      <formula>AND($A1097&lt;&gt;"",MOD(ROW(),2))</formula>
    </cfRule>
  </conditionalFormatting>
  <conditionalFormatting sqref="G1113">
    <cfRule type="cellIs" dxfId="17777" priority="152" operator="equal">
      <formula>#REF!</formula>
    </cfRule>
    <cfRule type="cellIs" dxfId="17776" priority="153" operator="greaterThan">
      <formula>#REF!</formula>
    </cfRule>
    <cfRule type="cellIs" dxfId="17775" priority="154" operator="lessThan">
      <formula>#REF!</formula>
    </cfRule>
  </conditionalFormatting>
  <conditionalFormatting sqref="G1114">
    <cfRule type="expression" dxfId="17774" priority="151">
      <formula>AND($A1098&lt;&gt;"",MOD(ROW(),2))</formula>
    </cfRule>
  </conditionalFormatting>
  <conditionalFormatting sqref="G1114">
    <cfRule type="cellIs" dxfId="17773" priority="148" operator="equal">
      <formula>#REF!</formula>
    </cfRule>
    <cfRule type="cellIs" dxfId="17772" priority="149" operator="greaterThan">
      <formula>#REF!</formula>
    </cfRule>
    <cfRule type="cellIs" dxfId="17771" priority="150" operator="lessThan">
      <formula>#REF!</formula>
    </cfRule>
  </conditionalFormatting>
  <conditionalFormatting sqref="G1114">
    <cfRule type="expression" dxfId="17770" priority="147">
      <formula>AND($A1098&lt;&gt;"",MOD(ROW(),2))</formula>
    </cfRule>
  </conditionalFormatting>
  <conditionalFormatting sqref="G1114">
    <cfRule type="cellIs" dxfId="17769" priority="144" operator="equal">
      <formula>#REF!</formula>
    </cfRule>
    <cfRule type="cellIs" dxfId="17768" priority="145" operator="greaterThan">
      <formula>#REF!</formula>
    </cfRule>
    <cfRule type="cellIs" dxfId="17767" priority="146" operator="lessThan">
      <formula>#REF!</formula>
    </cfRule>
  </conditionalFormatting>
  <conditionalFormatting sqref="G1115">
    <cfRule type="expression" dxfId="17766" priority="143">
      <formula>AND($A1099&lt;&gt;"",MOD(ROW(),2))</formula>
    </cfRule>
  </conditionalFormatting>
  <conditionalFormatting sqref="G1115">
    <cfRule type="cellIs" dxfId="17765" priority="140" operator="equal">
      <formula>#REF!</formula>
    </cfRule>
    <cfRule type="cellIs" dxfId="17764" priority="141" operator="greaterThan">
      <formula>#REF!</formula>
    </cfRule>
    <cfRule type="cellIs" dxfId="17763" priority="142" operator="lessThan">
      <formula>#REF!</formula>
    </cfRule>
  </conditionalFormatting>
  <conditionalFormatting sqref="G1115">
    <cfRule type="expression" dxfId="17762" priority="139">
      <formula>AND($A1099&lt;&gt;"",MOD(ROW(),2))</formula>
    </cfRule>
  </conditionalFormatting>
  <conditionalFormatting sqref="G1115">
    <cfRule type="cellIs" dxfId="17761" priority="136" operator="equal">
      <formula>#REF!</formula>
    </cfRule>
    <cfRule type="cellIs" dxfId="17760" priority="137" operator="greaterThan">
      <formula>#REF!</formula>
    </cfRule>
    <cfRule type="cellIs" dxfId="17759" priority="138" operator="lessThan">
      <formula>#REF!</formula>
    </cfRule>
  </conditionalFormatting>
  <conditionalFormatting sqref="G1116">
    <cfRule type="expression" dxfId="17758" priority="135">
      <formula>AND($A1100&lt;&gt;"",MOD(ROW(),2))</formula>
    </cfRule>
  </conditionalFormatting>
  <conditionalFormatting sqref="G1116">
    <cfRule type="cellIs" dxfId="17757" priority="132" operator="equal">
      <formula>#REF!</formula>
    </cfRule>
    <cfRule type="cellIs" dxfId="17756" priority="133" operator="greaterThan">
      <formula>#REF!</formula>
    </cfRule>
    <cfRule type="cellIs" dxfId="17755" priority="134" operator="lessThan">
      <formula>#REF!</formula>
    </cfRule>
  </conditionalFormatting>
  <conditionalFormatting sqref="G1116">
    <cfRule type="expression" dxfId="17754" priority="131">
      <formula>AND($A1100&lt;&gt;"",MOD(ROW(),2))</formula>
    </cfRule>
  </conditionalFormatting>
  <conditionalFormatting sqref="G1116">
    <cfRule type="cellIs" dxfId="17753" priority="128" operator="equal">
      <formula>#REF!</formula>
    </cfRule>
    <cfRule type="cellIs" dxfId="17752" priority="129" operator="greaterThan">
      <formula>#REF!</formula>
    </cfRule>
    <cfRule type="cellIs" dxfId="17751" priority="130" operator="lessThan">
      <formula>#REF!</formula>
    </cfRule>
  </conditionalFormatting>
  <conditionalFormatting sqref="G1117">
    <cfRule type="expression" dxfId="17750" priority="127">
      <formula>AND($A1101&lt;&gt;"",MOD(ROW(),2))</formula>
    </cfRule>
  </conditionalFormatting>
  <conditionalFormatting sqref="G1117">
    <cfRule type="cellIs" dxfId="17749" priority="124" operator="equal">
      <formula>#REF!</formula>
    </cfRule>
    <cfRule type="cellIs" dxfId="17748" priority="125" operator="greaterThan">
      <formula>#REF!</formula>
    </cfRule>
    <cfRule type="cellIs" dxfId="17747" priority="126" operator="lessThan">
      <formula>#REF!</formula>
    </cfRule>
  </conditionalFormatting>
  <conditionalFormatting sqref="G1117">
    <cfRule type="expression" dxfId="17746" priority="123">
      <formula>AND($A1101&lt;&gt;"",MOD(ROW(),2))</formula>
    </cfRule>
  </conditionalFormatting>
  <conditionalFormatting sqref="G1117">
    <cfRule type="cellIs" dxfId="17745" priority="120" operator="equal">
      <formula>#REF!</formula>
    </cfRule>
    <cfRule type="cellIs" dxfId="17744" priority="121" operator="greaterThan">
      <formula>#REF!</formula>
    </cfRule>
    <cfRule type="cellIs" dxfId="17743" priority="122" operator="lessThan">
      <formula>#REF!</formula>
    </cfRule>
  </conditionalFormatting>
  <conditionalFormatting sqref="G1118">
    <cfRule type="expression" dxfId="17742" priority="119">
      <formula>AND($A1102&lt;&gt;"",MOD(ROW(),2))</formula>
    </cfRule>
  </conditionalFormatting>
  <conditionalFormatting sqref="G1118">
    <cfRule type="cellIs" dxfId="17741" priority="116" operator="equal">
      <formula>#REF!</formula>
    </cfRule>
    <cfRule type="cellIs" dxfId="17740" priority="117" operator="greaterThan">
      <formula>#REF!</formula>
    </cfRule>
    <cfRule type="cellIs" dxfId="17739" priority="118" operator="lessThan">
      <formula>#REF!</formula>
    </cfRule>
  </conditionalFormatting>
  <conditionalFormatting sqref="G1118">
    <cfRule type="expression" dxfId="17738" priority="115">
      <formula>AND($A1102&lt;&gt;"",MOD(ROW(),2))</formula>
    </cfRule>
  </conditionalFormatting>
  <conditionalFormatting sqref="G1118">
    <cfRule type="cellIs" dxfId="17737" priority="112" operator="equal">
      <formula>#REF!</formula>
    </cfRule>
    <cfRule type="cellIs" dxfId="17736" priority="113" operator="greaterThan">
      <formula>#REF!</formula>
    </cfRule>
    <cfRule type="cellIs" dxfId="17735" priority="114" operator="lessThan">
      <formula>#REF!</formula>
    </cfRule>
  </conditionalFormatting>
  <conditionalFormatting sqref="G1119">
    <cfRule type="expression" dxfId="17734" priority="111">
      <formula>AND($A1103&lt;&gt;"",MOD(ROW(),2))</formula>
    </cfRule>
  </conditionalFormatting>
  <conditionalFormatting sqref="G1119">
    <cfRule type="cellIs" dxfId="17733" priority="108" operator="equal">
      <formula>#REF!</formula>
    </cfRule>
    <cfRule type="cellIs" dxfId="17732" priority="109" operator="greaterThan">
      <formula>#REF!</formula>
    </cfRule>
    <cfRule type="cellIs" dxfId="17731" priority="110" operator="lessThan">
      <formula>#REF!</formula>
    </cfRule>
  </conditionalFormatting>
  <conditionalFormatting sqref="G1119">
    <cfRule type="expression" dxfId="17730" priority="107">
      <formula>AND($A1103&lt;&gt;"",MOD(ROW(),2))</formula>
    </cfRule>
  </conditionalFormatting>
  <conditionalFormatting sqref="G1119">
    <cfRule type="cellIs" dxfId="17729" priority="104" operator="equal">
      <formula>#REF!</formula>
    </cfRule>
    <cfRule type="cellIs" dxfId="17728" priority="105" operator="greaterThan">
      <formula>#REF!</formula>
    </cfRule>
    <cfRule type="cellIs" dxfId="17727" priority="106" operator="lessThan">
      <formula>#REF!</formula>
    </cfRule>
  </conditionalFormatting>
  <conditionalFormatting sqref="G1120">
    <cfRule type="expression" dxfId="17726" priority="103">
      <formula>AND($A1104&lt;&gt;"",MOD(ROW(),2))</formula>
    </cfRule>
  </conditionalFormatting>
  <conditionalFormatting sqref="G1120">
    <cfRule type="cellIs" dxfId="17725" priority="100" operator="equal">
      <formula>#REF!</formula>
    </cfRule>
    <cfRule type="cellIs" dxfId="17724" priority="101" operator="greaterThan">
      <formula>#REF!</formula>
    </cfRule>
    <cfRule type="cellIs" dxfId="17723" priority="102" operator="lessThan">
      <formula>#REF!</formula>
    </cfRule>
  </conditionalFormatting>
  <conditionalFormatting sqref="G1120">
    <cfRule type="expression" dxfId="17722" priority="99">
      <formula>AND($A1104&lt;&gt;"",MOD(ROW(),2))</formula>
    </cfRule>
  </conditionalFormatting>
  <conditionalFormatting sqref="G1120">
    <cfRule type="cellIs" dxfId="17721" priority="96" operator="equal">
      <formula>#REF!</formula>
    </cfRule>
    <cfRule type="cellIs" dxfId="17720" priority="97" operator="greaterThan">
      <formula>#REF!</formula>
    </cfRule>
    <cfRule type="cellIs" dxfId="17719" priority="98" operator="lessThan">
      <formula>#REF!</formula>
    </cfRule>
  </conditionalFormatting>
  <conditionalFormatting sqref="G1121">
    <cfRule type="expression" dxfId="17718" priority="95">
      <formula>AND($A1105&lt;&gt;"",MOD(ROW(),2))</formula>
    </cfRule>
  </conditionalFormatting>
  <conditionalFormatting sqref="G1121">
    <cfRule type="cellIs" dxfId="17717" priority="92" operator="equal">
      <formula>#REF!</formula>
    </cfRule>
    <cfRule type="cellIs" dxfId="17716" priority="93" operator="greaterThan">
      <formula>#REF!</formula>
    </cfRule>
    <cfRule type="cellIs" dxfId="17715" priority="94" operator="lessThan">
      <formula>#REF!</formula>
    </cfRule>
  </conditionalFormatting>
  <conditionalFormatting sqref="G1121">
    <cfRule type="expression" dxfId="17714" priority="91">
      <formula>AND($A1105&lt;&gt;"",MOD(ROW(),2))</formula>
    </cfRule>
  </conditionalFormatting>
  <conditionalFormatting sqref="G1121">
    <cfRule type="cellIs" dxfId="17713" priority="88" operator="equal">
      <formula>#REF!</formula>
    </cfRule>
    <cfRule type="cellIs" dxfId="17712" priority="89" operator="greaterThan">
      <formula>#REF!</formula>
    </cfRule>
    <cfRule type="cellIs" dxfId="17711" priority="90" operator="lessThan">
      <formula>#REF!</formula>
    </cfRule>
  </conditionalFormatting>
  <conditionalFormatting sqref="G1122">
    <cfRule type="expression" dxfId="17710" priority="87">
      <formula>AND($A1106&lt;&gt;"",MOD(ROW(),2))</formula>
    </cfRule>
  </conditionalFormatting>
  <conditionalFormatting sqref="G1122">
    <cfRule type="cellIs" dxfId="17709" priority="84" operator="equal">
      <formula>#REF!</formula>
    </cfRule>
    <cfRule type="cellIs" dxfId="17708" priority="85" operator="greaterThan">
      <formula>#REF!</formula>
    </cfRule>
    <cfRule type="cellIs" dxfId="17707" priority="86" operator="lessThan">
      <formula>#REF!</formula>
    </cfRule>
  </conditionalFormatting>
  <conditionalFormatting sqref="G1122">
    <cfRule type="expression" dxfId="17706" priority="83">
      <formula>AND($A1106&lt;&gt;"",MOD(ROW(),2))</formula>
    </cfRule>
  </conditionalFormatting>
  <conditionalFormatting sqref="G1122">
    <cfRule type="cellIs" dxfId="17705" priority="80" operator="equal">
      <formula>#REF!</formula>
    </cfRule>
    <cfRule type="cellIs" dxfId="17704" priority="81" operator="greaterThan">
      <formula>#REF!</formula>
    </cfRule>
    <cfRule type="cellIs" dxfId="17703" priority="82" operator="lessThan">
      <formula>#REF!</formula>
    </cfRule>
  </conditionalFormatting>
  <conditionalFormatting sqref="G1123">
    <cfRule type="expression" dxfId="17702" priority="79">
      <formula>AND($A1107&lt;&gt;"",MOD(ROW(),2))</formula>
    </cfRule>
  </conditionalFormatting>
  <conditionalFormatting sqref="G1123">
    <cfRule type="cellIs" dxfId="17701" priority="76" operator="equal">
      <formula>#REF!</formula>
    </cfRule>
    <cfRule type="cellIs" dxfId="17700" priority="77" operator="greaterThan">
      <formula>#REF!</formula>
    </cfRule>
    <cfRule type="cellIs" dxfId="17699" priority="78" operator="lessThan">
      <formula>#REF!</formula>
    </cfRule>
  </conditionalFormatting>
  <conditionalFormatting sqref="G1123">
    <cfRule type="expression" dxfId="17698" priority="75">
      <formula>AND($A1107&lt;&gt;"",MOD(ROW(),2))</formula>
    </cfRule>
  </conditionalFormatting>
  <conditionalFormatting sqref="G1123">
    <cfRule type="cellIs" dxfId="17697" priority="72" operator="equal">
      <formula>#REF!</formula>
    </cfRule>
    <cfRule type="cellIs" dxfId="17696" priority="73" operator="greaterThan">
      <formula>#REF!</formula>
    </cfRule>
    <cfRule type="cellIs" dxfId="17695" priority="74" operator="lessThan">
      <formula>#REF!</formula>
    </cfRule>
  </conditionalFormatting>
  <conditionalFormatting sqref="G1124">
    <cfRule type="expression" dxfId="17694" priority="71">
      <formula>AND($A1108&lt;&gt;"",MOD(ROW(),2))</formula>
    </cfRule>
  </conditionalFormatting>
  <conditionalFormatting sqref="G1124">
    <cfRule type="cellIs" dxfId="17693" priority="68" operator="equal">
      <formula>#REF!</formula>
    </cfRule>
    <cfRule type="cellIs" dxfId="17692" priority="69" operator="greaterThan">
      <formula>#REF!</formula>
    </cfRule>
    <cfRule type="cellIs" dxfId="17691" priority="70" operator="lessThan">
      <formula>#REF!</formula>
    </cfRule>
  </conditionalFormatting>
  <conditionalFormatting sqref="G1124">
    <cfRule type="expression" dxfId="17690" priority="67">
      <formula>AND($A1108&lt;&gt;"",MOD(ROW(),2))</formula>
    </cfRule>
  </conditionalFormatting>
  <conditionalFormatting sqref="G1124">
    <cfRule type="cellIs" dxfId="17689" priority="64" operator="equal">
      <formula>#REF!</formula>
    </cfRule>
    <cfRule type="cellIs" dxfId="17688" priority="65" operator="greaterThan">
      <formula>#REF!</formula>
    </cfRule>
    <cfRule type="cellIs" dxfId="17687" priority="66" operator="lessThan">
      <formula>#REF!</formula>
    </cfRule>
  </conditionalFormatting>
  <conditionalFormatting sqref="G1125">
    <cfRule type="expression" dxfId="17686" priority="63">
      <formula>AND($A1109&lt;&gt;"",MOD(ROW(),2))</formula>
    </cfRule>
  </conditionalFormatting>
  <conditionalFormatting sqref="G1125">
    <cfRule type="cellIs" dxfId="17685" priority="60" operator="equal">
      <formula>#REF!</formula>
    </cfRule>
    <cfRule type="cellIs" dxfId="17684" priority="61" operator="greaterThan">
      <formula>#REF!</formula>
    </cfRule>
    <cfRule type="cellIs" dxfId="17683" priority="62" operator="lessThan">
      <formula>#REF!</formula>
    </cfRule>
  </conditionalFormatting>
  <conditionalFormatting sqref="G1125">
    <cfRule type="expression" dxfId="17682" priority="59">
      <formula>AND($A1109&lt;&gt;"",MOD(ROW(),2))</formula>
    </cfRule>
  </conditionalFormatting>
  <conditionalFormatting sqref="G1125">
    <cfRule type="cellIs" dxfId="17681" priority="56" operator="equal">
      <formula>#REF!</formula>
    </cfRule>
    <cfRule type="cellIs" dxfId="17680" priority="57" operator="greaterThan">
      <formula>#REF!</formula>
    </cfRule>
    <cfRule type="cellIs" dxfId="17679" priority="58" operator="lessThan">
      <formula>#REF!</formula>
    </cfRule>
  </conditionalFormatting>
  <conditionalFormatting sqref="H1125">
    <cfRule type="expression" dxfId="17678" priority="55">
      <formula>AND($A1125&lt;&gt;"",MOD(ROW(),2))</formula>
    </cfRule>
  </conditionalFormatting>
  <conditionalFormatting sqref="H1125">
    <cfRule type="expression" dxfId="17677" priority="54">
      <formula>AND(#REF!&lt;&gt;"",MOD(ROW(),2))</formula>
    </cfRule>
  </conditionalFormatting>
  <conditionalFormatting sqref="H1125">
    <cfRule type="expression" dxfId="17676" priority="53">
      <formula>AND(#REF!&lt;&gt;"",MOD(ROW(),2))</formula>
    </cfRule>
  </conditionalFormatting>
  <conditionalFormatting sqref="G1126">
    <cfRule type="expression" dxfId="17675" priority="52">
      <formula>AND($A1110&lt;&gt;"",MOD(ROW(),2))</formula>
    </cfRule>
  </conditionalFormatting>
  <conditionalFormatting sqref="G1126">
    <cfRule type="cellIs" dxfId="17674" priority="49" operator="equal">
      <formula>#REF!</formula>
    </cfRule>
    <cfRule type="cellIs" dxfId="17673" priority="50" operator="greaterThan">
      <formula>#REF!</formula>
    </cfRule>
    <cfRule type="cellIs" dxfId="17672" priority="51" operator="lessThan">
      <formula>#REF!</formula>
    </cfRule>
  </conditionalFormatting>
  <conditionalFormatting sqref="G1126">
    <cfRule type="expression" dxfId="17671" priority="48">
      <formula>AND($A1110&lt;&gt;"",MOD(ROW(),2))</formula>
    </cfRule>
  </conditionalFormatting>
  <conditionalFormatting sqref="G1126">
    <cfRule type="cellIs" dxfId="17670" priority="45" operator="equal">
      <formula>#REF!</formula>
    </cfRule>
    <cfRule type="cellIs" dxfId="17669" priority="46" operator="greaterThan">
      <formula>#REF!</formula>
    </cfRule>
    <cfRule type="cellIs" dxfId="17668" priority="47" operator="lessThan">
      <formula>#REF!</formula>
    </cfRule>
  </conditionalFormatting>
  <conditionalFormatting sqref="G1127">
    <cfRule type="expression" dxfId="17667" priority="44">
      <formula>AND($A1111&lt;&gt;"",MOD(ROW(),2))</formula>
    </cfRule>
  </conditionalFormatting>
  <conditionalFormatting sqref="G1127">
    <cfRule type="cellIs" dxfId="17666" priority="41" operator="equal">
      <formula>#REF!</formula>
    </cfRule>
    <cfRule type="cellIs" dxfId="17665" priority="42" operator="greaterThan">
      <formula>#REF!</formula>
    </cfRule>
    <cfRule type="cellIs" dxfId="17664" priority="43" operator="lessThan">
      <formula>#REF!</formula>
    </cfRule>
  </conditionalFormatting>
  <conditionalFormatting sqref="G1127">
    <cfRule type="expression" dxfId="17663" priority="40">
      <formula>AND($A1111&lt;&gt;"",MOD(ROW(),2))</formula>
    </cfRule>
  </conditionalFormatting>
  <conditionalFormatting sqref="G1127">
    <cfRule type="cellIs" dxfId="17662" priority="37" operator="equal">
      <formula>#REF!</formula>
    </cfRule>
    <cfRule type="cellIs" dxfId="17661" priority="38" operator="greaterThan">
      <formula>#REF!</formula>
    </cfRule>
    <cfRule type="cellIs" dxfId="17660" priority="39" operator="lessThan">
      <formula>#REF!</formula>
    </cfRule>
  </conditionalFormatting>
  <conditionalFormatting sqref="G1128">
    <cfRule type="expression" dxfId="17659" priority="36">
      <formula>AND($A1112&lt;&gt;"",MOD(ROW(),2))</formula>
    </cfRule>
  </conditionalFormatting>
  <conditionalFormatting sqref="G1128">
    <cfRule type="cellIs" dxfId="17658" priority="33" operator="equal">
      <formula>#REF!</formula>
    </cfRule>
    <cfRule type="cellIs" dxfId="17657" priority="34" operator="greaterThan">
      <formula>#REF!</formula>
    </cfRule>
    <cfRule type="cellIs" dxfId="17656" priority="35" operator="lessThan">
      <formula>#REF!</formula>
    </cfRule>
  </conditionalFormatting>
  <conditionalFormatting sqref="G1128">
    <cfRule type="expression" dxfId="17655" priority="32">
      <formula>AND($A1112&lt;&gt;"",MOD(ROW(),2))</formula>
    </cfRule>
  </conditionalFormatting>
  <conditionalFormatting sqref="G1128">
    <cfRule type="cellIs" dxfId="17654" priority="29" operator="equal">
      <formula>#REF!</formula>
    </cfRule>
    <cfRule type="cellIs" dxfId="17653" priority="30" operator="greaterThan">
      <formula>#REF!</formula>
    </cfRule>
    <cfRule type="cellIs" dxfId="17652" priority="31" operator="lessThan">
      <formula>#REF!</formula>
    </cfRule>
  </conditionalFormatting>
  <conditionalFormatting sqref="G1129">
    <cfRule type="expression" dxfId="17651" priority="28">
      <formula>AND($A1113&lt;&gt;"",MOD(ROW(),2))</formula>
    </cfRule>
  </conditionalFormatting>
  <conditionalFormatting sqref="G1129">
    <cfRule type="cellIs" dxfId="17650" priority="25" operator="equal">
      <formula>#REF!</formula>
    </cfRule>
    <cfRule type="cellIs" dxfId="17649" priority="26" operator="greaterThan">
      <formula>#REF!</formula>
    </cfRule>
    <cfRule type="cellIs" dxfId="17648" priority="27" operator="lessThan">
      <formula>#REF!</formula>
    </cfRule>
  </conditionalFormatting>
  <conditionalFormatting sqref="G1129">
    <cfRule type="expression" dxfId="17647" priority="24">
      <formula>AND($A1113&lt;&gt;"",MOD(ROW(),2))</formula>
    </cfRule>
  </conditionalFormatting>
  <conditionalFormatting sqref="G1129">
    <cfRule type="cellIs" dxfId="17646" priority="21" operator="equal">
      <formula>#REF!</formula>
    </cfRule>
    <cfRule type="cellIs" dxfId="17645" priority="22" operator="greaterThan">
      <formula>#REF!</formula>
    </cfRule>
    <cfRule type="cellIs" dxfId="17644" priority="23" operator="lessThan">
      <formula>#REF!</formula>
    </cfRule>
  </conditionalFormatting>
  <conditionalFormatting sqref="G1130:G1776">
    <cfRule type="expression" dxfId="17643" priority="20">
      <formula>AND($A1114&lt;&gt;"",MOD(ROW(),2))</formula>
    </cfRule>
  </conditionalFormatting>
  <conditionalFormatting sqref="G1130:G1776">
    <cfRule type="cellIs" dxfId="17642" priority="17" operator="equal">
      <formula>#REF!</formula>
    </cfRule>
    <cfRule type="cellIs" dxfId="17641" priority="18" operator="greaterThan">
      <formula>#REF!</formula>
    </cfRule>
    <cfRule type="cellIs" dxfId="17640" priority="19" operator="lessThan">
      <formula>#REF!</formula>
    </cfRule>
  </conditionalFormatting>
  <conditionalFormatting sqref="G1130:G1776">
    <cfRule type="expression" dxfId="17639" priority="16">
      <formula>AND($A1114&lt;&gt;"",MOD(ROW(),2))</formula>
    </cfRule>
  </conditionalFormatting>
  <conditionalFormatting sqref="G1130:G1776">
    <cfRule type="cellIs" dxfId="17638" priority="13" operator="equal">
      <formula>#REF!</formula>
    </cfRule>
    <cfRule type="cellIs" dxfId="17637" priority="14" operator="greaterThan">
      <formula>#REF!</formula>
    </cfRule>
    <cfRule type="cellIs" dxfId="17636" priority="15" operator="lessThan">
      <formula>#REF!</formula>
    </cfRule>
  </conditionalFormatting>
  <conditionalFormatting sqref="H1133">
    <cfRule type="expression" dxfId="17635" priority="12">
      <formula>AND($A1133&lt;&gt;"",MOD(ROW(),2))</formula>
    </cfRule>
  </conditionalFormatting>
  <conditionalFormatting sqref="H1133">
    <cfRule type="expression" dxfId="17634" priority="11">
      <formula>AND(#REF!&lt;&gt;"",MOD(ROW(),2))</formula>
    </cfRule>
  </conditionalFormatting>
  <conditionalFormatting sqref="H1133">
    <cfRule type="expression" dxfId="17633" priority="10">
      <formula>AND(#REF!&lt;&gt;"",MOD(ROW(),2))</formula>
    </cfRule>
  </conditionalFormatting>
  <conditionalFormatting sqref="H1145">
    <cfRule type="expression" dxfId="17632" priority="9">
      <formula>AND($A1145&lt;&gt;"",MOD(ROW(),2))</formula>
    </cfRule>
  </conditionalFormatting>
  <conditionalFormatting sqref="H1145">
    <cfRule type="expression" dxfId="17631" priority="8">
      <formula>AND(#REF!&lt;&gt;"",MOD(ROW(),2))</formula>
    </cfRule>
  </conditionalFormatting>
  <conditionalFormatting sqref="H1145">
    <cfRule type="expression" dxfId="17630" priority="7">
      <formula>AND(#REF!&lt;&gt;"",MOD(ROW(),2))</formula>
    </cfRule>
  </conditionalFormatting>
  <conditionalFormatting sqref="H1324">
    <cfRule type="expression" dxfId="17629" priority="6">
      <formula>AND($A1324&lt;&gt;"",MOD(ROW(),2))</formula>
    </cfRule>
  </conditionalFormatting>
  <conditionalFormatting sqref="H1324">
    <cfRule type="expression" dxfId="17628" priority="5">
      <formula>AND(#REF!&lt;&gt;"",MOD(ROW(),2))</formula>
    </cfRule>
  </conditionalFormatting>
  <conditionalFormatting sqref="H1324">
    <cfRule type="expression" dxfId="17627" priority="4">
      <formula>AND(#REF!&lt;&gt;"",MOD(ROW(),2))</formula>
    </cfRule>
  </conditionalFormatting>
  <conditionalFormatting sqref="H1571:H1572">
    <cfRule type="expression" dxfId="17626" priority="3">
      <formula>AND($A1571&lt;&gt;"",MOD(ROW(),2))</formula>
    </cfRule>
  </conditionalFormatting>
  <conditionalFormatting sqref="H1571:H1572">
    <cfRule type="expression" dxfId="17625" priority="2">
      <formula>AND(#REF!&lt;&gt;"",MOD(ROW(),2))</formula>
    </cfRule>
  </conditionalFormatting>
  <conditionalFormatting sqref="H1571:H1572">
    <cfRule type="expression" dxfId="17624" priority="1">
      <formula>AND(#REF!&lt;&gt;"",MOD(ROW(),2))</formula>
    </cfRule>
  </conditionalFormatting>
  <pageMargins left="0.75" right="0.75" top="1" bottom="1" header="0.5" footer="0.5"/>
  <pageSetup paperSize="9" orientation="portrait" horizontalDpi="4294967292" verticalDpi="4294967292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764" id="{CB3F841D-4E10-4D9E-8ADD-13E911FD19D9}">
            <xm:f>AND(#REF!&lt;&gt;"",MOD(ROW(),2))</xm:f>
            <x14:dxf>
              <fill>
                <patternFill>
                  <bgColor theme="0" tint="-4.9989318521683403E-2"/>
                </patternFill>
              </fill>
            </x14:dxf>
          </x14:cfRule>
          <xm:sqref>I175</xm:sqref>
        </x14:conditionalFormatting>
        <x14:conditionalFormatting xmlns:xm="http://schemas.microsoft.com/office/excel/2006/main">
          <x14:cfRule type="expression" priority="4744" id="{DC302E88-07F1-4031-BA2B-FA6E9A5533DD}">
            <xm:f>AND(#REF!&lt;&gt;"",MOD(ROW(),2))</xm:f>
            <x14:dxf>
              <fill>
                <patternFill>
                  <bgColor theme="0" tint="-4.9989318521683403E-2"/>
                </patternFill>
              </fill>
            </x14:dxf>
          </x14:cfRule>
          <xm:sqref>I175</xm:sqref>
        </x14:conditionalFormatting>
        <x14:conditionalFormatting xmlns:xm="http://schemas.microsoft.com/office/excel/2006/main">
          <x14:cfRule type="expression" priority="4743" id="{E6A6BE9E-F334-4E0E-8E53-2704A3197033}">
            <xm:f>AND(#REF!&lt;&gt;"",MOD(ROW(),2))</xm:f>
            <x14:dxf>
              <fill>
                <patternFill>
                  <bgColor theme="0" tint="-4.9989318521683403E-2"/>
                </patternFill>
              </fill>
            </x14:dxf>
          </x14:cfRule>
          <xm:sqref>I175</xm:sqref>
        </x14:conditionalFormatting>
        <x14:conditionalFormatting xmlns:xm="http://schemas.microsoft.com/office/excel/2006/main">
          <x14:cfRule type="cellIs" priority="4740" operator="equal" id="{C8ACCE0A-EDE0-4A40-875A-6F4A48163639}">
            <xm:f>#REF!</xm:f>
            <x14:dxf>
              <font>
                <color theme="4" tint="-0.24994659260841701"/>
              </font>
            </x14:dxf>
          </x14:cfRule>
          <x14:cfRule type="cellIs" priority="4741" operator="greaterThan" id="{D62A910E-AB80-48F7-8010-EABE2EE69FA9}">
            <xm:f>#REF!</xm:f>
            <x14:dxf>
              <font>
                <color rgb="FF00B050"/>
              </font>
            </x14:dxf>
          </x14:cfRule>
          <x14:cfRule type="cellIs" priority="4742" operator="lessThan" id="{78E152B5-6EC2-4F92-A0DE-9D71160E3666}">
            <xm:f>#REF!</xm:f>
            <x14:dxf>
              <font>
                <color rgb="FFFF0000"/>
              </font>
              <fill>
                <patternFill patternType="none">
                  <bgColor indexed="65"/>
                </patternFill>
              </fill>
            </x14:dxf>
          </x14:cfRule>
          <xm:sqref>I175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00000000}">
          <x14:formula1>
            <xm:f>PullDownValues!$H$2:$H$17</xm:f>
          </x14:formula1>
          <xm:sqref>O124 H9:H174 H178:H423 H471 H614 H621:H622 H701 H840 H1027 H1075 H1085:H1086 H1095 H1125 H1133 H1145 H1324 H1551 H1571:H1572</xm:sqref>
        </x14:dataValidation>
        <x14:dataValidation type="list" allowBlank="1" showInputMessage="1" showErrorMessage="1" xr:uid="{00000000-0002-0000-0300-000001000000}">
          <x14:formula1>
            <xm:f>PullDownValues!$D$2:$D$7</xm:f>
          </x14:formula1>
          <xm:sqref>D9:D37 D49:D337</xm:sqref>
        </x14:dataValidation>
        <x14:dataValidation type="list" allowBlank="1" showInputMessage="1" showErrorMessage="1" xr:uid="{00000000-0002-0000-0300-000002000000}">
          <x14:formula1>
            <xm:f>PullDownValues!$F$2:$F$14</xm:f>
          </x14:formula1>
          <xm:sqref>H175:H177 I174 P124 I178:I179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Q33"/>
  <sheetViews>
    <sheetView workbookViewId="0">
      <pane ySplit="1" topLeftCell="A2" activePane="bottomLeft" state="frozen"/>
      <selection pane="bottomLeft" activeCell="H14" sqref="H14"/>
    </sheetView>
  </sheetViews>
  <sheetFormatPr defaultColWidth="8.85546875" defaultRowHeight="15" x14ac:dyDescent="0.25"/>
  <cols>
    <col min="1" max="1" width="10.140625" bestFit="1" customWidth="1"/>
    <col min="2" max="2" width="17.28515625" customWidth="1"/>
    <col min="3" max="3" width="11.140625" customWidth="1"/>
    <col min="4" max="4" width="14.28515625" bestFit="1" customWidth="1"/>
    <col min="5" max="5" width="13.42578125" bestFit="1" customWidth="1"/>
    <col min="6" max="6" width="10.5703125" style="32" bestFit="1" customWidth="1"/>
    <col min="7" max="7" width="14.28515625" bestFit="1" customWidth="1"/>
    <col min="8" max="8" width="10.5703125" style="60" bestFit="1" customWidth="1"/>
    <col min="10" max="10" width="6.140625" customWidth="1"/>
    <col min="11" max="11" width="9.5703125" bestFit="1" customWidth="1"/>
    <col min="13" max="13" width="11.42578125" bestFit="1" customWidth="1"/>
    <col min="14" max="14" width="9.85546875" bestFit="1" customWidth="1"/>
    <col min="15" max="15" width="12.42578125" bestFit="1" customWidth="1"/>
    <col min="18" max="18" width="9.85546875" bestFit="1" customWidth="1"/>
  </cols>
  <sheetData>
    <row r="1" spans="2:17" x14ac:dyDescent="0.25">
      <c r="B1" t="s">
        <v>115</v>
      </c>
      <c r="C1" s="9"/>
      <c r="D1" t="s">
        <v>51</v>
      </c>
      <c r="F1" s="60" t="s">
        <v>136</v>
      </c>
      <c r="H1" s="60" t="s">
        <v>135</v>
      </c>
      <c r="O1" s="10"/>
      <c r="P1" s="10"/>
    </row>
    <row r="2" spans="2:17" x14ac:dyDescent="0.25">
      <c r="B2" t="s">
        <v>117</v>
      </c>
      <c r="C2" s="10"/>
      <c r="D2" s="8" t="s">
        <v>118</v>
      </c>
      <c r="E2" s="8"/>
      <c r="F2" s="61" t="s">
        <v>22</v>
      </c>
      <c r="G2" s="8"/>
      <c r="H2" s="61" t="s">
        <v>97</v>
      </c>
      <c r="I2" s="10"/>
      <c r="J2" s="10"/>
      <c r="K2" s="9"/>
      <c r="L2" s="9"/>
    </row>
    <row r="3" spans="2:17" x14ac:dyDescent="0.25">
      <c r="B3" t="s">
        <v>157</v>
      </c>
      <c r="C3" s="51"/>
      <c r="D3" s="8" t="s">
        <v>111</v>
      </c>
      <c r="E3" s="8"/>
      <c r="F3" s="56" t="s">
        <v>45</v>
      </c>
      <c r="G3" s="8"/>
      <c r="H3" s="61" t="s">
        <v>22</v>
      </c>
      <c r="I3" s="55"/>
      <c r="J3" s="55"/>
      <c r="K3" s="9"/>
      <c r="L3" s="9"/>
      <c r="Q3" s="7"/>
    </row>
    <row r="4" spans="2:17" x14ac:dyDescent="0.25">
      <c r="B4" t="s">
        <v>181</v>
      </c>
      <c r="C4" s="10"/>
      <c r="D4" s="8" t="s">
        <v>180</v>
      </c>
      <c r="F4" s="61" t="s">
        <v>53</v>
      </c>
      <c r="H4" s="61" t="s">
        <v>122</v>
      </c>
      <c r="I4" s="10"/>
      <c r="J4" s="10"/>
      <c r="K4" s="9"/>
      <c r="L4" s="9"/>
    </row>
    <row r="5" spans="2:17" x14ac:dyDescent="0.25">
      <c r="B5" t="s">
        <v>114</v>
      </c>
      <c r="C5" s="51"/>
      <c r="D5" s="8" t="s">
        <v>128</v>
      </c>
      <c r="F5" s="61" t="s">
        <v>54</v>
      </c>
      <c r="H5" s="61" t="s">
        <v>121</v>
      </c>
      <c r="I5" s="55"/>
      <c r="J5" s="55"/>
      <c r="K5" s="9"/>
      <c r="L5" s="9"/>
    </row>
    <row r="6" spans="2:17" x14ac:dyDescent="0.25">
      <c r="B6" t="s">
        <v>124</v>
      </c>
      <c r="C6" s="10"/>
      <c r="D6" s="8" t="s">
        <v>129</v>
      </c>
      <c r="E6" s="10"/>
      <c r="F6" s="61" t="s">
        <v>64</v>
      </c>
      <c r="G6" s="10"/>
      <c r="H6" s="61" t="s">
        <v>40</v>
      </c>
      <c r="I6" s="10"/>
      <c r="J6" s="10"/>
      <c r="K6" s="9"/>
      <c r="L6" s="9"/>
    </row>
    <row r="7" spans="2:17" x14ac:dyDescent="0.25">
      <c r="B7" t="s">
        <v>433</v>
      </c>
      <c r="C7" s="51"/>
      <c r="D7" t="s">
        <v>205</v>
      </c>
      <c r="E7" s="51"/>
      <c r="F7" s="61" t="s">
        <v>133</v>
      </c>
      <c r="G7" s="51"/>
      <c r="H7" s="56" t="s">
        <v>263</v>
      </c>
      <c r="I7" s="55"/>
      <c r="J7" s="55"/>
      <c r="K7" s="9"/>
      <c r="L7" s="9"/>
      <c r="Q7" s="7"/>
    </row>
    <row r="8" spans="2:17" x14ac:dyDescent="0.25">
      <c r="B8" t="s">
        <v>59</v>
      </c>
      <c r="C8" s="9"/>
      <c r="D8" s="8"/>
      <c r="E8" s="9"/>
      <c r="F8" s="61" t="s">
        <v>32</v>
      </c>
      <c r="H8" s="56" t="s">
        <v>261</v>
      </c>
      <c r="J8" s="52"/>
    </row>
    <row r="9" spans="2:17" x14ac:dyDescent="0.25">
      <c r="B9" t="s">
        <v>111</v>
      </c>
      <c r="C9" s="9"/>
      <c r="D9" s="10"/>
      <c r="E9" s="9"/>
      <c r="F9" s="61" t="s">
        <v>16</v>
      </c>
      <c r="G9" s="10"/>
      <c r="H9" s="56" t="s">
        <v>262</v>
      </c>
      <c r="I9" s="10"/>
      <c r="J9" s="10"/>
      <c r="K9" s="9"/>
      <c r="L9" s="9"/>
    </row>
    <row r="10" spans="2:17" x14ac:dyDescent="0.25">
      <c r="B10" t="s">
        <v>511</v>
      </c>
      <c r="C10" s="9"/>
      <c r="D10" s="51"/>
      <c r="E10" s="9"/>
      <c r="F10" s="61" t="s">
        <v>17</v>
      </c>
      <c r="G10" s="51"/>
      <c r="H10" s="61" t="s">
        <v>46</v>
      </c>
      <c r="I10" s="55"/>
      <c r="J10" s="55"/>
      <c r="K10" s="9"/>
      <c r="L10" s="9"/>
      <c r="Q10" s="7"/>
    </row>
    <row r="11" spans="2:17" x14ac:dyDescent="0.25">
      <c r="C11" s="9"/>
      <c r="E11" s="9"/>
      <c r="F11" s="61" t="s">
        <v>43</v>
      </c>
      <c r="G11" s="10"/>
      <c r="H11" s="61" t="s">
        <v>120</v>
      </c>
      <c r="I11" s="10"/>
      <c r="J11" s="10"/>
      <c r="K11" s="9"/>
      <c r="L11" s="9"/>
    </row>
    <row r="12" spans="2:17" x14ac:dyDescent="0.25">
      <c r="C12" s="9"/>
      <c r="D12" s="10"/>
      <c r="E12" s="9"/>
      <c r="F12" s="61" t="s">
        <v>34</v>
      </c>
      <c r="G12" s="51"/>
      <c r="H12" s="61" t="s">
        <v>43</v>
      </c>
      <c r="I12" s="55"/>
      <c r="J12" s="55"/>
      <c r="K12" s="9"/>
      <c r="L12" s="9"/>
    </row>
    <row r="13" spans="2:17" x14ac:dyDescent="0.25">
      <c r="C13" s="9"/>
      <c r="D13" s="51"/>
      <c r="E13" s="9"/>
      <c r="F13" s="61" t="s">
        <v>20</v>
      </c>
      <c r="G13" s="10"/>
      <c r="H13" s="61" t="s">
        <v>858</v>
      </c>
      <c r="I13" s="10"/>
      <c r="J13" s="10"/>
      <c r="K13" s="9"/>
      <c r="L13" s="9"/>
    </row>
    <row r="14" spans="2:17" x14ac:dyDescent="0.25">
      <c r="C14" s="9"/>
      <c r="D14" s="10"/>
      <c r="E14" s="9"/>
      <c r="F14" s="61" t="s">
        <v>26</v>
      </c>
      <c r="G14" s="51"/>
      <c r="H14" s="61" t="s">
        <v>36</v>
      </c>
      <c r="I14" s="55"/>
      <c r="J14" s="55"/>
      <c r="K14" s="9"/>
      <c r="L14" s="9"/>
      <c r="Q14" s="7"/>
    </row>
    <row r="15" spans="2:17" x14ac:dyDescent="0.25">
      <c r="D15" s="51"/>
      <c r="E15" s="9"/>
      <c r="F15" s="61"/>
      <c r="H15" s="61" t="s">
        <v>35</v>
      </c>
      <c r="K15" s="52"/>
    </row>
    <row r="16" spans="2:17" x14ac:dyDescent="0.25">
      <c r="D16" s="10"/>
      <c r="E16" s="9"/>
      <c r="F16" s="61"/>
      <c r="H16" s="61" t="s">
        <v>56</v>
      </c>
      <c r="K16" s="52"/>
    </row>
    <row r="17" spans="4:14" x14ac:dyDescent="0.25">
      <c r="D17" s="51"/>
      <c r="E17" s="9"/>
      <c r="F17" s="61"/>
      <c r="H17" s="61" t="s">
        <v>108</v>
      </c>
      <c r="K17" s="52"/>
    </row>
    <row r="18" spans="4:14" x14ac:dyDescent="0.25">
      <c r="E18" s="9"/>
      <c r="K18" s="52"/>
    </row>
    <row r="19" spans="4:14" x14ac:dyDescent="0.25">
      <c r="E19" s="9"/>
      <c r="K19" s="52"/>
    </row>
    <row r="20" spans="4:14" x14ac:dyDescent="0.25">
      <c r="E20" s="9"/>
    </row>
    <row r="21" spans="4:14" x14ac:dyDescent="0.25">
      <c r="E21" s="9"/>
    </row>
    <row r="22" spans="4:14" x14ac:dyDescent="0.25">
      <c r="E22" s="9"/>
      <c r="K22" s="52"/>
    </row>
    <row r="23" spans="4:14" x14ac:dyDescent="0.25">
      <c r="E23" s="9"/>
    </row>
    <row r="24" spans="4:14" x14ac:dyDescent="0.25">
      <c r="E24" s="9"/>
    </row>
    <row r="25" spans="4:14" x14ac:dyDescent="0.25">
      <c r="E25" s="9"/>
    </row>
    <row r="26" spans="4:14" x14ac:dyDescent="0.25">
      <c r="E26" s="9"/>
    </row>
    <row r="27" spans="4:14" x14ac:dyDescent="0.25">
      <c r="E27" s="9"/>
      <c r="L27" s="22"/>
      <c r="M27" s="22"/>
      <c r="N27" s="22"/>
    </row>
    <row r="28" spans="4:14" x14ac:dyDescent="0.25">
      <c r="M28" s="22"/>
    </row>
    <row r="31" spans="4:14" x14ac:dyDescent="0.25">
      <c r="K31" s="23"/>
      <c r="N31" s="22"/>
    </row>
    <row r="33" spans="12:13" x14ac:dyDescent="0.25">
      <c r="L33" s="22"/>
      <c r="M33" s="22"/>
    </row>
  </sheetData>
  <pageMargins left="0.7" right="0.7" top="0.75" bottom="0.75" header="0.3" footer="0.3"/>
  <pageSetup orientation="portrait" horizontalDpi="4294967293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355"/>
  <sheetViews>
    <sheetView topLeftCell="C1" zoomScaleNormal="100" workbookViewId="0">
      <pane ySplit="5" topLeftCell="A7" activePane="bottomLeft" state="frozen"/>
      <selection pane="bottomLeft" activeCell="M72" sqref="M72"/>
    </sheetView>
  </sheetViews>
  <sheetFormatPr defaultColWidth="8.85546875" defaultRowHeight="15" customHeight="1" x14ac:dyDescent="0.25"/>
  <cols>
    <col min="1" max="1" width="3.28515625" style="10" bestFit="1" customWidth="1"/>
    <col min="2" max="3" width="12.5703125" bestFit="1" customWidth="1"/>
    <col min="4" max="4" width="12.85546875" bestFit="1" customWidth="1"/>
    <col min="5" max="5" width="15.28515625" bestFit="1" customWidth="1"/>
    <col min="6" max="6" width="15.28515625" customWidth="1"/>
    <col min="7" max="7" width="9.42578125" style="31" customWidth="1"/>
    <col min="8" max="8" width="11.5703125" bestFit="1" customWidth="1"/>
    <col min="9" max="9" width="12.7109375" bestFit="1" customWidth="1"/>
    <col min="10" max="10" width="15.140625" customWidth="1"/>
    <col min="11" max="11" width="10.5703125" customWidth="1"/>
    <col min="12" max="12" width="12.5703125" customWidth="1"/>
    <col min="13" max="13" width="10.7109375" customWidth="1"/>
    <col min="14" max="14" width="12.7109375" customWidth="1"/>
    <col min="15" max="16" width="10.5703125" customWidth="1"/>
    <col min="17" max="17" width="8.85546875" customWidth="1"/>
  </cols>
  <sheetData>
    <row r="1" spans="1:18" ht="35.1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5">
        <f>SUM(P6:P90)-O4</f>
        <v>0</v>
      </c>
      <c r="P1" s="255"/>
      <c r="Q1" s="114"/>
      <c r="R1" s="114"/>
    </row>
    <row r="2" spans="1:18" s="9" customFormat="1" ht="15.95" customHeight="1" x14ac:dyDescent="0.25">
      <c r="A2" s="283" t="s">
        <v>4</v>
      </c>
      <c r="B2" s="283"/>
      <c r="C2" s="283"/>
      <c r="D2" s="283"/>
      <c r="E2" s="283"/>
      <c r="F2" s="283"/>
      <c r="G2" s="285">
        <f>SUM($D$6:$D$2990)-SUMIF($F$7:$F$290,"Bond Received",$D$7:$D$2990)-SUMIF($F$7:$F$290,"Unpaid Rent",$D$7:$D$2990)-(SUMIF($F$7:$F$290,"Discount Rent",$D$7:$D$2990)*2)</f>
        <v>8650</v>
      </c>
      <c r="H2" s="285"/>
      <c r="I2" s="285"/>
      <c r="J2" s="287" t="s">
        <v>5</v>
      </c>
      <c r="K2" s="287"/>
      <c r="L2" s="287"/>
      <c r="M2" s="262">
        <f>SUM($K$6:$K$2990)-SUMIF($L$6:$L$2990,"Bond Return",$K$6:$K$2990)</f>
        <v>5438.83</v>
      </c>
      <c r="N2" s="263"/>
      <c r="O2" s="265"/>
      <c r="P2" s="265"/>
      <c r="Q2" s="35"/>
    </row>
    <row r="3" spans="1:18" s="9" customFormat="1" ht="15.95" customHeight="1" x14ac:dyDescent="0.25">
      <c r="A3" s="284"/>
      <c r="B3" s="284"/>
      <c r="C3" s="284"/>
      <c r="D3" s="284"/>
      <c r="E3" s="284"/>
      <c r="F3" s="284"/>
      <c r="G3" s="286"/>
      <c r="H3" s="286"/>
      <c r="I3" s="286"/>
      <c r="J3" s="288"/>
      <c r="K3" s="288"/>
      <c r="L3" s="288"/>
      <c r="M3" s="264"/>
      <c r="N3" s="264"/>
      <c r="O3" s="266"/>
      <c r="P3" s="266"/>
    </row>
    <row r="4" spans="1:18" s="9" customFormat="1" ht="15.95" customHeight="1" x14ac:dyDescent="0.25">
      <c r="A4" s="244" t="s">
        <v>6</v>
      </c>
      <c r="B4" s="244" t="s">
        <v>7</v>
      </c>
      <c r="C4" s="267" t="s">
        <v>8</v>
      </c>
      <c r="D4" s="269" t="s">
        <v>9</v>
      </c>
      <c r="E4" s="269" t="s">
        <v>10</v>
      </c>
      <c r="F4" s="252" t="s">
        <v>112</v>
      </c>
      <c r="G4" s="276" t="s">
        <v>11</v>
      </c>
      <c r="H4" s="244" t="s">
        <v>12</v>
      </c>
      <c r="I4" s="322" t="s">
        <v>113</v>
      </c>
      <c r="J4" s="246" t="s">
        <v>13</v>
      </c>
      <c r="K4" s="246" t="s">
        <v>14</v>
      </c>
      <c r="L4" s="248" t="s">
        <v>15</v>
      </c>
      <c r="M4" s="249"/>
      <c r="N4" s="271" t="s">
        <v>113</v>
      </c>
      <c r="O4" s="273">
        <f>G2-M2</f>
        <v>3211.17</v>
      </c>
      <c r="P4" s="274">
        <f>SUM(P2:P3)</f>
        <v>0</v>
      </c>
      <c r="Q4" s="63">
        <f>SUM(Q2:Q3)</f>
        <v>0</v>
      </c>
    </row>
    <row r="5" spans="1:18" s="10" customFormat="1" x14ac:dyDescent="0.25">
      <c r="A5" s="245"/>
      <c r="B5" s="245"/>
      <c r="C5" s="268"/>
      <c r="D5" s="270"/>
      <c r="E5" s="270"/>
      <c r="F5" s="253"/>
      <c r="G5" s="277"/>
      <c r="H5" s="245"/>
      <c r="I5" s="323"/>
      <c r="J5" s="247"/>
      <c r="K5" s="247"/>
      <c r="L5" s="250"/>
      <c r="M5" s="251"/>
      <c r="N5" s="272"/>
      <c r="O5" s="275"/>
      <c r="P5" s="275"/>
      <c r="Q5" s="18"/>
      <c r="R5" s="64"/>
    </row>
    <row r="6" spans="1:18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1"/>
      <c r="K6" s="42"/>
      <c r="L6" s="43" t="s">
        <v>123</v>
      </c>
      <c r="M6" s="43"/>
      <c r="N6" s="43"/>
      <c r="O6"/>
    </row>
    <row r="7" spans="1:18" ht="15" customHeight="1" x14ac:dyDescent="0.25">
      <c r="A7" s="10">
        <v>1</v>
      </c>
      <c r="B7" s="48">
        <v>44525</v>
      </c>
      <c r="C7" s="17">
        <v>400</v>
      </c>
      <c r="D7" s="17">
        <v>400</v>
      </c>
      <c r="E7" s="16">
        <v>44525</v>
      </c>
      <c r="F7" s="16" t="s">
        <v>181</v>
      </c>
      <c r="H7" s="17">
        <f>IFERROR(IF(F6="Closed account",(IF(F7="Unpaid Rent",(C7),(C7-D7))),(IF(F7="Unpaid Rent",(C7+H6),(C7-D7+H6)))),"")</f>
        <v>0</v>
      </c>
      <c r="I7" s="17" t="s">
        <v>755</v>
      </c>
      <c r="J7" s="48">
        <v>44510</v>
      </c>
      <c r="K7" s="17">
        <v>72.599999999999994</v>
      </c>
      <c r="L7" s="49" t="s">
        <v>34</v>
      </c>
      <c r="N7" t="s">
        <v>14</v>
      </c>
      <c r="O7" t="s">
        <v>14</v>
      </c>
      <c r="P7" s="111">
        <f>SUMIF($I$6:$I$2992,O7,$D$6:$D$2992)-SUMIFS($D$6:$D$2992,$I$6:$I$2992,O7,$F$6:$F$2992,"Unpaid Rent")-(SUMIFS($D$6:$D$2992,$I$6:$I$2992,O7,$F$6:$F$2992,"Discount Rent")*2)-(SUMIFS($D$6:$D$2992,$I$6:$I$2992,O7,$F$6:$F$2992,"Bond Received"))-SUMIF($N$6:$N$2989,O7,$K$6:$K$2989)+SUMIFS($K$6:$K$2989,$N$6:$N$2989,O7,$L$6:$L$2989,"Bond Return")</f>
        <v>-1438.61</v>
      </c>
    </row>
    <row r="8" spans="1:18" ht="15" customHeight="1" x14ac:dyDescent="0.25">
      <c r="A8" s="10">
        <v>1</v>
      </c>
      <c r="B8" s="48">
        <v>44525</v>
      </c>
      <c r="C8" s="17">
        <v>220</v>
      </c>
      <c r="D8" s="17">
        <v>220</v>
      </c>
      <c r="E8" s="16">
        <v>44525</v>
      </c>
      <c r="F8" s="16" t="s">
        <v>117</v>
      </c>
      <c r="H8" s="17">
        <f>IFERROR(IF(F7="Closed account",(IF(F8="Unpaid Rent",(C8),(C8-D8))),(IF(F8="Unpaid Rent",(C8+H7),(C8-D8+H7)))),"")</f>
        <v>0</v>
      </c>
      <c r="I8" s="17" t="s">
        <v>755</v>
      </c>
      <c r="J8" s="48">
        <v>44510</v>
      </c>
      <c r="K8" s="17">
        <v>160.30000000000001</v>
      </c>
      <c r="L8" s="49" t="s">
        <v>17</v>
      </c>
      <c r="M8" t="s">
        <v>620</v>
      </c>
      <c r="N8" t="s">
        <v>14</v>
      </c>
      <c r="O8" s="9" t="s">
        <v>755</v>
      </c>
      <c r="P8" s="111">
        <f t="shared" ref="P8:P48" si="0">SUMIF($I$6:$I$2992,O8,$D$6:$D$2992)-SUMIFS($D$6:$D$2992,$I$6:$I$2992,O8,$F$6:$F$2992,"Unpaid Rent")-(SUMIFS($D$6:$D$2992,$I$6:$I$2992,O8,$F$6:$F$2992,"Discount Rent")*2)-(SUMIFS($D$6:$D$2992,$I$6:$I$2992,O8,$F$6:$F$2992,"Bond Received"))-SUMIF($N$6:$N$2989,O8,$K$6:$K$2989)+SUMIFS($K$6:$K$2989,$N$6:$N$2989,O8,$L$6:$L$2989,"Bond Return")</f>
        <v>980.17000000000007</v>
      </c>
    </row>
    <row r="9" spans="1:18" ht="15" customHeight="1" x14ac:dyDescent="0.25">
      <c r="A9" s="10">
        <v>2</v>
      </c>
      <c r="B9" s="48">
        <f t="shared" ref="B9:B14" si="1">B8+7</f>
        <v>44532</v>
      </c>
      <c r="C9" s="17">
        <v>220</v>
      </c>
      <c r="D9" s="17">
        <v>220</v>
      </c>
      <c r="E9" s="16">
        <v>44532</v>
      </c>
      <c r="F9" s="16" t="s">
        <v>117</v>
      </c>
      <c r="H9" s="17">
        <f t="shared" ref="H9:H16" si="2">IFERROR(IF(F8="Closed account",(IF(F9="Unpaid Rent",(C9),(C9-D9))),(IF(F9="Unpaid Rent",(C9+H8),(C9-D9+H8)))),"")</f>
        <v>0</v>
      </c>
      <c r="I9" s="17" t="s">
        <v>755</v>
      </c>
      <c r="J9" s="48">
        <v>44528</v>
      </c>
      <c r="K9" s="17">
        <v>55.1</v>
      </c>
      <c r="L9" s="49" t="s">
        <v>54</v>
      </c>
      <c r="N9" t="s">
        <v>14</v>
      </c>
      <c r="O9" s="13" t="s">
        <v>818</v>
      </c>
      <c r="P9" s="111">
        <f t="shared" si="0"/>
        <v>-234.93</v>
      </c>
    </row>
    <row r="10" spans="1:18" ht="15" customHeight="1" x14ac:dyDescent="0.25">
      <c r="A10" s="10">
        <v>3</v>
      </c>
      <c r="B10" s="48">
        <f t="shared" si="1"/>
        <v>44539</v>
      </c>
      <c r="C10" s="17">
        <v>220</v>
      </c>
      <c r="D10" s="17">
        <v>220</v>
      </c>
      <c r="E10" s="16">
        <v>44544</v>
      </c>
      <c r="F10" s="16" t="s">
        <v>117</v>
      </c>
      <c r="H10" s="17">
        <f t="shared" si="2"/>
        <v>0</v>
      </c>
      <c r="I10" s="17" t="s">
        <v>755</v>
      </c>
      <c r="J10" s="48">
        <v>44569</v>
      </c>
      <c r="K10" s="17">
        <v>230</v>
      </c>
      <c r="L10" s="49" t="s">
        <v>17</v>
      </c>
      <c r="M10" t="s">
        <v>436</v>
      </c>
      <c r="N10" t="s">
        <v>14</v>
      </c>
      <c r="O10" t="s">
        <v>832</v>
      </c>
      <c r="P10" s="111">
        <f t="shared" si="0"/>
        <v>4801.92</v>
      </c>
    </row>
    <row r="11" spans="1:18" ht="15" customHeight="1" x14ac:dyDescent="0.25">
      <c r="A11" s="10">
        <v>4</v>
      </c>
      <c r="B11" s="48">
        <f t="shared" si="1"/>
        <v>44546</v>
      </c>
      <c r="C11" s="17">
        <v>220</v>
      </c>
      <c r="D11" s="17"/>
      <c r="E11" s="16"/>
      <c r="F11" s="16"/>
      <c r="H11" s="17">
        <f t="shared" si="2"/>
        <v>220</v>
      </c>
      <c r="I11" s="17" t="s">
        <v>755</v>
      </c>
      <c r="J11" s="48">
        <v>44569</v>
      </c>
      <c r="K11" s="17">
        <v>253</v>
      </c>
      <c r="L11" s="49" t="s">
        <v>17</v>
      </c>
      <c r="M11" t="s">
        <v>675</v>
      </c>
      <c r="N11" t="s">
        <v>14</v>
      </c>
      <c r="O11" t="s">
        <v>676</v>
      </c>
      <c r="P11" s="111">
        <f t="shared" si="0"/>
        <v>-897.38</v>
      </c>
    </row>
    <row r="12" spans="1:18" ht="15" customHeight="1" x14ac:dyDescent="0.25">
      <c r="A12" s="10">
        <v>5</v>
      </c>
      <c r="B12" s="48">
        <f t="shared" si="1"/>
        <v>44553</v>
      </c>
      <c r="C12" s="17">
        <v>220</v>
      </c>
      <c r="D12" s="17"/>
      <c r="E12" s="16"/>
      <c r="F12" s="16"/>
      <c r="H12" s="17">
        <f t="shared" si="2"/>
        <v>440</v>
      </c>
      <c r="I12" s="17" t="s">
        <v>755</v>
      </c>
      <c r="J12" s="48">
        <v>44588</v>
      </c>
      <c r="K12" s="17">
        <v>201.31</v>
      </c>
      <c r="L12" s="49" t="s">
        <v>20</v>
      </c>
      <c r="N12" t="s">
        <v>14</v>
      </c>
      <c r="P12" s="111">
        <f t="shared" si="0"/>
        <v>0</v>
      </c>
    </row>
    <row r="13" spans="1:18" ht="15" customHeight="1" x14ac:dyDescent="0.25">
      <c r="A13" s="10">
        <v>6</v>
      </c>
      <c r="B13" s="48">
        <f t="shared" si="1"/>
        <v>44560</v>
      </c>
      <c r="C13" s="17">
        <v>220</v>
      </c>
      <c r="D13" s="17"/>
      <c r="E13" s="16"/>
      <c r="F13" s="16"/>
      <c r="H13" s="17">
        <f t="shared" si="2"/>
        <v>660</v>
      </c>
      <c r="I13" s="17" t="s">
        <v>755</v>
      </c>
      <c r="J13" s="48">
        <v>44591</v>
      </c>
      <c r="K13" s="17">
        <v>79.83</v>
      </c>
      <c r="L13" s="49" t="s">
        <v>133</v>
      </c>
      <c r="N13" t="s">
        <v>755</v>
      </c>
      <c r="P13" s="111">
        <f t="shared" si="0"/>
        <v>0</v>
      </c>
    </row>
    <row r="14" spans="1:18" ht="15" customHeight="1" x14ac:dyDescent="0.25">
      <c r="A14" s="10">
        <v>7</v>
      </c>
      <c r="B14" s="48">
        <f t="shared" si="1"/>
        <v>44567</v>
      </c>
      <c r="C14" s="17">
        <v>220</v>
      </c>
      <c r="D14" s="17"/>
      <c r="E14" s="16"/>
      <c r="F14" s="16"/>
      <c r="H14" s="17">
        <f t="shared" si="2"/>
        <v>880</v>
      </c>
      <c r="I14" s="17" t="s">
        <v>755</v>
      </c>
      <c r="J14" s="48">
        <v>44609</v>
      </c>
      <c r="K14" s="17">
        <v>400</v>
      </c>
      <c r="L14" s="49" t="s">
        <v>45</v>
      </c>
      <c r="N14" t="s">
        <v>755</v>
      </c>
      <c r="P14" s="111">
        <f t="shared" si="0"/>
        <v>0</v>
      </c>
    </row>
    <row r="15" spans="1:18" ht="15" customHeight="1" x14ac:dyDescent="0.25">
      <c r="A15" s="10">
        <v>8</v>
      </c>
      <c r="B15" s="48">
        <f t="shared" ref="B15:B20" si="3">B14+7</f>
        <v>44574</v>
      </c>
      <c r="C15" s="17">
        <v>220</v>
      </c>
      <c r="D15" s="17"/>
      <c r="E15" s="16"/>
      <c r="F15" s="16"/>
      <c r="H15" s="17">
        <f t="shared" si="2"/>
        <v>1100</v>
      </c>
      <c r="I15" s="17" t="s">
        <v>755</v>
      </c>
      <c r="J15" s="48">
        <v>44652</v>
      </c>
      <c r="K15" s="17">
        <v>201.31</v>
      </c>
      <c r="L15" s="49" t="s">
        <v>20</v>
      </c>
      <c r="N15" t="s">
        <v>14</v>
      </c>
      <c r="P15" s="111">
        <f t="shared" si="0"/>
        <v>0</v>
      </c>
    </row>
    <row r="16" spans="1:18" ht="15" customHeight="1" x14ac:dyDescent="0.25">
      <c r="A16" s="10">
        <v>9</v>
      </c>
      <c r="B16" s="48">
        <f t="shared" si="3"/>
        <v>44581</v>
      </c>
      <c r="C16" s="17">
        <v>250</v>
      </c>
      <c r="D16" s="17"/>
      <c r="E16" s="16"/>
      <c r="F16" s="16"/>
      <c r="H16" s="17">
        <f t="shared" si="2"/>
        <v>1350</v>
      </c>
      <c r="I16" s="17" t="s">
        <v>755</v>
      </c>
      <c r="J16" s="48">
        <v>44659</v>
      </c>
      <c r="K16" s="17">
        <v>94</v>
      </c>
      <c r="L16" s="49" t="s">
        <v>32</v>
      </c>
      <c r="N16" t="s">
        <v>818</v>
      </c>
      <c r="P16" s="111">
        <f t="shared" si="0"/>
        <v>0</v>
      </c>
    </row>
    <row r="17" spans="1:16" ht="15" customHeight="1" x14ac:dyDescent="0.25">
      <c r="A17" s="10">
        <v>10</v>
      </c>
      <c r="B17" s="48">
        <f t="shared" si="3"/>
        <v>44588</v>
      </c>
      <c r="C17" s="17">
        <v>250</v>
      </c>
      <c r="D17" s="17"/>
      <c r="E17" s="16"/>
      <c r="F17" s="16"/>
      <c r="H17" s="17">
        <f t="shared" ref="H17:H69" si="4">IFERROR(IF(F16="Closed account",(IF(F17="Unpaid Rent",(C17),(C17-D17))),(IF(F17="Unpaid Rent",(C17+H16),(C17-D17+H16)))),"")</f>
        <v>1600</v>
      </c>
      <c r="I17" s="17" t="s">
        <v>755</v>
      </c>
      <c r="J17" s="48">
        <v>44660</v>
      </c>
      <c r="K17" s="17">
        <v>12</v>
      </c>
      <c r="L17" s="49" t="s">
        <v>17</v>
      </c>
      <c r="M17" t="s">
        <v>588</v>
      </c>
      <c r="N17" t="s">
        <v>818</v>
      </c>
      <c r="P17" s="111">
        <f t="shared" si="0"/>
        <v>0</v>
      </c>
    </row>
    <row r="18" spans="1:16" ht="15" customHeight="1" x14ac:dyDescent="0.25">
      <c r="A18" s="10">
        <v>11</v>
      </c>
      <c r="B18" s="48">
        <f t="shared" si="3"/>
        <v>44595</v>
      </c>
      <c r="C18" s="17">
        <v>250</v>
      </c>
      <c r="D18" s="17"/>
      <c r="E18" s="16"/>
      <c r="F18" s="16"/>
      <c r="H18" s="17">
        <f t="shared" si="4"/>
        <v>1850</v>
      </c>
      <c r="I18" s="17" t="s">
        <v>755</v>
      </c>
      <c r="J18" s="48">
        <v>44687</v>
      </c>
      <c r="K18" s="17">
        <v>40</v>
      </c>
      <c r="L18" s="49" t="s">
        <v>17</v>
      </c>
      <c r="M18" t="s">
        <v>190</v>
      </c>
      <c r="N18" t="s">
        <v>818</v>
      </c>
      <c r="P18" s="111">
        <f t="shared" si="0"/>
        <v>0</v>
      </c>
    </row>
    <row r="19" spans="1:16" ht="15" customHeight="1" x14ac:dyDescent="0.25">
      <c r="A19" s="10">
        <v>12</v>
      </c>
      <c r="B19" s="48">
        <f t="shared" si="3"/>
        <v>44602</v>
      </c>
      <c r="C19" s="17">
        <v>250</v>
      </c>
      <c r="D19" s="17">
        <v>400</v>
      </c>
      <c r="E19" s="16">
        <v>44609</v>
      </c>
      <c r="F19" s="16" t="s">
        <v>157</v>
      </c>
      <c r="H19" s="17">
        <f t="shared" si="4"/>
        <v>1700</v>
      </c>
      <c r="I19" s="17" t="s">
        <v>755</v>
      </c>
      <c r="J19" s="48">
        <v>44693</v>
      </c>
      <c r="K19" s="17">
        <v>88.93</v>
      </c>
      <c r="L19" s="49" t="s">
        <v>32</v>
      </c>
      <c r="N19" t="s">
        <v>818</v>
      </c>
      <c r="P19" s="111">
        <f t="shared" si="0"/>
        <v>0</v>
      </c>
    </row>
    <row r="20" spans="1:16" ht="15" customHeight="1" x14ac:dyDescent="0.25">
      <c r="A20" s="10">
        <v>13</v>
      </c>
      <c r="B20" s="48">
        <f t="shared" si="3"/>
        <v>44609</v>
      </c>
      <c r="C20" s="17">
        <v>250</v>
      </c>
      <c r="D20" s="17"/>
      <c r="E20" s="16"/>
      <c r="F20" s="16" t="s">
        <v>124</v>
      </c>
      <c r="H20" s="17">
        <f t="shared" si="4"/>
        <v>1950</v>
      </c>
      <c r="I20" s="17" t="s">
        <v>755</v>
      </c>
      <c r="J20" s="48">
        <v>44699</v>
      </c>
      <c r="K20" s="17">
        <v>120</v>
      </c>
      <c r="L20" s="49" t="s">
        <v>17</v>
      </c>
      <c r="M20" t="s">
        <v>156</v>
      </c>
      <c r="N20" t="s">
        <v>832</v>
      </c>
      <c r="P20" s="111">
        <f t="shared" si="0"/>
        <v>0</v>
      </c>
    </row>
    <row r="21" spans="1:16" ht="15" customHeight="1" x14ac:dyDescent="0.25">
      <c r="A21" s="10">
        <v>1</v>
      </c>
      <c r="B21" s="48">
        <v>44656</v>
      </c>
      <c r="C21" s="17">
        <f>240+24</f>
        <v>264</v>
      </c>
      <c r="D21" s="17"/>
      <c r="E21" s="16"/>
      <c r="F21" s="16"/>
      <c r="H21" s="17">
        <f t="shared" si="4"/>
        <v>264</v>
      </c>
      <c r="I21" s="17" t="s">
        <v>818</v>
      </c>
      <c r="J21" s="48">
        <v>44699</v>
      </c>
      <c r="K21" s="17">
        <v>17.02</v>
      </c>
      <c r="L21" s="49" t="s">
        <v>32</v>
      </c>
      <c r="N21" t="s">
        <v>832</v>
      </c>
      <c r="P21" s="111">
        <f t="shared" si="0"/>
        <v>0</v>
      </c>
    </row>
    <row r="22" spans="1:16" ht="15" customHeight="1" x14ac:dyDescent="0.25">
      <c r="A22" s="10">
        <v>2</v>
      </c>
      <c r="B22" s="48">
        <f>B21+7</f>
        <v>44663</v>
      </c>
      <c r="C22" s="17">
        <f>240+24</f>
        <v>264</v>
      </c>
      <c r="D22" s="17"/>
      <c r="E22" s="16"/>
      <c r="F22" s="16"/>
      <c r="H22" s="17">
        <f t="shared" si="4"/>
        <v>528</v>
      </c>
      <c r="I22" s="17" t="s">
        <v>818</v>
      </c>
      <c r="J22" s="48">
        <v>44726</v>
      </c>
      <c r="K22" s="17">
        <v>320</v>
      </c>
      <c r="L22" s="49" t="s">
        <v>17</v>
      </c>
      <c r="M22" t="s">
        <v>835</v>
      </c>
      <c r="N22" t="s">
        <v>832</v>
      </c>
      <c r="P22" s="111">
        <f t="shared" si="0"/>
        <v>0</v>
      </c>
    </row>
    <row r="23" spans="1:16" ht="15" customHeight="1" x14ac:dyDescent="0.25">
      <c r="A23" s="10">
        <v>3</v>
      </c>
      <c r="B23" s="48">
        <f>B22+7</f>
        <v>44670</v>
      </c>
      <c r="C23" s="17">
        <f>240+24</f>
        <v>264</v>
      </c>
      <c r="D23" s="17"/>
      <c r="E23" s="16"/>
      <c r="F23" s="16"/>
      <c r="H23" s="17">
        <f t="shared" si="4"/>
        <v>792</v>
      </c>
      <c r="I23" s="17" t="s">
        <v>818</v>
      </c>
      <c r="J23" s="48">
        <v>44705</v>
      </c>
      <c r="K23" s="17">
        <v>5.5</v>
      </c>
      <c r="L23" s="49" t="s">
        <v>22</v>
      </c>
      <c r="N23" t="s">
        <v>832</v>
      </c>
      <c r="P23" s="111">
        <f t="shared" si="0"/>
        <v>0</v>
      </c>
    </row>
    <row r="24" spans="1:16" ht="15" customHeight="1" x14ac:dyDescent="0.25">
      <c r="A24" s="10">
        <v>4</v>
      </c>
      <c r="B24" s="48">
        <f>B23+7</f>
        <v>44677</v>
      </c>
      <c r="C24" s="17">
        <f>240+24</f>
        <v>264</v>
      </c>
      <c r="D24" s="17"/>
      <c r="E24" s="16"/>
      <c r="F24" s="16"/>
      <c r="H24" s="17">
        <f t="shared" si="4"/>
        <v>1056</v>
      </c>
      <c r="I24" s="17" t="s">
        <v>818</v>
      </c>
      <c r="J24" s="48">
        <v>44741</v>
      </c>
      <c r="K24" s="17">
        <v>330</v>
      </c>
      <c r="L24" s="49" t="s">
        <v>17</v>
      </c>
      <c r="M24" t="s">
        <v>675</v>
      </c>
      <c r="N24" t="s">
        <v>832</v>
      </c>
      <c r="P24" s="111">
        <f t="shared" si="0"/>
        <v>0</v>
      </c>
    </row>
    <row r="25" spans="1:16" ht="15" customHeight="1" x14ac:dyDescent="0.25">
      <c r="A25" s="10">
        <v>5</v>
      </c>
      <c r="B25" s="48">
        <f>B24+7</f>
        <v>44684</v>
      </c>
      <c r="C25" s="17">
        <f>240+24</f>
        <v>264</v>
      </c>
      <c r="D25" s="17"/>
      <c r="E25" s="16"/>
      <c r="F25" s="16" t="s">
        <v>124</v>
      </c>
      <c r="H25" s="17">
        <f t="shared" si="4"/>
        <v>1320</v>
      </c>
      <c r="I25" s="17" t="s">
        <v>818</v>
      </c>
      <c r="J25" s="48">
        <v>44747</v>
      </c>
      <c r="K25" s="17">
        <v>88</v>
      </c>
      <c r="L25" s="49" t="s">
        <v>26</v>
      </c>
      <c r="M25" t="s">
        <v>675</v>
      </c>
      <c r="N25" t="s">
        <v>832</v>
      </c>
      <c r="P25" s="111">
        <f t="shared" si="0"/>
        <v>0</v>
      </c>
    </row>
    <row r="26" spans="1:16" ht="15" customHeight="1" x14ac:dyDescent="0.25">
      <c r="A26" s="10">
        <v>1</v>
      </c>
      <c r="B26" s="48">
        <v>44698</v>
      </c>
      <c r="C26" s="17">
        <v>400</v>
      </c>
      <c r="D26" s="17">
        <v>400</v>
      </c>
      <c r="E26" s="16">
        <v>44698</v>
      </c>
      <c r="F26" s="16" t="s">
        <v>181</v>
      </c>
      <c r="H26" s="17">
        <f t="shared" si="4"/>
        <v>0</v>
      </c>
      <c r="I26" s="17" t="s">
        <v>832</v>
      </c>
      <c r="J26" s="48">
        <v>44762</v>
      </c>
      <c r="K26" s="17">
        <v>205.68</v>
      </c>
      <c r="L26" s="49" t="s">
        <v>20</v>
      </c>
      <c r="N26" t="s">
        <v>832</v>
      </c>
      <c r="P26" s="111">
        <f t="shared" si="0"/>
        <v>0</v>
      </c>
    </row>
    <row r="27" spans="1:16" ht="15" customHeight="1" x14ac:dyDescent="0.25">
      <c r="A27" s="10">
        <v>1</v>
      </c>
      <c r="B27" s="48">
        <v>44698</v>
      </c>
      <c r="C27" s="17">
        <v>230</v>
      </c>
      <c r="D27" s="17">
        <v>230</v>
      </c>
      <c r="E27" s="16">
        <v>44698</v>
      </c>
      <c r="F27" s="16" t="s">
        <v>117</v>
      </c>
      <c r="H27" s="17">
        <f t="shared" si="4"/>
        <v>0</v>
      </c>
      <c r="I27" s="17" t="s">
        <v>832</v>
      </c>
      <c r="J27" s="48">
        <v>44770</v>
      </c>
      <c r="K27" s="17">
        <v>16.23</v>
      </c>
      <c r="L27" s="49" t="s">
        <v>32</v>
      </c>
      <c r="N27" t="s">
        <v>832</v>
      </c>
      <c r="P27" s="111">
        <f t="shared" si="0"/>
        <v>0</v>
      </c>
    </row>
    <row r="28" spans="1:16" ht="15" customHeight="1" x14ac:dyDescent="0.25">
      <c r="A28" s="10">
        <v>2</v>
      </c>
      <c r="B28" s="48">
        <f t="shared" ref="B28:B33" si="5">B27+7</f>
        <v>44705</v>
      </c>
      <c r="C28" s="17">
        <v>230</v>
      </c>
      <c r="D28" s="17">
        <v>230</v>
      </c>
      <c r="E28" s="16">
        <v>44705</v>
      </c>
      <c r="F28" s="16" t="s">
        <v>59</v>
      </c>
      <c r="H28" s="17">
        <f t="shared" si="4"/>
        <v>0</v>
      </c>
      <c r="I28" s="17" t="s">
        <v>832</v>
      </c>
      <c r="J28" s="48">
        <v>44695</v>
      </c>
      <c r="K28" s="17">
        <v>100</v>
      </c>
      <c r="L28" s="49" t="s">
        <v>26</v>
      </c>
      <c r="M28" t="s">
        <v>876</v>
      </c>
      <c r="N28" t="s">
        <v>14</v>
      </c>
      <c r="P28" s="111">
        <f t="shared" si="0"/>
        <v>0</v>
      </c>
    </row>
    <row r="29" spans="1:16" ht="15" customHeight="1" x14ac:dyDescent="0.25">
      <c r="A29" s="10">
        <v>3</v>
      </c>
      <c r="B29" s="48">
        <f t="shared" si="5"/>
        <v>44712</v>
      </c>
      <c r="C29" s="17">
        <v>230</v>
      </c>
      <c r="D29" s="17">
        <v>230</v>
      </c>
      <c r="E29" s="16">
        <v>44712</v>
      </c>
      <c r="F29" s="16" t="s">
        <v>59</v>
      </c>
      <c r="H29" s="17">
        <f t="shared" si="4"/>
        <v>0</v>
      </c>
      <c r="I29" s="17" t="s">
        <v>832</v>
      </c>
      <c r="J29" s="48">
        <v>44793</v>
      </c>
      <c r="K29" s="17">
        <v>70</v>
      </c>
      <c r="L29" s="49" t="s">
        <v>26</v>
      </c>
      <c r="M29" t="s">
        <v>876</v>
      </c>
      <c r="N29" t="s">
        <v>14</v>
      </c>
      <c r="P29" s="111">
        <f t="shared" si="0"/>
        <v>0</v>
      </c>
    </row>
    <row r="30" spans="1:16" ht="15" customHeight="1" x14ac:dyDescent="0.25">
      <c r="A30" s="10">
        <v>4</v>
      </c>
      <c r="B30" s="48">
        <f t="shared" si="5"/>
        <v>44719</v>
      </c>
      <c r="C30" s="17">
        <v>230</v>
      </c>
      <c r="D30" s="17">
        <v>230</v>
      </c>
      <c r="E30" s="16">
        <v>44719</v>
      </c>
      <c r="F30" s="16" t="s">
        <v>59</v>
      </c>
      <c r="H30" s="17">
        <f t="shared" si="4"/>
        <v>0</v>
      </c>
      <c r="I30" s="17" t="s">
        <v>832</v>
      </c>
      <c r="J30" s="48">
        <v>44740</v>
      </c>
      <c r="K30" s="17">
        <v>94.99</v>
      </c>
      <c r="L30" s="49" t="s">
        <v>26</v>
      </c>
      <c r="M30" t="s">
        <v>792</v>
      </c>
      <c r="N30" t="s">
        <v>14</v>
      </c>
      <c r="P30" s="111">
        <f t="shared" si="0"/>
        <v>0</v>
      </c>
    </row>
    <row r="31" spans="1:16" ht="15" customHeight="1" x14ac:dyDescent="0.25">
      <c r="A31" s="10">
        <v>5</v>
      </c>
      <c r="B31" s="48">
        <f t="shared" si="5"/>
        <v>44726</v>
      </c>
      <c r="C31" s="17">
        <v>230</v>
      </c>
      <c r="D31" s="17">
        <v>230</v>
      </c>
      <c r="E31" s="16">
        <v>44726</v>
      </c>
      <c r="F31" s="16" t="s">
        <v>59</v>
      </c>
      <c r="H31" s="17">
        <f t="shared" si="4"/>
        <v>0</v>
      </c>
      <c r="I31" s="17" t="s">
        <v>832</v>
      </c>
      <c r="J31" s="48">
        <v>44824</v>
      </c>
      <c r="K31" s="17">
        <v>100</v>
      </c>
      <c r="L31" s="49" t="s">
        <v>17</v>
      </c>
      <c r="M31" t="s">
        <v>865</v>
      </c>
      <c r="N31" t="s">
        <v>832</v>
      </c>
      <c r="P31" s="111">
        <f t="shared" si="0"/>
        <v>0</v>
      </c>
    </row>
    <row r="32" spans="1:16" ht="15" customHeight="1" x14ac:dyDescent="0.25">
      <c r="A32" s="10">
        <v>6</v>
      </c>
      <c r="B32" s="48">
        <f t="shared" si="5"/>
        <v>44733</v>
      </c>
      <c r="C32" s="17">
        <v>230</v>
      </c>
      <c r="D32" s="17">
        <v>230</v>
      </c>
      <c r="E32" s="16">
        <v>44733</v>
      </c>
      <c r="F32" s="16" t="s">
        <v>59</v>
      </c>
      <c r="H32" s="17">
        <f t="shared" si="4"/>
        <v>0</v>
      </c>
      <c r="I32" s="17" t="s">
        <v>832</v>
      </c>
      <c r="J32" s="48">
        <v>44825</v>
      </c>
      <c r="K32" s="17">
        <v>200</v>
      </c>
      <c r="L32" s="49" t="s">
        <v>17</v>
      </c>
      <c r="M32" t="s">
        <v>166</v>
      </c>
      <c r="N32" t="s">
        <v>832</v>
      </c>
      <c r="P32" s="111">
        <f t="shared" si="0"/>
        <v>0</v>
      </c>
    </row>
    <row r="33" spans="1:16" ht="15" customHeight="1" x14ac:dyDescent="0.25">
      <c r="A33" s="10">
        <v>7</v>
      </c>
      <c r="B33" s="48">
        <f t="shared" si="5"/>
        <v>44740</v>
      </c>
      <c r="C33" s="17">
        <v>230</v>
      </c>
      <c r="D33" s="17">
        <v>230</v>
      </c>
      <c r="E33" s="16">
        <v>44740</v>
      </c>
      <c r="F33" s="16" t="s">
        <v>59</v>
      </c>
      <c r="H33" s="17">
        <f t="shared" si="4"/>
        <v>0</v>
      </c>
      <c r="I33" s="17" t="s">
        <v>832</v>
      </c>
      <c r="J33" s="48">
        <v>44828</v>
      </c>
      <c r="K33" s="17">
        <v>158</v>
      </c>
      <c r="L33" s="49" t="s">
        <v>26</v>
      </c>
      <c r="M33" t="s">
        <v>896</v>
      </c>
      <c r="N33" t="s">
        <v>832</v>
      </c>
      <c r="P33" s="111">
        <f t="shared" si="0"/>
        <v>0</v>
      </c>
    </row>
    <row r="34" spans="1:16" ht="15" customHeight="1" x14ac:dyDescent="0.25">
      <c r="A34" s="10">
        <v>8</v>
      </c>
      <c r="B34" s="48">
        <f t="shared" ref="B34:B39" si="6">B33+7</f>
        <v>44747</v>
      </c>
      <c r="C34" s="17">
        <v>230</v>
      </c>
      <c r="D34" s="17">
        <v>230</v>
      </c>
      <c r="E34" s="16">
        <v>44747</v>
      </c>
      <c r="F34" s="16" t="s">
        <v>59</v>
      </c>
      <c r="H34" s="17">
        <f t="shared" si="4"/>
        <v>0</v>
      </c>
      <c r="I34" s="17" t="s">
        <v>832</v>
      </c>
      <c r="J34" s="48">
        <v>44832</v>
      </c>
      <c r="K34" s="17">
        <v>80</v>
      </c>
      <c r="L34" s="49" t="s">
        <v>17</v>
      </c>
      <c r="M34" t="s">
        <v>673</v>
      </c>
      <c r="N34" t="s">
        <v>832</v>
      </c>
      <c r="P34" s="111">
        <f t="shared" si="0"/>
        <v>0</v>
      </c>
    </row>
    <row r="35" spans="1:16" ht="15" customHeight="1" x14ac:dyDescent="0.25">
      <c r="A35" s="10">
        <v>9</v>
      </c>
      <c r="B35" s="48">
        <f t="shared" si="6"/>
        <v>44754</v>
      </c>
      <c r="C35" s="17">
        <v>230</v>
      </c>
      <c r="D35" s="17">
        <v>230</v>
      </c>
      <c r="E35" s="16">
        <v>44754</v>
      </c>
      <c r="F35" s="16" t="s">
        <v>59</v>
      </c>
      <c r="H35" s="17">
        <f t="shared" si="4"/>
        <v>0</v>
      </c>
      <c r="I35" s="17" t="s">
        <v>832</v>
      </c>
      <c r="J35" s="48">
        <v>44845</v>
      </c>
      <c r="K35" s="17">
        <v>46.29</v>
      </c>
      <c r="L35" s="49" t="s">
        <v>133</v>
      </c>
      <c r="N35" t="s">
        <v>832</v>
      </c>
      <c r="P35" s="111">
        <f t="shared" si="0"/>
        <v>0</v>
      </c>
    </row>
    <row r="36" spans="1:16" ht="15" customHeight="1" x14ac:dyDescent="0.25">
      <c r="A36" s="10">
        <v>10</v>
      </c>
      <c r="B36" s="48">
        <f t="shared" si="6"/>
        <v>44761</v>
      </c>
      <c r="C36" s="17">
        <v>230</v>
      </c>
      <c r="D36" s="17">
        <v>230</v>
      </c>
      <c r="E36" s="16">
        <v>44761</v>
      </c>
      <c r="F36" s="16" t="s">
        <v>59</v>
      </c>
      <c r="H36" s="17">
        <f t="shared" si="4"/>
        <v>0</v>
      </c>
      <c r="I36" s="17" t="s">
        <v>832</v>
      </c>
      <c r="J36" s="48">
        <v>44849</v>
      </c>
      <c r="K36" s="17">
        <v>80</v>
      </c>
      <c r="L36" s="49" t="s">
        <v>26</v>
      </c>
      <c r="M36" t="s">
        <v>911</v>
      </c>
      <c r="N36" t="s">
        <v>832</v>
      </c>
      <c r="P36" s="111">
        <f t="shared" si="0"/>
        <v>0</v>
      </c>
    </row>
    <row r="37" spans="1:16" ht="15" customHeight="1" x14ac:dyDescent="0.25">
      <c r="A37" s="10">
        <v>11</v>
      </c>
      <c r="B37" s="48">
        <f t="shared" si="6"/>
        <v>44768</v>
      </c>
      <c r="C37" s="17">
        <v>230</v>
      </c>
      <c r="D37" s="17">
        <v>230</v>
      </c>
      <c r="E37" s="16">
        <v>44768</v>
      </c>
      <c r="F37" s="16" t="s">
        <v>59</v>
      </c>
      <c r="H37" s="17">
        <f t="shared" si="4"/>
        <v>0</v>
      </c>
      <c r="I37" s="17" t="s">
        <v>832</v>
      </c>
      <c r="J37" s="48">
        <v>44851</v>
      </c>
      <c r="K37" s="17">
        <v>200</v>
      </c>
      <c r="L37" s="49" t="s">
        <v>17</v>
      </c>
      <c r="M37" t="s">
        <v>204</v>
      </c>
      <c r="N37" t="s">
        <v>832</v>
      </c>
      <c r="P37" s="111">
        <f t="shared" si="0"/>
        <v>0</v>
      </c>
    </row>
    <row r="38" spans="1:16" ht="15" customHeight="1" x14ac:dyDescent="0.25">
      <c r="A38" s="10">
        <v>12</v>
      </c>
      <c r="B38" s="48">
        <f t="shared" si="6"/>
        <v>44775</v>
      </c>
      <c r="C38" s="17">
        <v>230</v>
      </c>
      <c r="D38" s="17">
        <v>230</v>
      </c>
      <c r="E38" s="16">
        <v>44775</v>
      </c>
      <c r="F38" s="16" t="s">
        <v>59</v>
      </c>
      <c r="H38" s="17">
        <f t="shared" si="4"/>
        <v>0</v>
      </c>
      <c r="I38" s="17" t="s">
        <v>832</v>
      </c>
      <c r="J38" s="48">
        <v>44851</v>
      </c>
      <c r="K38" s="17">
        <v>205.68</v>
      </c>
      <c r="L38" s="49" t="s">
        <v>20</v>
      </c>
      <c r="N38" t="s">
        <v>832</v>
      </c>
      <c r="P38" s="111">
        <f t="shared" si="0"/>
        <v>0</v>
      </c>
    </row>
    <row r="39" spans="1:16" ht="15" customHeight="1" x14ac:dyDescent="0.25">
      <c r="A39" s="10">
        <v>13</v>
      </c>
      <c r="B39" s="48">
        <f t="shared" si="6"/>
        <v>44782</v>
      </c>
      <c r="C39" s="17">
        <v>230</v>
      </c>
      <c r="D39" s="17">
        <v>230</v>
      </c>
      <c r="E39" s="16">
        <v>44782</v>
      </c>
      <c r="F39" s="16" t="s">
        <v>59</v>
      </c>
      <c r="H39" s="17">
        <f t="shared" si="4"/>
        <v>0</v>
      </c>
      <c r="I39" s="17" t="s">
        <v>832</v>
      </c>
      <c r="J39" s="48">
        <v>44862</v>
      </c>
      <c r="K39" s="17">
        <v>120</v>
      </c>
      <c r="L39" s="49" t="s">
        <v>26</v>
      </c>
      <c r="M39" t="s">
        <v>876</v>
      </c>
      <c r="N39" t="s">
        <v>832</v>
      </c>
      <c r="P39" s="111">
        <f t="shared" si="0"/>
        <v>0</v>
      </c>
    </row>
    <row r="40" spans="1:16" ht="15" customHeight="1" x14ac:dyDescent="0.25">
      <c r="A40" s="10">
        <v>14</v>
      </c>
      <c r="B40" s="48">
        <f>B39+7</f>
        <v>44789</v>
      </c>
      <c r="C40" s="17">
        <v>230</v>
      </c>
      <c r="D40" s="17">
        <v>230</v>
      </c>
      <c r="E40" s="16">
        <v>44789</v>
      </c>
      <c r="F40" s="16" t="s">
        <v>59</v>
      </c>
      <c r="H40" s="17">
        <f t="shared" si="4"/>
        <v>0</v>
      </c>
      <c r="I40" s="17" t="s">
        <v>832</v>
      </c>
      <c r="J40" s="48">
        <v>44875</v>
      </c>
      <c r="K40" s="17">
        <v>80</v>
      </c>
      <c r="L40" s="49" t="s">
        <v>34</v>
      </c>
      <c r="N40" t="s">
        <v>832</v>
      </c>
      <c r="P40" s="111">
        <f t="shared" si="0"/>
        <v>0</v>
      </c>
    </row>
    <row r="41" spans="1:16" ht="15" customHeight="1" x14ac:dyDescent="0.25">
      <c r="A41" s="10">
        <v>15</v>
      </c>
      <c r="B41" s="48">
        <f>B40+7</f>
        <v>44796</v>
      </c>
      <c r="C41" s="17">
        <v>230</v>
      </c>
      <c r="D41" s="17">
        <v>230</v>
      </c>
      <c r="E41" s="16">
        <v>44796</v>
      </c>
      <c r="F41" s="16" t="s">
        <v>59</v>
      </c>
      <c r="H41" s="17">
        <f t="shared" si="4"/>
        <v>0</v>
      </c>
      <c r="I41" s="17" t="s">
        <v>832</v>
      </c>
      <c r="J41" s="48">
        <v>44876</v>
      </c>
      <c r="K41" s="17">
        <v>60</v>
      </c>
      <c r="L41" s="49" t="s">
        <v>17</v>
      </c>
      <c r="M41" t="s">
        <v>479</v>
      </c>
      <c r="N41" t="s">
        <v>832</v>
      </c>
      <c r="P41" s="111">
        <f t="shared" si="0"/>
        <v>0</v>
      </c>
    </row>
    <row r="42" spans="1:16" ht="15" customHeight="1" x14ac:dyDescent="0.25">
      <c r="A42" s="10">
        <v>16</v>
      </c>
      <c r="B42" s="48">
        <f>B41+7</f>
        <v>44803</v>
      </c>
      <c r="C42" s="17">
        <v>230</v>
      </c>
      <c r="D42" s="17">
        <v>230</v>
      </c>
      <c r="E42" s="16">
        <v>44803</v>
      </c>
      <c r="F42" s="16" t="s">
        <v>59</v>
      </c>
      <c r="H42" s="17">
        <f t="shared" si="4"/>
        <v>0</v>
      </c>
      <c r="I42" s="17" t="s">
        <v>832</v>
      </c>
      <c r="J42" s="48">
        <v>44903</v>
      </c>
      <c r="K42" s="17">
        <v>150</v>
      </c>
      <c r="L42" s="49" t="s">
        <v>26</v>
      </c>
      <c r="N42" t="s">
        <v>832</v>
      </c>
      <c r="P42" s="111">
        <f t="shared" si="0"/>
        <v>0</v>
      </c>
    </row>
    <row r="43" spans="1:16" ht="15" customHeight="1" x14ac:dyDescent="0.25">
      <c r="A43" s="10">
        <v>17</v>
      </c>
      <c r="B43" s="48">
        <f>B42+7</f>
        <v>44810</v>
      </c>
      <c r="C43" s="17">
        <v>230</v>
      </c>
      <c r="D43" s="17">
        <v>230</v>
      </c>
      <c r="E43" s="16">
        <v>44810</v>
      </c>
      <c r="F43" s="16" t="s">
        <v>59</v>
      </c>
      <c r="H43" s="17">
        <f t="shared" si="4"/>
        <v>0</v>
      </c>
      <c r="I43" s="17" t="s">
        <v>832</v>
      </c>
      <c r="J43" s="48">
        <v>44566</v>
      </c>
      <c r="K43" s="17">
        <v>400</v>
      </c>
      <c r="L43" s="49" t="s">
        <v>45</v>
      </c>
      <c r="N43" t="s">
        <v>832</v>
      </c>
      <c r="P43" s="111">
        <f t="shared" si="0"/>
        <v>0</v>
      </c>
    </row>
    <row r="44" spans="1:16" ht="15" customHeight="1" x14ac:dyDescent="0.25">
      <c r="A44" s="10">
        <v>18</v>
      </c>
      <c r="B44" s="48">
        <f t="shared" ref="B44:B53" si="7">B43+7</f>
        <v>44817</v>
      </c>
      <c r="C44" s="17">
        <v>230</v>
      </c>
      <c r="D44" s="17">
        <v>230</v>
      </c>
      <c r="E44" s="16">
        <v>44817</v>
      </c>
      <c r="F44" s="16" t="s">
        <v>59</v>
      </c>
      <c r="H44" s="17">
        <f t="shared" si="4"/>
        <v>0</v>
      </c>
      <c r="I44" s="17" t="s">
        <v>832</v>
      </c>
      <c r="J44" s="48">
        <v>44944</v>
      </c>
      <c r="K44" s="17">
        <v>205.68</v>
      </c>
      <c r="L44" s="49" t="s">
        <v>20</v>
      </c>
      <c r="N44" t="s">
        <v>832</v>
      </c>
      <c r="P44" s="111">
        <f t="shared" si="0"/>
        <v>0</v>
      </c>
    </row>
    <row r="45" spans="1:16" ht="15" customHeight="1" x14ac:dyDescent="0.25">
      <c r="A45" s="10">
        <v>19</v>
      </c>
      <c r="B45" s="48">
        <f t="shared" si="7"/>
        <v>44824</v>
      </c>
      <c r="C45" s="17">
        <v>230</v>
      </c>
      <c r="D45" s="17">
        <v>230</v>
      </c>
      <c r="E45" s="16">
        <v>44824</v>
      </c>
      <c r="F45" s="16" t="s">
        <v>59</v>
      </c>
      <c r="H45" s="17">
        <f t="shared" si="4"/>
        <v>0</v>
      </c>
      <c r="I45" s="17" t="s">
        <v>832</v>
      </c>
      <c r="J45" s="48">
        <v>44978</v>
      </c>
      <c r="K45" s="17">
        <v>437.6</v>
      </c>
      <c r="L45" s="49" t="s">
        <v>17</v>
      </c>
      <c r="M45" t="s">
        <v>835</v>
      </c>
      <c r="N45" t="s">
        <v>676</v>
      </c>
      <c r="P45" s="111">
        <f t="shared" si="0"/>
        <v>0</v>
      </c>
    </row>
    <row r="46" spans="1:16" ht="15" customHeight="1" x14ac:dyDescent="0.25">
      <c r="A46" s="10">
        <v>20</v>
      </c>
      <c r="B46" s="48">
        <f t="shared" si="7"/>
        <v>44831</v>
      </c>
      <c r="C46" s="17">
        <v>230</v>
      </c>
      <c r="D46" s="17">
        <v>230</v>
      </c>
      <c r="E46" s="16">
        <v>44831</v>
      </c>
      <c r="F46" s="16" t="s">
        <v>59</v>
      </c>
      <c r="H46" s="17">
        <f t="shared" si="4"/>
        <v>0</v>
      </c>
      <c r="I46" s="17" t="s">
        <v>832</v>
      </c>
      <c r="J46" s="48">
        <v>44998</v>
      </c>
      <c r="K46" s="17">
        <v>160</v>
      </c>
      <c r="L46" s="49" t="s">
        <v>17</v>
      </c>
      <c r="M46" t="s">
        <v>526</v>
      </c>
      <c r="N46" t="s">
        <v>676</v>
      </c>
      <c r="P46" s="111">
        <f t="shared" si="0"/>
        <v>0</v>
      </c>
    </row>
    <row r="47" spans="1:16" ht="15" customHeight="1" x14ac:dyDescent="0.25">
      <c r="A47" s="10">
        <v>21</v>
      </c>
      <c r="B47" s="48">
        <f t="shared" si="7"/>
        <v>44838</v>
      </c>
      <c r="C47" s="17">
        <v>230</v>
      </c>
      <c r="D47" s="17">
        <v>230</v>
      </c>
      <c r="E47" s="16">
        <v>44838</v>
      </c>
      <c r="F47" s="16" t="s">
        <v>59</v>
      </c>
      <c r="H47" s="17">
        <f t="shared" si="4"/>
        <v>0</v>
      </c>
      <c r="I47" s="17" t="s">
        <v>832</v>
      </c>
      <c r="J47" s="48">
        <v>45030</v>
      </c>
      <c r="K47" s="17">
        <v>219.78</v>
      </c>
      <c r="L47" s="49" t="s">
        <v>20</v>
      </c>
      <c r="N47" t="s">
        <v>676</v>
      </c>
      <c r="P47" s="111">
        <f t="shared" si="0"/>
        <v>0</v>
      </c>
    </row>
    <row r="48" spans="1:16" ht="15" customHeight="1" x14ac:dyDescent="0.25">
      <c r="A48" s="10">
        <v>22</v>
      </c>
      <c r="B48" s="48">
        <f t="shared" si="7"/>
        <v>44845</v>
      </c>
      <c r="C48" s="17">
        <v>230</v>
      </c>
      <c r="D48" s="17">
        <v>230</v>
      </c>
      <c r="E48" s="16">
        <v>44845</v>
      </c>
      <c r="F48" s="16" t="s">
        <v>59</v>
      </c>
      <c r="H48" s="17">
        <f t="shared" si="4"/>
        <v>0</v>
      </c>
      <c r="I48" s="17" t="s">
        <v>832</v>
      </c>
      <c r="J48" s="48">
        <v>45062</v>
      </c>
      <c r="K48" s="17">
        <v>80</v>
      </c>
      <c r="L48" s="49" t="s">
        <v>17</v>
      </c>
      <c r="M48" t="s">
        <v>204</v>
      </c>
      <c r="N48" t="s">
        <v>676</v>
      </c>
      <c r="P48" s="111">
        <f t="shared" si="0"/>
        <v>0</v>
      </c>
    </row>
    <row r="49" spans="1:12" ht="15" customHeight="1" x14ac:dyDescent="0.25">
      <c r="A49" s="10">
        <v>23</v>
      </c>
      <c r="B49" s="48">
        <f t="shared" si="7"/>
        <v>44852</v>
      </c>
      <c r="C49" s="17">
        <v>230</v>
      </c>
      <c r="D49" s="17">
        <v>230</v>
      </c>
      <c r="E49" s="16">
        <v>44852</v>
      </c>
      <c r="F49" s="16" t="s">
        <v>59</v>
      </c>
      <c r="H49" s="17">
        <f t="shared" si="4"/>
        <v>0</v>
      </c>
      <c r="I49" s="17" t="s">
        <v>832</v>
      </c>
      <c r="J49" s="48"/>
      <c r="K49" s="17"/>
      <c r="L49" s="49"/>
    </row>
    <row r="50" spans="1:12" ht="15" customHeight="1" x14ac:dyDescent="0.25">
      <c r="A50" s="10">
        <v>24</v>
      </c>
      <c r="B50" s="48">
        <f t="shared" si="7"/>
        <v>44859</v>
      </c>
      <c r="C50" s="17">
        <v>230</v>
      </c>
      <c r="D50" s="17">
        <v>230</v>
      </c>
      <c r="E50" s="16">
        <v>44859</v>
      </c>
      <c r="F50" s="16" t="s">
        <v>59</v>
      </c>
      <c r="H50" s="17">
        <f t="shared" si="4"/>
        <v>0</v>
      </c>
      <c r="I50" s="17" t="s">
        <v>832</v>
      </c>
      <c r="J50" s="48"/>
      <c r="K50" s="17"/>
      <c r="L50" s="49"/>
    </row>
    <row r="51" spans="1:12" ht="15" customHeight="1" x14ac:dyDescent="0.25">
      <c r="A51" s="10">
        <v>25</v>
      </c>
      <c r="B51" s="48">
        <f t="shared" si="7"/>
        <v>44866</v>
      </c>
      <c r="C51" s="17">
        <v>230</v>
      </c>
      <c r="D51" s="17">
        <v>230</v>
      </c>
      <c r="E51" s="16">
        <v>44866</v>
      </c>
      <c r="F51" s="16" t="s">
        <v>59</v>
      </c>
      <c r="H51" s="17">
        <f>IFERROR(IF(F50="Closed account",(IF(F51="Unpaid Rent",(C51),(C51-D51))),(IF(F51="Unpaid Rent",(C51+H50),(C51-D51+H50)))),"")</f>
        <v>0</v>
      </c>
      <c r="I51" s="17" t="s">
        <v>832</v>
      </c>
      <c r="J51" s="48"/>
      <c r="K51" s="17"/>
      <c r="L51" s="49"/>
    </row>
    <row r="52" spans="1:12" ht="15" customHeight="1" x14ac:dyDescent="0.25">
      <c r="A52" s="10">
        <v>26</v>
      </c>
      <c r="B52" s="48">
        <f t="shared" si="7"/>
        <v>44873</v>
      </c>
      <c r="C52" s="17">
        <v>230</v>
      </c>
      <c r="D52" s="17">
        <v>230</v>
      </c>
      <c r="E52" s="16">
        <v>44873</v>
      </c>
      <c r="F52" s="16" t="s">
        <v>59</v>
      </c>
      <c r="H52" s="17">
        <f>IFERROR(IF(F51="Closed account",(IF(F52="Unpaid Rent",(C52),(C52-D52))),(IF(F52="Unpaid Rent",(C52+H51),(C52-D52+H51)))),"")</f>
        <v>0</v>
      </c>
      <c r="I52" s="17" t="s">
        <v>832</v>
      </c>
      <c r="J52" s="48"/>
      <c r="K52" s="17"/>
      <c r="L52" s="49"/>
    </row>
    <row r="53" spans="1:12" ht="15" customHeight="1" x14ac:dyDescent="0.25">
      <c r="A53" s="10">
        <v>27</v>
      </c>
      <c r="B53" s="48">
        <f t="shared" si="7"/>
        <v>44880</v>
      </c>
      <c r="C53" s="17">
        <v>230</v>
      </c>
      <c r="D53" s="17">
        <v>230</v>
      </c>
      <c r="E53" s="16">
        <v>44880</v>
      </c>
      <c r="F53" s="16" t="s">
        <v>59</v>
      </c>
      <c r="H53" s="17">
        <f>IFERROR(IF(F52="Closed account",(IF(F53="Unpaid Rent",(C53),(C53-D53))),(IF(F53="Unpaid Rent",(C53+H52),(C53-D53+H52)))),"")</f>
        <v>0</v>
      </c>
      <c r="I53" s="17" t="s">
        <v>832</v>
      </c>
      <c r="J53" s="48"/>
      <c r="K53" s="17"/>
      <c r="L53" s="49"/>
    </row>
    <row r="54" spans="1:12" ht="15" customHeight="1" x14ac:dyDescent="0.25">
      <c r="A54" s="10">
        <v>28</v>
      </c>
      <c r="B54" s="48">
        <f t="shared" ref="B54:B60" si="8">B53+7</f>
        <v>44887</v>
      </c>
      <c r="C54" s="17">
        <v>230</v>
      </c>
      <c r="D54" s="17">
        <v>230</v>
      </c>
      <c r="E54" s="16">
        <v>44885</v>
      </c>
      <c r="F54" s="16" t="s">
        <v>59</v>
      </c>
      <c r="H54" s="17">
        <f t="shared" si="4"/>
        <v>0</v>
      </c>
      <c r="I54" s="17" t="s">
        <v>832</v>
      </c>
      <c r="J54" s="48"/>
      <c r="K54" s="17"/>
      <c r="L54" s="49"/>
    </row>
    <row r="55" spans="1:12" ht="15" customHeight="1" x14ac:dyDescent="0.25">
      <c r="A55" s="10">
        <v>29</v>
      </c>
      <c r="B55" s="48">
        <f t="shared" si="8"/>
        <v>44894</v>
      </c>
      <c r="C55" s="17">
        <v>230</v>
      </c>
      <c r="D55" s="17">
        <v>230</v>
      </c>
      <c r="E55" s="16">
        <v>44894</v>
      </c>
      <c r="F55" s="16" t="s">
        <v>59</v>
      </c>
      <c r="H55" s="17">
        <f t="shared" si="4"/>
        <v>0</v>
      </c>
      <c r="I55" s="17" t="s">
        <v>832</v>
      </c>
      <c r="J55" s="48"/>
      <c r="K55" s="17"/>
      <c r="L55" s="49"/>
    </row>
    <row r="56" spans="1:12" ht="15" customHeight="1" x14ac:dyDescent="0.25">
      <c r="A56" s="10">
        <v>30</v>
      </c>
      <c r="B56" s="48">
        <f t="shared" si="8"/>
        <v>44901</v>
      </c>
      <c r="C56" s="17">
        <v>230</v>
      </c>
      <c r="D56" s="17">
        <v>230</v>
      </c>
      <c r="E56" s="16">
        <v>44901</v>
      </c>
      <c r="F56" s="16" t="s">
        <v>59</v>
      </c>
      <c r="H56" s="17">
        <f t="shared" si="4"/>
        <v>0</v>
      </c>
      <c r="I56" s="17" t="s">
        <v>832</v>
      </c>
      <c r="J56" s="48"/>
      <c r="K56" s="17"/>
      <c r="L56" s="49"/>
    </row>
    <row r="57" spans="1:12" ht="15" customHeight="1" x14ac:dyDescent="0.25">
      <c r="A57" s="10">
        <v>31</v>
      </c>
      <c r="B57" s="48">
        <f t="shared" si="8"/>
        <v>44908</v>
      </c>
      <c r="C57" s="17">
        <v>230</v>
      </c>
      <c r="D57" s="17">
        <v>230</v>
      </c>
      <c r="E57" s="16">
        <v>44908</v>
      </c>
      <c r="F57" s="16" t="s">
        <v>59</v>
      </c>
      <c r="H57" s="17">
        <f t="shared" si="4"/>
        <v>0</v>
      </c>
      <c r="I57" s="17" t="s">
        <v>832</v>
      </c>
      <c r="J57" s="48"/>
      <c r="K57" s="17"/>
      <c r="L57" s="49"/>
    </row>
    <row r="58" spans="1:12" ht="15" customHeight="1" x14ac:dyDescent="0.25">
      <c r="A58" s="10">
        <v>32</v>
      </c>
      <c r="B58" s="48">
        <f t="shared" si="8"/>
        <v>44915</v>
      </c>
      <c r="C58" s="17">
        <v>230</v>
      </c>
      <c r="D58" s="17">
        <v>230</v>
      </c>
      <c r="E58" s="16">
        <v>44915</v>
      </c>
      <c r="F58" s="16" t="s">
        <v>59</v>
      </c>
      <c r="H58" s="17">
        <f t="shared" si="4"/>
        <v>0</v>
      </c>
      <c r="I58" s="17" t="s">
        <v>832</v>
      </c>
      <c r="J58" s="48"/>
      <c r="K58" s="17"/>
      <c r="L58" s="49"/>
    </row>
    <row r="59" spans="1:12" ht="15" customHeight="1" x14ac:dyDescent="0.25">
      <c r="A59" s="10">
        <v>33</v>
      </c>
      <c r="B59" s="48">
        <f t="shared" si="8"/>
        <v>44922</v>
      </c>
      <c r="C59" s="17">
        <v>230</v>
      </c>
      <c r="D59" s="17">
        <v>230</v>
      </c>
      <c r="E59" s="16">
        <v>44923</v>
      </c>
      <c r="F59" s="16" t="s">
        <v>59</v>
      </c>
      <c r="H59" s="17">
        <f t="shared" si="4"/>
        <v>0</v>
      </c>
      <c r="I59" s="17" t="s">
        <v>832</v>
      </c>
      <c r="J59" s="48"/>
      <c r="K59" s="17"/>
      <c r="L59" s="49"/>
    </row>
    <row r="60" spans="1:12" ht="15" customHeight="1" x14ac:dyDescent="0.25">
      <c r="A60" s="10">
        <v>34</v>
      </c>
      <c r="B60" s="48">
        <f t="shared" si="8"/>
        <v>44929</v>
      </c>
      <c r="C60" s="17"/>
      <c r="D60" s="17"/>
      <c r="E60" s="16"/>
      <c r="F60" s="16" t="s">
        <v>124</v>
      </c>
      <c r="H60" s="17">
        <f t="shared" si="4"/>
        <v>0</v>
      </c>
      <c r="I60" s="17" t="s">
        <v>832</v>
      </c>
      <c r="J60" s="48"/>
      <c r="K60" s="17"/>
      <c r="L60" s="49"/>
    </row>
    <row r="61" spans="1:12" ht="15" customHeight="1" x14ac:dyDescent="0.25">
      <c r="B61" s="50"/>
      <c r="D61" s="17"/>
      <c r="E61" s="16"/>
      <c r="H61" s="17">
        <f t="shared" si="4"/>
        <v>0</v>
      </c>
      <c r="J61" s="48"/>
      <c r="K61" s="17"/>
      <c r="L61" s="49"/>
    </row>
    <row r="62" spans="1:12" ht="15" customHeight="1" x14ac:dyDescent="0.25">
      <c r="B62" s="50"/>
      <c r="D62" s="17"/>
      <c r="E62" s="16"/>
      <c r="H62" s="17">
        <f t="shared" si="4"/>
        <v>0</v>
      </c>
      <c r="J62" s="48"/>
      <c r="K62" s="17"/>
      <c r="L62" s="49"/>
    </row>
    <row r="63" spans="1:12" ht="15" customHeight="1" x14ac:dyDescent="0.25">
      <c r="B63" s="50"/>
      <c r="H63" s="17">
        <f t="shared" si="4"/>
        <v>0</v>
      </c>
      <c r="J63" s="48"/>
      <c r="K63" s="17"/>
      <c r="L63" s="49"/>
    </row>
    <row r="64" spans="1:12" ht="15" customHeight="1" x14ac:dyDescent="0.25">
      <c r="B64" s="50"/>
      <c r="H64" s="17">
        <f t="shared" si="4"/>
        <v>0</v>
      </c>
      <c r="J64" s="48"/>
      <c r="K64" s="17"/>
      <c r="L64" s="49"/>
    </row>
    <row r="65" spans="1:12" ht="15" customHeight="1" x14ac:dyDescent="0.25">
      <c r="B65" s="50"/>
      <c r="H65" s="17">
        <f t="shared" si="4"/>
        <v>0</v>
      </c>
      <c r="J65" s="48"/>
      <c r="K65" s="17"/>
      <c r="L65" s="49"/>
    </row>
    <row r="66" spans="1:12" ht="15" customHeight="1" x14ac:dyDescent="0.25">
      <c r="B66" s="50"/>
      <c r="H66" s="17">
        <f t="shared" si="4"/>
        <v>0</v>
      </c>
      <c r="J66" s="48"/>
      <c r="K66" s="17"/>
      <c r="L66" s="49"/>
    </row>
    <row r="67" spans="1:12" ht="15" customHeight="1" x14ac:dyDescent="0.25">
      <c r="B67" s="50"/>
      <c r="H67" s="17">
        <f t="shared" si="4"/>
        <v>0</v>
      </c>
      <c r="J67" s="48"/>
      <c r="K67" s="17"/>
      <c r="L67" s="49"/>
    </row>
    <row r="68" spans="1:12" ht="15" customHeight="1" x14ac:dyDescent="0.25">
      <c r="B68" s="50"/>
      <c r="H68" s="17">
        <f t="shared" si="4"/>
        <v>0</v>
      </c>
      <c r="J68" s="48"/>
      <c r="K68" s="17"/>
      <c r="L68" s="49"/>
    </row>
    <row r="69" spans="1:12" ht="15" customHeight="1" x14ac:dyDescent="0.25">
      <c r="B69" s="50"/>
      <c r="H69" s="17">
        <f t="shared" si="4"/>
        <v>0</v>
      </c>
      <c r="J69" s="48"/>
      <c r="K69" s="17"/>
      <c r="L69" s="49"/>
    </row>
    <row r="70" spans="1:12" ht="15" customHeight="1" x14ac:dyDescent="0.25">
      <c r="B70" s="50"/>
      <c r="J70" s="48"/>
      <c r="K70" s="17"/>
      <c r="L70" s="49"/>
    </row>
    <row r="71" spans="1:12" ht="15" customHeight="1" x14ac:dyDescent="0.25">
      <c r="B71" s="50"/>
      <c r="J71" s="48"/>
      <c r="K71" s="17"/>
      <c r="L71" s="49"/>
    </row>
    <row r="72" spans="1:12" ht="15" customHeight="1" x14ac:dyDescent="0.25">
      <c r="B72" s="50"/>
      <c r="J72" s="48"/>
      <c r="K72" s="17"/>
      <c r="L72" s="49"/>
    </row>
    <row r="73" spans="1:12" x14ac:dyDescent="0.25">
      <c r="A73"/>
      <c r="B73" s="50"/>
      <c r="J73" s="48"/>
      <c r="K73" s="17"/>
      <c r="L73" s="49"/>
    </row>
    <row r="74" spans="1:12" x14ac:dyDescent="0.25">
      <c r="A74"/>
      <c r="B74" s="50"/>
      <c r="J74" s="48"/>
      <c r="K74" s="17"/>
      <c r="L74" s="49"/>
    </row>
    <row r="75" spans="1:12" x14ac:dyDescent="0.25">
      <c r="A75"/>
      <c r="B75" s="50"/>
      <c r="J75" s="48"/>
      <c r="K75" s="17"/>
      <c r="L75" s="49"/>
    </row>
    <row r="76" spans="1:12" x14ac:dyDescent="0.25">
      <c r="A76"/>
      <c r="B76" s="50"/>
      <c r="J76" s="48"/>
      <c r="K76" s="17"/>
      <c r="L76" s="49"/>
    </row>
    <row r="77" spans="1:12" x14ac:dyDescent="0.25">
      <c r="A77"/>
      <c r="B77" s="50"/>
      <c r="J77" s="48"/>
      <c r="K77" s="17"/>
      <c r="L77" s="49"/>
    </row>
    <row r="78" spans="1:12" x14ac:dyDescent="0.25">
      <c r="A78"/>
      <c r="B78" s="50"/>
      <c r="J78" s="48"/>
      <c r="K78" s="17"/>
      <c r="L78" s="49"/>
    </row>
    <row r="79" spans="1:12" x14ac:dyDescent="0.25">
      <c r="A79"/>
      <c r="B79" s="50"/>
      <c r="J79" s="48"/>
      <c r="K79" s="17"/>
      <c r="L79" s="49"/>
    </row>
    <row r="80" spans="1:12" x14ac:dyDescent="0.25">
      <c r="A80"/>
      <c r="B80" s="50"/>
      <c r="J80" s="48"/>
      <c r="K80" s="17"/>
      <c r="L80" s="49"/>
    </row>
    <row r="81" spans="1:12" x14ac:dyDescent="0.25">
      <c r="A81"/>
      <c r="B81" s="50"/>
      <c r="J81" s="48"/>
      <c r="K81" s="17"/>
      <c r="L81" s="49"/>
    </row>
    <row r="82" spans="1:12" x14ac:dyDescent="0.25">
      <c r="A82"/>
      <c r="B82" s="50"/>
      <c r="J82" s="48"/>
      <c r="K82" s="17"/>
      <c r="L82" s="49"/>
    </row>
    <row r="83" spans="1:12" x14ac:dyDescent="0.25">
      <c r="A83"/>
      <c r="B83" s="50"/>
      <c r="J83" s="48"/>
      <c r="K83" s="17"/>
      <c r="L83" s="49"/>
    </row>
    <row r="84" spans="1:12" x14ac:dyDescent="0.25">
      <c r="A84"/>
      <c r="B84" s="50"/>
      <c r="J84" s="48"/>
      <c r="K84" s="17"/>
      <c r="L84" s="49"/>
    </row>
    <row r="85" spans="1:12" x14ac:dyDescent="0.25">
      <c r="A85"/>
      <c r="B85" s="50"/>
      <c r="J85" s="48"/>
      <c r="K85" s="17"/>
      <c r="L85" s="49"/>
    </row>
    <row r="86" spans="1:12" x14ac:dyDescent="0.25">
      <c r="A86"/>
      <c r="B86" s="50"/>
      <c r="J86" s="48"/>
      <c r="K86" s="17"/>
      <c r="L86" s="49"/>
    </row>
    <row r="87" spans="1:12" x14ac:dyDescent="0.25">
      <c r="A87"/>
      <c r="B87" s="50"/>
      <c r="J87" s="48"/>
      <c r="K87" s="17"/>
      <c r="L87" s="49"/>
    </row>
    <row r="88" spans="1:12" x14ac:dyDescent="0.25">
      <c r="A88"/>
      <c r="B88" s="50"/>
      <c r="J88" s="48"/>
      <c r="K88" s="17"/>
      <c r="L88" s="49"/>
    </row>
    <row r="89" spans="1:12" x14ac:dyDescent="0.25">
      <c r="A89"/>
      <c r="B89" s="50"/>
      <c r="J89" s="48"/>
      <c r="K89" s="17"/>
      <c r="L89" s="49"/>
    </row>
    <row r="90" spans="1:12" x14ac:dyDescent="0.25">
      <c r="A90"/>
      <c r="B90" s="50"/>
      <c r="J90" s="48"/>
      <c r="K90" s="17"/>
      <c r="L90" s="49"/>
    </row>
    <row r="91" spans="1:12" x14ac:dyDescent="0.25">
      <c r="A91"/>
      <c r="B91" s="50"/>
      <c r="J91" s="48"/>
      <c r="K91" s="17"/>
      <c r="L91" s="49"/>
    </row>
    <row r="92" spans="1:12" x14ac:dyDescent="0.25">
      <c r="A92"/>
      <c r="B92" s="50"/>
      <c r="J92" s="48"/>
      <c r="K92" s="17"/>
      <c r="L92" s="49"/>
    </row>
    <row r="93" spans="1:12" x14ac:dyDescent="0.25">
      <c r="A93"/>
      <c r="B93" s="50"/>
      <c r="J93" s="48"/>
      <c r="K93" s="17"/>
      <c r="L93" s="49"/>
    </row>
    <row r="94" spans="1:12" x14ac:dyDescent="0.25">
      <c r="A94"/>
      <c r="B94" s="50"/>
      <c r="J94" s="48"/>
      <c r="K94" s="17"/>
      <c r="L94" s="49"/>
    </row>
    <row r="95" spans="1:12" x14ac:dyDescent="0.25">
      <c r="A95"/>
      <c r="B95" s="50"/>
      <c r="J95" s="48"/>
      <c r="K95" s="17"/>
      <c r="L95" s="49"/>
    </row>
    <row r="96" spans="1:12" x14ac:dyDescent="0.25">
      <c r="A96"/>
      <c r="B96" s="50"/>
      <c r="J96" s="48"/>
      <c r="K96" s="17"/>
      <c r="L96" s="49"/>
    </row>
    <row r="97" spans="1:12" x14ac:dyDescent="0.25">
      <c r="A97"/>
      <c r="B97" s="50"/>
      <c r="J97" s="48"/>
      <c r="K97" s="17"/>
      <c r="L97" s="49"/>
    </row>
    <row r="98" spans="1:12" x14ac:dyDescent="0.25">
      <c r="A98"/>
      <c r="B98" s="50"/>
      <c r="J98" s="48"/>
      <c r="K98" s="17"/>
      <c r="L98" s="49"/>
    </row>
    <row r="99" spans="1:12" x14ac:dyDescent="0.25">
      <c r="A99"/>
      <c r="B99" s="50"/>
      <c r="J99" s="48"/>
      <c r="K99" s="17"/>
      <c r="L99" s="49"/>
    </row>
    <row r="100" spans="1:12" x14ac:dyDescent="0.25">
      <c r="A100"/>
      <c r="B100" s="50"/>
      <c r="J100" s="48"/>
      <c r="K100" s="17"/>
      <c r="L100" s="49"/>
    </row>
    <row r="101" spans="1:12" x14ac:dyDescent="0.25">
      <c r="A101"/>
      <c r="B101" s="50"/>
      <c r="J101" s="48"/>
      <c r="K101" s="17"/>
      <c r="L101" s="49"/>
    </row>
    <row r="102" spans="1:12" x14ac:dyDescent="0.25">
      <c r="A102"/>
      <c r="B102" s="50"/>
      <c r="J102" s="48"/>
      <c r="K102" s="17"/>
      <c r="L102" s="49"/>
    </row>
    <row r="103" spans="1:12" x14ac:dyDescent="0.25">
      <c r="A103"/>
      <c r="B103" s="50"/>
      <c r="J103" s="48"/>
      <c r="K103" s="17"/>
      <c r="L103" s="49"/>
    </row>
    <row r="104" spans="1:12" x14ac:dyDescent="0.25">
      <c r="A104"/>
      <c r="B104" s="50"/>
      <c r="J104" s="48"/>
      <c r="K104" s="17"/>
      <c r="L104" s="49"/>
    </row>
    <row r="105" spans="1:12" x14ac:dyDescent="0.25">
      <c r="A105"/>
      <c r="B105" s="50"/>
      <c r="J105" s="48"/>
      <c r="K105" s="17"/>
      <c r="L105" s="49"/>
    </row>
    <row r="106" spans="1:12" x14ac:dyDescent="0.25">
      <c r="A106"/>
      <c r="B106" s="50"/>
      <c r="J106" s="48"/>
      <c r="K106" s="17"/>
      <c r="L106" s="49"/>
    </row>
    <row r="107" spans="1:12" x14ac:dyDescent="0.25">
      <c r="A107"/>
      <c r="B107" s="50"/>
      <c r="J107" s="48"/>
      <c r="K107" s="17"/>
      <c r="L107" s="49"/>
    </row>
    <row r="108" spans="1:12" x14ac:dyDescent="0.25">
      <c r="A108"/>
      <c r="B108" s="50"/>
      <c r="J108" s="48"/>
      <c r="K108" s="17"/>
      <c r="L108" s="49"/>
    </row>
    <row r="109" spans="1:12" x14ac:dyDescent="0.25">
      <c r="A109"/>
      <c r="B109" s="50"/>
      <c r="J109" s="48"/>
      <c r="K109" s="17"/>
      <c r="L109" s="49"/>
    </row>
    <row r="110" spans="1:12" x14ac:dyDescent="0.25">
      <c r="A110"/>
      <c r="B110" s="50"/>
      <c r="J110" s="48"/>
      <c r="K110" s="17"/>
      <c r="L110" s="49"/>
    </row>
    <row r="111" spans="1:12" x14ac:dyDescent="0.25">
      <c r="A111"/>
      <c r="B111" s="50"/>
      <c r="J111" s="48"/>
      <c r="K111" s="17"/>
      <c r="L111" s="49"/>
    </row>
    <row r="112" spans="1:12" x14ac:dyDescent="0.25">
      <c r="A112"/>
      <c r="B112" s="50"/>
      <c r="J112" s="48"/>
      <c r="K112" s="17"/>
      <c r="L112" s="49"/>
    </row>
    <row r="113" spans="1:12" x14ac:dyDescent="0.25">
      <c r="A113"/>
      <c r="B113" s="50"/>
      <c r="J113" s="48"/>
      <c r="K113" s="17"/>
      <c r="L113" s="49"/>
    </row>
    <row r="114" spans="1:12" x14ac:dyDescent="0.25">
      <c r="A114"/>
      <c r="B114" s="50"/>
      <c r="J114" s="48"/>
      <c r="K114" s="17"/>
      <c r="L114" s="49"/>
    </row>
    <row r="115" spans="1:12" x14ac:dyDescent="0.25">
      <c r="A115"/>
      <c r="B115" s="50"/>
      <c r="J115" s="48"/>
      <c r="K115" s="17"/>
      <c r="L115" s="49"/>
    </row>
    <row r="116" spans="1:12" x14ac:dyDescent="0.25">
      <c r="A116"/>
      <c r="B116" s="50"/>
      <c r="J116" s="48"/>
      <c r="K116" s="17"/>
      <c r="L116" s="49"/>
    </row>
    <row r="117" spans="1:12" x14ac:dyDescent="0.25">
      <c r="A117"/>
      <c r="B117" s="50"/>
      <c r="J117" s="48"/>
      <c r="K117" s="17"/>
      <c r="L117" s="49"/>
    </row>
    <row r="118" spans="1:12" x14ac:dyDescent="0.25">
      <c r="A118"/>
      <c r="B118" s="50"/>
      <c r="J118" s="48"/>
      <c r="K118" s="17"/>
      <c r="L118" s="49"/>
    </row>
    <row r="119" spans="1:12" x14ac:dyDescent="0.25">
      <c r="A119"/>
      <c r="B119" s="50"/>
      <c r="J119" s="48"/>
      <c r="K119" s="17"/>
      <c r="L119" s="49"/>
    </row>
    <row r="120" spans="1:12" x14ac:dyDescent="0.25">
      <c r="A120"/>
      <c r="B120" s="50"/>
      <c r="J120" s="48"/>
      <c r="K120" s="17"/>
      <c r="L120" s="49"/>
    </row>
    <row r="121" spans="1:12" x14ac:dyDescent="0.25">
      <c r="B121" s="50"/>
      <c r="J121" s="48"/>
      <c r="K121" s="17"/>
      <c r="L121" s="49"/>
    </row>
    <row r="122" spans="1:12" x14ac:dyDescent="0.25">
      <c r="B122" s="50"/>
      <c r="J122" s="48"/>
      <c r="K122" s="17"/>
      <c r="L122" s="49"/>
    </row>
    <row r="123" spans="1:12" x14ac:dyDescent="0.25">
      <c r="B123" s="50"/>
      <c r="J123" s="48"/>
      <c r="K123" s="17"/>
      <c r="L123" s="49"/>
    </row>
    <row r="124" spans="1:12" x14ac:dyDescent="0.25">
      <c r="B124" s="50"/>
      <c r="J124" s="48"/>
      <c r="K124" s="17"/>
      <c r="L124" s="49"/>
    </row>
    <row r="125" spans="1:12" x14ac:dyDescent="0.25">
      <c r="B125" s="50"/>
      <c r="J125" s="48"/>
      <c r="K125" s="17"/>
      <c r="L125" s="49"/>
    </row>
    <row r="126" spans="1:12" x14ac:dyDescent="0.25">
      <c r="B126" s="50"/>
      <c r="J126" s="48"/>
      <c r="K126" s="17"/>
      <c r="L126" s="49"/>
    </row>
    <row r="127" spans="1:12" x14ac:dyDescent="0.25">
      <c r="B127" s="50"/>
      <c r="J127" s="48"/>
      <c r="K127" s="17"/>
      <c r="L127" s="49"/>
    </row>
    <row r="128" spans="1:12" x14ac:dyDescent="0.25">
      <c r="B128" s="50"/>
      <c r="J128" s="48"/>
      <c r="K128" s="17"/>
      <c r="L128" s="49"/>
    </row>
    <row r="129" spans="1:12" x14ac:dyDescent="0.25">
      <c r="B129" s="50"/>
      <c r="J129" s="48"/>
      <c r="K129" s="17"/>
      <c r="L129" s="49"/>
    </row>
    <row r="130" spans="1:12" x14ac:dyDescent="0.25">
      <c r="B130" s="50"/>
      <c r="J130" s="48"/>
      <c r="K130" s="17"/>
      <c r="L130" s="49"/>
    </row>
    <row r="131" spans="1:12" x14ac:dyDescent="0.25">
      <c r="B131" s="50"/>
      <c r="J131" s="48"/>
      <c r="K131" s="17"/>
      <c r="L131" s="49"/>
    </row>
    <row r="132" spans="1:12" x14ac:dyDescent="0.25">
      <c r="B132" s="50"/>
      <c r="J132" s="48"/>
      <c r="K132" s="17"/>
      <c r="L132" s="49"/>
    </row>
    <row r="133" spans="1:12" x14ac:dyDescent="0.25">
      <c r="B133" s="50"/>
      <c r="J133" s="48"/>
      <c r="K133" s="17"/>
      <c r="L133" s="49"/>
    </row>
    <row r="134" spans="1:12" x14ac:dyDescent="0.25">
      <c r="B134" s="50"/>
      <c r="J134" s="48"/>
      <c r="K134" s="17"/>
      <c r="L134" s="49"/>
    </row>
    <row r="135" spans="1:12" x14ac:dyDescent="0.25">
      <c r="B135" s="50"/>
      <c r="J135" s="48"/>
      <c r="K135" s="17"/>
      <c r="L135" s="49"/>
    </row>
    <row r="136" spans="1:12" x14ac:dyDescent="0.25">
      <c r="A136" s="10" t="s">
        <v>18</v>
      </c>
      <c r="B136" s="50" t="str">
        <f>IF($A136&lt;&gt;"",IF(_term=26,IF(A136=1,first_payment,B135+14),IF(_term=52,IF(A136=1,first_payment,B135+7),DATE(YEAR(first_payment),MONTH(first_payment)+(A136-1)*per_year,IF(_term=24,IF(1-MOD(A136,2)=1,DAY(first_payment)+14,DAY(first_payment)),DAY(first_payment))))),"")</f>
        <v/>
      </c>
      <c r="H136" t="str">
        <f>IF($A136&lt;&gt;"",$H135-$D136,"")</f>
        <v/>
      </c>
      <c r="J136" s="48"/>
      <c r="K136" s="17"/>
      <c r="L136" s="49"/>
    </row>
    <row r="137" spans="1:12" x14ac:dyDescent="0.25">
      <c r="A137" s="10" t="s">
        <v>18</v>
      </c>
      <c r="B137" s="50" t="str">
        <f>IF($A137&lt;&gt;"",IF(_term=26,IF(A137=1,first_payment,B136+14),IF(_term=52,IF(A137=1,first_payment,B136+7),DATE(YEAR(first_payment),MONTH(first_payment)+(A137-1)*per_year,IF(_term=24,IF(1-MOD(A137,2)=1,DAY(first_payment)+14,DAY(first_payment)),DAY(first_payment))))),"")</f>
        <v/>
      </c>
      <c r="H137" t="str">
        <f>IF($A137&lt;&gt;"",$H136-$D137,"")</f>
        <v/>
      </c>
      <c r="J137" s="48"/>
      <c r="K137" s="17"/>
      <c r="L137" s="49"/>
    </row>
    <row r="138" spans="1:12" x14ac:dyDescent="0.25">
      <c r="A138" s="10" t="s">
        <v>18</v>
      </c>
      <c r="B138" s="50" t="str">
        <f>IF($A138&lt;&gt;"",IF(_term=26,IF(A138=1,first_payment,B137+14),IF(_term=52,IF(A138=1,first_payment,B137+7),DATE(YEAR(first_payment),MONTH(first_payment)+(A138-1)*per_year,IF(_term=24,IF(1-MOD(A138,2)=1,DAY(first_payment)+14,DAY(first_payment)),DAY(first_payment))))),"")</f>
        <v/>
      </c>
      <c r="H138" t="str">
        <f>IF($A138&lt;&gt;"",$H137-$D138,"")</f>
        <v/>
      </c>
      <c r="J138" s="48"/>
      <c r="K138" s="17"/>
      <c r="L138" s="49"/>
    </row>
    <row r="139" spans="1:12" x14ac:dyDescent="0.25">
      <c r="A139" s="10" t="s">
        <v>18</v>
      </c>
      <c r="B139" s="50" t="str">
        <f>IF($A139&lt;&gt;"",IF(_term=26,IF(A139=1,first_payment,B138+14),IF(_term=52,IF(A139=1,first_payment,B138+7),DATE(YEAR(first_payment),MONTH(first_payment)+(A139-1)*per_year,IF(_term=24,IF(1-MOD(A139,2)=1,DAY(first_payment)+14,DAY(first_payment)),DAY(first_payment))))),"")</f>
        <v/>
      </c>
      <c r="H139" t="str">
        <f>IF($A139&lt;&gt;"",$H138-$D139,"")</f>
        <v/>
      </c>
      <c r="J139" s="48"/>
      <c r="K139" s="17"/>
      <c r="L139" s="49"/>
    </row>
    <row r="140" spans="1:12" ht="15" customHeight="1" x14ac:dyDescent="0.25">
      <c r="J140" s="48"/>
      <c r="K140" s="17"/>
      <c r="L140" s="49"/>
    </row>
    <row r="141" spans="1:12" ht="15" customHeight="1" x14ac:dyDescent="0.25">
      <c r="J141" s="48"/>
      <c r="K141" s="17"/>
      <c r="L141" s="49"/>
    </row>
    <row r="142" spans="1:12" ht="15" customHeight="1" x14ac:dyDescent="0.25">
      <c r="J142" s="48"/>
      <c r="K142" s="17"/>
      <c r="L142" s="49"/>
    </row>
    <row r="143" spans="1:12" ht="15" customHeight="1" x14ac:dyDescent="0.25">
      <c r="J143" s="48"/>
      <c r="K143" s="17"/>
      <c r="L143" s="49"/>
    </row>
    <row r="144" spans="1:12" ht="15" customHeight="1" x14ac:dyDescent="0.25">
      <c r="J144" s="48"/>
      <c r="K144" s="17"/>
      <c r="L144" s="49"/>
    </row>
    <row r="145" spans="10:12" ht="15" customHeight="1" x14ac:dyDescent="0.25">
      <c r="J145" s="48"/>
      <c r="K145" s="17"/>
      <c r="L145" s="49"/>
    </row>
    <row r="146" spans="10:12" ht="15" customHeight="1" x14ac:dyDescent="0.25">
      <c r="J146" s="48"/>
      <c r="K146" s="17"/>
      <c r="L146" s="49"/>
    </row>
    <row r="147" spans="10:12" ht="15" customHeight="1" x14ac:dyDescent="0.25">
      <c r="J147" s="48"/>
      <c r="K147" s="17"/>
      <c r="L147" s="49"/>
    </row>
    <row r="148" spans="10:12" ht="15" customHeight="1" x14ac:dyDescent="0.25">
      <c r="J148" s="48"/>
      <c r="K148" s="17"/>
      <c r="L148" s="49"/>
    </row>
    <row r="149" spans="10:12" ht="15" customHeight="1" x14ac:dyDescent="0.25">
      <c r="J149" s="48"/>
      <c r="K149" s="17"/>
      <c r="L149" s="49"/>
    </row>
    <row r="150" spans="10:12" ht="15" customHeight="1" x14ac:dyDescent="0.25">
      <c r="J150" s="48"/>
      <c r="K150" s="17"/>
      <c r="L150" s="49"/>
    </row>
    <row r="151" spans="10:12" ht="15" customHeight="1" x14ac:dyDescent="0.25">
      <c r="J151" s="48"/>
      <c r="K151" s="17"/>
      <c r="L151" s="49"/>
    </row>
    <row r="152" spans="10:12" ht="15" customHeight="1" x14ac:dyDescent="0.25">
      <c r="J152" s="48"/>
      <c r="K152" s="17"/>
      <c r="L152" s="49"/>
    </row>
    <row r="153" spans="10:12" ht="15" customHeight="1" x14ac:dyDescent="0.25">
      <c r="J153" s="48"/>
      <c r="K153" s="17"/>
      <c r="L153" s="49"/>
    </row>
    <row r="154" spans="10:12" ht="15" customHeight="1" x14ac:dyDescent="0.25">
      <c r="J154" s="48"/>
      <c r="K154" s="17"/>
      <c r="L154" s="49"/>
    </row>
    <row r="155" spans="10:12" ht="15" customHeight="1" x14ac:dyDescent="0.25">
      <c r="J155" s="48"/>
      <c r="K155" s="17"/>
      <c r="L155" s="49"/>
    </row>
    <row r="156" spans="10:12" ht="15" customHeight="1" x14ac:dyDescent="0.25">
      <c r="J156" s="48"/>
      <c r="K156" s="17"/>
      <c r="L156" s="49"/>
    </row>
    <row r="157" spans="10:12" ht="15" customHeight="1" x14ac:dyDescent="0.25">
      <c r="J157" s="48"/>
      <c r="K157" s="17"/>
      <c r="L157" s="49"/>
    </row>
    <row r="158" spans="10:12" ht="15" customHeight="1" x14ac:dyDescent="0.25">
      <c r="J158" s="48"/>
      <c r="K158" s="17"/>
      <c r="L158" s="49"/>
    </row>
    <row r="159" spans="10:12" ht="15" customHeight="1" x14ac:dyDescent="0.25">
      <c r="J159" s="48"/>
      <c r="K159" s="17"/>
      <c r="L159" s="49"/>
    </row>
    <row r="160" spans="10:12" ht="15" customHeight="1" x14ac:dyDescent="0.25">
      <c r="J160" s="48"/>
      <c r="K160" s="17"/>
      <c r="L160" s="49"/>
    </row>
    <row r="161" spans="10:12" ht="15" customHeight="1" x14ac:dyDescent="0.25">
      <c r="J161" s="48"/>
      <c r="K161" s="17"/>
      <c r="L161" s="49"/>
    </row>
    <row r="162" spans="10:12" ht="15" customHeight="1" x14ac:dyDescent="0.25">
      <c r="J162" s="48"/>
      <c r="K162" s="17"/>
      <c r="L162" s="49"/>
    </row>
    <row r="163" spans="10:12" ht="15" customHeight="1" x14ac:dyDescent="0.25">
      <c r="J163" s="48"/>
      <c r="K163" s="17"/>
      <c r="L163" s="49"/>
    </row>
    <row r="164" spans="10:12" ht="15" customHeight="1" x14ac:dyDescent="0.25">
      <c r="J164" s="48"/>
      <c r="K164" s="17"/>
      <c r="L164" s="49"/>
    </row>
    <row r="165" spans="10:12" ht="15" customHeight="1" x14ac:dyDescent="0.25">
      <c r="J165" s="48"/>
      <c r="K165" s="17"/>
      <c r="L165" s="49"/>
    </row>
    <row r="166" spans="10:12" ht="15" customHeight="1" x14ac:dyDescent="0.25">
      <c r="J166" s="48"/>
      <c r="K166" s="17"/>
      <c r="L166" s="49"/>
    </row>
    <row r="167" spans="10:12" ht="15" customHeight="1" x14ac:dyDescent="0.25">
      <c r="J167" s="48"/>
      <c r="K167" s="17"/>
      <c r="L167" s="49"/>
    </row>
    <row r="168" spans="10:12" ht="15" customHeight="1" x14ac:dyDescent="0.25">
      <c r="J168" s="48"/>
      <c r="K168" s="17"/>
      <c r="L168" s="49"/>
    </row>
    <row r="169" spans="10:12" ht="15" customHeight="1" x14ac:dyDescent="0.25">
      <c r="J169" s="48"/>
      <c r="K169" s="17"/>
      <c r="L169" s="49"/>
    </row>
    <row r="170" spans="10:12" ht="15" customHeight="1" x14ac:dyDescent="0.25">
      <c r="J170" s="48"/>
      <c r="K170" s="17"/>
      <c r="L170" s="49"/>
    </row>
    <row r="171" spans="10:12" ht="15" customHeight="1" x14ac:dyDescent="0.25">
      <c r="J171" s="48"/>
      <c r="K171" s="17"/>
      <c r="L171" s="49"/>
    </row>
    <row r="172" spans="10:12" ht="15" customHeight="1" x14ac:dyDescent="0.25">
      <c r="J172" s="48"/>
      <c r="K172" s="17"/>
      <c r="L172" s="49"/>
    </row>
    <row r="173" spans="10:12" ht="15" customHeight="1" x14ac:dyDescent="0.25">
      <c r="J173" s="48"/>
      <c r="K173" s="17"/>
      <c r="L173" s="49"/>
    </row>
    <row r="174" spans="10:12" ht="15" customHeight="1" x14ac:dyDescent="0.25">
      <c r="J174" s="48"/>
      <c r="K174" s="17"/>
      <c r="L174" s="49"/>
    </row>
    <row r="175" spans="10:12" ht="15" customHeight="1" x14ac:dyDescent="0.25">
      <c r="J175" s="48"/>
      <c r="K175" s="17"/>
      <c r="L175" s="49"/>
    </row>
    <row r="176" spans="10:12" ht="15" customHeight="1" x14ac:dyDescent="0.25">
      <c r="J176" s="48"/>
      <c r="K176" s="17"/>
      <c r="L176" s="49"/>
    </row>
    <row r="177" spans="10:12" ht="15" customHeight="1" x14ac:dyDescent="0.25">
      <c r="J177" s="48"/>
      <c r="K177" s="17"/>
      <c r="L177" s="49"/>
    </row>
    <row r="178" spans="10:12" ht="15" customHeight="1" x14ac:dyDescent="0.25">
      <c r="J178" s="48"/>
      <c r="K178" s="17"/>
      <c r="L178" s="49"/>
    </row>
    <row r="179" spans="10:12" ht="15" customHeight="1" x14ac:dyDescent="0.25">
      <c r="J179" s="48"/>
      <c r="K179" s="17"/>
      <c r="L179" s="49"/>
    </row>
    <row r="180" spans="10:12" ht="15" customHeight="1" x14ac:dyDescent="0.25">
      <c r="J180" s="48"/>
      <c r="K180" s="17"/>
      <c r="L180" s="49"/>
    </row>
    <row r="181" spans="10:12" ht="15" customHeight="1" x14ac:dyDescent="0.25">
      <c r="J181" s="48"/>
      <c r="K181" s="17"/>
      <c r="L181" s="49"/>
    </row>
    <row r="182" spans="10:12" ht="15" customHeight="1" x14ac:dyDescent="0.25">
      <c r="J182" s="48"/>
      <c r="K182" s="17"/>
      <c r="L182" s="49"/>
    </row>
    <row r="183" spans="10:12" ht="15" customHeight="1" x14ac:dyDescent="0.25">
      <c r="J183" s="48"/>
      <c r="K183" s="17"/>
      <c r="L183" s="49"/>
    </row>
    <row r="184" spans="10:12" ht="15" customHeight="1" x14ac:dyDescent="0.25">
      <c r="J184" s="48"/>
      <c r="K184" s="17"/>
      <c r="L184" s="49"/>
    </row>
    <row r="185" spans="10:12" ht="15" customHeight="1" x14ac:dyDescent="0.25">
      <c r="J185" s="48"/>
      <c r="K185" s="17"/>
      <c r="L185" s="49"/>
    </row>
    <row r="186" spans="10:12" ht="15" customHeight="1" x14ac:dyDescent="0.25">
      <c r="J186" s="48"/>
      <c r="K186" s="17"/>
      <c r="L186" s="49"/>
    </row>
    <row r="187" spans="10:12" ht="15" customHeight="1" x14ac:dyDescent="0.25">
      <c r="J187" s="48"/>
      <c r="K187" s="17"/>
      <c r="L187" s="49"/>
    </row>
    <row r="188" spans="10:12" ht="15" customHeight="1" x14ac:dyDescent="0.25">
      <c r="J188" s="48"/>
      <c r="K188" s="17"/>
      <c r="L188" s="49"/>
    </row>
    <row r="189" spans="10:12" ht="15" customHeight="1" x14ac:dyDescent="0.25">
      <c r="J189" s="48"/>
      <c r="K189" s="17"/>
      <c r="L189" s="49"/>
    </row>
    <row r="190" spans="10:12" ht="15" customHeight="1" x14ac:dyDescent="0.25">
      <c r="J190" s="48"/>
      <c r="K190" s="17"/>
      <c r="L190" s="49"/>
    </row>
    <row r="191" spans="10:12" ht="15" customHeight="1" x14ac:dyDescent="0.25">
      <c r="J191" s="48"/>
      <c r="K191" s="17"/>
      <c r="L191" s="49"/>
    </row>
    <row r="192" spans="10:12" ht="15" customHeight="1" x14ac:dyDescent="0.25">
      <c r="J192" s="48"/>
      <c r="K192" s="17"/>
      <c r="L192" s="49"/>
    </row>
    <row r="193" spans="10:12" ht="15" customHeight="1" x14ac:dyDescent="0.25">
      <c r="J193" s="48"/>
      <c r="K193" s="17"/>
      <c r="L193" s="49"/>
    </row>
    <row r="194" spans="10:12" ht="15" customHeight="1" x14ac:dyDescent="0.25">
      <c r="J194" s="48"/>
      <c r="K194" s="17"/>
      <c r="L194" s="49"/>
    </row>
    <row r="195" spans="10:12" ht="15" customHeight="1" x14ac:dyDescent="0.25">
      <c r="J195" s="48"/>
      <c r="K195" s="17"/>
      <c r="L195" s="49"/>
    </row>
    <row r="196" spans="10:12" ht="15" customHeight="1" x14ac:dyDescent="0.25">
      <c r="J196" s="48"/>
      <c r="K196" s="17"/>
      <c r="L196" s="49"/>
    </row>
    <row r="197" spans="10:12" ht="15" customHeight="1" x14ac:dyDescent="0.25">
      <c r="J197" s="48"/>
      <c r="K197" s="17"/>
      <c r="L197" s="49"/>
    </row>
    <row r="198" spans="10:12" ht="15" customHeight="1" x14ac:dyDescent="0.25">
      <c r="J198" s="48"/>
      <c r="K198" s="17"/>
      <c r="L198" s="49"/>
    </row>
    <row r="199" spans="10:12" ht="15" customHeight="1" x14ac:dyDescent="0.25">
      <c r="J199" s="48"/>
      <c r="K199" s="17"/>
      <c r="L199" s="49"/>
    </row>
    <row r="200" spans="10:12" ht="15" customHeight="1" x14ac:dyDescent="0.25">
      <c r="J200" s="48"/>
      <c r="K200" s="17"/>
      <c r="L200" s="49"/>
    </row>
    <row r="201" spans="10:12" ht="15" customHeight="1" x14ac:dyDescent="0.25">
      <c r="J201" s="48"/>
      <c r="K201" s="17"/>
      <c r="L201" s="49"/>
    </row>
    <row r="202" spans="10:12" ht="15" customHeight="1" x14ac:dyDescent="0.25">
      <c r="J202" s="48"/>
      <c r="K202" s="17"/>
      <c r="L202" s="49"/>
    </row>
    <row r="203" spans="10:12" ht="15" customHeight="1" x14ac:dyDescent="0.25">
      <c r="J203" s="48"/>
      <c r="K203" s="17"/>
      <c r="L203" s="49"/>
    </row>
    <row r="204" spans="10:12" ht="15" customHeight="1" x14ac:dyDescent="0.25">
      <c r="J204" s="48"/>
      <c r="K204" s="17"/>
      <c r="L204" s="49"/>
    </row>
    <row r="205" spans="10:12" ht="15" customHeight="1" x14ac:dyDescent="0.25">
      <c r="J205" s="48"/>
      <c r="K205" s="17"/>
      <c r="L205" s="49"/>
    </row>
    <row r="206" spans="10:12" ht="15" customHeight="1" x14ac:dyDescent="0.25">
      <c r="J206" s="48"/>
      <c r="K206" s="17"/>
      <c r="L206" s="49"/>
    </row>
    <row r="207" spans="10:12" ht="15" customHeight="1" x14ac:dyDescent="0.25">
      <c r="J207" s="48"/>
      <c r="K207" s="17"/>
      <c r="L207" s="49"/>
    </row>
    <row r="208" spans="10:12" ht="15" customHeight="1" x14ac:dyDescent="0.25">
      <c r="J208" s="48"/>
      <c r="K208" s="17"/>
      <c r="L208" s="49"/>
    </row>
    <row r="209" spans="10:12" ht="15" customHeight="1" x14ac:dyDescent="0.25">
      <c r="J209" s="48"/>
      <c r="K209" s="17"/>
      <c r="L209" s="49"/>
    </row>
    <row r="210" spans="10:12" ht="15" customHeight="1" x14ac:dyDescent="0.25">
      <c r="J210" s="48"/>
      <c r="K210" s="17"/>
      <c r="L210" s="49"/>
    </row>
    <row r="211" spans="10:12" ht="15" customHeight="1" x14ac:dyDescent="0.25">
      <c r="J211" s="48"/>
      <c r="K211" s="17"/>
      <c r="L211" s="49"/>
    </row>
    <row r="212" spans="10:12" ht="15" customHeight="1" x14ac:dyDescent="0.25">
      <c r="J212" s="48"/>
      <c r="K212" s="17"/>
      <c r="L212" s="49"/>
    </row>
    <row r="213" spans="10:12" ht="15" customHeight="1" x14ac:dyDescent="0.25">
      <c r="J213" s="48"/>
      <c r="K213" s="17"/>
      <c r="L213" s="49"/>
    </row>
    <row r="214" spans="10:12" ht="15" customHeight="1" x14ac:dyDescent="0.25">
      <c r="J214" s="48"/>
      <c r="K214" s="17"/>
      <c r="L214" s="49"/>
    </row>
    <row r="215" spans="10:12" ht="15" customHeight="1" x14ac:dyDescent="0.25">
      <c r="J215" s="48"/>
      <c r="K215" s="17"/>
      <c r="L215" s="49"/>
    </row>
    <row r="216" spans="10:12" ht="15" customHeight="1" x14ac:dyDescent="0.25">
      <c r="J216" s="48"/>
      <c r="K216" s="17"/>
      <c r="L216" s="49"/>
    </row>
    <row r="217" spans="10:12" ht="15" customHeight="1" x14ac:dyDescent="0.25">
      <c r="J217" s="48"/>
      <c r="K217" s="17"/>
      <c r="L217" s="49"/>
    </row>
    <row r="218" spans="10:12" ht="15" customHeight="1" x14ac:dyDescent="0.25">
      <c r="J218" s="48"/>
      <c r="K218" s="17"/>
      <c r="L218" s="49"/>
    </row>
    <row r="219" spans="10:12" ht="15" customHeight="1" x14ac:dyDescent="0.25">
      <c r="J219" s="48"/>
      <c r="K219" s="17"/>
      <c r="L219" s="49"/>
    </row>
    <row r="220" spans="10:12" ht="15" customHeight="1" x14ac:dyDescent="0.25">
      <c r="J220" s="48"/>
      <c r="K220" s="17"/>
      <c r="L220" s="49"/>
    </row>
    <row r="221" spans="10:12" ht="15" customHeight="1" x14ac:dyDescent="0.25">
      <c r="J221" s="48"/>
      <c r="K221" s="17"/>
      <c r="L221" s="49"/>
    </row>
    <row r="222" spans="10:12" ht="15" customHeight="1" x14ac:dyDescent="0.25">
      <c r="J222" s="48"/>
      <c r="K222" s="17"/>
      <c r="L222" s="49"/>
    </row>
    <row r="223" spans="10:12" ht="15" customHeight="1" x14ac:dyDescent="0.25">
      <c r="J223" s="48"/>
      <c r="K223" s="17"/>
      <c r="L223" s="49"/>
    </row>
    <row r="224" spans="10:12" ht="15" customHeight="1" x14ac:dyDescent="0.25">
      <c r="J224" s="48"/>
      <c r="K224" s="17"/>
      <c r="L224" s="49"/>
    </row>
    <row r="225" spans="10:12" ht="15" customHeight="1" x14ac:dyDescent="0.25">
      <c r="J225" s="48"/>
      <c r="K225" s="17"/>
      <c r="L225" s="49"/>
    </row>
    <row r="226" spans="10:12" ht="15" customHeight="1" x14ac:dyDescent="0.25">
      <c r="J226" s="48"/>
      <c r="K226" s="17"/>
      <c r="L226" s="49"/>
    </row>
    <row r="227" spans="10:12" ht="15" customHeight="1" x14ac:dyDescent="0.25">
      <c r="J227" s="48"/>
      <c r="K227" s="17"/>
      <c r="L227" s="49"/>
    </row>
    <row r="228" spans="10:12" ht="15" customHeight="1" x14ac:dyDescent="0.25">
      <c r="J228" s="48"/>
      <c r="K228" s="17"/>
      <c r="L228" s="49"/>
    </row>
    <row r="229" spans="10:12" ht="15" customHeight="1" x14ac:dyDescent="0.25">
      <c r="J229" s="48"/>
      <c r="K229" s="17"/>
      <c r="L229" s="49"/>
    </row>
    <row r="230" spans="10:12" ht="15" customHeight="1" x14ac:dyDescent="0.25">
      <c r="J230" s="48"/>
      <c r="K230" s="17"/>
      <c r="L230" s="49"/>
    </row>
    <row r="231" spans="10:12" ht="15" customHeight="1" x14ac:dyDescent="0.25">
      <c r="J231" s="48"/>
      <c r="K231" s="17"/>
      <c r="L231" s="49"/>
    </row>
    <row r="232" spans="10:12" ht="15" customHeight="1" x14ac:dyDescent="0.25">
      <c r="J232" s="48"/>
      <c r="K232" s="17"/>
      <c r="L232" s="49"/>
    </row>
    <row r="233" spans="10:12" ht="15" customHeight="1" x14ac:dyDescent="0.25">
      <c r="J233" s="48"/>
      <c r="K233" s="17"/>
      <c r="L233" s="49"/>
    </row>
    <row r="234" spans="10:12" ht="15" customHeight="1" x14ac:dyDescent="0.25">
      <c r="J234" s="48"/>
      <c r="K234" s="17"/>
      <c r="L234" s="49"/>
    </row>
    <row r="235" spans="10:12" ht="15" customHeight="1" x14ac:dyDescent="0.25">
      <c r="J235" s="48"/>
      <c r="K235" s="17"/>
      <c r="L235" s="49"/>
    </row>
    <row r="236" spans="10:12" ht="15" customHeight="1" x14ac:dyDescent="0.25">
      <c r="J236" s="48"/>
      <c r="K236" s="17"/>
      <c r="L236" s="49"/>
    </row>
    <row r="237" spans="10:12" ht="15" customHeight="1" x14ac:dyDescent="0.25">
      <c r="J237" s="48"/>
      <c r="K237" s="17"/>
      <c r="L237" s="49"/>
    </row>
    <row r="238" spans="10:12" ht="15" customHeight="1" x14ac:dyDescent="0.25">
      <c r="J238" s="48"/>
      <c r="K238" s="17"/>
      <c r="L238" s="49"/>
    </row>
    <row r="239" spans="10:12" ht="15" customHeight="1" x14ac:dyDescent="0.25">
      <c r="J239" s="48"/>
      <c r="K239" s="17"/>
      <c r="L239" s="49"/>
    </row>
    <row r="240" spans="10:12" ht="15" customHeight="1" x14ac:dyDescent="0.25">
      <c r="J240" s="48"/>
      <c r="K240" s="17"/>
      <c r="L240" s="49"/>
    </row>
    <row r="241" spans="10:12" ht="15" customHeight="1" x14ac:dyDescent="0.25">
      <c r="J241" s="48"/>
      <c r="K241" s="17"/>
      <c r="L241" s="49"/>
    </row>
    <row r="242" spans="10:12" ht="15" customHeight="1" x14ac:dyDescent="0.25">
      <c r="J242" s="48"/>
      <c r="K242" s="17"/>
      <c r="L242" s="49"/>
    </row>
    <row r="243" spans="10:12" ht="15" customHeight="1" x14ac:dyDescent="0.25">
      <c r="J243" s="48"/>
      <c r="K243" s="17"/>
      <c r="L243" s="49"/>
    </row>
    <row r="244" spans="10:12" ht="15" customHeight="1" x14ac:dyDescent="0.25">
      <c r="J244" s="48"/>
      <c r="K244" s="17"/>
      <c r="L244" s="49"/>
    </row>
    <row r="245" spans="10:12" ht="15" customHeight="1" x14ac:dyDescent="0.25">
      <c r="J245" s="48"/>
      <c r="K245" s="17"/>
      <c r="L245" s="49"/>
    </row>
    <row r="246" spans="10:12" ht="15" customHeight="1" x14ac:dyDescent="0.25">
      <c r="J246" s="48"/>
      <c r="K246" s="17"/>
      <c r="L246" s="49"/>
    </row>
    <row r="247" spans="10:12" ht="15" customHeight="1" x14ac:dyDescent="0.25">
      <c r="J247" s="48"/>
      <c r="K247" s="17"/>
      <c r="L247" s="49"/>
    </row>
    <row r="248" spans="10:12" ht="15" customHeight="1" x14ac:dyDescent="0.25">
      <c r="J248" s="48"/>
      <c r="K248" s="17"/>
      <c r="L248" s="49"/>
    </row>
    <row r="249" spans="10:12" ht="15" customHeight="1" x14ac:dyDescent="0.25">
      <c r="J249" s="48"/>
      <c r="K249" s="17"/>
      <c r="L249" s="49"/>
    </row>
    <row r="250" spans="10:12" ht="15" customHeight="1" x14ac:dyDescent="0.25">
      <c r="J250" s="48"/>
      <c r="K250" s="17"/>
      <c r="L250" s="49"/>
    </row>
    <row r="251" spans="10:12" ht="15" customHeight="1" x14ac:dyDescent="0.25">
      <c r="J251" s="48"/>
      <c r="K251" s="17"/>
      <c r="L251" s="49"/>
    </row>
    <row r="252" spans="10:12" ht="15" customHeight="1" x14ac:dyDescent="0.25">
      <c r="J252" s="48"/>
      <c r="K252" s="17"/>
      <c r="L252" s="49"/>
    </row>
    <row r="253" spans="10:12" ht="15" customHeight="1" x14ac:dyDescent="0.25">
      <c r="J253" s="48"/>
      <c r="K253" s="17"/>
      <c r="L253" s="49"/>
    </row>
    <row r="254" spans="10:12" ht="15" customHeight="1" x14ac:dyDescent="0.25">
      <c r="J254" s="48"/>
      <c r="K254" s="17"/>
      <c r="L254" s="49"/>
    </row>
    <row r="255" spans="10:12" ht="15" customHeight="1" x14ac:dyDescent="0.25">
      <c r="J255" s="48"/>
      <c r="K255" s="17"/>
      <c r="L255" s="49"/>
    </row>
    <row r="256" spans="10:12" ht="15" customHeight="1" x14ac:dyDescent="0.25">
      <c r="J256" s="48"/>
      <c r="K256" s="17"/>
      <c r="L256" s="49"/>
    </row>
    <row r="257" spans="10:12" ht="15" customHeight="1" x14ac:dyDescent="0.25">
      <c r="J257" s="48"/>
      <c r="K257" s="17"/>
      <c r="L257" s="49"/>
    </row>
    <row r="258" spans="10:12" ht="15" customHeight="1" x14ac:dyDescent="0.25">
      <c r="J258" s="48"/>
      <c r="K258" s="17"/>
      <c r="L258" s="49"/>
    </row>
    <row r="259" spans="10:12" ht="15" customHeight="1" x14ac:dyDescent="0.25">
      <c r="J259" s="48"/>
      <c r="K259" s="17"/>
      <c r="L259" s="49"/>
    </row>
    <row r="260" spans="10:12" ht="15" customHeight="1" x14ac:dyDescent="0.25">
      <c r="J260" s="48"/>
      <c r="K260" s="17"/>
      <c r="L260" s="49"/>
    </row>
    <row r="261" spans="10:12" ht="15" customHeight="1" x14ac:dyDescent="0.25">
      <c r="J261" s="48"/>
      <c r="K261" s="17"/>
      <c r="L261" s="49"/>
    </row>
    <row r="262" spans="10:12" ht="15" customHeight="1" x14ac:dyDescent="0.25">
      <c r="J262" s="48"/>
      <c r="K262" s="17"/>
      <c r="L262" s="49"/>
    </row>
    <row r="263" spans="10:12" ht="15" customHeight="1" x14ac:dyDescent="0.25">
      <c r="J263" s="48"/>
      <c r="K263" s="17"/>
      <c r="L263" s="49"/>
    </row>
    <row r="264" spans="10:12" ht="15" customHeight="1" x14ac:dyDescent="0.25">
      <c r="J264" s="48"/>
      <c r="K264" s="17"/>
      <c r="L264" s="49"/>
    </row>
    <row r="265" spans="10:12" ht="15" customHeight="1" x14ac:dyDescent="0.25">
      <c r="J265" s="48"/>
      <c r="K265" s="17"/>
      <c r="L265" s="49"/>
    </row>
    <row r="266" spans="10:12" ht="15" customHeight="1" x14ac:dyDescent="0.25">
      <c r="J266" s="48"/>
      <c r="K266" s="17"/>
      <c r="L266" s="49"/>
    </row>
    <row r="267" spans="10:12" ht="15" customHeight="1" x14ac:dyDescent="0.25">
      <c r="J267" s="48"/>
      <c r="K267" s="17"/>
      <c r="L267" s="49"/>
    </row>
    <row r="268" spans="10:12" ht="15" customHeight="1" x14ac:dyDescent="0.25">
      <c r="J268" s="48"/>
      <c r="K268" s="17"/>
      <c r="L268" s="49"/>
    </row>
    <row r="269" spans="10:12" ht="15" customHeight="1" x14ac:dyDescent="0.25">
      <c r="J269" s="48"/>
      <c r="K269" s="17"/>
      <c r="L269" s="49"/>
    </row>
    <row r="270" spans="10:12" ht="15" customHeight="1" x14ac:dyDescent="0.25">
      <c r="J270" s="48"/>
      <c r="K270" s="17"/>
      <c r="L270" s="49"/>
    </row>
    <row r="271" spans="10:12" ht="15" customHeight="1" x14ac:dyDescent="0.25">
      <c r="J271" s="48"/>
      <c r="K271" s="17"/>
      <c r="L271" s="49"/>
    </row>
    <row r="272" spans="10:12" ht="15" customHeight="1" x14ac:dyDescent="0.25">
      <c r="J272" s="48"/>
      <c r="K272" s="17"/>
      <c r="L272" s="49"/>
    </row>
    <row r="273" spans="10:12" ht="15" customHeight="1" x14ac:dyDescent="0.25">
      <c r="J273" s="48"/>
      <c r="K273" s="17"/>
      <c r="L273" s="49"/>
    </row>
    <row r="274" spans="10:12" ht="15" customHeight="1" x14ac:dyDescent="0.25">
      <c r="J274" s="48"/>
      <c r="K274" s="17"/>
      <c r="L274" s="49"/>
    </row>
    <row r="275" spans="10:12" ht="15" customHeight="1" x14ac:dyDescent="0.25">
      <c r="J275" s="48"/>
      <c r="K275" s="17"/>
      <c r="L275" s="49"/>
    </row>
    <row r="276" spans="10:12" ht="15" customHeight="1" x14ac:dyDescent="0.25">
      <c r="J276" s="48"/>
      <c r="K276" s="17"/>
      <c r="L276" s="49"/>
    </row>
    <row r="277" spans="10:12" ht="15" customHeight="1" x14ac:dyDescent="0.25">
      <c r="J277" s="48"/>
      <c r="K277" s="17"/>
      <c r="L277" s="49"/>
    </row>
    <row r="278" spans="10:12" ht="15" customHeight="1" x14ac:dyDescent="0.25">
      <c r="J278" s="48"/>
      <c r="K278" s="17"/>
      <c r="L278" s="49"/>
    </row>
    <row r="279" spans="10:12" ht="15" customHeight="1" x14ac:dyDescent="0.25">
      <c r="J279" s="48"/>
      <c r="K279" s="17"/>
      <c r="L279" s="49"/>
    </row>
    <row r="280" spans="10:12" ht="15" customHeight="1" x14ac:dyDescent="0.25">
      <c r="J280" s="48"/>
      <c r="K280" s="17"/>
      <c r="L280" s="49"/>
    </row>
    <row r="281" spans="10:12" ht="15" customHeight="1" x14ac:dyDescent="0.25">
      <c r="J281" s="48"/>
      <c r="K281" s="17"/>
      <c r="L281" s="49"/>
    </row>
    <row r="282" spans="10:12" ht="15" customHeight="1" x14ac:dyDescent="0.25">
      <c r="J282" s="48"/>
      <c r="K282" s="17"/>
      <c r="L282" s="49"/>
    </row>
    <row r="283" spans="10:12" ht="15" customHeight="1" x14ac:dyDescent="0.25">
      <c r="J283" s="48"/>
      <c r="K283" s="17"/>
      <c r="L283" s="49"/>
    </row>
    <row r="284" spans="10:12" ht="15" customHeight="1" x14ac:dyDescent="0.25">
      <c r="J284" s="48"/>
      <c r="K284" s="17"/>
      <c r="L284" s="49"/>
    </row>
    <row r="285" spans="10:12" ht="15" customHeight="1" x14ac:dyDescent="0.25">
      <c r="J285" s="48"/>
      <c r="K285" s="17"/>
      <c r="L285" s="49"/>
    </row>
    <row r="286" spans="10:12" ht="15" customHeight="1" x14ac:dyDescent="0.25">
      <c r="J286" s="48"/>
      <c r="K286" s="17"/>
      <c r="L286" s="49"/>
    </row>
    <row r="287" spans="10:12" ht="15" customHeight="1" x14ac:dyDescent="0.25">
      <c r="J287" s="48"/>
      <c r="K287" s="17"/>
      <c r="L287" s="49"/>
    </row>
    <row r="288" spans="10:12" ht="15" customHeight="1" x14ac:dyDescent="0.25">
      <c r="J288" s="48"/>
      <c r="K288" s="17"/>
      <c r="L288" s="49"/>
    </row>
    <row r="289" spans="10:12" ht="15" customHeight="1" x14ac:dyDescent="0.25">
      <c r="J289" s="48"/>
      <c r="K289" s="17"/>
      <c r="L289" s="49"/>
    </row>
    <row r="290" spans="10:12" ht="15" customHeight="1" x14ac:dyDescent="0.25">
      <c r="J290" s="48"/>
      <c r="K290" s="17"/>
      <c r="L290" s="49"/>
    </row>
    <row r="291" spans="10:12" ht="15" customHeight="1" x14ac:dyDescent="0.25">
      <c r="J291" s="48"/>
      <c r="K291" s="17"/>
      <c r="L291" s="49"/>
    </row>
    <row r="292" spans="10:12" ht="15" customHeight="1" x14ac:dyDescent="0.25">
      <c r="J292" s="48"/>
      <c r="K292" s="17"/>
      <c r="L292" s="49"/>
    </row>
    <row r="293" spans="10:12" ht="15" customHeight="1" x14ac:dyDescent="0.25">
      <c r="J293" s="48"/>
      <c r="K293" s="17"/>
      <c r="L293" s="49"/>
    </row>
    <row r="294" spans="10:12" ht="15" customHeight="1" x14ac:dyDescent="0.25">
      <c r="J294" s="48"/>
      <c r="K294" s="17"/>
      <c r="L294" s="49"/>
    </row>
    <row r="295" spans="10:12" ht="15" customHeight="1" x14ac:dyDescent="0.25">
      <c r="J295" s="48"/>
      <c r="K295" s="17"/>
      <c r="L295" s="49"/>
    </row>
    <row r="296" spans="10:12" ht="15" customHeight="1" x14ac:dyDescent="0.25">
      <c r="J296" s="48"/>
      <c r="K296" s="17"/>
      <c r="L296" s="49"/>
    </row>
    <row r="297" spans="10:12" ht="15" customHeight="1" x14ac:dyDescent="0.25">
      <c r="J297" s="48"/>
      <c r="K297" s="17"/>
      <c r="L297" s="49"/>
    </row>
    <row r="298" spans="10:12" ht="15" customHeight="1" x14ac:dyDescent="0.25">
      <c r="J298" s="48"/>
      <c r="K298" s="17"/>
      <c r="L298" s="49"/>
    </row>
    <row r="299" spans="10:12" ht="15" customHeight="1" x14ac:dyDescent="0.25">
      <c r="J299" s="48"/>
      <c r="K299" s="17"/>
      <c r="L299" s="49"/>
    </row>
    <row r="300" spans="10:12" ht="15" customHeight="1" x14ac:dyDescent="0.25">
      <c r="J300" s="48"/>
      <c r="K300" s="17"/>
      <c r="L300" s="49"/>
    </row>
    <row r="301" spans="10:12" ht="15" customHeight="1" x14ac:dyDescent="0.25">
      <c r="J301" s="48"/>
      <c r="K301" s="17"/>
      <c r="L301" s="49"/>
    </row>
    <row r="302" spans="10:12" ht="15" customHeight="1" x14ac:dyDescent="0.25">
      <c r="J302" s="48"/>
      <c r="K302" s="17"/>
      <c r="L302" s="49"/>
    </row>
    <row r="303" spans="10:12" ht="15" customHeight="1" x14ac:dyDescent="0.25">
      <c r="J303" s="48"/>
      <c r="K303" s="17"/>
      <c r="L303" s="49"/>
    </row>
    <row r="304" spans="10:12" ht="15" customHeight="1" x14ac:dyDescent="0.25">
      <c r="J304" s="48"/>
      <c r="K304" s="17"/>
      <c r="L304" s="49"/>
    </row>
    <row r="305" spans="10:12" ht="15" customHeight="1" x14ac:dyDescent="0.25">
      <c r="J305" s="48"/>
      <c r="K305" s="17"/>
      <c r="L305" s="49"/>
    </row>
    <row r="306" spans="10:12" ht="15" customHeight="1" x14ac:dyDescent="0.25">
      <c r="J306" s="48"/>
      <c r="K306" s="17"/>
      <c r="L306" s="49"/>
    </row>
    <row r="307" spans="10:12" ht="15" customHeight="1" x14ac:dyDescent="0.25">
      <c r="J307" s="48"/>
      <c r="K307" s="17"/>
      <c r="L307" s="49"/>
    </row>
    <row r="308" spans="10:12" ht="15" customHeight="1" x14ac:dyDescent="0.25">
      <c r="J308" s="48"/>
      <c r="K308" s="17"/>
      <c r="L308" s="49"/>
    </row>
    <row r="309" spans="10:12" ht="15" customHeight="1" x14ac:dyDescent="0.25">
      <c r="J309" s="48"/>
      <c r="K309" s="17"/>
      <c r="L309" s="49"/>
    </row>
    <row r="310" spans="10:12" ht="15" customHeight="1" x14ac:dyDescent="0.25">
      <c r="J310" s="48"/>
      <c r="K310" s="17"/>
      <c r="L310" s="49"/>
    </row>
    <row r="311" spans="10:12" ht="15" customHeight="1" x14ac:dyDescent="0.25">
      <c r="J311" s="48"/>
      <c r="K311" s="17"/>
      <c r="L311" s="49"/>
    </row>
    <row r="312" spans="10:12" ht="15" customHeight="1" x14ac:dyDescent="0.25">
      <c r="J312" s="48"/>
      <c r="K312" s="17"/>
      <c r="L312" s="49"/>
    </row>
    <row r="313" spans="10:12" ht="15" customHeight="1" x14ac:dyDescent="0.25">
      <c r="J313" s="48"/>
      <c r="K313" s="17"/>
      <c r="L313" s="49"/>
    </row>
    <row r="314" spans="10:12" ht="15" customHeight="1" x14ac:dyDescent="0.25">
      <c r="J314" s="48"/>
      <c r="K314" s="17"/>
      <c r="L314" s="49"/>
    </row>
    <row r="315" spans="10:12" ht="15" customHeight="1" x14ac:dyDescent="0.25">
      <c r="J315" s="48"/>
      <c r="K315" s="17"/>
      <c r="L315" s="49"/>
    </row>
    <row r="316" spans="10:12" ht="15" customHeight="1" x14ac:dyDescent="0.25">
      <c r="J316" s="48"/>
      <c r="K316" s="17"/>
      <c r="L316" s="49"/>
    </row>
    <row r="317" spans="10:12" ht="15" customHeight="1" x14ac:dyDescent="0.25">
      <c r="J317" s="48"/>
      <c r="K317" s="17"/>
      <c r="L317" s="49"/>
    </row>
    <row r="318" spans="10:12" ht="15" customHeight="1" x14ac:dyDescent="0.25">
      <c r="J318" s="48"/>
      <c r="K318" s="17"/>
      <c r="L318" s="49"/>
    </row>
    <row r="319" spans="10:12" ht="15" customHeight="1" x14ac:dyDescent="0.25">
      <c r="J319" s="48"/>
      <c r="K319" s="17"/>
      <c r="L319" s="49"/>
    </row>
    <row r="320" spans="10:12" ht="15" customHeight="1" x14ac:dyDescent="0.25">
      <c r="J320" s="16"/>
      <c r="K320" s="17"/>
      <c r="L320" s="49"/>
    </row>
    <row r="321" spans="10:12" ht="15" customHeight="1" x14ac:dyDescent="0.25">
      <c r="J321" s="16"/>
      <c r="K321" s="17"/>
      <c r="L321" s="49"/>
    </row>
    <row r="322" spans="10:12" ht="15" customHeight="1" x14ac:dyDescent="0.25">
      <c r="J322" s="16"/>
      <c r="K322" s="17"/>
      <c r="L322" s="49"/>
    </row>
    <row r="323" spans="10:12" ht="15" customHeight="1" x14ac:dyDescent="0.25">
      <c r="J323" s="16"/>
      <c r="K323" s="17"/>
      <c r="L323" s="49"/>
    </row>
    <row r="324" spans="10:12" ht="15" customHeight="1" x14ac:dyDescent="0.25">
      <c r="J324" s="16"/>
      <c r="K324" s="17"/>
      <c r="L324" s="49"/>
    </row>
    <row r="325" spans="10:12" ht="15" customHeight="1" x14ac:dyDescent="0.25">
      <c r="J325" s="16"/>
      <c r="K325" s="17"/>
      <c r="L325" s="49"/>
    </row>
    <row r="326" spans="10:12" ht="15" customHeight="1" x14ac:dyDescent="0.25">
      <c r="J326" s="16"/>
      <c r="K326" s="17"/>
      <c r="L326" s="49"/>
    </row>
    <row r="327" spans="10:12" ht="15" customHeight="1" x14ac:dyDescent="0.25">
      <c r="J327" s="16"/>
      <c r="K327" s="17"/>
      <c r="L327" s="49"/>
    </row>
    <row r="328" spans="10:12" ht="15" customHeight="1" x14ac:dyDescent="0.25">
      <c r="J328" s="16"/>
      <c r="K328" s="17"/>
      <c r="L328" s="49"/>
    </row>
    <row r="329" spans="10:12" ht="15" customHeight="1" x14ac:dyDescent="0.25">
      <c r="J329" s="16"/>
      <c r="K329" s="17"/>
      <c r="L329" s="49"/>
    </row>
    <row r="330" spans="10:12" ht="15" customHeight="1" x14ac:dyDescent="0.25">
      <c r="J330" s="16"/>
      <c r="K330" s="17"/>
      <c r="L330" s="49"/>
    </row>
    <row r="331" spans="10:12" ht="15" customHeight="1" x14ac:dyDescent="0.25">
      <c r="J331" s="16"/>
      <c r="K331" s="17"/>
      <c r="L331" s="49"/>
    </row>
    <row r="332" spans="10:12" ht="15" customHeight="1" x14ac:dyDescent="0.25">
      <c r="J332" s="16"/>
      <c r="K332" s="17"/>
      <c r="L332" s="49"/>
    </row>
    <row r="333" spans="10:12" ht="15" customHeight="1" x14ac:dyDescent="0.25">
      <c r="J333" s="16"/>
      <c r="K333" s="17"/>
      <c r="L333" s="49"/>
    </row>
    <row r="334" spans="10:12" ht="15" customHeight="1" x14ac:dyDescent="0.25">
      <c r="J334" s="16"/>
      <c r="K334" s="17"/>
      <c r="L334" s="49"/>
    </row>
    <row r="335" spans="10:12" ht="15" customHeight="1" x14ac:dyDescent="0.25">
      <c r="J335" s="16"/>
      <c r="K335" s="17"/>
      <c r="L335" s="49"/>
    </row>
    <row r="336" spans="10:12" ht="15" customHeight="1" x14ac:dyDescent="0.25">
      <c r="J336" s="16"/>
      <c r="K336" s="17"/>
      <c r="L336" s="49"/>
    </row>
    <row r="337" spans="10:12" ht="15" customHeight="1" x14ac:dyDescent="0.25">
      <c r="J337" s="16"/>
      <c r="K337" s="17"/>
      <c r="L337" s="49"/>
    </row>
    <row r="338" spans="10:12" ht="15" customHeight="1" x14ac:dyDescent="0.25">
      <c r="J338" s="16"/>
      <c r="K338" s="17"/>
      <c r="L338" s="49"/>
    </row>
    <row r="339" spans="10:12" ht="15" customHeight="1" x14ac:dyDescent="0.25">
      <c r="J339" s="16"/>
      <c r="K339" s="17"/>
      <c r="L339" s="49"/>
    </row>
    <row r="340" spans="10:12" ht="15" customHeight="1" x14ac:dyDescent="0.25">
      <c r="J340" s="16"/>
      <c r="K340" s="17"/>
      <c r="L340" s="49"/>
    </row>
    <row r="341" spans="10:12" ht="15" customHeight="1" x14ac:dyDescent="0.25">
      <c r="J341" s="16"/>
      <c r="K341" s="17"/>
      <c r="L341" s="49"/>
    </row>
    <row r="342" spans="10:12" ht="15" customHeight="1" x14ac:dyDescent="0.25">
      <c r="J342" s="16"/>
      <c r="K342" s="17"/>
      <c r="L342" s="49"/>
    </row>
    <row r="343" spans="10:12" ht="15" customHeight="1" x14ac:dyDescent="0.25">
      <c r="J343" s="16"/>
      <c r="K343" s="17"/>
      <c r="L343" s="49"/>
    </row>
    <row r="344" spans="10:12" ht="15" customHeight="1" x14ac:dyDescent="0.25">
      <c r="J344" s="16"/>
      <c r="K344" s="17"/>
      <c r="L344" s="49"/>
    </row>
    <row r="345" spans="10:12" ht="15" customHeight="1" x14ac:dyDescent="0.25">
      <c r="J345" s="16"/>
      <c r="K345" s="17"/>
      <c r="L345" s="49"/>
    </row>
    <row r="346" spans="10:12" ht="15" customHeight="1" x14ac:dyDescent="0.25">
      <c r="J346" s="16"/>
      <c r="K346" s="17"/>
      <c r="L346" s="49"/>
    </row>
    <row r="347" spans="10:12" ht="15" customHeight="1" x14ac:dyDescent="0.25">
      <c r="J347" s="16"/>
      <c r="K347" s="17"/>
      <c r="L347" s="49"/>
    </row>
    <row r="348" spans="10:12" ht="15" customHeight="1" x14ac:dyDescent="0.25">
      <c r="J348" s="16"/>
      <c r="K348" s="17"/>
      <c r="L348" s="49"/>
    </row>
    <row r="349" spans="10:12" ht="15" customHeight="1" x14ac:dyDescent="0.25">
      <c r="J349" s="16"/>
      <c r="K349" s="17"/>
      <c r="L349" s="49"/>
    </row>
    <row r="350" spans="10:12" ht="15" customHeight="1" x14ac:dyDescent="0.25">
      <c r="J350" s="16"/>
      <c r="K350" s="17"/>
      <c r="L350" s="49"/>
    </row>
    <row r="351" spans="10:12" ht="15" customHeight="1" x14ac:dyDescent="0.25">
      <c r="J351" s="16"/>
      <c r="K351" s="17"/>
      <c r="L351" s="49"/>
    </row>
    <row r="352" spans="10:12" ht="15" customHeight="1" x14ac:dyDescent="0.25">
      <c r="J352" s="16"/>
      <c r="K352" s="17"/>
      <c r="L352" s="49"/>
    </row>
    <row r="353" spans="10:12" ht="15" customHeight="1" x14ac:dyDescent="0.25">
      <c r="J353" s="16"/>
      <c r="K353" s="17"/>
      <c r="L353" s="49"/>
    </row>
    <row r="354" spans="10:12" ht="15" customHeight="1" x14ac:dyDescent="0.25">
      <c r="J354" s="16"/>
      <c r="K354" s="17"/>
      <c r="L354" s="49"/>
    </row>
    <row r="355" spans="10:12" ht="15" customHeight="1" x14ac:dyDescent="0.25">
      <c r="J355" s="16"/>
      <c r="K355" s="17"/>
      <c r="L355" s="49"/>
    </row>
  </sheetData>
  <autoFilter ref="A5:R69" xr:uid="{00000000-0009-0000-0000-00000E000000}">
    <filterColumn colId="11" showButton="0"/>
  </autoFilter>
  <mergeCells count="21">
    <mergeCell ref="A2:F3"/>
    <mergeCell ref="G2:I3"/>
    <mergeCell ref="J2:L3"/>
    <mergeCell ref="M2:N3"/>
    <mergeCell ref="A1:N1"/>
    <mergeCell ref="O1:P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M5"/>
    <mergeCell ref="O2:P3"/>
    <mergeCell ref="O4:P5"/>
    <mergeCell ref="N4:N5"/>
  </mergeCells>
  <conditionalFormatting sqref="K10:M18 G42:G58 L7:M9 G7:I41 C10:E40 A10:A58 C41:D43 C44:C60 I42:I60">
    <cfRule type="expression" dxfId="17617" priority="530">
      <formula>AND($A7&lt;&gt;"",MOD(ROW(),2))</formula>
    </cfRule>
  </conditionalFormatting>
  <conditionalFormatting sqref="K10:K18 D10:D43">
    <cfRule type="cellIs" dxfId="17616" priority="527" operator="equal">
      <formula>$C10</formula>
    </cfRule>
    <cfRule type="cellIs" dxfId="17615" priority="528" operator="greaterThan">
      <formula>$C10</formula>
    </cfRule>
    <cfRule type="cellIs" dxfId="17614" priority="529" operator="lessThan">
      <formula>$C10</formula>
    </cfRule>
  </conditionalFormatting>
  <conditionalFormatting sqref="K18:M59">
    <cfRule type="expression" dxfId="17613" priority="506">
      <formula>AND($A17&lt;&gt;"",MOD(ROW(),2))</formula>
    </cfRule>
  </conditionalFormatting>
  <conditionalFormatting sqref="K60:L85">
    <cfRule type="expression" dxfId="17612" priority="502">
      <formula>AND($A59&lt;&gt;"",MOD(ROW(),2))</formula>
    </cfRule>
  </conditionalFormatting>
  <conditionalFormatting sqref="K18:K85">
    <cfRule type="cellIs" dxfId="17611" priority="499" operator="equal">
      <formula>$C17</formula>
    </cfRule>
    <cfRule type="cellIs" dxfId="17610" priority="500" operator="greaterThan">
      <formula>$C17</formula>
    </cfRule>
    <cfRule type="cellIs" dxfId="17609" priority="501" operator="lessThan">
      <formula>$C17</formula>
    </cfRule>
  </conditionalFormatting>
  <conditionalFormatting sqref="K86:L111">
    <cfRule type="expression" dxfId="17608" priority="498">
      <formula>AND($A85&lt;&gt;"",MOD(ROW(),2))</formula>
    </cfRule>
  </conditionalFormatting>
  <conditionalFormatting sqref="K86:K111">
    <cfRule type="cellIs" dxfId="17607" priority="495" operator="equal">
      <formula>$C85</formula>
    </cfRule>
    <cfRule type="cellIs" dxfId="17606" priority="496" operator="greaterThan">
      <formula>$C85</formula>
    </cfRule>
    <cfRule type="cellIs" dxfId="17605" priority="497" operator="lessThan">
      <formula>$C85</formula>
    </cfRule>
  </conditionalFormatting>
  <conditionalFormatting sqref="K112:L137">
    <cfRule type="expression" dxfId="17604" priority="494">
      <formula>AND($A111&lt;&gt;"",MOD(ROW(),2))</formula>
    </cfRule>
  </conditionalFormatting>
  <conditionalFormatting sqref="K112:K137">
    <cfRule type="cellIs" dxfId="17603" priority="491" operator="equal">
      <formula>$C111</formula>
    </cfRule>
    <cfRule type="cellIs" dxfId="17602" priority="492" operator="greaterThan">
      <formula>$C111</formula>
    </cfRule>
    <cfRule type="cellIs" dxfId="17601" priority="493" operator="lessThan">
      <formula>$C111</formula>
    </cfRule>
  </conditionalFormatting>
  <conditionalFormatting sqref="K138:L163">
    <cfRule type="expression" dxfId="17600" priority="490">
      <formula>AND($A137&lt;&gt;"",MOD(ROW(),2))</formula>
    </cfRule>
  </conditionalFormatting>
  <conditionalFormatting sqref="K138:K163">
    <cfRule type="cellIs" dxfId="17599" priority="487" operator="equal">
      <formula>$C137</formula>
    </cfRule>
    <cfRule type="cellIs" dxfId="17598" priority="488" operator="greaterThan">
      <formula>$C137</formula>
    </cfRule>
    <cfRule type="cellIs" dxfId="17597" priority="489" operator="lessThan">
      <formula>$C137</formula>
    </cfRule>
  </conditionalFormatting>
  <conditionalFormatting sqref="K164:L189">
    <cfRule type="expression" dxfId="17596" priority="486">
      <formula>AND($A163&lt;&gt;"",MOD(ROW(),2))</formula>
    </cfRule>
  </conditionalFormatting>
  <conditionalFormatting sqref="K164:K189">
    <cfRule type="cellIs" dxfId="17595" priority="483" operator="equal">
      <formula>$C163</formula>
    </cfRule>
    <cfRule type="cellIs" dxfId="17594" priority="484" operator="greaterThan">
      <formula>$C163</formula>
    </cfRule>
    <cfRule type="cellIs" dxfId="17593" priority="485" operator="lessThan">
      <formula>$C163</formula>
    </cfRule>
  </conditionalFormatting>
  <conditionalFormatting sqref="K190:L215">
    <cfRule type="expression" dxfId="17592" priority="482">
      <formula>AND($A189&lt;&gt;"",MOD(ROW(),2))</formula>
    </cfRule>
  </conditionalFormatting>
  <conditionalFormatting sqref="K190:K215">
    <cfRule type="cellIs" dxfId="17591" priority="479" operator="equal">
      <formula>$C189</formula>
    </cfRule>
    <cfRule type="cellIs" dxfId="17590" priority="480" operator="greaterThan">
      <formula>$C189</formula>
    </cfRule>
    <cfRule type="cellIs" dxfId="17589" priority="481" operator="lessThan">
      <formula>$C189</formula>
    </cfRule>
  </conditionalFormatting>
  <conditionalFormatting sqref="K216:L241">
    <cfRule type="expression" dxfId="17588" priority="478">
      <formula>AND($A215&lt;&gt;"",MOD(ROW(),2))</formula>
    </cfRule>
  </conditionalFormatting>
  <conditionalFormatting sqref="K216:K241">
    <cfRule type="cellIs" dxfId="17587" priority="475" operator="equal">
      <formula>$C215</formula>
    </cfRule>
    <cfRule type="cellIs" dxfId="17586" priority="476" operator="greaterThan">
      <formula>$C215</formula>
    </cfRule>
    <cfRule type="cellIs" dxfId="17585" priority="477" operator="lessThan">
      <formula>$C215</formula>
    </cfRule>
  </conditionalFormatting>
  <conditionalFormatting sqref="K242:L267">
    <cfRule type="expression" dxfId="17584" priority="474">
      <formula>AND($A241&lt;&gt;"",MOD(ROW(),2))</formula>
    </cfRule>
  </conditionalFormatting>
  <conditionalFormatting sqref="K242:K267">
    <cfRule type="cellIs" dxfId="17583" priority="471" operator="equal">
      <formula>$C241</formula>
    </cfRule>
    <cfRule type="cellIs" dxfId="17582" priority="472" operator="greaterThan">
      <formula>$C241</formula>
    </cfRule>
    <cfRule type="cellIs" dxfId="17581" priority="473" operator="lessThan">
      <formula>$C241</formula>
    </cfRule>
  </conditionalFormatting>
  <conditionalFormatting sqref="K268:L293">
    <cfRule type="expression" dxfId="17580" priority="470">
      <formula>AND($A267&lt;&gt;"",MOD(ROW(),2))</formula>
    </cfRule>
  </conditionalFormatting>
  <conditionalFormatting sqref="K268:K293">
    <cfRule type="cellIs" dxfId="17579" priority="467" operator="equal">
      <formula>$C267</formula>
    </cfRule>
    <cfRule type="cellIs" dxfId="17578" priority="468" operator="greaterThan">
      <formula>$C267</formula>
    </cfRule>
    <cfRule type="cellIs" dxfId="17577" priority="469" operator="lessThan">
      <formula>$C267</formula>
    </cfRule>
  </conditionalFormatting>
  <conditionalFormatting sqref="K294:L319">
    <cfRule type="expression" dxfId="17576" priority="466">
      <formula>AND($A293&lt;&gt;"",MOD(ROW(),2))</formula>
    </cfRule>
  </conditionalFormatting>
  <conditionalFormatting sqref="K294:K319">
    <cfRule type="cellIs" dxfId="17575" priority="463" operator="equal">
      <formula>$C293</formula>
    </cfRule>
    <cfRule type="cellIs" dxfId="17574" priority="464" operator="greaterThan">
      <formula>$C293</formula>
    </cfRule>
    <cfRule type="cellIs" dxfId="17573" priority="465" operator="lessThan">
      <formula>$C293</formula>
    </cfRule>
  </conditionalFormatting>
  <conditionalFormatting sqref="F63:F2989 F7:F40">
    <cfRule type="containsText" dxfId="17572" priority="462" operator="containsText" text="Unpaid Rent">
      <formula>NOT(ISERROR(SEARCH("Unpaid Rent",F7)))</formula>
    </cfRule>
    <cfRule type="containsText" dxfId="17571" priority="507" stopIfTrue="1" operator="containsText" text="Closed Account">
      <formula>NOT(ISERROR(SEARCH("Closed Account",F7)))</formula>
    </cfRule>
  </conditionalFormatting>
  <conditionalFormatting sqref="M34:M59 L34:L319 L7:M33">
    <cfRule type="expression" dxfId="17570" priority="525">
      <formula>AND(#REF!&lt;&gt;"",MOD(ROW(),2))</formula>
    </cfRule>
  </conditionalFormatting>
  <conditionalFormatting sqref="M34:M59 L34:L319 L7:M33">
    <cfRule type="expression" dxfId="17569" priority="524">
      <formula>AND(#REF!&lt;&gt;"",MOD(ROW(),2))</formula>
    </cfRule>
  </conditionalFormatting>
  <conditionalFormatting sqref="M7:M59">
    <cfRule type="cellIs" dxfId="17568" priority="520" operator="equal">
      <formula>#REF!</formula>
    </cfRule>
    <cfRule type="cellIs" dxfId="17567" priority="521" operator="greaterThan">
      <formula>#REF!</formula>
    </cfRule>
    <cfRule type="cellIs" dxfId="17566" priority="522" operator="lessThan">
      <formula>#REF!</formula>
    </cfRule>
  </conditionalFormatting>
  <conditionalFormatting sqref="K320:L322">
    <cfRule type="expression" dxfId="17565" priority="456">
      <formula>AND($A319&lt;&gt;"",MOD(ROW(),2))</formula>
    </cfRule>
  </conditionalFormatting>
  <conditionalFormatting sqref="K320:K322">
    <cfRule type="cellIs" dxfId="17564" priority="453" operator="equal">
      <formula>$C319</formula>
    </cfRule>
    <cfRule type="cellIs" dxfId="17563" priority="454" operator="greaterThan">
      <formula>$C319</formula>
    </cfRule>
    <cfRule type="cellIs" dxfId="17562" priority="455" operator="lessThan">
      <formula>$C319</formula>
    </cfRule>
  </conditionalFormatting>
  <conditionalFormatting sqref="L320:L322">
    <cfRule type="expression" dxfId="17561" priority="458">
      <formula>AND(#REF!&lt;&gt;"",MOD(ROW(),2))</formula>
    </cfRule>
  </conditionalFormatting>
  <conditionalFormatting sqref="L320:L322">
    <cfRule type="expression" dxfId="17560" priority="457">
      <formula>AND(#REF!&lt;&gt;"",MOD(ROW(),2))</formula>
    </cfRule>
  </conditionalFormatting>
  <conditionalFormatting sqref="K323:L325">
    <cfRule type="expression" dxfId="17559" priority="450">
      <formula>AND($A322&lt;&gt;"",MOD(ROW(),2))</formula>
    </cfRule>
  </conditionalFormatting>
  <conditionalFormatting sqref="K323:K325">
    <cfRule type="cellIs" dxfId="17558" priority="447" operator="equal">
      <formula>$C322</formula>
    </cfRule>
    <cfRule type="cellIs" dxfId="17557" priority="448" operator="greaterThan">
      <formula>$C322</formula>
    </cfRule>
    <cfRule type="cellIs" dxfId="17556" priority="449" operator="lessThan">
      <formula>$C322</formula>
    </cfRule>
  </conditionalFormatting>
  <conditionalFormatting sqref="L323:L325">
    <cfRule type="expression" dxfId="17555" priority="452">
      <formula>AND(#REF!&lt;&gt;"",MOD(ROW(),2))</formula>
    </cfRule>
  </conditionalFormatting>
  <conditionalFormatting sqref="L323:L325">
    <cfRule type="expression" dxfId="17554" priority="451">
      <formula>AND(#REF!&lt;&gt;"",MOD(ROW(),2))</formula>
    </cfRule>
  </conditionalFormatting>
  <conditionalFormatting sqref="K326:L328">
    <cfRule type="expression" dxfId="17553" priority="444">
      <formula>AND($A325&lt;&gt;"",MOD(ROW(),2))</formula>
    </cfRule>
  </conditionalFormatting>
  <conditionalFormatting sqref="K326:K328">
    <cfRule type="cellIs" dxfId="17552" priority="441" operator="equal">
      <formula>$C325</formula>
    </cfRule>
    <cfRule type="cellIs" dxfId="17551" priority="442" operator="greaterThan">
      <formula>$C325</formula>
    </cfRule>
    <cfRule type="cellIs" dxfId="17550" priority="443" operator="lessThan">
      <formula>$C325</formula>
    </cfRule>
  </conditionalFormatting>
  <conditionalFormatting sqref="L326:L328">
    <cfRule type="expression" dxfId="17549" priority="446">
      <formula>AND(#REF!&lt;&gt;"",MOD(ROW(),2))</formula>
    </cfRule>
  </conditionalFormatting>
  <conditionalFormatting sqref="L326:L328">
    <cfRule type="expression" dxfId="17548" priority="445">
      <formula>AND(#REF!&lt;&gt;"",MOD(ROW(),2))</formula>
    </cfRule>
  </conditionalFormatting>
  <conditionalFormatting sqref="K329:L331">
    <cfRule type="expression" dxfId="17547" priority="438">
      <formula>AND($A328&lt;&gt;"",MOD(ROW(),2))</formula>
    </cfRule>
  </conditionalFormatting>
  <conditionalFormatting sqref="K329:K331">
    <cfRule type="cellIs" dxfId="17546" priority="435" operator="equal">
      <formula>$C328</formula>
    </cfRule>
    <cfRule type="cellIs" dxfId="17545" priority="436" operator="greaterThan">
      <formula>$C328</formula>
    </cfRule>
    <cfRule type="cellIs" dxfId="17544" priority="437" operator="lessThan">
      <formula>$C328</formula>
    </cfRule>
  </conditionalFormatting>
  <conditionalFormatting sqref="L329:L331">
    <cfRule type="expression" dxfId="17543" priority="440">
      <formula>AND(#REF!&lt;&gt;"",MOD(ROW(),2))</formula>
    </cfRule>
  </conditionalFormatting>
  <conditionalFormatting sqref="L329:L331">
    <cfRule type="expression" dxfId="17542" priority="439">
      <formula>AND(#REF!&lt;&gt;"",MOD(ROW(),2))</formula>
    </cfRule>
  </conditionalFormatting>
  <conditionalFormatting sqref="K332:L334">
    <cfRule type="expression" dxfId="17541" priority="432">
      <formula>AND($A331&lt;&gt;"",MOD(ROW(),2))</formula>
    </cfRule>
  </conditionalFormatting>
  <conditionalFormatting sqref="K332:K334">
    <cfRule type="cellIs" dxfId="17540" priority="429" operator="equal">
      <formula>$C331</formula>
    </cfRule>
    <cfRule type="cellIs" dxfId="17539" priority="430" operator="greaterThan">
      <formula>$C331</formula>
    </cfRule>
    <cfRule type="cellIs" dxfId="17538" priority="431" operator="lessThan">
      <formula>$C331</formula>
    </cfRule>
  </conditionalFormatting>
  <conditionalFormatting sqref="L332:L334">
    <cfRule type="expression" dxfId="17537" priority="434">
      <formula>AND(#REF!&lt;&gt;"",MOD(ROW(),2))</formula>
    </cfRule>
  </conditionalFormatting>
  <conditionalFormatting sqref="L332:L334">
    <cfRule type="expression" dxfId="17536" priority="433">
      <formula>AND(#REF!&lt;&gt;"",MOD(ROW(),2))</formula>
    </cfRule>
  </conditionalFormatting>
  <conditionalFormatting sqref="K335:L337">
    <cfRule type="expression" dxfId="17535" priority="426">
      <formula>AND($A334&lt;&gt;"",MOD(ROW(),2))</formula>
    </cfRule>
  </conditionalFormatting>
  <conditionalFormatting sqref="K335:K337">
    <cfRule type="cellIs" dxfId="17534" priority="423" operator="equal">
      <formula>$C334</formula>
    </cfRule>
    <cfRule type="cellIs" dxfId="17533" priority="424" operator="greaterThan">
      <formula>$C334</formula>
    </cfRule>
    <cfRule type="cellIs" dxfId="17532" priority="425" operator="lessThan">
      <formula>$C334</formula>
    </cfRule>
  </conditionalFormatting>
  <conditionalFormatting sqref="L335:L337">
    <cfRule type="expression" dxfId="17531" priority="428">
      <formula>AND(#REF!&lt;&gt;"",MOD(ROW(),2))</formula>
    </cfRule>
  </conditionalFormatting>
  <conditionalFormatting sqref="L335:L337">
    <cfRule type="expression" dxfId="17530" priority="427">
      <formula>AND(#REF!&lt;&gt;"",MOD(ROW(),2))</formula>
    </cfRule>
  </conditionalFormatting>
  <conditionalFormatting sqref="K338:L340">
    <cfRule type="expression" dxfId="17529" priority="420">
      <formula>AND($A337&lt;&gt;"",MOD(ROW(),2))</formula>
    </cfRule>
  </conditionalFormatting>
  <conditionalFormatting sqref="K338:K340">
    <cfRule type="cellIs" dxfId="17528" priority="417" operator="equal">
      <formula>$C337</formula>
    </cfRule>
    <cfRule type="cellIs" dxfId="17527" priority="418" operator="greaterThan">
      <formula>$C337</formula>
    </cfRule>
    <cfRule type="cellIs" dxfId="17526" priority="419" operator="lessThan">
      <formula>$C337</formula>
    </cfRule>
  </conditionalFormatting>
  <conditionalFormatting sqref="L338:L340">
    <cfRule type="expression" dxfId="17525" priority="422">
      <formula>AND(#REF!&lt;&gt;"",MOD(ROW(),2))</formula>
    </cfRule>
  </conditionalFormatting>
  <conditionalFormatting sqref="L338:L340">
    <cfRule type="expression" dxfId="17524" priority="421">
      <formula>AND(#REF!&lt;&gt;"",MOD(ROW(),2))</formula>
    </cfRule>
  </conditionalFormatting>
  <conditionalFormatting sqref="K341:L343">
    <cfRule type="expression" dxfId="17523" priority="414">
      <formula>AND($A340&lt;&gt;"",MOD(ROW(),2))</formula>
    </cfRule>
  </conditionalFormatting>
  <conditionalFormatting sqref="K341:K343">
    <cfRule type="cellIs" dxfId="17522" priority="411" operator="equal">
      <formula>$C340</formula>
    </cfRule>
    <cfRule type="cellIs" dxfId="17521" priority="412" operator="greaterThan">
      <formula>$C340</formula>
    </cfRule>
    <cfRule type="cellIs" dxfId="17520" priority="413" operator="lessThan">
      <formula>$C340</formula>
    </cfRule>
  </conditionalFormatting>
  <conditionalFormatting sqref="L341:L343">
    <cfRule type="expression" dxfId="17519" priority="416">
      <formula>AND(#REF!&lt;&gt;"",MOD(ROW(),2))</formula>
    </cfRule>
  </conditionalFormatting>
  <conditionalFormatting sqref="L341:L343">
    <cfRule type="expression" dxfId="17518" priority="415">
      <formula>AND(#REF!&lt;&gt;"",MOD(ROW(),2))</formula>
    </cfRule>
  </conditionalFormatting>
  <conditionalFormatting sqref="K344:L346">
    <cfRule type="expression" dxfId="17517" priority="408">
      <formula>AND($A343&lt;&gt;"",MOD(ROW(),2))</formula>
    </cfRule>
  </conditionalFormatting>
  <conditionalFormatting sqref="K344:K346">
    <cfRule type="cellIs" dxfId="17516" priority="405" operator="equal">
      <formula>$C343</formula>
    </cfRule>
    <cfRule type="cellIs" dxfId="17515" priority="406" operator="greaterThan">
      <formula>$C343</formula>
    </cfRule>
    <cfRule type="cellIs" dxfId="17514" priority="407" operator="lessThan">
      <formula>$C343</formula>
    </cfRule>
  </conditionalFormatting>
  <conditionalFormatting sqref="L344:L346">
    <cfRule type="expression" dxfId="17513" priority="410">
      <formula>AND(#REF!&lt;&gt;"",MOD(ROW(),2))</formula>
    </cfRule>
  </conditionalFormatting>
  <conditionalFormatting sqref="L344:L346">
    <cfRule type="expression" dxfId="17512" priority="409">
      <formula>AND(#REF!&lt;&gt;"",MOD(ROW(),2))</formula>
    </cfRule>
  </conditionalFormatting>
  <conditionalFormatting sqref="K347:L349">
    <cfRule type="expression" dxfId="17511" priority="402">
      <formula>AND($A346&lt;&gt;"",MOD(ROW(),2))</formula>
    </cfRule>
  </conditionalFormatting>
  <conditionalFormatting sqref="K347:K349">
    <cfRule type="cellIs" dxfId="17510" priority="399" operator="equal">
      <formula>$C346</formula>
    </cfRule>
    <cfRule type="cellIs" dxfId="17509" priority="400" operator="greaterThan">
      <formula>$C346</formula>
    </cfRule>
    <cfRule type="cellIs" dxfId="17508" priority="401" operator="lessThan">
      <formula>$C346</formula>
    </cfRule>
  </conditionalFormatting>
  <conditionalFormatting sqref="L347:L349">
    <cfRule type="expression" dxfId="17507" priority="404">
      <formula>AND(#REF!&lt;&gt;"",MOD(ROW(),2))</formula>
    </cfRule>
  </conditionalFormatting>
  <conditionalFormatting sqref="L347:L349">
    <cfRule type="expression" dxfId="17506" priority="403">
      <formula>AND(#REF!&lt;&gt;"",MOD(ROW(),2))</formula>
    </cfRule>
  </conditionalFormatting>
  <conditionalFormatting sqref="K350:L352">
    <cfRule type="expression" dxfId="17505" priority="396">
      <formula>AND($A349&lt;&gt;"",MOD(ROW(),2))</formula>
    </cfRule>
  </conditionalFormatting>
  <conditionalFormatting sqref="K350:K352">
    <cfRule type="cellIs" dxfId="17504" priority="393" operator="equal">
      <formula>$C349</formula>
    </cfRule>
    <cfRule type="cellIs" dxfId="17503" priority="394" operator="greaterThan">
      <formula>$C349</formula>
    </cfRule>
    <cfRule type="cellIs" dxfId="17502" priority="395" operator="lessThan">
      <formula>$C349</formula>
    </cfRule>
  </conditionalFormatting>
  <conditionalFormatting sqref="L350:L352">
    <cfRule type="expression" dxfId="17501" priority="398">
      <formula>AND(#REF!&lt;&gt;"",MOD(ROW(),2))</formula>
    </cfRule>
  </conditionalFormatting>
  <conditionalFormatting sqref="L350:L352">
    <cfRule type="expression" dxfId="17500" priority="397">
      <formula>AND(#REF!&lt;&gt;"",MOD(ROW(),2))</formula>
    </cfRule>
  </conditionalFormatting>
  <conditionalFormatting sqref="K353:L355">
    <cfRule type="expression" dxfId="17499" priority="390">
      <formula>AND($A352&lt;&gt;"",MOD(ROW(),2))</formula>
    </cfRule>
  </conditionalFormatting>
  <conditionalFormatting sqref="K353:K355">
    <cfRule type="cellIs" dxfId="17498" priority="387" operator="equal">
      <formula>$C352</formula>
    </cfRule>
    <cfRule type="cellIs" dxfId="17497" priority="388" operator="greaterThan">
      <formula>$C352</formula>
    </cfRule>
    <cfRule type="cellIs" dxfId="17496" priority="389" operator="lessThan">
      <formula>$C352</formula>
    </cfRule>
  </conditionalFormatting>
  <conditionalFormatting sqref="L353:L355">
    <cfRule type="expression" dxfId="17495" priority="392">
      <formula>AND(#REF!&lt;&gt;"",MOD(ROW(),2))</formula>
    </cfRule>
  </conditionalFormatting>
  <conditionalFormatting sqref="L353:L355">
    <cfRule type="expression" dxfId="17494" priority="391">
      <formula>AND(#REF!&lt;&gt;"",MOD(ROW(),2))</formula>
    </cfRule>
  </conditionalFormatting>
  <conditionalFormatting sqref="D39:E39">
    <cfRule type="expression" dxfId="17493" priority="231">
      <formula>AND($A39&lt;&gt;"",MOD(ROW(),2))</formula>
    </cfRule>
  </conditionalFormatting>
  <conditionalFormatting sqref="D39">
    <cfRule type="cellIs" dxfId="17492" priority="228" operator="equal">
      <formula>$C39</formula>
    </cfRule>
    <cfRule type="cellIs" dxfId="17491" priority="229" operator="greaterThan">
      <formula>$C39</formula>
    </cfRule>
    <cfRule type="cellIs" dxfId="17490" priority="230" operator="lessThan">
      <formula>$C39</formula>
    </cfRule>
  </conditionalFormatting>
  <conditionalFormatting sqref="D40:E40 D41:D43">
    <cfRule type="expression" dxfId="17489" priority="225">
      <formula>AND($A40&lt;&gt;"",MOD(ROW(),2))</formula>
    </cfRule>
  </conditionalFormatting>
  <conditionalFormatting sqref="D40:D43">
    <cfRule type="cellIs" dxfId="17488" priority="222" operator="equal">
      <formula>$C40</formula>
    </cfRule>
    <cfRule type="cellIs" dxfId="17487" priority="223" operator="greaterThan">
      <formula>$C40</formula>
    </cfRule>
    <cfRule type="cellIs" dxfId="17486" priority="224" operator="lessThan">
      <formula>$C40</formula>
    </cfRule>
  </conditionalFormatting>
  <conditionalFormatting sqref="E41">
    <cfRule type="expression" dxfId="17485" priority="221">
      <formula>AND($A41&lt;&gt;"",MOD(ROW(),2))</formula>
    </cfRule>
  </conditionalFormatting>
  <conditionalFormatting sqref="E42">
    <cfRule type="expression" dxfId="17484" priority="217">
      <formula>AND($A42&lt;&gt;"",MOD(ROW(),2))</formula>
    </cfRule>
  </conditionalFormatting>
  <conditionalFormatting sqref="E43">
    <cfRule type="expression" dxfId="17483" priority="213">
      <formula>AND($A43&lt;&gt;"",MOD(ROW(),2))</formula>
    </cfRule>
  </conditionalFormatting>
  <conditionalFormatting sqref="D44">
    <cfRule type="expression" dxfId="17482" priority="209">
      <formula>AND($A44&lt;&gt;"",MOD(ROW(),2))</formula>
    </cfRule>
  </conditionalFormatting>
  <conditionalFormatting sqref="D44">
    <cfRule type="cellIs" dxfId="17481" priority="206" operator="equal">
      <formula>$C44</formula>
    </cfRule>
    <cfRule type="cellIs" dxfId="17480" priority="207" operator="greaterThan">
      <formula>$C44</formula>
    </cfRule>
    <cfRule type="cellIs" dxfId="17479" priority="208" operator="lessThan">
      <formula>$C44</formula>
    </cfRule>
  </conditionalFormatting>
  <conditionalFormatting sqref="D45:E45">
    <cfRule type="expression" dxfId="17478" priority="205">
      <formula>AND($A45&lt;&gt;"",MOD(ROW(),2))</formula>
    </cfRule>
  </conditionalFormatting>
  <conditionalFormatting sqref="D45">
    <cfRule type="cellIs" dxfId="17477" priority="202" operator="equal">
      <formula>$C45</formula>
    </cfRule>
    <cfRule type="cellIs" dxfId="17476" priority="203" operator="greaterThan">
      <formula>$C45</formula>
    </cfRule>
    <cfRule type="cellIs" dxfId="17475" priority="204" operator="lessThan">
      <formula>$C45</formula>
    </cfRule>
  </conditionalFormatting>
  <conditionalFormatting sqref="D46:E46">
    <cfRule type="expression" dxfId="17474" priority="201">
      <formula>AND($A46&lt;&gt;"",MOD(ROW(),2))</formula>
    </cfRule>
  </conditionalFormatting>
  <conditionalFormatting sqref="D46">
    <cfRule type="cellIs" dxfId="17473" priority="198" operator="equal">
      <formula>$C46</formula>
    </cfRule>
    <cfRule type="cellIs" dxfId="17472" priority="199" operator="greaterThan">
      <formula>$C46</formula>
    </cfRule>
    <cfRule type="cellIs" dxfId="17471" priority="200" operator="lessThan">
      <formula>$C46</formula>
    </cfRule>
  </conditionalFormatting>
  <conditionalFormatting sqref="D47:E47">
    <cfRule type="expression" dxfId="17470" priority="197">
      <formula>AND($A47&lt;&gt;"",MOD(ROW(),2))</formula>
    </cfRule>
  </conditionalFormatting>
  <conditionalFormatting sqref="D47">
    <cfRule type="cellIs" dxfId="17469" priority="194" operator="equal">
      <formula>$C47</formula>
    </cfRule>
    <cfRule type="cellIs" dxfId="17468" priority="195" operator="greaterThan">
      <formula>$C47</formula>
    </cfRule>
    <cfRule type="cellIs" dxfId="17467" priority="196" operator="lessThan">
      <formula>$C47</formula>
    </cfRule>
  </conditionalFormatting>
  <conditionalFormatting sqref="D48:E48">
    <cfRule type="expression" dxfId="17466" priority="193">
      <formula>AND($A48&lt;&gt;"",MOD(ROW(),2))</formula>
    </cfRule>
  </conditionalFormatting>
  <conditionalFormatting sqref="D48">
    <cfRule type="cellIs" dxfId="17465" priority="190" operator="equal">
      <formula>$C48</formula>
    </cfRule>
    <cfRule type="cellIs" dxfId="17464" priority="191" operator="greaterThan">
      <formula>$C48</formula>
    </cfRule>
    <cfRule type="cellIs" dxfId="17463" priority="192" operator="lessThan">
      <formula>$C48</formula>
    </cfRule>
  </conditionalFormatting>
  <conditionalFormatting sqref="D49:E49">
    <cfRule type="expression" dxfId="17462" priority="189">
      <formula>AND($A49&lt;&gt;"",MOD(ROW(),2))</formula>
    </cfRule>
  </conditionalFormatting>
  <conditionalFormatting sqref="D49">
    <cfRule type="cellIs" dxfId="17461" priority="186" operator="equal">
      <formula>$C49</formula>
    </cfRule>
    <cfRule type="cellIs" dxfId="17460" priority="187" operator="greaterThan">
      <formula>$C49</formula>
    </cfRule>
    <cfRule type="cellIs" dxfId="17459" priority="188" operator="lessThan">
      <formula>$C49</formula>
    </cfRule>
  </conditionalFormatting>
  <conditionalFormatting sqref="D50:E50">
    <cfRule type="expression" dxfId="17458" priority="185">
      <formula>AND($A50&lt;&gt;"",MOD(ROW(),2))</formula>
    </cfRule>
  </conditionalFormatting>
  <conditionalFormatting sqref="D50">
    <cfRule type="cellIs" dxfId="17457" priority="182" operator="equal">
      <formula>$C50</formula>
    </cfRule>
    <cfRule type="cellIs" dxfId="17456" priority="183" operator="greaterThan">
      <formula>$C50</formula>
    </cfRule>
    <cfRule type="cellIs" dxfId="17455" priority="184" operator="lessThan">
      <formula>$C50</formula>
    </cfRule>
  </conditionalFormatting>
  <conditionalFormatting sqref="F39:F50">
    <cfRule type="containsText" dxfId="17454" priority="158" operator="containsText" text="Unpaid Rent">
      <formula>NOT(ISERROR(SEARCH("Unpaid Rent",F39)))</formula>
    </cfRule>
    <cfRule type="containsText" dxfId="17453" priority="159" stopIfTrue="1" operator="containsText" text="Closed Account">
      <formula>NOT(ISERROR(SEARCH("Closed Account",F39)))</formula>
    </cfRule>
  </conditionalFormatting>
  <conditionalFormatting sqref="F51:F62">
    <cfRule type="containsText" dxfId="17452" priority="156" operator="containsText" text="Unpaid Rent">
      <formula>NOT(ISERROR(SEARCH("Unpaid Rent",F51)))</formula>
    </cfRule>
    <cfRule type="containsText" dxfId="17451" priority="157" stopIfTrue="1" operator="containsText" text="Closed Account">
      <formula>NOT(ISERROR(SEARCH("Closed Account",F51)))</formula>
    </cfRule>
  </conditionalFormatting>
  <conditionalFormatting sqref="D51:E51">
    <cfRule type="expression" dxfId="17450" priority="155">
      <formula>AND($A51&lt;&gt;"",MOD(ROW(),2))</formula>
    </cfRule>
  </conditionalFormatting>
  <conditionalFormatting sqref="D51">
    <cfRule type="cellIs" dxfId="17449" priority="152" operator="equal">
      <formula>$C51</formula>
    </cfRule>
    <cfRule type="cellIs" dxfId="17448" priority="153" operator="greaterThan">
      <formula>$C51</formula>
    </cfRule>
    <cfRule type="cellIs" dxfId="17447" priority="154" operator="lessThan">
      <formula>$C51</formula>
    </cfRule>
  </conditionalFormatting>
  <conditionalFormatting sqref="E52">
    <cfRule type="expression" dxfId="17446" priority="151">
      <formula>AND($A52&lt;&gt;"",MOD(ROW(),2))</formula>
    </cfRule>
  </conditionalFormatting>
  <conditionalFormatting sqref="E53">
    <cfRule type="expression" dxfId="17445" priority="147">
      <formula>AND($A53&lt;&gt;"",MOD(ROW(),2))</formula>
    </cfRule>
  </conditionalFormatting>
  <conditionalFormatting sqref="E54">
    <cfRule type="expression" dxfId="17444" priority="143">
      <formula>AND($A54&lt;&gt;"",MOD(ROW(),2))</formula>
    </cfRule>
  </conditionalFormatting>
  <conditionalFormatting sqref="D55:E55">
    <cfRule type="expression" dxfId="17443" priority="139">
      <formula>AND($A55&lt;&gt;"",MOD(ROW(),2))</formula>
    </cfRule>
  </conditionalFormatting>
  <conditionalFormatting sqref="D55">
    <cfRule type="cellIs" dxfId="17442" priority="136" operator="equal">
      <formula>$C55</formula>
    </cfRule>
    <cfRule type="cellIs" dxfId="17441" priority="137" operator="greaterThan">
      <formula>$C55</formula>
    </cfRule>
    <cfRule type="cellIs" dxfId="17440" priority="138" operator="lessThan">
      <formula>$C55</formula>
    </cfRule>
  </conditionalFormatting>
  <conditionalFormatting sqref="D56:E56">
    <cfRule type="expression" dxfId="17439" priority="135">
      <formula>AND($A56&lt;&gt;"",MOD(ROW(),2))</formula>
    </cfRule>
  </conditionalFormatting>
  <conditionalFormatting sqref="D56">
    <cfRule type="cellIs" dxfId="17438" priority="132" operator="equal">
      <formula>$C56</formula>
    </cfRule>
    <cfRule type="cellIs" dxfId="17437" priority="133" operator="greaterThan">
      <formula>$C56</formula>
    </cfRule>
    <cfRule type="cellIs" dxfId="17436" priority="134" operator="lessThan">
      <formula>$C56</formula>
    </cfRule>
  </conditionalFormatting>
  <conditionalFormatting sqref="D57:E57">
    <cfRule type="expression" dxfId="17435" priority="131">
      <formula>AND($A57&lt;&gt;"",MOD(ROW(),2))</formula>
    </cfRule>
  </conditionalFormatting>
  <conditionalFormatting sqref="D57">
    <cfRule type="cellIs" dxfId="17434" priority="128" operator="equal">
      <formula>$C57</formula>
    </cfRule>
    <cfRule type="cellIs" dxfId="17433" priority="129" operator="greaterThan">
      <formula>$C57</formula>
    </cfRule>
    <cfRule type="cellIs" dxfId="17432" priority="130" operator="lessThan">
      <formula>$C57</formula>
    </cfRule>
  </conditionalFormatting>
  <conditionalFormatting sqref="D58:E58">
    <cfRule type="expression" dxfId="17431" priority="127">
      <formula>AND($A58&lt;&gt;"",MOD(ROW(),2))</formula>
    </cfRule>
  </conditionalFormatting>
  <conditionalFormatting sqref="D58:D60">
    <cfRule type="cellIs" dxfId="17430" priority="124" operator="equal">
      <formula>$C58</formula>
    </cfRule>
    <cfRule type="cellIs" dxfId="17429" priority="125" operator="greaterThan">
      <formula>$C58</formula>
    </cfRule>
    <cfRule type="cellIs" dxfId="17428" priority="126" operator="lessThan">
      <formula>$C58</formula>
    </cfRule>
  </conditionalFormatting>
  <conditionalFormatting sqref="E59">
    <cfRule type="expression" dxfId="17427" priority="123">
      <formula>AND($A59&lt;&gt;"",MOD(ROW(),2))</formula>
    </cfRule>
  </conditionalFormatting>
  <conditionalFormatting sqref="E60">
    <cfRule type="expression" dxfId="17426" priority="119">
      <formula>AND($A60&lt;&gt;"",MOD(ROW(),2))</formula>
    </cfRule>
  </conditionalFormatting>
  <conditionalFormatting sqref="D61:E61">
    <cfRule type="expression" dxfId="17425" priority="115">
      <formula>AND($A61&lt;&gt;"",MOD(ROW(),2))</formula>
    </cfRule>
  </conditionalFormatting>
  <conditionalFormatting sqref="D61">
    <cfRule type="cellIs" dxfId="17424" priority="112" operator="equal">
      <formula>$C61</formula>
    </cfRule>
    <cfRule type="cellIs" dxfId="17423" priority="113" operator="greaterThan">
      <formula>$C61</formula>
    </cfRule>
    <cfRule type="cellIs" dxfId="17422" priority="114" operator="lessThan">
      <formula>$C61</formula>
    </cfRule>
  </conditionalFormatting>
  <conditionalFormatting sqref="D62:E62">
    <cfRule type="expression" dxfId="17421" priority="111">
      <formula>AND($A62&lt;&gt;"",MOD(ROW(),2))</formula>
    </cfRule>
  </conditionalFormatting>
  <conditionalFormatting sqref="D62">
    <cfRule type="cellIs" dxfId="17420" priority="108" operator="equal">
      <formula>$C62</formula>
    </cfRule>
    <cfRule type="cellIs" dxfId="17419" priority="109" operator="greaterThan">
      <formula>$C62</formula>
    </cfRule>
    <cfRule type="cellIs" dxfId="17418" priority="110" operator="lessThan">
      <formula>$C62</formula>
    </cfRule>
  </conditionalFormatting>
  <conditionalFormatting sqref="D40:E40 D41:D43">
    <cfRule type="expression" dxfId="17417" priority="107">
      <formula>AND($A40&lt;&gt;"",MOD(ROW(),2))</formula>
    </cfRule>
  </conditionalFormatting>
  <conditionalFormatting sqref="D40:D43">
    <cfRule type="cellIs" dxfId="17416" priority="104" operator="equal">
      <formula>$C40</formula>
    </cfRule>
    <cfRule type="cellIs" dxfId="17415" priority="105" operator="greaterThan">
      <formula>$C40</formula>
    </cfRule>
    <cfRule type="cellIs" dxfId="17414" priority="106" operator="lessThan">
      <formula>$C40</formula>
    </cfRule>
  </conditionalFormatting>
  <conditionalFormatting sqref="D40:E40 D41:D43">
    <cfRule type="expression" dxfId="17413" priority="103">
      <formula>AND($A40&lt;&gt;"",MOD(ROW(),2))</formula>
    </cfRule>
  </conditionalFormatting>
  <conditionalFormatting sqref="D40:D43">
    <cfRule type="cellIs" dxfId="17412" priority="100" operator="equal">
      <formula>$C40</formula>
    </cfRule>
    <cfRule type="cellIs" dxfId="17411" priority="101" operator="greaterThan">
      <formula>$C40</formula>
    </cfRule>
    <cfRule type="cellIs" dxfId="17410" priority="102" operator="lessThan">
      <formula>$C40</formula>
    </cfRule>
  </conditionalFormatting>
  <conditionalFormatting sqref="E41">
    <cfRule type="expression" dxfId="17409" priority="99">
      <formula>AND($A41&lt;&gt;"",MOD(ROW(),2))</formula>
    </cfRule>
  </conditionalFormatting>
  <conditionalFormatting sqref="E41">
    <cfRule type="expression" dxfId="17408" priority="95">
      <formula>AND($A41&lt;&gt;"",MOD(ROW(),2))</formula>
    </cfRule>
  </conditionalFormatting>
  <conditionalFormatting sqref="K19:M19">
    <cfRule type="expression" dxfId="17407" priority="86">
      <formula>AND($A18&lt;&gt;"",MOD(ROW(),2))</formula>
    </cfRule>
  </conditionalFormatting>
  <conditionalFormatting sqref="K19">
    <cfRule type="cellIs" dxfId="17406" priority="83" operator="equal">
      <formula>$C18</formula>
    </cfRule>
    <cfRule type="cellIs" dxfId="17405" priority="84" operator="greaterThan">
      <formula>$C18</formula>
    </cfRule>
    <cfRule type="cellIs" dxfId="17404" priority="85" operator="lessThan">
      <formula>$C18</formula>
    </cfRule>
  </conditionalFormatting>
  <conditionalFormatting sqref="L19:M19">
    <cfRule type="expression" dxfId="17403" priority="91">
      <formula>AND(#REF!&lt;&gt;"",MOD(ROW(),2))</formula>
    </cfRule>
  </conditionalFormatting>
  <conditionalFormatting sqref="L19:M19">
    <cfRule type="expression" dxfId="17402" priority="90">
      <formula>AND(#REF!&lt;&gt;"",MOD(ROW(),2))</formula>
    </cfRule>
  </conditionalFormatting>
  <conditionalFormatting sqref="M19">
    <cfRule type="cellIs" dxfId="17401" priority="87" operator="equal">
      <formula>#REF!</formula>
    </cfRule>
    <cfRule type="cellIs" dxfId="17400" priority="88" operator="greaterThan">
      <formula>#REF!</formula>
    </cfRule>
    <cfRule type="cellIs" dxfId="17399" priority="89" operator="lessThan">
      <formula>#REF!</formula>
    </cfRule>
  </conditionalFormatting>
  <conditionalFormatting sqref="K18:M18">
    <cfRule type="expression" dxfId="17398" priority="77">
      <formula>AND($A17&lt;&gt;"",MOD(ROW(),2))</formula>
    </cfRule>
  </conditionalFormatting>
  <conditionalFormatting sqref="K18">
    <cfRule type="cellIs" dxfId="17397" priority="74" operator="equal">
      <formula>$C17</formula>
    </cfRule>
    <cfRule type="cellIs" dxfId="17396" priority="75" operator="greaterThan">
      <formula>$C17</formula>
    </cfRule>
    <cfRule type="cellIs" dxfId="17395" priority="76" operator="lessThan">
      <formula>$C17</formula>
    </cfRule>
  </conditionalFormatting>
  <conditionalFormatting sqref="L18:M18">
    <cfRule type="expression" dxfId="17394" priority="82">
      <formula>AND(#REF!&lt;&gt;"",MOD(ROW(),2))</formula>
    </cfRule>
  </conditionalFormatting>
  <conditionalFormatting sqref="L18:M18">
    <cfRule type="expression" dxfId="17393" priority="81">
      <formula>AND(#REF!&lt;&gt;"",MOD(ROW(),2))</formula>
    </cfRule>
  </conditionalFormatting>
  <conditionalFormatting sqref="M18">
    <cfRule type="cellIs" dxfId="17392" priority="78" operator="equal">
      <formula>#REF!</formula>
    </cfRule>
    <cfRule type="cellIs" dxfId="17391" priority="79" operator="greaterThan">
      <formula>#REF!</formula>
    </cfRule>
    <cfRule type="cellIs" dxfId="17390" priority="80" operator="lessThan">
      <formula>#REF!</formula>
    </cfRule>
  </conditionalFormatting>
  <conditionalFormatting sqref="K18:M18">
    <cfRule type="expression" dxfId="17389" priority="68">
      <formula>AND($A17&lt;&gt;"",MOD(ROW(),2))</formula>
    </cfRule>
  </conditionalFormatting>
  <conditionalFormatting sqref="K18">
    <cfRule type="cellIs" dxfId="17388" priority="65" operator="equal">
      <formula>$C17</formula>
    </cfRule>
    <cfRule type="cellIs" dxfId="17387" priority="66" operator="greaterThan">
      <formula>$C17</formula>
    </cfRule>
    <cfRule type="cellIs" dxfId="17386" priority="67" operator="lessThan">
      <formula>$C17</formula>
    </cfRule>
  </conditionalFormatting>
  <conditionalFormatting sqref="L18:M18">
    <cfRule type="expression" dxfId="17385" priority="73">
      <formula>AND(#REF!&lt;&gt;"",MOD(ROW(),2))</formula>
    </cfRule>
  </conditionalFormatting>
  <conditionalFormatting sqref="L18:M18">
    <cfRule type="expression" dxfId="17384" priority="72">
      <formula>AND(#REF!&lt;&gt;"",MOD(ROW(),2))</formula>
    </cfRule>
  </conditionalFormatting>
  <conditionalFormatting sqref="M18">
    <cfRule type="cellIs" dxfId="17383" priority="69" operator="equal">
      <formula>#REF!</formula>
    </cfRule>
    <cfRule type="cellIs" dxfId="17382" priority="70" operator="greaterThan">
      <formula>#REF!</formula>
    </cfRule>
    <cfRule type="cellIs" dxfId="17381" priority="71" operator="lessThan">
      <formula>#REF!</formula>
    </cfRule>
  </conditionalFormatting>
  <conditionalFormatting sqref="K17:M17">
    <cfRule type="expression" dxfId="17380" priority="59">
      <formula>AND($A16&lt;&gt;"",MOD(ROW(),2))</formula>
    </cfRule>
  </conditionalFormatting>
  <conditionalFormatting sqref="K17">
    <cfRule type="cellIs" dxfId="17379" priority="56" operator="equal">
      <formula>$C16</formula>
    </cfRule>
    <cfRule type="cellIs" dxfId="17378" priority="57" operator="greaterThan">
      <formula>$C16</formula>
    </cfRule>
    <cfRule type="cellIs" dxfId="17377" priority="58" operator="lessThan">
      <formula>$C16</formula>
    </cfRule>
  </conditionalFormatting>
  <conditionalFormatting sqref="L17:M17">
    <cfRule type="expression" dxfId="17376" priority="64">
      <formula>AND(#REF!&lt;&gt;"",MOD(ROW(),2))</formula>
    </cfRule>
  </conditionalFormatting>
  <conditionalFormatting sqref="L17:M17">
    <cfRule type="expression" dxfId="17375" priority="63">
      <formula>AND(#REF!&lt;&gt;"",MOD(ROW(),2))</formula>
    </cfRule>
  </conditionalFormatting>
  <conditionalFormatting sqref="M17">
    <cfRule type="cellIs" dxfId="17374" priority="60" operator="equal">
      <formula>#REF!</formula>
    </cfRule>
    <cfRule type="cellIs" dxfId="17373" priority="61" operator="greaterThan">
      <formula>#REF!</formula>
    </cfRule>
    <cfRule type="cellIs" dxfId="17372" priority="62" operator="lessThan">
      <formula>#REF!</formula>
    </cfRule>
  </conditionalFormatting>
  <conditionalFormatting sqref="H42:H69">
    <cfRule type="expression" dxfId="17371" priority="55">
      <formula>AND($A42&lt;&gt;"",MOD(ROW(),2))</formula>
    </cfRule>
  </conditionalFormatting>
  <conditionalFormatting sqref="E44">
    <cfRule type="expression" dxfId="17370" priority="54">
      <formula>AND($A44&lt;&gt;"",MOD(ROW(),2))</formula>
    </cfRule>
  </conditionalFormatting>
  <conditionalFormatting sqref="D52">
    <cfRule type="expression" dxfId="17369" priority="53">
      <formula>AND($A52&lt;&gt;"",MOD(ROW(),2))</formula>
    </cfRule>
  </conditionalFormatting>
  <conditionalFormatting sqref="D52">
    <cfRule type="cellIs" dxfId="17368" priority="50" operator="equal">
      <formula>$C52</formula>
    </cfRule>
    <cfRule type="cellIs" dxfId="17367" priority="51" operator="greaterThan">
      <formula>$C52</formula>
    </cfRule>
    <cfRule type="cellIs" dxfId="17366" priority="52" operator="lessThan">
      <formula>$C52</formula>
    </cfRule>
  </conditionalFormatting>
  <conditionalFormatting sqref="D53">
    <cfRule type="expression" dxfId="17365" priority="49">
      <formula>AND($A53&lt;&gt;"",MOD(ROW(),2))</formula>
    </cfRule>
  </conditionalFormatting>
  <conditionalFormatting sqref="D53">
    <cfRule type="cellIs" dxfId="17364" priority="46" operator="equal">
      <formula>$C53</formula>
    </cfRule>
    <cfRule type="cellIs" dxfId="17363" priority="47" operator="greaterThan">
      <formula>$C53</formula>
    </cfRule>
    <cfRule type="cellIs" dxfId="17362" priority="48" operator="lessThan">
      <formula>$C53</formula>
    </cfRule>
  </conditionalFormatting>
  <conditionalFormatting sqref="D54">
    <cfRule type="expression" dxfId="17361" priority="45">
      <formula>AND($A54&lt;&gt;"",MOD(ROW(),2))</formula>
    </cfRule>
  </conditionalFormatting>
  <conditionalFormatting sqref="D54">
    <cfRule type="cellIs" dxfId="17360" priority="42" operator="equal">
      <formula>$C54</formula>
    </cfRule>
    <cfRule type="cellIs" dxfId="17359" priority="43" operator="greaterThan">
      <formula>$C54</formula>
    </cfRule>
    <cfRule type="cellIs" dxfId="17358" priority="44" operator="lessThan">
      <formula>$C54</formula>
    </cfRule>
  </conditionalFormatting>
  <conditionalFormatting sqref="D51">
    <cfRule type="expression" dxfId="17357" priority="41">
      <formula>AND($A51&lt;&gt;"",MOD(ROW(),2))</formula>
    </cfRule>
  </conditionalFormatting>
  <conditionalFormatting sqref="D51">
    <cfRule type="cellIs" dxfId="17356" priority="38" operator="equal">
      <formula>$C51</formula>
    </cfRule>
    <cfRule type="cellIs" dxfId="17355" priority="39" operator="greaterThan">
      <formula>$C51</formula>
    </cfRule>
    <cfRule type="cellIs" dxfId="17354" priority="40" operator="lessThan">
      <formula>$C51</formula>
    </cfRule>
  </conditionalFormatting>
  <conditionalFormatting sqref="D52">
    <cfRule type="expression" dxfId="17353" priority="37">
      <formula>AND($A52&lt;&gt;"",MOD(ROW(),2))</formula>
    </cfRule>
  </conditionalFormatting>
  <conditionalFormatting sqref="D52">
    <cfRule type="cellIs" dxfId="17352" priority="34" operator="equal">
      <formula>$C52</formula>
    </cfRule>
    <cfRule type="cellIs" dxfId="17351" priority="35" operator="greaterThan">
      <formula>$C52</formula>
    </cfRule>
    <cfRule type="cellIs" dxfId="17350" priority="36" operator="lessThan">
      <formula>$C52</formula>
    </cfRule>
  </conditionalFormatting>
  <conditionalFormatting sqref="D53">
    <cfRule type="expression" dxfId="17349" priority="33">
      <formula>AND($A53&lt;&gt;"",MOD(ROW(),2))</formula>
    </cfRule>
  </conditionalFormatting>
  <conditionalFormatting sqref="D53">
    <cfRule type="cellIs" dxfId="17348" priority="30" operator="equal">
      <formula>$C53</formula>
    </cfRule>
    <cfRule type="cellIs" dxfId="17347" priority="31" operator="greaterThan">
      <formula>$C53</formula>
    </cfRule>
    <cfRule type="cellIs" dxfId="17346" priority="32" operator="lessThan">
      <formula>$C53</formula>
    </cfRule>
  </conditionalFormatting>
  <conditionalFormatting sqref="D53">
    <cfRule type="expression" dxfId="17345" priority="29">
      <formula>AND($A53&lt;&gt;"",MOD(ROW(),2))</formula>
    </cfRule>
  </conditionalFormatting>
  <conditionalFormatting sqref="D53">
    <cfRule type="cellIs" dxfId="17344" priority="26" operator="equal">
      <formula>$C53</formula>
    </cfRule>
    <cfRule type="cellIs" dxfId="17343" priority="27" operator="greaterThan">
      <formula>$C53</formula>
    </cfRule>
    <cfRule type="cellIs" dxfId="17342" priority="28" operator="lessThan">
      <formula>$C53</formula>
    </cfRule>
  </conditionalFormatting>
  <conditionalFormatting sqref="D54">
    <cfRule type="expression" dxfId="17341" priority="25">
      <formula>AND($A54&lt;&gt;"",MOD(ROW(),2))</formula>
    </cfRule>
  </conditionalFormatting>
  <conditionalFormatting sqref="D54">
    <cfRule type="cellIs" dxfId="17340" priority="22" operator="equal">
      <formula>$C54</formula>
    </cfRule>
    <cfRule type="cellIs" dxfId="17339" priority="23" operator="greaterThan">
      <formula>$C54</formula>
    </cfRule>
    <cfRule type="cellIs" dxfId="17338" priority="24" operator="lessThan">
      <formula>$C54</formula>
    </cfRule>
  </conditionalFormatting>
  <conditionalFormatting sqref="D55">
    <cfRule type="expression" dxfId="17337" priority="21">
      <formula>AND($A55&lt;&gt;"",MOD(ROW(),2))</formula>
    </cfRule>
  </conditionalFormatting>
  <conditionalFormatting sqref="D55">
    <cfRule type="cellIs" dxfId="17336" priority="18" operator="equal">
      <formula>$C55</formula>
    </cfRule>
    <cfRule type="cellIs" dxfId="17335" priority="19" operator="greaterThan">
      <formula>$C55</formula>
    </cfRule>
    <cfRule type="cellIs" dxfId="17334" priority="20" operator="lessThan">
      <formula>$C55</formula>
    </cfRule>
  </conditionalFormatting>
  <conditionalFormatting sqref="D53">
    <cfRule type="expression" dxfId="17333" priority="17">
      <formula>AND($A53&lt;&gt;"",MOD(ROW(),2))</formula>
    </cfRule>
  </conditionalFormatting>
  <conditionalFormatting sqref="D53">
    <cfRule type="cellIs" dxfId="17332" priority="14" operator="equal">
      <formula>$C53</formula>
    </cfRule>
    <cfRule type="cellIs" dxfId="17331" priority="15" operator="greaterThan">
      <formula>$C53</formula>
    </cfRule>
    <cfRule type="cellIs" dxfId="17330" priority="16" operator="lessThan">
      <formula>$C53</formula>
    </cfRule>
  </conditionalFormatting>
  <conditionalFormatting sqref="D54">
    <cfRule type="expression" dxfId="17329" priority="13">
      <formula>AND($A54&lt;&gt;"",MOD(ROW(),2))</formula>
    </cfRule>
  </conditionalFormatting>
  <conditionalFormatting sqref="D54">
    <cfRule type="cellIs" dxfId="17328" priority="10" operator="equal">
      <formula>$C54</formula>
    </cfRule>
    <cfRule type="cellIs" dxfId="17327" priority="11" operator="greaterThan">
      <formula>$C54</formula>
    </cfRule>
    <cfRule type="cellIs" dxfId="17326" priority="12" operator="lessThan">
      <formula>$C54</formula>
    </cfRule>
  </conditionalFormatting>
  <conditionalFormatting sqref="A7:A9 C7:E9">
    <cfRule type="expression" dxfId="17325" priority="9">
      <formula>AND($A7&lt;&gt;"",MOD(ROW(),2))</formula>
    </cfRule>
  </conditionalFormatting>
  <conditionalFormatting sqref="D7:D9">
    <cfRule type="cellIs" dxfId="17324" priority="6" operator="equal">
      <formula>$C7</formula>
    </cfRule>
    <cfRule type="cellIs" dxfId="17323" priority="7" operator="greaterThan">
      <formula>$C7</formula>
    </cfRule>
    <cfRule type="cellIs" dxfId="17322" priority="8" operator="lessThan">
      <formula>$C7</formula>
    </cfRule>
  </conditionalFormatting>
  <conditionalFormatting sqref="K7:K9">
    <cfRule type="expression" dxfId="17321" priority="5">
      <formula>AND($A7&lt;&gt;"",MOD(ROW(),2))</formula>
    </cfRule>
  </conditionalFormatting>
  <conditionalFormatting sqref="K7:K9">
    <cfRule type="cellIs" dxfId="17320" priority="2" operator="equal">
      <formula>$C7</formula>
    </cfRule>
    <cfRule type="cellIs" dxfId="17319" priority="3" operator="greaterThan">
      <formula>$C7</formula>
    </cfRule>
    <cfRule type="cellIs" dxfId="17318" priority="4" operator="lessThan">
      <formula>$C7</formula>
    </cfRule>
  </conditionalFormatting>
  <conditionalFormatting sqref="D59:D60">
    <cfRule type="expression" dxfId="17317" priority="1">
      <formula>AND($A59&lt;&gt;"",MOD(ROW(),2))</formula>
    </cfRule>
  </conditionalFormatting>
  <pageMargins left="0.75" right="0.75" top="1" bottom="1" header="0.5" footer="0.5"/>
  <pageSetup paperSize="9" orientation="portrait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E00-000000000000}">
          <x14:formula1>
            <xm:f>PullDownValues!$F$2:$F$14</xm:f>
          </x14:formula1>
          <xm:sqref>L7:L355</xm:sqref>
        </x14:dataValidation>
        <x14:dataValidation type="list" allowBlank="1" showInputMessage="1" showErrorMessage="1" prompt="Payment Method" xr:uid="{00000000-0002-0000-0E00-000001000000}">
          <x14:formula1>
            <xm:f>PullDownValues!$B$2:$B$12</xm:f>
          </x14:formula1>
          <xm:sqref>F7:F289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A1:U357"/>
  <sheetViews>
    <sheetView zoomScaleNormal="100" workbookViewId="0">
      <pane ySplit="5" topLeftCell="A7" activePane="bottomLeft" state="frozen"/>
      <selection pane="bottomLeft" activeCell="H85" sqref="H85"/>
    </sheetView>
  </sheetViews>
  <sheetFormatPr defaultColWidth="8.85546875" defaultRowHeight="15" customHeight="1" x14ac:dyDescent="0.25"/>
  <cols>
    <col min="1" max="1" width="3.28515625" style="10" bestFit="1" customWidth="1"/>
    <col min="2" max="2" width="12" bestFit="1" customWidth="1"/>
    <col min="3" max="3" width="12.42578125" bestFit="1" customWidth="1"/>
    <col min="4" max="4" width="12.7109375" bestFit="1" customWidth="1"/>
    <col min="5" max="5" width="10.7109375" bestFit="1" customWidth="1"/>
    <col min="6" max="6" width="15" customWidth="1"/>
    <col min="7" max="7" width="9.42578125" style="31" bestFit="1" customWidth="1"/>
    <col min="8" max="8" width="10.5703125" bestFit="1" customWidth="1"/>
    <col min="9" max="9" width="12.7109375" bestFit="1" customWidth="1"/>
    <col min="10" max="10" width="12" customWidth="1"/>
    <col min="11" max="11" width="10.5703125" customWidth="1"/>
    <col min="12" max="12" width="12.5703125" customWidth="1"/>
    <col min="13" max="13" width="12.28515625" customWidth="1"/>
    <col min="14" max="14" width="12.5703125" customWidth="1"/>
    <col min="15" max="15" width="11.28515625" customWidth="1"/>
    <col min="16" max="16" width="10.5703125" customWidth="1"/>
    <col min="17" max="17" width="11.5703125" customWidth="1"/>
    <col min="18" max="18" width="10.7109375" bestFit="1" customWidth="1"/>
    <col min="19" max="19" width="10.5703125" bestFit="1" customWidth="1"/>
    <col min="21" max="21" width="10.5703125" bestFit="1" customWidth="1"/>
  </cols>
  <sheetData>
    <row r="1" spans="1:21" ht="31.5" x14ac:dyDescent="0.25">
      <c r="A1" s="254" t="s">
        <v>638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5">
        <f>SUM(P6:P90)-O4</f>
        <v>0</v>
      </c>
      <c r="P1" s="255"/>
      <c r="Q1" s="114"/>
      <c r="R1" s="114"/>
    </row>
    <row r="2" spans="1:21" s="9" customFormat="1" x14ac:dyDescent="0.25">
      <c r="A2" s="283" t="s">
        <v>4</v>
      </c>
      <c r="B2" s="283"/>
      <c r="C2" s="283"/>
      <c r="D2" s="283"/>
      <c r="E2" s="283"/>
      <c r="F2" s="283"/>
      <c r="G2" s="285">
        <f>SUM($D$6:$D$2994)-SUMIF($F$6:$F$292,"Bond Received",$D$6:$D$2992)-SUMIF($F$6:$F$292,"Unpaid Rent",$D$6:$D$2992)-(SUMIF($F$6:$F$292,"Discount Rent",$D$6:$D$2992)*2)</f>
        <v>1350</v>
      </c>
      <c r="H2" s="285"/>
      <c r="I2" s="285"/>
      <c r="J2" s="287" t="s">
        <v>5</v>
      </c>
      <c r="K2" s="287"/>
      <c r="L2" s="287"/>
      <c r="M2" s="262">
        <f>SUM($K$6:$K$2990)-SUMIF($L$6:$L$2990,"Bond Return",$K$6:$K$2990)</f>
        <v>648.65000000000009</v>
      </c>
      <c r="N2" s="263"/>
      <c r="O2" s="289" t="s">
        <v>271</v>
      </c>
      <c r="P2" s="289"/>
      <c r="Q2" s="35"/>
    </row>
    <row r="3" spans="1:21" s="9" customFormat="1" x14ac:dyDescent="0.25">
      <c r="A3" s="284"/>
      <c r="B3" s="284"/>
      <c r="C3" s="284"/>
      <c r="D3" s="284"/>
      <c r="E3" s="284"/>
      <c r="F3" s="284"/>
      <c r="G3" s="286"/>
      <c r="H3" s="286"/>
      <c r="I3" s="286"/>
      <c r="J3" s="288"/>
      <c r="K3" s="288"/>
      <c r="L3" s="288"/>
      <c r="M3" s="264"/>
      <c r="N3" s="264"/>
      <c r="O3" s="290"/>
      <c r="P3" s="290"/>
      <c r="T3" s="40"/>
    </row>
    <row r="4" spans="1:21" s="9" customFormat="1" ht="15.95" customHeight="1" x14ac:dyDescent="0.25">
      <c r="A4" s="244" t="s">
        <v>6</v>
      </c>
      <c r="B4" s="244" t="s">
        <v>7</v>
      </c>
      <c r="C4" s="267" t="s">
        <v>8</v>
      </c>
      <c r="D4" s="269" t="s">
        <v>9</v>
      </c>
      <c r="E4" s="269" t="s">
        <v>10</v>
      </c>
      <c r="F4" s="252" t="s">
        <v>112</v>
      </c>
      <c r="G4" s="276" t="s">
        <v>11</v>
      </c>
      <c r="H4" s="244" t="s">
        <v>12</v>
      </c>
      <c r="I4" s="324" t="s">
        <v>113</v>
      </c>
      <c r="J4" s="326" t="s">
        <v>13</v>
      </c>
      <c r="K4" s="246" t="s">
        <v>14</v>
      </c>
      <c r="L4" s="248" t="s">
        <v>15</v>
      </c>
      <c r="M4" s="249"/>
      <c r="N4" s="271" t="s">
        <v>113</v>
      </c>
      <c r="O4" s="279">
        <f>G2-M2</f>
        <v>701.34999999999991</v>
      </c>
      <c r="P4" s="279"/>
      <c r="Q4" s="63"/>
      <c r="S4" s="62"/>
    </row>
    <row r="5" spans="1:21" s="10" customFormat="1" ht="15" customHeight="1" x14ac:dyDescent="0.25">
      <c r="A5" s="245"/>
      <c r="B5" s="245"/>
      <c r="C5" s="268"/>
      <c r="D5" s="270"/>
      <c r="E5" s="270"/>
      <c r="F5" s="253"/>
      <c r="G5" s="277"/>
      <c r="H5" s="245"/>
      <c r="I5" s="325"/>
      <c r="J5" s="293"/>
      <c r="K5" s="247"/>
      <c r="L5" s="250"/>
      <c r="M5" s="251"/>
      <c r="N5" s="272"/>
      <c r="O5" s="280"/>
      <c r="P5" s="280"/>
      <c r="Q5" s="18"/>
      <c r="R5" s="64"/>
      <c r="S5" s="64"/>
      <c r="U5" s="64"/>
    </row>
    <row r="6" spans="1:21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1"/>
      <c r="K6" s="42"/>
      <c r="L6" s="43" t="s">
        <v>123</v>
      </c>
      <c r="M6" s="43"/>
      <c r="N6" s="43"/>
      <c r="O6" s="60"/>
      <c r="P6" s="111"/>
    </row>
    <row r="7" spans="1:21" ht="15" customHeight="1" x14ac:dyDescent="0.25">
      <c r="A7" s="10">
        <v>1</v>
      </c>
      <c r="B7" s="48">
        <v>44950</v>
      </c>
      <c r="C7" s="17">
        <v>400</v>
      </c>
      <c r="D7" s="17">
        <v>400</v>
      </c>
      <c r="E7" s="16">
        <v>44950</v>
      </c>
      <c r="F7" s="16" t="s">
        <v>181</v>
      </c>
      <c r="H7" s="17">
        <f t="shared" ref="H7:H14" si="0">IFERROR(IF(F6="Closed account",(IF(F7="Unpaid Rent",(C7),(C7-D7))),(IF(F7="Unpaid Rent",(C7+H6),(C7-D7+H6)))),"")</f>
        <v>0</v>
      </c>
      <c r="I7" s="17" t="s">
        <v>977</v>
      </c>
      <c r="J7" s="48">
        <v>44949</v>
      </c>
      <c r="K7" s="17">
        <v>85.37</v>
      </c>
      <c r="L7" s="49" t="s">
        <v>32</v>
      </c>
      <c r="N7" t="s">
        <v>977</v>
      </c>
      <c r="O7" s="60" t="s">
        <v>977</v>
      </c>
      <c r="P7" s="111">
        <f>SUMIF($I$6:$I$2992,O7,$D$6:$D$2992)-SUMIFS($D$6:$D$2992,$I$6:$I$2992,O7,$F$6:$F$2992,"Unpaid Rent")-(SUMIFS($D$6:$D$2992,$I$6:$I$2992,O7,$F$6:$F$2992,"Discount Rent")*2)-(SUMIFS($D$6:$D$2992,$I$6:$I$2992,O7,$F$6:$F$2992,"Bond Received"))-SUMIF($N$6:$N$2989,O7,$K$6:$K$2989)+SUMIFS($K$6:$K$2989,$N$6:$N$2989,O7,$L$6:$L$2989,"Bond Return")</f>
        <v>1072.03</v>
      </c>
    </row>
    <row r="8" spans="1:21" ht="15" customHeight="1" x14ac:dyDescent="0.25">
      <c r="A8" s="10">
        <v>1</v>
      </c>
      <c r="B8" s="48">
        <v>44950</v>
      </c>
      <c r="C8" s="17">
        <v>270</v>
      </c>
      <c r="D8" s="17">
        <v>270</v>
      </c>
      <c r="E8" s="16">
        <v>44950</v>
      </c>
      <c r="F8" s="16" t="s">
        <v>117</v>
      </c>
      <c r="H8" s="17">
        <f t="shared" si="0"/>
        <v>0</v>
      </c>
      <c r="I8" s="17" t="s">
        <v>977</v>
      </c>
      <c r="J8" s="48">
        <v>44952</v>
      </c>
      <c r="K8" s="17">
        <v>55.1</v>
      </c>
      <c r="L8" s="49" t="s">
        <v>54</v>
      </c>
      <c r="N8" t="s">
        <v>977</v>
      </c>
      <c r="O8" s="16" t="s">
        <v>14</v>
      </c>
      <c r="P8" s="112">
        <f t="shared" ref="P8:P60" si="1">SUMIF($I$6:$I$2992,O8,$D$6:$D$2992)-SUMIFS($D$6:$D$2992,$I$6:$I$2992,O8,$F$6:$F$2992,"Unpaid Rent")-(SUMIFS($D$6:$D$2992,$I$6:$I$2992,O8,$F$6:$F$2992,"Discount Rent")*2)-(SUMIFS($D$6:$D$2992,$I$6:$I$2992,O8,$F$6:$F$2992,"Bond Received"))-SUMIF($N$6:$N$2989,O8,$K$6:$K$2989)+SUMIFS($K$6:$K$2989,$N$6:$N$2989,O8,$L$6:$L$2989,"Bond Return")</f>
        <v>-370.68</v>
      </c>
    </row>
    <row r="9" spans="1:21" ht="15" customHeight="1" x14ac:dyDescent="0.25">
      <c r="A9" s="10">
        <v>2</v>
      </c>
      <c r="B9" s="48">
        <f>B8+7</f>
        <v>44957</v>
      </c>
      <c r="C9" s="17">
        <v>270</v>
      </c>
      <c r="D9" s="17">
        <v>270</v>
      </c>
      <c r="E9" s="16">
        <v>44932</v>
      </c>
      <c r="F9" s="16" t="s">
        <v>58</v>
      </c>
      <c r="H9" s="17">
        <f t="shared" si="0"/>
        <v>0</v>
      </c>
      <c r="I9" s="17" t="s">
        <v>977</v>
      </c>
      <c r="J9" s="48">
        <v>44932</v>
      </c>
      <c r="K9" s="17">
        <v>5.5</v>
      </c>
      <c r="L9" s="49" t="s">
        <v>22</v>
      </c>
      <c r="N9" t="s">
        <v>977</v>
      </c>
      <c r="P9" s="112">
        <f t="shared" si="1"/>
        <v>0</v>
      </c>
    </row>
    <row r="10" spans="1:21" ht="15" customHeight="1" x14ac:dyDescent="0.25">
      <c r="A10" s="10">
        <v>3</v>
      </c>
      <c r="B10" s="48">
        <f>B9+7</f>
        <v>44964</v>
      </c>
      <c r="C10" s="17">
        <v>270</v>
      </c>
      <c r="D10" s="17">
        <v>270</v>
      </c>
      <c r="E10" s="16">
        <v>44964</v>
      </c>
      <c r="F10" s="16" t="s">
        <v>58</v>
      </c>
      <c r="H10" s="17">
        <f t="shared" si="0"/>
        <v>0</v>
      </c>
      <c r="I10" s="17" t="s">
        <v>977</v>
      </c>
      <c r="J10" s="48">
        <v>44977</v>
      </c>
      <c r="K10" s="17">
        <v>132</v>
      </c>
      <c r="L10" s="49" t="s">
        <v>17</v>
      </c>
      <c r="M10" t="s">
        <v>675</v>
      </c>
      <c r="N10" t="s">
        <v>977</v>
      </c>
      <c r="P10" s="112">
        <f t="shared" si="1"/>
        <v>0</v>
      </c>
    </row>
    <row r="11" spans="1:21" ht="15" customHeight="1" x14ac:dyDescent="0.25">
      <c r="A11" s="10">
        <v>4</v>
      </c>
      <c r="B11" s="48">
        <f>B10+7</f>
        <v>44971</v>
      </c>
      <c r="C11" s="17">
        <v>270</v>
      </c>
      <c r="D11" s="17">
        <v>270</v>
      </c>
      <c r="E11" s="16">
        <v>44971</v>
      </c>
      <c r="F11" s="16" t="s">
        <v>58</v>
      </c>
      <c r="H11" s="17">
        <f t="shared" si="0"/>
        <v>0</v>
      </c>
      <c r="I11" s="17" t="s">
        <v>977</v>
      </c>
      <c r="J11" s="48">
        <v>44989</v>
      </c>
      <c r="K11" s="17">
        <v>400</v>
      </c>
      <c r="L11" s="49" t="s">
        <v>45</v>
      </c>
      <c r="N11" t="s">
        <v>977</v>
      </c>
      <c r="P11" s="112">
        <f t="shared" si="1"/>
        <v>0</v>
      </c>
    </row>
    <row r="12" spans="1:21" ht="15" customHeight="1" x14ac:dyDescent="0.25">
      <c r="A12" s="10">
        <v>5</v>
      </c>
      <c r="B12" s="48">
        <f>B11+7</f>
        <v>44978</v>
      </c>
      <c r="C12" s="17">
        <v>270</v>
      </c>
      <c r="D12" s="17">
        <v>270</v>
      </c>
      <c r="E12" s="16">
        <v>44978</v>
      </c>
      <c r="F12" s="16" t="s">
        <v>58</v>
      </c>
      <c r="H12" s="17">
        <f t="shared" si="0"/>
        <v>0</v>
      </c>
      <c r="I12" s="17" t="s">
        <v>977</v>
      </c>
      <c r="J12" s="48">
        <v>45064</v>
      </c>
      <c r="K12" s="17">
        <v>205.68</v>
      </c>
      <c r="L12" s="49" t="s">
        <v>20</v>
      </c>
      <c r="N12" t="s">
        <v>14</v>
      </c>
      <c r="P12" s="112">
        <f t="shared" si="1"/>
        <v>0</v>
      </c>
    </row>
    <row r="13" spans="1:21" ht="15" customHeight="1" x14ac:dyDescent="0.25">
      <c r="A13" s="10">
        <v>6</v>
      </c>
      <c r="B13" s="48">
        <f>B12+7</f>
        <v>44985</v>
      </c>
      <c r="C13" s="17"/>
      <c r="D13" s="17">
        <v>270</v>
      </c>
      <c r="E13" s="16">
        <v>44985</v>
      </c>
      <c r="F13" s="16" t="s">
        <v>117</v>
      </c>
      <c r="H13" s="17">
        <f t="shared" si="0"/>
        <v>-270</v>
      </c>
      <c r="I13" s="17" t="s">
        <v>977</v>
      </c>
      <c r="J13" s="48">
        <v>45069</v>
      </c>
      <c r="K13" s="17">
        <v>165</v>
      </c>
      <c r="L13" s="49" t="s">
        <v>17</v>
      </c>
      <c r="N13" t="s">
        <v>14</v>
      </c>
      <c r="P13" s="112">
        <f t="shared" si="1"/>
        <v>0</v>
      </c>
    </row>
    <row r="14" spans="1:21" ht="15" customHeight="1" x14ac:dyDescent="0.25">
      <c r="B14" s="48">
        <v>44989</v>
      </c>
      <c r="C14" s="17"/>
      <c r="D14" s="17">
        <v>-270</v>
      </c>
      <c r="E14" s="16">
        <v>44989</v>
      </c>
      <c r="F14" s="16" t="s">
        <v>124</v>
      </c>
      <c r="H14" s="17">
        <f t="shared" si="0"/>
        <v>0</v>
      </c>
      <c r="I14" s="17" t="s">
        <v>977</v>
      </c>
      <c r="J14" s="48"/>
      <c r="K14" s="17"/>
      <c r="L14" s="49"/>
      <c r="P14" s="113">
        <f t="shared" si="1"/>
        <v>0</v>
      </c>
    </row>
    <row r="15" spans="1:21" ht="15" customHeight="1" x14ac:dyDescent="0.25">
      <c r="B15" s="48"/>
      <c r="C15" s="17"/>
      <c r="D15" s="17"/>
      <c r="E15" s="16"/>
      <c r="F15" s="16"/>
      <c r="H15" s="17"/>
      <c r="I15" s="17"/>
      <c r="J15" s="48"/>
      <c r="K15" s="17"/>
      <c r="L15" s="49"/>
      <c r="P15" s="113">
        <f t="shared" si="1"/>
        <v>0</v>
      </c>
    </row>
    <row r="16" spans="1:21" ht="15" customHeight="1" x14ac:dyDescent="0.25">
      <c r="B16" s="48"/>
      <c r="C16" s="17"/>
      <c r="D16" s="17"/>
      <c r="E16" s="16"/>
      <c r="F16" s="16"/>
      <c r="H16" s="17"/>
      <c r="I16" s="17"/>
      <c r="J16" s="48"/>
      <c r="K16" s="17"/>
      <c r="L16" s="49"/>
      <c r="P16" s="112">
        <f t="shared" si="1"/>
        <v>0</v>
      </c>
    </row>
    <row r="17" spans="2:16" ht="15" customHeight="1" x14ac:dyDescent="0.25">
      <c r="B17" s="48"/>
      <c r="C17" s="17"/>
      <c r="D17" s="17"/>
      <c r="E17" s="16"/>
      <c r="F17" s="16"/>
      <c r="H17" s="17"/>
      <c r="I17" s="17"/>
      <c r="J17" s="48"/>
      <c r="K17" s="17"/>
      <c r="L17" s="49"/>
      <c r="P17" s="112">
        <f t="shared" si="1"/>
        <v>0</v>
      </c>
    </row>
    <row r="18" spans="2:16" ht="15" customHeight="1" x14ac:dyDescent="0.25">
      <c r="B18" s="48"/>
      <c r="C18" s="17"/>
      <c r="D18" s="17"/>
      <c r="E18" s="16"/>
      <c r="F18" s="16"/>
      <c r="H18" s="17"/>
      <c r="I18" s="17"/>
      <c r="J18" s="48"/>
      <c r="K18" s="17"/>
      <c r="L18" s="49"/>
      <c r="P18" s="112">
        <f t="shared" si="1"/>
        <v>0</v>
      </c>
    </row>
    <row r="19" spans="2:16" ht="15" customHeight="1" x14ac:dyDescent="0.25">
      <c r="B19" s="48"/>
      <c r="C19" s="17"/>
      <c r="D19" s="17"/>
      <c r="E19" s="16"/>
      <c r="F19" s="16"/>
      <c r="H19" s="17"/>
      <c r="I19" s="17"/>
      <c r="J19" s="48"/>
      <c r="K19" s="17"/>
      <c r="L19" s="49"/>
      <c r="P19" s="112">
        <f t="shared" si="1"/>
        <v>0</v>
      </c>
    </row>
    <row r="20" spans="2:16" ht="15" customHeight="1" x14ac:dyDescent="0.25">
      <c r="B20" s="48"/>
      <c r="C20" s="17"/>
      <c r="D20" s="17"/>
      <c r="E20" s="16"/>
      <c r="F20" s="16"/>
      <c r="H20" s="17"/>
      <c r="I20" s="17"/>
      <c r="J20" s="48"/>
      <c r="K20" s="17"/>
      <c r="L20" s="49"/>
      <c r="P20" s="112">
        <f t="shared" si="1"/>
        <v>0</v>
      </c>
    </row>
    <row r="21" spans="2:16" ht="15" customHeight="1" x14ac:dyDescent="0.25">
      <c r="B21" s="48"/>
      <c r="C21" s="17"/>
      <c r="D21" s="17"/>
      <c r="E21" s="16"/>
      <c r="F21" s="16"/>
      <c r="H21" s="17"/>
      <c r="I21" s="17"/>
      <c r="J21" s="48"/>
      <c r="K21" s="17"/>
      <c r="L21" s="49"/>
      <c r="P21" s="112">
        <f t="shared" si="1"/>
        <v>0</v>
      </c>
    </row>
    <row r="22" spans="2:16" ht="15" customHeight="1" x14ac:dyDescent="0.25">
      <c r="B22" s="48"/>
      <c r="C22" s="17"/>
      <c r="D22" s="17"/>
      <c r="E22" s="16"/>
      <c r="F22" s="16"/>
      <c r="H22" s="17"/>
      <c r="I22" s="17"/>
      <c r="J22" s="48"/>
      <c r="K22" s="17"/>
      <c r="L22" s="49"/>
      <c r="P22" s="112">
        <f t="shared" si="1"/>
        <v>0</v>
      </c>
    </row>
    <row r="23" spans="2:16" ht="15" customHeight="1" x14ac:dyDescent="0.25">
      <c r="B23" s="48"/>
      <c r="C23" s="17"/>
      <c r="D23" s="17"/>
      <c r="E23" s="16"/>
      <c r="F23" s="16"/>
      <c r="H23" s="17"/>
      <c r="I23" s="17"/>
      <c r="J23" s="48"/>
      <c r="K23" s="17"/>
      <c r="L23" s="49"/>
      <c r="P23" s="112">
        <f t="shared" si="1"/>
        <v>0</v>
      </c>
    </row>
    <row r="24" spans="2:16" ht="15" customHeight="1" x14ac:dyDescent="0.25">
      <c r="B24" s="48"/>
      <c r="C24" s="17"/>
      <c r="D24" s="17"/>
      <c r="E24" s="16"/>
      <c r="F24" s="16"/>
      <c r="H24" s="17"/>
      <c r="I24" s="17"/>
      <c r="J24" s="48"/>
      <c r="K24" s="17"/>
      <c r="L24" s="49"/>
      <c r="P24" s="112">
        <f t="shared" si="1"/>
        <v>0</v>
      </c>
    </row>
    <row r="25" spans="2:16" ht="15" customHeight="1" x14ac:dyDescent="0.25">
      <c r="B25" s="48"/>
      <c r="C25" s="17"/>
      <c r="D25" s="17"/>
      <c r="E25" s="16"/>
      <c r="F25" s="16"/>
      <c r="H25" s="17"/>
      <c r="I25" s="17"/>
      <c r="J25" s="48"/>
      <c r="K25" s="17"/>
      <c r="L25" s="49"/>
      <c r="P25" s="112">
        <f t="shared" si="1"/>
        <v>0</v>
      </c>
    </row>
    <row r="26" spans="2:16" ht="15" customHeight="1" x14ac:dyDescent="0.25">
      <c r="B26" s="48"/>
      <c r="C26" s="17"/>
      <c r="D26" s="17"/>
      <c r="E26" s="16"/>
      <c r="F26" s="16"/>
      <c r="H26" s="17"/>
      <c r="I26" s="17"/>
      <c r="J26" s="48"/>
      <c r="K26" s="17"/>
      <c r="L26" s="49"/>
      <c r="P26" s="112">
        <f t="shared" si="1"/>
        <v>0</v>
      </c>
    </row>
    <row r="27" spans="2:16" ht="15" customHeight="1" x14ac:dyDescent="0.25">
      <c r="B27" s="48"/>
      <c r="C27" s="17"/>
      <c r="D27" s="17"/>
      <c r="E27" s="16"/>
      <c r="F27" s="16"/>
      <c r="H27" s="17"/>
      <c r="I27" s="17"/>
      <c r="J27" s="48"/>
      <c r="K27" s="17"/>
      <c r="L27" s="49"/>
      <c r="P27" s="112">
        <f t="shared" si="1"/>
        <v>0</v>
      </c>
    </row>
    <row r="28" spans="2:16" ht="15" customHeight="1" x14ac:dyDescent="0.25">
      <c r="B28" s="48"/>
      <c r="C28" s="17"/>
      <c r="D28" s="17"/>
      <c r="E28" s="16"/>
      <c r="F28" s="16"/>
      <c r="H28" s="17"/>
      <c r="I28" s="17"/>
      <c r="J28" s="48"/>
      <c r="K28" s="17"/>
      <c r="L28" s="49"/>
      <c r="P28" s="112">
        <f t="shared" si="1"/>
        <v>0</v>
      </c>
    </row>
    <row r="29" spans="2:16" ht="15" customHeight="1" x14ac:dyDescent="0.25">
      <c r="B29" s="48"/>
      <c r="C29" s="17"/>
      <c r="D29" s="17"/>
      <c r="E29" s="16"/>
      <c r="F29" s="16"/>
      <c r="H29" s="17"/>
      <c r="I29" s="17"/>
      <c r="J29" s="48"/>
      <c r="K29" s="17"/>
      <c r="L29" s="49"/>
      <c r="P29" s="112">
        <f t="shared" si="1"/>
        <v>0</v>
      </c>
    </row>
    <row r="30" spans="2:16" ht="15" customHeight="1" x14ac:dyDescent="0.25">
      <c r="B30" s="48"/>
      <c r="C30" s="17"/>
      <c r="D30" s="17"/>
      <c r="E30" s="16"/>
      <c r="H30" s="17"/>
      <c r="I30" s="17"/>
      <c r="J30" s="48"/>
      <c r="K30" s="17"/>
      <c r="L30" s="49"/>
      <c r="P30" s="112">
        <f t="shared" si="1"/>
        <v>0</v>
      </c>
    </row>
    <row r="31" spans="2:16" ht="15" customHeight="1" x14ac:dyDescent="0.25">
      <c r="B31" s="48"/>
      <c r="C31" s="17"/>
      <c r="D31" s="17"/>
      <c r="E31" s="16"/>
      <c r="F31" s="16"/>
      <c r="H31" s="17"/>
      <c r="I31" s="17"/>
      <c r="J31" s="48"/>
      <c r="K31" s="17"/>
      <c r="L31" s="49"/>
      <c r="P31" s="112">
        <f t="shared" si="1"/>
        <v>0</v>
      </c>
    </row>
    <row r="32" spans="2:16" ht="15" customHeight="1" x14ac:dyDescent="0.25">
      <c r="B32" s="48"/>
      <c r="C32" s="17"/>
      <c r="D32" s="17"/>
      <c r="E32" s="16"/>
      <c r="H32" s="17"/>
      <c r="I32" s="17"/>
      <c r="J32" s="48"/>
      <c r="K32" s="17"/>
      <c r="L32" s="49"/>
      <c r="P32" s="112">
        <f t="shared" si="1"/>
        <v>0</v>
      </c>
    </row>
    <row r="33" spans="2:18" ht="15" customHeight="1" x14ac:dyDescent="0.25">
      <c r="B33" s="48"/>
      <c r="C33" s="17"/>
      <c r="D33" s="17"/>
      <c r="E33" s="16"/>
      <c r="F33" s="16"/>
      <c r="H33" s="17"/>
      <c r="I33" s="17"/>
      <c r="J33" s="48"/>
      <c r="K33" s="17"/>
      <c r="L33" s="49"/>
      <c r="P33" s="112">
        <f t="shared" si="1"/>
        <v>0</v>
      </c>
    </row>
    <row r="34" spans="2:18" ht="15" customHeight="1" x14ac:dyDescent="0.25">
      <c r="B34" s="48"/>
      <c r="C34" s="17"/>
      <c r="D34" s="17"/>
      <c r="E34" s="16"/>
      <c r="H34" s="17"/>
      <c r="I34" s="17"/>
      <c r="J34" s="48"/>
      <c r="K34" s="17"/>
      <c r="L34" s="49"/>
      <c r="P34" s="112">
        <f t="shared" si="1"/>
        <v>0</v>
      </c>
    </row>
    <row r="35" spans="2:18" ht="15" customHeight="1" x14ac:dyDescent="0.25">
      <c r="B35" s="48"/>
      <c r="C35" s="17"/>
      <c r="D35" s="17"/>
      <c r="E35" s="16"/>
      <c r="H35" s="17"/>
      <c r="I35" s="17"/>
      <c r="J35" s="48"/>
      <c r="K35" s="17"/>
      <c r="L35" s="49"/>
      <c r="P35" s="112">
        <f t="shared" si="1"/>
        <v>0</v>
      </c>
    </row>
    <row r="36" spans="2:18" ht="15" customHeight="1" x14ac:dyDescent="0.25">
      <c r="B36" s="48"/>
      <c r="C36" s="17"/>
      <c r="D36" s="17"/>
      <c r="E36" s="16"/>
      <c r="H36" s="17"/>
      <c r="I36" s="17"/>
      <c r="J36" s="48"/>
      <c r="K36" s="17"/>
      <c r="L36" s="49"/>
      <c r="P36" s="112">
        <f t="shared" si="1"/>
        <v>0</v>
      </c>
    </row>
    <row r="37" spans="2:18" ht="15" customHeight="1" x14ac:dyDescent="0.25">
      <c r="B37" s="48"/>
      <c r="C37" s="17"/>
      <c r="D37" s="17"/>
      <c r="E37" s="16"/>
      <c r="H37" s="17"/>
      <c r="I37" s="17"/>
      <c r="J37" s="48"/>
      <c r="K37" s="17"/>
      <c r="L37" s="49"/>
      <c r="P37" s="112">
        <f t="shared" si="1"/>
        <v>0</v>
      </c>
      <c r="R37" s="16"/>
    </row>
    <row r="38" spans="2:18" ht="15" customHeight="1" x14ac:dyDescent="0.25">
      <c r="B38" s="48"/>
      <c r="C38" s="17"/>
      <c r="D38" s="17"/>
      <c r="E38" s="16"/>
      <c r="H38" s="17"/>
      <c r="I38" s="17"/>
      <c r="J38" s="48"/>
      <c r="K38" s="17"/>
      <c r="L38" s="49"/>
      <c r="P38" s="112">
        <f t="shared" si="1"/>
        <v>0</v>
      </c>
    </row>
    <row r="39" spans="2:18" ht="15" customHeight="1" x14ac:dyDescent="0.25">
      <c r="B39" s="48"/>
      <c r="C39" s="17"/>
      <c r="D39" s="17"/>
      <c r="E39" s="16"/>
      <c r="H39" s="17"/>
      <c r="I39" s="17"/>
      <c r="J39" s="48"/>
      <c r="K39" s="17"/>
      <c r="L39" s="49"/>
      <c r="P39" s="112">
        <f t="shared" si="1"/>
        <v>0</v>
      </c>
    </row>
    <row r="40" spans="2:18" ht="15" customHeight="1" x14ac:dyDescent="0.25">
      <c r="B40" s="48"/>
      <c r="C40" s="17"/>
      <c r="D40" s="17"/>
      <c r="E40" s="16"/>
      <c r="H40" s="17"/>
      <c r="I40" s="17"/>
      <c r="J40" s="48"/>
      <c r="K40" s="17"/>
      <c r="L40" s="49"/>
      <c r="P40" s="112">
        <f t="shared" si="1"/>
        <v>0</v>
      </c>
    </row>
    <row r="41" spans="2:18" ht="15" customHeight="1" x14ac:dyDescent="0.25">
      <c r="B41" s="48"/>
      <c r="C41" s="17"/>
      <c r="D41" s="17"/>
      <c r="E41" s="16"/>
      <c r="H41" s="17"/>
      <c r="I41" s="17"/>
      <c r="J41" s="48"/>
      <c r="K41" s="17"/>
      <c r="L41" s="49"/>
      <c r="P41" s="112">
        <f t="shared" si="1"/>
        <v>0</v>
      </c>
    </row>
    <row r="42" spans="2:18" ht="15" customHeight="1" x14ac:dyDescent="0.25">
      <c r="B42" s="48"/>
      <c r="C42" s="17"/>
      <c r="D42" s="17"/>
      <c r="E42" s="16"/>
      <c r="H42" s="17"/>
      <c r="I42" s="17"/>
      <c r="J42" s="48"/>
      <c r="K42" s="17"/>
      <c r="L42" s="49"/>
      <c r="P42" s="112">
        <f t="shared" si="1"/>
        <v>0</v>
      </c>
    </row>
    <row r="43" spans="2:18" ht="15" customHeight="1" x14ac:dyDescent="0.25">
      <c r="B43" s="48"/>
      <c r="C43" s="17"/>
      <c r="D43" s="17"/>
      <c r="E43" s="16"/>
      <c r="H43" s="17"/>
      <c r="I43" s="17"/>
      <c r="J43" s="48"/>
      <c r="K43" s="17"/>
      <c r="L43" s="49"/>
      <c r="P43" s="112">
        <f t="shared" si="1"/>
        <v>0</v>
      </c>
    </row>
    <row r="44" spans="2:18" ht="15" customHeight="1" x14ac:dyDescent="0.25">
      <c r="B44" s="48"/>
      <c r="C44" s="17"/>
      <c r="D44" s="17"/>
      <c r="E44" s="16"/>
      <c r="H44" s="17"/>
      <c r="I44" s="17"/>
      <c r="J44" s="48"/>
      <c r="K44" s="17"/>
      <c r="L44" s="49"/>
      <c r="P44" s="112">
        <f t="shared" si="1"/>
        <v>0</v>
      </c>
    </row>
    <row r="45" spans="2:18" ht="15" customHeight="1" x14ac:dyDescent="0.25">
      <c r="B45" s="48"/>
      <c r="C45" s="17"/>
      <c r="D45" s="17"/>
      <c r="E45" s="16"/>
      <c r="H45" s="17"/>
      <c r="I45" s="17"/>
      <c r="J45" s="48"/>
      <c r="K45" s="17"/>
      <c r="L45" s="49"/>
      <c r="P45" s="112">
        <f t="shared" si="1"/>
        <v>0</v>
      </c>
    </row>
    <row r="46" spans="2:18" ht="15" customHeight="1" x14ac:dyDescent="0.25">
      <c r="B46" s="48"/>
      <c r="C46" s="17"/>
      <c r="D46" s="17"/>
      <c r="E46" s="16"/>
      <c r="H46" s="17"/>
      <c r="I46" s="17"/>
      <c r="J46" s="48"/>
      <c r="K46" s="17"/>
      <c r="L46" s="49"/>
      <c r="P46" s="112">
        <f t="shared" si="1"/>
        <v>0</v>
      </c>
    </row>
    <row r="47" spans="2:18" ht="15" customHeight="1" x14ac:dyDescent="0.25">
      <c r="B47" s="48"/>
      <c r="C47" s="17"/>
      <c r="D47" s="17"/>
      <c r="E47" s="16"/>
      <c r="H47" s="17"/>
      <c r="I47" s="17"/>
      <c r="J47" s="48"/>
      <c r="K47" s="17"/>
      <c r="L47" s="49"/>
      <c r="P47" s="112">
        <f t="shared" si="1"/>
        <v>0</v>
      </c>
    </row>
    <row r="48" spans="2:18" ht="15" customHeight="1" x14ac:dyDescent="0.25">
      <c r="B48" s="48"/>
      <c r="C48" s="17"/>
      <c r="D48" s="17"/>
      <c r="E48" s="16"/>
      <c r="H48" s="17"/>
      <c r="I48" s="17"/>
      <c r="J48" s="48"/>
      <c r="K48" s="17"/>
      <c r="L48" s="49"/>
      <c r="P48" s="112">
        <f t="shared" si="1"/>
        <v>0</v>
      </c>
    </row>
    <row r="49" spans="2:16" ht="15" customHeight="1" x14ac:dyDescent="0.25">
      <c r="B49" s="48"/>
      <c r="C49" s="17"/>
      <c r="D49" s="17"/>
      <c r="E49" s="16"/>
      <c r="H49" s="17"/>
      <c r="I49" s="17"/>
      <c r="J49" s="48"/>
      <c r="K49" s="17"/>
      <c r="L49" s="49"/>
      <c r="P49" s="112">
        <f t="shared" si="1"/>
        <v>0</v>
      </c>
    </row>
    <row r="50" spans="2:16" ht="15" customHeight="1" x14ac:dyDescent="0.25">
      <c r="B50" s="48"/>
      <c r="C50" s="17"/>
      <c r="D50" s="17"/>
      <c r="E50" s="16"/>
      <c r="H50" s="17"/>
      <c r="I50" s="17"/>
      <c r="J50" s="48"/>
      <c r="K50" s="17"/>
      <c r="L50" s="49"/>
      <c r="P50" s="112">
        <f t="shared" si="1"/>
        <v>0</v>
      </c>
    </row>
    <row r="51" spans="2:16" ht="15" customHeight="1" x14ac:dyDescent="0.25">
      <c r="B51" s="48"/>
      <c r="C51" s="17"/>
      <c r="D51" s="17"/>
      <c r="E51" s="16"/>
      <c r="H51" s="17"/>
      <c r="I51" s="17"/>
      <c r="J51" s="48"/>
      <c r="K51" s="17"/>
      <c r="L51" s="49"/>
      <c r="P51" s="112">
        <f t="shared" si="1"/>
        <v>0</v>
      </c>
    </row>
    <row r="52" spans="2:16" ht="15" customHeight="1" x14ac:dyDescent="0.25">
      <c r="B52" s="48"/>
      <c r="C52" s="17"/>
      <c r="D52" s="17"/>
      <c r="E52" s="16"/>
      <c r="H52" s="17"/>
      <c r="I52" s="17"/>
      <c r="J52" s="48"/>
      <c r="K52" s="17"/>
      <c r="L52" s="49"/>
      <c r="P52" s="112">
        <f t="shared" si="1"/>
        <v>0</v>
      </c>
    </row>
    <row r="53" spans="2:16" ht="15" customHeight="1" x14ac:dyDescent="0.25">
      <c r="B53" s="48"/>
      <c r="C53" s="17"/>
      <c r="D53" s="17"/>
      <c r="E53" s="16"/>
      <c r="H53" s="17"/>
      <c r="I53" s="17"/>
      <c r="J53" s="48"/>
      <c r="K53" s="17"/>
      <c r="L53" s="49"/>
      <c r="P53" s="112">
        <f t="shared" si="1"/>
        <v>0</v>
      </c>
    </row>
    <row r="54" spans="2:16" ht="15" customHeight="1" x14ac:dyDescent="0.25">
      <c r="B54" s="48"/>
      <c r="C54" s="17"/>
      <c r="D54" s="17"/>
      <c r="E54" s="16"/>
      <c r="H54" s="17"/>
      <c r="I54" s="17"/>
      <c r="J54" s="48"/>
      <c r="K54" s="17"/>
      <c r="L54" s="49"/>
      <c r="P54" s="112">
        <f t="shared" si="1"/>
        <v>0</v>
      </c>
    </row>
    <row r="55" spans="2:16" ht="15" customHeight="1" x14ac:dyDescent="0.25">
      <c r="B55" s="48"/>
      <c r="C55" s="17"/>
      <c r="D55" s="17"/>
      <c r="E55" s="16"/>
      <c r="H55" s="17"/>
      <c r="I55" s="17"/>
      <c r="J55" s="48"/>
      <c r="K55" s="17"/>
      <c r="L55" s="49"/>
      <c r="P55" s="112">
        <f t="shared" si="1"/>
        <v>0</v>
      </c>
    </row>
    <row r="56" spans="2:16" ht="15" customHeight="1" x14ac:dyDescent="0.25">
      <c r="B56" s="48"/>
      <c r="C56" s="17"/>
      <c r="D56" s="17"/>
      <c r="E56" s="16"/>
      <c r="H56" s="17"/>
      <c r="I56" s="17"/>
      <c r="J56" s="48"/>
      <c r="K56" s="17"/>
      <c r="L56" s="49"/>
      <c r="P56" s="112">
        <f t="shared" si="1"/>
        <v>0</v>
      </c>
    </row>
    <row r="57" spans="2:16" ht="15" customHeight="1" x14ac:dyDescent="0.25">
      <c r="B57" s="48"/>
      <c r="C57" s="17"/>
      <c r="D57" s="17"/>
      <c r="E57" s="16"/>
      <c r="H57" s="17"/>
      <c r="I57" s="17"/>
      <c r="J57" s="48"/>
      <c r="K57" s="17"/>
      <c r="L57" s="49"/>
      <c r="P57" s="112">
        <f t="shared" si="1"/>
        <v>0</v>
      </c>
    </row>
    <row r="58" spans="2:16" ht="15" customHeight="1" x14ac:dyDescent="0.25">
      <c r="B58" s="48"/>
      <c r="C58" s="17"/>
      <c r="D58" s="17"/>
      <c r="E58" s="16"/>
      <c r="H58" s="17"/>
      <c r="I58" s="17"/>
      <c r="J58" s="48"/>
      <c r="K58" s="17"/>
      <c r="L58" s="49"/>
      <c r="P58" s="112">
        <f t="shared" si="1"/>
        <v>0</v>
      </c>
    </row>
    <row r="59" spans="2:16" ht="15" customHeight="1" x14ac:dyDescent="0.25">
      <c r="B59" s="48"/>
      <c r="C59" s="17"/>
      <c r="D59" s="17"/>
      <c r="E59" s="16"/>
      <c r="H59" s="17"/>
      <c r="I59" s="17"/>
      <c r="J59" s="48"/>
      <c r="K59" s="17"/>
      <c r="L59" s="49"/>
      <c r="P59" s="112">
        <f t="shared" si="1"/>
        <v>0</v>
      </c>
    </row>
    <row r="60" spans="2:16" ht="15" customHeight="1" x14ac:dyDescent="0.25">
      <c r="B60" s="48"/>
      <c r="C60" s="17"/>
      <c r="D60" s="17"/>
      <c r="E60" s="16"/>
      <c r="H60" s="17"/>
      <c r="I60" s="17"/>
      <c r="J60" s="48"/>
      <c r="K60" s="17"/>
      <c r="L60" s="49"/>
      <c r="P60" s="112">
        <f t="shared" si="1"/>
        <v>0</v>
      </c>
    </row>
    <row r="61" spans="2:16" ht="15" customHeight="1" x14ac:dyDescent="0.25">
      <c r="B61" s="48"/>
      <c r="C61" s="17"/>
      <c r="D61" s="17"/>
      <c r="E61" s="16"/>
      <c r="H61" s="17"/>
      <c r="I61" s="17"/>
      <c r="J61" s="48"/>
      <c r="K61" s="17"/>
      <c r="L61" s="49"/>
    </row>
    <row r="62" spans="2:16" ht="15" customHeight="1" x14ac:dyDescent="0.25">
      <c r="B62" s="48"/>
      <c r="C62" s="17"/>
      <c r="D62" s="17"/>
      <c r="E62" s="16"/>
      <c r="H62" s="17"/>
      <c r="I62" s="17"/>
      <c r="J62" s="48"/>
      <c r="K62" s="17"/>
      <c r="L62" s="49"/>
    </row>
    <row r="63" spans="2:16" ht="15" customHeight="1" x14ac:dyDescent="0.25">
      <c r="B63" s="48"/>
      <c r="C63" s="17"/>
      <c r="D63" s="17"/>
      <c r="E63" s="16"/>
      <c r="H63" s="17"/>
      <c r="I63" s="17"/>
      <c r="J63" s="48"/>
      <c r="K63" s="17"/>
      <c r="L63" s="49"/>
    </row>
    <row r="64" spans="2:16" ht="15" customHeight="1" x14ac:dyDescent="0.25">
      <c r="B64" s="48"/>
      <c r="C64" s="17"/>
      <c r="D64" s="17"/>
      <c r="E64" s="16"/>
      <c r="H64" s="17"/>
      <c r="I64" s="17"/>
      <c r="J64" s="48"/>
      <c r="K64" s="17"/>
      <c r="L64" s="49"/>
    </row>
    <row r="65" spans="1:12" ht="15" customHeight="1" x14ac:dyDescent="0.25">
      <c r="B65" s="48"/>
      <c r="C65" s="17"/>
      <c r="D65" s="17"/>
      <c r="E65" s="16"/>
      <c r="H65" s="17"/>
      <c r="I65" s="17"/>
      <c r="J65" s="48"/>
      <c r="K65" s="17"/>
      <c r="L65" s="49"/>
    </row>
    <row r="66" spans="1:12" ht="15" customHeight="1" x14ac:dyDescent="0.25">
      <c r="B66" s="48"/>
      <c r="C66" s="17"/>
      <c r="D66" s="17"/>
      <c r="E66" s="16"/>
      <c r="H66" s="17"/>
      <c r="I66" s="17"/>
      <c r="J66" s="48"/>
      <c r="K66" s="17"/>
      <c r="L66" s="49"/>
    </row>
    <row r="67" spans="1:12" ht="15" customHeight="1" x14ac:dyDescent="0.25">
      <c r="B67" s="48"/>
      <c r="C67" s="17"/>
      <c r="D67" s="17"/>
      <c r="E67" s="16"/>
      <c r="H67" s="17"/>
      <c r="I67" s="17"/>
      <c r="J67" s="48"/>
      <c r="K67" s="17"/>
      <c r="L67" s="49"/>
    </row>
    <row r="68" spans="1:12" ht="15" customHeight="1" x14ac:dyDescent="0.25">
      <c r="B68" s="48"/>
      <c r="C68" s="17"/>
      <c r="D68" s="17"/>
      <c r="E68" s="16"/>
      <c r="H68" s="17"/>
      <c r="I68" s="17"/>
      <c r="J68" s="48"/>
      <c r="K68" s="17"/>
      <c r="L68" s="49"/>
    </row>
    <row r="69" spans="1:12" ht="15" customHeight="1" x14ac:dyDescent="0.25">
      <c r="B69" s="48"/>
      <c r="C69" s="17"/>
      <c r="D69" s="17"/>
      <c r="E69" s="16"/>
      <c r="H69" s="17"/>
      <c r="I69" s="17"/>
      <c r="J69" s="48"/>
      <c r="K69" s="17"/>
      <c r="L69" s="49"/>
    </row>
    <row r="70" spans="1:12" ht="15" customHeight="1" x14ac:dyDescent="0.25">
      <c r="B70" s="48"/>
      <c r="C70" s="17"/>
      <c r="D70" s="17"/>
      <c r="E70" s="16"/>
      <c r="H70" s="17"/>
      <c r="I70" s="17"/>
      <c r="J70" s="48"/>
      <c r="K70" s="17"/>
      <c r="L70" s="49"/>
    </row>
    <row r="71" spans="1:12" ht="15" customHeight="1" x14ac:dyDescent="0.25">
      <c r="B71" s="48"/>
      <c r="C71" s="17"/>
      <c r="D71" s="17"/>
      <c r="E71" s="16"/>
      <c r="H71" s="17"/>
      <c r="I71" s="17"/>
      <c r="J71" s="48"/>
      <c r="K71" s="17"/>
      <c r="L71" s="49"/>
    </row>
    <row r="72" spans="1:12" ht="15" customHeight="1" x14ac:dyDescent="0.25">
      <c r="B72" s="48"/>
      <c r="C72" s="17"/>
      <c r="D72" s="17"/>
      <c r="E72" s="16"/>
      <c r="H72" s="17"/>
      <c r="I72" s="17"/>
      <c r="J72" s="48"/>
      <c r="K72" s="17"/>
      <c r="L72" s="49"/>
    </row>
    <row r="73" spans="1:12" x14ac:dyDescent="0.25">
      <c r="B73" s="48"/>
      <c r="C73" s="17"/>
      <c r="D73" s="17"/>
      <c r="E73" s="16"/>
      <c r="H73" s="17"/>
      <c r="I73" s="17"/>
      <c r="J73" s="48"/>
      <c r="K73" s="17"/>
      <c r="L73" s="49"/>
    </row>
    <row r="74" spans="1:12" x14ac:dyDescent="0.25">
      <c r="B74" s="48"/>
      <c r="C74" s="17"/>
      <c r="D74" s="17"/>
      <c r="H74" s="17"/>
      <c r="I74" s="17"/>
      <c r="J74" s="48"/>
      <c r="K74" s="17"/>
      <c r="L74" s="49"/>
    </row>
    <row r="75" spans="1:12" x14ac:dyDescent="0.25">
      <c r="B75" s="48"/>
      <c r="C75" s="17"/>
      <c r="D75" s="17"/>
      <c r="E75" s="16"/>
      <c r="H75" s="17"/>
      <c r="I75" s="17"/>
      <c r="J75" s="48"/>
      <c r="K75" s="17"/>
      <c r="L75" s="49"/>
    </row>
    <row r="76" spans="1:12" x14ac:dyDescent="0.25">
      <c r="B76" s="48"/>
      <c r="C76" s="17"/>
      <c r="H76" s="17"/>
      <c r="I76" s="17"/>
      <c r="J76" s="48"/>
      <c r="K76" s="17"/>
      <c r="L76" s="49"/>
    </row>
    <row r="77" spans="1:12" x14ac:dyDescent="0.25">
      <c r="B77" s="48"/>
      <c r="C77" s="17"/>
      <c r="H77" s="17"/>
      <c r="I77" s="17"/>
      <c r="J77" s="48"/>
      <c r="K77" s="17"/>
      <c r="L77" s="49"/>
    </row>
    <row r="78" spans="1:12" x14ac:dyDescent="0.25">
      <c r="A78"/>
      <c r="B78" s="50"/>
      <c r="J78" s="48"/>
      <c r="K78" s="17"/>
      <c r="L78" s="49"/>
    </row>
    <row r="79" spans="1:12" x14ac:dyDescent="0.25">
      <c r="A79"/>
      <c r="B79" s="50"/>
      <c r="J79" s="48"/>
      <c r="K79" s="17"/>
      <c r="L79" s="49"/>
    </row>
    <row r="80" spans="1:12" x14ac:dyDescent="0.25">
      <c r="A80"/>
      <c r="B80" s="50"/>
      <c r="J80" s="48"/>
      <c r="K80" s="17"/>
      <c r="L80" s="49"/>
    </row>
    <row r="81" spans="1:12" x14ac:dyDescent="0.25">
      <c r="A81"/>
      <c r="B81" s="50"/>
      <c r="J81" s="48"/>
      <c r="K81" s="17"/>
      <c r="L81" s="49"/>
    </row>
    <row r="82" spans="1:12" x14ac:dyDescent="0.25">
      <c r="A82"/>
      <c r="B82" s="50"/>
      <c r="J82" s="48"/>
      <c r="K82" s="17"/>
      <c r="L82" s="49"/>
    </row>
    <row r="83" spans="1:12" x14ac:dyDescent="0.25">
      <c r="A83"/>
      <c r="B83" s="50"/>
      <c r="J83" s="48"/>
      <c r="K83" s="17"/>
      <c r="L83" s="49"/>
    </row>
    <row r="84" spans="1:12" x14ac:dyDescent="0.25">
      <c r="A84"/>
      <c r="B84" s="50"/>
      <c r="J84" s="48"/>
      <c r="K84" s="17"/>
      <c r="L84" s="49"/>
    </row>
    <row r="85" spans="1:12" x14ac:dyDescent="0.25">
      <c r="A85"/>
      <c r="B85" s="50"/>
      <c r="J85" s="48"/>
      <c r="K85" s="17"/>
      <c r="L85" s="49"/>
    </row>
    <row r="86" spans="1:12" x14ac:dyDescent="0.25">
      <c r="A86"/>
      <c r="B86" s="50"/>
      <c r="J86" s="48"/>
      <c r="K86" s="17"/>
      <c r="L86" s="49"/>
    </row>
    <row r="87" spans="1:12" x14ac:dyDescent="0.25">
      <c r="A87"/>
      <c r="B87" s="50"/>
      <c r="J87" s="48"/>
      <c r="K87" s="17"/>
      <c r="L87" s="49"/>
    </row>
    <row r="88" spans="1:12" x14ac:dyDescent="0.25">
      <c r="A88"/>
      <c r="B88" s="50"/>
      <c r="J88" s="48"/>
      <c r="K88" s="17"/>
      <c r="L88" s="49"/>
    </row>
    <row r="89" spans="1:12" x14ac:dyDescent="0.25">
      <c r="A89"/>
      <c r="B89" s="50"/>
      <c r="J89" s="48"/>
      <c r="K89" s="17"/>
      <c r="L89" s="49"/>
    </row>
    <row r="90" spans="1:12" x14ac:dyDescent="0.25">
      <c r="A90"/>
      <c r="B90" s="50"/>
      <c r="J90" s="48"/>
      <c r="K90" s="17"/>
      <c r="L90" s="49"/>
    </row>
    <row r="91" spans="1:12" x14ac:dyDescent="0.25">
      <c r="A91"/>
      <c r="B91" s="50"/>
      <c r="J91" s="48"/>
      <c r="K91" s="17"/>
      <c r="L91" s="49"/>
    </row>
    <row r="92" spans="1:12" x14ac:dyDescent="0.25">
      <c r="A92"/>
      <c r="B92" s="50"/>
      <c r="J92" s="48"/>
      <c r="K92" s="17"/>
      <c r="L92" s="49"/>
    </row>
    <row r="93" spans="1:12" x14ac:dyDescent="0.25">
      <c r="A93"/>
      <c r="B93" s="50"/>
      <c r="J93" s="48"/>
      <c r="K93" s="17"/>
      <c r="L93" s="49"/>
    </row>
    <row r="94" spans="1:12" x14ac:dyDescent="0.25">
      <c r="A94"/>
      <c r="B94" s="50"/>
      <c r="J94" s="48"/>
      <c r="K94" s="17"/>
      <c r="L94" s="49"/>
    </row>
    <row r="95" spans="1:12" x14ac:dyDescent="0.25">
      <c r="A95"/>
      <c r="B95" s="50"/>
      <c r="J95" s="48"/>
      <c r="K95" s="17"/>
      <c r="L95" s="49"/>
    </row>
    <row r="96" spans="1:12" x14ac:dyDescent="0.25">
      <c r="A96"/>
      <c r="B96" s="50"/>
      <c r="J96" s="48"/>
      <c r="K96" s="17"/>
      <c r="L96" s="49"/>
    </row>
    <row r="97" spans="1:12" x14ac:dyDescent="0.25">
      <c r="A97"/>
      <c r="B97" s="50"/>
      <c r="J97" s="48"/>
      <c r="K97" s="17"/>
      <c r="L97" s="49"/>
    </row>
    <row r="98" spans="1:12" x14ac:dyDescent="0.25">
      <c r="A98"/>
      <c r="B98" s="50"/>
      <c r="J98" s="48"/>
      <c r="K98" s="17"/>
      <c r="L98" s="49"/>
    </row>
    <row r="99" spans="1:12" x14ac:dyDescent="0.25">
      <c r="A99"/>
      <c r="B99" s="50"/>
      <c r="J99" s="48"/>
      <c r="K99" s="17"/>
      <c r="L99" s="49"/>
    </row>
    <row r="100" spans="1:12" x14ac:dyDescent="0.25">
      <c r="A100"/>
      <c r="B100" s="50"/>
      <c r="J100" s="48"/>
      <c r="K100" s="17"/>
      <c r="L100" s="49"/>
    </row>
    <row r="101" spans="1:12" x14ac:dyDescent="0.25">
      <c r="A101"/>
      <c r="B101" s="50"/>
      <c r="J101" s="48"/>
      <c r="K101" s="17"/>
      <c r="L101" s="49"/>
    </row>
    <row r="102" spans="1:12" x14ac:dyDescent="0.25">
      <c r="A102"/>
      <c r="B102" s="50"/>
      <c r="J102" s="48"/>
      <c r="K102" s="17"/>
      <c r="L102" s="49"/>
    </row>
    <row r="103" spans="1:12" x14ac:dyDescent="0.25">
      <c r="A103"/>
      <c r="B103" s="50"/>
      <c r="J103" s="48"/>
      <c r="K103" s="17"/>
      <c r="L103" s="49"/>
    </row>
    <row r="104" spans="1:12" x14ac:dyDescent="0.25">
      <c r="A104"/>
      <c r="B104" s="50"/>
      <c r="J104" s="48"/>
      <c r="K104" s="17"/>
      <c r="L104" s="49"/>
    </row>
    <row r="105" spans="1:12" x14ac:dyDescent="0.25">
      <c r="A105"/>
      <c r="B105" s="50"/>
      <c r="J105" s="48"/>
      <c r="K105" s="17"/>
      <c r="L105" s="49"/>
    </row>
    <row r="106" spans="1:12" x14ac:dyDescent="0.25">
      <c r="A106"/>
      <c r="B106" s="50"/>
      <c r="J106" s="48"/>
      <c r="K106" s="17"/>
      <c r="L106" s="49"/>
    </row>
    <row r="107" spans="1:12" x14ac:dyDescent="0.25">
      <c r="A107"/>
      <c r="B107" s="50"/>
      <c r="J107" s="48"/>
      <c r="K107" s="17"/>
      <c r="L107" s="49"/>
    </row>
    <row r="108" spans="1:12" x14ac:dyDescent="0.25">
      <c r="A108"/>
      <c r="B108" s="50"/>
      <c r="J108" s="48"/>
      <c r="K108" s="17"/>
      <c r="L108" s="49"/>
    </row>
    <row r="109" spans="1:12" x14ac:dyDescent="0.25">
      <c r="A109"/>
      <c r="B109" s="50"/>
      <c r="J109" s="48"/>
      <c r="K109" s="17"/>
      <c r="L109" s="49"/>
    </row>
    <row r="110" spans="1:12" x14ac:dyDescent="0.25">
      <c r="A110"/>
      <c r="B110" s="50"/>
      <c r="J110" s="48"/>
      <c r="K110" s="17"/>
      <c r="L110" s="49"/>
    </row>
    <row r="111" spans="1:12" x14ac:dyDescent="0.25">
      <c r="A111"/>
      <c r="B111" s="50"/>
      <c r="J111" s="48"/>
      <c r="K111" s="17"/>
      <c r="L111" s="49"/>
    </row>
    <row r="112" spans="1:12" x14ac:dyDescent="0.25">
      <c r="A112"/>
      <c r="B112" s="50"/>
      <c r="J112" s="48"/>
      <c r="K112" s="17"/>
      <c r="L112" s="49"/>
    </row>
    <row r="113" spans="1:12" x14ac:dyDescent="0.25">
      <c r="A113"/>
      <c r="B113" s="50"/>
      <c r="J113" s="48"/>
      <c r="K113" s="17"/>
      <c r="L113" s="49"/>
    </row>
    <row r="114" spans="1:12" x14ac:dyDescent="0.25">
      <c r="A114"/>
      <c r="B114" s="50"/>
      <c r="J114" s="48"/>
      <c r="K114" s="17"/>
      <c r="L114" s="49"/>
    </row>
    <row r="115" spans="1:12" x14ac:dyDescent="0.25">
      <c r="A115"/>
      <c r="B115" s="50"/>
      <c r="J115" s="48"/>
      <c r="K115" s="17"/>
      <c r="L115" s="49"/>
    </row>
    <row r="116" spans="1:12" x14ac:dyDescent="0.25">
      <c r="A116"/>
      <c r="B116" s="50"/>
      <c r="J116" s="48"/>
      <c r="K116" s="17"/>
      <c r="L116" s="49"/>
    </row>
    <row r="117" spans="1:12" x14ac:dyDescent="0.25">
      <c r="A117"/>
      <c r="B117" s="50"/>
      <c r="J117" s="48"/>
      <c r="K117" s="17"/>
      <c r="L117" s="49"/>
    </row>
    <row r="118" spans="1:12" x14ac:dyDescent="0.25">
      <c r="A118"/>
      <c r="B118" s="50"/>
      <c r="J118" s="48"/>
      <c r="K118" s="17"/>
      <c r="L118" s="49"/>
    </row>
    <row r="119" spans="1:12" x14ac:dyDescent="0.25">
      <c r="A119"/>
      <c r="B119" s="50"/>
      <c r="J119" s="48"/>
      <c r="K119" s="17"/>
      <c r="L119" s="49"/>
    </row>
    <row r="120" spans="1:12" x14ac:dyDescent="0.25">
      <c r="A120"/>
      <c r="B120" s="50"/>
      <c r="J120" s="48"/>
      <c r="K120" s="17"/>
      <c r="L120" s="49"/>
    </row>
    <row r="121" spans="1:12" x14ac:dyDescent="0.25">
      <c r="A121"/>
      <c r="B121" s="50"/>
      <c r="J121" s="48"/>
      <c r="K121" s="17"/>
      <c r="L121" s="49"/>
    </row>
    <row r="122" spans="1:12" x14ac:dyDescent="0.25">
      <c r="A122"/>
      <c r="B122" s="50"/>
      <c r="J122" s="48"/>
      <c r="K122" s="17"/>
      <c r="L122" s="49"/>
    </row>
    <row r="123" spans="1:12" x14ac:dyDescent="0.25">
      <c r="A123"/>
      <c r="B123" s="50"/>
      <c r="J123" s="48"/>
      <c r="K123" s="17"/>
      <c r="L123" s="49"/>
    </row>
    <row r="124" spans="1:12" x14ac:dyDescent="0.25">
      <c r="A124"/>
      <c r="B124" s="50"/>
      <c r="J124" s="48"/>
      <c r="K124" s="17"/>
      <c r="L124" s="49"/>
    </row>
    <row r="125" spans="1:12" x14ac:dyDescent="0.25">
      <c r="A125"/>
      <c r="B125" s="50"/>
      <c r="J125" s="48"/>
      <c r="K125" s="17"/>
      <c r="L125" s="49"/>
    </row>
    <row r="126" spans="1:12" x14ac:dyDescent="0.25">
      <c r="B126" s="50"/>
      <c r="J126" s="48"/>
      <c r="K126" s="17"/>
      <c r="L126" s="49"/>
    </row>
    <row r="127" spans="1:12" x14ac:dyDescent="0.25">
      <c r="B127" s="50"/>
      <c r="J127" s="48"/>
      <c r="K127" s="17"/>
      <c r="L127" s="49"/>
    </row>
    <row r="128" spans="1:12" x14ac:dyDescent="0.25">
      <c r="B128" s="50"/>
      <c r="J128" s="48"/>
      <c r="K128" s="17"/>
      <c r="L128" s="49"/>
    </row>
    <row r="129" spans="1:12" x14ac:dyDescent="0.25">
      <c r="B129" s="50"/>
      <c r="J129" s="48"/>
      <c r="K129" s="17"/>
      <c r="L129" s="49"/>
    </row>
    <row r="130" spans="1:12" x14ac:dyDescent="0.25">
      <c r="B130" s="50"/>
      <c r="J130" s="48"/>
      <c r="K130" s="17"/>
      <c r="L130" s="49"/>
    </row>
    <row r="131" spans="1:12" x14ac:dyDescent="0.25">
      <c r="B131" s="50"/>
      <c r="J131" s="48"/>
      <c r="K131" s="17"/>
      <c r="L131" s="49"/>
    </row>
    <row r="132" spans="1:12" x14ac:dyDescent="0.25">
      <c r="B132" s="50"/>
      <c r="J132" s="48"/>
      <c r="K132" s="17"/>
      <c r="L132" s="49"/>
    </row>
    <row r="133" spans="1:12" x14ac:dyDescent="0.25">
      <c r="B133" s="50"/>
      <c r="J133" s="48"/>
      <c r="K133" s="17"/>
      <c r="L133" s="49"/>
    </row>
    <row r="134" spans="1:12" x14ac:dyDescent="0.25">
      <c r="B134" s="50"/>
      <c r="J134" s="48"/>
      <c r="K134" s="17"/>
      <c r="L134" s="49"/>
    </row>
    <row r="135" spans="1:12" x14ac:dyDescent="0.25">
      <c r="B135" s="50"/>
      <c r="J135" s="48"/>
      <c r="K135" s="17"/>
      <c r="L135" s="49"/>
    </row>
    <row r="136" spans="1:12" x14ac:dyDescent="0.25">
      <c r="B136" s="50"/>
      <c r="J136" s="48"/>
      <c r="K136" s="17"/>
      <c r="L136" s="49"/>
    </row>
    <row r="137" spans="1:12" x14ac:dyDescent="0.25">
      <c r="B137" s="50"/>
      <c r="J137" s="48"/>
      <c r="K137" s="17"/>
      <c r="L137" s="49"/>
    </row>
    <row r="138" spans="1:12" x14ac:dyDescent="0.25">
      <c r="B138" s="50"/>
      <c r="J138" s="48"/>
      <c r="K138" s="17"/>
      <c r="L138" s="49"/>
    </row>
    <row r="139" spans="1:12" x14ac:dyDescent="0.25">
      <c r="B139" s="50"/>
      <c r="J139" s="48"/>
      <c r="K139" s="17"/>
      <c r="L139" s="49"/>
    </row>
    <row r="140" spans="1:12" ht="15" customHeight="1" x14ac:dyDescent="0.25">
      <c r="B140" s="50"/>
      <c r="J140" s="48"/>
      <c r="K140" s="17"/>
      <c r="L140" s="49"/>
    </row>
    <row r="141" spans="1:12" ht="15" customHeight="1" x14ac:dyDescent="0.25">
      <c r="A141" s="10" t="s">
        <v>18</v>
      </c>
      <c r="B141" s="50" t="str">
        <f>IF($A141&lt;&gt;"",IF(_term=26,IF(A141=1,first_payment,B140+14),IF(_term=52,IF(A141=1,first_payment,B140+7),DATE(YEAR(first_payment),MONTH(first_payment)+(A141-1)*per_year,IF(_term=24,IF(1-MOD(A141,2)=1,DAY(first_payment)+14,DAY(first_payment)),DAY(first_payment))))),"")</f>
        <v/>
      </c>
      <c r="H141" t="str">
        <f>IF($A141&lt;&gt;"",$H140-$D141,"")</f>
        <v/>
      </c>
      <c r="J141" s="48"/>
      <c r="K141" s="17"/>
      <c r="L141" s="49"/>
    </row>
    <row r="142" spans="1:12" ht="15" customHeight="1" x14ac:dyDescent="0.25">
      <c r="A142" s="10" t="s">
        <v>18</v>
      </c>
      <c r="B142" s="50" t="str">
        <f>IF($A142&lt;&gt;"",IF(_term=26,IF(A142=1,first_payment,B141+14),IF(_term=52,IF(A142=1,first_payment,B141+7),DATE(YEAR(first_payment),MONTH(first_payment)+(A142-1)*per_year,IF(_term=24,IF(1-MOD(A142,2)=1,DAY(first_payment)+14,DAY(first_payment)),DAY(first_payment))))),"")</f>
        <v/>
      </c>
      <c r="H142" t="str">
        <f>IF($A142&lt;&gt;"",$H141-$D142,"")</f>
        <v/>
      </c>
      <c r="J142" s="48"/>
      <c r="K142" s="17"/>
      <c r="L142" s="49"/>
    </row>
    <row r="143" spans="1:12" ht="15" customHeight="1" x14ac:dyDescent="0.25">
      <c r="A143" s="10" t="s">
        <v>18</v>
      </c>
      <c r="B143" s="50" t="str">
        <f>IF($A143&lt;&gt;"",IF(_term=26,IF(A143=1,first_payment,B142+14),IF(_term=52,IF(A143=1,first_payment,B142+7),DATE(YEAR(first_payment),MONTH(first_payment)+(A143-1)*per_year,IF(_term=24,IF(1-MOD(A143,2)=1,DAY(first_payment)+14,DAY(first_payment)),DAY(first_payment))))),"")</f>
        <v/>
      </c>
      <c r="H143" t="str">
        <f>IF($A143&lt;&gt;"",$H142-$D143,"")</f>
        <v/>
      </c>
      <c r="J143" s="48"/>
      <c r="K143" s="17"/>
      <c r="L143" s="49"/>
    </row>
    <row r="144" spans="1:12" ht="15" customHeight="1" x14ac:dyDescent="0.25">
      <c r="A144" s="10" t="s">
        <v>18</v>
      </c>
      <c r="B144" s="50" t="str">
        <f>IF($A144&lt;&gt;"",IF(_term=26,IF(A144=1,first_payment,B143+14),IF(_term=52,IF(A144=1,first_payment,B143+7),DATE(YEAR(first_payment),MONTH(first_payment)+(A144-1)*per_year,IF(_term=24,IF(1-MOD(A144,2)=1,DAY(first_payment)+14,DAY(first_payment)),DAY(first_payment))))),"")</f>
        <v/>
      </c>
      <c r="H144" t="str">
        <f>IF($A144&lt;&gt;"",$H143-$D144,"")</f>
        <v/>
      </c>
      <c r="J144" s="48"/>
      <c r="K144" s="17"/>
      <c r="L144" s="49"/>
    </row>
    <row r="145" spans="10:12" ht="15" customHeight="1" x14ac:dyDescent="0.25">
      <c r="J145" s="48"/>
      <c r="K145" s="17"/>
      <c r="L145" s="49"/>
    </row>
    <row r="146" spans="10:12" ht="15" customHeight="1" x14ac:dyDescent="0.25">
      <c r="J146" s="48"/>
      <c r="K146" s="17"/>
      <c r="L146" s="49"/>
    </row>
    <row r="147" spans="10:12" ht="15" customHeight="1" x14ac:dyDescent="0.25">
      <c r="J147" s="48"/>
      <c r="K147" s="17"/>
      <c r="L147" s="49"/>
    </row>
    <row r="148" spans="10:12" ht="15" customHeight="1" x14ac:dyDescent="0.25">
      <c r="J148" s="48"/>
      <c r="K148" s="17"/>
      <c r="L148" s="49"/>
    </row>
    <row r="149" spans="10:12" ht="15" customHeight="1" x14ac:dyDescent="0.25">
      <c r="J149" s="48"/>
      <c r="K149" s="17"/>
      <c r="L149" s="49"/>
    </row>
    <row r="150" spans="10:12" ht="15" customHeight="1" x14ac:dyDescent="0.25">
      <c r="J150" s="48"/>
      <c r="K150" s="17"/>
      <c r="L150" s="49"/>
    </row>
    <row r="151" spans="10:12" ht="15" customHeight="1" x14ac:dyDescent="0.25">
      <c r="J151" s="48"/>
      <c r="K151" s="17"/>
      <c r="L151" s="49"/>
    </row>
    <row r="152" spans="10:12" ht="15" customHeight="1" x14ac:dyDescent="0.25">
      <c r="J152" s="48"/>
      <c r="K152" s="17"/>
      <c r="L152" s="49"/>
    </row>
    <row r="153" spans="10:12" ht="15" customHeight="1" x14ac:dyDescent="0.25">
      <c r="J153" s="48"/>
      <c r="K153" s="17"/>
      <c r="L153" s="49"/>
    </row>
    <row r="154" spans="10:12" ht="15" customHeight="1" x14ac:dyDescent="0.25">
      <c r="J154" s="48"/>
      <c r="K154" s="17"/>
      <c r="L154" s="49"/>
    </row>
    <row r="155" spans="10:12" ht="15" customHeight="1" x14ac:dyDescent="0.25">
      <c r="J155" s="48"/>
      <c r="K155" s="17"/>
      <c r="L155" s="49"/>
    </row>
    <row r="156" spans="10:12" ht="15" customHeight="1" x14ac:dyDescent="0.25">
      <c r="J156" s="48"/>
      <c r="K156" s="17"/>
      <c r="L156" s="49"/>
    </row>
    <row r="157" spans="10:12" ht="15" customHeight="1" x14ac:dyDescent="0.25">
      <c r="J157" s="48"/>
      <c r="K157" s="17"/>
      <c r="L157" s="49"/>
    </row>
    <row r="158" spans="10:12" ht="15" customHeight="1" x14ac:dyDescent="0.25">
      <c r="J158" s="48"/>
      <c r="K158" s="17"/>
      <c r="L158" s="49"/>
    </row>
    <row r="159" spans="10:12" ht="15" customHeight="1" x14ac:dyDescent="0.25">
      <c r="J159" s="48"/>
      <c r="K159" s="17"/>
      <c r="L159" s="49"/>
    </row>
    <row r="160" spans="10:12" ht="15" customHeight="1" x14ac:dyDescent="0.25">
      <c r="J160" s="48"/>
      <c r="K160" s="17"/>
      <c r="L160" s="49"/>
    </row>
    <row r="161" spans="10:12" ht="15" customHeight="1" x14ac:dyDescent="0.25">
      <c r="J161" s="48"/>
      <c r="K161" s="17"/>
      <c r="L161" s="49"/>
    </row>
    <row r="162" spans="10:12" ht="15" customHeight="1" x14ac:dyDescent="0.25">
      <c r="J162" s="48"/>
      <c r="K162" s="17"/>
      <c r="L162" s="49"/>
    </row>
    <row r="163" spans="10:12" ht="15" customHeight="1" x14ac:dyDescent="0.25">
      <c r="J163" s="48"/>
      <c r="K163" s="17"/>
      <c r="L163" s="49"/>
    </row>
    <row r="164" spans="10:12" ht="15" customHeight="1" x14ac:dyDescent="0.25">
      <c r="J164" s="48"/>
      <c r="K164" s="17"/>
      <c r="L164" s="49"/>
    </row>
    <row r="165" spans="10:12" ht="15" customHeight="1" x14ac:dyDescent="0.25">
      <c r="J165" s="48"/>
      <c r="K165" s="17"/>
      <c r="L165" s="49"/>
    </row>
    <row r="166" spans="10:12" ht="15" customHeight="1" x14ac:dyDescent="0.25">
      <c r="J166" s="48"/>
      <c r="K166" s="17"/>
      <c r="L166" s="49"/>
    </row>
    <row r="167" spans="10:12" ht="15" customHeight="1" x14ac:dyDescent="0.25">
      <c r="J167" s="48"/>
      <c r="K167" s="17"/>
      <c r="L167" s="49"/>
    </row>
    <row r="168" spans="10:12" ht="15" customHeight="1" x14ac:dyDescent="0.25">
      <c r="J168" s="48"/>
      <c r="K168" s="17"/>
      <c r="L168" s="49"/>
    </row>
    <row r="169" spans="10:12" ht="15" customHeight="1" x14ac:dyDescent="0.25">
      <c r="J169" s="48"/>
      <c r="K169" s="17"/>
      <c r="L169" s="49"/>
    </row>
    <row r="170" spans="10:12" ht="15" customHeight="1" x14ac:dyDescent="0.25">
      <c r="J170" s="48"/>
      <c r="K170" s="17"/>
      <c r="L170" s="49"/>
    </row>
    <row r="171" spans="10:12" ht="15" customHeight="1" x14ac:dyDescent="0.25">
      <c r="J171" s="48"/>
      <c r="K171" s="17"/>
      <c r="L171" s="49"/>
    </row>
    <row r="172" spans="10:12" ht="15" customHeight="1" x14ac:dyDescent="0.25">
      <c r="J172" s="48"/>
      <c r="K172" s="17"/>
      <c r="L172" s="49"/>
    </row>
    <row r="173" spans="10:12" ht="15" customHeight="1" x14ac:dyDescent="0.25">
      <c r="J173" s="48"/>
      <c r="K173" s="17"/>
      <c r="L173" s="49"/>
    </row>
    <row r="174" spans="10:12" ht="15" customHeight="1" x14ac:dyDescent="0.25">
      <c r="J174" s="48"/>
      <c r="K174" s="17"/>
      <c r="L174" s="49"/>
    </row>
    <row r="175" spans="10:12" ht="15" customHeight="1" x14ac:dyDescent="0.25">
      <c r="J175" s="48"/>
      <c r="K175" s="17"/>
      <c r="L175" s="49"/>
    </row>
    <row r="176" spans="10:12" ht="15" customHeight="1" x14ac:dyDescent="0.25">
      <c r="J176" s="48"/>
      <c r="K176" s="17"/>
      <c r="L176" s="49"/>
    </row>
    <row r="177" spans="10:12" ht="15" customHeight="1" x14ac:dyDescent="0.25">
      <c r="J177" s="48"/>
      <c r="K177" s="17"/>
      <c r="L177" s="49"/>
    </row>
    <row r="178" spans="10:12" ht="15" customHeight="1" x14ac:dyDescent="0.25">
      <c r="J178" s="48"/>
      <c r="K178" s="17"/>
      <c r="L178" s="49"/>
    </row>
    <row r="179" spans="10:12" ht="15" customHeight="1" x14ac:dyDescent="0.25">
      <c r="J179" s="48"/>
      <c r="K179" s="17"/>
      <c r="L179" s="49"/>
    </row>
    <row r="180" spans="10:12" ht="15" customHeight="1" x14ac:dyDescent="0.25">
      <c r="J180" s="48"/>
      <c r="K180" s="17"/>
      <c r="L180" s="49"/>
    </row>
    <row r="181" spans="10:12" ht="15" customHeight="1" x14ac:dyDescent="0.25">
      <c r="J181" s="48"/>
      <c r="K181" s="17"/>
      <c r="L181" s="49"/>
    </row>
    <row r="182" spans="10:12" ht="15" customHeight="1" x14ac:dyDescent="0.25">
      <c r="J182" s="48"/>
      <c r="K182" s="17"/>
      <c r="L182" s="49"/>
    </row>
    <row r="183" spans="10:12" ht="15" customHeight="1" x14ac:dyDescent="0.25">
      <c r="J183" s="48"/>
      <c r="K183" s="17"/>
      <c r="L183" s="49"/>
    </row>
    <row r="184" spans="10:12" ht="15" customHeight="1" x14ac:dyDescent="0.25">
      <c r="J184" s="48"/>
      <c r="K184" s="17"/>
      <c r="L184" s="49"/>
    </row>
    <row r="185" spans="10:12" ht="15" customHeight="1" x14ac:dyDescent="0.25">
      <c r="J185" s="48"/>
      <c r="K185" s="17"/>
      <c r="L185" s="49"/>
    </row>
    <row r="186" spans="10:12" ht="15" customHeight="1" x14ac:dyDescent="0.25">
      <c r="J186" s="48"/>
      <c r="K186" s="17"/>
      <c r="L186" s="49"/>
    </row>
    <row r="187" spans="10:12" ht="15" customHeight="1" x14ac:dyDescent="0.25">
      <c r="J187" s="48"/>
      <c r="K187" s="17"/>
      <c r="L187" s="49"/>
    </row>
    <row r="188" spans="10:12" ht="15" customHeight="1" x14ac:dyDescent="0.25">
      <c r="J188" s="48"/>
      <c r="K188" s="17"/>
      <c r="L188" s="49"/>
    </row>
    <row r="189" spans="10:12" ht="15" customHeight="1" x14ac:dyDescent="0.25">
      <c r="J189" s="48"/>
      <c r="K189" s="17"/>
      <c r="L189" s="49"/>
    </row>
    <row r="190" spans="10:12" ht="15" customHeight="1" x14ac:dyDescent="0.25">
      <c r="J190" s="48"/>
      <c r="K190" s="17"/>
      <c r="L190" s="49"/>
    </row>
    <row r="191" spans="10:12" ht="15" customHeight="1" x14ac:dyDescent="0.25">
      <c r="J191" s="48"/>
      <c r="K191" s="17"/>
      <c r="L191" s="49"/>
    </row>
    <row r="192" spans="10:12" ht="15" customHeight="1" x14ac:dyDescent="0.25">
      <c r="J192" s="48"/>
      <c r="K192" s="17"/>
      <c r="L192" s="49"/>
    </row>
    <row r="193" spans="10:12" ht="15" customHeight="1" x14ac:dyDescent="0.25">
      <c r="J193" s="48"/>
      <c r="K193" s="17"/>
      <c r="L193" s="49"/>
    </row>
    <row r="194" spans="10:12" ht="15" customHeight="1" x14ac:dyDescent="0.25">
      <c r="J194" s="48"/>
      <c r="K194" s="17"/>
      <c r="L194" s="49"/>
    </row>
    <row r="195" spans="10:12" ht="15" customHeight="1" x14ac:dyDescent="0.25">
      <c r="J195" s="48"/>
      <c r="K195" s="17"/>
      <c r="L195" s="49"/>
    </row>
    <row r="196" spans="10:12" ht="15" customHeight="1" x14ac:dyDescent="0.25">
      <c r="J196" s="48"/>
      <c r="K196" s="17"/>
      <c r="L196" s="49"/>
    </row>
    <row r="197" spans="10:12" ht="15" customHeight="1" x14ac:dyDescent="0.25">
      <c r="J197" s="48"/>
      <c r="K197" s="17"/>
      <c r="L197" s="49"/>
    </row>
    <row r="198" spans="10:12" ht="15" customHeight="1" x14ac:dyDescent="0.25">
      <c r="J198" s="48"/>
      <c r="K198" s="17"/>
      <c r="L198" s="49"/>
    </row>
    <row r="199" spans="10:12" ht="15" customHeight="1" x14ac:dyDescent="0.25">
      <c r="J199" s="48"/>
      <c r="K199" s="17"/>
      <c r="L199" s="49"/>
    </row>
    <row r="200" spans="10:12" ht="15" customHeight="1" x14ac:dyDescent="0.25">
      <c r="J200" s="48"/>
      <c r="K200" s="17"/>
      <c r="L200" s="49"/>
    </row>
    <row r="201" spans="10:12" ht="15" customHeight="1" x14ac:dyDescent="0.25">
      <c r="J201" s="48"/>
      <c r="K201" s="17"/>
      <c r="L201" s="49"/>
    </row>
    <row r="202" spans="10:12" ht="15" customHeight="1" x14ac:dyDescent="0.25">
      <c r="J202" s="48"/>
      <c r="K202" s="17"/>
      <c r="L202" s="49"/>
    </row>
    <row r="203" spans="10:12" ht="15" customHeight="1" x14ac:dyDescent="0.25">
      <c r="J203" s="48"/>
      <c r="K203" s="17"/>
      <c r="L203" s="49"/>
    </row>
    <row r="204" spans="10:12" ht="15" customHeight="1" x14ac:dyDescent="0.25">
      <c r="J204" s="48"/>
      <c r="K204" s="17"/>
      <c r="L204" s="49"/>
    </row>
    <row r="205" spans="10:12" ht="15" customHeight="1" x14ac:dyDescent="0.25">
      <c r="J205" s="48"/>
      <c r="K205" s="17"/>
      <c r="L205" s="49"/>
    </row>
    <row r="206" spans="10:12" ht="15" customHeight="1" x14ac:dyDescent="0.25">
      <c r="J206" s="48"/>
      <c r="K206" s="17"/>
      <c r="L206" s="49"/>
    </row>
    <row r="207" spans="10:12" ht="15" customHeight="1" x14ac:dyDescent="0.25">
      <c r="J207" s="48"/>
      <c r="K207" s="17"/>
      <c r="L207" s="49"/>
    </row>
    <row r="208" spans="10:12" ht="15" customHeight="1" x14ac:dyDescent="0.25">
      <c r="J208" s="48"/>
      <c r="K208" s="17"/>
      <c r="L208" s="49"/>
    </row>
    <row r="209" spans="10:12" ht="15" customHeight="1" x14ac:dyDescent="0.25">
      <c r="J209" s="48"/>
      <c r="K209" s="17"/>
      <c r="L209" s="49"/>
    </row>
    <row r="210" spans="10:12" ht="15" customHeight="1" x14ac:dyDescent="0.25">
      <c r="J210" s="48"/>
      <c r="K210" s="17"/>
      <c r="L210" s="49"/>
    </row>
    <row r="211" spans="10:12" ht="15" customHeight="1" x14ac:dyDescent="0.25">
      <c r="J211" s="48"/>
      <c r="K211" s="17"/>
      <c r="L211" s="49"/>
    </row>
    <row r="212" spans="10:12" ht="15" customHeight="1" x14ac:dyDescent="0.25">
      <c r="J212" s="48"/>
      <c r="K212" s="17"/>
      <c r="L212" s="49"/>
    </row>
    <row r="213" spans="10:12" ht="15" customHeight="1" x14ac:dyDescent="0.25">
      <c r="J213" s="48"/>
      <c r="K213" s="17"/>
      <c r="L213" s="49"/>
    </row>
    <row r="214" spans="10:12" ht="15" customHeight="1" x14ac:dyDescent="0.25">
      <c r="J214" s="48"/>
      <c r="K214" s="17"/>
      <c r="L214" s="49"/>
    </row>
    <row r="215" spans="10:12" ht="15" customHeight="1" x14ac:dyDescent="0.25">
      <c r="J215" s="48"/>
      <c r="K215" s="17"/>
      <c r="L215" s="49"/>
    </row>
    <row r="216" spans="10:12" ht="15" customHeight="1" x14ac:dyDescent="0.25">
      <c r="J216" s="48"/>
      <c r="K216" s="17"/>
      <c r="L216" s="49"/>
    </row>
    <row r="217" spans="10:12" ht="15" customHeight="1" x14ac:dyDescent="0.25">
      <c r="J217" s="48"/>
      <c r="K217" s="17"/>
      <c r="L217" s="49"/>
    </row>
    <row r="218" spans="10:12" ht="15" customHeight="1" x14ac:dyDescent="0.25">
      <c r="J218" s="48"/>
      <c r="K218" s="17"/>
      <c r="L218" s="49"/>
    </row>
    <row r="219" spans="10:12" ht="15" customHeight="1" x14ac:dyDescent="0.25">
      <c r="J219" s="48"/>
      <c r="K219" s="17"/>
      <c r="L219" s="49"/>
    </row>
    <row r="220" spans="10:12" ht="15" customHeight="1" x14ac:dyDescent="0.25">
      <c r="J220" s="48"/>
      <c r="K220" s="17"/>
      <c r="L220" s="49"/>
    </row>
    <row r="221" spans="10:12" ht="15" customHeight="1" x14ac:dyDescent="0.25">
      <c r="J221" s="48"/>
      <c r="K221" s="17"/>
      <c r="L221" s="49"/>
    </row>
    <row r="222" spans="10:12" ht="15" customHeight="1" x14ac:dyDescent="0.25">
      <c r="J222" s="48"/>
      <c r="K222" s="17"/>
      <c r="L222" s="49"/>
    </row>
    <row r="223" spans="10:12" ht="15" customHeight="1" x14ac:dyDescent="0.25">
      <c r="J223" s="48"/>
      <c r="K223" s="17"/>
      <c r="L223" s="49"/>
    </row>
    <row r="224" spans="10:12" ht="15" customHeight="1" x14ac:dyDescent="0.25">
      <c r="J224" s="48"/>
      <c r="K224" s="17"/>
      <c r="L224" s="49"/>
    </row>
    <row r="225" spans="10:12" ht="15" customHeight="1" x14ac:dyDescent="0.25">
      <c r="J225" s="48"/>
      <c r="K225" s="17"/>
      <c r="L225" s="49"/>
    </row>
    <row r="226" spans="10:12" ht="15" customHeight="1" x14ac:dyDescent="0.25">
      <c r="J226" s="48"/>
      <c r="K226" s="17"/>
      <c r="L226" s="49"/>
    </row>
    <row r="227" spans="10:12" ht="15" customHeight="1" x14ac:dyDescent="0.25">
      <c r="J227" s="48"/>
      <c r="K227" s="17"/>
      <c r="L227" s="49"/>
    </row>
    <row r="228" spans="10:12" ht="15" customHeight="1" x14ac:dyDescent="0.25">
      <c r="J228" s="48"/>
      <c r="K228" s="17"/>
      <c r="L228" s="49"/>
    </row>
    <row r="229" spans="10:12" ht="15" customHeight="1" x14ac:dyDescent="0.25">
      <c r="J229" s="48"/>
      <c r="K229" s="17"/>
      <c r="L229" s="49"/>
    </row>
    <row r="230" spans="10:12" ht="15" customHeight="1" x14ac:dyDescent="0.25">
      <c r="J230" s="48"/>
      <c r="K230" s="17"/>
      <c r="L230" s="49"/>
    </row>
    <row r="231" spans="10:12" ht="15" customHeight="1" x14ac:dyDescent="0.25">
      <c r="J231" s="48"/>
      <c r="K231" s="17"/>
      <c r="L231" s="49"/>
    </row>
    <row r="232" spans="10:12" ht="15" customHeight="1" x14ac:dyDescent="0.25">
      <c r="J232" s="48"/>
      <c r="K232" s="17"/>
      <c r="L232" s="49"/>
    </row>
    <row r="233" spans="10:12" ht="15" customHeight="1" x14ac:dyDescent="0.25">
      <c r="J233" s="48"/>
      <c r="K233" s="17"/>
      <c r="L233" s="49"/>
    </row>
    <row r="234" spans="10:12" ht="15" customHeight="1" x14ac:dyDescent="0.25">
      <c r="J234" s="48"/>
      <c r="K234" s="17"/>
      <c r="L234" s="49"/>
    </row>
    <row r="235" spans="10:12" ht="15" customHeight="1" x14ac:dyDescent="0.25">
      <c r="J235" s="48"/>
      <c r="K235" s="17"/>
      <c r="L235" s="49"/>
    </row>
    <row r="236" spans="10:12" ht="15" customHeight="1" x14ac:dyDescent="0.25">
      <c r="J236" s="48"/>
      <c r="K236" s="17"/>
      <c r="L236" s="49"/>
    </row>
    <row r="237" spans="10:12" ht="15" customHeight="1" x14ac:dyDescent="0.25">
      <c r="J237" s="48"/>
      <c r="K237" s="17"/>
      <c r="L237" s="49"/>
    </row>
    <row r="238" spans="10:12" ht="15" customHeight="1" x14ac:dyDescent="0.25">
      <c r="J238" s="48"/>
      <c r="K238" s="17"/>
      <c r="L238" s="49"/>
    </row>
    <row r="239" spans="10:12" ht="15" customHeight="1" x14ac:dyDescent="0.25">
      <c r="J239" s="48"/>
      <c r="K239" s="17"/>
      <c r="L239" s="49"/>
    </row>
    <row r="240" spans="10:12" ht="15" customHeight="1" x14ac:dyDescent="0.25">
      <c r="J240" s="48"/>
      <c r="K240" s="17"/>
      <c r="L240" s="49"/>
    </row>
    <row r="241" spans="10:12" ht="15" customHeight="1" x14ac:dyDescent="0.25">
      <c r="J241" s="48"/>
      <c r="K241" s="17"/>
      <c r="L241" s="49"/>
    </row>
    <row r="242" spans="10:12" ht="15" customHeight="1" x14ac:dyDescent="0.25">
      <c r="J242" s="48"/>
      <c r="K242" s="17"/>
      <c r="L242" s="49"/>
    </row>
    <row r="243" spans="10:12" ht="15" customHeight="1" x14ac:dyDescent="0.25">
      <c r="J243" s="48"/>
      <c r="K243" s="17"/>
      <c r="L243" s="49"/>
    </row>
    <row r="244" spans="10:12" ht="15" customHeight="1" x14ac:dyDescent="0.25">
      <c r="J244" s="48"/>
      <c r="K244" s="17"/>
      <c r="L244" s="49"/>
    </row>
    <row r="245" spans="10:12" ht="15" customHeight="1" x14ac:dyDescent="0.25">
      <c r="J245" s="48"/>
      <c r="K245" s="17"/>
      <c r="L245" s="49"/>
    </row>
    <row r="246" spans="10:12" ht="15" customHeight="1" x14ac:dyDescent="0.25">
      <c r="J246" s="48"/>
      <c r="K246" s="17"/>
      <c r="L246" s="49"/>
    </row>
    <row r="247" spans="10:12" ht="15" customHeight="1" x14ac:dyDescent="0.25">
      <c r="J247" s="48"/>
      <c r="K247" s="17"/>
      <c r="L247" s="49"/>
    </row>
    <row r="248" spans="10:12" ht="15" customHeight="1" x14ac:dyDescent="0.25">
      <c r="J248" s="48"/>
      <c r="K248" s="17"/>
      <c r="L248" s="49"/>
    </row>
    <row r="249" spans="10:12" ht="15" customHeight="1" x14ac:dyDescent="0.25">
      <c r="J249" s="48"/>
      <c r="K249" s="17"/>
      <c r="L249" s="49"/>
    </row>
    <row r="250" spans="10:12" ht="15" customHeight="1" x14ac:dyDescent="0.25">
      <c r="J250" s="48"/>
      <c r="K250" s="17"/>
      <c r="L250" s="49"/>
    </row>
    <row r="251" spans="10:12" ht="15" customHeight="1" x14ac:dyDescent="0.25">
      <c r="J251" s="48"/>
      <c r="K251" s="17"/>
      <c r="L251" s="49"/>
    </row>
    <row r="252" spans="10:12" ht="15" customHeight="1" x14ac:dyDescent="0.25">
      <c r="J252" s="48"/>
      <c r="K252" s="17"/>
      <c r="L252" s="49"/>
    </row>
    <row r="253" spans="10:12" ht="15" customHeight="1" x14ac:dyDescent="0.25">
      <c r="J253" s="48"/>
      <c r="K253" s="17"/>
      <c r="L253" s="49"/>
    </row>
    <row r="254" spans="10:12" ht="15" customHeight="1" x14ac:dyDescent="0.25">
      <c r="J254" s="48"/>
      <c r="K254" s="17"/>
      <c r="L254" s="49"/>
    </row>
    <row r="255" spans="10:12" ht="15" customHeight="1" x14ac:dyDescent="0.25">
      <c r="J255" s="48"/>
      <c r="K255" s="17"/>
      <c r="L255" s="49"/>
    </row>
    <row r="256" spans="10:12" ht="15" customHeight="1" x14ac:dyDescent="0.25">
      <c r="J256" s="48"/>
      <c r="K256" s="17"/>
      <c r="L256" s="49"/>
    </row>
    <row r="257" spans="10:12" ht="15" customHeight="1" x14ac:dyDescent="0.25">
      <c r="J257" s="48"/>
      <c r="K257" s="17"/>
      <c r="L257" s="49"/>
    </row>
    <row r="258" spans="10:12" ht="15" customHeight="1" x14ac:dyDescent="0.25">
      <c r="J258" s="48"/>
      <c r="K258" s="17"/>
      <c r="L258" s="49"/>
    </row>
    <row r="259" spans="10:12" ht="15" customHeight="1" x14ac:dyDescent="0.25">
      <c r="J259" s="48"/>
      <c r="K259" s="17"/>
      <c r="L259" s="49"/>
    </row>
    <row r="260" spans="10:12" ht="15" customHeight="1" x14ac:dyDescent="0.25">
      <c r="J260" s="48"/>
      <c r="K260" s="17"/>
      <c r="L260" s="49"/>
    </row>
    <row r="261" spans="10:12" ht="15" customHeight="1" x14ac:dyDescent="0.25">
      <c r="J261" s="48"/>
      <c r="K261" s="17"/>
      <c r="L261" s="49"/>
    </row>
    <row r="262" spans="10:12" ht="15" customHeight="1" x14ac:dyDescent="0.25">
      <c r="J262" s="48"/>
      <c r="K262" s="17"/>
      <c r="L262" s="49"/>
    </row>
    <row r="263" spans="10:12" ht="15" customHeight="1" x14ac:dyDescent="0.25">
      <c r="J263" s="48"/>
      <c r="K263" s="17"/>
      <c r="L263" s="49"/>
    </row>
    <row r="264" spans="10:12" ht="15" customHeight="1" x14ac:dyDescent="0.25">
      <c r="J264" s="48"/>
      <c r="K264" s="17"/>
      <c r="L264" s="49"/>
    </row>
    <row r="265" spans="10:12" ht="15" customHeight="1" x14ac:dyDescent="0.25">
      <c r="J265" s="48"/>
      <c r="K265" s="17"/>
      <c r="L265" s="49"/>
    </row>
    <row r="266" spans="10:12" ht="15" customHeight="1" x14ac:dyDescent="0.25">
      <c r="J266" s="48"/>
      <c r="K266" s="17"/>
      <c r="L266" s="49"/>
    </row>
    <row r="267" spans="10:12" ht="15" customHeight="1" x14ac:dyDescent="0.25">
      <c r="J267" s="48"/>
      <c r="K267" s="17"/>
      <c r="L267" s="49"/>
    </row>
    <row r="268" spans="10:12" ht="15" customHeight="1" x14ac:dyDescent="0.25">
      <c r="J268" s="48"/>
      <c r="K268" s="17"/>
      <c r="L268" s="49"/>
    </row>
    <row r="269" spans="10:12" ht="15" customHeight="1" x14ac:dyDescent="0.25">
      <c r="J269" s="48"/>
      <c r="K269" s="17"/>
      <c r="L269" s="49"/>
    </row>
    <row r="270" spans="10:12" ht="15" customHeight="1" x14ac:dyDescent="0.25">
      <c r="J270" s="48"/>
      <c r="K270" s="17"/>
      <c r="L270" s="49"/>
    </row>
    <row r="271" spans="10:12" ht="15" customHeight="1" x14ac:dyDescent="0.25">
      <c r="J271" s="48"/>
      <c r="K271" s="17"/>
      <c r="L271" s="49"/>
    </row>
    <row r="272" spans="10:12" ht="15" customHeight="1" x14ac:dyDescent="0.25">
      <c r="J272" s="48"/>
      <c r="K272" s="17"/>
      <c r="L272" s="49"/>
    </row>
    <row r="273" spans="10:12" ht="15" customHeight="1" x14ac:dyDescent="0.25">
      <c r="J273" s="48"/>
      <c r="K273" s="17"/>
      <c r="L273" s="49"/>
    </row>
    <row r="274" spans="10:12" ht="15" customHeight="1" x14ac:dyDescent="0.25">
      <c r="J274" s="48"/>
      <c r="K274" s="17"/>
      <c r="L274" s="49"/>
    </row>
    <row r="275" spans="10:12" ht="15" customHeight="1" x14ac:dyDescent="0.25">
      <c r="J275" s="48"/>
      <c r="K275" s="17"/>
      <c r="L275" s="49"/>
    </row>
    <row r="276" spans="10:12" ht="15" customHeight="1" x14ac:dyDescent="0.25">
      <c r="J276" s="48"/>
      <c r="K276" s="17"/>
      <c r="L276" s="49"/>
    </row>
    <row r="277" spans="10:12" ht="15" customHeight="1" x14ac:dyDescent="0.25">
      <c r="J277" s="48"/>
      <c r="K277" s="17"/>
      <c r="L277" s="49"/>
    </row>
    <row r="278" spans="10:12" ht="15" customHeight="1" x14ac:dyDescent="0.25">
      <c r="J278" s="48"/>
      <c r="K278" s="17"/>
      <c r="L278" s="49"/>
    </row>
    <row r="279" spans="10:12" ht="15" customHeight="1" x14ac:dyDescent="0.25">
      <c r="J279" s="48"/>
      <c r="K279" s="17"/>
      <c r="L279" s="49"/>
    </row>
    <row r="280" spans="10:12" ht="15" customHeight="1" x14ac:dyDescent="0.25">
      <c r="J280" s="48"/>
      <c r="K280" s="17"/>
      <c r="L280" s="49"/>
    </row>
    <row r="281" spans="10:12" ht="15" customHeight="1" x14ac:dyDescent="0.25">
      <c r="J281" s="48"/>
      <c r="K281" s="17"/>
      <c r="L281" s="49"/>
    </row>
    <row r="282" spans="10:12" ht="15" customHeight="1" x14ac:dyDescent="0.25">
      <c r="J282" s="48"/>
      <c r="K282" s="17"/>
      <c r="L282" s="49"/>
    </row>
    <row r="283" spans="10:12" ht="15" customHeight="1" x14ac:dyDescent="0.25">
      <c r="J283" s="48"/>
      <c r="K283" s="17"/>
      <c r="L283" s="49"/>
    </row>
    <row r="284" spans="10:12" ht="15" customHeight="1" x14ac:dyDescent="0.25">
      <c r="J284" s="48"/>
      <c r="K284" s="17"/>
      <c r="L284" s="49"/>
    </row>
    <row r="285" spans="10:12" ht="15" customHeight="1" x14ac:dyDescent="0.25">
      <c r="J285" s="48"/>
      <c r="K285" s="17"/>
      <c r="L285" s="49"/>
    </row>
    <row r="286" spans="10:12" ht="15" customHeight="1" x14ac:dyDescent="0.25">
      <c r="J286" s="48"/>
      <c r="K286" s="17"/>
      <c r="L286" s="49"/>
    </row>
    <row r="287" spans="10:12" ht="15" customHeight="1" x14ac:dyDescent="0.25">
      <c r="J287" s="48"/>
      <c r="K287" s="17"/>
      <c r="L287" s="49"/>
    </row>
    <row r="288" spans="10:12" ht="15" customHeight="1" x14ac:dyDescent="0.25">
      <c r="J288" s="48"/>
      <c r="K288" s="17"/>
      <c r="L288" s="49"/>
    </row>
    <row r="289" spans="10:12" ht="15" customHeight="1" x14ac:dyDescent="0.25">
      <c r="J289" s="48"/>
      <c r="K289" s="17"/>
      <c r="L289" s="49"/>
    </row>
    <row r="290" spans="10:12" ht="15" customHeight="1" x14ac:dyDescent="0.25">
      <c r="J290" s="48"/>
      <c r="K290" s="17"/>
      <c r="L290" s="49"/>
    </row>
    <row r="291" spans="10:12" ht="15" customHeight="1" x14ac:dyDescent="0.25">
      <c r="J291" s="48"/>
      <c r="K291" s="17"/>
      <c r="L291" s="49"/>
    </row>
    <row r="292" spans="10:12" ht="15" customHeight="1" x14ac:dyDescent="0.25">
      <c r="J292" s="48"/>
      <c r="K292" s="17"/>
      <c r="L292" s="49"/>
    </row>
    <row r="293" spans="10:12" ht="15" customHeight="1" x14ac:dyDescent="0.25">
      <c r="J293" s="48"/>
      <c r="K293" s="17"/>
      <c r="L293" s="49"/>
    </row>
    <row r="294" spans="10:12" ht="15" customHeight="1" x14ac:dyDescent="0.25">
      <c r="J294" s="48"/>
      <c r="K294" s="17"/>
      <c r="L294" s="49"/>
    </row>
    <row r="295" spans="10:12" ht="15" customHeight="1" x14ac:dyDescent="0.25">
      <c r="J295" s="48"/>
      <c r="K295" s="17"/>
      <c r="L295" s="49"/>
    </row>
    <row r="296" spans="10:12" ht="15" customHeight="1" x14ac:dyDescent="0.25">
      <c r="J296" s="48"/>
      <c r="K296" s="17"/>
      <c r="L296" s="49"/>
    </row>
    <row r="297" spans="10:12" ht="15" customHeight="1" x14ac:dyDescent="0.25">
      <c r="J297" s="48"/>
      <c r="K297" s="17"/>
      <c r="L297" s="49"/>
    </row>
    <row r="298" spans="10:12" ht="15" customHeight="1" x14ac:dyDescent="0.25">
      <c r="J298" s="48"/>
      <c r="K298" s="17"/>
      <c r="L298" s="49"/>
    </row>
    <row r="299" spans="10:12" ht="15" customHeight="1" x14ac:dyDescent="0.25">
      <c r="J299" s="48"/>
      <c r="K299" s="17"/>
      <c r="L299" s="49"/>
    </row>
    <row r="300" spans="10:12" ht="15" customHeight="1" x14ac:dyDescent="0.25">
      <c r="J300" s="48"/>
      <c r="K300" s="17"/>
      <c r="L300" s="49"/>
    </row>
    <row r="301" spans="10:12" ht="15" customHeight="1" x14ac:dyDescent="0.25">
      <c r="J301" s="48"/>
      <c r="K301" s="17"/>
      <c r="L301" s="49"/>
    </row>
    <row r="302" spans="10:12" ht="15" customHeight="1" x14ac:dyDescent="0.25">
      <c r="J302" s="48"/>
      <c r="K302" s="17"/>
      <c r="L302" s="49"/>
    </row>
    <row r="303" spans="10:12" ht="15" customHeight="1" x14ac:dyDescent="0.25">
      <c r="J303" s="48"/>
      <c r="K303" s="17"/>
      <c r="L303" s="49"/>
    </row>
    <row r="304" spans="10:12" ht="15" customHeight="1" x14ac:dyDescent="0.25">
      <c r="J304" s="48"/>
      <c r="K304" s="17"/>
      <c r="L304" s="49"/>
    </row>
    <row r="305" spans="10:12" ht="15" customHeight="1" x14ac:dyDescent="0.25">
      <c r="J305" s="48"/>
      <c r="K305" s="17"/>
      <c r="L305" s="49"/>
    </row>
    <row r="306" spans="10:12" ht="15" customHeight="1" x14ac:dyDescent="0.25">
      <c r="J306" s="48"/>
      <c r="K306" s="17"/>
      <c r="L306" s="49"/>
    </row>
    <row r="307" spans="10:12" ht="15" customHeight="1" x14ac:dyDescent="0.25">
      <c r="J307" s="48"/>
      <c r="K307" s="17"/>
      <c r="L307" s="49"/>
    </row>
    <row r="308" spans="10:12" ht="15" customHeight="1" x14ac:dyDescent="0.25">
      <c r="J308" s="48"/>
      <c r="K308" s="17"/>
      <c r="L308" s="49"/>
    </row>
    <row r="309" spans="10:12" ht="15" customHeight="1" x14ac:dyDescent="0.25">
      <c r="J309" s="48"/>
      <c r="K309" s="17"/>
      <c r="L309" s="49"/>
    </row>
    <row r="310" spans="10:12" ht="15" customHeight="1" x14ac:dyDescent="0.25">
      <c r="J310" s="48"/>
      <c r="K310" s="17"/>
      <c r="L310" s="49"/>
    </row>
    <row r="311" spans="10:12" ht="15" customHeight="1" x14ac:dyDescent="0.25">
      <c r="J311" s="48"/>
      <c r="K311" s="17"/>
      <c r="L311" s="49"/>
    </row>
    <row r="312" spans="10:12" ht="15" customHeight="1" x14ac:dyDescent="0.25">
      <c r="J312" s="48"/>
      <c r="K312" s="17"/>
      <c r="L312" s="49"/>
    </row>
    <row r="313" spans="10:12" ht="15" customHeight="1" x14ac:dyDescent="0.25">
      <c r="J313" s="48"/>
      <c r="K313" s="17"/>
      <c r="L313" s="49"/>
    </row>
    <row r="314" spans="10:12" ht="15" customHeight="1" x14ac:dyDescent="0.25">
      <c r="J314" s="48"/>
      <c r="K314" s="17"/>
      <c r="L314" s="49"/>
    </row>
    <row r="315" spans="10:12" ht="15" customHeight="1" x14ac:dyDescent="0.25">
      <c r="J315" s="48"/>
      <c r="K315" s="17"/>
      <c r="L315" s="49"/>
    </row>
    <row r="316" spans="10:12" ht="15" customHeight="1" x14ac:dyDescent="0.25">
      <c r="J316" s="48"/>
      <c r="K316" s="17"/>
      <c r="L316" s="49"/>
    </row>
    <row r="317" spans="10:12" ht="15" customHeight="1" x14ac:dyDescent="0.25">
      <c r="J317" s="48"/>
      <c r="K317" s="17"/>
      <c r="L317" s="49"/>
    </row>
    <row r="318" spans="10:12" ht="15" customHeight="1" x14ac:dyDescent="0.25">
      <c r="J318" s="48"/>
      <c r="K318" s="17"/>
      <c r="L318" s="49"/>
    </row>
    <row r="319" spans="10:12" ht="15" customHeight="1" x14ac:dyDescent="0.25">
      <c r="J319" s="48"/>
      <c r="K319" s="17"/>
      <c r="L319" s="49"/>
    </row>
    <row r="320" spans="10:12" ht="15" customHeight="1" x14ac:dyDescent="0.25">
      <c r="J320" s="16"/>
      <c r="K320" s="17"/>
      <c r="L320" s="49"/>
    </row>
    <row r="321" spans="10:12" ht="15" customHeight="1" x14ac:dyDescent="0.25">
      <c r="J321" s="16"/>
      <c r="K321" s="17"/>
      <c r="L321" s="49"/>
    </row>
    <row r="322" spans="10:12" ht="15" customHeight="1" x14ac:dyDescent="0.25">
      <c r="J322" s="16"/>
      <c r="K322" s="17"/>
      <c r="L322" s="49"/>
    </row>
    <row r="323" spans="10:12" ht="15" customHeight="1" x14ac:dyDescent="0.25">
      <c r="J323" s="16"/>
      <c r="K323" s="17"/>
      <c r="L323" s="49"/>
    </row>
    <row r="324" spans="10:12" ht="15" customHeight="1" x14ac:dyDescent="0.25">
      <c r="J324" s="16"/>
      <c r="K324" s="17"/>
      <c r="L324" s="49"/>
    </row>
    <row r="325" spans="10:12" ht="15" customHeight="1" x14ac:dyDescent="0.25">
      <c r="J325" s="16"/>
      <c r="K325" s="17"/>
      <c r="L325" s="49"/>
    </row>
    <row r="326" spans="10:12" ht="15" customHeight="1" x14ac:dyDescent="0.25">
      <c r="J326" s="16"/>
      <c r="K326" s="17"/>
      <c r="L326" s="49"/>
    </row>
    <row r="327" spans="10:12" ht="15" customHeight="1" x14ac:dyDescent="0.25">
      <c r="J327" s="16"/>
      <c r="K327" s="17"/>
      <c r="L327" s="49"/>
    </row>
    <row r="328" spans="10:12" ht="15" customHeight="1" x14ac:dyDescent="0.25">
      <c r="J328" s="16"/>
      <c r="K328" s="17"/>
      <c r="L328" s="49"/>
    </row>
    <row r="329" spans="10:12" ht="15" customHeight="1" x14ac:dyDescent="0.25">
      <c r="J329" s="16"/>
      <c r="K329" s="17"/>
      <c r="L329" s="49"/>
    </row>
    <row r="330" spans="10:12" ht="15" customHeight="1" x14ac:dyDescent="0.25">
      <c r="J330" s="16"/>
      <c r="K330" s="17"/>
      <c r="L330" s="49"/>
    </row>
    <row r="331" spans="10:12" ht="15" customHeight="1" x14ac:dyDescent="0.25">
      <c r="J331" s="16"/>
      <c r="K331" s="17"/>
      <c r="L331" s="49"/>
    </row>
    <row r="332" spans="10:12" ht="15" customHeight="1" x14ac:dyDescent="0.25">
      <c r="J332" s="16"/>
      <c r="K332" s="17"/>
      <c r="L332" s="49"/>
    </row>
    <row r="333" spans="10:12" ht="15" customHeight="1" x14ac:dyDescent="0.25">
      <c r="J333" s="16"/>
      <c r="K333" s="17"/>
      <c r="L333" s="49"/>
    </row>
    <row r="334" spans="10:12" ht="15" customHeight="1" x14ac:dyDescent="0.25">
      <c r="J334" s="16"/>
      <c r="K334" s="17"/>
      <c r="L334" s="49"/>
    </row>
    <row r="335" spans="10:12" ht="15" customHeight="1" x14ac:dyDescent="0.25">
      <c r="J335" s="16"/>
      <c r="K335" s="17"/>
      <c r="L335" s="49"/>
    </row>
    <row r="336" spans="10:12" ht="15" customHeight="1" x14ac:dyDescent="0.25">
      <c r="J336" s="16"/>
      <c r="K336" s="17"/>
      <c r="L336" s="49"/>
    </row>
    <row r="337" spans="10:12" ht="15" customHeight="1" x14ac:dyDescent="0.25">
      <c r="J337" s="16"/>
      <c r="K337" s="17"/>
      <c r="L337" s="49"/>
    </row>
    <row r="338" spans="10:12" ht="15" customHeight="1" x14ac:dyDescent="0.25">
      <c r="J338" s="16"/>
      <c r="K338" s="17"/>
      <c r="L338" s="49"/>
    </row>
    <row r="339" spans="10:12" ht="15" customHeight="1" x14ac:dyDescent="0.25">
      <c r="J339" s="16"/>
      <c r="K339" s="17"/>
      <c r="L339" s="49"/>
    </row>
    <row r="340" spans="10:12" ht="15" customHeight="1" x14ac:dyDescent="0.25">
      <c r="J340" s="16"/>
      <c r="K340" s="17"/>
      <c r="L340" s="49"/>
    </row>
    <row r="341" spans="10:12" ht="15" customHeight="1" x14ac:dyDescent="0.25">
      <c r="J341" s="16"/>
      <c r="K341" s="17"/>
      <c r="L341" s="49"/>
    </row>
    <row r="342" spans="10:12" ht="15" customHeight="1" x14ac:dyDescent="0.25">
      <c r="J342" s="16"/>
      <c r="K342" s="17"/>
      <c r="L342" s="49"/>
    </row>
    <row r="343" spans="10:12" ht="15" customHeight="1" x14ac:dyDescent="0.25">
      <c r="J343" s="16"/>
      <c r="K343" s="17"/>
      <c r="L343" s="49"/>
    </row>
    <row r="344" spans="10:12" ht="15" customHeight="1" x14ac:dyDescent="0.25">
      <c r="J344" s="16"/>
      <c r="K344" s="17"/>
      <c r="L344" s="49"/>
    </row>
    <row r="345" spans="10:12" ht="15" customHeight="1" x14ac:dyDescent="0.25">
      <c r="J345" s="16"/>
      <c r="K345" s="17"/>
      <c r="L345" s="49"/>
    </row>
    <row r="346" spans="10:12" ht="15" customHeight="1" x14ac:dyDescent="0.25">
      <c r="J346" s="16"/>
      <c r="K346" s="17"/>
      <c r="L346" s="49"/>
    </row>
    <row r="347" spans="10:12" ht="15" customHeight="1" x14ac:dyDescent="0.25">
      <c r="J347" s="16"/>
      <c r="K347" s="17"/>
      <c r="L347" s="49"/>
    </row>
    <row r="348" spans="10:12" ht="15" customHeight="1" x14ac:dyDescent="0.25">
      <c r="J348" s="16"/>
      <c r="K348" s="17"/>
      <c r="L348" s="49"/>
    </row>
    <row r="349" spans="10:12" ht="15" customHeight="1" x14ac:dyDescent="0.25">
      <c r="J349" s="16"/>
      <c r="K349" s="17"/>
      <c r="L349" s="49"/>
    </row>
    <row r="350" spans="10:12" ht="15" customHeight="1" x14ac:dyDescent="0.25">
      <c r="J350" s="16"/>
      <c r="K350" s="17"/>
      <c r="L350" s="49"/>
    </row>
    <row r="351" spans="10:12" ht="15" customHeight="1" x14ac:dyDescent="0.25">
      <c r="J351" s="16"/>
      <c r="K351" s="17"/>
      <c r="L351" s="49"/>
    </row>
    <row r="352" spans="10:12" ht="15" customHeight="1" x14ac:dyDescent="0.25">
      <c r="J352" s="16"/>
      <c r="K352" s="17"/>
      <c r="L352" s="49"/>
    </row>
    <row r="353" spans="10:12" ht="15" customHeight="1" x14ac:dyDescent="0.25">
      <c r="J353" s="16"/>
      <c r="K353" s="17"/>
      <c r="L353" s="49"/>
    </row>
    <row r="354" spans="10:12" ht="15" customHeight="1" x14ac:dyDescent="0.25">
      <c r="J354" s="16"/>
      <c r="K354" s="17"/>
      <c r="L354" s="49"/>
    </row>
    <row r="355" spans="10:12" ht="15" customHeight="1" x14ac:dyDescent="0.25">
      <c r="J355" s="16"/>
      <c r="K355" s="17"/>
      <c r="L355" s="49"/>
    </row>
    <row r="356" spans="10:12" ht="15" customHeight="1" x14ac:dyDescent="0.25">
      <c r="J356" s="16"/>
      <c r="K356" s="17"/>
      <c r="L356" s="49"/>
    </row>
    <row r="357" spans="10:12" ht="15" customHeight="1" x14ac:dyDescent="0.25">
      <c r="J357" s="16"/>
    </row>
  </sheetData>
  <autoFilter ref="A5:U74" xr:uid="{00000000-0009-0000-0000-000005000000}">
    <filterColumn colId="11" showButton="0"/>
  </autoFilter>
  <mergeCells count="21">
    <mergeCell ref="O4:P5"/>
    <mergeCell ref="G2:I3"/>
    <mergeCell ref="J2:L3"/>
    <mergeCell ref="M2:N3"/>
    <mergeCell ref="G4:G5"/>
    <mergeCell ref="O1:P1"/>
    <mergeCell ref="A1:N1"/>
    <mergeCell ref="L4:M5"/>
    <mergeCell ref="F4:F5"/>
    <mergeCell ref="I4:I5"/>
    <mergeCell ref="N4:N5"/>
    <mergeCell ref="D4:D5"/>
    <mergeCell ref="H4:H5"/>
    <mergeCell ref="K4:K5"/>
    <mergeCell ref="J4:J5"/>
    <mergeCell ref="C4:C5"/>
    <mergeCell ref="B4:B5"/>
    <mergeCell ref="E4:E5"/>
    <mergeCell ref="A4:A5"/>
    <mergeCell ref="A2:F3"/>
    <mergeCell ref="O2:P3"/>
  </mergeCells>
  <conditionalFormatting sqref="D29:E30 G48 C48:E48 A48 K16:M21 G52:G56 A52:A64 C52:C56 I74:I77 G26:I46 C31:E46 D47:E47 H47:I56 H58:I73 C58:C77 G58:G64 A8:A46 G8:G25 C8:E29">
    <cfRule type="expression" dxfId="17316" priority="608">
      <formula>AND($A8&lt;&gt;"",MOD(ROW(),2))</formula>
    </cfRule>
  </conditionalFormatting>
  <conditionalFormatting sqref="K16:K21 D8:D48">
    <cfRule type="cellIs" dxfId="17315" priority="605" operator="equal">
      <formula>$C8</formula>
    </cfRule>
    <cfRule type="cellIs" dxfId="17314" priority="606" operator="greaterThan">
      <formula>$C8</formula>
    </cfRule>
    <cfRule type="cellIs" dxfId="17313" priority="607" operator="lessThan">
      <formula>$C8</formula>
    </cfRule>
  </conditionalFormatting>
  <conditionalFormatting sqref="K24:M29">
    <cfRule type="expression" dxfId="17312" priority="509">
      <formula>AND($A26&lt;&gt;"",MOD(ROW(),2))</formula>
    </cfRule>
  </conditionalFormatting>
  <conditionalFormatting sqref="K60:L85 K31:M59">
    <cfRule type="expression" dxfId="17311" priority="503">
      <formula>AND($A35&lt;&gt;"",MOD(ROW(),2))</formula>
    </cfRule>
  </conditionalFormatting>
  <conditionalFormatting sqref="K24:K29">
    <cfRule type="cellIs" dxfId="17310" priority="500" operator="equal">
      <formula>$C26</formula>
    </cfRule>
    <cfRule type="cellIs" dxfId="17309" priority="501" operator="greaterThan">
      <formula>$C26</formula>
    </cfRule>
    <cfRule type="cellIs" dxfId="17308" priority="502" operator="lessThan">
      <formula>$C26</formula>
    </cfRule>
  </conditionalFormatting>
  <conditionalFormatting sqref="K86:L111">
    <cfRule type="expression" dxfId="17307" priority="497">
      <formula>AND($A90&lt;&gt;"",MOD(ROW(),2))</formula>
    </cfRule>
  </conditionalFormatting>
  <conditionalFormatting sqref="K29:K31">
    <cfRule type="cellIs" dxfId="17306" priority="494" operator="equal">
      <formula>$C32</formula>
    </cfRule>
    <cfRule type="cellIs" dxfId="17305" priority="495" operator="greaterThan">
      <formula>$C32</formula>
    </cfRule>
    <cfRule type="cellIs" dxfId="17304" priority="496" operator="lessThan">
      <formula>$C32</formula>
    </cfRule>
  </conditionalFormatting>
  <conditionalFormatting sqref="K112:L137">
    <cfRule type="expression" dxfId="17303" priority="491">
      <formula>AND($A116&lt;&gt;"",MOD(ROW(),2))</formula>
    </cfRule>
  </conditionalFormatting>
  <conditionalFormatting sqref="K31:K137">
    <cfRule type="cellIs" dxfId="17302" priority="488" operator="equal">
      <formula>$C35</formula>
    </cfRule>
    <cfRule type="cellIs" dxfId="17301" priority="489" operator="greaterThan">
      <formula>$C35</formula>
    </cfRule>
    <cfRule type="cellIs" dxfId="17300" priority="490" operator="lessThan">
      <formula>$C35</formula>
    </cfRule>
  </conditionalFormatting>
  <conditionalFormatting sqref="K138:L163">
    <cfRule type="expression" dxfId="17299" priority="485">
      <formula>AND($A142&lt;&gt;"",MOD(ROW(),2))</formula>
    </cfRule>
  </conditionalFormatting>
  <conditionalFormatting sqref="K138:K163">
    <cfRule type="cellIs" dxfId="17298" priority="482" operator="equal">
      <formula>$C142</formula>
    </cfRule>
    <cfRule type="cellIs" dxfId="17297" priority="483" operator="greaterThan">
      <formula>$C142</formula>
    </cfRule>
    <cfRule type="cellIs" dxfId="17296" priority="484" operator="lessThan">
      <formula>$C142</formula>
    </cfRule>
  </conditionalFormatting>
  <conditionalFormatting sqref="K164:L189">
    <cfRule type="expression" dxfId="17295" priority="479">
      <formula>AND($A168&lt;&gt;"",MOD(ROW(),2))</formula>
    </cfRule>
  </conditionalFormatting>
  <conditionalFormatting sqref="K164:K189">
    <cfRule type="cellIs" dxfId="17294" priority="476" operator="equal">
      <formula>$C168</formula>
    </cfRule>
    <cfRule type="cellIs" dxfId="17293" priority="477" operator="greaterThan">
      <formula>$C168</formula>
    </cfRule>
    <cfRule type="cellIs" dxfId="17292" priority="478" operator="lessThan">
      <formula>$C168</formula>
    </cfRule>
  </conditionalFormatting>
  <conditionalFormatting sqref="K190:L215">
    <cfRule type="expression" dxfId="17291" priority="473">
      <formula>AND($A194&lt;&gt;"",MOD(ROW(),2))</formula>
    </cfRule>
  </conditionalFormatting>
  <conditionalFormatting sqref="K190:K215">
    <cfRule type="cellIs" dxfId="17290" priority="470" operator="equal">
      <formula>$C194</formula>
    </cfRule>
    <cfRule type="cellIs" dxfId="17289" priority="471" operator="greaterThan">
      <formula>$C194</formula>
    </cfRule>
    <cfRule type="cellIs" dxfId="17288" priority="472" operator="lessThan">
      <formula>$C194</formula>
    </cfRule>
  </conditionalFormatting>
  <conditionalFormatting sqref="K216:L241">
    <cfRule type="expression" dxfId="17287" priority="467">
      <formula>AND($A220&lt;&gt;"",MOD(ROW(),2))</formula>
    </cfRule>
  </conditionalFormatting>
  <conditionalFormatting sqref="K216:K241">
    <cfRule type="cellIs" dxfId="17286" priority="464" operator="equal">
      <formula>$C220</formula>
    </cfRule>
    <cfRule type="cellIs" dxfId="17285" priority="465" operator="greaterThan">
      <formula>$C220</formula>
    </cfRule>
    <cfRule type="cellIs" dxfId="17284" priority="466" operator="lessThan">
      <formula>$C220</formula>
    </cfRule>
  </conditionalFormatting>
  <conditionalFormatting sqref="K242:L267">
    <cfRule type="expression" dxfId="17283" priority="461">
      <formula>AND($A246&lt;&gt;"",MOD(ROW(),2))</formula>
    </cfRule>
  </conditionalFormatting>
  <conditionalFormatting sqref="K242:K267">
    <cfRule type="cellIs" dxfId="17282" priority="458" operator="equal">
      <formula>$C246</formula>
    </cfRule>
    <cfRule type="cellIs" dxfId="17281" priority="459" operator="greaterThan">
      <formula>$C246</formula>
    </cfRule>
    <cfRule type="cellIs" dxfId="17280" priority="460" operator="lessThan">
      <formula>$C246</formula>
    </cfRule>
  </conditionalFormatting>
  <conditionalFormatting sqref="K268:L293">
    <cfRule type="expression" dxfId="17279" priority="455">
      <formula>AND($A272&lt;&gt;"",MOD(ROW(),2))</formula>
    </cfRule>
  </conditionalFormatting>
  <conditionalFormatting sqref="K268:K293">
    <cfRule type="cellIs" dxfId="17278" priority="452" operator="equal">
      <formula>$C272</formula>
    </cfRule>
    <cfRule type="cellIs" dxfId="17277" priority="453" operator="greaterThan">
      <formula>$C272</formula>
    </cfRule>
    <cfRule type="cellIs" dxfId="17276" priority="454" operator="lessThan">
      <formula>$C272</formula>
    </cfRule>
  </conditionalFormatting>
  <conditionalFormatting sqref="K294:L322">
    <cfRule type="expression" dxfId="17275" priority="449">
      <formula>AND($A298&lt;&gt;"",MOD(ROW(),2))</formula>
    </cfRule>
  </conditionalFormatting>
  <conditionalFormatting sqref="K294:K322">
    <cfRule type="cellIs" dxfId="17274" priority="446" operator="equal">
      <formula>$C298</formula>
    </cfRule>
    <cfRule type="cellIs" dxfId="17273" priority="447" operator="greaterThan">
      <formula>$C298</formula>
    </cfRule>
    <cfRule type="cellIs" dxfId="17272" priority="448" operator="lessThan">
      <formula>$C298</formula>
    </cfRule>
  </conditionalFormatting>
  <conditionalFormatting sqref="F61:F2994 F8:F48">
    <cfRule type="containsText" dxfId="17271" priority="443" operator="containsText" text="Unpaid Rent">
      <formula>NOT(ISERROR(SEARCH("Unpaid Rent",F8)))</formula>
    </cfRule>
    <cfRule type="containsText" dxfId="17270" priority="510" stopIfTrue="1" operator="containsText" text="Closed Account">
      <formula>NOT(ISERROR(SEARCH("Closed Account",F8)))</formula>
    </cfRule>
  </conditionalFormatting>
  <conditionalFormatting sqref="M34:M59 L34:L322 L7:M42">
    <cfRule type="expression" dxfId="17269" priority="603">
      <formula>AND(#REF!&lt;&gt;"",MOD(ROW(),2))</formula>
    </cfRule>
  </conditionalFormatting>
  <conditionalFormatting sqref="M34:M59 L34:L322 L7:M42">
    <cfRule type="expression" dxfId="17268" priority="602">
      <formula>AND(#REF!&lt;&gt;"",MOD(ROW(),2))</formula>
    </cfRule>
  </conditionalFormatting>
  <conditionalFormatting sqref="M7:M59">
    <cfRule type="cellIs" dxfId="17267" priority="554" operator="equal">
      <formula>#REF!</formula>
    </cfRule>
    <cfRule type="cellIs" dxfId="17266" priority="555" operator="greaterThan">
      <formula>#REF!</formula>
    </cfRule>
    <cfRule type="cellIs" dxfId="17265" priority="556" operator="lessThan">
      <formula>#REF!</formula>
    </cfRule>
  </conditionalFormatting>
  <conditionalFormatting sqref="K323:L325">
    <cfRule type="expression" dxfId="17264" priority="437">
      <formula>AND($A327&lt;&gt;"",MOD(ROW(),2))</formula>
    </cfRule>
  </conditionalFormatting>
  <conditionalFormatting sqref="K323:K325">
    <cfRule type="cellIs" dxfId="17263" priority="434" operator="equal">
      <formula>$C327</formula>
    </cfRule>
    <cfRule type="cellIs" dxfId="17262" priority="435" operator="greaterThan">
      <formula>$C327</formula>
    </cfRule>
    <cfRule type="cellIs" dxfId="17261" priority="436" operator="lessThan">
      <formula>$C327</formula>
    </cfRule>
  </conditionalFormatting>
  <conditionalFormatting sqref="L323:L325">
    <cfRule type="expression" dxfId="17260" priority="439">
      <formula>AND(#REF!&lt;&gt;"",MOD(ROW(),2))</formula>
    </cfRule>
  </conditionalFormatting>
  <conditionalFormatting sqref="L323:L325">
    <cfRule type="expression" dxfId="17259" priority="438">
      <formula>AND(#REF!&lt;&gt;"",MOD(ROW(),2))</formula>
    </cfRule>
  </conditionalFormatting>
  <conditionalFormatting sqref="K326:L328">
    <cfRule type="expression" dxfId="17258" priority="431">
      <formula>AND($A330&lt;&gt;"",MOD(ROW(),2))</formula>
    </cfRule>
  </conditionalFormatting>
  <conditionalFormatting sqref="K326:K328">
    <cfRule type="cellIs" dxfId="17257" priority="428" operator="equal">
      <formula>$C330</formula>
    </cfRule>
    <cfRule type="cellIs" dxfId="17256" priority="429" operator="greaterThan">
      <formula>$C330</formula>
    </cfRule>
    <cfRule type="cellIs" dxfId="17255" priority="430" operator="lessThan">
      <formula>$C330</formula>
    </cfRule>
  </conditionalFormatting>
  <conditionalFormatting sqref="L326:L328">
    <cfRule type="expression" dxfId="17254" priority="433">
      <formula>AND(#REF!&lt;&gt;"",MOD(ROW(),2))</formula>
    </cfRule>
  </conditionalFormatting>
  <conditionalFormatting sqref="L326:L328">
    <cfRule type="expression" dxfId="17253" priority="432">
      <formula>AND(#REF!&lt;&gt;"",MOD(ROW(),2))</formula>
    </cfRule>
  </conditionalFormatting>
  <conditionalFormatting sqref="K329:L331">
    <cfRule type="expression" dxfId="17252" priority="425">
      <formula>AND($A333&lt;&gt;"",MOD(ROW(),2))</formula>
    </cfRule>
  </conditionalFormatting>
  <conditionalFormatting sqref="K329:K331">
    <cfRule type="cellIs" dxfId="17251" priority="422" operator="equal">
      <formula>$C333</formula>
    </cfRule>
    <cfRule type="cellIs" dxfId="17250" priority="423" operator="greaterThan">
      <formula>$C333</formula>
    </cfRule>
    <cfRule type="cellIs" dxfId="17249" priority="424" operator="lessThan">
      <formula>$C333</formula>
    </cfRule>
  </conditionalFormatting>
  <conditionalFormatting sqref="L329:L331">
    <cfRule type="expression" dxfId="17248" priority="427">
      <formula>AND(#REF!&lt;&gt;"",MOD(ROW(),2))</formula>
    </cfRule>
  </conditionalFormatting>
  <conditionalFormatting sqref="L329:L331">
    <cfRule type="expression" dxfId="17247" priority="426">
      <formula>AND(#REF!&lt;&gt;"",MOD(ROW(),2))</formula>
    </cfRule>
  </conditionalFormatting>
  <conditionalFormatting sqref="K332:L334">
    <cfRule type="expression" dxfId="17246" priority="419">
      <formula>AND($A336&lt;&gt;"",MOD(ROW(),2))</formula>
    </cfRule>
  </conditionalFormatting>
  <conditionalFormatting sqref="K332:K334">
    <cfRule type="cellIs" dxfId="17245" priority="416" operator="equal">
      <formula>$C336</formula>
    </cfRule>
    <cfRule type="cellIs" dxfId="17244" priority="417" operator="greaterThan">
      <formula>$C336</formula>
    </cfRule>
    <cfRule type="cellIs" dxfId="17243" priority="418" operator="lessThan">
      <formula>$C336</formula>
    </cfRule>
  </conditionalFormatting>
  <conditionalFormatting sqref="L332:L334">
    <cfRule type="expression" dxfId="17242" priority="421">
      <formula>AND(#REF!&lt;&gt;"",MOD(ROW(),2))</formula>
    </cfRule>
  </conditionalFormatting>
  <conditionalFormatting sqref="L332:L334">
    <cfRule type="expression" dxfId="17241" priority="420">
      <formula>AND(#REF!&lt;&gt;"",MOD(ROW(),2))</formula>
    </cfRule>
  </conditionalFormatting>
  <conditionalFormatting sqref="K335:L337">
    <cfRule type="expression" dxfId="17240" priority="413">
      <formula>AND($A339&lt;&gt;"",MOD(ROW(),2))</formula>
    </cfRule>
  </conditionalFormatting>
  <conditionalFormatting sqref="K335:K337">
    <cfRule type="cellIs" dxfId="17239" priority="410" operator="equal">
      <formula>$C339</formula>
    </cfRule>
    <cfRule type="cellIs" dxfId="17238" priority="411" operator="greaterThan">
      <formula>$C339</formula>
    </cfRule>
    <cfRule type="cellIs" dxfId="17237" priority="412" operator="lessThan">
      <formula>$C339</formula>
    </cfRule>
  </conditionalFormatting>
  <conditionalFormatting sqref="L335:L337">
    <cfRule type="expression" dxfId="17236" priority="415">
      <formula>AND(#REF!&lt;&gt;"",MOD(ROW(),2))</formula>
    </cfRule>
  </conditionalFormatting>
  <conditionalFormatting sqref="L335:L337">
    <cfRule type="expression" dxfId="17235" priority="414">
      <formula>AND(#REF!&lt;&gt;"",MOD(ROW(),2))</formula>
    </cfRule>
  </conditionalFormatting>
  <conditionalFormatting sqref="K338:L340">
    <cfRule type="expression" dxfId="17234" priority="407">
      <formula>AND($A342&lt;&gt;"",MOD(ROW(),2))</formula>
    </cfRule>
  </conditionalFormatting>
  <conditionalFormatting sqref="K338:K340">
    <cfRule type="cellIs" dxfId="17233" priority="404" operator="equal">
      <formula>$C342</formula>
    </cfRule>
    <cfRule type="cellIs" dxfId="17232" priority="405" operator="greaterThan">
      <formula>$C342</formula>
    </cfRule>
    <cfRule type="cellIs" dxfId="17231" priority="406" operator="lessThan">
      <formula>$C342</formula>
    </cfRule>
  </conditionalFormatting>
  <conditionalFormatting sqref="L338:L340">
    <cfRule type="expression" dxfId="17230" priority="409">
      <formula>AND(#REF!&lt;&gt;"",MOD(ROW(),2))</formula>
    </cfRule>
  </conditionalFormatting>
  <conditionalFormatting sqref="L338:L340">
    <cfRule type="expression" dxfId="17229" priority="408">
      <formula>AND(#REF!&lt;&gt;"",MOD(ROW(),2))</formula>
    </cfRule>
  </conditionalFormatting>
  <conditionalFormatting sqref="K341:L343">
    <cfRule type="expression" dxfId="17228" priority="401">
      <formula>AND($A345&lt;&gt;"",MOD(ROW(),2))</formula>
    </cfRule>
  </conditionalFormatting>
  <conditionalFormatting sqref="K341:K343">
    <cfRule type="cellIs" dxfId="17227" priority="398" operator="equal">
      <formula>$C345</formula>
    </cfRule>
    <cfRule type="cellIs" dxfId="17226" priority="399" operator="greaterThan">
      <formula>$C345</formula>
    </cfRule>
    <cfRule type="cellIs" dxfId="17225" priority="400" operator="lessThan">
      <formula>$C345</formula>
    </cfRule>
  </conditionalFormatting>
  <conditionalFormatting sqref="L341:L343">
    <cfRule type="expression" dxfId="17224" priority="403">
      <formula>AND(#REF!&lt;&gt;"",MOD(ROW(),2))</formula>
    </cfRule>
  </conditionalFormatting>
  <conditionalFormatting sqref="L341:L343">
    <cfRule type="expression" dxfId="17223" priority="402">
      <formula>AND(#REF!&lt;&gt;"",MOD(ROW(),2))</formula>
    </cfRule>
  </conditionalFormatting>
  <conditionalFormatting sqref="K344:L346">
    <cfRule type="expression" dxfId="17222" priority="395">
      <formula>AND($A348&lt;&gt;"",MOD(ROW(),2))</formula>
    </cfRule>
  </conditionalFormatting>
  <conditionalFormatting sqref="K344:K346">
    <cfRule type="cellIs" dxfId="17221" priority="392" operator="equal">
      <formula>$C348</formula>
    </cfRule>
    <cfRule type="cellIs" dxfId="17220" priority="393" operator="greaterThan">
      <formula>$C348</formula>
    </cfRule>
    <cfRule type="cellIs" dxfId="17219" priority="394" operator="lessThan">
      <formula>$C348</formula>
    </cfRule>
  </conditionalFormatting>
  <conditionalFormatting sqref="L344:L346">
    <cfRule type="expression" dxfId="17218" priority="397">
      <formula>AND(#REF!&lt;&gt;"",MOD(ROW(),2))</formula>
    </cfRule>
  </conditionalFormatting>
  <conditionalFormatting sqref="L344:L346">
    <cfRule type="expression" dxfId="17217" priority="396">
      <formula>AND(#REF!&lt;&gt;"",MOD(ROW(),2))</formula>
    </cfRule>
  </conditionalFormatting>
  <conditionalFormatting sqref="K347:L349">
    <cfRule type="expression" dxfId="17216" priority="389">
      <formula>AND($A351&lt;&gt;"",MOD(ROW(),2))</formula>
    </cfRule>
  </conditionalFormatting>
  <conditionalFormatting sqref="K347:K349">
    <cfRule type="cellIs" dxfId="17215" priority="386" operator="equal">
      <formula>$C351</formula>
    </cfRule>
    <cfRule type="cellIs" dxfId="17214" priority="387" operator="greaterThan">
      <formula>$C351</formula>
    </cfRule>
    <cfRule type="cellIs" dxfId="17213" priority="388" operator="lessThan">
      <formula>$C351</formula>
    </cfRule>
  </conditionalFormatting>
  <conditionalFormatting sqref="L347:L349">
    <cfRule type="expression" dxfId="17212" priority="391">
      <formula>AND(#REF!&lt;&gt;"",MOD(ROW(),2))</formula>
    </cfRule>
  </conditionalFormatting>
  <conditionalFormatting sqref="L347:L349">
    <cfRule type="expression" dxfId="17211" priority="390">
      <formula>AND(#REF!&lt;&gt;"",MOD(ROW(),2))</formula>
    </cfRule>
  </conditionalFormatting>
  <conditionalFormatting sqref="K350:L352">
    <cfRule type="expression" dxfId="17210" priority="383">
      <formula>AND($A354&lt;&gt;"",MOD(ROW(),2))</formula>
    </cfRule>
  </conditionalFormatting>
  <conditionalFormatting sqref="K350:K352">
    <cfRule type="cellIs" dxfId="17209" priority="380" operator="equal">
      <formula>$C354</formula>
    </cfRule>
    <cfRule type="cellIs" dxfId="17208" priority="381" operator="greaterThan">
      <formula>$C354</formula>
    </cfRule>
    <cfRule type="cellIs" dxfId="17207" priority="382" operator="lessThan">
      <formula>$C354</formula>
    </cfRule>
  </conditionalFormatting>
  <conditionalFormatting sqref="L350:L352">
    <cfRule type="expression" dxfId="17206" priority="385">
      <formula>AND(#REF!&lt;&gt;"",MOD(ROW(),2))</formula>
    </cfRule>
  </conditionalFormatting>
  <conditionalFormatting sqref="L350:L352">
    <cfRule type="expression" dxfId="17205" priority="384">
      <formula>AND(#REF!&lt;&gt;"",MOD(ROW(),2))</formula>
    </cfRule>
  </conditionalFormatting>
  <conditionalFormatting sqref="K353:L356">
    <cfRule type="expression" dxfId="17204" priority="377">
      <formula>AND($A357&lt;&gt;"",MOD(ROW(),2))</formula>
    </cfRule>
  </conditionalFormatting>
  <conditionalFormatting sqref="K353:K356">
    <cfRule type="cellIs" dxfId="17203" priority="374" operator="equal">
      <formula>$C357</formula>
    </cfRule>
    <cfRule type="cellIs" dxfId="17202" priority="375" operator="greaterThan">
      <formula>$C357</formula>
    </cfRule>
    <cfRule type="cellIs" dxfId="17201" priority="376" operator="lessThan">
      <formula>$C357</formula>
    </cfRule>
  </conditionalFormatting>
  <conditionalFormatting sqref="L353:L356">
    <cfRule type="expression" dxfId="17200" priority="379">
      <formula>AND(#REF!&lt;&gt;"",MOD(ROW(),2))</formula>
    </cfRule>
  </conditionalFormatting>
  <conditionalFormatting sqref="L353:L356">
    <cfRule type="expression" dxfId="17199" priority="378">
      <formula>AND(#REF!&lt;&gt;"",MOD(ROW(),2))</formula>
    </cfRule>
  </conditionalFormatting>
  <conditionalFormatting sqref="D30">
    <cfRule type="cellIs" dxfId="17198" priority="340" operator="equal">
      <formula>$C30</formula>
    </cfRule>
    <cfRule type="cellIs" dxfId="17197" priority="341" operator="greaterThan">
      <formula>$C30</formula>
    </cfRule>
    <cfRule type="cellIs" dxfId="17196" priority="342" operator="lessThan">
      <formula>$C30</formula>
    </cfRule>
  </conditionalFormatting>
  <conditionalFormatting sqref="C30:E30">
    <cfRule type="expression" dxfId="17195" priority="361">
      <formula>AND($A30&lt;&gt;"",MOD(ROW(),2))</formula>
    </cfRule>
  </conditionalFormatting>
  <conditionalFormatting sqref="D30">
    <cfRule type="cellIs" dxfId="17194" priority="358" operator="equal">
      <formula>$C30</formula>
    </cfRule>
    <cfRule type="cellIs" dxfId="17193" priority="359" operator="greaterThan">
      <formula>$C30</formula>
    </cfRule>
    <cfRule type="cellIs" dxfId="17192" priority="360" operator="lessThan">
      <formula>$C30</formula>
    </cfRule>
  </conditionalFormatting>
  <conditionalFormatting sqref="F30">
    <cfRule type="containsText" dxfId="17191" priority="356" operator="containsText" text="Unpaid Rent">
      <formula>NOT(ISERROR(SEARCH("Unpaid Rent",F30)))</formula>
    </cfRule>
    <cfRule type="containsText" dxfId="17190" priority="357" stopIfTrue="1" operator="containsText" text="Closed Account">
      <formula>NOT(ISERROR(SEARCH("Closed Account",F30)))</formula>
    </cfRule>
  </conditionalFormatting>
  <conditionalFormatting sqref="D29:E29">
    <cfRule type="expression" dxfId="17189" priority="355">
      <formula>AND($A29&lt;&gt;"",MOD(ROW(),2))</formula>
    </cfRule>
  </conditionalFormatting>
  <conditionalFormatting sqref="D29">
    <cfRule type="cellIs" dxfId="17188" priority="352" operator="equal">
      <formula>$C29</formula>
    </cfRule>
    <cfRule type="cellIs" dxfId="17187" priority="353" operator="greaterThan">
      <formula>$C29</formula>
    </cfRule>
    <cfRule type="cellIs" dxfId="17186" priority="354" operator="lessThan">
      <formula>$C29</formula>
    </cfRule>
  </conditionalFormatting>
  <conditionalFormatting sqref="F29">
    <cfRule type="containsText" dxfId="17185" priority="350" operator="containsText" text="Unpaid Rent">
      <formula>NOT(ISERROR(SEARCH("Unpaid Rent",F29)))</formula>
    </cfRule>
    <cfRule type="containsText" dxfId="17184" priority="351" stopIfTrue="1" operator="containsText" text="Closed Account">
      <formula>NOT(ISERROR(SEARCH("Closed Account",F29)))</formula>
    </cfRule>
  </conditionalFormatting>
  <conditionalFormatting sqref="D30:E30">
    <cfRule type="expression" dxfId="17183" priority="349">
      <formula>AND($A30&lt;&gt;"",MOD(ROW(),2))</formula>
    </cfRule>
  </conditionalFormatting>
  <conditionalFormatting sqref="D30">
    <cfRule type="cellIs" dxfId="17182" priority="346" operator="equal">
      <formula>$C30</formula>
    </cfRule>
    <cfRule type="cellIs" dxfId="17181" priority="347" operator="greaterThan">
      <formula>$C30</formula>
    </cfRule>
    <cfRule type="cellIs" dxfId="17180" priority="348" operator="lessThan">
      <formula>$C30</formula>
    </cfRule>
  </conditionalFormatting>
  <conditionalFormatting sqref="F30">
    <cfRule type="containsText" dxfId="17179" priority="344" operator="containsText" text="Unpaid Rent">
      <formula>NOT(ISERROR(SEARCH("Unpaid Rent",F30)))</formula>
    </cfRule>
    <cfRule type="containsText" dxfId="17178" priority="345" stopIfTrue="1" operator="containsText" text="Closed Account">
      <formula>NOT(ISERROR(SEARCH("Closed Account",F30)))</formula>
    </cfRule>
  </conditionalFormatting>
  <conditionalFormatting sqref="D30">
    <cfRule type="expression" dxfId="17177" priority="343">
      <formula>AND($A30&lt;&gt;"",MOD(ROW(),2))</formula>
    </cfRule>
  </conditionalFormatting>
  <conditionalFormatting sqref="D52:E52">
    <cfRule type="expression" dxfId="17176" priority="327">
      <formula>AND($A52&lt;&gt;"",MOD(ROW(),2))</formula>
    </cfRule>
  </conditionalFormatting>
  <conditionalFormatting sqref="D51:D52">
    <cfRule type="cellIs" dxfId="17175" priority="324" operator="equal">
      <formula>$C51</formula>
    </cfRule>
    <cfRule type="cellIs" dxfId="17174" priority="325" operator="greaterThan">
      <formula>$C51</formula>
    </cfRule>
    <cfRule type="cellIs" dxfId="17173" priority="326" operator="lessThan">
      <formula>$C51</formula>
    </cfRule>
  </conditionalFormatting>
  <conditionalFormatting sqref="D53:E53">
    <cfRule type="expression" dxfId="17172" priority="321">
      <formula>AND($A53&lt;&gt;"",MOD(ROW(),2))</formula>
    </cfRule>
  </conditionalFormatting>
  <conditionalFormatting sqref="D52:D53">
    <cfRule type="cellIs" dxfId="17171" priority="318" operator="equal">
      <formula>$C52</formula>
    </cfRule>
    <cfRule type="cellIs" dxfId="17170" priority="319" operator="greaterThan">
      <formula>$C52</formula>
    </cfRule>
    <cfRule type="cellIs" dxfId="17169" priority="320" operator="lessThan">
      <formula>$C52</formula>
    </cfRule>
  </conditionalFormatting>
  <conditionalFormatting sqref="D54:E54">
    <cfRule type="expression" dxfId="17168" priority="315">
      <formula>AND($A54&lt;&gt;"",MOD(ROW(),2))</formula>
    </cfRule>
  </conditionalFormatting>
  <conditionalFormatting sqref="D52:D54">
    <cfRule type="cellIs" dxfId="17167" priority="312" operator="equal">
      <formula>$C52</formula>
    </cfRule>
    <cfRule type="cellIs" dxfId="17166" priority="313" operator="greaterThan">
      <formula>$C52</formula>
    </cfRule>
    <cfRule type="cellIs" dxfId="17165" priority="314" operator="lessThan">
      <formula>$C52</formula>
    </cfRule>
  </conditionalFormatting>
  <conditionalFormatting sqref="D53:D54">
    <cfRule type="cellIs" dxfId="17164" priority="306" operator="equal">
      <formula>$C53</formula>
    </cfRule>
    <cfRule type="cellIs" dxfId="17163" priority="307" operator="greaterThan">
      <formula>$C53</formula>
    </cfRule>
    <cfRule type="cellIs" dxfId="17162" priority="308" operator="lessThan">
      <formula>$C53</formula>
    </cfRule>
  </conditionalFormatting>
  <conditionalFormatting sqref="D56:E56">
    <cfRule type="expression" dxfId="17161" priority="303">
      <formula>AND($A56&lt;&gt;"",MOD(ROW(),2))</formula>
    </cfRule>
  </conditionalFormatting>
  <conditionalFormatting sqref="D55:D56">
    <cfRule type="cellIs" dxfId="17160" priority="300" operator="equal">
      <formula>$C55</formula>
    </cfRule>
    <cfRule type="cellIs" dxfId="17159" priority="301" operator="greaterThan">
      <formula>$C55</formula>
    </cfRule>
    <cfRule type="cellIs" dxfId="17158" priority="302" operator="lessThan">
      <formula>$C55</formula>
    </cfRule>
  </conditionalFormatting>
  <conditionalFormatting sqref="D58:E58">
    <cfRule type="expression" dxfId="17157" priority="291">
      <formula>AND($A58&lt;&gt;"",MOD(ROW(),2))</formula>
    </cfRule>
  </conditionalFormatting>
  <conditionalFormatting sqref="D58">
    <cfRule type="cellIs" dxfId="17156" priority="288" operator="equal">
      <formula>$C58</formula>
    </cfRule>
    <cfRule type="cellIs" dxfId="17155" priority="289" operator="greaterThan">
      <formula>$C58</formula>
    </cfRule>
    <cfRule type="cellIs" dxfId="17154" priority="290" operator="lessThan">
      <formula>$C58</formula>
    </cfRule>
  </conditionalFormatting>
  <conditionalFormatting sqref="D59:E59">
    <cfRule type="expression" dxfId="17153" priority="285">
      <formula>AND($A59&lt;&gt;"",MOD(ROW(),2))</formula>
    </cfRule>
  </conditionalFormatting>
  <conditionalFormatting sqref="D59">
    <cfRule type="cellIs" dxfId="17152" priority="282" operator="equal">
      <formula>$C59</formula>
    </cfRule>
    <cfRule type="cellIs" dxfId="17151" priority="283" operator="greaterThan">
      <formula>$C59</formula>
    </cfRule>
    <cfRule type="cellIs" dxfId="17150" priority="284" operator="lessThan">
      <formula>$C59</formula>
    </cfRule>
  </conditionalFormatting>
  <conditionalFormatting sqref="D60:E60">
    <cfRule type="expression" dxfId="17149" priority="279">
      <formula>AND($A60&lt;&gt;"",MOD(ROW(),2))</formula>
    </cfRule>
  </conditionalFormatting>
  <conditionalFormatting sqref="D60">
    <cfRule type="cellIs" dxfId="17148" priority="276" operator="equal">
      <formula>$C60</formula>
    </cfRule>
    <cfRule type="cellIs" dxfId="17147" priority="277" operator="greaterThan">
      <formula>$C60</formula>
    </cfRule>
    <cfRule type="cellIs" dxfId="17146" priority="278" operator="lessThan">
      <formula>$C60</formula>
    </cfRule>
  </conditionalFormatting>
  <conditionalFormatting sqref="F51:F56 F58:F61">
    <cfRule type="containsText" dxfId="17145" priority="228" operator="containsText" text="Unpaid Rent">
      <formula>NOT(ISERROR(SEARCH("Unpaid Rent",F51)))</formula>
    </cfRule>
    <cfRule type="containsText" dxfId="17144" priority="229" stopIfTrue="1" operator="containsText" text="Closed Account">
      <formula>NOT(ISERROR(SEARCH("Closed Account",F51)))</formula>
    </cfRule>
  </conditionalFormatting>
  <conditionalFormatting sqref="D61:E61">
    <cfRule type="expression" dxfId="17143" priority="227">
      <formula>AND($A61&lt;&gt;"",MOD(ROW(),2))</formula>
    </cfRule>
  </conditionalFormatting>
  <conditionalFormatting sqref="D61">
    <cfRule type="cellIs" dxfId="17142" priority="224" operator="equal">
      <formula>$C61</formula>
    </cfRule>
    <cfRule type="cellIs" dxfId="17141" priority="225" operator="greaterThan">
      <formula>$C61</formula>
    </cfRule>
    <cfRule type="cellIs" dxfId="17140" priority="226" operator="lessThan">
      <formula>$C61</formula>
    </cfRule>
  </conditionalFormatting>
  <conditionalFormatting sqref="D62:E62">
    <cfRule type="expression" dxfId="17139" priority="223">
      <formula>AND($A62&lt;&gt;"",MOD(ROW(),2))</formula>
    </cfRule>
  </conditionalFormatting>
  <conditionalFormatting sqref="D62">
    <cfRule type="cellIs" dxfId="17138" priority="220" operator="equal">
      <formula>$C62</formula>
    </cfRule>
    <cfRule type="cellIs" dxfId="17137" priority="221" operator="greaterThan">
      <formula>$C62</formula>
    </cfRule>
    <cfRule type="cellIs" dxfId="17136" priority="222" operator="lessThan">
      <formula>$C62</formula>
    </cfRule>
  </conditionalFormatting>
  <conditionalFormatting sqref="D63:E63">
    <cfRule type="expression" dxfId="17135" priority="219">
      <formula>AND($A63&lt;&gt;"",MOD(ROW(),2))</formula>
    </cfRule>
  </conditionalFormatting>
  <conditionalFormatting sqref="D63">
    <cfRule type="cellIs" dxfId="17134" priority="216" operator="equal">
      <formula>$C63</formula>
    </cfRule>
    <cfRule type="cellIs" dxfId="17133" priority="217" operator="greaterThan">
      <formula>$C63</formula>
    </cfRule>
    <cfRule type="cellIs" dxfId="17132" priority="218" operator="lessThan">
      <formula>$C63</formula>
    </cfRule>
  </conditionalFormatting>
  <conditionalFormatting sqref="D64:E64">
    <cfRule type="expression" dxfId="17131" priority="215">
      <formula>AND($A64&lt;&gt;"",MOD(ROW(),2))</formula>
    </cfRule>
  </conditionalFormatting>
  <conditionalFormatting sqref="D64">
    <cfRule type="cellIs" dxfId="17130" priority="212" operator="equal">
      <formula>$C64</formula>
    </cfRule>
    <cfRule type="cellIs" dxfId="17129" priority="213" operator="greaterThan">
      <formula>$C64</formula>
    </cfRule>
    <cfRule type="cellIs" dxfId="17128" priority="214" operator="lessThan">
      <formula>$C64</formula>
    </cfRule>
  </conditionalFormatting>
  <conditionalFormatting sqref="D65:E65">
    <cfRule type="expression" dxfId="17127" priority="211">
      <formula>AND($A65&lt;&gt;"",MOD(ROW(),2))</formula>
    </cfRule>
  </conditionalFormatting>
  <conditionalFormatting sqref="D65">
    <cfRule type="cellIs" dxfId="17126" priority="208" operator="equal">
      <formula>$C65</formula>
    </cfRule>
    <cfRule type="cellIs" dxfId="17125" priority="209" operator="greaterThan">
      <formula>$C65</formula>
    </cfRule>
    <cfRule type="cellIs" dxfId="17124" priority="210" operator="lessThan">
      <formula>$C65</formula>
    </cfRule>
  </conditionalFormatting>
  <conditionalFormatting sqref="D66:E66">
    <cfRule type="expression" dxfId="17123" priority="207">
      <formula>AND($A66&lt;&gt;"",MOD(ROW(),2))</formula>
    </cfRule>
  </conditionalFormatting>
  <conditionalFormatting sqref="D66">
    <cfRule type="cellIs" dxfId="17122" priority="204" operator="equal">
      <formula>$C66</formula>
    </cfRule>
    <cfRule type="cellIs" dxfId="17121" priority="205" operator="greaterThan">
      <formula>$C66</formula>
    </cfRule>
    <cfRule type="cellIs" dxfId="17120" priority="206" operator="lessThan">
      <formula>$C66</formula>
    </cfRule>
  </conditionalFormatting>
  <conditionalFormatting sqref="D67:E67">
    <cfRule type="expression" dxfId="17119" priority="203">
      <formula>AND($A67&lt;&gt;"",MOD(ROW(),2))</formula>
    </cfRule>
  </conditionalFormatting>
  <conditionalFormatting sqref="D67">
    <cfRule type="cellIs" dxfId="17118" priority="200" operator="equal">
      <formula>$C67</formula>
    </cfRule>
    <cfRule type="cellIs" dxfId="17117" priority="201" operator="greaterThan">
      <formula>$C67</formula>
    </cfRule>
    <cfRule type="cellIs" dxfId="17116" priority="202" operator="lessThan">
      <formula>$C67</formula>
    </cfRule>
  </conditionalFormatting>
  <conditionalFormatting sqref="D68:E68">
    <cfRule type="expression" dxfId="17115" priority="199">
      <formula>AND($A68&lt;&gt;"",MOD(ROW(),2))</formula>
    </cfRule>
  </conditionalFormatting>
  <conditionalFormatting sqref="D68">
    <cfRule type="cellIs" dxfId="17114" priority="196" operator="equal">
      <formula>$C68</formula>
    </cfRule>
    <cfRule type="cellIs" dxfId="17113" priority="197" operator="greaterThan">
      <formula>$C68</formula>
    </cfRule>
    <cfRule type="cellIs" dxfId="17112" priority="198" operator="lessThan">
      <formula>$C68</formula>
    </cfRule>
  </conditionalFormatting>
  <conditionalFormatting sqref="D69:E69">
    <cfRule type="expression" dxfId="17111" priority="195">
      <formula>AND($A69&lt;&gt;"",MOD(ROW(),2))</formula>
    </cfRule>
  </conditionalFormatting>
  <conditionalFormatting sqref="D69">
    <cfRule type="cellIs" dxfId="17110" priority="192" operator="equal">
      <formula>$C69</formula>
    </cfRule>
    <cfRule type="cellIs" dxfId="17109" priority="193" operator="greaterThan">
      <formula>$C69</formula>
    </cfRule>
    <cfRule type="cellIs" dxfId="17108" priority="194" operator="lessThan">
      <formula>$C69</formula>
    </cfRule>
  </conditionalFormatting>
  <conditionalFormatting sqref="D70:E70">
    <cfRule type="expression" dxfId="17107" priority="191">
      <formula>AND($A70&lt;&gt;"",MOD(ROW(),2))</formula>
    </cfRule>
  </conditionalFormatting>
  <conditionalFormatting sqref="D70">
    <cfRule type="cellIs" dxfId="17106" priority="188" operator="equal">
      <formula>$C70</formula>
    </cfRule>
    <cfRule type="cellIs" dxfId="17105" priority="189" operator="greaterThan">
      <formula>$C70</formula>
    </cfRule>
    <cfRule type="cellIs" dxfId="17104" priority="190" operator="lessThan">
      <formula>$C70</formula>
    </cfRule>
  </conditionalFormatting>
  <conditionalFormatting sqref="D71:E71">
    <cfRule type="expression" dxfId="17103" priority="187">
      <formula>AND($A71&lt;&gt;"",MOD(ROW(),2))</formula>
    </cfRule>
  </conditionalFormatting>
  <conditionalFormatting sqref="D71">
    <cfRule type="cellIs" dxfId="17102" priority="184" operator="equal">
      <formula>$C71</formula>
    </cfRule>
    <cfRule type="cellIs" dxfId="17101" priority="185" operator="greaterThan">
      <formula>$C71</formula>
    </cfRule>
    <cfRule type="cellIs" dxfId="17100" priority="186" operator="lessThan">
      <formula>$C71</formula>
    </cfRule>
  </conditionalFormatting>
  <conditionalFormatting sqref="D72:E72">
    <cfRule type="expression" dxfId="17099" priority="183">
      <formula>AND($A72&lt;&gt;"",MOD(ROW(),2))</formula>
    </cfRule>
  </conditionalFormatting>
  <conditionalFormatting sqref="D72">
    <cfRule type="cellIs" dxfId="17098" priority="180" operator="equal">
      <formula>$C72</formula>
    </cfRule>
    <cfRule type="cellIs" dxfId="17097" priority="181" operator="greaterThan">
      <formula>$C72</formula>
    </cfRule>
    <cfRule type="cellIs" dxfId="17096" priority="182" operator="lessThan">
      <formula>$C72</formula>
    </cfRule>
  </conditionalFormatting>
  <conditionalFormatting sqref="K7:M16">
    <cfRule type="expression" dxfId="17095" priority="1942">
      <formula>AND($A8&lt;&gt;"",MOD(ROW(),2))</formula>
    </cfRule>
  </conditionalFormatting>
  <conditionalFormatting sqref="K7:K16">
    <cfRule type="cellIs" dxfId="17094" priority="1943" operator="equal">
      <formula>$C8</formula>
    </cfRule>
    <cfRule type="cellIs" dxfId="17093" priority="1944" operator="greaterThan">
      <formula>$C8</formula>
    </cfRule>
    <cfRule type="cellIs" dxfId="17092" priority="1945" operator="lessThan">
      <formula>$C8</formula>
    </cfRule>
  </conditionalFormatting>
  <conditionalFormatting sqref="A7 C7:E7 G7 I7:I25">
    <cfRule type="expression" dxfId="17091" priority="173">
      <formula>AND($A7&lt;&gt;"",MOD(ROW(),2))</formula>
    </cfRule>
  </conditionalFormatting>
  <conditionalFormatting sqref="D7">
    <cfRule type="cellIs" dxfId="17090" priority="170" operator="equal">
      <formula>$C7</formula>
    </cfRule>
    <cfRule type="cellIs" dxfId="17089" priority="171" operator="greaterThan">
      <formula>$C7</formula>
    </cfRule>
    <cfRule type="cellIs" dxfId="17088" priority="172" operator="lessThan">
      <formula>$C7</formula>
    </cfRule>
  </conditionalFormatting>
  <conditionalFormatting sqref="F7">
    <cfRule type="containsText" dxfId="17087" priority="168" operator="containsText" text="Unpaid Rent">
      <formula>NOT(ISERROR(SEARCH("Unpaid Rent",F7)))</formula>
    </cfRule>
    <cfRule type="containsText" dxfId="17086" priority="169" stopIfTrue="1" operator="containsText" text="Closed Account">
      <formula>NOT(ISERROR(SEARCH("Closed Account",F7)))</formula>
    </cfRule>
  </conditionalFormatting>
  <conditionalFormatting sqref="H7:H25">
    <cfRule type="expression" dxfId="17085" priority="167">
      <formula>AND($A7&lt;&gt;"",MOD(ROW(),2))</formula>
    </cfRule>
  </conditionalFormatting>
  <conditionalFormatting sqref="K21:M24">
    <cfRule type="expression" dxfId="17084" priority="1965">
      <formula>AND($A22&lt;&gt;"",MOD(ROW(),2))</formula>
    </cfRule>
  </conditionalFormatting>
  <conditionalFormatting sqref="K21:K24">
    <cfRule type="cellIs" dxfId="17083" priority="1969" operator="equal">
      <formula>$C22</formula>
    </cfRule>
    <cfRule type="cellIs" dxfId="17082" priority="1970" operator="greaterThan">
      <formula>$C22</formula>
    </cfRule>
    <cfRule type="cellIs" dxfId="17081" priority="1971" operator="lessThan">
      <formula>$C22</formula>
    </cfRule>
  </conditionalFormatting>
  <conditionalFormatting sqref="K29:M31">
    <cfRule type="expression" dxfId="17080" priority="2012">
      <formula>AND($A32&lt;&gt;"",MOD(ROW(),2))</formula>
    </cfRule>
  </conditionalFormatting>
  <conditionalFormatting sqref="G47 C47:E47 A47">
    <cfRule type="expression" dxfId="17079" priority="166">
      <formula>AND($A47&lt;&gt;"",MOD(ROW(),2))</formula>
    </cfRule>
  </conditionalFormatting>
  <conditionalFormatting sqref="D46:D47">
    <cfRule type="cellIs" dxfId="17078" priority="163" operator="equal">
      <formula>$C46</formula>
    </cfRule>
    <cfRule type="cellIs" dxfId="17077" priority="164" operator="greaterThan">
      <formula>$C46</formula>
    </cfRule>
    <cfRule type="cellIs" dxfId="17076" priority="165" operator="lessThan">
      <formula>$C46</formula>
    </cfRule>
  </conditionalFormatting>
  <conditionalFormatting sqref="F46:F47">
    <cfRule type="containsText" dxfId="17075" priority="161" operator="containsText" text="Unpaid Rent">
      <formula>NOT(ISERROR(SEARCH("Unpaid Rent",F46)))</formula>
    </cfRule>
    <cfRule type="containsText" dxfId="17074" priority="162" stopIfTrue="1" operator="containsText" text="Closed Account">
      <formula>NOT(ISERROR(SEARCH("Closed Account",F46)))</formula>
    </cfRule>
  </conditionalFormatting>
  <conditionalFormatting sqref="A49:A52 C49:C52 H74 G49:G52">
    <cfRule type="expression" dxfId="17073" priority="159">
      <formula>AND($A49&lt;&gt;"",MOD(ROW(),2))</formula>
    </cfRule>
  </conditionalFormatting>
  <conditionalFormatting sqref="D49:E49">
    <cfRule type="expression" dxfId="17072" priority="158">
      <formula>AND($A49&lt;&gt;"",MOD(ROW(),2))</formula>
    </cfRule>
  </conditionalFormatting>
  <conditionalFormatting sqref="D48:D49">
    <cfRule type="cellIs" dxfId="17071" priority="155" operator="equal">
      <formula>$C48</formula>
    </cfRule>
    <cfRule type="cellIs" dxfId="17070" priority="156" operator="greaterThan">
      <formula>$C48</formula>
    </cfRule>
    <cfRule type="cellIs" dxfId="17069" priority="157" operator="lessThan">
      <formula>$C48</formula>
    </cfRule>
  </conditionalFormatting>
  <conditionalFormatting sqref="F48:F49">
    <cfRule type="containsText" dxfId="17068" priority="153" operator="containsText" text="Unpaid Rent">
      <formula>NOT(ISERROR(SEARCH("Unpaid Rent",F48)))</formula>
    </cfRule>
    <cfRule type="containsText" dxfId="17067" priority="154" stopIfTrue="1" operator="containsText" text="Closed Account">
      <formula>NOT(ISERROR(SEARCH("Closed Account",F48)))</formula>
    </cfRule>
  </conditionalFormatting>
  <conditionalFormatting sqref="F49:F52">
    <cfRule type="containsText" dxfId="17066" priority="151" operator="containsText" text="Unpaid Rent">
      <formula>NOT(ISERROR(SEARCH("Unpaid Rent",F49)))</formula>
    </cfRule>
    <cfRule type="containsText" dxfId="17065" priority="152" stopIfTrue="1" operator="containsText" text="Closed Account">
      <formula>NOT(ISERROR(SEARCH("Closed Account",F49)))</formula>
    </cfRule>
  </conditionalFormatting>
  <conditionalFormatting sqref="D50:E50">
    <cfRule type="expression" dxfId="17064" priority="150">
      <formula>AND($A50&lt;&gt;"",MOD(ROW(),2))</formula>
    </cfRule>
  </conditionalFormatting>
  <conditionalFormatting sqref="D49:D50">
    <cfRule type="cellIs" dxfId="17063" priority="147" operator="equal">
      <formula>$C49</formula>
    </cfRule>
    <cfRule type="cellIs" dxfId="17062" priority="148" operator="greaterThan">
      <formula>$C49</formula>
    </cfRule>
    <cfRule type="cellIs" dxfId="17061" priority="149" operator="lessThan">
      <formula>$C49</formula>
    </cfRule>
  </conditionalFormatting>
  <conditionalFormatting sqref="D51:E51">
    <cfRule type="expression" dxfId="17060" priority="146">
      <formula>AND($A51&lt;&gt;"",MOD(ROW(),2))</formula>
    </cfRule>
  </conditionalFormatting>
  <conditionalFormatting sqref="D51">
    <cfRule type="cellIs" dxfId="17059" priority="143" operator="equal">
      <formula>$C51</formula>
    </cfRule>
    <cfRule type="cellIs" dxfId="17058" priority="144" operator="greaterThan">
      <formula>$C51</formula>
    </cfRule>
    <cfRule type="cellIs" dxfId="17057" priority="145" operator="lessThan">
      <formula>$C51</formula>
    </cfRule>
  </conditionalFormatting>
  <conditionalFormatting sqref="D53:E53">
    <cfRule type="expression" dxfId="17056" priority="142">
      <formula>AND($A53&lt;&gt;"",MOD(ROW(),2))</formula>
    </cfRule>
  </conditionalFormatting>
  <conditionalFormatting sqref="D52:D53">
    <cfRule type="cellIs" dxfId="17055" priority="139" operator="equal">
      <formula>$C52</formula>
    </cfRule>
    <cfRule type="cellIs" dxfId="17054" priority="140" operator="greaterThan">
      <formula>$C52</formula>
    </cfRule>
    <cfRule type="cellIs" dxfId="17053" priority="141" operator="lessThan">
      <formula>$C52</formula>
    </cfRule>
  </conditionalFormatting>
  <conditionalFormatting sqref="D54:E54">
    <cfRule type="expression" dxfId="17052" priority="138">
      <formula>AND($A54&lt;&gt;"",MOD(ROW(),2))</formula>
    </cfRule>
  </conditionalFormatting>
  <conditionalFormatting sqref="D52:D54">
    <cfRule type="cellIs" dxfId="17051" priority="135" operator="equal">
      <formula>$C52</formula>
    </cfRule>
    <cfRule type="cellIs" dxfId="17050" priority="136" operator="greaterThan">
      <formula>$C52</formula>
    </cfRule>
    <cfRule type="cellIs" dxfId="17049" priority="137" operator="lessThan">
      <formula>$C52</formula>
    </cfRule>
  </conditionalFormatting>
  <conditionalFormatting sqref="D53:D54">
    <cfRule type="cellIs" dxfId="17048" priority="131" operator="equal">
      <formula>$C53</formula>
    </cfRule>
    <cfRule type="cellIs" dxfId="17047" priority="132" operator="greaterThan">
      <formula>$C53</formula>
    </cfRule>
    <cfRule type="cellIs" dxfId="17046" priority="133" operator="lessThan">
      <formula>$C53</formula>
    </cfRule>
  </conditionalFormatting>
  <conditionalFormatting sqref="D56:E56">
    <cfRule type="expression" dxfId="17045" priority="130">
      <formula>AND($A56&lt;&gt;"",MOD(ROW(),2))</formula>
    </cfRule>
  </conditionalFormatting>
  <conditionalFormatting sqref="D55:D56">
    <cfRule type="cellIs" dxfId="17044" priority="127" operator="equal">
      <formula>$C55</formula>
    </cfRule>
    <cfRule type="cellIs" dxfId="17043" priority="128" operator="greaterThan">
      <formula>$C55</formula>
    </cfRule>
    <cfRule type="cellIs" dxfId="17042" priority="129" operator="lessThan">
      <formula>$C55</formula>
    </cfRule>
  </conditionalFormatting>
  <conditionalFormatting sqref="D58:E58">
    <cfRule type="expression" dxfId="17041" priority="122">
      <formula>AND($A58&lt;&gt;"",MOD(ROW(),2))</formula>
    </cfRule>
  </conditionalFormatting>
  <conditionalFormatting sqref="D58">
    <cfRule type="cellIs" dxfId="17040" priority="119" operator="equal">
      <formula>$C58</formula>
    </cfRule>
    <cfRule type="cellIs" dxfId="17039" priority="120" operator="greaterThan">
      <formula>$C58</formula>
    </cfRule>
    <cfRule type="cellIs" dxfId="17038" priority="121" operator="lessThan">
      <formula>$C58</formula>
    </cfRule>
  </conditionalFormatting>
  <conditionalFormatting sqref="D59:E59">
    <cfRule type="expression" dxfId="17037" priority="118">
      <formula>AND($A59&lt;&gt;"",MOD(ROW(),2))</formula>
    </cfRule>
  </conditionalFormatting>
  <conditionalFormatting sqref="D59">
    <cfRule type="cellIs" dxfId="17036" priority="115" operator="equal">
      <formula>$C59</formula>
    </cfRule>
    <cfRule type="cellIs" dxfId="17035" priority="116" operator="greaterThan">
      <formula>$C59</formula>
    </cfRule>
    <cfRule type="cellIs" dxfId="17034" priority="117" operator="lessThan">
      <formula>$C59</formula>
    </cfRule>
  </conditionalFormatting>
  <conditionalFormatting sqref="D60:E60">
    <cfRule type="expression" dxfId="17033" priority="114">
      <formula>AND($A60&lt;&gt;"",MOD(ROW(),2))</formula>
    </cfRule>
  </conditionalFormatting>
  <conditionalFormatting sqref="D60">
    <cfRule type="cellIs" dxfId="17032" priority="111" operator="equal">
      <formula>$C60</formula>
    </cfRule>
    <cfRule type="cellIs" dxfId="17031" priority="112" operator="greaterThan">
      <formula>$C60</formula>
    </cfRule>
    <cfRule type="cellIs" dxfId="17030" priority="113" operator="lessThan">
      <formula>$C60</formula>
    </cfRule>
  </conditionalFormatting>
  <conditionalFormatting sqref="D61:E61">
    <cfRule type="expression" dxfId="17029" priority="110">
      <formula>AND($A61&lt;&gt;"",MOD(ROW(),2))</formula>
    </cfRule>
  </conditionalFormatting>
  <conditionalFormatting sqref="D61">
    <cfRule type="cellIs" dxfId="17028" priority="107" operator="equal">
      <formula>$C61</formula>
    </cfRule>
    <cfRule type="cellIs" dxfId="17027" priority="108" operator="greaterThan">
      <formula>$C61</formula>
    </cfRule>
    <cfRule type="cellIs" dxfId="17026" priority="109" operator="lessThan">
      <formula>$C61</formula>
    </cfRule>
  </conditionalFormatting>
  <conditionalFormatting sqref="D62:E62">
    <cfRule type="expression" dxfId="17025" priority="106">
      <formula>AND($A62&lt;&gt;"",MOD(ROW(),2))</formula>
    </cfRule>
  </conditionalFormatting>
  <conditionalFormatting sqref="D62">
    <cfRule type="cellIs" dxfId="17024" priority="103" operator="equal">
      <formula>$C62</formula>
    </cfRule>
    <cfRule type="cellIs" dxfId="17023" priority="104" operator="greaterThan">
      <formula>$C62</formula>
    </cfRule>
    <cfRule type="cellIs" dxfId="17022" priority="105" operator="lessThan">
      <formula>$C62</formula>
    </cfRule>
  </conditionalFormatting>
  <conditionalFormatting sqref="D63:E63">
    <cfRule type="expression" dxfId="17021" priority="102">
      <formula>AND($A63&lt;&gt;"",MOD(ROW(),2))</formula>
    </cfRule>
  </conditionalFormatting>
  <conditionalFormatting sqref="D63">
    <cfRule type="cellIs" dxfId="17020" priority="99" operator="equal">
      <formula>$C63</formula>
    </cfRule>
    <cfRule type="cellIs" dxfId="17019" priority="100" operator="greaterThan">
      <formula>$C63</formula>
    </cfRule>
    <cfRule type="cellIs" dxfId="17018" priority="101" operator="lessThan">
      <formula>$C63</formula>
    </cfRule>
  </conditionalFormatting>
  <conditionalFormatting sqref="D64:E64">
    <cfRule type="expression" dxfId="17017" priority="98">
      <formula>AND($A64&lt;&gt;"",MOD(ROW(),2))</formula>
    </cfRule>
  </conditionalFormatting>
  <conditionalFormatting sqref="D64">
    <cfRule type="cellIs" dxfId="17016" priority="95" operator="equal">
      <formula>$C64</formula>
    </cfRule>
    <cfRule type="cellIs" dxfId="17015" priority="96" operator="greaterThan">
      <formula>$C64</formula>
    </cfRule>
    <cfRule type="cellIs" dxfId="17014" priority="97" operator="lessThan">
      <formula>$C64</formula>
    </cfRule>
  </conditionalFormatting>
  <conditionalFormatting sqref="D65:E65">
    <cfRule type="expression" dxfId="17013" priority="94">
      <formula>AND($A65&lt;&gt;"",MOD(ROW(),2))</formula>
    </cfRule>
  </conditionalFormatting>
  <conditionalFormatting sqref="D65">
    <cfRule type="cellIs" dxfId="17012" priority="91" operator="equal">
      <formula>$C65</formula>
    </cfRule>
    <cfRule type="cellIs" dxfId="17011" priority="92" operator="greaterThan">
      <formula>$C65</formula>
    </cfRule>
    <cfRule type="cellIs" dxfId="17010" priority="93" operator="lessThan">
      <formula>$C65</formula>
    </cfRule>
  </conditionalFormatting>
  <conditionalFormatting sqref="D66:E66">
    <cfRule type="expression" dxfId="17009" priority="90">
      <formula>AND($A66&lt;&gt;"",MOD(ROW(),2))</formula>
    </cfRule>
  </conditionalFormatting>
  <conditionalFormatting sqref="D66">
    <cfRule type="cellIs" dxfId="17008" priority="87" operator="equal">
      <formula>$C66</formula>
    </cfRule>
    <cfRule type="cellIs" dxfId="17007" priority="88" operator="greaterThan">
      <formula>$C66</formula>
    </cfRule>
    <cfRule type="cellIs" dxfId="17006" priority="89" operator="lessThan">
      <formula>$C66</formula>
    </cfRule>
  </conditionalFormatting>
  <conditionalFormatting sqref="D67:E67">
    <cfRule type="expression" dxfId="17005" priority="86">
      <formula>AND($A67&lt;&gt;"",MOD(ROW(),2))</formula>
    </cfRule>
  </conditionalFormatting>
  <conditionalFormatting sqref="D67">
    <cfRule type="cellIs" dxfId="17004" priority="83" operator="equal">
      <formula>$C67</formula>
    </cfRule>
    <cfRule type="cellIs" dxfId="17003" priority="84" operator="greaterThan">
      <formula>$C67</formula>
    </cfRule>
    <cfRule type="cellIs" dxfId="17002" priority="85" operator="lessThan">
      <formula>$C67</formula>
    </cfRule>
  </conditionalFormatting>
  <conditionalFormatting sqref="D68:E68">
    <cfRule type="expression" dxfId="17001" priority="82">
      <formula>AND($A68&lt;&gt;"",MOD(ROW(),2))</formula>
    </cfRule>
  </conditionalFormatting>
  <conditionalFormatting sqref="D68">
    <cfRule type="cellIs" dxfId="17000" priority="79" operator="equal">
      <formula>$C68</formula>
    </cfRule>
    <cfRule type="cellIs" dxfId="16999" priority="80" operator="greaterThan">
      <formula>$C68</formula>
    </cfRule>
    <cfRule type="cellIs" dxfId="16998" priority="81" operator="lessThan">
      <formula>$C68</formula>
    </cfRule>
  </conditionalFormatting>
  <conditionalFormatting sqref="D69:E69">
    <cfRule type="expression" dxfId="16997" priority="78">
      <formula>AND($A69&lt;&gt;"",MOD(ROW(),2))</formula>
    </cfRule>
  </conditionalFormatting>
  <conditionalFormatting sqref="D69">
    <cfRule type="cellIs" dxfId="16996" priority="75" operator="equal">
      <formula>$C69</formula>
    </cfRule>
    <cfRule type="cellIs" dxfId="16995" priority="76" operator="greaterThan">
      <formula>$C69</formula>
    </cfRule>
    <cfRule type="cellIs" dxfId="16994" priority="77" operator="lessThan">
      <formula>$C69</formula>
    </cfRule>
  </conditionalFormatting>
  <conditionalFormatting sqref="D70:E70">
    <cfRule type="expression" dxfId="16993" priority="74">
      <formula>AND($A70&lt;&gt;"",MOD(ROW(),2))</formula>
    </cfRule>
  </conditionalFormatting>
  <conditionalFormatting sqref="D70">
    <cfRule type="cellIs" dxfId="16992" priority="71" operator="equal">
      <formula>$C70</formula>
    </cfRule>
    <cfRule type="cellIs" dxfId="16991" priority="72" operator="greaterThan">
      <formula>$C70</formula>
    </cfRule>
    <cfRule type="cellIs" dxfId="16990" priority="73" operator="lessThan">
      <formula>$C70</formula>
    </cfRule>
  </conditionalFormatting>
  <conditionalFormatting sqref="D71:E71">
    <cfRule type="expression" dxfId="16989" priority="70">
      <formula>AND($A71&lt;&gt;"",MOD(ROW(),2))</formula>
    </cfRule>
  </conditionalFormatting>
  <conditionalFormatting sqref="D71">
    <cfRule type="cellIs" dxfId="16988" priority="67" operator="equal">
      <formula>$C71</formula>
    </cfRule>
    <cfRule type="cellIs" dxfId="16987" priority="68" operator="greaterThan">
      <formula>$C71</formula>
    </cfRule>
    <cfRule type="cellIs" dxfId="16986" priority="69" operator="lessThan">
      <formula>$C71</formula>
    </cfRule>
  </conditionalFormatting>
  <conditionalFormatting sqref="D72:E72">
    <cfRule type="expression" dxfId="16985" priority="66">
      <formula>AND($A72&lt;&gt;"",MOD(ROW(),2))</formula>
    </cfRule>
  </conditionalFormatting>
  <conditionalFormatting sqref="D72">
    <cfRule type="cellIs" dxfId="16984" priority="63" operator="equal">
      <formula>$C72</formula>
    </cfRule>
    <cfRule type="cellIs" dxfId="16983" priority="64" operator="greaterThan">
      <formula>$C72</formula>
    </cfRule>
    <cfRule type="cellIs" dxfId="16982" priority="65" operator="lessThan">
      <formula>$C72</formula>
    </cfRule>
  </conditionalFormatting>
  <conditionalFormatting sqref="D73:E73">
    <cfRule type="expression" dxfId="16981" priority="62">
      <formula>AND($A73&lt;&gt;"",MOD(ROW(),2))</formula>
    </cfRule>
  </conditionalFormatting>
  <conditionalFormatting sqref="D73">
    <cfRule type="cellIs" dxfId="16980" priority="59" operator="equal">
      <formula>$C73</formula>
    </cfRule>
    <cfRule type="cellIs" dxfId="16979" priority="60" operator="greaterThan">
      <formula>$C73</formula>
    </cfRule>
    <cfRule type="cellIs" dxfId="16978" priority="61" operator="lessThan">
      <formula>$C73</formula>
    </cfRule>
  </conditionalFormatting>
  <conditionalFormatting sqref="D50:E50">
    <cfRule type="expression" dxfId="16977" priority="58">
      <formula>AND($A50&lt;&gt;"",MOD(ROW(),2))</formula>
    </cfRule>
  </conditionalFormatting>
  <conditionalFormatting sqref="D49:D50">
    <cfRule type="cellIs" dxfId="16976" priority="55" operator="equal">
      <formula>$C49</formula>
    </cfRule>
    <cfRule type="cellIs" dxfId="16975" priority="56" operator="greaterThan">
      <formula>$C49</formula>
    </cfRule>
    <cfRule type="cellIs" dxfId="16974" priority="57" operator="lessThan">
      <formula>$C49</formula>
    </cfRule>
  </conditionalFormatting>
  <conditionalFormatting sqref="F49:F50">
    <cfRule type="containsText" dxfId="16973" priority="53" operator="containsText" text="Unpaid Rent">
      <formula>NOT(ISERROR(SEARCH("Unpaid Rent",F49)))</formula>
    </cfRule>
    <cfRule type="containsText" dxfId="16972" priority="54" stopIfTrue="1" operator="containsText" text="Closed Account">
      <formula>NOT(ISERROR(SEARCH("Closed Account",F49)))</formula>
    </cfRule>
  </conditionalFormatting>
  <conditionalFormatting sqref="D51:E51">
    <cfRule type="expression" dxfId="16971" priority="52">
      <formula>AND($A51&lt;&gt;"",MOD(ROW(),2))</formula>
    </cfRule>
  </conditionalFormatting>
  <conditionalFormatting sqref="D51">
    <cfRule type="cellIs" dxfId="16970" priority="49" operator="equal">
      <formula>$C51</formula>
    </cfRule>
    <cfRule type="cellIs" dxfId="16969" priority="50" operator="greaterThan">
      <formula>$C51</formula>
    </cfRule>
    <cfRule type="cellIs" dxfId="16968" priority="51" operator="lessThan">
      <formula>$C51</formula>
    </cfRule>
  </conditionalFormatting>
  <conditionalFormatting sqref="D52:E52">
    <cfRule type="expression" dxfId="16967" priority="48">
      <formula>AND($A52&lt;&gt;"",MOD(ROW(),2))</formula>
    </cfRule>
  </conditionalFormatting>
  <conditionalFormatting sqref="D51:D52">
    <cfRule type="cellIs" dxfId="16966" priority="45" operator="equal">
      <formula>$C51</formula>
    </cfRule>
    <cfRule type="cellIs" dxfId="16965" priority="46" operator="greaterThan">
      <formula>$C51</formula>
    </cfRule>
    <cfRule type="cellIs" dxfId="16964" priority="47" operator="lessThan">
      <formula>$C51</formula>
    </cfRule>
  </conditionalFormatting>
  <conditionalFormatting sqref="D74">
    <cfRule type="expression" dxfId="16963" priority="44">
      <formula>AND($A74&lt;&gt;"",MOD(ROW(),2))</formula>
    </cfRule>
  </conditionalFormatting>
  <conditionalFormatting sqref="D74">
    <cfRule type="cellIs" dxfId="16962" priority="41" operator="equal">
      <formula>$C74</formula>
    </cfRule>
    <cfRule type="cellIs" dxfId="16961" priority="42" operator="greaterThan">
      <formula>$C74</formula>
    </cfRule>
    <cfRule type="cellIs" dxfId="16960" priority="43" operator="lessThan">
      <formula>$C74</formula>
    </cfRule>
  </conditionalFormatting>
  <conditionalFormatting sqref="D75">
    <cfRule type="expression" dxfId="16959" priority="40">
      <formula>AND($A75&lt;&gt;"",MOD(ROW(),2))</formula>
    </cfRule>
  </conditionalFormatting>
  <conditionalFormatting sqref="D75">
    <cfRule type="cellIs" dxfId="16958" priority="37" operator="equal">
      <formula>$C75</formula>
    </cfRule>
    <cfRule type="cellIs" dxfId="16957" priority="38" operator="greaterThan">
      <formula>$C75</formula>
    </cfRule>
    <cfRule type="cellIs" dxfId="16956" priority="39" operator="lessThan">
      <formula>$C75</formula>
    </cfRule>
  </conditionalFormatting>
  <conditionalFormatting sqref="H75">
    <cfRule type="expression" dxfId="16955" priority="36">
      <formula>AND($A75&lt;&gt;"",MOD(ROW(),2))</formula>
    </cfRule>
  </conditionalFormatting>
  <conditionalFormatting sqref="H76">
    <cfRule type="expression" dxfId="16954" priority="35">
      <formula>AND($A76&lt;&gt;"",MOD(ROW(),2))</formula>
    </cfRule>
  </conditionalFormatting>
  <conditionalFormatting sqref="H77">
    <cfRule type="expression" dxfId="16953" priority="34">
      <formula>AND($A77&lt;&gt;"",MOD(ROW(),2))</formula>
    </cfRule>
  </conditionalFormatting>
  <conditionalFormatting sqref="D46:E46">
    <cfRule type="expression" dxfId="16952" priority="33">
      <formula>AND($A46&lt;&gt;"",MOD(ROW(),2))</formula>
    </cfRule>
  </conditionalFormatting>
  <conditionalFormatting sqref="D48:E48">
    <cfRule type="expression" dxfId="16951" priority="32">
      <formula>AND($A48&lt;&gt;"",MOD(ROW(),2))</formula>
    </cfRule>
  </conditionalFormatting>
  <conditionalFormatting sqref="D49:E49">
    <cfRule type="expression" dxfId="16950" priority="31">
      <formula>AND($A49&lt;&gt;"",MOD(ROW(),2))</formula>
    </cfRule>
  </conditionalFormatting>
  <conditionalFormatting sqref="D49:E49">
    <cfRule type="expression" dxfId="16949" priority="30">
      <formula>AND($A49&lt;&gt;"",MOD(ROW(),2))</formula>
    </cfRule>
  </conditionalFormatting>
  <conditionalFormatting sqref="D53:E53">
    <cfRule type="expression" dxfId="16948" priority="29">
      <formula>AND($A53&lt;&gt;"",MOD(ROW(),2))</formula>
    </cfRule>
  </conditionalFormatting>
  <conditionalFormatting sqref="D54:E54">
    <cfRule type="expression" dxfId="16947" priority="28">
      <formula>AND($A54&lt;&gt;"",MOD(ROW(),2))</formula>
    </cfRule>
  </conditionalFormatting>
  <conditionalFormatting sqref="D53:E53">
    <cfRule type="expression" dxfId="16946" priority="27">
      <formula>AND($A53&lt;&gt;"",MOD(ROW(),2))</formula>
    </cfRule>
  </conditionalFormatting>
  <conditionalFormatting sqref="D54:E54">
    <cfRule type="expression" dxfId="16945" priority="26">
      <formula>AND($A54&lt;&gt;"",MOD(ROW(),2))</formula>
    </cfRule>
  </conditionalFormatting>
  <conditionalFormatting sqref="D51:E51">
    <cfRule type="expression" dxfId="16944" priority="25">
      <formula>AND($A51&lt;&gt;"",MOD(ROW(),2))</formula>
    </cfRule>
  </conditionalFormatting>
  <conditionalFormatting sqref="D52:E52">
    <cfRule type="expression" dxfId="16943" priority="24">
      <formula>AND($A52&lt;&gt;"",MOD(ROW(),2))</formula>
    </cfRule>
  </conditionalFormatting>
  <conditionalFormatting sqref="D53:E53">
    <cfRule type="expression" dxfId="16942" priority="23">
      <formula>AND($A53&lt;&gt;"",MOD(ROW(),2))</formula>
    </cfRule>
  </conditionalFormatting>
  <conditionalFormatting sqref="D54:E54">
    <cfRule type="expression" dxfId="16941" priority="22">
      <formula>AND($A54&lt;&gt;"",MOD(ROW(),2))</formula>
    </cfRule>
  </conditionalFormatting>
  <conditionalFormatting sqref="D52:E52">
    <cfRule type="expression" dxfId="16940" priority="21">
      <formula>AND($A52&lt;&gt;"",MOD(ROW(),2))</formula>
    </cfRule>
  </conditionalFormatting>
  <conditionalFormatting sqref="D53:E53">
    <cfRule type="expression" dxfId="16939" priority="20">
      <formula>AND($A53&lt;&gt;"",MOD(ROW(),2))</formula>
    </cfRule>
  </conditionalFormatting>
  <conditionalFormatting sqref="D54:E54">
    <cfRule type="expression" dxfId="16938" priority="19">
      <formula>AND($A54&lt;&gt;"",MOD(ROW(),2))</formula>
    </cfRule>
  </conditionalFormatting>
  <conditionalFormatting sqref="D51:E51">
    <cfRule type="expression" dxfId="16937" priority="18">
      <formula>AND($A51&lt;&gt;"",MOD(ROW(),2))</formula>
    </cfRule>
  </conditionalFormatting>
  <conditionalFormatting sqref="D52:E52">
    <cfRule type="expression" dxfId="16936" priority="17">
      <formula>AND($A52&lt;&gt;"",MOD(ROW(),2))</formula>
    </cfRule>
  </conditionalFormatting>
  <conditionalFormatting sqref="D53:E53">
    <cfRule type="expression" dxfId="16935" priority="16">
      <formula>AND($A53&lt;&gt;"",MOD(ROW(),2))</formula>
    </cfRule>
  </conditionalFormatting>
  <conditionalFormatting sqref="D52:E52">
    <cfRule type="expression" dxfId="16934" priority="15">
      <formula>AND($A52&lt;&gt;"",MOD(ROW(),2))</formula>
    </cfRule>
  </conditionalFormatting>
  <conditionalFormatting sqref="D53:E53">
    <cfRule type="expression" dxfId="16933" priority="14">
      <formula>AND($A53&lt;&gt;"",MOD(ROW(),2))</formula>
    </cfRule>
  </conditionalFormatting>
  <conditionalFormatting sqref="D55:E55">
    <cfRule type="expression" dxfId="16932" priority="13">
      <formula>AND($A55&lt;&gt;"",MOD(ROW(),2))</formula>
    </cfRule>
  </conditionalFormatting>
  <conditionalFormatting sqref="D55:E55">
    <cfRule type="expression" dxfId="16931" priority="12">
      <formula>AND($A55&lt;&gt;"",MOD(ROW(),2))</formula>
    </cfRule>
  </conditionalFormatting>
  <conditionalFormatting sqref="C57 G57:I57">
    <cfRule type="expression" dxfId="16930" priority="11">
      <formula>AND($A57&lt;&gt;"",MOD(ROW(),2))</formula>
    </cfRule>
  </conditionalFormatting>
  <conditionalFormatting sqref="D57:E57">
    <cfRule type="expression" dxfId="16929" priority="10">
      <formula>AND($A57&lt;&gt;"",MOD(ROW(),2))</formula>
    </cfRule>
  </conditionalFormatting>
  <conditionalFormatting sqref="D57">
    <cfRule type="cellIs" dxfId="16928" priority="7" operator="equal">
      <formula>$C57</formula>
    </cfRule>
    <cfRule type="cellIs" dxfId="16927" priority="8" operator="greaterThan">
      <formula>$C57</formula>
    </cfRule>
    <cfRule type="cellIs" dxfId="16926" priority="9" operator="lessThan">
      <formula>$C57</formula>
    </cfRule>
  </conditionalFormatting>
  <conditionalFormatting sqref="F57">
    <cfRule type="containsText" dxfId="16925" priority="5" operator="containsText" text="Unpaid Rent">
      <formula>NOT(ISERROR(SEARCH("Unpaid Rent",F57)))</formula>
    </cfRule>
    <cfRule type="containsText" dxfId="16924" priority="6" stopIfTrue="1" operator="containsText" text="Closed Account">
      <formula>NOT(ISERROR(SEARCH("Closed Account",F57)))</formula>
    </cfRule>
  </conditionalFormatting>
  <conditionalFormatting sqref="D57:E57">
    <cfRule type="expression" dxfId="16923" priority="4">
      <formula>AND($A57&lt;&gt;"",MOD(ROW(),2))</formula>
    </cfRule>
  </conditionalFormatting>
  <conditionalFormatting sqref="D57">
    <cfRule type="cellIs" dxfId="16922" priority="1" operator="equal">
      <formula>$C57</formula>
    </cfRule>
    <cfRule type="cellIs" dxfId="16921" priority="2" operator="greaterThan">
      <formula>$C57</formula>
    </cfRule>
    <cfRule type="cellIs" dxfId="16920" priority="3" operator="lessThan">
      <formula>$C57</formula>
    </cfRule>
  </conditionalFormatting>
  <pageMargins left="0.75" right="0.75" top="1" bottom="1" header="0.5" footer="0.5"/>
  <pageSetup paperSize="9" orientation="portrait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PullDownValues!$F$2:$F$14</xm:f>
          </x14:formula1>
          <xm:sqref>L7:L355</xm:sqref>
        </x14:dataValidation>
        <x14:dataValidation type="list" allowBlank="1" showInputMessage="1" showErrorMessage="1" prompt="Payment Method" xr:uid="{00000000-0002-0000-0500-000001000000}">
          <x14:formula1>
            <xm:f>PullDownValues!$B$2:$B$12</xm:f>
          </x14:formula1>
          <xm:sqref>F8:F294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355"/>
  <sheetViews>
    <sheetView topLeftCell="C1" zoomScaleNormal="100" workbookViewId="0">
      <pane ySplit="5" topLeftCell="A47" activePane="bottomLeft" state="frozen"/>
      <selection pane="bottomLeft" activeCell="J2" sqref="J2:L3"/>
    </sheetView>
  </sheetViews>
  <sheetFormatPr defaultColWidth="8.85546875" defaultRowHeight="15" customHeight="1" x14ac:dyDescent="0.25"/>
  <cols>
    <col min="1" max="1" width="3.28515625" style="10" bestFit="1" customWidth="1"/>
    <col min="2" max="3" width="12.5703125" bestFit="1" customWidth="1"/>
    <col min="4" max="4" width="12.85546875" bestFit="1" customWidth="1"/>
    <col min="5" max="5" width="15.28515625" bestFit="1" customWidth="1"/>
    <col min="6" max="6" width="15.28515625" customWidth="1"/>
    <col min="7" max="7" width="9.42578125" style="31" bestFit="1" customWidth="1"/>
    <col min="8" max="8" width="11.5703125" bestFit="1" customWidth="1"/>
    <col min="9" max="9" width="12.7109375" bestFit="1" customWidth="1"/>
    <col min="10" max="10" width="15.140625" bestFit="1" customWidth="1"/>
    <col min="11" max="11" width="11.28515625" customWidth="1"/>
    <col min="12" max="12" width="12.5703125" bestFit="1" customWidth="1"/>
    <col min="13" max="13" width="10.7109375" bestFit="1" customWidth="1"/>
    <col min="14" max="14" width="12.7109375" bestFit="1" customWidth="1"/>
    <col min="15" max="15" width="11.5703125" bestFit="1" customWidth="1"/>
    <col min="16" max="16" width="11.5703125" customWidth="1"/>
    <col min="17" max="17" width="10.5703125" bestFit="1" customWidth="1"/>
  </cols>
  <sheetData>
    <row r="1" spans="1:18" ht="35.1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5">
        <f>SUM(P6:P90)-O4</f>
        <v>-9.0949470177292824E-13</v>
      </c>
      <c r="P1" s="255"/>
      <c r="Q1" s="327"/>
      <c r="R1" s="327"/>
    </row>
    <row r="2" spans="1:18" s="9" customFormat="1" ht="15.95" customHeight="1" x14ac:dyDescent="0.25">
      <c r="A2" s="283" t="s">
        <v>4</v>
      </c>
      <c r="B2" s="283"/>
      <c r="C2" s="283"/>
      <c r="D2" s="283"/>
      <c r="E2" s="283"/>
      <c r="F2" s="283"/>
      <c r="G2" s="285">
        <f>SUM($D$6:$D$2990)-SUMIF($F$7:$F$290,"Bond Received",$D$7:$D$2990)-SUMIF($F$7:$F$290,"Unpaid Rent",$D$7:$D$2990)-(SUMIF($F$7:$F$290,"Discount Rent",$D$7:$D$2990)*2)</f>
        <v>8940</v>
      </c>
      <c r="H2" s="285"/>
      <c r="I2" s="285"/>
      <c r="J2" s="287" t="s">
        <v>5</v>
      </c>
      <c r="K2" s="287"/>
      <c r="L2" s="287"/>
      <c r="M2" s="262">
        <f>SUM($K$6:$K$2990)-SUMIF($L$6:$L$2990,"Bond Return",$K$6:$K$2990)</f>
        <v>8769.2599999999984</v>
      </c>
      <c r="N2" s="263"/>
      <c r="O2" s="289" t="s">
        <v>271</v>
      </c>
      <c r="P2" s="289"/>
      <c r="Q2" s="35"/>
    </row>
    <row r="3" spans="1:18" s="9" customFormat="1" ht="15.95" customHeight="1" x14ac:dyDescent="0.25">
      <c r="A3" s="284"/>
      <c r="B3" s="284"/>
      <c r="C3" s="284"/>
      <c r="D3" s="284"/>
      <c r="E3" s="284"/>
      <c r="F3" s="284"/>
      <c r="G3" s="286"/>
      <c r="H3" s="286"/>
      <c r="I3" s="286"/>
      <c r="J3" s="288"/>
      <c r="K3" s="288"/>
      <c r="L3" s="288"/>
      <c r="M3" s="264"/>
      <c r="N3" s="264"/>
      <c r="O3" s="290"/>
      <c r="P3" s="290"/>
    </row>
    <row r="4" spans="1:18" s="9" customFormat="1" ht="15.95" customHeight="1" x14ac:dyDescent="0.25">
      <c r="A4" s="244" t="s">
        <v>6</v>
      </c>
      <c r="B4" s="244" t="s">
        <v>7</v>
      </c>
      <c r="C4" s="267" t="s">
        <v>8</v>
      </c>
      <c r="D4" s="269" t="s">
        <v>9</v>
      </c>
      <c r="E4" s="269" t="s">
        <v>10</v>
      </c>
      <c r="F4" s="252" t="s">
        <v>112</v>
      </c>
      <c r="G4" s="276" t="s">
        <v>11</v>
      </c>
      <c r="H4" s="244" t="s">
        <v>12</v>
      </c>
      <c r="I4" s="324" t="s">
        <v>113</v>
      </c>
      <c r="J4" s="326" t="s">
        <v>13</v>
      </c>
      <c r="K4" s="246" t="s">
        <v>14</v>
      </c>
      <c r="L4" s="248" t="s">
        <v>15</v>
      </c>
      <c r="M4" s="249"/>
      <c r="N4" s="271" t="s">
        <v>113</v>
      </c>
      <c r="O4" s="278">
        <f>G2-M2</f>
        <v>170.7400000000016</v>
      </c>
      <c r="P4" s="279">
        <f>SUM(P2:P3)</f>
        <v>0</v>
      </c>
      <c r="Q4" s="63"/>
    </row>
    <row r="5" spans="1:18" s="10" customFormat="1" x14ac:dyDescent="0.25">
      <c r="A5" s="245"/>
      <c r="B5" s="245"/>
      <c r="C5" s="268"/>
      <c r="D5" s="270"/>
      <c r="E5" s="270"/>
      <c r="F5" s="253"/>
      <c r="G5" s="277"/>
      <c r="H5" s="245"/>
      <c r="I5" s="325"/>
      <c r="J5" s="293"/>
      <c r="K5" s="247"/>
      <c r="L5" s="250"/>
      <c r="M5" s="251"/>
      <c r="N5" s="272"/>
      <c r="O5" s="280"/>
      <c r="P5" s="280"/>
      <c r="Q5" s="18"/>
      <c r="R5" s="64"/>
    </row>
    <row r="6" spans="1:18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1"/>
      <c r="K6" s="42"/>
      <c r="L6" s="43" t="s">
        <v>123</v>
      </c>
      <c r="M6" s="43"/>
      <c r="N6" s="43"/>
      <c r="O6"/>
      <c r="P6" s="111"/>
    </row>
    <row r="7" spans="1:18" ht="15" customHeight="1" x14ac:dyDescent="0.25">
      <c r="A7" s="10">
        <v>1</v>
      </c>
      <c r="B7" s="48">
        <v>44401</v>
      </c>
      <c r="C7" s="17">
        <v>200</v>
      </c>
      <c r="D7" s="17"/>
      <c r="E7" s="16"/>
      <c r="F7" s="16"/>
      <c r="H7" s="17">
        <f>IFERROR(IF(F6="Closed account",(IF(F7="Unpaid Rent",(C7),(C7-D7))),(IF(F7="Unpaid Rent",(C7+H6),(C7-D7+H6)))),"")</f>
        <v>200</v>
      </c>
      <c r="I7" s="17" t="s">
        <v>718</v>
      </c>
      <c r="J7" s="48">
        <v>44376</v>
      </c>
      <c r="K7" s="17">
        <v>88</v>
      </c>
      <c r="L7" s="49" t="s">
        <v>17</v>
      </c>
      <c r="M7" t="s">
        <v>438</v>
      </c>
      <c r="N7" t="s">
        <v>14</v>
      </c>
      <c r="O7" t="s">
        <v>14</v>
      </c>
      <c r="P7" s="111">
        <f>SUMIF($I$6:$I$2992,O7,$D$6:$D$2992)-SUMIFS($D$6:$D$2992,$I$6:$I$2992,O7,$F$6:$F$2992,"Unpaid Rent")-(SUMIFS($D$6:$D$2992,$I$6:$I$2992,O7,$F$6:$F$2992,"Discount Rent")*2)-(SUMIFS($D$6:$D$2992,$I$6:$I$2992,O7,$F$6:$F$2992,"Bond Received"))-SUMIF($N$6:$N$2989,O7,$K$6:$K$2989)+SUMIFS($K$6:$K$2989,$N$6:$N$2989,O7,$L$6:$L$2989,"Bond Return")</f>
        <v>-5074.5599999999995</v>
      </c>
    </row>
    <row r="8" spans="1:18" ht="15" customHeight="1" x14ac:dyDescent="0.25">
      <c r="A8" s="10">
        <v>2</v>
      </c>
      <c r="B8" s="48">
        <f t="shared" ref="B8:B13" si="0">B7+7</f>
        <v>44408</v>
      </c>
      <c r="C8" s="17">
        <v>200</v>
      </c>
      <c r="D8" s="17"/>
      <c r="E8" s="16"/>
      <c r="F8" s="16"/>
      <c r="H8" s="17">
        <f>IFERROR(IF(F7="Closed account",(IF(F8="Unpaid Rent",(C8),(C8-D8))),(IF(F8="Unpaid Rent",(C8+H7),(C8-D8+H7)))),"")</f>
        <v>400</v>
      </c>
      <c r="I8" s="17" t="s">
        <v>718</v>
      </c>
      <c r="J8" s="48">
        <v>44411</v>
      </c>
      <c r="K8" s="17">
        <v>130</v>
      </c>
      <c r="L8" s="49" t="s">
        <v>16</v>
      </c>
      <c r="N8" t="s">
        <v>14</v>
      </c>
      <c r="O8" s="9" t="s">
        <v>718</v>
      </c>
      <c r="P8" s="111">
        <f t="shared" ref="P8:P72" si="1">SUMIF($I$6:$I$2992,O8,$D$6:$D$2992)-SUMIFS($D$6:$D$2992,$I$6:$I$2992,O8,$F$6:$F$2992,"Unpaid Rent")-(SUMIFS($D$6:$D$2992,$I$6:$I$2992,O8,$F$6:$F$2992,"Discount Rent")*2)-(SUMIFS($D$6:$D$2992,$I$6:$I$2992,O8,$F$6:$F$2992,"Bond Received"))-SUMIF($N$6:$N$2989,O8,$K$6:$K$2989)+SUMIFS($K$6:$K$2989,$N$6:$N$2989,O8,$L$6:$L$2989,"Bond Return")</f>
        <v>500</v>
      </c>
    </row>
    <row r="9" spans="1:18" ht="15" customHeight="1" x14ac:dyDescent="0.25">
      <c r="A9" s="10">
        <v>3</v>
      </c>
      <c r="B9" s="48">
        <f t="shared" si="0"/>
        <v>44415</v>
      </c>
      <c r="C9" s="17">
        <v>200</v>
      </c>
      <c r="D9" s="17"/>
      <c r="E9" s="16"/>
      <c r="F9" s="16"/>
      <c r="H9" s="17">
        <f t="shared" ref="H9:H17" si="2">IFERROR(IF(F8="Closed account",(IF(F9="Unpaid Rent",(C9),(C9-D9))),(IF(F9="Unpaid Rent",(C9+H8),(C9-D9+H8)))),"")</f>
        <v>600</v>
      </c>
      <c r="I9" s="17" t="s">
        <v>718</v>
      </c>
      <c r="J9" s="48">
        <v>44442</v>
      </c>
      <c r="K9" s="17">
        <v>130</v>
      </c>
      <c r="L9" s="49" t="s">
        <v>16</v>
      </c>
      <c r="N9" t="s">
        <v>14</v>
      </c>
      <c r="O9" s="13" t="s">
        <v>733</v>
      </c>
      <c r="P9" s="111">
        <f t="shared" si="1"/>
        <v>1344.5</v>
      </c>
    </row>
    <row r="10" spans="1:18" ht="15" customHeight="1" x14ac:dyDescent="0.25">
      <c r="A10" s="10">
        <v>4</v>
      </c>
      <c r="B10" s="48">
        <f t="shared" si="0"/>
        <v>44422</v>
      </c>
      <c r="C10" s="17">
        <v>200</v>
      </c>
      <c r="D10" s="17"/>
      <c r="E10" s="16"/>
      <c r="F10" s="16"/>
      <c r="H10" s="17">
        <f t="shared" si="2"/>
        <v>800</v>
      </c>
      <c r="I10" s="17" t="s">
        <v>718</v>
      </c>
      <c r="J10" s="48">
        <v>44474</v>
      </c>
      <c r="K10" s="17">
        <v>130</v>
      </c>
      <c r="L10" s="49" t="s">
        <v>16</v>
      </c>
      <c r="N10" t="s">
        <v>14</v>
      </c>
      <c r="O10" s="19" t="s">
        <v>850</v>
      </c>
      <c r="P10" s="111">
        <f t="shared" si="1"/>
        <v>2710.8</v>
      </c>
    </row>
    <row r="11" spans="1:18" ht="15" customHeight="1" x14ac:dyDescent="0.25">
      <c r="A11" s="10">
        <v>5</v>
      </c>
      <c r="B11" s="48">
        <f t="shared" si="0"/>
        <v>44429</v>
      </c>
      <c r="C11" s="17">
        <v>200</v>
      </c>
      <c r="D11" s="17"/>
      <c r="E11" s="16"/>
      <c r="F11" s="16"/>
      <c r="H11" s="17">
        <f t="shared" si="2"/>
        <v>1000</v>
      </c>
      <c r="I11" s="17" t="s">
        <v>718</v>
      </c>
      <c r="J11" s="48">
        <v>44472</v>
      </c>
      <c r="K11" s="17">
        <v>130</v>
      </c>
      <c r="L11" s="49" t="s">
        <v>16</v>
      </c>
      <c r="N11" t="s">
        <v>14</v>
      </c>
      <c r="O11" t="s">
        <v>945</v>
      </c>
      <c r="P11" s="111">
        <f t="shared" si="1"/>
        <v>690</v>
      </c>
    </row>
    <row r="12" spans="1:18" ht="15" customHeight="1" x14ac:dyDescent="0.25">
      <c r="A12" s="10">
        <v>6</v>
      </c>
      <c r="B12" s="48">
        <f t="shared" si="0"/>
        <v>44436</v>
      </c>
      <c r="C12" s="17">
        <v>200</v>
      </c>
      <c r="D12" s="17"/>
      <c r="E12" s="16"/>
      <c r="F12" s="16"/>
      <c r="H12" s="17">
        <f t="shared" si="2"/>
        <v>1200</v>
      </c>
      <c r="I12" s="17" t="s">
        <v>718</v>
      </c>
      <c r="J12" s="48">
        <v>44500</v>
      </c>
      <c r="K12" s="17">
        <v>500</v>
      </c>
      <c r="L12" s="49" t="s">
        <v>45</v>
      </c>
      <c r="N12" t="s">
        <v>718</v>
      </c>
      <c r="P12" s="111">
        <f t="shared" si="1"/>
        <v>0</v>
      </c>
    </row>
    <row r="13" spans="1:18" ht="15" customHeight="1" x14ac:dyDescent="0.25">
      <c r="A13" s="10">
        <v>7</v>
      </c>
      <c r="B13" s="48">
        <f t="shared" si="0"/>
        <v>44443</v>
      </c>
      <c r="C13" s="17">
        <v>200</v>
      </c>
      <c r="D13" s="17"/>
      <c r="E13" s="16"/>
      <c r="F13" s="16"/>
      <c r="H13" s="17">
        <f t="shared" si="2"/>
        <v>1400</v>
      </c>
      <c r="I13" s="17" t="s">
        <v>718</v>
      </c>
      <c r="J13" s="48">
        <v>44510</v>
      </c>
      <c r="K13" s="17">
        <v>72.599999999999994</v>
      </c>
      <c r="L13" s="49" t="s">
        <v>98</v>
      </c>
      <c r="N13" t="s">
        <v>14</v>
      </c>
      <c r="P13" s="111">
        <f t="shared" si="1"/>
        <v>0</v>
      </c>
    </row>
    <row r="14" spans="1:18" ht="15" customHeight="1" x14ac:dyDescent="0.25">
      <c r="A14" s="10">
        <v>8</v>
      </c>
      <c r="B14" s="48">
        <f t="shared" ref="B14:B20" si="3">B13+7</f>
        <v>44450</v>
      </c>
      <c r="C14" s="17">
        <v>200</v>
      </c>
      <c r="D14" s="17"/>
      <c r="E14" s="16"/>
      <c r="F14" s="16"/>
      <c r="H14" s="17">
        <f t="shared" si="2"/>
        <v>1600</v>
      </c>
      <c r="I14" s="17" t="s">
        <v>718</v>
      </c>
      <c r="J14" s="48">
        <v>44527</v>
      </c>
      <c r="K14" s="17">
        <v>55.1</v>
      </c>
      <c r="L14" s="49" t="s">
        <v>54</v>
      </c>
      <c r="N14" t="s">
        <v>14</v>
      </c>
      <c r="P14" s="111">
        <f t="shared" si="1"/>
        <v>0</v>
      </c>
    </row>
    <row r="15" spans="1:18" ht="15" customHeight="1" x14ac:dyDescent="0.25">
      <c r="A15" s="10">
        <v>9</v>
      </c>
      <c r="B15" s="48">
        <f t="shared" si="3"/>
        <v>44457</v>
      </c>
      <c r="C15" s="17">
        <v>200</v>
      </c>
      <c r="D15" s="17"/>
      <c r="E15" s="16"/>
      <c r="F15" s="16"/>
      <c r="H15" s="17">
        <f t="shared" si="2"/>
        <v>1800</v>
      </c>
      <c r="I15" s="17" t="s">
        <v>718</v>
      </c>
      <c r="J15" s="48">
        <v>44532</v>
      </c>
      <c r="K15" s="17">
        <v>201.31</v>
      </c>
      <c r="L15" s="49" t="s">
        <v>20</v>
      </c>
      <c r="N15" t="s">
        <v>733</v>
      </c>
      <c r="P15" s="111">
        <f t="shared" si="1"/>
        <v>0</v>
      </c>
    </row>
    <row r="16" spans="1:18" ht="15" customHeight="1" x14ac:dyDescent="0.25">
      <c r="A16" s="10">
        <v>10</v>
      </c>
      <c r="B16" s="48">
        <f t="shared" si="3"/>
        <v>44464</v>
      </c>
      <c r="C16" s="17">
        <v>200</v>
      </c>
      <c r="D16" s="17"/>
      <c r="E16" s="16"/>
      <c r="F16" s="16"/>
      <c r="H16" s="17">
        <f t="shared" si="2"/>
        <v>2000</v>
      </c>
      <c r="I16" s="17" t="s">
        <v>718</v>
      </c>
      <c r="J16" s="48">
        <v>44533</v>
      </c>
      <c r="K16" s="17">
        <v>130</v>
      </c>
      <c r="L16" s="49" t="s">
        <v>16</v>
      </c>
      <c r="N16" t="s">
        <v>733</v>
      </c>
      <c r="P16" s="111">
        <f t="shared" si="1"/>
        <v>0</v>
      </c>
    </row>
    <row r="17" spans="1:16" ht="15" customHeight="1" x14ac:dyDescent="0.25">
      <c r="A17" s="10">
        <v>11</v>
      </c>
      <c r="B17" s="48">
        <f t="shared" si="3"/>
        <v>44471</v>
      </c>
      <c r="C17" s="17">
        <v>200</v>
      </c>
      <c r="D17" s="17"/>
      <c r="E17" s="16"/>
      <c r="F17" s="16"/>
      <c r="H17" s="17">
        <f t="shared" si="2"/>
        <v>2200</v>
      </c>
      <c r="I17" s="17" t="s">
        <v>718</v>
      </c>
      <c r="J17" s="48">
        <v>44533</v>
      </c>
      <c r="K17" s="17">
        <v>5.5</v>
      </c>
      <c r="L17" s="49" t="s">
        <v>22</v>
      </c>
      <c r="N17" t="s">
        <v>733</v>
      </c>
      <c r="P17" s="111">
        <f t="shared" si="1"/>
        <v>0</v>
      </c>
    </row>
    <row r="18" spans="1:16" ht="15" customHeight="1" x14ac:dyDescent="0.25">
      <c r="A18" s="10">
        <v>12</v>
      </c>
      <c r="B18" s="48">
        <f t="shared" si="3"/>
        <v>44478</v>
      </c>
      <c r="C18" s="17">
        <v>200</v>
      </c>
      <c r="D18" s="17"/>
      <c r="E18" s="16"/>
      <c r="F18" s="16"/>
      <c r="H18" s="17">
        <f t="shared" ref="H18:H26" si="4">IFERROR(IF(F17="Closed account",(IF(F18="Unpaid Rent",(C18),(C18-D18))),(IF(F18="Unpaid Rent",(C18+H17),(C18-D18+H17)))),"")</f>
        <v>2400</v>
      </c>
      <c r="I18" s="17" t="s">
        <v>718</v>
      </c>
      <c r="J18" s="72">
        <v>44566</v>
      </c>
      <c r="K18" s="17">
        <v>130</v>
      </c>
      <c r="L18" s="49" t="s">
        <v>16</v>
      </c>
      <c r="N18" t="s">
        <v>733</v>
      </c>
      <c r="P18" s="111">
        <f t="shared" si="1"/>
        <v>0</v>
      </c>
    </row>
    <row r="19" spans="1:16" ht="15" customHeight="1" x14ac:dyDescent="0.25">
      <c r="A19" s="10">
        <v>13</v>
      </c>
      <c r="B19" s="48">
        <f t="shared" si="3"/>
        <v>44485</v>
      </c>
      <c r="C19" s="17">
        <v>200</v>
      </c>
      <c r="D19" s="17">
        <v>500</v>
      </c>
      <c r="E19" s="16">
        <v>44500</v>
      </c>
      <c r="F19" s="16" t="s">
        <v>157</v>
      </c>
      <c r="H19" s="17">
        <f t="shared" si="4"/>
        <v>2100</v>
      </c>
      <c r="I19" s="17" t="s">
        <v>718</v>
      </c>
      <c r="J19" s="72">
        <v>44561</v>
      </c>
      <c r="K19" s="77">
        <v>0.99</v>
      </c>
      <c r="L19" s="78" t="s">
        <v>22</v>
      </c>
      <c r="N19" t="s">
        <v>733</v>
      </c>
      <c r="P19" s="111">
        <f t="shared" si="1"/>
        <v>0</v>
      </c>
    </row>
    <row r="20" spans="1:16" ht="15" customHeight="1" x14ac:dyDescent="0.25">
      <c r="A20" s="10">
        <v>14</v>
      </c>
      <c r="B20" s="48">
        <f t="shared" si="3"/>
        <v>44492</v>
      </c>
      <c r="C20" s="17">
        <v>200</v>
      </c>
      <c r="D20" s="17"/>
      <c r="E20" s="16">
        <v>44500</v>
      </c>
      <c r="F20" t="s">
        <v>124</v>
      </c>
      <c r="H20" s="17">
        <f t="shared" si="4"/>
        <v>2300</v>
      </c>
      <c r="I20" s="17" t="s">
        <v>718</v>
      </c>
      <c r="J20" s="72">
        <v>44574</v>
      </c>
      <c r="K20" s="77">
        <v>2.75</v>
      </c>
      <c r="L20" s="49" t="s">
        <v>22</v>
      </c>
      <c r="N20" t="s">
        <v>733</v>
      </c>
      <c r="P20" s="111">
        <f t="shared" si="1"/>
        <v>0</v>
      </c>
    </row>
    <row r="21" spans="1:16" ht="15" customHeight="1" x14ac:dyDescent="0.25">
      <c r="A21" s="10">
        <v>1</v>
      </c>
      <c r="B21" s="48">
        <v>44525</v>
      </c>
      <c r="C21" s="17">
        <v>300</v>
      </c>
      <c r="D21" s="17">
        <v>300</v>
      </c>
      <c r="E21" s="16">
        <v>44525</v>
      </c>
      <c r="F21" t="s">
        <v>181</v>
      </c>
      <c r="H21" s="17">
        <f t="shared" si="4"/>
        <v>0</v>
      </c>
      <c r="I21" s="17" t="s">
        <v>733</v>
      </c>
      <c r="J21" s="72">
        <v>44568</v>
      </c>
      <c r="K21" s="17">
        <v>0.99</v>
      </c>
      <c r="L21" s="49" t="s">
        <v>22</v>
      </c>
      <c r="N21" t="s">
        <v>733</v>
      </c>
      <c r="P21" s="111">
        <f t="shared" si="1"/>
        <v>0</v>
      </c>
    </row>
    <row r="22" spans="1:16" ht="15" customHeight="1" x14ac:dyDescent="0.25">
      <c r="A22" s="10">
        <v>1</v>
      </c>
      <c r="B22" s="48">
        <v>44525</v>
      </c>
      <c r="C22" s="17">
        <v>240</v>
      </c>
      <c r="D22" s="17">
        <v>250</v>
      </c>
      <c r="E22" s="16">
        <v>44525</v>
      </c>
      <c r="F22" s="16" t="s">
        <v>114</v>
      </c>
      <c r="H22" s="17">
        <f t="shared" si="4"/>
        <v>-10</v>
      </c>
      <c r="I22" s="17" t="s">
        <v>733</v>
      </c>
      <c r="J22" s="72">
        <v>44568</v>
      </c>
      <c r="K22" s="17">
        <v>2.75</v>
      </c>
      <c r="L22" s="49" t="s">
        <v>22</v>
      </c>
      <c r="N22" t="s">
        <v>733</v>
      </c>
      <c r="P22" s="111">
        <f t="shared" si="1"/>
        <v>0</v>
      </c>
    </row>
    <row r="23" spans="1:16" ht="15" customHeight="1" x14ac:dyDescent="0.25">
      <c r="A23" s="10">
        <v>2</v>
      </c>
      <c r="B23" s="48">
        <f t="shared" ref="B23:B29" si="5">B22+7</f>
        <v>44532</v>
      </c>
      <c r="C23" s="17">
        <v>240</v>
      </c>
      <c r="D23" s="17">
        <v>230</v>
      </c>
      <c r="E23" s="16">
        <v>44533</v>
      </c>
      <c r="F23" t="s">
        <v>59</v>
      </c>
      <c r="H23" s="17">
        <f t="shared" si="4"/>
        <v>0</v>
      </c>
      <c r="I23" s="17" t="s">
        <v>733</v>
      </c>
      <c r="J23" s="72">
        <v>44587</v>
      </c>
      <c r="K23" s="17">
        <v>150</v>
      </c>
      <c r="L23" s="49" t="s">
        <v>26</v>
      </c>
      <c r="N23" t="s">
        <v>733</v>
      </c>
      <c r="P23" s="111">
        <f t="shared" si="1"/>
        <v>0</v>
      </c>
    </row>
    <row r="24" spans="1:16" ht="15" customHeight="1" x14ac:dyDescent="0.25">
      <c r="A24" s="10">
        <v>3</v>
      </c>
      <c r="B24" s="48">
        <f t="shared" si="5"/>
        <v>44539</v>
      </c>
      <c r="C24" s="17">
        <v>240</v>
      </c>
      <c r="D24" s="17">
        <v>240</v>
      </c>
      <c r="E24" s="16">
        <v>44540</v>
      </c>
      <c r="F24" t="s">
        <v>117</v>
      </c>
      <c r="H24" s="17">
        <f t="shared" si="4"/>
        <v>0</v>
      </c>
      <c r="I24" s="17" t="s">
        <v>733</v>
      </c>
      <c r="J24" s="72">
        <v>44582</v>
      </c>
      <c r="K24" s="17">
        <v>0.99</v>
      </c>
      <c r="L24" s="49" t="s">
        <v>22</v>
      </c>
      <c r="N24" t="s">
        <v>733</v>
      </c>
      <c r="P24" s="111">
        <f t="shared" si="1"/>
        <v>0</v>
      </c>
    </row>
    <row r="25" spans="1:16" ht="15" customHeight="1" x14ac:dyDescent="0.25">
      <c r="A25" s="10">
        <v>4</v>
      </c>
      <c r="B25" s="48">
        <f t="shared" si="5"/>
        <v>44546</v>
      </c>
      <c r="C25" s="17">
        <v>240</v>
      </c>
      <c r="D25" s="17">
        <v>240</v>
      </c>
      <c r="E25" s="16">
        <v>44547</v>
      </c>
      <c r="F25" t="s">
        <v>59</v>
      </c>
      <c r="H25" s="17">
        <f t="shared" si="4"/>
        <v>0</v>
      </c>
      <c r="I25" s="17" t="s">
        <v>733</v>
      </c>
      <c r="J25" s="48">
        <v>44595</v>
      </c>
      <c r="K25" s="17">
        <v>130</v>
      </c>
      <c r="L25" s="49" t="s">
        <v>16</v>
      </c>
      <c r="N25" t="s">
        <v>733</v>
      </c>
      <c r="P25" s="111">
        <f t="shared" si="1"/>
        <v>0</v>
      </c>
    </row>
    <row r="26" spans="1:16" ht="15" customHeight="1" x14ac:dyDescent="0.25">
      <c r="A26" s="10">
        <v>5</v>
      </c>
      <c r="B26" s="48">
        <f t="shared" si="5"/>
        <v>44553</v>
      </c>
      <c r="C26" s="17">
        <v>240</v>
      </c>
      <c r="D26" s="17">
        <v>240</v>
      </c>
      <c r="E26" s="16">
        <v>44554</v>
      </c>
      <c r="F26" t="s">
        <v>59</v>
      </c>
      <c r="H26" s="17">
        <f t="shared" si="4"/>
        <v>0</v>
      </c>
      <c r="I26" s="17" t="s">
        <v>733</v>
      </c>
      <c r="J26" s="48">
        <v>44595</v>
      </c>
      <c r="K26" s="17">
        <v>2.75</v>
      </c>
      <c r="L26" s="49" t="s">
        <v>22</v>
      </c>
      <c r="N26" t="s">
        <v>733</v>
      </c>
      <c r="P26" s="111">
        <f t="shared" si="1"/>
        <v>0</v>
      </c>
    </row>
    <row r="27" spans="1:16" ht="15" customHeight="1" x14ac:dyDescent="0.25">
      <c r="A27" s="10">
        <v>6</v>
      </c>
      <c r="B27" s="48">
        <f t="shared" si="5"/>
        <v>44560</v>
      </c>
      <c r="C27" s="17">
        <v>240</v>
      </c>
      <c r="D27" s="17"/>
      <c r="E27" s="16"/>
      <c r="H27" s="17">
        <f t="shared" ref="H27:H44" si="6">IFERROR(IF(F26="Closed account",(IF(F27="Unpaid Rent",(C27),(C27-D27))),(IF(F27="Unpaid Rent",(C27+H26),(C27-D27+H26)))),"")</f>
        <v>240</v>
      </c>
      <c r="I27" s="17" t="s">
        <v>733</v>
      </c>
      <c r="J27" s="48">
        <v>44589</v>
      </c>
      <c r="K27" s="17">
        <v>0.99</v>
      </c>
      <c r="L27" s="49" t="s">
        <v>22</v>
      </c>
      <c r="N27" t="s">
        <v>733</v>
      </c>
      <c r="P27" s="111">
        <f t="shared" si="1"/>
        <v>0</v>
      </c>
    </row>
    <row r="28" spans="1:16" ht="15" customHeight="1" x14ac:dyDescent="0.25">
      <c r="A28" s="10">
        <v>7</v>
      </c>
      <c r="B28" s="48">
        <f t="shared" si="5"/>
        <v>44567</v>
      </c>
      <c r="C28" s="17">
        <v>240</v>
      </c>
      <c r="D28" s="17"/>
      <c r="E28" s="16">
        <v>44576</v>
      </c>
      <c r="F28" t="s">
        <v>114</v>
      </c>
      <c r="G28" s="31" t="s">
        <v>793</v>
      </c>
      <c r="H28" s="17">
        <f t="shared" si="6"/>
        <v>480</v>
      </c>
      <c r="I28" s="17" t="s">
        <v>733</v>
      </c>
      <c r="J28" s="48">
        <v>44589</v>
      </c>
      <c r="K28" s="17">
        <v>2.75</v>
      </c>
      <c r="L28" s="49" t="s">
        <v>22</v>
      </c>
      <c r="N28" t="s">
        <v>733</v>
      </c>
      <c r="P28" s="111">
        <f t="shared" si="1"/>
        <v>0</v>
      </c>
    </row>
    <row r="29" spans="1:16" ht="15" customHeight="1" x14ac:dyDescent="0.25">
      <c r="A29" s="10">
        <v>8</v>
      </c>
      <c r="B29" s="48">
        <f t="shared" si="5"/>
        <v>44574</v>
      </c>
      <c r="C29" s="17">
        <v>240</v>
      </c>
      <c r="D29" s="17"/>
      <c r="E29" s="16">
        <v>44579</v>
      </c>
      <c r="F29" t="s">
        <v>114</v>
      </c>
      <c r="G29" s="31" t="s">
        <v>793</v>
      </c>
      <c r="H29" s="17">
        <f t="shared" si="6"/>
        <v>720</v>
      </c>
      <c r="I29" s="17" t="s">
        <v>733</v>
      </c>
      <c r="J29" s="48">
        <v>44609</v>
      </c>
      <c r="K29" s="17">
        <v>2.75</v>
      </c>
      <c r="L29" s="49" t="s">
        <v>22</v>
      </c>
      <c r="N29" t="s">
        <v>733</v>
      </c>
      <c r="P29" s="111">
        <f t="shared" si="1"/>
        <v>0</v>
      </c>
    </row>
    <row r="30" spans="1:16" ht="15" customHeight="1" x14ac:dyDescent="0.25">
      <c r="A30" s="10">
        <v>9</v>
      </c>
      <c r="B30" s="48">
        <f t="shared" ref="B30:B35" si="7">B29+7</f>
        <v>44581</v>
      </c>
      <c r="C30" s="17">
        <v>240</v>
      </c>
      <c r="D30" s="17"/>
      <c r="E30" s="16">
        <v>44583</v>
      </c>
      <c r="F30" t="s">
        <v>114</v>
      </c>
      <c r="G30" s="31" t="s">
        <v>793</v>
      </c>
      <c r="H30" s="17">
        <f t="shared" si="6"/>
        <v>960</v>
      </c>
      <c r="I30" s="17" t="s">
        <v>733</v>
      </c>
      <c r="J30" s="48">
        <v>44603</v>
      </c>
      <c r="K30" s="17">
        <v>0.99</v>
      </c>
      <c r="L30" s="49" t="s">
        <v>22</v>
      </c>
      <c r="N30" t="s">
        <v>733</v>
      </c>
      <c r="P30" s="111">
        <f t="shared" si="1"/>
        <v>0</v>
      </c>
    </row>
    <row r="31" spans="1:16" ht="15" customHeight="1" x14ac:dyDescent="0.25">
      <c r="A31" s="10">
        <v>10</v>
      </c>
      <c r="B31" s="48">
        <f t="shared" si="7"/>
        <v>44588</v>
      </c>
      <c r="C31" s="17">
        <v>240</v>
      </c>
      <c r="D31" s="17"/>
      <c r="E31" s="16">
        <v>44592</v>
      </c>
      <c r="F31" t="s">
        <v>114</v>
      </c>
      <c r="G31" s="31" t="s">
        <v>793</v>
      </c>
      <c r="H31" s="17">
        <f t="shared" si="6"/>
        <v>1200</v>
      </c>
      <c r="I31" s="17" t="s">
        <v>733</v>
      </c>
      <c r="J31" s="48">
        <v>44616</v>
      </c>
      <c r="K31" s="17">
        <v>2.75</v>
      </c>
      <c r="L31" s="49" t="s">
        <v>22</v>
      </c>
      <c r="N31" t="s">
        <v>733</v>
      </c>
      <c r="P31" s="111">
        <f t="shared" si="1"/>
        <v>0</v>
      </c>
    </row>
    <row r="32" spans="1:16" ht="15" customHeight="1" x14ac:dyDescent="0.25">
      <c r="A32" s="10">
        <v>11</v>
      </c>
      <c r="B32" s="48">
        <f t="shared" si="7"/>
        <v>44595</v>
      </c>
      <c r="C32" s="17">
        <v>240</v>
      </c>
      <c r="D32" s="17">
        <v>240</v>
      </c>
      <c r="E32" s="16">
        <v>44599</v>
      </c>
      <c r="F32" t="s">
        <v>114</v>
      </c>
      <c r="G32" s="31" t="s">
        <v>793</v>
      </c>
      <c r="H32" s="17">
        <f t="shared" si="6"/>
        <v>1200</v>
      </c>
      <c r="I32" s="17" t="s">
        <v>733</v>
      </c>
      <c r="J32" s="48">
        <v>44610</v>
      </c>
      <c r="K32" s="17">
        <v>0.99</v>
      </c>
      <c r="L32" s="49" t="s">
        <v>22</v>
      </c>
      <c r="N32" t="s">
        <v>733</v>
      </c>
      <c r="P32" s="111">
        <f t="shared" si="1"/>
        <v>0</v>
      </c>
    </row>
    <row r="33" spans="1:16" ht="15" customHeight="1" x14ac:dyDescent="0.25">
      <c r="A33" s="10">
        <v>12</v>
      </c>
      <c r="B33" s="48">
        <f t="shared" si="7"/>
        <v>44602</v>
      </c>
      <c r="C33" s="17">
        <v>240</v>
      </c>
      <c r="D33" s="17"/>
      <c r="E33" s="16"/>
      <c r="H33" s="17">
        <f t="shared" si="6"/>
        <v>1440</v>
      </c>
      <c r="I33" s="17" t="s">
        <v>733</v>
      </c>
      <c r="J33" s="48">
        <v>44623</v>
      </c>
      <c r="K33" s="17">
        <v>130</v>
      </c>
      <c r="L33" s="49" t="s">
        <v>16</v>
      </c>
      <c r="N33" t="s">
        <v>733</v>
      </c>
      <c r="P33" s="111">
        <f t="shared" si="1"/>
        <v>0</v>
      </c>
    </row>
    <row r="34" spans="1:16" ht="15" customHeight="1" x14ac:dyDescent="0.25">
      <c r="A34" s="10">
        <v>13</v>
      </c>
      <c r="B34" s="48">
        <f t="shared" si="7"/>
        <v>44609</v>
      </c>
      <c r="C34" s="17">
        <v>240</v>
      </c>
      <c r="D34" s="17">
        <v>240</v>
      </c>
      <c r="E34" s="16">
        <v>44614</v>
      </c>
      <c r="F34" t="s">
        <v>114</v>
      </c>
      <c r="G34" s="31" t="s">
        <v>793</v>
      </c>
      <c r="H34" s="17">
        <f t="shared" si="6"/>
        <v>1440</v>
      </c>
      <c r="I34" s="17" t="s">
        <v>733</v>
      </c>
      <c r="J34" s="48">
        <v>44623</v>
      </c>
      <c r="K34" s="17">
        <v>2.75</v>
      </c>
      <c r="L34" s="49" t="s">
        <v>22</v>
      </c>
      <c r="N34" t="s">
        <v>733</v>
      </c>
      <c r="P34" s="111">
        <f t="shared" si="1"/>
        <v>0</v>
      </c>
    </row>
    <row r="35" spans="1:16" ht="15" customHeight="1" x14ac:dyDescent="0.25">
      <c r="A35" s="10">
        <v>14</v>
      </c>
      <c r="B35" s="48">
        <f t="shared" si="7"/>
        <v>44616</v>
      </c>
      <c r="C35" s="17">
        <v>240</v>
      </c>
      <c r="D35" s="17">
        <v>240</v>
      </c>
      <c r="E35" s="16">
        <v>44620</v>
      </c>
      <c r="F35" t="s">
        <v>114</v>
      </c>
      <c r="G35" s="31" t="s">
        <v>793</v>
      </c>
      <c r="H35" s="17">
        <f t="shared" si="6"/>
        <v>1440</v>
      </c>
      <c r="I35" s="17" t="s">
        <v>733</v>
      </c>
      <c r="J35" s="48">
        <v>44617</v>
      </c>
      <c r="K35" s="17">
        <v>0.99</v>
      </c>
      <c r="L35" s="49" t="s">
        <v>22</v>
      </c>
      <c r="N35" t="s">
        <v>733</v>
      </c>
      <c r="P35" s="111">
        <f t="shared" si="1"/>
        <v>0</v>
      </c>
    </row>
    <row r="36" spans="1:16" ht="15" customHeight="1" x14ac:dyDescent="0.25">
      <c r="A36" s="10">
        <v>15</v>
      </c>
      <c r="B36" s="48">
        <f t="shared" ref="B36:B41" si="8">B35+7</f>
        <v>44623</v>
      </c>
      <c r="C36" s="17">
        <v>240</v>
      </c>
      <c r="D36" s="17"/>
      <c r="E36" s="16"/>
      <c r="H36" s="17">
        <f t="shared" si="6"/>
        <v>1680</v>
      </c>
      <c r="I36" s="17" t="s">
        <v>733</v>
      </c>
      <c r="J36" s="48">
        <v>44637</v>
      </c>
      <c r="K36" s="17">
        <v>2.75</v>
      </c>
      <c r="L36" s="49" t="s">
        <v>22</v>
      </c>
      <c r="N36" t="s">
        <v>733</v>
      </c>
      <c r="P36" s="111">
        <f t="shared" si="1"/>
        <v>0</v>
      </c>
    </row>
    <row r="37" spans="1:16" ht="15" customHeight="1" x14ac:dyDescent="0.25">
      <c r="A37" s="10">
        <v>16</v>
      </c>
      <c r="B37" s="48">
        <f t="shared" si="8"/>
        <v>44630</v>
      </c>
      <c r="C37" s="17">
        <v>240</v>
      </c>
      <c r="D37" s="17">
        <v>240</v>
      </c>
      <c r="E37" s="16">
        <v>44631</v>
      </c>
      <c r="F37" t="s">
        <v>114</v>
      </c>
      <c r="G37" s="31" t="s">
        <v>793</v>
      </c>
      <c r="H37" s="17">
        <f t="shared" si="6"/>
        <v>1680</v>
      </c>
      <c r="I37" s="17" t="s">
        <v>733</v>
      </c>
      <c r="J37" s="48">
        <v>44631</v>
      </c>
      <c r="K37" s="17">
        <v>0.99</v>
      </c>
      <c r="L37" s="49" t="s">
        <v>22</v>
      </c>
      <c r="N37" t="s">
        <v>733</v>
      </c>
      <c r="P37" s="111">
        <f t="shared" si="1"/>
        <v>0</v>
      </c>
    </row>
    <row r="38" spans="1:16" ht="15" customHeight="1" x14ac:dyDescent="0.25">
      <c r="A38" s="10">
        <v>17</v>
      </c>
      <c r="B38" s="48">
        <f t="shared" si="8"/>
        <v>44637</v>
      </c>
      <c r="C38" s="17">
        <v>240</v>
      </c>
      <c r="D38" s="17">
        <v>240</v>
      </c>
      <c r="E38" s="16">
        <v>44636</v>
      </c>
      <c r="F38" t="s">
        <v>114</v>
      </c>
      <c r="G38" s="31" t="s">
        <v>793</v>
      </c>
      <c r="H38" s="17">
        <f t="shared" si="6"/>
        <v>1680</v>
      </c>
      <c r="I38" s="17" t="s">
        <v>733</v>
      </c>
      <c r="J38" s="48">
        <v>44656</v>
      </c>
      <c r="K38" s="17">
        <v>130</v>
      </c>
      <c r="L38" s="49" t="s">
        <v>16</v>
      </c>
      <c r="N38" t="s">
        <v>733</v>
      </c>
      <c r="P38" s="111">
        <f t="shared" si="1"/>
        <v>0</v>
      </c>
    </row>
    <row r="39" spans="1:16" ht="15" customHeight="1" x14ac:dyDescent="0.25">
      <c r="A39" s="10">
        <v>18</v>
      </c>
      <c r="B39" s="48">
        <f t="shared" si="8"/>
        <v>44644</v>
      </c>
      <c r="C39" s="17">
        <v>240</v>
      </c>
      <c r="D39" s="17">
        <v>240</v>
      </c>
      <c r="E39" s="16">
        <v>44649</v>
      </c>
      <c r="F39" t="s">
        <v>117</v>
      </c>
      <c r="H39" s="17">
        <f t="shared" si="6"/>
        <v>1680</v>
      </c>
      <c r="I39" s="17" t="s">
        <v>733</v>
      </c>
      <c r="J39" s="48">
        <v>44676</v>
      </c>
      <c r="K39" s="17">
        <v>0.99</v>
      </c>
      <c r="L39" s="49" t="s">
        <v>22</v>
      </c>
      <c r="N39" t="s">
        <v>733</v>
      </c>
      <c r="P39" s="111">
        <f t="shared" si="1"/>
        <v>0</v>
      </c>
    </row>
    <row r="40" spans="1:16" ht="15" customHeight="1" x14ac:dyDescent="0.25">
      <c r="A40" s="10">
        <v>19</v>
      </c>
      <c r="B40" s="48">
        <f t="shared" si="8"/>
        <v>44651</v>
      </c>
      <c r="C40" s="17">
        <v>240</v>
      </c>
      <c r="D40" s="17"/>
      <c r="E40" s="16"/>
      <c r="H40" s="17">
        <f t="shared" si="6"/>
        <v>1920</v>
      </c>
      <c r="I40" s="17" t="s">
        <v>733</v>
      </c>
      <c r="J40" s="48">
        <v>44657</v>
      </c>
      <c r="K40" s="17">
        <v>200</v>
      </c>
      <c r="L40" s="49" t="s">
        <v>26</v>
      </c>
      <c r="N40" t="s">
        <v>733</v>
      </c>
      <c r="P40" s="111">
        <f t="shared" si="1"/>
        <v>0</v>
      </c>
    </row>
    <row r="41" spans="1:16" ht="15" customHeight="1" x14ac:dyDescent="0.25">
      <c r="A41" s="10">
        <v>20</v>
      </c>
      <c r="B41" s="48">
        <f t="shared" si="8"/>
        <v>44658</v>
      </c>
      <c r="C41" s="17">
        <v>240</v>
      </c>
      <c r="D41" s="17">
        <v>240</v>
      </c>
      <c r="E41" s="16">
        <v>44661</v>
      </c>
      <c r="F41" t="s">
        <v>117</v>
      </c>
      <c r="H41" s="17">
        <f t="shared" si="6"/>
        <v>1920</v>
      </c>
      <c r="I41" s="17" t="s">
        <v>733</v>
      </c>
      <c r="J41" s="48">
        <v>44658</v>
      </c>
      <c r="K41" s="17">
        <v>2.75</v>
      </c>
      <c r="L41" s="49" t="s">
        <v>22</v>
      </c>
      <c r="N41" t="s">
        <v>733</v>
      </c>
      <c r="P41" s="111">
        <f t="shared" si="1"/>
        <v>0</v>
      </c>
    </row>
    <row r="42" spans="1:16" ht="15" customHeight="1" x14ac:dyDescent="0.25">
      <c r="A42" s="10">
        <v>21</v>
      </c>
      <c r="B42" s="48">
        <f t="shared" ref="B42:B47" si="9">B41+7</f>
        <v>44665</v>
      </c>
      <c r="C42" s="17">
        <v>240</v>
      </c>
      <c r="D42" s="17">
        <v>240</v>
      </c>
      <c r="E42" s="16">
        <v>44668</v>
      </c>
      <c r="F42" t="s">
        <v>117</v>
      </c>
      <c r="H42" s="17">
        <f t="shared" si="6"/>
        <v>1920</v>
      </c>
      <c r="I42" s="17" t="s">
        <v>733</v>
      </c>
      <c r="J42" s="48">
        <v>44652</v>
      </c>
      <c r="K42" s="17">
        <v>0.99</v>
      </c>
      <c r="L42" s="49" t="s">
        <v>22</v>
      </c>
      <c r="N42" t="s">
        <v>733</v>
      </c>
      <c r="P42" s="111">
        <f t="shared" si="1"/>
        <v>0</v>
      </c>
    </row>
    <row r="43" spans="1:16" ht="15" customHeight="1" x14ac:dyDescent="0.25">
      <c r="A43" s="10">
        <v>22</v>
      </c>
      <c r="B43" s="48">
        <f t="shared" si="9"/>
        <v>44672</v>
      </c>
      <c r="C43" s="17">
        <v>240</v>
      </c>
      <c r="D43" s="17">
        <v>240</v>
      </c>
      <c r="E43" s="16">
        <v>44678</v>
      </c>
      <c r="F43" t="s">
        <v>117</v>
      </c>
      <c r="H43" s="17">
        <f t="shared" si="6"/>
        <v>1920</v>
      </c>
      <c r="I43" s="17" t="s">
        <v>733</v>
      </c>
      <c r="J43" s="48">
        <v>44659</v>
      </c>
      <c r="K43" s="17">
        <v>0.99</v>
      </c>
      <c r="L43" s="49" t="s">
        <v>22</v>
      </c>
      <c r="N43" t="s">
        <v>733</v>
      </c>
      <c r="P43" s="111">
        <f t="shared" si="1"/>
        <v>0</v>
      </c>
    </row>
    <row r="44" spans="1:16" ht="15" customHeight="1" x14ac:dyDescent="0.25">
      <c r="A44" s="10">
        <v>23</v>
      </c>
      <c r="B44" s="48">
        <f t="shared" si="9"/>
        <v>44679</v>
      </c>
      <c r="C44" s="17">
        <v>240</v>
      </c>
      <c r="D44" s="17">
        <v>240</v>
      </c>
      <c r="E44" s="16">
        <v>44681</v>
      </c>
      <c r="F44" t="s">
        <v>117</v>
      </c>
      <c r="H44" s="17">
        <f t="shared" si="6"/>
        <v>1920</v>
      </c>
      <c r="I44" s="17" t="s">
        <v>733</v>
      </c>
      <c r="J44" s="48">
        <v>44670</v>
      </c>
      <c r="K44" s="17">
        <v>0.99</v>
      </c>
      <c r="L44" s="49" t="s">
        <v>22</v>
      </c>
      <c r="N44" t="s">
        <v>733</v>
      </c>
      <c r="P44" s="111">
        <f t="shared" si="1"/>
        <v>0</v>
      </c>
    </row>
    <row r="45" spans="1:16" ht="15" customHeight="1" x14ac:dyDescent="0.25">
      <c r="A45" s="10">
        <v>24</v>
      </c>
      <c r="B45" s="48">
        <f t="shared" si="9"/>
        <v>44686</v>
      </c>
      <c r="C45" s="17">
        <v>240</v>
      </c>
      <c r="D45" s="17">
        <v>240</v>
      </c>
      <c r="E45" s="16">
        <v>44691</v>
      </c>
      <c r="F45" t="s">
        <v>117</v>
      </c>
      <c r="H45" s="17">
        <f>IFERROR(IF(F44="Closed account",(IF(F45="Unpaid Rent",(C45),(C45-D45))),(IF(F45="Unpaid Rent",(C45+H44),(C45-D45+H44)))),"")</f>
        <v>1920</v>
      </c>
      <c r="I45" s="17" t="s">
        <v>733</v>
      </c>
      <c r="J45" s="48">
        <v>44665</v>
      </c>
      <c r="K45" s="17">
        <v>2.75</v>
      </c>
      <c r="L45" s="49" t="s">
        <v>22</v>
      </c>
      <c r="N45" t="s">
        <v>733</v>
      </c>
      <c r="P45" s="111">
        <f t="shared" si="1"/>
        <v>0</v>
      </c>
    </row>
    <row r="46" spans="1:16" ht="15" customHeight="1" x14ac:dyDescent="0.25">
      <c r="A46" s="10">
        <v>25</v>
      </c>
      <c r="B46" s="48">
        <f t="shared" si="9"/>
        <v>44693</v>
      </c>
      <c r="C46" s="17">
        <v>240</v>
      </c>
      <c r="D46" s="17">
        <f>240+240</f>
        <v>480</v>
      </c>
      <c r="E46" s="16">
        <v>44702</v>
      </c>
      <c r="F46" t="s">
        <v>117</v>
      </c>
      <c r="H46" s="17">
        <f>IFERROR(IF(F45="Closed account",(IF(F46="Unpaid Rent",(C46),(C46-D46))),(IF(F46="Unpaid Rent",(C46+H45),(C46-D46+H45)))),"")</f>
        <v>1680</v>
      </c>
      <c r="I46" s="17" t="s">
        <v>733</v>
      </c>
      <c r="J46" s="48">
        <v>44684</v>
      </c>
      <c r="K46" s="17">
        <v>130</v>
      </c>
      <c r="L46" s="49" t="s">
        <v>16</v>
      </c>
      <c r="N46" t="s">
        <v>733</v>
      </c>
      <c r="P46" s="111">
        <f t="shared" si="1"/>
        <v>0</v>
      </c>
    </row>
    <row r="47" spans="1:16" ht="15" customHeight="1" x14ac:dyDescent="0.25">
      <c r="A47" s="10">
        <v>26</v>
      </c>
      <c r="B47" s="48">
        <f t="shared" si="9"/>
        <v>44700</v>
      </c>
      <c r="C47" s="17">
        <v>240</v>
      </c>
      <c r="D47" s="17">
        <v>300</v>
      </c>
      <c r="E47" s="16">
        <v>44700</v>
      </c>
      <c r="F47" t="s">
        <v>157</v>
      </c>
      <c r="H47" s="17">
        <f>IFERROR(IF(F46="Closed account",(IF(F47="Unpaid Rent",(C47),(C47-D47))),(IF(F47="Unpaid Rent",(C47+H46),(C47-D47+H46)))),"")</f>
        <v>1620</v>
      </c>
      <c r="I47" s="17" t="s">
        <v>733</v>
      </c>
      <c r="J47" s="48">
        <v>44695</v>
      </c>
      <c r="K47" s="17">
        <v>32.71</v>
      </c>
      <c r="L47" s="49" t="s">
        <v>133</v>
      </c>
      <c r="M47" t="s">
        <v>830</v>
      </c>
      <c r="N47" t="s">
        <v>733</v>
      </c>
      <c r="P47" s="111">
        <f t="shared" si="1"/>
        <v>0</v>
      </c>
    </row>
    <row r="48" spans="1:16" ht="15" customHeight="1" x14ac:dyDescent="0.25">
      <c r="A48" s="10">
        <v>27</v>
      </c>
      <c r="B48" s="48">
        <f>B47+7</f>
        <v>44707</v>
      </c>
      <c r="C48" s="17">
        <v>240</v>
      </c>
      <c r="D48" s="17">
        <v>240</v>
      </c>
      <c r="E48" s="16">
        <v>44712</v>
      </c>
      <c r="F48" t="s">
        <v>124</v>
      </c>
      <c r="H48" s="17">
        <f>IFERROR(IF(F47="Closed account",(IF(F48="Unpaid Rent",(C48),(C48-D48))),(IF(F48="Unpaid Rent",(C48+H47),(C48-D48+H47)))),"")</f>
        <v>1620</v>
      </c>
      <c r="I48" s="17" t="s">
        <v>733</v>
      </c>
      <c r="J48" s="48">
        <v>44698</v>
      </c>
      <c r="K48" s="17">
        <f>51.89+35.9</f>
        <v>87.789999999999992</v>
      </c>
      <c r="L48" s="49" t="s">
        <v>133</v>
      </c>
      <c r="M48" t="s">
        <v>453</v>
      </c>
      <c r="N48" t="s">
        <v>733</v>
      </c>
      <c r="P48" s="111">
        <f t="shared" si="1"/>
        <v>0</v>
      </c>
    </row>
    <row r="49" spans="1:16" ht="15" customHeight="1" x14ac:dyDescent="0.25">
      <c r="A49" s="10">
        <v>1</v>
      </c>
      <c r="B49" s="48">
        <v>44728</v>
      </c>
      <c r="C49" s="17">
        <v>400</v>
      </c>
      <c r="D49" s="17">
        <v>400</v>
      </c>
      <c r="E49" s="16">
        <v>44727</v>
      </c>
      <c r="F49" t="s">
        <v>181</v>
      </c>
      <c r="H49" s="17">
        <f t="shared" ref="H49:H62" si="10">IFERROR(IF(F48="Closed account",(IF(F49="Unpaid Rent",(C49),(C49-D49))),(IF(F49="Unpaid Rent",(C49+H48),(C49-D49+H48)))),"")</f>
        <v>0</v>
      </c>
      <c r="I49" s="17" t="s">
        <v>850</v>
      </c>
      <c r="J49" s="48">
        <v>44715</v>
      </c>
      <c r="K49" s="17">
        <v>130</v>
      </c>
      <c r="L49" s="49" t="s">
        <v>16</v>
      </c>
      <c r="N49" t="s">
        <v>733</v>
      </c>
      <c r="P49" s="111">
        <f t="shared" si="1"/>
        <v>0</v>
      </c>
    </row>
    <row r="50" spans="1:16" ht="15" customHeight="1" x14ac:dyDescent="0.25">
      <c r="A50" s="10">
        <v>1</v>
      </c>
      <c r="B50" s="48">
        <v>44728</v>
      </c>
      <c r="C50" s="17">
        <v>280</v>
      </c>
      <c r="D50" s="17">
        <v>280</v>
      </c>
      <c r="E50" s="16">
        <v>44728</v>
      </c>
      <c r="F50" t="s">
        <v>117</v>
      </c>
      <c r="H50" s="17">
        <f t="shared" si="10"/>
        <v>0</v>
      </c>
      <c r="I50" s="17" t="s">
        <v>850</v>
      </c>
      <c r="J50" s="48">
        <v>44720</v>
      </c>
      <c r="K50" s="17">
        <v>201.31</v>
      </c>
      <c r="L50" s="49" t="s">
        <v>20</v>
      </c>
      <c r="N50" t="s">
        <v>733</v>
      </c>
      <c r="P50" s="111">
        <f t="shared" si="1"/>
        <v>0</v>
      </c>
    </row>
    <row r="51" spans="1:16" ht="15" customHeight="1" x14ac:dyDescent="0.25">
      <c r="A51" s="10">
        <v>2</v>
      </c>
      <c r="B51" s="48">
        <f>B50+7</f>
        <v>44735</v>
      </c>
      <c r="C51" s="17">
        <v>280</v>
      </c>
      <c r="D51" s="17"/>
      <c r="H51" s="17">
        <f t="shared" si="10"/>
        <v>280</v>
      </c>
      <c r="I51" s="17" t="s">
        <v>850</v>
      </c>
      <c r="J51" s="48">
        <v>44722</v>
      </c>
      <c r="K51" s="17">
        <v>1000</v>
      </c>
      <c r="L51" s="49" t="s">
        <v>133</v>
      </c>
      <c r="M51" t="s">
        <v>839</v>
      </c>
      <c r="N51" t="s">
        <v>733</v>
      </c>
      <c r="P51" s="111">
        <f t="shared" si="1"/>
        <v>0</v>
      </c>
    </row>
    <row r="52" spans="1:16" ht="15" customHeight="1" x14ac:dyDescent="0.25">
      <c r="A52" s="10">
        <v>3</v>
      </c>
      <c r="B52" s="48">
        <f>B51+7</f>
        <v>44742</v>
      </c>
      <c r="C52" s="17">
        <v>280</v>
      </c>
      <c r="D52" s="17">
        <v>560</v>
      </c>
      <c r="E52" s="16">
        <v>44742</v>
      </c>
      <c r="F52" t="s">
        <v>117</v>
      </c>
      <c r="H52" s="17">
        <f t="shared" si="10"/>
        <v>0</v>
      </c>
      <c r="I52" s="17" t="s">
        <v>850</v>
      </c>
      <c r="J52" s="48">
        <v>44729</v>
      </c>
      <c r="K52" s="17">
        <v>29.2</v>
      </c>
      <c r="L52" s="49" t="s">
        <v>32</v>
      </c>
      <c r="N52" t="s">
        <v>850</v>
      </c>
      <c r="P52" s="111">
        <f t="shared" si="1"/>
        <v>0</v>
      </c>
    </row>
    <row r="53" spans="1:16" ht="15" customHeight="1" x14ac:dyDescent="0.25">
      <c r="A53" s="10">
        <v>4</v>
      </c>
      <c r="B53" s="48">
        <f>B52+7</f>
        <v>44749</v>
      </c>
      <c r="C53" s="17">
        <v>280</v>
      </c>
      <c r="D53" s="17">
        <v>280</v>
      </c>
      <c r="E53" s="16">
        <v>44754</v>
      </c>
      <c r="F53" t="s">
        <v>124</v>
      </c>
      <c r="H53" s="17">
        <f t="shared" si="10"/>
        <v>0</v>
      </c>
      <c r="I53" s="17" t="s">
        <v>850</v>
      </c>
      <c r="J53" s="48">
        <v>44700</v>
      </c>
      <c r="K53" s="17">
        <v>300</v>
      </c>
      <c r="L53" s="49" t="s">
        <v>45</v>
      </c>
      <c r="N53" t="s">
        <v>733</v>
      </c>
      <c r="P53" s="111">
        <f t="shared" si="1"/>
        <v>0</v>
      </c>
    </row>
    <row r="54" spans="1:16" ht="15" customHeight="1" x14ac:dyDescent="0.25">
      <c r="A54" s="10">
        <v>1</v>
      </c>
      <c r="B54" s="48">
        <v>44816</v>
      </c>
      <c r="C54" s="17"/>
      <c r="D54" s="17"/>
      <c r="H54" s="17">
        <f t="shared" si="10"/>
        <v>0</v>
      </c>
      <c r="I54" s="17" t="s">
        <v>850</v>
      </c>
      <c r="J54" s="48">
        <v>44717</v>
      </c>
      <c r="K54" s="17">
        <v>130</v>
      </c>
      <c r="L54" s="49" t="s">
        <v>16</v>
      </c>
      <c r="N54" t="s">
        <v>14</v>
      </c>
      <c r="P54" s="111">
        <f t="shared" si="1"/>
        <v>0</v>
      </c>
    </row>
    <row r="55" spans="1:16" ht="15" customHeight="1" x14ac:dyDescent="0.25">
      <c r="A55" s="10">
        <v>2</v>
      </c>
      <c r="B55" s="48">
        <f>B54+7</f>
        <v>44823</v>
      </c>
      <c r="C55" s="17">
        <v>270</v>
      </c>
      <c r="D55" s="17">
        <v>270</v>
      </c>
      <c r="E55" s="16">
        <v>44824</v>
      </c>
      <c r="F55" t="s">
        <v>117</v>
      </c>
      <c r="H55" s="17">
        <f t="shared" si="10"/>
        <v>0</v>
      </c>
      <c r="I55" s="17" t="s">
        <v>850</v>
      </c>
      <c r="J55" s="48">
        <v>44747</v>
      </c>
      <c r="K55" s="17">
        <v>687.5</v>
      </c>
      <c r="L55" s="49" t="s">
        <v>17</v>
      </c>
      <c r="M55" t="s">
        <v>675</v>
      </c>
      <c r="N55" t="s">
        <v>733</v>
      </c>
      <c r="P55" s="111">
        <f t="shared" si="1"/>
        <v>0</v>
      </c>
    </row>
    <row r="56" spans="1:16" ht="15" customHeight="1" x14ac:dyDescent="0.25">
      <c r="A56" s="10">
        <v>3</v>
      </c>
      <c r="B56" s="48">
        <f>B55+7</f>
        <v>44830</v>
      </c>
      <c r="C56" s="17">
        <v>100</v>
      </c>
      <c r="D56" s="17"/>
      <c r="E56" s="16"/>
      <c r="H56" s="17">
        <f t="shared" si="10"/>
        <v>100</v>
      </c>
      <c r="I56" s="17" t="s">
        <v>850</v>
      </c>
      <c r="J56" s="48">
        <v>44760</v>
      </c>
      <c r="K56" s="17">
        <v>400</v>
      </c>
      <c r="L56" s="49" t="s">
        <v>45</v>
      </c>
      <c r="N56" t="s">
        <v>850</v>
      </c>
      <c r="P56" s="111">
        <f t="shared" si="1"/>
        <v>0</v>
      </c>
    </row>
    <row r="57" spans="1:16" ht="15" customHeight="1" x14ac:dyDescent="0.25">
      <c r="A57" s="10">
        <v>4</v>
      </c>
      <c r="B57" s="48">
        <f t="shared" ref="B57:B62" si="11">B56+7</f>
        <v>44837</v>
      </c>
      <c r="C57" s="17">
        <v>250</v>
      </c>
      <c r="D57" s="17">
        <v>270</v>
      </c>
      <c r="E57" s="16">
        <v>44831</v>
      </c>
      <c r="F57" t="s">
        <v>117</v>
      </c>
      <c r="H57" s="17">
        <f t="shared" si="10"/>
        <v>80</v>
      </c>
      <c r="I57" s="17" t="s">
        <v>850</v>
      </c>
      <c r="J57" s="48">
        <v>44776</v>
      </c>
      <c r="K57" s="17">
        <v>130</v>
      </c>
      <c r="L57" s="49" t="s">
        <v>16</v>
      </c>
      <c r="N57" t="s">
        <v>14</v>
      </c>
      <c r="P57" s="111">
        <f t="shared" si="1"/>
        <v>0</v>
      </c>
    </row>
    <row r="58" spans="1:16" ht="15" customHeight="1" x14ac:dyDescent="0.25">
      <c r="A58" s="10">
        <v>5</v>
      </c>
      <c r="B58" s="48">
        <f t="shared" si="11"/>
        <v>44844</v>
      </c>
      <c r="C58" s="17">
        <v>250</v>
      </c>
      <c r="D58" s="17"/>
      <c r="E58" s="16"/>
      <c r="H58" s="17">
        <f t="shared" si="10"/>
        <v>330</v>
      </c>
      <c r="I58" s="17" t="s">
        <v>850</v>
      </c>
      <c r="J58" s="48">
        <v>44776</v>
      </c>
      <c r="K58" s="17">
        <v>75</v>
      </c>
      <c r="L58" s="49" t="s">
        <v>53</v>
      </c>
      <c r="N58" t="s">
        <v>14</v>
      </c>
      <c r="P58" s="111">
        <f t="shared" si="1"/>
        <v>0</v>
      </c>
    </row>
    <row r="59" spans="1:16" ht="15" customHeight="1" x14ac:dyDescent="0.25">
      <c r="A59" s="10">
        <v>6</v>
      </c>
      <c r="B59" s="48">
        <f t="shared" si="11"/>
        <v>44851</v>
      </c>
      <c r="C59" s="17">
        <v>250</v>
      </c>
      <c r="D59" s="17"/>
      <c r="E59" s="16"/>
      <c r="H59" s="17">
        <f t="shared" si="10"/>
        <v>580</v>
      </c>
      <c r="I59" s="17" t="s">
        <v>850</v>
      </c>
      <c r="J59" s="48">
        <v>44783</v>
      </c>
      <c r="K59" s="17">
        <v>-1000</v>
      </c>
      <c r="L59" s="49" t="s">
        <v>133</v>
      </c>
      <c r="M59" t="s">
        <v>839</v>
      </c>
      <c r="N59" t="s">
        <v>14</v>
      </c>
      <c r="P59" s="111">
        <f t="shared" si="1"/>
        <v>0</v>
      </c>
    </row>
    <row r="60" spans="1:16" ht="15" customHeight="1" x14ac:dyDescent="0.25">
      <c r="A60" s="10">
        <v>7</v>
      </c>
      <c r="B60" s="48">
        <f t="shared" si="11"/>
        <v>44858</v>
      </c>
      <c r="C60" s="17">
        <v>250</v>
      </c>
      <c r="D60" s="17"/>
      <c r="E60" s="16"/>
      <c r="H60" s="17">
        <f t="shared" si="10"/>
        <v>830</v>
      </c>
      <c r="I60" s="17" t="s">
        <v>850</v>
      </c>
      <c r="J60" s="48">
        <v>44795</v>
      </c>
      <c r="K60" s="17">
        <v>200</v>
      </c>
      <c r="L60" s="49" t="s">
        <v>17</v>
      </c>
      <c r="M60" t="s">
        <v>796</v>
      </c>
      <c r="N60" t="s">
        <v>14</v>
      </c>
      <c r="P60" s="111">
        <f t="shared" si="1"/>
        <v>0</v>
      </c>
    </row>
    <row r="61" spans="1:16" ht="15" customHeight="1" x14ac:dyDescent="0.25">
      <c r="A61" s="10">
        <v>8</v>
      </c>
      <c r="B61" s="48">
        <f t="shared" si="11"/>
        <v>44865</v>
      </c>
      <c r="C61" s="17">
        <v>250</v>
      </c>
      <c r="D61" s="17"/>
      <c r="E61" s="16"/>
      <c r="H61" s="17">
        <f t="shared" si="10"/>
        <v>1080</v>
      </c>
      <c r="I61" s="17" t="s">
        <v>850</v>
      </c>
      <c r="J61" s="48">
        <v>44807</v>
      </c>
      <c r="K61" s="17">
        <v>130</v>
      </c>
      <c r="L61" s="49" t="s">
        <v>16</v>
      </c>
      <c r="N61" t="s">
        <v>14</v>
      </c>
      <c r="P61" s="111">
        <f t="shared" si="1"/>
        <v>0</v>
      </c>
    </row>
    <row r="62" spans="1:16" ht="15" customHeight="1" x14ac:dyDescent="0.25">
      <c r="A62" s="10">
        <v>9</v>
      </c>
      <c r="B62" s="48">
        <f t="shared" si="11"/>
        <v>44872</v>
      </c>
      <c r="C62" s="17"/>
      <c r="D62" s="17">
        <v>1080</v>
      </c>
      <c r="E62" s="16">
        <v>44874</v>
      </c>
      <c r="F62" t="s">
        <v>124</v>
      </c>
      <c r="H62" s="17">
        <f t="shared" si="10"/>
        <v>0</v>
      </c>
      <c r="I62" s="17" t="s">
        <v>850</v>
      </c>
      <c r="J62" s="48">
        <v>44810</v>
      </c>
      <c r="K62" s="17">
        <v>205.68</v>
      </c>
      <c r="L62" s="49" t="s">
        <v>20</v>
      </c>
      <c r="N62" t="s">
        <v>14</v>
      </c>
      <c r="P62" s="111">
        <f t="shared" si="1"/>
        <v>0</v>
      </c>
    </row>
    <row r="63" spans="1:16" ht="15" customHeight="1" x14ac:dyDescent="0.25">
      <c r="A63" s="10">
        <v>1</v>
      </c>
      <c r="B63" s="48">
        <v>44907</v>
      </c>
      <c r="C63" s="17">
        <v>400</v>
      </c>
      <c r="D63" s="17">
        <v>400</v>
      </c>
      <c r="E63" s="16">
        <v>44906</v>
      </c>
      <c r="F63" t="s">
        <v>181</v>
      </c>
      <c r="H63" s="17">
        <f t="shared" ref="H63:H69" si="12">IFERROR(IF(F62="Closed account",(IF(F63="Unpaid Rent",(C63),(C63-D63))),(IF(F63="Unpaid Rent",(C63+H62),(C63-D63+H62)))),"")</f>
        <v>0</v>
      </c>
      <c r="I63" s="17" t="s">
        <v>945</v>
      </c>
      <c r="J63" s="48">
        <v>44860</v>
      </c>
      <c r="K63" s="17">
        <v>130</v>
      </c>
      <c r="L63" s="49" t="s">
        <v>16</v>
      </c>
      <c r="N63" t="s">
        <v>14</v>
      </c>
      <c r="P63" s="111">
        <f t="shared" si="1"/>
        <v>0</v>
      </c>
    </row>
    <row r="64" spans="1:16" ht="15" customHeight="1" x14ac:dyDescent="0.25">
      <c r="A64" s="10">
        <v>1</v>
      </c>
      <c r="B64" s="48">
        <v>44907</v>
      </c>
      <c r="C64" s="17">
        <v>280</v>
      </c>
      <c r="D64" s="17">
        <v>280</v>
      </c>
      <c r="E64" s="16">
        <v>44906</v>
      </c>
      <c r="F64" t="s">
        <v>117</v>
      </c>
      <c r="H64" s="17">
        <f t="shared" si="12"/>
        <v>0</v>
      </c>
      <c r="I64" s="17" t="s">
        <v>945</v>
      </c>
      <c r="J64" s="48">
        <v>44860</v>
      </c>
      <c r="K64" s="17">
        <v>599.5</v>
      </c>
      <c r="L64" s="49" t="s">
        <v>17</v>
      </c>
      <c r="M64" t="s">
        <v>675</v>
      </c>
      <c r="N64" t="s">
        <v>14</v>
      </c>
      <c r="P64" s="111">
        <f t="shared" si="1"/>
        <v>0</v>
      </c>
    </row>
    <row r="65" spans="1:16" ht="15" customHeight="1" x14ac:dyDescent="0.25">
      <c r="A65" s="10">
        <v>2</v>
      </c>
      <c r="B65" s="48">
        <f>B64+7</f>
        <v>44914</v>
      </c>
      <c r="C65" s="17">
        <v>280</v>
      </c>
      <c r="D65" s="17"/>
      <c r="E65" s="16"/>
      <c r="H65" s="17">
        <f t="shared" si="12"/>
        <v>280</v>
      </c>
      <c r="I65" s="17" t="s">
        <v>945</v>
      </c>
      <c r="J65" s="48">
        <v>44875</v>
      </c>
      <c r="K65" s="17">
        <v>429</v>
      </c>
      <c r="L65" s="49" t="s">
        <v>17</v>
      </c>
      <c r="M65" t="s">
        <v>675</v>
      </c>
      <c r="N65" t="s">
        <v>14</v>
      </c>
      <c r="P65" s="111">
        <f t="shared" si="1"/>
        <v>0</v>
      </c>
    </row>
    <row r="66" spans="1:16" ht="15" customHeight="1" x14ac:dyDescent="0.25">
      <c r="A66" s="10">
        <v>3</v>
      </c>
      <c r="B66" s="48">
        <f>B65+7</f>
        <v>44921</v>
      </c>
      <c r="C66" s="17">
        <v>280</v>
      </c>
      <c r="D66" s="17">
        <v>560</v>
      </c>
      <c r="E66" s="16">
        <v>44931</v>
      </c>
      <c r="F66" t="s">
        <v>117</v>
      </c>
      <c r="H66" s="17">
        <f t="shared" si="12"/>
        <v>0</v>
      </c>
      <c r="I66" s="17" t="s">
        <v>945</v>
      </c>
      <c r="J66" s="48">
        <v>44889</v>
      </c>
      <c r="K66" s="17">
        <v>2000</v>
      </c>
      <c r="L66" s="49" t="s">
        <v>17</v>
      </c>
      <c r="M66" t="s">
        <v>867</v>
      </c>
      <c r="N66" t="s">
        <v>14</v>
      </c>
      <c r="P66" s="111">
        <f t="shared" si="1"/>
        <v>0</v>
      </c>
    </row>
    <row r="67" spans="1:16" ht="15" customHeight="1" x14ac:dyDescent="0.25">
      <c r="A67" s="10">
        <v>4</v>
      </c>
      <c r="B67" s="48">
        <f>B66+7</f>
        <v>44928</v>
      </c>
      <c r="C67" s="17"/>
      <c r="D67" s="17"/>
      <c r="F67" t="s">
        <v>124</v>
      </c>
      <c r="H67" s="17">
        <f t="shared" si="12"/>
        <v>0</v>
      </c>
      <c r="I67" s="17" t="s">
        <v>945</v>
      </c>
      <c r="J67" s="48">
        <v>44903</v>
      </c>
      <c r="K67" s="17">
        <v>80</v>
      </c>
      <c r="L67" s="49" t="s">
        <v>98</v>
      </c>
      <c r="N67" t="s">
        <v>14</v>
      </c>
      <c r="P67" s="111">
        <f t="shared" si="1"/>
        <v>0</v>
      </c>
    </row>
    <row r="68" spans="1:16" ht="15" customHeight="1" x14ac:dyDescent="0.25">
      <c r="B68" s="48"/>
      <c r="C68" s="17"/>
      <c r="D68" s="17"/>
      <c r="E68" s="16"/>
      <c r="H68" s="17">
        <f t="shared" si="12"/>
        <v>0</v>
      </c>
      <c r="I68" s="17"/>
      <c r="J68" s="48">
        <v>44889</v>
      </c>
      <c r="K68" s="17">
        <v>205.68</v>
      </c>
      <c r="L68" s="49" t="s">
        <v>20</v>
      </c>
      <c r="N68" t="s">
        <v>14</v>
      </c>
      <c r="P68" s="111">
        <f t="shared" si="1"/>
        <v>0</v>
      </c>
    </row>
    <row r="69" spans="1:16" ht="15" customHeight="1" x14ac:dyDescent="0.25">
      <c r="B69" s="48"/>
      <c r="C69" s="17"/>
      <c r="D69" s="17"/>
      <c r="H69" s="17">
        <f t="shared" si="12"/>
        <v>0</v>
      </c>
      <c r="I69" s="17"/>
      <c r="J69" s="48">
        <v>44903</v>
      </c>
      <c r="K69" s="17">
        <v>150</v>
      </c>
      <c r="L69" s="49" t="s">
        <v>26</v>
      </c>
      <c r="N69" t="s">
        <v>945</v>
      </c>
      <c r="P69" s="111">
        <f t="shared" si="1"/>
        <v>0</v>
      </c>
    </row>
    <row r="70" spans="1:16" ht="15" customHeight="1" x14ac:dyDescent="0.25">
      <c r="B70" s="50"/>
      <c r="J70" s="48">
        <v>44931</v>
      </c>
      <c r="K70" s="17">
        <v>400</v>
      </c>
      <c r="L70" s="49" t="s">
        <v>45</v>
      </c>
      <c r="N70" t="s">
        <v>945</v>
      </c>
      <c r="P70" s="111">
        <f t="shared" si="1"/>
        <v>0</v>
      </c>
    </row>
    <row r="71" spans="1:16" ht="15" customHeight="1" x14ac:dyDescent="0.25">
      <c r="B71" s="50"/>
      <c r="J71" s="48">
        <v>45032</v>
      </c>
      <c r="K71" s="17">
        <v>410</v>
      </c>
      <c r="L71" s="49" t="s">
        <v>17</v>
      </c>
      <c r="M71" t="s">
        <v>835</v>
      </c>
      <c r="N71" t="s">
        <v>14</v>
      </c>
      <c r="P71" s="111">
        <f t="shared" si="1"/>
        <v>0</v>
      </c>
    </row>
    <row r="72" spans="1:16" ht="15" customHeight="1" x14ac:dyDescent="0.25">
      <c r="B72" s="50"/>
      <c r="J72" s="48">
        <v>45043</v>
      </c>
      <c r="K72" s="17">
        <v>614</v>
      </c>
      <c r="L72" s="49" t="s">
        <v>17</v>
      </c>
      <c r="M72" t="s">
        <v>1023</v>
      </c>
      <c r="N72" t="s">
        <v>14</v>
      </c>
      <c r="P72" s="111">
        <f t="shared" si="1"/>
        <v>0</v>
      </c>
    </row>
    <row r="73" spans="1:16" x14ac:dyDescent="0.25">
      <c r="A73"/>
      <c r="B73" s="50"/>
      <c r="J73" s="48"/>
      <c r="K73" s="17"/>
      <c r="L73" s="49"/>
    </row>
    <row r="74" spans="1:16" x14ac:dyDescent="0.25">
      <c r="A74"/>
      <c r="B74" s="50"/>
      <c r="J74" s="48"/>
      <c r="K74" s="17"/>
      <c r="L74" s="49"/>
    </row>
    <row r="75" spans="1:16" x14ac:dyDescent="0.25">
      <c r="A75"/>
      <c r="B75" s="50"/>
      <c r="J75" s="48"/>
      <c r="K75" s="17"/>
      <c r="L75" s="49"/>
      <c r="M75">
        <f>SUBTOTAL(9,K7:K74)</f>
        <v>10369.259999999998</v>
      </c>
    </row>
    <row r="76" spans="1:16" x14ac:dyDescent="0.25">
      <c r="A76"/>
      <c r="B76" s="50"/>
      <c r="J76" s="48"/>
      <c r="K76" s="17"/>
      <c r="L76" s="49"/>
    </row>
    <row r="77" spans="1:16" x14ac:dyDescent="0.25">
      <c r="A77"/>
      <c r="B77" s="50"/>
      <c r="J77" s="48"/>
      <c r="K77" s="17"/>
      <c r="L77" s="49"/>
    </row>
    <row r="78" spans="1:16" x14ac:dyDescent="0.25">
      <c r="A78"/>
      <c r="B78" s="50"/>
      <c r="J78" s="48"/>
      <c r="K78" s="17"/>
      <c r="L78" s="49"/>
    </row>
    <row r="79" spans="1:16" x14ac:dyDescent="0.25">
      <c r="A79"/>
      <c r="B79" s="50"/>
      <c r="J79" s="48"/>
      <c r="K79" s="17"/>
      <c r="L79" s="49"/>
    </row>
    <row r="80" spans="1:16" x14ac:dyDescent="0.25">
      <c r="A80"/>
      <c r="B80" s="50"/>
      <c r="J80" s="48"/>
      <c r="K80" s="17"/>
      <c r="L80" s="49"/>
    </row>
    <row r="81" spans="1:12" x14ac:dyDescent="0.25">
      <c r="A81"/>
      <c r="B81" s="50"/>
      <c r="J81" s="48"/>
      <c r="K81" s="17"/>
      <c r="L81" s="49"/>
    </row>
    <row r="82" spans="1:12" x14ac:dyDescent="0.25">
      <c r="A82"/>
      <c r="B82" s="50"/>
      <c r="J82" s="48"/>
      <c r="K82" s="17"/>
      <c r="L82" s="49"/>
    </row>
    <row r="83" spans="1:12" x14ac:dyDescent="0.25">
      <c r="A83"/>
      <c r="B83" s="50"/>
      <c r="J83" s="48"/>
      <c r="K83" s="17"/>
      <c r="L83" s="49"/>
    </row>
    <row r="84" spans="1:12" x14ac:dyDescent="0.25">
      <c r="A84"/>
      <c r="B84" s="50"/>
      <c r="J84" s="48"/>
      <c r="K84" s="17"/>
      <c r="L84" s="49"/>
    </row>
    <row r="85" spans="1:12" x14ac:dyDescent="0.25">
      <c r="A85"/>
      <c r="B85" s="50"/>
      <c r="J85" s="48"/>
      <c r="K85" s="17"/>
      <c r="L85" s="49"/>
    </row>
    <row r="86" spans="1:12" x14ac:dyDescent="0.25">
      <c r="A86"/>
      <c r="B86" s="50"/>
      <c r="J86" s="48"/>
      <c r="K86" s="17"/>
      <c r="L86" s="49"/>
    </row>
    <row r="87" spans="1:12" x14ac:dyDescent="0.25">
      <c r="A87"/>
      <c r="B87" s="50"/>
      <c r="J87" s="48"/>
      <c r="K87" s="17"/>
      <c r="L87" s="49"/>
    </row>
    <row r="88" spans="1:12" x14ac:dyDescent="0.25">
      <c r="A88"/>
      <c r="B88" s="50"/>
      <c r="J88" s="48"/>
      <c r="K88" s="17"/>
      <c r="L88" s="49"/>
    </row>
    <row r="89" spans="1:12" x14ac:dyDescent="0.25">
      <c r="A89"/>
      <c r="B89" s="50"/>
      <c r="J89" s="48"/>
      <c r="K89" s="17"/>
      <c r="L89" s="49"/>
    </row>
    <row r="90" spans="1:12" x14ac:dyDescent="0.25">
      <c r="A90"/>
      <c r="B90" s="50"/>
      <c r="J90" s="48"/>
      <c r="K90" s="17"/>
      <c r="L90" s="49"/>
    </row>
    <row r="91" spans="1:12" x14ac:dyDescent="0.25">
      <c r="A91"/>
      <c r="B91" s="50"/>
      <c r="J91" s="48"/>
      <c r="K91" s="17"/>
      <c r="L91" s="49"/>
    </row>
    <row r="92" spans="1:12" x14ac:dyDescent="0.25">
      <c r="A92"/>
      <c r="B92" s="50"/>
      <c r="J92" s="48"/>
      <c r="K92" s="17"/>
      <c r="L92" s="49"/>
    </row>
    <row r="93" spans="1:12" x14ac:dyDescent="0.25">
      <c r="A93"/>
      <c r="B93" s="50"/>
      <c r="J93" s="48"/>
      <c r="K93" s="17"/>
      <c r="L93" s="49"/>
    </row>
    <row r="94" spans="1:12" x14ac:dyDescent="0.25">
      <c r="A94"/>
      <c r="B94" s="50"/>
      <c r="J94" s="48"/>
      <c r="K94" s="17"/>
      <c r="L94" s="49"/>
    </row>
    <row r="95" spans="1:12" x14ac:dyDescent="0.25">
      <c r="A95"/>
      <c r="B95" s="50"/>
      <c r="J95" s="48"/>
      <c r="K95" s="17"/>
      <c r="L95" s="49"/>
    </row>
    <row r="96" spans="1:12" x14ac:dyDescent="0.25">
      <c r="A96"/>
      <c r="B96" s="50"/>
      <c r="J96" s="48"/>
      <c r="K96" s="17"/>
      <c r="L96" s="49"/>
    </row>
    <row r="97" spans="1:12" x14ac:dyDescent="0.25">
      <c r="A97"/>
      <c r="B97" s="50"/>
      <c r="J97" s="48"/>
      <c r="K97" s="17"/>
      <c r="L97" s="49"/>
    </row>
    <row r="98" spans="1:12" x14ac:dyDescent="0.25">
      <c r="A98"/>
      <c r="B98" s="50"/>
      <c r="J98" s="48"/>
      <c r="K98" s="17"/>
      <c r="L98" s="49"/>
    </row>
    <row r="99" spans="1:12" x14ac:dyDescent="0.25">
      <c r="A99"/>
      <c r="B99" s="50"/>
      <c r="J99" s="48"/>
      <c r="K99" s="17"/>
      <c r="L99" s="49"/>
    </row>
    <row r="100" spans="1:12" x14ac:dyDescent="0.25">
      <c r="A100"/>
      <c r="B100" s="50"/>
      <c r="J100" s="48"/>
      <c r="K100" s="17"/>
      <c r="L100" s="49"/>
    </row>
    <row r="101" spans="1:12" x14ac:dyDescent="0.25">
      <c r="A101"/>
      <c r="B101" s="50"/>
      <c r="J101" s="48"/>
      <c r="K101" s="17"/>
      <c r="L101" s="49"/>
    </row>
    <row r="102" spans="1:12" x14ac:dyDescent="0.25">
      <c r="A102"/>
      <c r="B102" s="50"/>
      <c r="J102" s="48"/>
      <c r="K102" s="17"/>
      <c r="L102" s="49"/>
    </row>
    <row r="103" spans="1:12" x14ac:dyDescent="0.25">
      <c r="A103"/>
      <c r="B103" s="50"/>
      <c r="J103" s="48"/>
      <c r="K103" s="17"/>
      <c r="L103" s="49"/>
    </row>
    <row r="104" spans="1:12" x14ac:dyDescent="0.25">
      <c r="A104"/>
      <c r="B104" s="50"/>
      <c r="J104" s="48"/>
      <c r="K104" s="17"/>
      <c r="L104" s="49"/>
    </row>
    <row r="105" spans="1:12" x14ac:dyDescent="0.25">
      <c r="A105"/>
      <c r="B105" s="50"/>
      <c r="J105" s="48"/>
      <c r="K105" s="17"/>
      <c r="L105" s="49"/>
    </row>
    <row r="106" spans="1:12" x14ac:dyDescent="0.25">
      <c r="A106"/>
      <c r="B106" s="50"/>
      <c r="J106" s="48"/>
      <c r="K106" s="17"/>
      <c r="L106" s="49"/>
    </row>
    <row r="107" spans="1:12" x14ac:dyDescent="0.25">
      <c r="A107"/>
      <c r="B107" s="50"/>
      <c r="J107" s="48"/>
      <c r="K107" s="17"/>
      <c r="L107" s="49"/>
    </row>
    <row r="108" spans="1:12" x14ac:dyDescent="0.25">
      <c r="A108"/>
      <c r="B108" s="50"/>
      <c r="J108" s="48"/>
      <c r="K108" s="17"/>
      <c r="L108" s="49"/>
    </row>
    <row r="109" spans="1:12" x14ac:dyDescent="0.25">
      <c r="A109"/>
      <c r="B109" s="50"/>
      <c r="J109" s="48"/>
      <c r="K109" s="17"/>
      <c r="L109" s="49"/>
    </row>
    <row r="110" spans="1:12" x14ac:dyDescent="0.25">
      <c r="A110"/>
      <c r="B110" s="50"/>
      <c r="J110" s="48"/>
      <c r="K110" s="17"/>
      <c r="L110" s="49"/>
    </row>
    <row r="111" spans="1:12" x14ac:dyDescent="0.25">
      <c r="A111"/>
      <c r="B111" s="50"/>
      <c r="J111" s="48"/>
      <c r="K111" s="17"/>
      <c r="L111" s="49"/>
    </row>
    <row r="112" spans="1:12" x14ac:dyDescent="0.25">
      <c r="A112"/>
      <c r="B112" s="50"/>
      <c r="J112" s="48"/>
      <c r="K112" s="17"/>
      <c r="L112" s="49"/>
    </row>
    <row r="113" spans="1:12" x14ac:dyDescent="0.25">
      <c r="A113"/>
      <c r="B113" s="50"/>
      <c r="J113" s="48"/>
      <c r="K113" s="17"/>
      <c r="L113" s="49"/>
    </row>
    <row r="114" spans="1:12" x14ac:dyDescent="0.25">
      <c r="A114"/>
      <c r="B114" s="50"/>
      <c r="J114" s="48"/>
      <c r="K114" s="17"/>
      <c r="L114" s="49"/>
    </row>
    <row r="115" spans="1:12" x14ac:dyDescent="0.25">
      <c r="A115"/>
      <c r="B115" s="50"/>
      <c r="J115" s="48"/>
      <c r="K115" s="17"/>
      <c r="L115" s="49"/>
    </row>
    <row r="116" spans="1:12" x14ac:dyDescent="0.25">
      <c r="A116"/>
      <c r="B116" s="50"/>
      <c r="J116" s="48"/>
      <c r="K116" s="17"/>
      <c r="L116" s="49"/>
    </row>
    <row r="117" spans="1:12" x14ac:dyDescent="0.25">
      <c r="A117"/>
      <c r="B117" s="50"/>
      <c r="J117" s="48"/>
      <c r="K117" s="17"/>
      <c r="L117" s="49"/>
    </row>
    <row r="118" spans="1:12" x14ac:dyDescent="0.25">
      <c r="A118"/>
      <c r="B118" s="50"/>
      <c r="J118" s="48"/>
      <c r="K118" s="17"/>
      <c r="L118" s="49"/>
    </row>
    <row r="119" spans="1:12" x14ac:dyDescent="0.25">
      <c r="A119"/>
      <c r="B119" s="50"/>
      <c r="J119" s="48"/>
      <c r="K119" s="17"/>
      <c r="L119" s="49"/>
    </row>
    <row r="120" spans="1:12" x14ac:dyDescent="0.25">
      <c r="A120"/>
      <c r="B120" s="50"/>
      <c r="J120" s="48"/>
      <c r="K120" s="17"/>
      <c r="L120" s="49"/>
    </row>
    <row r="121" spans="1:12" x14ac:dyDescent="0.25">
      <c r="B121" s="50"/>
      <c r="J121" s="48"/>
      <c r="K121" s="17"/>
      <c r="L121" s="49"/>
    </row>
    <row r="122" spans="1:12" x14ac:dyDescent="0.25">
      <c r="B122" s="50"/>
      <c r="J122" s="48"/>
      <c r="K122" s="17"/>
      <c r="L122" s="49"/>
    </row>
    <row r="123" spans="1:12" x14ac:dyDescent="0.25">
      <c r="B123" s="50"/>
      <c r="J123" s="48"/>
      <c r="K123" s="17"/>
      <c r="L123" s="49"/>
    </row>
    <row r="124" spans="1:12" x14ac:dyDescent="0.25">
      <c r="B124" s="50"/>
      <c r="J124" s="48"/>
      <c r="K124" s="17"/>
      <c r="L124" s="49"/>
    </row>
    <row r="125" spans="1:12" x14ac:dyDescent="0.25">
      <c r="B125" s="50"/>
      <c r="J125" s="48"/>
      <c r="K125" s="17"/>
      <c r="L125" s="49"/>
    </row>
    <row r="126" spans="1:12" x14ac:dyDescent="0.25">
      <c r="B126" s="50"/>
      <c r="J126" s="48"/>
      <c r="K126" s="17"/>
      <c r="L126" s="49"/>
    </row>
    <row r="127" spans="1:12" x14ac:dyDescent="0.25">
      <c r="B127" s="50"/>
      <c r="J127" s="48"/>
      <c r="K127" s="17"/>
      <c r="L127" s="49"/>
    </row>
    <row r="128" spans="1:12" x14ac:dyDescent="0.25">
      <c r="B128" s="50"/>
      <c r="J128" s="48"/>
      <c r="K128" s="17"/>
      <c r="L128" s="49"/>
    </row>
    <row r="129" spans="1:12" x14ac:dyDescent="0.25">
      <c r="B129" s="50"/>
      <c r="J129" s="48"/>
      <c r="K129" s="17"/>
      <c r="L129" s="49"/>
    </row>
    <row r="130" spans="1:12" x14ac:dyDescent="0.25">
      <c r="B130" s="50"/>
      <c r="J130" s="48"/>
      <c r="K130" s="17"/>
      <c r="L130" s="49"/>
    </row>
    <row r="131" spans="1:12" x14ac:dyDescent="0.25">
      <c r="B131" s="50"/>
      <c r="J131" s="48"/>
      <c r="K131" s="17"/>
      <c r="L131" s="49"/>
    </row>
    <row r="132" spans="1:12" x14ac:dyDescent="0.25">
      <c r="B132" s="50"/>
      <c r="J132" s="48"/>
      <c r="K132" s="17"/>
      <c r="L132" s="49"/>
    </row>
    <row r="133" spans="1:12" x14ac:dyDescent="0.25">
      <c r="B133" s="50"/>
      <c r="J133" s="48"/>
      <c r="K133" s="17"/>
      <c r="L133" s="49"/>
    </row>
    <row r="134" spans="1:12" x14ac:dyDescent="0.25">
      <c r="B134" s="50"/>
      <c r="J134" s="48"/>
      <c r="K134" s="17"/>
      <c r="L134" s="49"/>
    </row>
    <row r="135" spans="1:12" x14ac:dyDescent="0.25">
      <c r="B135" s="50"/>
      <c r="J135" s="48"/>
      <c r="K135" s="17"/>
      <c r="L135" s="49"/>
    </row>
    <row r="136" spans="1:12" x14ac:dyDescent="0.25">
      <c r="A136" s="10" t="s">
        <v>18</v>
      </c>
      <c r="B136" s="50" t="str">
        <f>IF($A136&lt;&gt;"",IF(_term=26,IF(A136=1,first_payment,B135+14),IF(_term=52,IF(A136=1,first_payment,B135+7),DATE(YEAR(first_payment),MONTH(first_payment)+(A136-1)*per_year,IF(_term=24,IF(1-MOD(A136,2)=1,DAY(first_payment)+14,DAY(first_payment)),DAY(first_payment))))),"")</f>
        <v/>
      </c>
      <c r="H136" t="str">
        <f>IF($A136&lt;&gt;"",$H135-$D136,"")</f>
        <v/>
      </c>
      <c r="J136" s="48"/>
      <c r="K136" s="17"/>
      <c r="L136" s="49"/>
    </row>
    <row r="137" spans="1:12" x14ac:dyDescent="0.25">
      <c r="A137" s="10" t="s">
        <v>18</v>
      </c>
      <c r="B137" s="50" t="str">
        <f>IF($A137&lt;&gt;"",IF(_term=26,IF(A137=1,first_payment,B136+14),IF(_term=52,IF(A137=1,first_payment,B136+7),DATE(YEAR(first_payment),MONTH(first_payment)+(A137-1)*per_year,IF(_term=24,IF(1-MOD(A137,2)=1,DAY(first_payment)+14,DAY(first_payment)),DAY(first_payment))))),"")</f>
        <v/>
      </c>
      <c r="H137" t="str">
        <f>IF($A137&lt;&gt;"",$H136-$D137,"")</f>
        <v/>
      </c>
      <c r="J137" s="48"/>
      <c r="K137" s="17"/>
      <c r="L137" s="49"/>
    </row>
    <row r="138" spans="1:12" x14ac:dyDescent="0.25">
      <c r="A138" s="10" t="s">
        <v>18</v>
      </c>
      <c r="B138" s="50" t="str">
        <f>IF($A138&lt;&gt;"",IF(_term=26,IF(A138=1,first_payment,B137+14),IF(_term=52,IF(A138=1,first_payment,B137+7),DATE(YEAR(first_payment),MONTH(first_payment)+(A138-1)*per_year,IF(_term=24,IF(1-MOD(A138,2)=1,DAY(first_payment)+14,DAY(first_payment)),DAY(first_payment))))),"")</f>
        <v/>
      </c>
      <c r="H138" t="str">
        <f>IF($A138&lt;&gt;"",$H137-$D138,"")</f>
        <v/>
      </c>
      <c r="J138" s="48"/>
      <c r="K138" s="17"/>
      <c r="L138" s="49"/>
    </row>
    <row r="139" spans="1:12" x14ac:dyDescent="0.25">
      <c r="A139" s="10" t="s">
        <v>18</v>
      </c>
      <c r="B139" s="50" t="str">
        <f>IF($A139&lt;&gt;"",IF(_term=26,IF(A139=1,first_payment,B138+14),IF(_term=52,IF(A139=1,first_payment,B138+7),DATE(YEAR(first_payment),MONTH(first_payment)+(A139-1)*per_year,IF(_term=24,IF(1-MOD(A139,2)=1,DAY(first_payment)+14,DAY(first_payment)),DAY(first_payment))))),"")</f>
        <v/>
      </c>
      <c r="H139" t="str">
        <f>IF($A139&lt;&gt;"",$H138-$D139,"")</f>
        <v/>
      </c>
      <c r="J139" s="48"/>
      <c r="K139" s="17"/>
      <c r="L139" s="49"/>
    </row>
    <row r="140" spans="1:12" ht="15" customHeight="1" x14ac:dyDescent="0.25">
      <c r="J140" s="48"/>
      <c r="K140" s="17"/>
      <c r="L140" s="49"/>
    </row>
    <row r="141" spans="1:12" ht="15" customHeight="1" x14ac:dyDescent="0.25">
      <c r="J141" s="48"/>
      <c r="K141" s="17"/>
      <c r="L141" s="49"/>
    </row>
    <row r="142" spans="1:12" ht="15" customHeight="1" x14ac:dyDescent="0.25">
      <c r="J142" s="48"/>
      <c r="K142" s="17"/>
      <c r="L142" s="49"/>
    </row>
    <row r="143" spans="1:12" ht="15" customHeight="1" x14ac:dyDescent="0.25">
      <c r="J143" s="48"/>
      <c r="K143" s="17"/>
      <c r="L143" s="49"/>
    </row>
    <row r="144" spans="1:12" ht="15" customHeight="1" x14ac:dyDescent="0.25">
      <c r="J144" s="48"/>
      <c r="K144" s="17"/>
      <c r="L144" s="49"/>
    </row>
    <row r="145" spans="10:12" ht="15" customHeight="1" x14ac:dyDescent="0.25">
      <c r="J145" s="48"/>
      <c r="K145" s="17"/>
      <c r="L145" s="49"/>
    </row>
    <row r="146" spans="10:12" ht="15" customHeight="1" x14ac:dyDescent="0.25">
      <c r="J146" s="48"/>
      <c r="K146" s="17"/>
      <c r="L146" s="49"/>
    </row>
    <row r="147" spans="10:12" ht="15" customHeight="1" x14ac:dyDescent="0.25">
      <c r="J147" s="48"/>
      <c r="K147" s="17"/>
      <c r="L147" s="49"/>
    </row>
    <row r="148" spans="10:12" ht="15" customHeight="1" x14ac:dyDescent="0.25">
      <c r="J148" s="48"/>
      <c r="K148" s="17"/>
      <c r="L148" s="49"/>
    </row>
    <row r="149" spans="10:12" ht="15" customHeight="1" x14ac:dyDescent="0.25">
      <c r="J149" s="48"/>
      <c r="K149" s="17"/>
      <c r="L149" s="49"/>
    </row>
    <row r="150" spans="10:12" ht="15" customHeight="1" x14ac:dyDescent="0.25">
      <c r="J150" s="48"/>
      <c r="K150" s="17"/>
      <c r="L150" s="49"/>
    </row>
    <row r="151" spans="10:12" ht="15" customHeight="1" x14ac:dyDescent="0.25">
      <c r="J151" s="48"/>
      <c r="K151" s="17"/>
      <c r="L151" s="49"/>
    </row>
    <row r="152" spans="10:12" ht="15" customHeight="1" x14ac:dyDescent="0.25">
      <c r="J152" s="48"/>
      <c r="K152" s="17"/>
      <c r="L152" s="49"/>
    </row>
    <row r="153" spans="10:12" ht="15" customHeight="1" x14ac:dyDescent="0.25">
      <c r="J153" s="48"/>
      <c r="K153" s="17"/>
      <c r="L153" s="49"/>
    </row>
    <row r="154" spans="10:12" ht="15" customHeight="1" x14ac:dyDescent="0.25">
      <c r="J154" s="48"/>
      <c r="K154" s="17"/>
      <c r="L154" s="49"/>
    </row>
    <row r="155" spans="10:12" ht="15" customHeight="1" x14ac:dyDescent="0.25">
      <c r="J155" s="48"/>
      <c r="K155" s="17"/>
      <c r="L155" s="49"/>
    </row>
    <row r="156" spans="10:12" ht="15" customHeight="1" x14ac:dyDescent="0.25">
      <c r="J156" s="48"/>
      <c r="K156" s="17"/>
      <c r="L156" s="49"/>
    </row>
    <row r="157" spans="10:12" ht="15" customHeight="1" x14ac:dyDescent="0.25">
      <c r="J157" s="48"/>
      <c r="K157" s="17"/>
      <c r="L157" s="49"/>
    </row>
    <row r="158" spans="10:12" ht="15" customHeight="1" x14ac:dyDescent="0.25">
      <c r="J158" s="48"/>
      <c r="K158" s="17"/>
      <c r="L158" s="49"/>
    </row>
    <row r="159" spans="10:12" ht="15" customHeight="1" x14ac:dyDescent="0.25">
      <c r="J159" s="48"/>
      <c r="K159" s="17"/>
      <c r="L159" s="49"/>
    </row>
    <row r="160" spans="10:12" ht="15" customHeight="1" x14ac:dyDescent="0.25">
      <c r="J160" s="48"/>
      <c r="K160" s="17"/>
      <c r="L160" s="49"/>
    </row>
    <row r="161" spans="10:12" ht="15" customHeight="1" x14ac:dyDescent="0.25">
      <c r="J161" s="48"/>
      <c r="K161" s="17"/>
      <c r="L161" s="49"/>
    </row>
    <row r="162" spans="10:12" ht="15" customHeight="1" x14ac:dyDescent="0.25">
      <c r="J162" s="48"/>
      <c r="K162" s="17"/>
      <c r="L162" s="49"/>
    </row>
    <row r="163" spans="10:12" ht="15" customHeight="1" x14ac:dyDescent="0.25">
      <c r="J163" s="48"/>
      <c r="K163" s="17"/>
      <c r="L163" s="49"/>
    </row>
    <row r="164" spans="10:12" ht="15" customHeight="1" x14ac:dyDescent="0.25">
      <c r="J164" s="48"/>
      <c r="K164" s="17"/>
      <c r="L164" s="49"/>
    </row>
    <row r="165" spans="10:12" ht="15" customHeight="1" x14ac:dyDescent="0.25">
      <c r="J165" s="48"/>
      <c r="K165" s="17"/>
      <c r="L165" s="49"/>
    </row>
    <row r="166" spans="10:12" ht="15" customHeight="1" x14ac:dyDescent="0.25">
      <c r="J166" s="48"/>
      <c r="K166" s="17"/>
      <c r="L166" s="49"/>
    </row>
    <row r="167" spans="10:12" ht="15" customHeight="1" x14ac:dyDescent="0.25">
      <c r="J167" s="48"/>
      <c r="K167" s="17"/>
      <c r="L167" s="49"/>
    </row>
    <row r="168" spans="10:12" ht="15" customHeight="1" x14ac:dyDescent="0.25">
      <c r="J168" s="48"/>
      <c r="K168" s="17"/>
      <c r="L168" s="49"/>
    </row>
    <row r="169" spans="10:12" ht="15" customHeight="1" x14ac:dyDescent="0.25">
      <c r="J169" s="48"/>
      <c r="K169" s="17"/>
      <c r="L169" s="49"/>
    </row>
    <row r="170" spans="10:12" ht="15" customHeight="1" x14ac:dyDescent="0.25">
      <c r="J170" s="48"/>
      <c r="K170" s="17"/>
      <c r="L170" s="49"/>
    </row>
    <row r="171" spans="10:12" ht="15" customHeight="1" x14ac:dyDescent="0.25">
      <c r="J171" s="48"/>
      <c r="K171" s="17"/>
      <c r="L171" s="49"/>
    </row>
    <row r="172" spans="10:12" ht="15" customHeight="1" x14ac:dyDescent="0.25">
      <c r="J172" s="48"/>
      <c r="K172" s="17"/>
      <c r="L172" s="49"/>
    </row>
    <row r="173" spans="10:12" ht="15" customHeight="1" x14ac:dyDescent="0.25">
      <c r="J173" s="48"/>
      <c r="K173" s="17"/>
      <c r="L173" s="49"/>
    </row>
    <row r="174" spans="10:12" ht="15" customHeight="1" x14ac:dyDescent="0.25">
      <c r="J174" s="48"/>
      <c r="K174" s="17"/>
      <c r="L174" s="49"/>
    </row>
    <row r="175" spans="10:12" ht="15" customHeight="1" x14ac:dyDescent="0.25">
      <c r="J175" s="48"/>
      <c r="K175" s="17"/>
      <c r="L175" s="49"/>
    </row>
    <row r="176" spans="10:12" ht="15" customHeight="1" x14ac:dyDescent="0.25">
      <c r="J176" s="48"/>
      <c r="K176" s="17"/>
      <c r="L176" s="49"/>
    </row>
    <row r="177" spans="10:12" ht="15" customHeight="1" x14ac:dyDescent="0.25">
      <c r="J177" s="48"/>
      <c r="K177" s="17"/>
      <c r="L177" s="49"/>
    </row>
    <row r="178" spans="10:12" ht="15" customHeight="1" x14ac:dyDescent="0.25">
      <c r="J178" s="48"/>
      <c r="K178" s="17"/>
      <c r="L178" s="49"/>
    </row>
    <row r="179" spans="10:12" ht="15" customHeight="1" x14ac:dyDescent="0.25">
      <c r="J179" s="48"/>
      <c r="K179" s="17"/>
      <c r="L179" s="49"/>
    </row>
    <row r="180" spans="10:12" ht="15" customHeight="1" x14ac:dyDescent="0.25">
      <c r="J180" s="48"/>
      <c r="K180" s="17"/>
      <c r="L180" s="49"/>
    </row>
    <row r="181" spans="10:12" ht="15" customHeight="1" x14ac:dyDescent="0.25">
      <c r="J181" s="48"/>
      <c r="K181" s="17"/>
      <c r="L181" s="49"/>
    </row>
    <row r="182" spans="10:12" ht="15" customHeight="1" x14ac:dyDescent="0.25">
      <c r="J182" s="48"/>
      <c r="K182" s="17"/>
      <c r="L182" s="49"/>
    </row>
    <row r="183" spans="10:12" ht="15" customHeight="1" x14ac:dyDescent="0.25">
      <c r="J183" s="48"/>
      <c r="K183" s="17"/>
      <c r="L183" s="49"/>
    </row>
    <row r="184" spans="10:12" ht="15" customHeight="1" x14ac:dyDescent="0.25">
      <c r="J184" s="48"/>
      <c r="K184" s="17"/>
      <c r="L184" s="49"/>
    </row>
    <row r="185" spans="10:12" ht="15" customHeight="1" x14ac:dyDescent="0.25">
      <c r="J185" s="48"/>
      <c r="K185" s="17"/>
      <c r="L185" s="49"/>
    </row>
    <row r="186" spans="10:12" ht="15" customHeight="1" x14ac:dyDescent="0.25">
      <c r="J186" s="48"/>
      <c r="K186" s="17"/>
      <c r="L186" s="49"/>
    </row>
    <row r="187" spans="10:12" ht="15" customHeight="1" x14ac:dyDescent="0.25">
      <c r="J187" s="48"/>
      <c r="K187" s="17"/>
      <c r="L187" s="49"/>
    </row>
    <row r="188" spans="10:12" ht="15" customHeight="1" x14ac:dyDescent="0.25">
      <c r="J188" s="48"/>
      <c r="K188" s="17"/>
      <c r="L188" s="49"/>
    </row>
    <row r="189" spans="10:12" ht="15" customHeight="1" x14ac:dyDescent="0.25">
      <c r="J189" s="48"/>
      <c r="K189" s="17"/>
      <c r="L189" s="49"/>
    </row>
    <row r="190" spans="10:12" ht="15" customHeight="1" x14ac:dyDescent="0.25">
      <c r="J190" s="48"/>
      <c r="K190" s="17"/>
      <c r="L190" s="49"/>
    </row>
    <row r="191" spans="10:12" ht="15" customHeight="1" x14ac:dyDescent="0.25">
      <c r="J191" s="48"/>
      <c r="K191" s="17"/>
      <c r="L191" s="49"/>
    </row>
    <row r="192" spans="10:12" ht="15" customHeight="1" x14ac:dyDescent="0.25">
      <c r="J192" s="48"/>
      <c r="K192" s="17"/>
      <c r="L192" s="49"/>
    </row>
    <row r="193" spans="10:12" ht="15" customHeight="1" x14ac:dyDescent="0.25">
      <c r="J193" s="48"/>
      <c r="K193" s="17"/>
      <c r="L193" s="49"/>
    </row>
    <row r="194" spans="10:12" ht="15" customHeight="1" x14ac:dyDescent="0.25">
      <c r="J194" s="48"/>
      <c r="K194" s="17"/>
      <c r="L194" s="49"/>
    </row>
    <row r="195" spans="10:12" ht="15" customHeight="1" x14ac:dyDescent="0.25">
      <c r="J195" s="48"/>
      <c r="K195" s="17"/>
      <c r="L195" s="49"/>
    </row>
    <row r="196" spans="10:12" ht="15" customHeight="1" x14ac:dyDescent="0.25">
      <c r="J196" s="48"/>
      <c r="K196" s="17"/>
      <c r="L196" s="49"/>
    </row>
    <row r="197" spans="10:12" ht="15" customHeight="1" x14ac:dyDescent="0.25">
      <c r="J197" s="48"/>
      <c r="K197" s="17"/>
      <c r="L197" s="49"/>
    </row>
    <row r="198" spans="10:12" ht="15" customHeight="1" x14ac:dyDescent="0.25">
      <c r="J198" s="48"/>
      <c r="K198" s="17"/>
      <c r="L198" s="49"/>
    </row>
    <row r="199" spans="10:12" ht="15" customHeight="1" x14ac:dyDescent="0.25">
      <c r="J199" s="48"/>
      <c r="K199" s="17"/>
      <c r="L199" s="49"/>
    </row>
    <row r="200" spans="10:12" ht="15" customHeight="1" x14ac:dyDescent="0.25">
      <c r="J200" s="48"/>
      <c r="K200" s="17"/>
      <c r="L200" s="49"/>
    </row>
    <row r="201" spans="10:12" ht="15" customHeight="1" x14ac:dyDescent="0.25">
      <c r="J201" s="48"/>
      <c r="K201" s="17"/>
      <c r="L201" s="49"/>
    </row>
    <row r="202" spans="10:12" ht="15" customHeight="1" x14ac:dyDescent="0.25">
      <c r="J202" s="48"/>
      <c r="K202" s="17"/>
      <c r="L202" s="49"/>
    </row>
    <row r="203" spans="10:12" ht="15" customHeight="1" x14ac:dyDescent="0.25">
      <c r="J203" s="48"/>
      <c r="K203" s="17"/>
      <c r="L203" s="49"/>
    </row>
    <row r="204" spans="10:12" ht="15" customHeight="1" x14ac:dyDescent="0.25">
      <c r="J204" s="48"/>
      <c r="K204" s="17"/>
      <c r="L204" s="49"/>
    </row>
    <row r="205" spans="10:12" ht="15" customHeight="1" x14ac:dyDescent="0.25">
      <c r="J205" s="48"/>
      <c r="K205" s="17"/>
      <c r="L205" s="49"/>
    </row>
    <row r="206" spans="10:12" ht="15" customHeight="1" x14ac:dyDescent="0.25">
      <c r="J206" s="48"/>
      <c r="K206" s="17"/>
      <c r="L206" s="49"/>
    </row>
    <row r="207" spans="10:12" ht="15" customHeight="1" x14ac:dyDescent="0.25">
      <c r="J207" s="48"/>
      <c r="K207" s="17"/>
      <c r="L207" s="49"/>
    </row>
    <row r="208" spans="10:12" ht="15" customHeight="1" x14ac:dyDescent="0.25">
      <c r="J208" s="48"/>
      <c r="K208" s="17"/>
      <c r="L208" s="49"/>
    </row>
    <row r="209" spans="10:12" ht="15" customHeight="1" x14ac:dyDescent="0.25">
      <c r="J209" s="48"/>
      <c r="K209" s="17"/>
      <c r="L209" s="49"/>
    </row>
    <row r="210" spans="10:12" ht="15" customHeight="1" x14ac:dyDescent="0.25">
      <c r="J210" s="48"/>
      <c r="K210" s="17"/>
      <c r="L210" s="49"/>
    </row>
    <row r="211" spans="10:12" ht="15" customHeight="1" x14ac:dyDescent="0.25">
      <c r="J211" s="48"/>
      <c r="K211" s="17"/>
      <c r="L211" s="49"/>
    </row>
    <row r="212" spans="10:12" ht="15" customHeight="1" x14ac:dyDescent="0.25">
      <c r="J212" s="48"/>
      <c r="K212" s="17"/>
      <c r="L212" s="49"/>
    </row>
    <row r="213" spans="10:12" ht="15" customHeight="1" x14ac:dyDescent="0.25">
      <c r="J213" s="48"/>
      <c r="K213" s="17"/>
      <c r="L213" s="49"/>
    </row>
    <row r="214" spans="10:12" ht="15" customHeight="1" x14ac:dyDescent="0.25">
      <c r="J214" s="48"/>
      <c r="K214" s="17"/>
      <c r="L214" s="49"/>
    </row>
    <row r="215" spans="10:12" ht="15" customHeight="1" x14ac:dyDescent="0.25">
      <c r="J215" s="48"/>
      <c r="K215" s="17"/>
      <c r="L215" s="49"/>
    </row>
    <row r="216" spans="10:12" ht="15" customHeight="1" x14ac:dyDescent="0.25">
      <c r="J216" s="48"/>
      <c r="K216" s="17"/>
      <c r="L216" s="49"/>
    </row>
    <row r="217" spans="10:12" ht="15" customHeight="1" x14ac:dyDescent="0.25">
      <c r="J217" s="48"/>
      <c r="K217" s="17"/>
      <c r="L217" s="49"/>
    </row>
    <row r="218" spans="10:12" ht="15" customHeight="1" x14ac:dyDescent="0.25">
      <c r="J218" s="48"/>
      <c r="K218" s="17"/>
      <c r="L218" s="49"/>
    </row>
    <row r="219" spans="10:12" ht="15" customHeight="1" x14ac:dyDescent="0.25">
      <c r="J219" s="48"/>
      <c r="K219" s="17"/>
      <c r="L219" s="49"/>
    </row>
    <row r="220" spans="10:12" ht="15" customHeight="1" x14ac:dyDescent="0.25">
      <c r="J220" s="48"/>
      <c r="K220" s="17"/>
      <c r="L220" s="49"/>
    </row>
    <row r="221" spans="10:12" ht="15" customHeight="1" x14ac:dyDescent="0.25">
      <c r="J221" s="48"/>
      <c r="K221" s="17"/>
      <c r="L221" s="49"/>
    </row>
    <row r="222" spans="10:12" ht="15" customHeight="1" x14ac:dyDescent="0.25">
      <c r="J222" s="48"/>
      <c r="K222" s="17"/>
      <c r="L222" s="49"/>
    </row>
    <row r="223" spans="10:12" ht="15" customHeight="1" x14ac:dyDescent="0.25">
      <c r="J223" s="48"/>
      <c r="K223" s="17"/>
      <c r="L223" s="49"/>
    </row>
    <row r="224" spans="10:12" ht="15" customHeight="1" x14ac:dyDescent="0.25">
      <c r="J224" s="48"/>
      <c r="K224" s="17"/>
      <c r="L224" s="49"/>
    </row>
    <row r="225" spans="10:12" ht="15" customHeight="1" x14ac:dyDescent="0.25">
      <c r="J225" s="48"/>
      <c r="K225" s="17"/>
      <c r="L225" s="49"/>
    </row>
    <row r="226" spans="10:12" ht="15" customHeight="1" x14ac:dyDescent="0.25">
      <c r="J226" s="48"/>
      <c r="K226" s="17"/>
      <c r="L226" s="49"/>
    </row>
    <row r="227" spans="10:12" ht="15" customHeight="1" x14ac:dyDescent="0.25">
      <c r="J227" s="48"/>
      <c r="K227" s="17"/>
      <c r="L227" s="49"/>
    </row>
    <row r="228" spans="10:12" ht="15" customHeight="1" x14ac:dyDescent="0.25">
      <c r="J228" s="48"/>
      <c r="K228" s="17"/>
      <c r="L228" s="49"/>
    </row>
    <row r="229" spans="10:12" ht="15" customHeight="1" x14ac:dyDescent="0.25">
      <c r="J229" s="48"/>
      <c r="K229" s="17"/>
      <c r="L229" s="49"/>
    </row>
    <row r="230" spans="10:12" ht="15" customHeight="1" x14ac:dyDescent="0.25">
      <c r="J230" s="48"/>
      <c r="K230" s="17"/>
      <c r="L230" s="49"/>
    </row>
    <row r="231" spans="10:12" ht="15" customHeight="1" x14ac:dyDescent="0.25">
      <c r="J231" s="48"/>
      <c r="K231" s="17"/>
      <c r="L231" s="49"/>
    </row>
    <row r="232" spans="10:12" ht="15" customHeight="1" x14ac:dyDescent="0.25">
      <c r="J232" s="48"/>
      <c r="K232" s="17"/>
      <c r="L232" s="49"/>
    </row>
    <row r="233" spans="10:12" ht="15" customHeight="1" x14ac:dyDescent="0.25">
      <c r="J233" s="48"/>
      <c r="K233" s="17"/>
      <c r="L233" s="49"/>
    </row>
    <row r="234" spans="10:12" ht="15" customHeight="1" x14ac:dyDescent="0.25">
      <c r="J234" s="48"/>
      <c r="K234" s="17"/>
      <c r="L234" s="49"/>
    </row>
    <row r="235" spans="10:12" ht="15" customHeight="1" x14ac:dyDescent="0.25">
      <c r="J235" s="48"/>
      <c r="K235" s="17"/>
      <c r="L235" s="49"/>
    </row>
    <row r="236" spans="10:12" ht="15" customHeight="1" x14ac:dyDescent="0.25">
      <c r="J236" s="48"/>
      <c r="K236" s="17"/>
      <c r="L236" s="49"/>
    </row>
    <row r="237" spans="10:12" ht="15" customHeight="1" x14ac:dyDescent="0.25">
      <c r="J237" s="48"/>
      <c r="K237" s="17"/>
      <c r="L237" s="49"/>
    </row>
    <row r="238" spans="10:12" ht="15" customHeight="1" x14ac:dyDescent="0.25">
      <c r="J238" s="48"/>
      <c r="K238" s="17"/>
      <c r="L238" s="49"/>
    </row>
    <row r="239" spans="10:12" ht="15" customHeight="1" x14ac:dyDescent="0.25">
      <c r="J239" s="48"/>
      <c r="K239" s="17"/>
      <c r="L239" s="49"/>
    </row>
    <row r="240" spans="10:12" ht="15" customHeight="1" x14ac:dyDescent="0.25">
      <c r="J240" s="48"/>
      <c r="K240" s="17"/>
      <c r="L240" s="49"/>
    </row>
    <row r="241" spans="10:12" ht="15" customHeight="1" x14ac:dyDescent="0.25">
      <c r="J241" s="48"/>
      <c r="K241" s="17"/>
      <c r="L241" s="49"/>
    </row>
    <row r="242" spans="10:12" ht="15" customHeight="1" x14ac:dyDescent="0.25">
      <c r="J242" s="48"/>
      <c r="K242" s="17"/>
      <c r="L242" s="49"/>
    </row>
    <row r="243" spans="10:12" ht="15" customHeight="1" x14ac:dyDescent="0.25">
      <c r="J243" s="48"/>
      <c r="K243" s="17"/>
      <c r="L243" s="49"/>
    </row>
    <row r="244" spans="10:12" ht="15" customHeight="1" x14ac:dyDescent="0.25">
      <c r="J244" s="48"/>
      <c r="K244" s="17"/>
      <c r="L244" s="49"/>
    </row>
    <row r="245" spans="10:12" ht="15" customHeight="1" x14ac:dyDescent="0.25">
      <c r="J245" s="48"/>
      <c r="K245" s="17"/>
      <c r="L245" s="49"/>
    </row>
    <row r="246" spans="10:12" ht="15" customHeight="1" x14ac:dyDescent="0.25">
      <c r="J246" s="48"/>
      <c r="K246" s="17"/>
      <c r="L246" s="49"/>
    </row>
    <row r="247" spans="10:12" ht="15" customHeight="1" x14ac:dyDescent="0.25">
      <c r="J247" s="48"/>
      <c r="K247" s="17"/>
      <c r="L247" s="49"/>
    </row>
    <row r="248" spans="10:12" ht="15" customHeight="1" x14ac:dyDescent="0.25">
      <c r="J248" s="48"/>
      <c r="K248" s="17"/>
      <c r="L248" s="49"/>
    </row>
    <row r="249" spans="10:12" ht="15" customHeight="1" x14ac:dyDescent="0.25">
      <c r="J249" s="48"/>
      <c r="K249" s="17"/>
      <c r="L249" s="49"/>
    </row>
    <row r="250" spans="10:12" ht="15" customHeight="1" x14ac:dyDescent="0.25">
      <c r="J250" s="48"/>
      <c r="K250" s="17"/>
      <c r="L250" s="49"/>
    </row>
    <row r="251" spans="10:12" ht="15" customHeight="1" x14ac:dyDescent="0.25">
      <c r="J251" s="48"/>
      <c r="K251" s="17"/>
      <c r="L251" s="49"/>
    </row>
    <row r="252" spans="10:12" ht="15" customHeight="1" x14ac:dyDescent="0.25">
      <c r="J252" s="48"/>
      <c r="K252" s="17"/>
      <c r="L252" s="49"/>
    </row>
    <row r="253" spans="10:12" ht="15" customHeight="1" x14ac:dyDescent="0.25">
      <c r="J253" s="48"/>
      <c r="K253" s="17"/>
      <c r="L253" s="49"/>
    </row>
    <row r="254" spans="10:12" ht="15" customHeight="1" x14ac:dyDescent="0.25">
      <c r="J254" s="48"/>
      <c r="K254" s="17"/>
      <c r="L254" s="49"/>
    </row>
    <row r="255" spans="10:12" ht="15" customHeight="1" x14ac:dyDescent="0.25">
      <c r="J255" s="48"/>
      <c r="K255" s="17"/>
      <c r="L255" s="49"/>
    </row>
    <row r="256" spans="10:12" ht="15" customHeight="1" x14ac:dyDescent="0.25">
      <c r="J256" s="48"/>
      <c r="K256" s="17"/>
      <c r="L256" s="49"/>
    </row>
    <row r="257" spans="10:12" ht="15" customHeight="1" x14ac:dyDescent="0.25">
      <c r="J257" s="48"/>
      <c r="K257" s="17"/>
      <c r="L257" s="49"/>
    </row>
    <row r="258" spans="10:12" ht="15" customHeight="1" x14ac:dyDescent="0.25">
      <c r="J258" s="48"/>
      <c r="K258" s="17"/>
      <c r="L258" s="49"/>
    </row>
    <row r="259" spans="10:12" ht="15" customHeight="1" x14ac:dyDescent="0.25">
      <c r="J259" s="48"/>
      <c r="K259" s="17"/>
      <c r="L259" s="49"/>
    </row>
    <row r="260" spans="10:12" ht="15" customHeight="1" x14ac:dyDescent="0.25">
      <c r="J260" s="48"/>
      <c r="K260" s="17"/>
      <c r="L260" s="49"/>
    </row>
    <row r="261" spans="10:12" ht="15" customHeight="1" x14ac:dyDescent="0.25">
      <c r="J261" s="48"/>
      <c r="K261" s="17"/>
      <c r="L261" s="49"/>
    </row>
    <row r="262" spans="10:12" ht="15" customHeight="1" x14ac:dyDescent="0.25">
      <c r="J262" s="48"/>
      <c r="K262" s="17"/>
      <c r="L262" s="49"/>
    </row>
    <row r="263" spans="10:12" ht="15" customHeight="1" x14ac:dyDescent="0.25">
      <c r="J263" s="48"/>
      <c r="K263" s="17"/>
      <c r="L263" s="49"/>
    </row>
    <row r="264" spans="10:12" ht="15" customHeight="1" x14ac:dyDescent="0.25">
      <c r="J264" s="48"/>
      <c r="K264" s="17"/>
      <c r="L264" s="49"/>
    </row>
    <row r="265" spans="10:12" ht="15" customHeight="1" x14ac:dyDescent="0.25">
      <c r="J265" s="48"/>
      <c r="K265" s="17"/>
      <c r="L265" s="49"/>
    </row>
    <row r="266" spans="10:12" ht="15" customHeight="1" x14ac:dyDescent="0.25">
      <c r="J266" s="48"/>
      <c r="K266" s="17"/>
      <c r="L266" s="49"/>
    </row>
    <row r="267" spans="10:12" ht="15" customHeight="1" x14ac:dyDescent="0.25">
      <c r="J267" s="48"/>
      <c r="K267" s="17"/>
      <c r="L267" s="49"/>
    </row>
    <row r="268" spans="10:12" ht="15" customHeight="1" x14ac:dyDescent="0.25">
      <c r="J268" s="48"/>
      <c r="K268" s="17"/>
      <c r="L268" s="49"/>
    </row>
    <row r="269" spans="10:12" ht="15" customHeight="1" x14ac:dyDescent="0.25">
      <c r="J269" s="48"/>
      <c r="K269" s="17"/>
      <c r="L269" s="49"/>
    </row>
    <row r="270" spans="10:12" ht="15" customHeight="1" x14ac:dyDescent="0.25">
      <c r="J270" s="48"/>
      <c r="K270" s="17"/>
      <c r="L270" s="49"/>
    </row>
    <row r="271" spans="10:12" ht="15" customHeight="1" x14ac:dyDescent="0.25">
      <c r="J271" s="48"/>
      <c r="K271" s="17"/>
      <c r="L271" s="49"/>
    </row>
    <row r="272" spans="10:12" ht="15" customHeight="1" x14ac:dyDescent="0.25">
      <c r="J272" s="48"/>
      <c r="K272" s="17"/>
      <c r="L272" s="49"/>
    </row>
    <row r="273" spans="10:12" ht="15" customHeight="1" x14ac:dyDescent="0.25">
      <c r="J273" s="48"/>
      <c r="K273" s="17"/>
      <c r="L273" s="49"/>
    </row>
    <row r="274" spans="10:12" ht="15" customHeight="1" x14ac:dyDescent="0.25">
      <c r="J274" s="48"/>
      <c r="K274" s="17"/>
      <c r="L274" s="49"/>
    </row>
    <row r="275" spans="10:12" ht="15" customHeight="1" x14ac:dyDescent="0.25">
      <c r="J275" s="48"/>
      <c r="K275" s="17"/>
      <c r="L275" s="49"/>
    </row>
    <row r="276" spans="10:12" ht="15" customHeight="1" x14ac:dyDescent="0.25">
      <c r="J276" s="48"/>
      <c r="K276" s="17"/>
      <c r="L276" s="49"/>
    </row>
    <row r="277" spans="10:12" ht="15" customHeight="1" x14ac:dyDescent="0.25">
      <c r="J277" s="48"/>
      <c r="K277" s="17"/>
      <c r="L277" s="49"/>
    </row>
    <row r="278" spans="10:12" ht="15" customHeight="1" x14ac:dyDescent="0.25">
      <c r="J278" s="48"/>
      <c r="K278" s="17"/>
      <c r="L278" s="49"/>
    </row>
    <row r="279" spans="10:12" ht="15" customHeight="1" x14ac:dyDescent="0.25">
      <c r="J279" s="48"/>
      <c r="K279" s="17"/>
      <c r="L279" s="49"/>
    </row>
    <row r="280" spans="10:12" ht="15" customHeight="1" x14ac:dyDescent="0.25">
      <c r="J280" s="48"/>
      <c r="K280" s="17"/>
      <c r="L280" s="49"/>
    </row>
    <row r="281" spans="10:12" ht="15" customHeight="1" x14ac:dyDescent="0.25">
      <c r="J281" s="48"/>
      <c r="K281" s="17"/>
      <c r="L281" s="49"/>
    </row>
    <row r="282" spans="10:12" ht="15" customHeight="1" x14ac:dyDescent="0.25">
      <c r="J282" s="48"/>
      <c r="K282" s="17"/>
      <c r="L282" s="49"/>
    </row>
    <row r="283" spans="10:12" ht="15" customHeight="1" x14ac:dyDescent="0.25">
      <c r="J283" s="48"/>
      <c r="K283" s="17"/>
      <c r="L283" s="49"/>
    </row>
    <row r="284" spans="10:12" ht="15" customHeight="1" x14ac:dyDescent="0.25">
      <c r="J284" s="48"/>
      <c r="K284" s="17"/>
      <c r="L284" s="49"/>
    </row>
    <row r="285" spans="10:12" ht="15" customHeight="1" x14ac:dyDescent="0.25">
      <c r="J285" s="48"/>
      <c r="K285" s="17"/>
      <c r="L285" s="49"/>
    </row>
    <row r="286" spans="10:12" ht="15" customHeight="1" x14ac:dyDescent="0.25">
      <c r="J286" s="48"/>
      <c r="K286" s="17"/>
      <c r="L286" s="49"/>
    </row>
    <row r="287" spans="10:12" ht="15" customHeight="1" x14ac:dyDescent="0.25">
      <c r="J287" s="48"/>
      <c r="K287" s="17"/>
      <c r="L287" s="49"/>
    </row>
    <row r="288" spans="10:12" ht="15" customHeight="1" x14ac:dyDescent="0.25">
      <c r="J288" s="48"/>
      <c r="K288" s="17"/>
      <c r="L288" s="49"/>
    </row>
    <row r="289" spans="10:12" ht="15" customHeight="1" x14ac:dyDescent="0.25">
      <c r="J289" s="48"/>
      <c r="K289" s="17"/>
      <c r="L289" s="49"/>
    </row>
    <row r="290" spans="10:12" ht="15" customHeight="1" x14ac:dyDescent="0.25">
      <c r="J290" s="48"/>
      <c r="K290" s="17"/>
      <c r="L290" s="49"/>
    </row>
    <row r="291" spans="10:12" ht="15" customHeight="1" x14ac:dyDescent="0.25">
      <c r="J291" s="48"/>
      <c r="K291" s="17"/>
      <c r="L291" s="49"/>
    </row>
    <row r="292" spans="10:12" ht="15" customHeight="1" x14ac:dyDescent="0.25">
      <c r="J292" s="48"/>
      <c r="K292" s="17"/>
      <c r="L292" s="49"/>
    </row>
    <row r="293" spans="10:12" ht="15" customHeight="1" x14ac:dyDescent="0.25">
      <c r="J293" s="48"/>
      <c r="K293" s="17"/>
      <c r="L293" s="49"/>
    </row>
    <row r="294" spans="10:12" ht="15" customHeight="1" x14ac:dyDescent="0.25">
      <c r="J294" s="48"/>
      <c r="K294" s="17"/>
      <c r="L294" s="49"/>
    </row>
    <row r="295" spans="10:12" ht="15" customHeight="1" x14ac:dyDescent="0.25">
      <c r="J295" s="48"/>
      <c r="K295" s="17"/>
      <c r="L295" s="49"/>
    </row>
    <row r="296" spans="10:12" ht="15" customHeight="1" x14ac:dyDescent="0.25">
      <c r="J296" s="48"/>
      <c r="K296" s="17"/>
      <c r="L296" s="49"/>
    </row>
    <row r="297" spans="10:12" ht="15" customHeight="1" x14ac:dyDescent="0.25">
      <c r="J297" s="48"/>
      <c r="K297" s="17"/>
      <c r="L297" s="49"/>
    </row>
    <row r="298" spans="10:12" ht="15" customHeight="1" x14ac:dyDescent="0.25">
      <c r="J298" s="48"/>
      <c r="K298" s="17"/>
      <c r="L298" s="49"/>
    </row>
    <row r="299" spans="10:12" ht="15" customHeight="1" x14ac:dyDescent="0.25">
      <c r="J299" s="48"/>
      <c r="K299" s="17"/>
      <c r="L299" s="49"/>
    </row>
    <row r="300" spans="10:12" ht="15" customHeight="1" x14ac:dyDescent="0.25">
      <c r="J300" s="48"/>
      <c r="K300" s="17"/>
      <c r="L300" s="49"/>
    </row>
    <row r="301" spans="10:12" ht="15" customHeight="1" x14ac:dyDescent="0.25">
      <c r="J301" s="48"/>
      <c r="K301" s="17"/>
      <c r="L301" s="49"/>
    </row>
    <row r="302" spans="10:12" ht="15" customHeight="1" x14ac:dyDescent="0.25">
      <c r="J302" s="48"/>
      <c r="K302" s="17"/>
      <c r="L302" s="49"/>
    </row>
    <row r="303" spans="10:12" ht="15" customHeight="1" x14ac:dyDescent="0.25">
      <c r="J303" s="48"/>
      <c r="K303" s="17"/>
      <c r="L303" s="49"/>
    </row>
    <row r="304" spans="10:12" ht="15" customHeight="1" x14ac:dyDescent="0.25">
      <c r="J304" s="48"/>
      <c r="K304" s="17"/>
      <c r="L304" s="49"/>
    </row>
    <row r="305" spans="10:12" ht="15" customHeight="1" x14ac:dyDescent="0.25">
      <c r="J305" s="48"/>
      <c r="K305" s="17"/>
      <c r="L305" s="49"/>
    </row>
    <row r="306" spans="10:12" ht="15" customHeight="1" x14ac:dyDescent="0.25">
      <c r="J306" s="48"/>
      <c r="K306" s="17"/>
      <c r="L306" s="49"/>
    </row>
    <row r="307" spans="10:12" ht="15" customHeight="1" x14ac:dyDescent="0.25">
      <c r="J307" s="48"/>
      <c r="K307" s="17"/>
      <c r="L307" s="49"/>
    </row>
    <row r="308" spans="10:12" ht="15" customHeight="1" x14ac:dyDescent="0.25">
      <c r="J308" s="48"/>
      <c r="K308" s="17"/>
      <c r="L308" s="49"/>
    </row>
    <row r="309" spans="10:12" ht="15" customHeight="1" x14ac:dyDescent="0.25">
      <c r="J309" s="48"/>
      <c r="K309" s="17"/>
      <c r="L309" s="49"/>
    </row>
    <row r="310" spans="10:12" ht="15" customHeight="1" x14ac:dyDescent="0.25">
      <c r="J310" s="48"/>
      <c r="K310" s="17"/>
      <c r="L310" s="49"/>
    </row>
    <row r="311" spans="10:12" ht="15" customHeight="1" x14ac:dyDescent="0.25">
      <c r="J311" s="48"/>
      <c r="K311" s="17"/>
      <c r="L311" s="49"/>
    </row>
    <row r="312" spans="10:12" ht="15" customHeight="1" x14ac:dyDescent="0.25">
      <c r="J312" s="48"/>
      <c r="K312" s="17"/>
      <c r="L312" s="49"/>
    </row>
    <row r="313" spans="10:12" ht="15" customHeight="1" x14ac:dyDescent="0.25">
      <c r="J313" s="48"/>
      <c r="K313" s="17"/>
      <c r="L313" s="49"/>
    </row>
    <row r="314" spans="10:12" ht="15" customHeight="1" x14ac:dyDescent="0.25">
      <c r="J314" s="48"/>
      <c r="K314" s="17"/>
      <c r="L314" s="49"/>
    </row>
    <row r="315" spans="10:12" ht="15" customHeight="1" x14ac:dyDescent="0.25">
      <c r="J315" s="48"/>
      <c r="K315" s="17"/>
      <c r="L315" s="49"/>
    </row>
    <row r="316" spans="10:12" ht="15" customHeight="1" x14ac:dyDescent="0.25">
      <c r="J316" s="48"/>
      <c r="K316" s="17"/>
      <c r="L316" s="49"/>
    </row>
    <row r="317" spans="10:12" ht="15" customHeight="1" x14ac:dyDescent="0.25">
      <c r="J317" s="48"/>
      <c r="K317" s="17"/>
      <c r="L317" s="49"/>
    </row>
    <row r="318" spans="10:12" ht="15" customHeight="1" x14ac:dyDescent="0.25">
      <c r="J318" s="48"/>
      <c r="K318" s="17"/>
      <c r="L318" s="49"/>
    </row>
    <row r="319" spans="10:12" ht="15" customHeight="1" x14ac:dyDescent="0.25">
      <c r="J319" s="48"/>
      <c r="K319" s="17"/>
      <c r="L319" s="49"/>
    </row>
    <row r="320" spans="10:12" ht="15" customHeight="1" x14ac:dyDescent="0.25">
      <c r="J320" s="16"/>
      <c r="K320" s="17"/>
      <c r="L320" s="49"/>
    </row>
    <row r="321" spans="10:12" ht="15" customHeight="1" x14ac:dyDescent="0.25">
      <c r="J321" s="16"/>
      <c r="K321" s="17"/>
      <c r="L321" s="49"/>
    </row>
    <row r="322" spans="10:12" ht="15" customHeight="1" x14ac:dyDescent="0.25">
      <c r="J322" s="16"/>
      <c r="K322" s="17"/>
      <c r="L322" s="49"/>
    </row>
    <row r="323" spans="10:12" ht="15" customHeight="1" x14ac:dyDescent="0.25">
      <c r="J323" s="16"/>
      <c r="K323" s="17"/>
      <c r="L323" s="49"/>
    </row>
    <row r="324" spans="10:12" ht="15" customHeight="1" x14ac:dyDescent="0.25">
      <c r="J324" s="16"/>
      <c r="K324" s="17"/>
      <c r="L324" s="49"/>
    </row>
    <row r="325" spans="10:12" ht="15" customHeight="1" x14ac:dyDescent="0.25">
      <c r="J325" s="16"/>
      <c r="K325" s="17"/>
      <c r="L325" s="49"/>
    </row>
    <row r="326" spans="10:12" ht="15" customHeight="1" x14ac:dyDescent="0.25">
      <c r="J326" s="16"/>
      <c r="K326" s="17"/>
      <c r="L326" s="49"/>
    </row>
    <row r="327" spans="10:12" ht="15" customHeight="1" x14ac:dyDescent="0.25">
      <c r="J327" s="16"/>
      <c r="K327" s="17"/>
      <c r="L327" s="49"/>
    </row>
    <row r="328" spans="10:12" ht="15" customHeight="1" x14ac:dyDescent="0.25">
      <c r="J328" s="16"/>
      <c r="K328" s="17"/>
      <c r="L328" s="49"/>
    </row>
    <row r="329" spans="10:12" ht="15" customHeight="1" x14ac:dyDescent="0.25">
      <c r="J329" s="16"/>
      <c r="K329" s="17"/>
      <c r="L329" s="49"/>
    </row>
    <row r="330" spans="10:12" ht="15" customHeight="1" x14ac:dyDescent="0.25">
      <c r="J330" s="16"/>
      <c r="K330" s="17"/>
      <c r="L330" s="49"/>
    </row>
    <row r="331" spans="10:12" ht="15" customHeight="1" x14ac:dyDescent="0.25">
      <c r="J331" s="16"/>
      <c r="K331" s="17"/>
      <c r="L331" s="49"/>
    </row>
    <row r="332" spans="10:12" ht="15" customHeight="1" x14ac:dyDescent="0.25">
      <c r="J332" s="16"/>
      <c r="K332" s="17"/>
      <c r="L332" s="49"/>
    </row>
    <row r="333" spans="10:12" ht="15" customHeight="1" x14ac:dyDescent="0.25">
      <c r="J333" s="16"/>
      <c r="K333" s="17"/>
      <c r="L333" s="49"/>
    </row>
    <row r="334" spans="10:12" ht="15" customHeight="1" x14ac:dyDescent="0.25">
      <c r="J334" s="16"/>
      <c r="K334" s="17"/>
      <c r="L334" s="49"/>
    </row>
    <row r="335" spans="10:12" ht="15" customHeight="1" x14ac:dyDescent="0.25">
      <c r="J335" s="16"/>
      <c r="K335" s="17"/>
      <c r="L335" s="49"/>
    </row>
    <row r="336" spans="10:12" ht="15" customHeight="1" x14ac:dyDescent="0.25">
      <c r="J336" s="16"/>
      <c r="K336" s="17"/>
      <c r="L336" s="49"/>
    </row>
    <row r="337" spans="10:12" ht="15" customHeight="1" x14ac:dyDescent="0.25">
      <c r="J337" s="16"/>
      <c r="K337" s="17"/>
      <c r="L337" s="49"/>
    </row>
    <row r="338" spans="10:12" ht="15" customHeight="1" x14ac:dyDescent="0.25">
      <c r="J338" s="16"/>
      <c r="K338" s="17"/>
      <c r="L338" s="49"/>
    </row>
    <row r="339" spans="10:12" ht="15" customHeight="1" x14ac:dyDescent="0.25">
      <c r="J339" s="16"/>
      <c r="K339" s="17"/>
      <c r="L339" s="49"/>
    </row>
    <row r="340" spans="10:12" ht="15" customHeight="1" x14ac:dyDescent="0.25">
      <c r="J340" s="16"/>
      <c r="K340" s="17"/>
      <c r="L340" s="49"/>
    </row>
    <row r="341" spans="10:12" ht="15" customHeight="1" x14ac:dyDescent="0.25">
      <c r="J341" s="16"/>
      <c r="K341" s="17"/>
      <c r="L341" s="49"/>
    </row>
    <row r="342" spans="10:12" ht="15" customHeight="1" x14ac:dyDescent="0.25">
      <c r="J342" s="16"/>
      <c r="K342" s="17"/>
      <c r="L342" s="49"/>
    </row>
    <row r="343" spans="10:12" ht="15" customHeight="1" x14ac:dyDescent="0.25">
      <c r="J343" s="16"/>
      <c r="K343" s="17"/>
      <c r="L343" s="49"/>
    </row>
    <row r="344" spans="10:12" ht="15" customHeight="1" x14ac:dyDescent="0.25">
      <c r="J344" s="16"/>
      <c r="K344" s="17"/>
      <c r="L344" s="49"/>
    </row>
    <row r="345" spans="10:12" ht="15" customHeight="1" x14ac:dyDescent="0.25">
      <c r="J345" s="16"/>
      <c r="K345" s="17"/>
      <c r="L345" s="49"/>
    </row>
    <row r="346" spans="10:12" ht="15" customHeight="1" x14ac:dyDescent="0.25">
      <c r="J346" s="16"/>
      <c r="K346" s="17"/>
      <c r="L346" s="49"/>
    </row>
    <row r="347" spans="10:12" ht="15" customHeight="1" x14ac:dyDescent="0.25">
      <c r="J347" s="16"/>
      <c r="K347" s="17"/>
      <c r="L347" s="49"/>
    </row>
    <row r="348" spans="10:12" ht="15" customHeight="1" x14ac:dyDescent="0.25">
      <c r="J348" s="16"/>
      <c r="K348" s="17"/>
      <c r="L348" s="49"/>
    </row>
    <row r="349" spans="10:12" ht="15" customHeight="1" x14ac:dyDescent="0.25">
      <c r="J349" s="16"/>
      <c r="K349" s="17"/>
      <c r="L349" s="49"/>
    </row>
    <row r="350" spans="10:12" ht="15" customHeight="1" x14ac:dyDescent="0.25">
      <c r="J350" s="16"/>
      <c r="K350" s="17"/>
      <c r="L350" s="49"/>
    </row>
    <row r="351" spans="10:12" ht="15" customHeight="1" x14ac:dyDescent="0.25">
      <c r="J351" s="16"/>
      <c r="K351" s="17"/>
      <c r="L351" s="49"/>
    </row>
    <row r="352" spans="10:12" ht="15" customHeight="1" x14ac:dyDescent="0.25">
      <c r="J352" s="16"/>
      <c r="K352" s="17"/>
      <c r="L352" s="49"/>
    </row>
    <row r="353" spans="10:12" ht="15" customHeight="1" x14ac:dyDescent="0.25">
      <c r="J353" s="16"/>
      <c r="K353" s="17"/>
      <c r="L353" s="49"/>
    </row>
    <row r="354" spans="10:12" ht="15" customHeight="1" x14ac:dyDescent="0.25">
      <c r="J354" s="16"/>
      <c r="K354" s="17"/>
      <c r="L354" s="49"/>
    </row>
    <row r="355" spans="10:12" ht="15" customHeight="1" x14ac:dyDescent="0.25">
      <c r="J355" s="16"/>
      <c r="K355" s="17"/>
      <c r="L355" s="49"/>
    </row>
  </sheetData>
  <autoFilter ref="A5:R72" xr:uid="{00000000-0009-0000-0000-000006000000}">
    <filterColumn colId="11" showButton="0"/>
  </autoFilter>
  <mergeCells count="22">
    <mergeCell ref="A1:N1"/>
    <mergeCell ref="N4:N5"/>
    <mergeCell ref="A2:F3"/>
    <mergeCell ref="G2:I3"/>
    <mergeCell ref="J2:L3"/>
    <mergeCell ref="M2:N3"/>
    <mergeCell ref="O1:P1"/>
    <mergeCell ref="Q1:R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M5"/>
    <mergeCell ref="O2:P3"/>
    <mergeCell ref="O4:P5"/>
  </mergeCells>
  <conditionalFormatting sqref="C30:C41 A7:A58 C7:E19 K7:M22 G7:I49 G50:G58 H50:I69 C59:C69 C42:E58">
    <cfRule type="expression" dxfId="16919" priority="560">
      <formula>AND($A7&lt;&gt;"",MOD(ROW(),2))</formula>
    </cfRule>
  </conditionalFormatting>
  <conditionalFormatting sqref="D7:D19 K7:K22 D42:D69">
    <cfRule type="cellIs" dxfId="16918" priority="557" operator="equal">
      <formula>$C7</formula>
    </cfRule>
    <cfRule type="cellIs" dxfId="16917" priority="558" operator="greaterThan">
      <formula>$C7</formula>
    </cfRule>
    <cfRule type="cellIs" dxfId="16916" priority="559" operator="lessThan">
      <formula>$C7</formula>
    </cfRule>
  </conditionalFormatting>
  <conditionalFormatting sqref="K23:L23 K25:L59 M23:M59">
    <cfRule type="expression" dxfId="16915" priority="536">
      <formula>AND($A22&lt;&gt;"",MOD(ROW(),2))</formula>
    </cfRule>
  </conditionalFormatting>
  <conditionalFormatting sqref="K25:K59 K23">
    <cfRule type="cellIs" dxfId="16914" priority="533" operator="equal">
      <formula>$C22</formula>
    </cfRule>
    <cfRule type="cellIs" dxfId="16913" priority="534" operator="greaterThan">
      <formula>$C22</formula>
    </cfRule>
    <cfRule type="cellIs" dxfId="16912" priority="535" operator="lessThan">
      <formula>$C22</formula>
    </cfRule>
  </conditionalFormatting>
  <conditionalFormatting sqref="K60:L85">
    <cfRule type="expression" dxfId="16911" priority="532">
      <formula>AND($A59&lt;&gt;"",MOD(ROW(),2))</formula>
    </cfRule>
  </conditionalFormatting>
  <conditionalFormatting sqref="K60:K85">
    <cfRule type="cellIs" dxfId="16910" priority="529" operator="equal">
      <formula>$C59</formula>
    </cfRule>
    <cfRule type="cellIs" dxfId="16909" priority="530" operator="greaterThan">
      <formula>$C59</formula>
    </cfRule>
    <cfRule type="cellIs" dxfId="16908" priority="531" operator="lessThan">
      <formula>$C59</formula>
    </cfRule>
  </conditionalFormatting>
  <conditionalFormatting sqref="K86:L111">
    <cfRule type="expression" dxfId="16907" priority="528">
      <formula>AND($A85&lt;&gt;"",MOD(ROW(),2))</formula>
    </cfRule>
  </conditionalFormatting>
  <conditionalFormatting sqref="K86:K111">
    <cfRule type="cellIs" dxfId="16906" priority="525" operator="equal">
      <formula>$C85</formula>
    </cfRule>
    <cfRule type="cellIs" dxfId="16905" priority="526" operator="greaterThan">
      <formula>$C85</formula>
    </cfRule>
    <cfRule type="cellIs" dxfId="16904" priority="527" operator="lessThan">
      <formula>$C85</formula>
    </cfRule>
  </conditionalFormatting>
  <conditionalFormatting sqref="K112:L137">
    <cfRule type="expression" dxfId="16903" priority="524">
      <formula>AND($A111&lt;&gt;"",MOD(ROW(),2))</formula>
    </cfRule>
  </conditionalFormatting>
  <conditionalFormatting sqref="K112:K137">
    <cfRule type="cellIs" dxfId="16902" priority="521" operator="equal">
      <formula>$C111</formula>
    </cfRule>
    <cfRule type="cellIs" dxfId="16901" priority="522" operator="greaterThan">
      <formula>$C111</formula>
    </cfRule>
    <cfRule type="cellIs" dxfId="16900" priority="523" operator="lessThan">
      <formula>$C111</formula>
    </cfRule>
  </conditionalFormatting>
  <conditionalFormatting sqref="K138:L163">
    <cfRule type="expression" dxfId="16899" priority="520">
      <formula>AND($A137&lt;&gt;"",MOD(ROW(),2))</formula>
    </cfRule>
  </conditionalFormatting>
  <conditionalFormatting sqref="K138:K163">
    <cfRule type="cellIs" dxfId="16898" priority="517" operator="equal">
      <formula>$C137</formula>
    </cfRule>
    <cfRule type="cellIs" dxfId="16897" priority="518" operator="greaterThan">
      <formula>$C137</formula>
    </cfRule>
    <cfRule type="cellIs" dxfId="16896" priority="519" operator="lessThan">
      <formula>$C137</formula>
    </cfRule>
  </conditionalFormatting>
  <conditionalFormatting sqref="K164:L189">
    <cfRule type="expression" dxfId="16895" priority="516">
      <formula>AND($A163&lt;&gt;"",MOD(ROW(),2))</formula>
    </cfRule>
  </conditionalFormatting>
  <conditionalFormatting sqref="K164:K189">
    <cfRule type="cellIs" dxfId="16894" priority="513" operator="equal">
      <formula>$C163</formula>
    </cfRule>
    <cfRule type="cellIs" dxfId="16893" priority="514" operator="greaterThan">
      <formula>$C163</formula>
    </cfRule>
    <cfRule type="cellIs" dxfId="16892" priority="515" operator="lessThan">
      <formula>$C163</formula>
    </cfRule>
  </conditionalFormatting>
  <conditionalFormatting sqref="K190:L215">
    <cfRule type="expression" dxfId="16891" priority="512">
      <formula>AND($A189&lt;&gt;"",MOD(ROW(),2))</formula>
    </cfRule>
  </conditionalFormatting>
  <conditionalFormatting sqref="K190:K215">
    <cfRule type="cellIs" dxfId="16890" priority="509" operator="equal">
      <formula>$C189</formula>
    </cfRule>
    <cfRule type="cellIs" dxfId="16889" priority="510" operator="greaterThan">
      <formula>$C189</formula>
    </cfRule>
    <cfRule type="cellIs" dxfId="16888" priority="511" operator="lessThan">
      <formula>$C189</formula>
    </cfRule>
  </conditionalFormatting>
  <conditionalFormatting sqref="K216:L241">
    <cfRule type="expression" dxfId="16887" priority="508">
      <formula>AND($A215&lt;&gt;"",MOD(ROW(),2))</formula>
    </cfRule>
  </conditionalFormatting>
  <conditionalFormatting sqref="K216:K241">
    <cfRule type="cellIs" dxfId="16886" priority="505" operator="equal">
      <formula>$C215</formula>
    </cfRule>
    <cfRule type="cellIs" dxfId="16885" priority="506" operator="greaterThan">
      <formula>$C215</formula>
    </cfRule>
    <cfRule type="cellIs" dxfId="16884" priority="507" operator="lessThan">
      <formula>$C215</formula>
    </cfRule>
  </conditionalFormatting>
  <conditionalFormatting sqref="K242:L267">
    <cfRule type="expression" dxfId="16883" priority="504">
      <formula>AND($A241&lt;&gt;"",MOD(ROW(),2))</formula>
    </cfRule>
  </conditionalFormatting>
  <conditionalFormatting sqref="K242:K267">
    <cfRule type="cellIs" dxfId="16882" priority="501" operator="equal">
      <formula>$C241</formula>
    </cfRule>
    <cfRule type="cellIs" dxfId="16881" priority="502" operator="greaterThan">
      <formula>$C241</formula>
    </cfRule>
    <cfRule type="cellIs" dxfId="16880" priority="503" operator="lessThan">
      <formula>$C241</formula>
    </cfRule>
  </conditionalFormatting>
  <conditionalFormatting sqref="K268:L293">
    <cfRule type="expression" dxfId="16879" priority="500">
      <formula>AND($A267&lt;&gt;"",MOD(ROW(),2))</formula>
    </cfRule>
  </conditionalFormatting>
  <conditionalFormatting sqref="K268:K293">
    <cfRule type="cellIs" dxfId="16878" priority="497" operator="equal">
      <formula>$C267</formula>
    </cfRule>
    <cfRule type="cellIs" dxfId="16877" priority="498" operator="greaterThan">
      <formula>$C267</formula>
    </cfRule>
    <cfRule type="cellIs" dxfId="16876" priority="499" operator="lessThan">
      <formula>$C267</formula>
    </cfRule>
  </conditionalFormatting>
  <conditionalFormatting sqref="K294:L319">
    <cfRule type="expression" dxfId="16875" priority="496">
      <formula>AND($A293&lt;&gt;"",MOD(ROW(),2))</formula>
    </cfRule>
  </conditionalFormatting>
  <conditionalFormatting sqref="K294:K319">
    <cfRule type="cellIs" dxfId="16874" priority="493" operator="equal">
      <formula>$C293</formula>
    </cfRule>
    <cfRule type="cellIs" dxfId="16873" priority="494" operator="greaterThan">
      <formula>$C293</formula>
    </cfRule>
    <cfRule type="cellIs" dxfId="16872" priority="495" operator="lessThan">
      <formula>$C293</formula>
    </cfRule>
  </conditionalFormatting>
  <conditionalFormatting sqref="F7:F19 F42:F2989">
    <cfRule type="containsText" dxfId="16871" priority="492" operator="containsText" text="Unpaid Rent">
      <formula>NOT(ISERROR(SEARCH("Unpaid Rent",F7)))</formula>
    </cfRule>
    <cfRule type="containsText" dxfId="16870" priority="537" stopIfTrue="1" operator="containsText" text="Closed Account">
      <formula>NOT(ISERROR(SEARCH("Closed Account",F7)))</formula>
    </cfRule>
  </conditionalFormatting>
  <conditionalFormatting sqref="M34:M59 L34:L319 L25:M33 M24 L7:M23">
    <cfRule type="expression" dxfId="16869" priority="555">
      <formula>AND(#REF!&lt;&gt;"",MOD(ROW(),2))</formula>
    </cfRule>
  </conditionalFormatting>
  <conditionalFormatting sqref="M34:M59 L34:L319 L25:M33 M24 L7:M23">
    <cfRule type="expression" dxfId="16868" priority="554">
      <formula>AND(#REF!&lt;&gt;"",MOD(ROW(),2))</formula>
    </cfRule>
  </conditionalFormatting>
  <conditionalFormatting sqref="M7:M59">
    <cfRule type="cellIs" dxfId="16867" priority="550" operator="equal">
      <formula>#REF!</formula>
    </cfRule>
    <cfRule type="cellIs" dxfId="16866" priority="551" operator="greaterThan">
      <formula>#REF!</formula>
    </cfRule>
    <cfRule type="cellIs" dxfId="16865" priority="552" operator="lessThan">
      <formula>#REF!</formula>
    </cfRule>
  </conditionalFormatting>
  <conditionalFormatting sqref="K320:L322">
    <cfRule type="expression" dxfId="16864" priority="486">
      <formula>AND($A319&lt;&gt;"",MOD(ROW(),2))</formula>
    </cfRule>
  </conditionalFormatting>
  <conditionalFormatting sqref="K320:K322">
    <cfRule type="cellIs" dxfId="16863" priority="483" operator="equal">
      <formula>$C319</formula>
    </cfRule>
    <cfRule type="cellIs" dxfId="16862" priority="484" operator="greaterThan">
      <formula>$C319</formula>
    </cfRule>
    <cfRule type="cellIs" dxfId="16861" priority="485" operator="lessThan">
      <formula>$C319</formula>
    </cfRule>
  </conditionalFormatting>
  <conditionalFormatting sqref="L320:L322">
    <cfRule type="expression" dxfId="16860" priority="488">
      <formula>AND(#REF!&lt;&gt;"",MOD(ROW(),2))</formula>
    </cfRule>
  </conditionalFormatting>
  <conditionalFormatting sqref="L320:L322">
    <cfRule type="expression" dxfId="16859" priority="487">
      <formula>AND(#REF!&lt;&gt;"",MOD(ROW(),2))</formula>
    </cfRule>
  </conditionalFormatting>
  <conditionalFormatting sqref="K323:L325">
    <cfRule type="expression" dxfId="16858" priority="480">
      <formula>AND($A322&lt;&gt;"",MOD(ROW(),2))</formula>
    </cfRule>
  </conditionalFormatting>
  <conditionalFormatting sqref="K323:K325">
    <cfRule type="cellIs" dxfId="16857" priority="477" operator="equal">
      <formula>$C322</formula>
    </cfRule>
    <cfRule type="cellIs" dxfId="16856" priority="478" operator="greaterThan">
      <formula>$C322</formula>
    </cfRule>
    <cfRule type="cellIs" dxfId="16855" priority="479" operator="lessThan">
      <formula>$C322</formula>
    </cfRule>
  </conditionalFormatting>
  <conditionalFormatting sqref="L323:L325">
    <cfRule type="expression" dxfId="16854" priority="482">
      <formula>AND(#REF!&lt;&gt;"",MOD(ROW(),2))</formula>
    </cfRule>
  </conditionalFormatting>
  <conditionalFormatting sqref="L323:L325">
    <cfRule type="expression" dxfId="16853" priority="481">
      <formula>AND(#REF!&lt;&gt;"",MOD(ROW(),2))</formula>
    </cfRule>
  </conditionalFormatting>
  <conditionalFormatting sqref="K326:L328">
    <cfRule type="expression" dxfId="16852" priority="474">
      <formula>AND($A325&lt;&gt;"",MOD(ROW(),2))</formula>
    </cfRule>
  </conditionalFormatting>
  <conditionalFormatting sqref="K326:K328">
    <cfRule type="cellIs" dxfId="16851" priority="471" operator="equal">
      <formula>$C325</formula>
    </cfRule>
    <cfRule type="cellIs" dxfId="16850" priority="472" operator="greaterThan">
      <formula>$C325</formula>
    </cfRule>
    <cfRule type="cellIs" dxfId="16849" priority="473" operator="lessThan">
      <formula>$C325</formula>
    </cfRule>
  </conditionalFormatting>
  <conditionalFormatting sqref="L326:L328">
    <cfRule type="expression" dxfId="16848" priority="476">
      <formula>AND(#REF!&lt;&gt;"",MOD(ROW(),2))</formula>
    </cfRule>
  </conditionalFormatting>
  <conditionalFormatting sqref="L326:L328">
    <cfRule type="expression" dxfId="16847" priority="475">
      <formula>AND(#REF!&lt;&gt;"",MOD(ROW(),2))</formula>
    </cfRule>
  </conditionalFormatting>
  <conditionalFormatting sqref="K329:L331">
    <cfRule type="expression" dxfId="16846" priority="468">
      <formula>AND($A328&lt;&gt;"",MOD(ROW(),2))</formula>
    </cfRule>
  </conditionalFormatting>
  <conditionalFormatting sqref="K329:K331">
    <cfRule type="cellIs" dxfId="16845" priority="465" operator="equal">
      <formula>$C328</formula>
    </cfRule>
    <cfRule type="cellIs" dxfId="16844" priority="466" operator="greaterThan">
      <formula>$C328</formula>
    </cfRule>
    <cfRule type="cellIs" dxfId="16843" priority="467" operator="lessThan">
      <formula>$C328</formula>
    </cfRule>
  </conditionalFormatting>
  <conditionalFormatting sqref="L329:L331">
    <cfRule type="expression" dxfId="16842" priority="470">
      <formula>AND(#REF!&lt;&gt;"",MOD(ROW(),2))</formula>
    </cfRule>
  </conditionalFormatting>
  <conditionalFormatting sqref="L329:L331">
    <cfRule type="expression" dxfId="16841" priority="469">
      <formula>AND(#REF!&lt;&gt;"",MOD(ROW(),2))</formula>
    </cfRule>
  </conditionalFormatting>
  <conditionalFormatting sqref="K332:L334">
    <cfRule type="expression" dxfId="16840" priority="462">
      <formula>AND($A331&lt;&gt;"",MOD(ROW(),2))</formula>
    </cfRule>
  </conditionalFormatting>
  <conditionalFormatting sqref="K332:K334">
    <cfRule type="cellIs" dxfId="16839" priority="459" operator="equal">
      <formula>$C331</formula>
    </cfRule>
    <cfRule type="cellIs" dxfId="16838" priority="460" operator="greaterThan">
      <formula>$C331</formula>
    </cfRule>
    <cfRule type="cellIs" dxfId="16837" priority="461" operator="lessThan">
      <formula>$C331</formula>
    </cfRule>
  </conditionalFormatting>
  <conditionalFormatting sqref="L332:L334">
    <cfRule type="expression" dxfId="16836" priority="464">
      <formula>AND(#REF!&lt;&gt;"",MOD(ROW(),2))</formula>
    </cfRule>
  </conditionalFormatting>
  <conditionalFormatting sqref="L332:L334">
    <cfRule type="expression" dxfId="16835" priority="463">
      <formula>AND(#REF!&lt;&gt;"",MOD(ROW(),2))</formula>
    </cfRule>
  </conditionalFormatting>
  <conditionalFormatting sqref="K335:L337">
    <cfRule type="expression" dxfId="16834" priority="456">
      <formula>AND($A334&lt;&gt;"",MOD(ROW(),2))</formula>
    </cfRule>
  </conditionalFormatting>
  <conditionalFormatting sqref="K335:K337">
    <cfRule type="cellIs" dxfId="16833" priority="453" operator="equal">
      <formula>$C334</formula>
    </cfRule>
    <cfRule type="cellIs" dxfId="16832" priority="454" operator="greaterThan">
      <formula>$C334</formula>
    </cfRule>
    <cfRule type="cellIs" dxfId="16831" priority="455" operator="lessThan">
      <formula>$C334</formula>
    </cfRule>
  </conditionalFormatting>
  <conditionalFormatting sqref="L335:L337">
    <cfRule type="expression" dxfId="16830" priority="458">
      <formula>AND(#REF!&lt;&gt;"",MOD(ROW(),2))</formula>
    </cfRule>
  </conditionalFormatting>
  <conditionalFormatting sqref="L335:L337">
    <cfRule type="expression" dxfId="16829" priority="457">
      <formula>AND(#REF!&lt;&gt;"",MOD(ROW(),2))</formula>
    </cfRule>
  </conditionalFormatting>
  <conditionalFormatting sqref="K338:L340">
    <cfRule type="expression" dxfId="16828" priority="450">
      <formula>AND($A337&lt;&gt;"",MOD(ROW(),2))</formula>
    </cfRule>
  </conditionalFormatting>
  <conditionalFormatting sqref="K338:K340">
    <cfRule type="cellIs" dxfId="16827" priority="447" operator="equal">
      <formula>$C337</formula>
    </cfRule>
    <cfRule type="cellIs" dxfId="16826" priority="448" operator="greaterThan">
      <formula>$C337</formula>
    </cfRule>
    <cfRule type="cellIs" dxfId="16825" priority="449" operator="lessThan">
      <formula>$C337</formula>
    </cfRule>
  </conditionalFormatting>
  <conditionalFormatting sqref="L338:L340">
    <cfRule type="expression" dxfId="16824" priority="452">
      <formula>AND(#REF!&lt;&gt;"",MOD(ROW(),2))</formula>
    </cfRule>
  </conditionalFormatting>
  <conditionalFormatting sqref="L338:L340">
    <cfRule type="expression" dxfId="16823" priority="451">
      <formula>AND(#REF!&lt;&gt;"",MOD(ROW(),2))</formula>
    </cfRule>
  </conditionalFormatting>
  <conditionalFormatting sqref="K341:L343">
    <cfRule type="expression" dxfId="16822" priority="444">
      <formula>AND($A340&lt;&gt;"",MOD(ROW(),2))</formula>
    </cfRule>
  </conditionalFormatting>
  <conditionalFormatting sqref="K341:K343">
    <cfRule type="cellIs" dxfId="16821" priority="441" operator="equal">
      <formula>$C340</formula>
    </cfRule>
    <cfRule type="cellIs" dxfId="16820" priority="442" operator="greaterThan">
      <formula>$C340</formula>
    </cfRule>
    <cfRule type="cellIs" dxfId="16819" priority="443" operator="lessThan">
      <formula>$C340</formula>
    </cfRule>
  </conditionalFormatting>
  <conditionalFormatting sqref="L341:L343">
    <cfRule type="expression" dxfId="16818" priority="446">
      <formula>AND(#REF!&lt;&gt;"",MOD(ROW(),2))</formula>
    </cfRule>
  </conditionalFormatting>
  <conditionalFormatting sqref="L341:L343">
    <cfRule type="expression" dxfId="16817" priority="445">
      <formula>AND(#REF!&lt;&gt;"",MOD(ROW(),2))</formula>
    </cfRule>
  </conditionalFormatting>
  <conditionalFormatting sqref="K344:L346">
    <cfRule type="expression" dxfId="16816" priority="438">
      <formula>AND($A343&lt;&gt;"",MOD(ROW(),2))</formula>
    </cfRule>
  </conditionalFormatting>
  <conditionalFormatting sqref="K344:K346">
    <cfRule type="cellIs" dxfId="16815" priority="435" operator="equal">
      <formula>$C343</formula>
    </cfRule>
    <cfRule type="cellIs" dxfId="16814" priority="436" operator="greaterThan">
      <formula>$C343</formula>
    </cfRule>
    <cfRule type="cellIs" dxfId="16813" priority="437" operator="lessThan">
      <formula>$C343</formula>
    </cfRule>
  </conditionalFormatting>
  <conditionalFormatting sqref="L344:L346">
    <cfRule type="expression" dxfId="16812" priority="440">
      <formula>AND(#REF!&lt;&gt;"",MOD(ROW(),2))</formula>
    </cfRule>
  </conditionalFormatting>
  <conditionalFormatting sqref="L344:L346">
    <cfRule type="expression" dxfId="16811" priority="439">
      <formula>AND(#REF!&lt;&gt;"",MOD(ROW(),2))</formula>
    </cfRule>
  </conditionalFormatting>
  <conditionalFormatting sqref="K347:L349">
    <cfRule type="expression" dxfId="16810" priority="432">
      <formula>AND($A346&lt;&gt;"",MOD(ROW(),2))</formula>
    </cfRule>
  </conditionalFormatting>
  <conditionalFormatting sqref="K347:K349">
    <cfRule type="cellIs" dxfId="16809" priority="429" operator="equal">
      <formula>$C346</formula>
    </cfRule>
    <cfRule type="cellIs" dxfId="16808" priority="430" operator="greaterThan">
      <formula>$C346</formula>
    </cfRule>
    <cfRule type="cellIs" dxfId="16807" priority="431" operator="lessThan">
      <formula>$C346</formula>
    </cfRule>
  </conditionalFormatting>
  <conditionalFormatting sqref="L347:L349">
    <cfRule type="expression" dxfId="16806" priority="434">
      <formula>AND(#REF!&lt;&gt;"",MOD(ROW(),2))</formula>
    </cfRule>
  </conditionalFormatting>
  <conditionalFormatting sqref="L347:L349">
    <cfRule type="expression" dxfId="16805" priority="433">
      <formula>AND(#REF!&lt;&gt;"",MOD(ROW(),2))</formula>
    </cfRule>
  </conditionalFormatting>
  <conditionalFormatting sqref="K350:L352">
    <cfRule type="expression" dxfId="16804" priority="426">
      <formula>AND($A349&lt;&gt;"",MOD(ROW(),2))</formula>
    </cfRule>
  </conditionalFormatting>
  <conditionalFormatting sqref="K350:K352">
    <cfRule type="cellIs" dxfId="16803" priority="423" operator="equal">
      <formula>$C349</formula>
    </cfRule>
    <cfRule type="cellIs" dxfId="16802" priority="424" operator="greaterThan">
      <formula>$C349</formula>
    </cfRule>
    <cfRule type="cellIs" dxfId="16801" priority="425" operator="lessThan">
      <formula>$C349</formula>
    </cfRule>
  </conditionalFormatting>
  <conditionalFormatting sqref="L350:L352">
    <cfRule type="expression" dxfId="16800" priority="428">
      <formula>AND(#REF!&lt;&gt;"",MOD(ROW(),2))</formula>
    </cfRule>
  </conditionalFormatting>
  <conditionalFormatting sqref="L350:L352">
    <cfRule type="expression" dxfId="16799" priority="427">
      <formula>AND(#REF!&lt;&gt;"",MOD(ROW(),2))</formula>
    </cfRule>
  </conditionalFormatting>
  <conditionalFormatting sqref="K353:L355">
    <cfRule type="expression" dxfId="16798" priority="420">
      <formula>AND($A352&lt;&gt;"",MOD(ROW(),2))</formula>
    </cfRule>
  </conditionalFormatting>
  <conditionalFormatting sqref="K353:K355">
    <cfRule type="cellIs" dxfId="16797" priority="417" operator="equal">
      <formula>$C352</formula>
    </cfRule>
    <cfRule type="cellIs" dxfId="16796" priority="418" operator="greaterThan">
      <formula>$C352</formula>
    </cfRule>
    <cfRule type="cellIs" dxfId="16795" priority="419" operator="lessThan">
      <formula>$C352</formula>
    </cfRule>
  </conditionalFormatting>
  <conditionalFormatting sqref="L353:L355">
    <cfRule type="expression" dxfId="16794" priority="422">
      <formula>AND(#REF!&lt;&gt;"",MOD(ROW(),2))</formula>
    </cfRule>
  </conditionalFormatting>
  <conditionalFormatting sqref="L353:L355">
    <cfRule type="expression" dxfId="16793" priority="421">
      <formula>AND(#REF!&lt;&gt;"",MOD(ROW(),2))</formula>
    </cfRule>
  </conditionalFormatting>
  <conditionalFormatting sqref="C18">
    <cfRule type="expression" dxfId="16792" priority="260">
      <formula>AND($A18&lt;&gt;"",MOD(ROW(),2))</formula>
    </cfRule>
  </conditionalFormatting>
  <conditionalFormatting sqref="C18">
    <cfRule type="cellIs" dxfId="16791" priority="257" operator="equal">
      <formula>$C18</formula>
    </cfRule>
    <cfRule type="cellIs" dxfId="16790" priority="258" operator="greaterThan">
      <formula>$C18</formula>
    </cfRule>
    <cfRule type="cellIs" dxfId="16789" priority="259" operator="lessThan">
      <formula>$C18</formula>
    </cfRule>
  </conditionalFormatting>
  <conditionalFormatting sqref="C19">
    <cfRule type="expression" dxfId="16788" priority="254">
      <formula>AND($A19&lt;&gt;"",MOD(ROW(),2))</formula>
    </cfRule>
  </conditionalFormatting>
  <conditionalFormatting sqref="C19">
    <cfRule type="cellIs" dxfId="16787" priority="251" operator="equal">
      <formula>$C19</formula>
    </cfRule>
    <cfRule type="cellIs" dxfId="16786" priority="252" operator="greaterThan">
      <formula>$C19</formula>
    </cfRule>
    <cfRule type="cellIs" dxfId="16785" priority="253" operator="lessThan">
      <formula>$C19</formula>
    </cfRule>
  </conditionalFormatting>
  <conditionalFormatting sqref="C20">
    <cfRule type="expression" dxfId="16784" priority="250">
      <formula>AND($A20&lt;&gt;"",MOD(ROW(),2))</formula>
    </cfRule>
  </conditionalFormatting>
  <conditionalFormatting sqref="C20">
    <cfRule type="cellIs" dxfId="16783" priority="247" operator="equal">
      <formula>$C20</formula>
    </cfRule>
    <cfRule type="cellIs" dxfId="16782" priority="248" operator="greaterThan">
      <formula>$C20</formula>
    </cfRule>
    <cfRule type="cellIs" dxfId="16781" priority="249" operator="lessThan">
      <formula>$C20</formula>
    </cfRule>
  </conditionalFormatting>
  <conditionalFormatting sqref="C21">
    <cfRule type="expression" dxfId="16780" priority="246">
      <formula>AND($A21&lt;&gt;"",MOD(ROW(),2))</formula>
    </cfRule>
  </conditionalFormatting>
  <conditionalFormatting sqref="C21">
    <cfRule type="cellIs" dxfId="16779" priority="243" operator="equal">
      <formula>$C21</formula>
    </cfRule>
    <cfRule type="cellIs" dxfId="16778" priority="244" operator="greaterThan">
      <formula>$C21</formula>
    </cfRule>
    <cfRule type="cellIs" dxfId="16777" priority="245" operator="lessThan">
      <formula>$C21</formula>
    </cfRule>
  </conditionalFormatting>
  <conditionalFormatting sqref="C22">
    <cfRule type="expression" dxfId="16776" priority="242">
      <formula>AND($A22&lt;&gt;"",MOD(ROW(),2))</formula>
    </cfRule>
  </conditionalFormatting>
  <conditionalFormatting sqref="C22">
    <cfRule type="cellIs" dxfId="16775" priority="239" operator="equal">
      <formula>$C22</formula>
    </cfRule>
    <cfRule type="cellIs" dxfId="16774" priority="240" operator="greaterThan">
      <formula>$C22</formula>
    </cfRule>
    <cfRule type="cellIs" dxfId="16773" priority="241" operator="lessThan">
      <formula>$C22</formula>
    </cfRule>
  </conditionalFormatting>
  <conditionalFormatting sqref="C23">
    <cfRule type="expression" dxfId="16772" priority="238">
      <formula>AND($A23&lt;&gt;"",MOD(ROW(),2))</formula>
    </cfRule>
  </conditionalFormatting>
  <conditionalFormatting sqref="C23">
    <cfRule type="cellIs" dxfId="16771" priority="235" operator="equal">
      <formula>$C23</formula>
    </cfRule>
    <cfRule type="cellIs" dxfId="16770" priority="236" operator="greaterThan">
      <formula>$C23</formula>
    </cfRule>
    <cfRule type="cellIs" dxfId="16769" priority="237" operator="lessThan">
      <formula>$C23</formula>
    </cfRule>
  </conditionalFormatting>
  <conditionalFormatting sqref="C24">
    <cfRule type="expression" dxfId="16768" priority="234">
      <formula>AND($A24&lt;&gt;"",MOD(ROW(),2))</formula>
    </cfRule>
  </conditionalFormatting>
  <conditionalFormatting sqref="C24">
    <cfRule type="cellIs" dxfId="16767" priority="231" operator="equal">
      <formula>$C24</formula>
    </cfRule>
    <cfRule type="cellIs" dxfId="16766" priority="232" operator="greaterThan">
      <formula>$C24</formula>
    </cfRule>
    <cfRule type="cellIs" dxfId="16765" priority="233" operator="lessThan">
      <formula>$C24</formula>
    </cfRule>
  </conditionalFormatting>
  <conditionalFormatting sqref="C25">
    <cfRule type="expression" dxfId="16764" priority="230">
      <formula>AND($A25&lt;&gt;"",MOD(ROW(),2))</formula>
    </cfRule>
  </conditionalFormatting>
  <conditionalFormatting sqref="C25">
    <cfRule type="cellIs" dxfId="16763" priority="227" operator="equal">
      <formula>$C25</formula>
    </cfRule>
    <cfRule type="cellIs" dxfId="16762" priority="228" operator="greaterThan">
      <formula>$C25</formula>
    </cfRule>
    <cfRule type="cellIs" dxfId="16761" priority="229" operator="lessThan">
      <formula>$C25</formula>
    </cfRule>
  </conditionalFormatting>
  <conditionalFormatting sqref="C26">
    <cfRule type="expression" dxfId="16760" priority="226">
      <formula>AND($A26&lt;&gt;"",MOD(ROW(),2))</formula>
    </cfRule>
  </conditionalFormatting>
  <conditionalFormatting sqref="C26">
    <cfRule type="cellIs" dxfId="16759" priority="223" operator="equal">
      <formula>$C26</formula>
    </cfRule>
    <cfRule type="cellIs" dxfId="16758" priority="224" operator="greaterThan">
      <formula>$C26</formula>
    </cfRule>
    <cfRule type="cellIs" dxfId="16757" priority="225" operator="lessThan">
      <formula>$C26</formula>
    </cfRule>
  </conditionalFormatting>
  <conditionalFormatting sqref="C27">
    <cfRule type="expression" dxfId="16756" priority="222">
      <formula>AND($A27&lt;&gt;"",MOD(ROW(),2))</formula>
    </cfRule>
  </conditionalFormatting>
  <conditionalFormatting sqref="C27">
    <cfRule type="cellIs" dxfId="16755" priority="219" operator="equal">
      <formula>$C27</formula>
    </cfRule>
    <cfRule type="cellIs" dxfId="16754" priority="220" operator="greaterThan">
      <formula>$C27</formula>
    </cfRule>
    <cfRule type="cellIs" dxfId="16753" priority="221" operator="lessThan">
      <formula>$C27</formula>
    </cfRule>
  </conditionalFormatting>
  <conditionalFormatting sqref="C28">
    <cfRule type="expression" dxfId="16752" priority="218">
      <formula>AND($A28&lt;&gt;"",MOD(ROW(),2))</formula>
    </cfRule>
  </conditionalFormatting>
  <conditionalFormatting sqref="C28">
    <cfRule type="cellIs" dxfId="16751" priority="215" operator="equal">
      <formula>$C28</formula>
    </cfRule>
    <cfRule type="cellIs" dxfId="16750" priority="216" operator="greaterThan">
      <formula>$C28</formula>
    </cfRule>
    <cfRule type="cellIs" dxfId="16749" priority="217" operator="lessThan">
      <formula>$C28</formula>
    </cfRule>
  </conditionalFormatting>
  <conditionalFormatting sqref="C29">
    <cfRule type="expression" dxfId="16748" priority="214">
      <formula>AND($A29&lt;&gt;"",MOD(ROW(),2))</formula>
    </cfRule>
  </conditionalFormatting>
  <conditionalFormatting sqref="C29">
    <cfRule type="cellIs" dxfId="16747" priority="211" operator="equal">
      <formula>$C29</formula>
    </cfRule>
    <cfRule type="cellIs" dxfId="16746" priority="212" operator="greaterThan">
      <formula>$C29</formula>
    </cfRule>
    <cfRule type="cellIs" dxfId="16745" priority="213" operator="lessThan">
      <formula>$C29</formula>
    </cfRule>
  </conditionalFormatting>
  <conditionalFormatting sqref="D18:E18">
    <cfRule type="expression" dxfId="16744" priority="188">
      <formula>AND($A18&lt;&gt;"",MOD(ROW(),2))</formula>
    </cfRule>
  </conditionalFormatting>
  <conditionalFormatting sqref="D18">
    <cfRule type="cellIs" dxfId="16743" priority="185" operator="equal">
      <formula>$C18</formula>
    </cfRule>
    <cfRule type="cellIs" dxfId="16742" priority="186" operator="greaterThan">
      <formula>$C18</formula>
    </cfRule>
    <cfRule type="cellIs" dxfId="16741" priority="187" operator="lessThan">
      <formula>$C18</formula>
    </cfRule>
  </conditionalFormatting>
  <conditionalFormatting sqref="D19:E19">
    <cfRule type="expression" dxfId="16740" priority="182">
      <formula>AND($A19&lt;&gt;"",MOD(ROW(),2))</formula>
    </cfRule>
  </conditionalFormatting>
  <conditionalFormatting sqref="D19">
    <cfRule type="cellIs" dxfId="16739" priority="179" operator="equal">
      <formula>$C19</formula>
    </cfRule>
    <cfRule type="cellIs" dxfId="16738" priority="180" operator="greaterThan">
      <formula>$C19</formula>
    </cfRule>
    <cfRule type="cellIs" dxfId="16737" priority="181" operator="lessThan">
      <formula>$C19</formula>
    </cfRule>
  </conditionalFormatting>
  <conditionalFormatting sqref="D20:E20">
    <cfRule type="expression" dxfId="16736" priority="178">
      <formula>AND($A20&lt;&gt;"",MOD(ROW(),2))</formula>
    </cfRule>
  </conditionalFormatting>
  <conditionalFormatting sqref="D20">
    <cfRule type="cellIs" dxfId="16735" priority="175" operator="equal">
      <formula>$C20</formula>
    </cfRule>
    <cfRule type="cellIs" dxfId="16734" priority="176" operator="greaterThan">
      <formula>$C20</formula>
    </cfRule>
    <cfRule type="cellIs" dxfId="16733" priority="177" operator="lessThan">
      <formula>$C20</formula>
    </cfRule>
  </conditionalFormatting>
  <conditionalFormatting sqref="D21:E21">
    <cfRule type="expression" dxfId="16732" priority="174">
      <formula>AND($A21&lt;&gt;"",MOD(ROW(),2))</formula>
    </cfRule>
  </conditionalFormatting>
  <conditionalFormatting sqref="D21">
    <cfRule type="cellIs" dxfId="16731" priority="171" operator="equal">
      <formula>$C21</formula>
    </cfRule>
    <cfRule type="cellIs" dxfId="16730" priority="172" operator="greaterThan">
      <formula>$C21</formula>
    </cfRule>
    <cfRule type="cellIs" dxfId="16729" priority="173" operator="lessThan">
      <formula>$C21</formula>
    </cfRule>
  </conditionalFormatting>
  <conditionalFormatting sqref="D22:E22">
    <cfRule type="expression" dxfId="16728" priority="170">
      <formula>AND($A22&lt;&gt;"",MOD(ROW(),2))</formula>
    </cfRule>
  </conditionalFormatting>
  <conditionalFormatting sqref="D22">
    <cfRule type="cellIs" dxfId="16727" priority="167" operator="equal">
      <formula>$C22</formula>
    </cfRule>
    <cfRule type="cellIs" dxfId="16726" priority="168" operator="greaterThan">
      <formula>$C22</formula>
    </cfRule>
    <cfRule type="cellIs" dxfId="16725" priority="169" operator="lessThan">
      <formula>$C22</formula>
    </cfRule>
  </conditionalFormatting>
  <conditionalFormatting sqref="D23:E23">
    <cfRule type="expression" dxfId="16724" priority="166">
      <formula>AND($A23&lt;&gt;"",MOD(ROW(),2))</formula>
    </cfRule>
  </conditionalFormatting>
  <conditionalFormatting sqref="D23">
    <cfRule type="cellIs" dxfId="16723" priority="163" operator="equal">
      <formula>$C23</formula>
    </cfRule>
    <cfRule type="cellIs" dxfId="16722" priority="164" operator="greaterThan">
      <formula>$C23</formula>
    </cfRule>
    <cfRule type="cellIs" dxfId="16721" priority="165" operator="lessThan">
      <formula>$C23</formula>
    </cfRule>
  </conditionalFormatting>
  <conditionalFormatting sqref="D24:E24">
    <cfRule type="expression" dxfId="16720" priority="162">
      <formula>AND($A24&lt;&gt;"",MOD(ROW(),2))</formula>
    </cfRule>
  </conditionalFormatting>
  <conditionalFormatting sqref="D24">
    <cfRule type="cellIs" dxfId="16719" priority="159" operator="equal">
      <formula>$C24</formula>
    </cfRule>
    <cfRule type="cellIs" dxfId="16718" priority="160" operator="greaterThan">
      <formula>$C24</formula>
    </cfRule>
    <cfRule type="cellIs" dxfId="16717" priority="161" operator="lessThan">
      <formula>$C24</formula>
    </cfRule>
  </conditionalFormatting>
  <conditionalFormatting sqref="D25:E25">
    <cfRule type="expression" dxfId="16716" priority="158">
      <formula>AND($A25&lt;&gt;"",MOD(ROW(),2))</formula>
    </cfRule>
  </conditionalFormatting>
  <conditionalFormatting sqref="D25">
    <cfRule type="cellIs" dxfId="16715" priority="155" operator="equal">
      <formula>$C25</formula>
    </cfRule>
    <cfRule type="cellIs" dxfId="16714" priority="156" operator="greaterThan">
      <formula>$C25</formula>
    </cfRule>
    <cfRule type="cellIs" dxfId="16713" priority="157" operator="lessThan">
      <formula>$C25</formula>
    </cfRule>
  </conditionalFormatting>
  <conditionalFormatting sqref="D26:E26">
    <cfRule type="expression" dxfId="16712" priority="154">
      <formula>AND($A26&lt;&gt;"",MOD(ROW(),2))</formula>
    </cfRule>
  </conditionalFormatting>
  <conditionalFormatting sqref="D26">
    <cfRule type="cellIs" dxfId="16711" priority="151" operator="equal">
      <formula>$C26</formula>
    </cfRule>
    <cfRule type="cellIs" dxfId="16710" priority="152" operator="greaterThan">
      <formula>$C26</formula>
    </cfRule>
    <cfRule type="cellIs" dxfId="16709" priority="153" operator="lessThan">
      <formula>$C26</formula>
    </cfRule>
  </conditionalFormatting>
  <conditionalFormatting sqref="D27:E27">
    <cfRule type="expression" dxfId="16708" priority="150">
      <formula>AND($A27&lt;&gt;"",MOD(ROW(),2))</formula>
    </cfRule>
  </conditionalFormatting>
  <conditionalFormatting sqref="D27">
    <cfRule type="cellIs" dxfId="16707" priority="147" operator="equal">
      <formula>$C27</formula>
    </cfRule>
    <cfRule type="cellIs" dxfId="16706" priority="148" operator="greaterThan">
      <formula>$C27</formula>
    </cfRule>
    <cfRule type="cellIs" dxfId="16705" priority="149" operator="lessThan">
      <formula>$C27</formula>
    </cfRule>
  </conditionalFormatting>
  <conditionalFormatting sqref="D28:E28">
    <cfRule type="expression" dxfId="16704" priority="146">
      <formula>AND($A28&lt;&gt;"",MOD(ROW(),2))</formula>
    </cfRule>
  </conditionalFormatting>
  <conditionalFormatting sqref="D28">
    <cfRule type="cellIs" dxfId="16703" priority="143" operator="equal">
      <formula>$C28</formula>
    </cfRule>
    <cfRule type="cellIs" dxfId="16702" priority="144" operator="greaterThan">
      <formula>$C28</formula>
    </cfRule>
    <cfRule type="cellIs" dxfId="16701" priority="145" operator="lessThan">
      <formula>$C28</formula>
    </cfRule>
  </conditionalFormatting>
  <conditionalFormatting sqref="D29:E29">
    <cfRule type="expression" dxfId="16700" priority="142">
      <formula>AND($A29&lt;&gt;"",MOD(ROW(),2))</formula>
    </cfRule>
  </conditionalFormatting>
  <conditionalFormatting sqref="D29">
    <cfRule type="cellIs" dxfId="16699" priority="139" operator="equal">
      <formula>$C29</formula>
    </cfRule>
    <cfRule type="cellIs" dxfId="16698" priority="140" operator="greaterThan">
      <formula>$C29</formula>
    </cfRule>
    <cfRule type="cellIs" dxfId="16697" priority="141" operator="lessThan">
      <formula>$C29</formula>
    </cfRule>
  </conditionalFormatting>
  <conditionalFormatting sqref="F18">
    <cfRule type="containsText" dxfId="16696" priority="115" operator="containsText" text="Unpaid Rent">
      <formula>NOT(ISERROR(SEARCH("Unpaid Rent",F18)))</formula>
    </cfRule>
    <cfRule type="containsText" dxfId="16695" priority="116" stopIfTrue="1" operator="containsText" text="Closed Account">
      <formula>NOT(ISERROR(SEARCH("Closed Account",F18)))</formula>
    </cfRule>
  </conditionalFormatting>
  <conditionalFormatting sqref="F19:F29">
    <cfRule type="containsText" dxfId="16694" priority="113" operator="containsText" text="Unpaid Rent">
      <formula>NOT(ISERROR(SEARCH("Unpaid Rent",F19)))</formula>
    </cfRule>
    <cfRule type="containsText" dxfId="16693" priority="114" stopIfTrue="1" operator="containsText" text="Closed Account">
      <formula>NOT(ISERROR(SEARCH("Closed Account",F19)))</formula>
    </cfRule>
  </conditionalFormatting>
  <conditionalFormatting sqref="F30:F41">
    <cfRule type="containsText" dxfId="16692" priority="111" operator="containsText" text="Unpaid Rent">
      <formula>NOT(ISERROR(SEARCH("Unpaid Rent",F30)))</formula>
    </cfRule>
    <cfRule type="containsText" dxfId="16691" priority="112" stopIfTrue="1" operator="containsText" text="Closed Account">
      <formula>NOT(ISERROR(SEARCH("Closed Account",F30)))</formula>
    </cfRule>
  </conditionalFormatting>
  <conditionalFormatting sqref="D30:E30">
    <cfRule type="expression" dxfId="16690" priority="110">
      <formula>AND($A30&lt;&gt;"",MOD(ROW(),2))</formula>
    </cfRule>
  </conditionalFormatting>
  <conditionalFormatting sqref="D30">
    <cfRule type="cellIs" dxfId="16689" priority="107" operator="equal">
      <formula>$C30</formula>
    </cfRule>
    <cfRule type="cellIs" dxfId="16688" priority="108" operator="greaterThan">
      <formula>$C30</formula>
    </cfRule>
    <cfRule type="cellIs" dxfId="16687" priority="109" operator="lessThan">
      <formula>$C30</formula>
    </cfRule>
  </conditionalFormatting>
  <conditionalFormatting sqref="D31:E31">
    <cfRule type="expression" dxfId="16686" priority="106">
      <formula>AND($A31&lt;&gt;"",MOD(ROW(),2))</formula>
    </cfRule>
  </conditionalFormatting>
  <conditionalFormatting sqref="D31">
    <cfRule type="cellIs" dxfId="16685" priority="103" operator="equal">
      <formula>$C31</formula>
    </cfRule>
    <cfRule type="cellIs" dxfId="16684" priority="104" operator="greaterThan">
      <formula>$C31</formula>
    </cfRule>
    <cfRule type="cellIs" dxfId="16683" priority="105" operator="lessThan">
      <formula>$C31</formula>
    </cfRule>
  </conditionalFormatting>
  <conditionalFormatting sqref="D32:E32">
    <cfRule type="expression" dxfId="16682" priority="102">
      <formula>AND($A32&lt;&gt;"",MOD(ROW(),2))</formula>
    </cfRule>
  </conditionalFormatting>
  <conditionalFormatting sqref="D32">
    <cfRule type="cellIs" dxfId="16681" priority="99" operator="equal">
      <formula>$C32</formula>
    </cfRule>
    <cfRule type="cellIs" dxfId="16680" priority="100" operator="greaterThan">
      <formula>$C32</formula>
    </cfRule>
    <cfRule type="cellIs" dxfId="16679" priority="101" operator="lessThan">
      <formula>$C32</formula>
    </cfRule>
  </conditionalFormatting>
  <conditionalFormatting sqref="D33:E33">
    <cfRule type="expression" dxfId="16678" priority="98">
      <formula>AND($A33&lt;&gt;"",MOD(ROW(),2))</formula>
    </cfRule>
  </conditionalFormatting>
  <conditionalFormatting sqref="D33">
    <cfRule type="cellIs" dxfId="16677" priority="95" operator="equal">
      <formula>$C33</formula>
    </cfRule>
    <cfRule type="cellIs" dxfId="16676" priority="96" operator="greaterThan">
      <formula>$C33</formula>
    </cfRule>
    <cfRule type="cellIs" dxfId="16675" priority="97" operator="lessThan">
      <formula>$C33</formula>
    </cfRule>
  </conditionalFormatting>
  <conditionalFormatting sqref="D34:E34">
    <cfRule type="expression" dxfId="16674" priority="94">
      <formula>AND($A34&lt;&gt;"",MOD(ROW(),2))</formula>
    </cfRule>
  </conditionalFormatting>
  <conditionalFormatting sqref="D34">
    <cfRule type="cellIs" dxfId="16673" priority="91" operator="equal">
      <formula>$C34</formula>
    </cfRule>
    <cfRule type="cellIs" dxfId="16672" priority="92" operator="greaterThan">
      <formula>$C34</formula>
    </cfRule>
    <cfRule type="cellIs" dxfId="16671" priority="93" operator="lessThan">
      <formula>$C34</formula>
    </cfRule>
  </conditionalFormatting>
  <conditionalFormatting sqref="D35:E35">
    <cfRule type="expression" dxfId="16670" priority="90">
      <formula>AND($A35&lt;&gt;"",MOD(ROW(),2))</formula>
    </cfRule>
  </conditionalFormatting>
  <conditionalFormatting sqref="D35">
    <cfRule type="cellIs" dxfId="16669" priority="87" operator="equal">
      <formula>$C35</formula>
    </cfRule>
    <cfRule type="cellIs" dxfId="16668" priority="88" operator="greaterThan">
      <formula>$C35</formula>
    </cfRule>
    <cfRule type="cellIs" dxfId="16667" priority="89" operator="lessThan">
      <formula>$C35</formula>
    </cfRule>
  </conditionalFormatting>
  <conditionalFormatting sqref="D36:E36">
    <cfRule type="expression" dxfId="16666" priority="86">
      <formula>AND($A36&lt;&gt;"",MOD(ROW(),2))</formula>
    </cfRule>
  </conditionalFormatting>
  <conditionalFormatting sqref="D36">
    <cfRule type="cellIs" dxfId="16665" priority="83" operator="equal">
      <formula>$C36</formula>
    </cfRule>
    <cfRule type="cellIs" dxfId="16664" priority="84" operator="greaterThan">
      <formula>$C36</formula>
    </cfRule>
    <cfRule type="cellIs" dxfId="16663" priority="85" operator="lessThan">
      <formula>$C36</formula>
    </cfRule>
  </conditionalFormatting>
  <conditionalFormatting sqref="D37:E37">
    <cfRule type="expression" dxfId="16662" priority="82">
      <formula>AND($A37&lt;&gt;"",MOD(ROW(),2))</formula>
    </cfRule>
  </conditionalFormatting>
  <conditionalFormatting sqref="D37">
    <cfRule type="cellIs" dxfId="16661" priority="79" operator="equal">
      <formula>$C37</formula>
    </cfRule>
    <cfRule type="cellIs" dxfId="16660" priority="80" operator="greaterThan">
      <formula>$C37</formula>
    </cfRule>
    <cfRule type="cellIs" dxfId="16659" priority="81" operator="lessThan">
      <formula>$C37</formula>
    </cfRule>
  </conditionalFormatting>
  <conditionalFormatting sqref="D38:E38">
    <cfRule type="expression" dxfId="16658" priority="78">
      <formula>AND($A38&lt;&gt;"",MOD(ROW(),2))</formula>
    </cfRule>
  </conditionalFormatting>
  <conditionalFormatting sqref="D38">
    <cfRule type="cellIs" dxfId="16657" priority="75" operator="equal">
      <formula>$C38</formula>
    </cfRule>
    <cfRule type="cellIs" dxfId="16656" priority="76" operator="greaterThan">
      <formula>$C38</formula>
    </cfRule>
    <cfRule type="cellIs" dxfId="16655" priority="77" operator="lessThan">
      <formula>$C38</formula>
    </cfRule>
  </conditionalFormatting>
  <conditionalFormatting sqref="D39:E39">
    <cfRule type="expression" dxfId="16654" priority="74">
      <formula>AND($A39&lt;&gt;"",MOD(ROW(),2))</formula>
    </cfRule>
  </conditionalFormatting>
  <conditionalFormatting sqref="D39">
    <cfRule type="cellIs" dxfId="16653" priority="71" operator="equal">
      <formula>$C39</formula>
    </cfRule>
    <cfRule type="cellIs" dxfId="16652" priority="72" operator="greaterThan">
      <formula>$C39</formula>
    </cfRule>
    <cfRule type="cellIs" dxfId="16651" priority="73" operator="lessThan">
      <formula>$C39</formula>
    </cfRule>
  </conditionalFormatting>
  <conditionalFormatting sqref="D40:E40">
    <cfRule type="expression" dxfId="16650" priority="70">
      <formula>AND($A40&lt;&gt;"",MOD(ROW(),2))</formula>
    </cfRule>
  </conditionalFormatting>
  <conditionalFormatting sqref="D40">
    <cfRule type="cellIs" dxfId="16649" priority="67" operator="equal">
      <formula>$C40</formula>
    </cfRule>
    <cfRule type="cellIs" dxfId="16648" priority="68" operator="greaterThan">
      <formula>$C40</formula>
    </cfRule>
    <cfRule type="cellIs" dxfId="16647" priority="69" operator="lessThan">
      <formula>$C40</formula>
    </cfRule>
  </conditionalFormatting>
  <conditionalFormatting sqref="D41:E41">
    <cfRule type="expression" dxfId="16646" priority="66">
      <formula>AND($A41&lt;&gt;"",MOD(ROW(),2))</formula>
    </cfRule>
  </conditionalFormatting>
  <conditionalFormatting sqref="D41">
    <cfRule type="cellIs" dxfId="16645" priority="63" operator="equal">
      <formula>$C41</formula>
    </cfRule>
    <cfRule type="cellIs" dxfId="16644" priority="64" operator="greaterThan">
      <formula>$C41</formula>
    </cfRule>
    <cfRule type="cellIs" dxfId="16643" priority="65" operator="lessThan">
      <formula>$C41</formula>
    </cfRule>
  </conditionalFormatting>
  <conditionalFormatting sqref="K24:L24">
    <cfRule type="expression" dxfId="16642" priority="62">
      <formula>AND($A23&lt;&gt;"",MOD(ROW(),2))</formula>
    </cfRule>
  </conditionalFormatting>
  <conditionalFormatting sqref="K24">
    <cfRule type="cellIs" dxfId="16641" priority="57" operator="equal">
      <formula>$C23</formula>
    </cfRule>
    <cfRule type="cellIs" dxfId="16640" priority="58" operator="greaterThan">
      <formula>$C23</formula>
    </cfRule>
    <cfRule type="cellIs" dxfId="16639" priority="59" operator="lessThan">
      <formula>$C23</formula>
    </cfRule>
  </conditionalFormatting>
  <conditionalFormatting sqref="L24">
    <cfRule type="expression" dxfId="16638" priority="61">
      <formula>AND(#REF!&lt;&gt;"",MOD(ROW(),2))</formula>
    </cfRule>
  </conditionalFormatting>
  <conditionalFormatting sqref="L24">
    <cfRule type="expression" dxfId="16637" priority="60">
      <formula>AND(#REF!&lt;&gt;"",MOD(ROW(),2))</formula>
    </cfRule>
  </conditionalFormatting>
  <conditionalFormatting sqref="C19">
    <cfRule type="expression" dxfId="16636" priority="56">
      <formula>AND($A19&lt;&gt;"",MOD(ROW(),2))</formula>
    </cfRule>
  </conditionalFormatting>
  <conditionalFormatting sqref="C19">
    <cfRule type="cellIs" dxfId="16635" priority="53" operator="equal">
      <formula>$C19</formula>
    </cfRule>
    <cfRule type="cellIs" dxfId="16634" priority="54" operator="greaterThan">
      <formula>$C19</formula>
    </cfRule>
    <cfRule type="cellIs" dxfId="16633" priority="55" operator="lessThan">
      <formula>$C19</formula>
    </cfRule>
  </conditionalFormatting>
  <conditionalFormatting sqref="D19:E19">
    <cfRule type="expression" dxfId="16632" priority="52">
      <formula>AND($A19&lt;&gt;"",MOD(ROW(),2))</formula>
    </cfRule>
  </conditionalFormatting>
  <conditionalFormatting sqref="D19">
    <cfRule type="cellIs" dxfId="16631" priority="49" operator="equal">
      <formula>$C19</formula>
    </cfRule>
    <cfRule type="cellIs" dxfId="16630" priority="50" operator="greaterThan">
      <formula>$C19</formula>
    </cfRule>
    <cfRule type="cellIs" dxfId="16629" priority="51" operator="lessThan">
      <formula>$C19</formula>
    </cfRule>
  </conditionalFormatting>
  <conditionalFormatting sqref="F19">
    <cfRule type="containsText" dxfId="16628" priority="47" operator="containsText" text="Unpaid Rent">
      <formula>NOT(ISERROR(SEARCH("Unpaid Rent",F19)))</formula>
    </cfRule>
    <cfRule type="containsText" dxfId="16627" priority="48" stopIfTrue="1" operator="containsText" text="Closed Account">
      <formula>NOT(ISERROR(SEARCH("Closed Account",F19)))</formula>
    </cfRule>
  </conditionalFormatting>
  <conditionalFormatting sqref="K20:L21 M20:M22 K19:M20">
    <cfRule type="expression" dxfId="16626" priority="46">
      <formula>AND($A18&lt;&gt;"",MOD(ROW(),2))</formula>
    </cfRule>
  </conditionalFormatting>
  <conditionalFormatting sqref="K21">
    <cfRule type="cellIs" dxfId="16625" priority="43" operator="equal">
      <formula>$C20</formula>
    </cfRule>
    <cfRule type="cellIs" dxfId="16624" priority="44" operator="greaterThan">
      <formula>$C20</formula>
    </cfRule>
    <cfRule type="cellIs" dxfId="16623" priority="45" operator="lessThan">
      <formula>$C20</formula>
    </cfRule>
  </conditionalFormatting>
  <conditionalFormatting sqref="K22:L22">
    <cfRule type="expression" dxfId="16622" priority="42">
      <formula>AND($A21&lt;&gt;"",MOD(ROW(),2))</formula>
    </cfRule>
  </conditionalFormatting>
  <conditionalFormatting sqref="K22">
    <cfRule type="cellIs" dxfId="16621" priority="37" operator="equal">
      <formula>$C21</formula>
    </cfRule>
    <cfRule type="cellIs" dxfId="16620" priority="38" operator="greaterThan">
      <formula>$C21</formula>
    </cfRule>
    <cfRule type="cellIs" dxfId="16619" priority="39" operator="lessThan">
      <formula>$C21</formula>
    </cfRule>
  </conditionalFormatting>
  <conditionalFormatting sqref="L22">
    <cfRule type="expression" dxfId="16618" priority="41">
      <formula>AND(#REF!&lt;&gt;"",MOD(ROW(),2))</formula>
    </cfRule>
  </conditionalFormatting>
  <conditionalFormatting sqref="L22">
    <cfRule type="expression" dxfId="16617" priority="40">
      <formula>AND(#REF!&lt;&gt;"",MOD(ROW(),2))</formula>
    </cfRule>
  </conditionalFormatting>
  <conditionalFormatting sqref="K20">
    <cfRule type="cellIs" dxfId="16616" priority="34" operator="equal">
      <formula>$C19</formula>
    </cfRule>
    <cfRule type="cellIs" dxfId="16615" priority="35" operator="greaterThan">
      <formula>$C19</formula>
    </cfRule>
    <cfRule type="cellIs" dxfId="16614" priority="36" operator="lessThan">
      <formula>$C19</formula>
    </cfRule>
  </conditionalFormatting>
  <conditionalFormatting sqref="K21:L21">
    <cfRule type="expression" dxfId="16613" priority="33">
      <formula>AND($A20&lt;&gt;"",MOD(ROW(),2))</formula>
    </cfRule>
  </conditionalFormatting>
  <conditionalFormatting sqref="K21">
    <cfRule type="cellIs" dxfId="16612" priority="28" operator="equal">
      <formula>$C20</formula>
    </cfRule>
    <cfRule type="cellIs" dxfId="16611" priority="29" operator="greaterThan">
      <formula>$C20</formula>
    </cfRule>
    <cfRule type="cellIs" dxfId="16610" priority="30" operator="lessThan">
      <formula>$C20</formula>
    </cfRule>
  </conditionalFormatting>
  <conditionalFormatting sqref="L21">
    <cfRule type="expression" dxfId="16609" priority="32">
      <formula>AND(#REF!&lt;&gt;"",MOD(ROW(),2))</formula>
    </cfRule>
  </conditionalFormatting>
  <conditionalFormatting sqref="L21">
    <cfRule type="expression" dxfId="16608" priority="31">
      <formula>AND(#REF!&lt;&gt;"",MOD(ROW(),2))</formula>
    </cfRule>
  </conditionalFormatting>
  <conditionalFormatting sqref="K20">
    <cfRule type="cellIs" dxfId="16607" priority="25" operator="equal">
      <formula>$C19</formula>
    </cfRule>
    <cfRule type="cellIs" dxfId="16606" priority="26" operator="greaterThan">
      <formula>$C19</formula>
    </cfRule>
    <cfRule type="cellIs" dxfId="16605" priority="27" operator="lessThan">
      <formula>$C19</formula>
    </cfRule>
  </conditionalFormatting>
  <conditionalFormatting sqref="K19">
    <cfRule type="cellIs" dxfId="16604" priority="22" operator="equal">
      <formula>$C18</formula>
    </cfRule>
    <cfRule type="cellIs" dxfId="16603" priority="23" operator="greaterThan">
      <formula>$C18</formula>
    </cfRule>
    <cfRule type="cellIs" dxfId="16602" priority="24" operator="lessThan">
      <formula>$C18</formula>
    </cfRule>
  </conditionalFormatting>
  <conditionalFormatting sqref="K20:L20">
    <cfRule type="expression" dxfId="16601" priority="21">
      <formula>AND($A19&lt;&gt;"",MOD(ROW(),2))</formula>
    </cfRule>
  </conditionalFormatting>
  <conditionalFormatting sqref="K20">
    <cfRule type="cellIs" dxfId="16600" priority="16" operator="equal">
      <formula>$C19</formula>
    </cfRule>
    <cfRule type="cellIs" dxfId="16599" priority="17" operator="greaterThan">
      <formula>$C19</formula>
    </cfRule>
    <cfRule type="cellIs" dxfId="16598" priority="18" operator="lessThan">
      <formula>$C19</formula>
    </cfRule>
  </conditionalFormatting>
  <conditionalFormatting sqref="L20">
    <cfRule type="expression" dxfId="16597" priority="20">
      <formula>AND(#REF!&lt;&gt;"",MOD(ROW(),2))</formula>
    </cfRule>
  </conditionalFormatting>
  <conditionalFormatting sqref="L20">
    <cfRule type="expression" dxfId="16596" priority="19">
      <formula>AND(#REF!&lt;&gt;"",MOD(ROW(),2))</formula>
    </cfRule>
  </conditionalFormatting>
  <conditionalFormatting sqref="D59:E59">
    <cfRule type="expression" dxfId="16595" priority="15">
      <formula>AND($A59&lt;&gt;"",MOD(ROW(),2))</formula>
    </cfRule>
  </conditionalFormatting>
  <conditionalFormatting sqref="D60:E60">
    <cfRule type="expression" dxfId="16594" priority="14">
      <formula>AND($A60&lt;&gt;"",MOD(ROW(),2))</formula>
    </cfRule>
  </conditionalFormatting>
  <conditionalFormatting sqref="D61:E61">
    <cfRule type="expression" dxfId="16593" priority="13">
      <formula>AND($A61&lt;&gt;"",MOD(ROW(),2))</formula>
    </cfRule>
  </conditionalFormatting>
  <conditionalFormatting sqref="D62:E62">
    <cfRule type="expression" dxfId="16592" priority="12">
      <formula>AND($A62&lt;&gt;"",MOD(ROW(),2))</formula>
    </cfRule>
  </conditionalFormatting>
  <conditionalFormatting sqref="D63:E63">
    <cfRule type="expression" dxfId="16591" priority="9">
      <formula>AND($A63&lt;&gt;"",MOD(ROW(),2))</formula>
    </cfRule>
  </conditionalFormatting>
  <conditionalFormatting sqref="D64:E64">
    <cfRule type="expression" dxfId="16590" priority="8">
      <formula>AND($A64&lt;&gt;"",MOD(ROW(),2))</formula>
    </cfRule>
  </conditionalFormatting>
  <conditionalFormatting sqref="D65:E65">
    <cfRule type="expression" dxfId="16589" priority="7">
      <formula>AND($A65&lt;&gt;"",MOD(ROW(),2))</formula>
    </cfRule>
  </conditionalFormatting>
  <conditionalFormatting sqref="D66:E66">
    <cfRule type="expression" dxfId="16588" priority="6">
      <formula>AND($A66&lt;&gt;"",MOD(ROW(),2))</formula>
    </cfRule>
  </conditionalFormatting>
  <conditionalFormatting sqref="D67:E67">
    <cfRule type="expression" dxfId="16587" priority="5">
      <formula>AND($A67&lt;&gt;"",MOD(ROW(),2))</formula>
    </cfRule>
  </conditionalFormatting>
  <conditionalFormatting sqref="D66:D69">
    <cfRule type="expression" dxfId="16586" priority="4">
      <formula>AND($A66&lt;&gt;"",MOD(ROW(),2))</formula>
    </cfRule>
  </conditionalFormatting>
  <conditionalFormatting sqref="D63:E63">
    <cfRule type="expression" dxfId="16585" priority="3">
      <formula>AND($A63&lt;&gt;"",MOD(ROW(),2))</formula>
    </cfRule>
  </conditionalFormatting>
  <conditionalFormatting sqref="D64:E64">
    <cfRule type="expression" dxfId="16584" priority="2">
      <formula>AND($A64&lt;&gt;"",MOD(ROW(),2))</formula>
    </cfRule>
  </conditionalFormatting>
  <conditionalFormatting sqref="D65:E65">
    <cfRule type="expression" dxfId="16583" priority="1">
      <formula>AND($A65&lt;&gt;"",MOD(ROW(),2))</formula>
    </cfRule>
  </conditionalFormatting>
  <pageMargins left="0.75" right="0.75" top="1" bottom="1" header="0.5" footer="0.5"/>
  <pageSetup paperSize="9" orientation="portrait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600-000000000000}">
          <x14:formula1>
            <xm:f>PullDownValues!$F$2:$F$14</xm:f>
          </x14:formula1>
          <xm:sqref>L7:L355</xm:sqref>
        </x14:dataValidation>
        <x14:dataValidation type="list" allowBlank="1" showInputMessage="1" showErrorMessage="1" prompt="Payment Method" xr:uid="{00000000-0002-0000-0600-000001000000}">
          <x14:formula1>
            <xm:f>PullDownValues!$B$2:$B$12</xm:f>
          </x14:formula1>
          <xm:sqref>F7:F289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355"/>
  <sheetViews>
    <sheetView zoomScaleNormal="100" workbookViewId="0">
      <pane ySplit="5" topLeftCell="A6" activePane="bottomLeft" state="frozen"/>
      <selection pane="bottomLeft" activeCell="J2" sqref="J2:L3"/>
    </sheetView>
  </sheetViews>
  <sheetFormatPr defaultColWidth="8.85546875" defaultRowHeight="15" customHeight="1" x14ac:dyDescent="0.25"/>
  <cols>
    <col min="1" max="1" width="3.28515625" style="10" bestFit="1" customWidth="1"/>
    <col min="2" max="3" width="12.5703125" bestFit="1" customWidth="1"/>
    <col min="4" max="4" width="12.85546875" bestFit="1" customWidth="1"/>
    <col min="5" max="5" width="15.28515625" bestFit="1" customWidth="1"/>
    <col min="6" max="6" width="15.28515625" customWidth="1"/>
    <col min="7" max="7" width="9.42578125" style="31" bestFit="1" customWidth="1"/>
    <col min="8" max="8" width="11.5703125" bestFit="1" customWidth="1"/>
    <col min="9" max="9" width="12.7109375" bestFit="1" customWidth="1"/>
    <col min="10" max="10" width="15.140625" bestFit="1" customWidth="1"/>
    <col min="11" max="11" width="10.5703125" bestFit="1" customWidth="1"/>
    <col min="12" max="12" width="12.5703125" bestFit="1" customWidth="1"/>
    <col min="13" max="13" width="10.7109375" bestFit="1" customWidth="1"/>
    <col min="14" max="14" width="12.7109375" bestFit="1" customWidth="1"/>
    <col min="15" max="15" width="9.5703125" bestFit="1" customWidth="1"/>
    <col min="16" max="16" width="11.28515625" bestFit="1" customWidth="1"/>
    <col min="19" max="19" width="9.5703125" bestFit="1" customWidth="1"/>
  </cols>
  <sheetData>
    <row r="1" spans="1:19" ht="35.1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5">
        <f>SUM(P6:P90)-O4</f>
        <v>0</v>
      </c>
      <c r="P1" s="255"/>
      <c r="Q1" s="114"/>
      <c r="R1" s="114"/>
    </row>
    <row r="2" spans="1:19" s="9" customFormat="1" ht="15.95" customHeight="1" x14ac:dyDescent="0.25">
      <c r="A2" s="283" t="s">
        <v>4</v>
      </c>
      <c r="B2" s="283"/>
      <c r="C2" s="283"/>
      <c r="D2" s="283"/>
      <c r="E2" s="283"/>
      <c r="F2" s="283"/>
      <c r="G2" s="285">
        <f>SUM($D$6:$D$2990)-SUMIF($F$7:$F$290,"Bond Received",$D$7:$D$2990)-SUMIF($F$7:$F$290,"Unpaid Rent",$D$7:$D$2990)-(SUMIF($F$7:$F$290,"Discount Rent",$D$7:$D$2990)*2)</f>
        <v>13630</v>
      </c>
      <c r="H2" s="285"/>
      <c r="I2" s="285"/>
      <c r="J2" s="287" t="s">
        <v>5</v>
      </c>
      <c r="K2" s="287"/>
      <c r="L2" s="287"/>
      <c r="M2" s="262">
        <f>SUM($K$6:$K$2990)-SUMIF($L$6:$L$2990,"Bond Return",$K$6:$K$2990)</f>
        <v>5483.08</v>
      </c>
      <c r="N2" s="263"/>
      <c r="O2" s="265"/>
      <c r="P2" s="265"/>
      <c r="Q2" s="35"/>
    </row>
    <row r="3" spans="1:19" s="9" customFormat="1" ht="15.95" customHeight="1" x14ac:dyDescent="0.25">
      <c r="A3" s="284"/>
      <c r="B3" s="284"/>
      <c r="C3" s="284"/>
      <c r="D3" s="284"/>
      <c r="E3" s="284"/>
      <c r="F3" s="284"/>
      <c r="G3" s="286"/>
      <c r="H3" s="286"/>
      <c r="I3" s="286"/>
      <c r="J3" s="288"/>
      <c r="K3" s="288"/>
      <c r="L3" s="288"/>
      <c r="M3" s="264"/>
      <c r="N3" s="264"/>
      <c r="O3" s="266"/>
      <c r="P3" s="266"/>
      <c r="S3" s="40"/>
    </row>
    <row r="4" spans="1:19" s="9" customFormat="1" ht="15.95" customHeight="1" x14ac:dyDescent="0.25">
      <c r="A4" s="244" t="s">
        <v>6</v>
      </c>
      <c r="B4" s="244" t="s">
        <v>7</v>
      </c>
      <c r="C4" s="267" t="s">
        <v>8</v>
      </c>
      <c r="D4" s="269" t="s">
        <v>9</v>
      </c>
      <c r="E4" s="269" t="s">
        <v>10</v>
      </c>
      <c r="F4" s="252" t="s">
        <v>112</v>
      </c>
      <c r="G4" s="276" t="s">
        <v>11</v>
      </c>
      <c r="H4" s="244" t="s">
        <v>12</v>
      </c>
      <c r="I4" s="322" t="s">
        <v>113</v>
      </c>
      <c r="J4" s="246" t="s">
        <v>13</v>
      </c>
      <c r="K4" s="246" t="s">
        <v>14</v>
      </c>
      <c r="L4" s="248" t="s">
        <v>15</v>
      </c>
      <c r="M4" s="249"/>
      <c r="N4" s="271" t="s">
        <v>113</v>
      </c>
      <c r="O4" s="273">
        <f>G2-M2</f>
        <v>8146.92</v>
      </c>
      <c r="P4" s="274">
        <f>SUM(P2:P3)</f>
        <v>0</v>
      </c>
      <c r="Q4" s="63">
        <f>SUM(Q2:Q3)</f>
        <v>0</v>
      </c>
    </row>
    <row r="5" spans="1:19" s="10" customFormat="1" x14ac:dyDescent="0.25">
      <c r="A5" s="245"/>
      <c r="B5" s="245"/>
      <c r="C5" s="268"/>
      <c r="D5" s="270"/>
      <c r="E5" s="270"/>
      <c r="F5" s="253"/>
      <c r="G5" s="277"/>
      <c r="H5" s="245"/>
      <c r="I5" s="323"/>
      <c r="J5" s="247"/>
      <c r="K5" s="247"/>
      <c r="L5" s="250"/>
      <c r="M5" s="251"/>
      <c r="N5" s="272"/>
      <c r="O5" s="275"/>
      <c r="P5" s="275"/>
      <c r="Q5" s="18"/>
      <c r="R5" s="64"/>
    </row>
    <row r="6" spans="1:19" s="10" customFormat="1" ht="15" customHeight="1" x14ac:dyDescent="0.25">
      <c r="A6" s="44"/>
      <c r="B6" s="44"/>
      <c r="C6" s="45" t="s">
        <v>123</v>
      </c>
      <c r="D6" s="45"/>
      <c r="E6" s="44"/>
      <c r="F6" s="44"/>
      <c r="G6" s="46"/>
      <c r="H6" s="47"/>
      <c r="I6" s="47"/>
      <c r="J6" s="41"/>
      <c r="K6" s="42"/>
      <c r="L6" s="43" t="s">
        <v>123</v>
      </c>
      <c r="M6" s="43"/>
      <c r="N6" s="43"/>
      <c r="O6"/>
    </row>
    <row r="7" spans="1:19" ht="15" customHeight="1" x14ac:dyDescent="0.25">
      <c r="A7" s="10">
        <v>1</v>
      </c>
      <c r="B7" s="48">
        <v>44448</v>
      </c>
      <c r="C7" s="17">
        <v>400</v>
      </c>
      <c r="D7" s="17">
        <v>400</v>
      </c>
      <c r="E7" s="16">
        <v>44461</v>
      </c>
      <c r="F7" s="16" t="s">
        <v>181</v>
      </c>
      <c r="H7" s="17">
        <f>IFERROR(IF(F6="Closed account",(IF(F7="Unpaid Rent",(C7),(C7-D7))),(IF(F7="Unpaid Rent",(C7+H6),(C7-D7+H6)))),"")</f>
        <v>0</v>
      </c>
      <c r="I7" s="17" t="s">
        <v>699</v>
      </c>
      <c r="J7" s="48">
        <v>44569</v>
      </c>
      <c r="K7" s="17">
        <v>143</v>
      </c>
      <c r="L7" s="49" t="s">
        <v>17</v>
      </c>
      <c r="M7" t="s">
        <v>675</v>
      </c>
      <c r="N7" t="s">
        <v>14</v>
      </c>
      <c r="O7" t="s">
        <v>699</v>
      </c>
      <c r="P7" s="111">
        <f>SUMIF($I$6:$I$2992,O7,$D$6:$D$2992)-SUMIFS($D$6:$D$2992,$I$6:$I$2992,O7,$F$6:$F$2992,"Unpaid Rent")-(SUMIFS($D$6:$D$2992,$I$6:$I$2992,O7,$F$6:$F$2992,"Discount Rent")*2)-(SUMIFS($D$6:$D$2992,$I$6:$I$2992,O7,$F$6:$F$2992,"Bond Received"))-SUMIF($N$6:$N$2989,O7,$K$6:$K$2989)+SUMIFS($K$6:$K$2989,$N$6:$N$2989,O7,$L$6:$L$2989,"Bond Return")</f>
        <v>4034.35</v>
      </c>
    </row>
    <row r="8" spans="1:19" ht="15" customHeight="1" x14ac:dyDescent="0.25">
      <c r="A8" s="10">
        <v>1</v>
      </c>
      <c r="B8" s="48">
        <v>44448</v>
      </c>
      <c r="C8" s="17">
        <v>180</v>
      </c>
      <c r="D8" s="17">
        <v>180</v>
      </c>
      <c r="E8" s="16">
        <v>44461</v>
      </c>
      <c r="F8" s="16" t="s">
        <v>117</v>
      </c>
      <c r="H8" s="17">
        <f>IFERROR(IF(F7="Closed account",(IF(F8="Unpaid Rent",(C8),(C8-D8))),(IF(F8="Unpaid Rent",(C8+H7),(C8-D8+H7)))),"")</f>
        <v>0</v>
      </c>
      <c r="I8" s="17" t="s">
        <v>699</v>
      </c>
      <c r="J8" s="48">
        <v>44608</v>
      </c>
      <c r="K8" s="17">
        <v>63.48</v>
      </c>
      <c r="L8" s="49" t="s">
        <v>26</v>
      </c>
      <c r="M8" t="s">
        <v>792</v>
      </c>
      <c r="N8" t="s">
        <v>14</v>
      </c>
      <c r="O8" s="9" t="s">
        <v>14</v>
      </c>
      <c r="P8" s="111">
        <f t="shared" ref="P8:P44" si="0">SUMIF($I$6:$I$2992,O8,$D$6:$D$2992)-SUMIFS($D$6:$D$2992,$I$6:$I$2992,O8,$F$6:$F$2992,"Unpaid Rent")-(SUMIFS($D$6:$D$2992,$I$6:$I$2992,O8,$F$6:$F$2992,"Discount Rent")*2)-(SUMIFS($D$6:$D$2992,$I$6:$I$2992,O8,$F$6:$F$2992,"Bond Received"))-SUMIF($N$6:$N$2989,O8,$K$6:$K$2989)+SUMIFS($K$6:$K$2989,$N$6:$N$2989,O8,$L$6:$L$2989,"Bond Return")</f>
        <v>-3260.0899999999997</v>
      </c>
    </row>
    <row r="9" spans="1:19" ht="15" customHeight="1" x14ac:dyDescent="0.25">
      <c r="A9" s="10">
        <v>2</v>
      </c>
      <c r="B9" s="48">
        <f t="shared" ref="B9:B20" si="1">B8+7</f>
        <v>44455</v>
      </c>
      <c r="C9" s="17">
        <v>180</v>
      </c>
      <c r="D9" s="17">
        <v>540</v>
      </c>
      <c r="E9" s="16">
        <v>44453</v>
      </c>
      <c r="F9" s="16" t="s">
        <v>117</v>
      </c>
      <c r="H9" s="17">
        <f>IFERROR(IF(F8="Closed account",(IF(F9="Unpaid Rent",(C9),(C9-D9))),(IF(F9="Unpaid Rent",(C9+H8),(C9-D9+H8)))),"")</f>
        <v>-360</v>
      </c>
      <c r="I9" s="17" t="s">
        <v>699</v>
      </c>
      <c r="J9" s="48">
        <v>44612</v>
      </c>
      <c r="K9" s="17">
        <v>400</v>
      </c>
      <c r="L9" s="49" t="s">
        <v>45</v>
      </c>
      <c r="N9" t="s">
        <v>699</v>
      </c>
      <c r="O9" t="s">
        <v>815</v>
      </c>
      <c r="P9" s="111">
        <f t="shared" si="0"/>
        <v>1120</v>
      </c>
    </row>
    <row r="10" spans="1:19" ht="15" customHeight="1" x14ac:dyDescent="0.25">
      <c r="A10" s="10">
        <v>3</v>
      </c>
      <c r="B10" s="48">
        <f t="shared" si="1"/>
        <v>44462</v>
      </c>
      <c r="C10" s="17">
        <v>180</v>
      </c>
      <c r="D10" s="17"/>
      <c r="E10" s="16"/>
      <c r="F10" s="16"/>
      <c r="H10" s="17">
        <f>IFERROR(IF(F9="Closed account",(IF(F10="Unpaid Rent",(C10),(C10-D10))),(IF(F10="Unpaid Rent",(C10+H9),(C10-D10+H9)))),"")</f>
        <v>-180</v>
      </c>
      <c r="I10" s="17" t="s">
        <v>699</v>
      </c>
      <c r="J10" s="48">
        <v>44616</v>
      </c>
      <c r="K10" s="17">
        <v>72.599999999999994</v>
      </c>
      <c r="L10" s="49" t="s">
        <v>98</v>
      </c>
      <c r="N10" t="s">
        <v>14</v>
      </c>
      <c r="O10" t="s">
        <v>833</v>
      </c>
      <c r="P10" s="111">
        <f t="shared" si="0"/>
        <v>432.73</v>
      </c>
    </row>
    <row r="11" spans="1:19" ht="15" customHeight="1" x14ac:dyDescent="0.25">
      <c r="A11" s="10">
        <v>4</v>
      </c>
      <c r="B11" s="48">
        <f t="shared" si="1"/>
        <v>44469</v>
      </c>
      <c r="C11" s="17">
        <v>180</v>
      </c>
      <c r="D11" s="17">
        <v>720</v>
      </c>
      <c r="E11" s="16">
        <v>44474</v>
      </c>
      <c r="F11" s="16" t="s">
        <v>117</v>
      </c>
      <c r="H11" s="17">
        <f>IFERROR(IF(F10="Closed account",(IF(F11="Unpaid Rent",(C11),(C11-D11))),(IF(F11="Unpaid Rent",(C11+H10),(C11-D11+H10)))),"")</f>
        <v>-720</v>
      </c>
      <c r="I11" s="17" t="s">
        <v>699</v>
      </c>
      <c r="J11" s="48">
        <v>44628</v>
      </c>
      <c r="K11" s="17">
        <v>29.19</v>
      </c>
      <c r="L11" s="49" t="s">
        <v>133</v>
      </c>
      <c r="N11" t="s">
        <v>699</v>
      </c>
      <c r="O11" t="s">
        <v>848</v>
      </c>
      <c r="P11" s="111">
        <f t="shared" si="0"/>
        <v>859.62</v>
      </c>
    </row>
    <row r="12" spans="1:19" ht="15" customHeight="1" x14ac:dyDescent="0.25">
      <c r="A12" s="10">
        <v>5</v>
      </c>
      <c r="B12" s="48">
        <f t="shared" si="1"/>
        <v>44476</v>
      </c>
      <c r="C12" s="17">
        <v>180</v>
      </c>
      <c r="D12" s="17"/>
      <c r="E12" s="16"/>
      <c r="H12" s="17">
        <f t="shared" ref="H12:H25" si="2">IFERROR(IF(F11="Closed account",(IF(F12="Unpaid Rent",(C12),(C12-D12))),(IF(F12="Unpaid Rent",(C12+H11),(C12-D12+H11)))),"")</f>
        <v>-540</v>
      </c>
      <c r="I12" s="17" t="s">
        <v>699</v>
      </c>
      <c r="J12" s="48">
        <v>44628</v>
      </c>
      <c r="K12" s="17">
        <v>16.46</v>
      </c>
      <c r="L12" s="49" t="s">
        <v>133</v>
      </c>
      <c r="N12" t="s">
        <v>699</v>
      </c>
      <c r="O12" t="s">
        <v>860</v>
      </c>
      <c r="P12" s="111">
        <f t="shared" si="0"/>
        <v>2370.5100000000002</v>
      </c>
    </row>
    <row r="13" spans="1:19" ht="15" customHeight="1" x14ac:dyDescent="0.25">
      <c r="A13" s="10">
        <v>6</v>
      </c>
      <c r="B13" s="48">
        <f t="shared" si="1"/>
        <v>44483</v>
      </c>
      <c r="C13" s="17">
        <v>180</v>
      </c>
      <c r="D13" s="17"/>
      <c r="E13" s="16"/>
      <c r="H13" s="17">
        <f t="shared" si="2"/>
        <v>-360</v>
      </c>
      <c r="I13" s="17" t="s">
        <v>699</v>
      </c>
      <c r="J13" s="48">
        <v>44686</v>
      </c>
      <c r="K13" s="17">
        <v>400</v>
      </c>
      <c r="L13" s="49" t="s">
        <v>45</v>
      </c>
      <c r="N13" t="s">
        <v>815</v>
      </c>
      <c r="O13" t="s">
        <v>933</v>
      </c>
      <c r="P13" s="111">
        <f t="shared" si="0"/>
        <v>-191.20000000000005</v>
      </c>
    </row>
    <row r="14" spans="1:19" ht="15" customHeight="1" x14ac:dyDescent="0.25">
      <c r="A14" s="10">
        <v>7</v>
      </c>
      <c r="B14" s="48">
        <f t="shared" si="1"/>
        <v>44490</v>
      </c>
      <c r="C14" s="17">
        <v>180</v>
      </c>
      <c r="D14" s="17"/>
      <c r="E14" s="16"/>
      <c r="H14" s="17">
        <f t="shared" si="2"/>
        <v>-180</v>
      </c>
      <c r="I14" s="17" t="s">
        <v>699</v>
      </c>
      <c r="J14" s="48">
        <v>44693</v>
      </c>
      <c r="K14" s="17">
        <v>84.46</v>
      </c>
      <c r="L14" s="49" t="s">
        <v>32</v>
      </c>
      <c r="N14" t="s">
        <v>833</v>
      </c>
      <c r="O14" t="s">
        <v>899</v>
      </c>
      <c r="P14" s="111">
        <f t="shared" si="0"/>
        <v>1631</v>
      </c>
    </row>
    <row r="15" spans="1:19" ht="15" customHeight="1" x14ac:dyDescent="0.25">
      <c r="A15" s="10">
        <v>8</v>
      </c>
      <c r="B15" s="48">
        <f t="shared" si="1"/>
        <v>44497</v>
      </c>
      <c r="C15" s="17">
        <v>180</v>
      </c>
      <c r="D15" s="17"/>
      <c r="E15" s="16"/>
      <c r="H15" s="17">
        <f t="shared" si="2"/>
        <v>0</v>
      </c>
      <c r="I15" s="17" t="s">
        <v>699</v>
      </c>
      <c r="J15" s="48">
        <v>44699</v>
      </c>
      <c r="K15" s="17">
        <v>201.31</v>
      </c>
      <c r="L15" s="49" t="s">
        <v>20</v>
      </c>
      <c r="N15" t="s">
        <v>833</v>
      </c>
      <c r="O15" t="s">
        <v>1012</v>
      </c>
      <c r="P15" s="111">
        <f t="shared" si="0"/>
        <v>1150</v>
      </c>
    </row>
    <row r="16" spans="1:19" ht="15" customHeight="1" x14ac:dyDescent="0.25">
      <c r="A16" s="10">
        <v>9</v>
      </c>
      <c r="B16" s="48">
        <f t="shared" si="1"/>
        <v>44504</v>
      </c>
      <c r="C16" s="17">
        <v>180</v>
      </c>
      <c r="D16" s="17">
        <v>720</v>
      </c>
      <c r="E16" s="16">
        <v>44506</v>
      </c>
      <c r="F16" t="s">
        <v>117</v>
      </c>
      <c r="H16" s="17">
        <f t="shared" si="2"/>
        <v>-540</v>
      </c>
      <c r="I16" s="17" t="s">
        <v>699</v>
      </c>
      <c r="J16" s="48">
        <v>44698</v>
      </c>
      <c r="K16" s="17">
        <v>5.5</v>
      </c>
      <c r="L16" s="49" t="s">
        <v>22</v>
      </c>
      <c r="N16" t="s">
        <v>833</v>
      </c>
      <c r="P16" s="111">
        <f t="shared" si="0"/>
        <v>0</v>
      </c>
    </row>
    <row r="17" spans="1:16" ht="15" customHeight="1" x14ac:dyDescent="0.25">
      <c r="A17" s="10">
        <v>10</v>
      </c>
      <c r="B17" s="48">
        <f t="shared" si="1"/>
        <v>44511</v>
      </c>
      <c r="C17" s="17">
        <v>180</v>
      </c>
      <c r="D17" s="17"/>
      <c r="E17" s="16"/>
      <c r="H17" s="17">
        <f t="shared" si="2"/>
        <v>-360</v>
      </c>
      <c r="I17" s="17" t="s">
        <v>699</v>
      </c>
      <c r="J17" s="48">
        <v>44713</v>
      </c>
      <c r="K17" s="17">
        <v>-1000</v>
      </c>
      <c r="L17" s="49" t="s">
        <v>133</v>
      </c>
      <c r="M17" t="s">
        <v>839</v>
      </c>
      <c r="N17" t="s">
        <v>833</v>
      </c>
      <c r="P17" s="111">
        <f t="shared" si="0"/>
        <v>0</v>
      </c>
    </row>
    <row r="18" spans="1:16" ht="15" customHeight="1" x14ac:dyDescent="0.25">
      <c r="A18" s="10">
        <v>11</v>
      </c>
      <c r="B18" s="48">
        <f t="shared" si="1"/>
        <v>44518</v>
      </c>
      <c r="C18" s="17">
        <v>180</v>
      </c>
      <c r="D18" s="17"/>
      <c r="E18" s="16"/>
      <c r="H18" s="17">
        <f t="shared" si="2"/>
        <v>-180</v>
      </c>
      <c r="I18" s="17" t="s">
        <v>699</v>
      </c>
      <c r="J18" s="48">
        <v>44714</v>
      </c>
      <c r="K18" s="17">
        <v>1100</v>
      </c>
      <c r="L18" s="49" t="s">
        <v>133</v>
      </c>
      <c r="M18" t="s">
        <v>839</v>
      </c>
      <c r="N18" t="s">
        <v>833</v>
      </c>
      <c r="P18" s="111">
        <f t="shared" si="0"/>
        <v>0</v>
      </c>
    </row>
    <row r="19" spans="1:16" ht="15" customHeight="1" x14ac:dyDescent="0.25">
      <c r="A19" s="10">
        <v>12</v>
      </c>
      <c r="B19" s="48">
        <f t="shared" si="1"/>
        <v>44525</v>
      </c>
      <c r="C19" s="17">
        <v>180</v>
      </c>
      <c r="D19" s="17"/>
      <c r="E19" s="16"/>
      <c r="H19" s="17">
        <f t="shared" si="2"/>
        <v>0</v>
      </c>
      <c r="I19" s="17" t="s">
        <v>699</v>
      </c>
      <c r="J19" s="48">
        <v>44724</v>
      </c>
      <c r="K19" s="17">
        <v>20.38</v>
      </c>
      <c r="L19" s="49" t="s">
        <v>32</v>
      </c>
      <c r="N19" t="s">
        <v>848</v>
      </c>
      <c r="P19" s="111">
        <f t="shared" si="0"/>
        <v>0</v>
      </c>
    </row>
    <row r="20" spans="1:16" ht="15" customHeight="1" x14ac:dyDescent="0.25">
      <c r="A20" s="10">
        <v>13</v>
      </c>
      <c r="B20" s="48">
        <f t="shared" si="1"/>
        <v>44532</v>
      </c>
      <c r="C20" s="17">
        <v>180</v>
      </c>
      <c r="D20" s="17"/>
      <c r="E20" s="16"/>
      <c r="H20" s="17">
        <f t="shared" si="2"/>
        <v>180</v>
      </c>
      <c r="I20" s="17" t="s">
        <v>699</v>
      </c>
      <c r="J20" s="48">
        <v>44728</v>
      </c>
      <c r="K20" s="17">
        <v>400</v>
      </c>
      <c r="L20" s="49" t="s">
        <v>45</v>
      </c>
      <c r="N20" t="s">
        <v>833</v>
      </c>
      <c r="P20" s="111">
        <f t="shared" si="0"/>
        <v>0</v>
      </c>
    </row>
    <row r="21" spans="1:16" ht="15" customHeight="1" x14ac:dyDescent="0.25">
      <c r="A21" s="10">
        <v>14</v>
      </c>
      <c r="B21" s="48">
        <f t="shared" ref="B21:B28" si="3">B20+7</f>
        <v>44539</v>
      </c>
      <c r="C21" s="17">
        <v>180</v>
      </c>
      <c r="D21" s="17">
        <v>720</v>
      </c>
      <c r="E21" s="16">
        <v>44535</v>
      </c>
      <c r="F21" t="s">
        <v>117</v>
      </c>
      <c r="H21" s="17">
        <f t="shared" si="2"/>
        <v>-360</v>
      </c>
      <c r="I21" s="17" t="s">
        <v>699</v>
      </c>
      <c r="J21" s="48">
        <v>44741</v>
      </c>
      <c r="K21" s="17">
        <v>88</v>
      </c>
      <c r="L21" s="49" t="s">
        <v>17</v>
      </c>
      <c r="M21" t="s">
        <v>675</v>
      </c>
      <c r="N21" t="s">
        <v>833</v>
      </c>
      <c r="P21" s="111">
        <f t="shared" si="0"/>
        <v>0</v>
      </c>
    </row>
    <row r="22" spans="1:16" ht="15" customHeight="1" x14ac:dyDescent="0.25">
      <c r="A22" s="10">
        <v>15</v>
      </c>
      <c r="B22" s="48">
        <f t="shared" si="3"/>
        <v>44546</v>
      </c>
      <c r="C22" s="17">
        <v>180</v>
      </c>
      <c r="D22" s="17"/>
      <c r="E22" s="16"/>
      <c r="H22" s="17">
        <f t="shared" si="2"/>
        <v>-180</v>
      </c>
      <c r="I22" s="17" t="s">
        <v>699</v>
      </c>
      <c r="J22" s="48">
        <v>44741</v>
      </c>
      <c r="K22" s="17">
        <v>88</v>
      </c>
      <c r="L22" s="49" t="s">
        <v>17</v>
      </c>
      <c r="M22" t="s">
        <v>675</v>
      </c>
      <c r="N22" t="s">
        <v>833</v>
      </c>
      <c r="P22" s="111">
        <f t="shared" si="0"/>
        <v>0</v>
      </c>
    </row>
    <row r="23" spans="1:16" ht="15" customHeight="1" x14ac:dyDescent="0.25">
      <c r="A23" s="10">
        <v>16</v>
      </c>
      <c r="B23" s="48">
        <f t="shared" si="3"/>
        <v>44553</v>
      </c>
      <c r="C23" s="17">
        <v>180</v>
      </c>
      <c r="D23" s="17"/>
      <c r="E23" s="16"/>
      <c r="H23" s="17">
        <f t="shared" si="2"/>
        <v>0</v>
      </c>
      <c r="I23" s="17" t="s">
        <v>699</v>
      </c>
      <c r="J23" s="48">
        <v>44742</v>
      </c>
      <c r="K23" s="17">
        <v>400</v>
      </c>
      <c r="L23" s="49" t="s">
        <v>45</v>
      </c>
      <c r="N23" t="s">
        <v>848</v>
      </c>
      <c r="P23" s="111">
        <f t="shared" si="0"/>
        <v>0</v>
      </c>
    </row>
    <row r="24" spans="1:16" ht="15" customHeight="1" x14ac:dyDescent="0.25">
      <c r="A24" s="10">
        <v>17</v>
      </c>
      <c r="B24" s="48">
        <f t="shared" si="3"/>
        <v>44560</v>
      </c>
      <c r="C24" s="17">
        <v>200</v>
      </c>
      <c r="D24" s="17"/>
      <c r="E24" s="16"/>
      <c r="H24" s="17">
        <f t="shared" si="2"/>
        <v>200</v>
      </c>
      <c r="I24" s="17" t="s">
        <v>699</v>
      </c>
      <c r="J24" s="48">
        <v>44775</v>
      </c>
      <c r="K24" s="17">
        <v>23.81</v>
      </c>
      <c r="L24" s="49" t="s">
        <v>43</v>
      </c>
      <c r="M24" t="s">
        <v>872</v>
      </c>
      <c r="N24" t="s">
        <v>860</v>
      </c>
      <c r="P24" s="111">
        <f t="shared" si="0"/>
        <v>0</v>
      </c>
    </row>
    <row r="25" spans="1:16" ht="15" customHeight="1" x14ac:dyDescent="0.25">
      <c r="A25" s="10">
        <v>18</v>
      </c>
      <c r="B25" s="48">
        <f t="shared" si="3"/>
        <v>44567</v>
      </c>
      <c r="C25" s="17">
        <v>200</v>
      </c>
      <c r="D25" s="17">
        <v>800</v>
      </c>
      <c r="E25" s="16">
        <v>44567</v>
      </c>
      <c r="F25" t="s">
        <v>117</v>
      </c>
      <c r="H25" s="17">
        <f t="shared" si="2"/>
        <v>-400</v>
      </c>
      <c r="I25" s="17" t="s">
        <v>699</v>
      </c>
      <c r="J25" s="48">
        <v>44783</v>
      </c>
      <c r="K25" s="17">
        <v>205.68</v>
      </c>
      <c r="L25" s="49" t="s">
        <v>20</v>
      </c>
      <c r="N25" t="s">
        <v>860</v>
      </c>
      <c r="P25" s="111">
        <f t="shared" si="0"/>
        <v>0</v>
      </c>
    </row>
    <row r="26" spans="1:16" ht="15" customHeight="1" x14ac:dyDescent="0.25">
      <c r="A26" s="10">
        <v>19</v>
      </c>
      <c r="B26" s="48">
        <f t="shared" si="3"/>
        <v>44574</v>
      </c>
      <c r="C26" s="17">
        <v>200</v>
      </c>
      <c r="D26" s="17"/>
      <c r="E26" s="16"/>
      <c r="H26" s="17">
        <f t="shared" ref="H26:H32" si="4">IFERROR(IF(F25="Closed account",(IF(F26="Unpaid Rent",(C26),(C26-D26))),(IF(F26="Unpaid Rent",(C26+H25),(C26-D26+H25)))),"")</f>
        <v>-200</v>
      </c>
      <c r="I26" s="17" t="s">
        <v>699</v>
      </c>
      <c r="J26" s="48">
        <v>44788</v>
      </c>
      <c r="K26" s="17">
        <v>200</v>
      </c>
      <c r="L26" s="49" t="s">
        <v>17</v>
      </c>
      <c r="M26" t="s">
        <v>877</v>
      </c>
      <c r="N26" t="s">
        <v>860</v>
      </c>
      <c r="P26" s="111">
        <f t="shared" si="0"/>
        <v>0</v>
      </c>
    </row>
    <row r="27" spans="1:16" ht="15" customHeight="1" x14ac:dyDescent="0.25">
      <c r="A27" s="10">
        <v>20</v>
      </c>
      <c r="B27" s="48">
        <f t="shared" si="3"/>
        <v>44581</v>
      </c>
      <c r="C27" s="17">
        <v>200</v>
      </c>
      <c r="D27" s="17"/>
      <c r="E27" s="16"/>
      <c r="H27" s="17">
        <f t="shared" si="4"/>
        <v>0</v>
      </c>
      <c r="I27" s="17" t="s">
        <v>699</v>
      </c>
      <c r="J27" s="48">
        <v>44791</v>
      </c>
      <c r="K27" s="17">
        <v>670</v>
      </c>
      <c r="L27" s="49" t="s">
        <v>17</v>
      </c>
      <c r="M27" t="s">
        <v>883</v>
      </c>
      <c r="N27" t="s">
        <v>14</v>
      </c>
      <c r="P27" s="111">
        <f t="shared" si="0"/>
        <v>0</v>
      </c>
    </row>
    <row r="28" spans="1:16" ht="15" customHeight="1" x14ac:dyDescent="0.25">
      <c r="A28" s="10">
        <v>21</v>
      </c>
      <c r="B28" s="48">
        <f t="shared" si="3"/>
        <v>44588</v>
      </c>
      <c r="C28" s="17">
        <v>200</v>
      </c>
      <c r="D28" s="17"/>
      <c r="E28" s="16"/>
      <c r="H28" s="17">
        <f t="shared" si="4"/>
        <v>200</v>
      </c>
      <c r="I28" s="17" t="s">
        <v>699</v>
      </c>
      <c r="J28" s="48">
        <v>44798</v>
      </c>
      <c r="K28" s="17">
        <v>1530</v>
      </c>
      <c r="L28" s="49" t="s">
        <v>17</v>
      </c>
      <c r="M28" t="s">
        <v>887</v>
      </c>
      <c r="N28" t="s">
        <v>14</v>
      </c>
      <c r="P28" s="111">
        <f t="shared" si="0"/>
        <v>0</v>
      </c>
    </row>
    <row r="29" spans="1:16" ht="15" customHeight="1" x14ac:dyDescent="0.25">
      <c r="A29" s="10">
        <v>22</v>
      </c>
      <c r="B29" s="48">
        <f>B28+7</f>
        <v>44595</v>
      </c>
      <c r="C29" s="17">
        <v>200</v>
      </c>
      <c r="D29" s="17">
        <v>400</v>
      </c>
      <c r="E29" s="16">
        <v>44611</v>
      </c>
      <c r="F29" t="s">
        <v>124</v>
      </c>
      <c r="H29" s="17">
        <f t="shared" si="4"/>
        <v>0</v>
      </c>
      <c r="I29" s="17" t="s">
        <v>699</v>
      </c>
      <c r="J29" s="48">
        <v>44800</v>
      </c>
      <c r="K29" s="17">
        <v>40</v>
      </c>
      <c r="L29" s="49" t="s">
        <v>17</v>
      </c>
      <c r="M29" t="s">
        <v>888</v>
      </c>
      <c r="N29" t="s">
        <v>14</v>
      </c>
      <c r="P29" s="111">
        <f t="shared" si="0"/>
        <v>0</v>
      </c>
    </row>
    <row r="30" spans="1:16" ht="15" customHeight="1" x14ac:dyDescent="0.25">
      <c r="A30" s="10">
        <v>1</v>
      </c>
      <c r="B30" s="48">
        <v>44645</v>
      </c>
      <c r="C30" s="17">
        <v>400</v>
      </c>
      <c r="D30" s="17">
        <v>400</v>
      </c>
      <c r="E30" s="16">
        <v>44651</v>
      </c>
      <c r="F30" t="s">
        <v>181</v>
      </c>
      <c r="H30" s="17">
        <f t="shared" si="4"/>
        <v>0</v>
      </c>
      <c r="I30" s="17" t="s">
        <v>815</v>
      </c>
      <c r="J30" s="48">
        <v>44818</v>
      </c>
      <c r="K30" s="17">
        <v>400</v>
      </c>
      <c r="L30" s="49" t="s">
        <v>45</v>
      </c>
      <c r="N30" t="s">
        <v>860</v>
      </c>
      <c r="P30" s="111">
        <f t="shared" si="0"/>
        <v>0</v>
      </c>
    </row>
    <row r="31" spans="1:16" ht="15" customHeight="1" x14ac:dyDescent="0.25">
      <c r="A31" s="10">
        <v>1</v>
      </c>
      <c r="B31" s="48">
        <v>44645</v>
      </c>
      <c r="C31" s="17">
        <v>220</v>
      </c>
      <c r="D31" s="17">
        <v>220</v>
      </c>
      <c r="E31" s="16">
        <v>44651</v>
      </c>
      <c r="F31" t="s">
        <v>117</v>
      </c>
      <c r="H31" s="17">
        <f t="shared" si="4"/>
        <v>0</v>
      </c>
      <c r="I31" s="17" t="s">
        <v>815</v>
      </c>
      <c r="J31" s="48">
        <v>44835</v>
      </c>
      <c r="K31" s="17">
        <v>97.83</v>
      </c>
      <c r="L31" s="49" t="s">
        <v>32</v>
      </c>
      <c r="N31" t="s">
        <v>14</v>
      </c>
      <c r="P31" s="111">
        <f t="shared" si="0"/>
        <v>0</v>
      </c>
    </row>
    <row r="32" spans="1:16" ht="15" customHeight="1" x14ac:dyDescent="0.25">
      <c r="A32" s="10">
        <v>2</v>
      </c>
      <c r="B32" s="48">
        <f t="shared" ref="B32:B37" si="5">B31+7</f>
        <v>44652</v>
      </c>
      <c r="C32" s="17">
        <v>220</v>
      </c>
      <c r="D32" s="17">
        <v>220</v>
      </c>
      <c r="E32" s="16">
        <v>44653</v>
      </c>
      <c r="F32" t="s">
        <v>117</v>
      </c>
      <c r="H32" s="17">
        <f t="shared" si="4"/>
        <v>0</v>
      </c>
      <c r="I32" s="17" t="s">
        <v>815</v>
      </c>
      <c r="J32" s="48">
        <v>44860</v>
      </c>
      <c r="K32" s="17">
        <v>137.5</v>
      </c>
      <c r="L32" s="49" t="s">
        <v>26</v>
      </c>
      <c r="M32" t="s">
        <v>675</v>
      </c>
      <c r="N32" t="s">
        <v>14</v>
      </c>
      <c r="P32" s="111">
        <f t="shared" si="0"/>
        <v>0</v>
      </c>
    </row>
    <row r="33" spans="1:16" ht="15" customHeight="1" x14ac:dyDescent="0.25">
      <c r="A33" s="10">
        <v>3</v>
      </c>
      <c r="B33" s="48">
        <f t="shared" si="5"/>
        <v>44659</v>
      </c>
      <c r="C33" s="17">
        <v>240</v>
      </c>
      <c r="D33" s="17">
        <v>240</v>
      </c>
      <c r="E33" s="16">
        <v>44662</v>
      </c>
      <c r="F33" t="s">
        <v>117</v>
      </c>
      <c r="H33" s="17">
        <f t="shared" ref="H33:H39" si="6">IFERROR(IF(F32="Closed account",(IF(F33="Unpaid Rent",(C33),(C33-D33))),(IF(F33="Unpaid Rent",(C33+H32),(C33-D33+H32)))),"")</f>
        <v>0</v>
      </c>
      <c r="I33" s="17" t="s">
        <v>815</v>
      </c>
      <c r="J33" s="48">
        <v>44875</v>
      </c>
      <c r="K33" s="17">
        <v>205.68</v>
      </c>
      <c r="L33" s="49" t="s">
        <v>20</v>
      </c>
      <c r="N33" t="s">
        <v>14</v>
      </c>
      <c r="P33" s="111">
        <f t="shared" si="0"/>
        <v>0</v>
      </c>
    </row>
    <row r="34" spans="1:16" ht="15" customHeight="1" x14ac:dyDescent="0.25">
      <c r="A34" s="10">
        <v>4</v>
      </c>
      <c r="B34" s="48">
        <f t="shared" si="5"/>
        <v>44666</v>
      </c>
      <c r="C34" s="17">
        <v>220</v>
      </c>
      <c r="D34" s="17">
        <v>220</v>
      </c>
      <c r="E34" s="16">
        <v>44668</v>
      </c>
      <c r="F34" t="s">
        <v>117</v>
      </c>
      <c r="H34" s="17">
        <f t="shared" si="6"/>
        <v>0</v>
      </c>
      <c r="I34" s="17" t="s">
        <v>815</v>
      </c>
      <c r="J34" s="48">
        <v>44876</v>
      </c>
      <c r="K34" s="17">
        <v>150</v>
      </c>
      <c r="L34" s="49" t="s">
        <v>17</v>
      </c>
      <c r="M34" t="s">
        <v>926</v>
      </c>
      <c r="N34" t="s">
        <v>14</v>
      </c>
      <c r="P34" s="111">
        <f t="shared" si="0"/>
        <v>0</v>
      </c>
    </row>
    <row r="35" spans="1:16" ht="15" customHeight="1" x14ac:dyDescent="0.25">
      <c r="A35" s="10">
        <v>5</v>
      </c>
      <c r="B35" s="48">
        <f t="shared" si="5"/>
        <v>44673</v>
      </c>
      <c r="C35" s="17">
        <v>220</v>
      </c>
      <c r="D35" s="17"/>
      <c r="H35" s="17">
        <f t="shared" si="6"/>
        <v>220</v>
      </c>
      <c r="I35" s="17" t="s">
        <v>815</v>
      </c>
      <c r="J35" s="48">
        <v>44877</v>
      </c>
      <c r="K35" s="17">
        <v>110</v>
      </c>
      <c r="L35" s="49" t="s">
        <v>32</v>
      </c>
      <c r="N35" t="s">
        <v>14</v>
      </c>
      <c r="P35" s="111">
        <f t="shared" si="0"/>
        <v>0</v>
      </c>
    </row>
    <row r="36" spans="1:16" ht="15" customHeight="1" x14ac:dyDescent="0.25">
      <c r="A36" s="10">
        <v>6</v>
      </c>
      <c r="B36" s="48">
        <f t="shared" si="5"/>
        <v>44680</v>
      </c>
      <c r="C36" s="17">
        <v>220</v>
      </c>
      <c r="D36" s="17">
        <v>220</v>
      </c>
      <c r="E36" s="16">
        <v>44682</v>
      </c>
      <c r="F36" t="s">
        <v>117</v>
      </c>
      <c r="H36" s="17">
        <f t="shared" si="6"/>
        <v>220</v>
      </c>
      <c r="I36" s="17" t="s">
        <v>815</v>
      </c>
      <c r="J36" s="48">
        <v>44879</v>
      </c>
      <c r="K36" s="17">
        <v>40</v>
      </c>
      <c r="L36" s="49" t="s">
        <v>32</v>
      </c>
      <c r="N36" t="s">
        <v>14</v>
      </c>
      <c r="P36" s="111">
        <f t="shared" si="0"/>
        <v>0</v>
      </c>
    </row>
    <row r="37" spans="1:16" ht="15" customHeight="1" x14ac:dyDescent="0.25">
      <c r="A37" s="10">
        <v>7</v>
      </c>
      <c r="B37" s="48">
        <f t="shared" si="5"/>
        <v>44687</v>
      </c>
      <c r="C37" s="17">
        <v>0</v>
      </c>
      <c r="D37" s="17"/>
      <c r="F37" t="s">
        <v>124</v>
      </c>
      <c r="H37" s="17">
        <f t="shared" si="6"/>
        <v>220</v>
      </c>
      <c r="I37" s="17" t="s">
        <v>815</v>
      </c>
      <c r="J37" s="48">
        <v>44879</v>
      </c>
      <c r="K37" s="17">
        <v>230</v>
      </c>
      <c r="L37" s="49" t="s">
        <v>17</v>
      </c>
      <c r="M37" t="s">
        <v>470</v>
      </c>
      <c r="N37" t="s">
        <v>933</v>
      </c>
      <c r="P37" s="111">
        <f t="shared" si="0"/>
        <v>0</v>
      </c>
    </row>
    <row r="38" spans="1:16" ht="15" customHeight="1" x14ac:dyDescent="0.25">
      <c r="A38" s="10">
        <v>1</v>
      </c>
      <c r="B38" s="48">
        <v>44692</v>
      </c>
      <c r="C38" s="17">
        <v>400</v>
      </c>
      <c r="D38" s="17">
        <v>400</v>
      </c>
      <c r="E38" s="16">
        <v>44691</v>
      </c>
      <c r="F38" t="s">
        <v>181</v>
      </c>
      <c r="H38" s="17">
        <f t="shared" si="6"/>
        <v>0</v>
      </c>
      <c r="I38" s="17" t="s">
        <v>833</v>
      </c>
      <c r="J38" s="48">
        <v>44879</v>
      </c>
      <c r="K38" s="17">
        <v>250</v>
      </c>
      <c r="L38" s="49" t="s">
        <v>17</v>
      </c>
      <c r="M38" t="s">
        <v>936</v>
      </c>
      <c r="N38" t="s">
        <v>933</v>
      </c>
      <c r="P38" s="111">
        <f t="shared" si="0"/>
        <v>0</v>
      </c>
    </row>
    <row r="39" spans="1:16" ht="15" customHeight="1" x14ac:dyDescent="0.25">
      <c r="A39" s="10">
        <v>1</v>
      </c>
      <c r="B39" s="48">
        <v>44692</v>
      </c>
      <c r="C39" s="17">
        <v>200</v>
      </c>
      <c r="D39" s="17">
        <v>200</v>
      </c>
      <c r="E39" s="16">
        <v>44691</v>
      </c>
      <c r="F39" t="s">
        <v>117</v>
      </c>
      <c r="H39" s="17">
        <f t="shared" si="6"/>
        <v>0</v>
      </c>
      <c r="I39" s="17" t="s">
        <v>833</v>
      </c>
      <c r="J39" s="48">
        <v>44879</v>
      </c>
      <c r="K39" s="17">
        <v>150</v>
      </c>
      <c r="L39" s="49" t="s">
        <v>26</v>
      </c>
      <c r="N39" t="s">
        <v>933</v>
      </c>
      <c r="P39" s="111">
        <f t="shared" si="0"/>
        <v>0</v>
      </c>
    </row>
    <row r="40" spans="1:16" ht="15" customHeight="1" x14ac:dyDescent="0.25">
      <c r="A40" s="10">
        <v>2</v>
      </c>
      <c r="B40" s="48">
        <f>B39+7</f>
        <v>44699</v>
      </c>
      <c r="C40" s="17">
        <v>200</v>
      </c>
      <c r="D40" s="17">
        <v>200</v>
      </c>
      <c r="E40" s="16">
        <v>44698</v>
      </c>
      <c r="F40" t="s">
        <v>117</v>
      </c>
      <c r="H40" s="17">
        <f t="shared" ref="H40:H72" si="7">IFERROR(IF(F39="Closed account",(IF(F40="Unpaid Rent",(C40),(C40-D40))),(IF(F40="Unpaid Rent",(C40+H39),(C40-D40+H39)))),"")</f>
        <v>0</v>
      </c>
      <c r="I40" s="17" t="s">
        <v>833</v>
      </c>
      <c r="J40" s="48">
        <v>44931</v>
      </c>
      <c r="K40" s="17">
        <v>61.2</v>
      </c>
      <c r="L40" s="49" t="s">
        <v>17</v>
      </c>
      <c r="M40" t="s">
        <v>479</v>
      </c>
      <c r="N40" t="s">
        <v>933</v>
      </c>
      <c r="P40" s="111">
        <f t="shared" si="0"/>
        <v>0</v>
      </c>
    </row>
    <row r="41" spans="1:16" ht="15" customHeight="1" x14ac:dyDescent="0.25">
      <c r="A41" s="10">
        <v>3</v>
      </c>
      <c r="B41" s="48">
        <f>B40+7</f>
        <v>44706</v>
      </c>
      <c r="C41" s="17">
        <v>200</v>
      </c>
      <c r="D41" s="17">
        <v>200</v>
      </c>
      <c r="E41" s="16">
        <v>44705</v>
      </c>
      <c r="F41" t="s">
        <v>59</v>
      </c>
      <c r="H41" s="17">
        <f t="shared" si="7"/>
        <v>0</v>
      </c>
      <c r="I41" s="17" t="s">
        <v>833</v>
      </c>
      <c r="J41" s="48">
        <v>44893</v>
      </c>
      <c r="K41" s="17">
        <v>400</v>
      </c>
      <c r="L41" s="49" t="s">
        <v>45</v>
      </c>
      <c r="N41" t="s">
        <v>933</v>
      </c>
      <c r="P41" s="111">
        <f t="shared" si="0"/>
        <v>0</v>
      </c>
    </row>
    <row r="42" spans="1:16" ht="15" customHeight="1" x14ac:dyDescent="0.25">
      <c r="A42" s="10">
        <v>4</v>
      </c>
      <c r="B42" s="48">
        <f>B41+7</f>
        <v>44713</v>
      </c>
      <c r="C42" s="17">
        <v>200</v>
      </c>
      <c r="D42" s="17">
        <v>200</v>
      </c>
      <c r="E42" s="16">
        <v>44712</v>
      </c>
      <c r="F42" t="s">
        <v>59</v>
      </c>
      <c r="H42" s="17">
        <f t="shared" si="7"/>
        <v>0</v>
      </c>
      <c r="I42" s="17" t="s">
        <v>833</v>
      </c>
      <c r="J42" s="48">
        <v>44947</v>
      </c>
      <c r="K42" s="17">
        <v>100</v>
      </c>
      <c r="L42" s="49" t="s">
        <v>133</v>
      </c>
      <c r="M42" t="s">
        <v>976</v>
      </c>
      <c r="N42" t="s">
        <v>899</v>
      </c>
      <c r="P42" s="111">
        <f t="shared" si="0"/>
        <v>0</v>
      </c>
    </row>
    <row r="43" spans="1:16" ht="15" customHeight="1" x14ac:dyDescent="0.25">
      <c r="A43" s="10">
        <v>5</v>
      </c>
      <c r="B43" s="48">
        <f>B42+7</f>
        <v>44720</v>
      </c>
      <c r="C43" s="17">
        <v>200</v>
      </c>
      <c r="D43" s="17">
        <v>200</v>
      </c>
      <c r="E43" s="16">
        <v>44719</v>
      </c>
      <c r="F43" t="s">
        <v>124</v>
      </c>
      <c r="H43" s="17">
        <f t="shared" si="7"/>
        <v>0</v>
      </c>
      <c r="I43" s="17" t="s">
        <v>833</v>
      </c>
      <c r="J43" s="48">
        <v>44972</v>
      </c>
      <c r="K43" s="17">
        <v>319</v>
      </c>
      <c r="L43" s="49" t="s">
        <v>17</v>
      </c>
      <c r="M43" t="s">
        <v>675</v>
      </c>
      <c r="N43" t="s">
        <v>899</v>
      </c>
      <c r="P43" s="111">
        <f t="shared" si="0"/>
        <v>0</v>
      </c>
    </row>
    <row r="44" spans="1:16" ht="15" customHeight="1" x14ac:dyDescent="0.25">
      <c r="A44" s="10">
        <v>1</v>
      </c>
      <c r="B44" s="48">
        <v>44728</v>
      </c>
      <c r="C44" s="17">
        <v>400</v>
      </c>
      <c r="D44" s="17">
        <v>400</v>
      </c>
      <c r="E44" s="16">
        <v>44727</v>
      </c>
      <c r="H44" s="17">
        <f t="shared" si="7"/>
        <v>0</v>
      </c>
      <c r="I44" s="17" t="s">
        <v>848</v>
      </c>
      <c r="J44" s="48">
        <v>44977</v>
      </c>
      <c r="K44" s="17">
        <v>50</v>
      </c>
      <c r="L44" s="49" t="s">
        <v>17</v>
      </c>
      <c r="M44" t="s">
        <v>203</v>
      </c>
      <c r="N44" t="s">
        <v>899</v>
      </c>
      <c r="P44" s="111">
        <f t="shared" si="0"/>
        <v>0</v>
      </c>
    </row>
    <row r="45" spans="1:16" ht="15" customHeight="1" x14ac:dyDescent="0.25">
      <c r="A45" s="10">
        <v>1</v>
      </c>
      <c r="B45" s="48">
        <v>44728</v>
      </c>
      <c r="C45" s="17">
        <v>240</v>
      </c>
      <c r="D45" s="17">
        <v>240</v>
      </c>
      <c r="E45" s="16">
        <v>44727</v>
      </c>
      <c r="H45" s="17">
        <f t="shared" si="7"/>
        <v>0</v>
      </c>
      <c r="I45" s="17" t="s">
        <v>848</v>
      </c>
      <c r="J45" s="48"/>
      <c r="K45" s="17"/>
      <c r="L45" s="49"/>
    </row>
    <row r="46" spans="1:16" ht="15" customHeight="1" x14ac:dyDescent="0.25">
      <c r="A46" s="10">
        <v>2</v>
      </c>
      <c r="B46" s="48">
        <f>B45+7</f>
        <v>44735</v>
      </c>
      <c r="C46" s="17">
        <v>240</v>
      </c>
      <c r="D46" s="17">
        <v>240</v>
      </c>
      <c r="E46" s="16">
        <v>44734</v>
      </c>
      <c r="F46" t="s">
        <v>124</v>
      </c>
      <c r="H46" s="17">
        <f t="shared" si="7"/>
        <v>0</v>
      </c>
      <c r="I46" s="17" t="s">
        <v>848</v>
      </c>
      <c r="J46" s="48"/>
      <c r="K46" s="17"/>
      <c r="L46" s="49"/>
    </row>
    <row r="47" spans="1:16" ht="15" customHeight="1" x14ac:dyDescent="0.25">
      <c r="A47" s="10">
        <v>1</v>
      </c>
      <c r="B47" s="48">
        <v>44743</v>
      </c>
      <c r="C47" s="17">
        <v>400</v>
      </c>
      <c r="D47" s="17">
        <v>400</v>
      </c>
      <c r="E47" s="16">
        <v>44742</v>
      </c>
      <c r="F47" t="s">
        <v>117</v>
      </c>
      <c r="H47" s="17">
        <f t="shared" si="7"/>
        <v>0</v>
      </c>
      <c r="I47" s="17" t="s">
        <v>860</v>
      </c>
      <c r="J47" s="48"/>
      <c r="K47" s="17"/>
      <c r="L47" s="49"/>
      <c r="N47">
        <f>SUBTOTAL(9,K7:K47)</f>
        <v>7883.08</v>
      </c>
    </row>
    <row r="48" spans="1:16" ht="15" customHeight="1" x14ac:dyDescent="0.25">
      <c r="A48" s="10">
        <v>1</v>
      </c>
      <c r="B48" s="48">
        <v>44743</v>
      </c>
      <c r="C48" s="17">
        <v>240</v>
      </c>
      <c r="D48" s="17">
        <v>240</v>
      </c>
      <c r="E48" s="16">
        <v>44742</v>
      </c>
      <c r="F48" t="s">
        <v>117</v>
      </c>
      <c r="H48" s="17">
        <f t="shared" si="7"/>
        <v>0</v>
      </c>
      <c r="I48" s="17" t="s">
        <v>860</v>
      </c>
      <c r="J48" s="48"/>
      <c r="K48" s="17"/>
      <c r="L48" s="49"/>
    </row>
    <row r="49" spans="1:12" ht="15" customHeight="1" x14ac:dyDescent="0.25">
      <c r="A49" s="10">
        <v>2</v>
      </c>
      <c r="B49" s="48">
        <f t="shared" ref="B49:B57" si="8">B48+7</f>
        <v>44750</v>
      </c>
      <c r="C49" s="17">
        <v>240</v>
      </c>
      <c r="D49" s="17">
        <v>240</v>
      </c>
      <c r="E49" s="16">
        <v>44756</v>
      </c>
      <c r="F49" t="s">
        <v>59</v>
      </c>
      <c r="H49" s="17">
        <f t="shared" si="7"/>
        <v>0</v>
      </c>
      <c r="I49" s="17" t="s">
        <v>860</v>
      </c>
      <c r="J49" s="48"/>
      <c r="K49" s="17"/>
      <c r="L49" s="49"/>
    </row>
    <row r="50" spans="1:12" ht="15" customHeight="1" x14ac:dyDescent="0.25">
      <c r="A50" s="10">
        <v>3</v>
      </c>
      <c r="B50" s="48">
        <f t="shared" si="8"/>
        <v>44757</v>
      </c>
      <c r="C50" s="17">
        <v>240</v>
      </c>
      <c r="D50" s="17">
        <v>240</v>
      </c>
      <c r="E50" s="16">
        <v>44765</v>
      </c>
      <c r="F50" t="s">
        <v>59</v>
      </c>
      <c r="H50" s="17">
        <f t="shared" si="7"/>
        <v>0</v>
      </c>
      <c r="I50" s="17" t="s">
        <v>860</v>
      </c>
      <c r="J50" s="48"/>
      <c r="K50" s="17"/>
      <c r="L50" s="49"/>
    </row>
    <row r="51" spans="1:12" ht="15" customHeight="1" x14ac:dyDescent="0.25">
      <c r="A51" s="10">
        <v>4</v>
      </c>
      <c r="B51" s="48">
        <f t="shared" si="8"/>
        <v>44764</v>
      </c>
      <c r="C51" s="17">
        <v>240</v>
      </c>
      <c r="D51" s="17">
        <v>240</v>
      </c>
      <c r="E51" s="16">
        <v>44768</v>
      </c>
      <c r="F51" t="s">
        <v>59</v>
      </c>
      <c r="H51" s="17">
        <f t="shared" si="7"/>
        <v>0</v>
      </c>
      <c r="I51" s="17" t="s">
        <v>860</v>
      </c>
      <c r="J51" s="48"/>
      <c r="K51" s="17"/>
      <c r="L51" s="49"/>
    </row>
    <row r="52" spans="1:12" ht="15" customHeight="1" x14ac:dyDescent="0.25">
      <c r="A52" s="10">
        <v>5</v>
      </c>
      <c r="B52" s="48">
        <f t="shared" si="8"/>
        <v>44771</v>
      </c>
      <c r="C52" s="17">
        <v>240</v>
      </c>
      <c r="D52" s="17">
        <v>240</v>
      </c>
      <c r="E52" s="16">
        <v>44775</v>
      </c>
      <c r="F52" t="s">
        <v>59</v>
      </c>
      <c r="H52" s="17">
        <f t="shared" si="7"/>
        <v>0</v>
      </c>
      <c r="I52" s="17" t="s">
        <v>860</v>
      </c>
      <c r="J52" s="48"/>
      <c r="K52" s="17"/>
      <c r="L52" s="49"/>
    </row>
    <row r="53" spans="1:12" ht="15" customHeight="1" x14ac:dyDescent="0.25">
      <c r="A53" s="10">
        <v>6</v>
      </c>
      <c r="B53" s="48">
        <f t="shared" si="8"/>
        <v>44778</v>
      </c>
      <c r="C53" s="17">
        <v>240</v>
      </c>
      <c r="D53" s="17">
        <v>240</v>
      </c>
      <c r="E53" s="16">
        <v>44782</v>
      </c>
      <c r="F53" t="s">
        <v>59</v>
      </c>
      <c r="H53" s="17">
        <f t="shared" si="7"/>
        <v>0</v>
      </c>
      <c r="I53" s="17" t="s">
        <v>860</v>
      </c>
      <c r="J53" s="48"/>
      <c r="K53" s="17"/>
      <c r="L53" s="49"/>
    </row>
    <row r="54" spans="1:12" ht="15" customHeight="1" x14ac:dyDescent="0.25">
      <c r="A54" s="10">
        <v>7</v>
      </c>
      <c r="B54" s="48">
        <f t="shared" si="8"/>
        <v>44785</v>
      </c>
      <c r="C54" s="17">
        <v>240</v>
      </c>
      <c r="D54" s="17">
        <v>240</v>
      </c>
      <c r="E54" s="16">
        <v>44789</v>
      </c>
      <c r="F54" t="s">
        <v>59</v>
      </c>
      <c r="H54" s="17">
        <f t="shared" si="7"/>
        <v>0</v>
      </c>
      <c r="I54" s="17" t="s">
        <v>860</v>
      </c>
      <c r="J54" s="48"/>
      <c r="K54" s="17"/>
      <c r="L54" s="49"/>
    </row>
    <row r="55" spans="1:12" ht="15" customHeight="1" x14ac:dyDescent="0.25">
      <c r="A55" s="10">
        <v>8</v>
      </c>
      <c r="B55" s="48">
        <f t="shared" si="8"/>
        <v>44792</v>
      </c>
      <c r="C55" s="17">
        <v>240</v>
      </c>
      <c r="D55" s="17">
        <v>240</v>
      </c>
      <c r="E55" s="16">
        <v>44796</v>
      </c>
      <c r="F55" t="s">
        <v>59</v>
      </c>
      <c r="H55" s="17">
        <f t="shared" si="7"/>
        <v>0</v>
      </c>
      <c r="I55" s="17" t="s">
        <v>860</v>
      </c>
      <c r="J55" s="48"/>
      <c r="K55" s="17"/>
      <c r="L55" s="49"/>
    </row>
    <row r="56" spans="1:12" ht="15" customHeight="1" x14ac:dyDescent="0.25">
      <c r="A56" s="10">
        <v>9</v>
      </c>
      <c r="B56" s="48">
        <f t="shared" si="8"/>
        <v>44799</v>
      </c>
      <c r="C56" s="17">
        <v>240</v>
      </c>
      <c r="D56" s="17">
        <v>240</v>
      </c>
      <c r="E56" s="16">
        <v>44803</v>
      </c>
      <c r="F56" t="s">
        <v>59</v>
      </c>
      <c r="H56" s="17">
        <f t="shared" si="7"/>
        <v>0</v>
      </c>
      <c r="I56" s="17" t="s">
        <v>860</v>
      </c>
      <c r="J56" s="48"/>
      <c r="K56" s="17"/>
      <c r="L56" s="49"/>
    </row>
    <row r="57" spans="1:12" ht="15" customHeight="1" x14ac:dyDescent="0.25">
      <c r="A57" s="10">
        <v>10</v>
      </c>
      <c r="B57" s="48">
        <f t="shared" si="8"/>
        <v>44806</v>
      </c>
      <c r="C57" s="17">
        <v>240</v>
      </c>
      <c r="D57" s="17">
        <v>240</v>
      </c>
      <c r="E57" s="16">
        <v>44813</v>
      </c>
      <c r="F57" t="s">
        <v>124</v>
      </c>
      <c r="H57" s="17">
        <f t="shared" si="7"/>
        <v>0</v>
      </c>
      <c r="I57" s="17" t="s">
        <v>860</v>
      </c>
      <c r="J57" s="48"/>
      <c r="K57" s="17"/>
      <c r="L57" s="49"/>
    </row>
    <row r="58" spans="1:12" ht="15" customHeight="1" x14ac:dyDescent="0.25">
      <c r="A58" s="10">
        <v>1</v>
      </c>
      <c r="B58" s="48">
        <v>44879</v>
      </c>
      <c r="C58" s="17">
        <v>400</v>
      </c>
      <c r="D58" s="17">
        <v>400</v>
      </c>
      <c r="E58" s="16">
        <v>44879</v>
      </c>
      <c r="F58" t="s">
        <v>181</v>
      </c>
      <c r="H58" s="17">
        <f t="shared" si="7"/>
        <v>0</v>
      </c>
      <c r="I58" s="17" t="s">
        <v>933</v>
      </c>
      <c r="J58" s="48"/>
      <c r="K58" s="17"/>
      <c r="L58" s="49"/>
    </row>
    <row r="59" spans="1:12" ht="15" customHeight="1" x14ac:dyDescent="0.25">
      <c r="A59" s="10">
        <v>1</v>
      </c>
      <c r="B59" s="48">
        <v>44879</v>
      </c>
      <c r="C59" s="17">
        <v>250</v>
      </c>
      <c r="D59" s="17">
        <v>230</v>
      </c>
      <c r="E59" s="16">
        <v>44879</v>
      </c>
      <c r="F59" t="s">
        <v>117</v>
      </c>
      <c r="H59" s="17">
        <f t="shared" si="7"/>
        <v>20</v>
      </c>
      <c r="I59" s="17" t="s">
        <v>933</v>
      </c>
      <c r="J59" s="48"/>
      <c r="K59" s="17"/>
      <c r="L59" s="49"/>
    </row>
    <row r="60" spans="1:12" ht="15" customHeight="1" x14ac:dyDescent="0.25">
      <c r="A60" s="10">
        <v>2</v>
      </c>
      <c r="B60" s="48">
        <f>B59+7</f>
        <v>44886</v>
      </c>
      <c r="C60" s="17">
        <v>250</v>
      </c>
      <c r="D60" s="17">
        <v>270</v>
      </c>
      <c r="E60" s="16">
        <v>44889</v>
      </c>
      <c r="F60" t="s">
        <v>124</v>
      </c>
      <c r="H60" s="17">
        <f t="shared" si="7"/>
        <v>0</v>
      </c>
      <c r="I60" s="17" t="s">
        <v>933</v>
      </c>
      <c r="J60" s="48"/>
      <c r="K60" s="17"/>
      <c r="L60" s="49"/>
    </row>
    <row r="61" spans="1:12" ht="15" customHeight="1" x14ac:dyDescent="0.25">
      <c r="A61" s="10">
        <v>1</v>
      </c>
      <c r="B61" s="48">
        <v>44915</v>
      </c>
      <c r="C61" s="17">
        <v>400</v>
      </c>
      <c r="D61" s="17">
        <v>400</v>
      </c>
      <c r="E61" s="16">
        <v>44914</v>
      </c>
      <c r="F61" t="s">
        <v>181</v>
      </c>
      <c r="H61" s="17">
        <f t="shared" si="7"/>
        <v>0</v>
      </c>
      <c r="I61" s="17" t="s">
        <v>899</v>
      </c>
      <c r="J61" s="48"/>
      <c r="K61" s="17"/>
      <c r="L61" s="49"/>
    </row>
    <row r="62" spans="1:12" ht="15" customHeight="1" x14ac:dyDescent="0.25">
      <c r="A62" s="10">
        <v>1</v>
      </c>
      <c r="B62" s="48">
        <v>44915</v>
      </c>
      <c r="C62" s="17">
        <v>250</v>
      </c>
      <c r="H62" s="17">
        <f t="shared" si="7"/>
        <v>250</v>
      </c>
      <c r="I62" s="17" t="s">
        <v>899</v>
      </c>
      <c r="J62" s="48"/>
      <c r="K62" s="17"/>
      <c r="L62" s="49"/>
    </row>
    <row r="63" spans="1:12" ht="15" customHeight="1" x14ac:dyDescent="0.25">
      <c r="A63" s="10">
        <v>2</v>
      </c>
      <c r="B63" s="48">
        <f t="shared" ref="B63:B68" si="9">B62+7</f>
        <v>44922</v>
      </c>
      <c r="C63" s="17">
        <v>250</v>
      </c>
      <c r="D63" s="17">
        <v>250</v>
      </c>
      <c r="E63" s="16">
        <v>44923</v>
      </c>
      <c r="F63" t="s">
        <v>117</v>
      </c>
      <c r="H63" s="17">
        <f t="shared" si="7"/>
        <v>250</v>
      </c>
      <c r="I63" s="17" t="s">
        <v>899</v>
      </c>
      <c r="J63" s="48"/>
      <c r="K63" s="17"/>
      <c r="L63" s="49"/>
    </row>
    <row r="64" spans="1:12" ht="15" customHeight="1" x14ac:dyDescent="0.25">
      <c r="A64" s="10">
        <v>3</v>
      </c>
      <c r="B64" s="48">
        <f t="shared" si="9"/>
        <v>44929</v>
      </c>
      <c r="C64" s="17">
        <v>250</v>
      </c>
      <c r="D64" s="17">
        <v>250</v>
      </c>
      <c r="E64" s="16">
        <v>44932</v>
      </c>
      <c r="F64" t="s">
        <v>117</v>
      </c>
      <c r="H64" s="17">
        <f t="shared" si="7"/>
        <v>250</v>
      </c>
      <c r="I64" s="17" t="s">
        <v>899</v>
      </c>
      <c r="J64" s="48"/>
      <c r="K64" s="17"/>
      <c r="L64" s="49"/>
    </row>
    <row r="65" spans="1:12" ht="15" customHeight="1" x14ac:dyDescent="0.25">
      <c r="A65" s="10">
        <v>4</v>
      </c>
      <c r="B65" s="48">
        <f t="shared" si="9"/>
        <v>44936</v>
      </c>
      <c r="C65" s="17">
        <v>250</v>
      </c>
      <c r="D65" s="17">
        <v>250</v>
      </c>
      <c r="E65" s="16">
        <v>44927</v>
      </c>
      <c r="F65" t="s">
        <v>117</v>
      </c>
      <c r="H65" s="17">
        <f t="shared" si="7"/>
        <v>250</v>
      </c>
      <c r="I65" s="17" t="s">
        <v>899</v>
      </c>
      <c r="J65" s="48"/>
      <c r="K65" s="17"/>
      <c r="L65" s="49"/>
    </row>
    <row r="66" spans="1:12" ht="15" customHeight="1" x14ac:dyDescent="0.25">
      <c r="A66" s="10">
        <v>5</v>
      </c>
      <c r="B66" s="48">
        <f t="shared" si="9"/>
        <v>44943</v>
      </c>
      <c r="C66" s="17">
        <v>350</v>
      </c>
      <c r="D66" s="17">
        <v>350</v>
      </c>
      <c r="E66" s="16">
        <v>44946</v>
      </c>
      <c r="F66" t="s">
        <v>117</v>
      </c>
      <c r="H66" s="17">
        <f t="shared" si="7"/>
        <v>250</v>
      </c>
      <c r="I66" s="17" t="s">
        <v>899</v>
      </c>
      <c r="J66" s="48"/>
      <c r="K66" s="17"/>
      <c r="L66" s="49"/>
    </row>
    <row r="67" spans="1:12" ht="15" customHeight="1" x14ac:dyDescent="0.25">
      <c r="A67" s="10">
        <v>6</v>
      </c>
      <c r="B67" s="48">
        <f t="shared" si="9"/>
        <v>44950</v>
      </c>
      <c r="C67" s="17">
        <v>250</v>
      </c>
      <c r="D67" s="17">
        <v>250</v>
      </c>
      <c r="E67" s="16">
        <v>44963</v>
      </c>
      <c r="F67" t="s">
        <v>117</v>
      </c>
      <c r="H67" s="17">
        <f t="shared" si="7"/>
        <v>250</v>
      </c>
      <c r="I67" s="17" t="s">
        <v>899</v>
      </c>
      <c r="J67" s="48"/>
      <c r="K67" s="17"/>
      <c r="L67" s="49"/>
    </row>
    <row r="68" spans="1:12" ht="15" customHeight="1" x14ac:dyDescent="0.25">
      <c r="A68" s="10">
        <v>7</v>
      </c>
      <c r="B68" s="48">
        <f t="shared" si="9"/>
        <v>44957</v>
      </c>
      <c r="C68" s="17">
        <v>250</v>
      </c>
      <c r="D68" s="17">
        <v>250</v>
      </c>
      <c r="E68" s="16">
        <v>44967</v>
      </c>
      <c r="F68" t="s">
        <v>117</v>
      </c>
      <c r="H68" s="17">
        <f t="shared" si="7"/>
        <v>250</v>
      </c>
      <c r="I68" s="17" t="s">
        <v>899</v>
      </c>
      <c r="J68" s="48"/>
      <c r="K68" s="17"/>
      <c r="L68" s="49"/>
    </row>
    <row r="69" spans="1:12" ht="15" customHeight="1" x14ac:dyDescent="0.25">
      <c r="A69" s="10">
        <v>8</v>
      </c>
      <c r="B69" s="48">
        <f>B68+7</f>
        <v>44964</v>
      </c>
      <c r="C69" s="17">
        <v>250</v>
      </c>
      <c r="D69" s="17">
        <v>200</v>
      </c>
      <c r="E69" s="16">
        <v>44976</v>
      </c>
      <c r="F69" t="s">
        <v>117</v>
      </c>
      <c r="H69" s="17">
        <f t="shared" si="7"/>
        <v>300</v>
      </c>
      <c r="I69" s="17" t="s">
        <v>899</v>
      </c>
      <c r="J69" s="48"/>
      <c r="K69" s="17"/>
      <c r="L69" s="49"/>
    </row>
    <row r="70" spans="1:12" ht="15" customHeight="1" x14ac:dyDescent="0.25">
      <c r="A70" s="10">
        <v>9</v>
      </c>
      <c r="B70" s="48">
        <f>B69+7</f>
        <v>44971</v>
      </c>
      <c r="C70" s="17">
        <v>250</v>
      </c>
      <c r="D70" s="17">
        <v>300</v>
      </c>
      <c r="E70" s="16">
        <v>44984</v>
      </c>
      <c r="F70" t="s">
        <v>124</v>
      </c>
      <c r="H70" s="17">
        <f t="shared" si="7"/>
        <v>250</v>
      </c>
      <c r="I70" s="17" t="s">
        <v>899</v>
      </c>
      <c r="J70" s="48"/>
      <c r="K70" s="17"/>
      <c r="L70" s="49"/>
    </row>
    <row r="71" spans="1:12" ht="15" customHeight="1" x14ac:dyDescent="0.25">
      <c r="A71" s="10">
        <v>1</v>
      </c>
      <c r="B71" s="48">
        <v>45015</v>
      </c>
      <c r="C71" s="17">
        <v>400</v>
      </c>
      <c r="D71" s="17">
        <v>400</v>
      </c>
      <c r="E71" s="16">
        <v>45015</v>
      </c>
      <c r="F71" t="s">
        <v>181</v>
      </c>
      <c r="H71" s="17">
        <f t="shared" si="7"/>
        <v>0</v>
      </c>
      <c r="I71" s="17" t="s">
        <v>1012</v>
      </c>
      <c r="J71" s="48"/>
      <c r="K71" s="17"/>
      <c r="L71" s="49"/>
    </row>
    <row r="72" spans="1:12" ht="15" customHeight="1" x14ac:dyDescent="0.25">
      <c r="A72" s="10">
        <v>1</v>
      </c>
      <c r="B72" s="48">
        <v>45015</v>
      </c>
      <c r="C72" s="17">
        <v>250</v>
      </c>
      <c r="D72" s="17">
        <v>250</v>
      </c>
      <c r="E72" s="16">
        <v>45015</v>
      </c>
      <c r="F72" t="s">
        <v>117</v>
      </c>
      <c r="H72" s="17">
        <f t="shared" si="7"/>
        <v>0</v>
      </c>
      <c r="I72" s="17" t="s">
        <v>1012</v>
      </c>
      <c r="J72" s="48"/>
      <c r="K72" s="17"/>
      <c r="L72" s="49"/>
    </row>
    <row r="73" spans="1:12" x14ac:dyDescent="0.25">
      <c r="A73" s="10">
        <v>2</v>
      </c>
      <c r="B73" s="48">
        <f t="shared" ref="B73:B79" si="10">B72+7</f>
        <v>45022</v>
      </c>
      <c r="C73" s="17">
        <v>250</v>
      </c>
      <c r="D73" s="17"/>
      <c r="E73" s="16"/>
      <c r="H73" s="17">
        <f t="shared" ref="H73:H84" si="11">IFERROR(IF(F72="Closed account",(IF(F73="Unpaid Rent",(C73),(C73-D73))),(IF(F73="Unpaid Rent",(C73+H72),(C73-D73+H72)))),"")</f>
        <v>250</v>
      </c>
      <c r="I73" s="17" t="s">
        <v>1012</v>
      </c>
      <c r="J73" s="48"/>
      <c r="K73" s="17"/>
      <c r="L73" s="49"/>
    </row>
    <row r="74" spans="1:12" x14ac:dyDescent="0.25">
      <c r="A74" s="10">
        <v>3</v>
      </c>
      <c r="B74" s="48">
        <f t="shared" si="10"/>
        <v>45029</v>
      </c>
      <c r="C74" s="17">
        <v>250</v>
      </c>
      <c r="D74" s="17"/>
      <c r="E74" s="16"/>
      <c r="H74" s="17">
        <f t="shared" si="11"/>
        <v>500</v>
      </c>
      <c r="I74" s="17" t="s">
        <v>1012</v>
      </c>
      <c r="J74" s="48"/>
      <c r="K74" s="17"/>
      <c r="L74" s="49"/>
    </row>
    <row r="75" spans="1:12" x14ac:dyDescent="0.25">
      <c r="A75" s="10">
        <v>4</v>
      </c>
      <c r="B75" s="48">
        <f t="shared" si="10"/>
        <v>45036</v>
      </c>
      <c r="C75" s="17">
        <v>250</v>
      </c>
      <c r="D75" s="17"/>
      <c r="E75" s="16"/>
      <c r="H75" s="17">
        <f t="shared" si="11"/>
        <v>750</v>
      </c>
      <c r="I75" s="17" t="s">
        <v>1012</v>
      </c>
      <c r="J75" s="48"/>
      <c r="K75" s="17"/>
      <c r="L75" s="49"/>
    </row>
    <row r="76" spans="1:12" x14ac:dyDescent="0.25">
      <c r="A76" s="10">
        <v>5</v>
      </c>
      <c r="B76" s="48">
        <f t="shared" si="10"/>
        <v>45043</v>
      </c>
      <c r="C76" s="17">
        <v>250</v>
      </c>
      <c r="D76" s="17">
        <v>400</v>
      </c>
      <c r="E76" s="16">
        <v>45044</v>
      </c>
      <c r="F76" t="s">
        <v>117</v>
      </c>
      <c r="H76" s="17">
        <f t="shared" si="11"/>
        <v>600</v>
      </c>
      <c r="I76" s="17" t="s">
        <v>1012</v>
      </c>
      <c r="J76" s="48"/>
      <c r="K76" s="17"/>
      <c r="L76" s="49"/>
    </row>
    <row r="77" spans="1:12" x14ac:dyDescent="0.25">
      <c r="A77" s="10">
        <v>6</v>
      </c>
      <c r="B77" s="48">
        <f t="shared" si="10"/>
        <v>45050</v>
      </c>
      <c r="C77" s="17">
        <v>250</v>
      </c>
      <c r="D77" s="17"/>
      <c r="E77" s="16"/>
      <c r="H77" s="17">
        <f t="shared" si="11"/>
        <v>850</v>
      </c>
      <c r="I77" s="17" t="s">
        <v>1012</v>
      </c>
      <c r="J77" s="48"/>
      <c r="K77" s="17"/>
      <c r="L77" s="49"/>
    </row>
    <row r="78" spans="1:12" x14ac:dyDescent="0.25">
      <c r="A78" s="10">
        <v>7</v>
      </c>
      <c r="B78" s="48">
        <f t="shared" si="10"/>
        <v>45057</v>
      </c>
      <c r="C78" s="17">
        <v>250</v>
      </c>
      <c r="D78" s="17">
        <v>250</v>
      </c>
      <c r="E78" s="16">
        <v>45057</v>
      </c>
      <c r="F78" t="s">
        <v>117</v>
      </c>
      <c r="H78" s="17">
        <f t="shared" si="11"/>
        <v>850</v>
      </c>
      <c r="I78" s="17" t="s">
        <v>1012</v>
      </c>
      <c r="J78" s="48"/>
      <c r="K78" s="17"/>
      <c r="L78" s="49"/>
    </row>
    <row r="79" spans="1:12" x14ac:dyDescent="0.25">
      <c r="A79" s="10">
        <v>8</v>
      </c>
      <c r="B79" s="48">
        <f t="shared" si="10"/>
        <v>45064</v>
      </c>
      <c r="C79" s="17">
        <v>250</v>
      </c>
      <c r="D79" s="17">
        <v>250</v>
      </c>
      <c r="E79" s="16">
        <v>45064</v>
      </c>
      <c r="F79" t="s">
        <v>117</v>
      </c>
      <c r="H79" s="17">
        <f t="shared" si="11"/>
        <v>850</v>
      </c>
      <c r="I79" s="17" t="s">
        <v>1012</v>
      </c>
      <c r="J79" s="48"/>
      <c r="K79" s="17"/>
      <c r="L79" s="49"/>
    </row>
    <row r="80" spans="1:12" x14ac:dyDescent="0.25">
      <c r="B80" s="48"/>
      <c r="C80" s="17"/>
      <c r="H80" s="17">
        <f t="shared" si="11"/>
        <v>850</v>
      </c>
      <c r="I80" s="17" t="s">
        <v>1012</v>
      </c>
      <c r="J80" s="48"/>
      <c r="K80" s="17"/>
      <c r="L80" s="49"/>
    </row>
    <row r="81" spans="1:12" x14ac:dyDescent="0.25">
      <c r="B81" s="48"/>
      <c r="C81" s="17"/>
      <c r="H81" s="17">
        <f t="shared" si="11"/>
        <v>850</v>
      </c>
      <c r="I81" s="17" t="s">
        <v>1012</v>
      </c>
      <c r="J81" s="48"/>
      <c r="K81" s="17"/>
      <c r="L81" s="49"/>
    </row>
    <row r="82" spans="1:12" x14ac:dyDescent="0.25">
      <c r="B82" s="48"/>
      <c r="C82" s="17"/>
      <c r="H82" s="17">
        <f t="shared" si="11"/>
        <v>850</v>
      </c>
      <c r="I82" s="17" t="s">
        <v>1012</v>
      </c>
      <c r="J82" s="48"/>
      <c r="K82" s="17"/>
      <c r="L82" s="49"/>
    </row>
    <row r="83" spans="1:12" x14ac:dyDescent="0.25">
      <c r="B83" s="48"/>
      <c r="C83" s="17"/>
      <c r="H83" s="17">
        <f t="shared" si="11"/>
        <v>850</v>
      </c>
      <c r="I83" s="17" t="s">
        <v>1012</v>
      </c>
      <c r="J83" s="48"/>
      <c r="K83" s="17"/>
      <c r="L83" s="49"/>
    </row>
    <row r="84" spans="1:12" x14ac:dyDescent="0.25">
      <c r="B84" s="48"/>
      <c r="C84" s="17"/>
      <c r="E84" s="16"/>
      <c r="H84" s="17">
        <f t="shared" si="11"/>
        <v>850</v>
      </c>
      <c r="I84" s="17" t="s">
        <v>1012</v>
      </c>
      <c r="J84" s="48"/>
      <c r="K84" s="17"/>
      <c r="L84" s="49"/>
    </row>
    <row r="85" spans="1:12" x14ac:dyDescent="0.25">
      <c r="B85" s="48"/>
      <c r="J85" s="48"/>
      <c r="K85" s="17"/>
      <c r="L85" s="49"/>
    </row>
    <row r="86" spans="1:12" x14ac:dyDescent="0.25">
      <c r="B86" s="48"/>
      <c r="J86" s="48"/>
      <c r="K86" s="17"/>
      <c r="L86" s="49"/>
    </row>
    <row r="87" spans="1:12" x14ac:dyDescent="0.25">
      <c r="B87" s="48"/>
      <c r="J87" s="48"/>
      <c r="K87" s="17"/>
      <c r="L87" s="49"/>
    </row>
    <row r="88" spans="1:12" x14ac:dyDescent="0.25">
      <c r="B88" s="48"/>
      <c r="J88" s="48"/>
      <c r="K88" s="17"/>
      <c r="L88" s="49"/>
    </row>
    <row r="89" spans="1:12" x14ac:dyDescent="0.25">
      <c r="B89" s="48"/>
      <c r="J89" s="48"/>
      <c r="K89" s="17"/>
      <c r="L89" s="49"/>
    </row>
    <row r="90" spans="1:12" x14ac:dyDescent="0.25">
      <c r="B90" s="48"/>
      <c r="J90" s="48"/>
      <c r="K90" s="17"/>
      <c r="L90" s="49"/>
    </row>
    <row r="91" spans="1:12" x14ac:dyDescent="0.25">
      <c r="B91" s="48"/>
      <c r="J91" s="48"/>
      <c r="K91" s="17"/>
      <c r="L91" s="49"/>
    </row>
    <row r="92" spans="1:12" x14ac:dyDescent="0.25">
      <c r="B92" s="48"/>
      <c r="J92" s="48"/>
      <c r="K92" s="17"/>
      <c r="L92" s="49"/>
    </row>
    <row r="93" spans="1:12" x14ac:dyDescent="0.25">
      <c r="B93" s="48"/>
      <c r="J93" s="48"/>
      <c r="K93" s="17"/>
      <c r="L93" s="49"/>
    </row>
    <row r="94" spans="1:12" x14ac:dyDescent="0.25">
      <c r="B94" s="48"/>
      <c r="J94" s="48"/>
      <c r="K94" s="17"/>
      <c r="L94" s="49"/>
    </row>
    <row r="95" spans="1:12" x14ac:dyDescent="0.25">
      <c r="A95"/>
      <c r="B95" s="50"/>
      <c r="J95" s="48"/>
      <c r="K95" s="17"/>
      <c r="L95" s="49"/>
    </row>
    <row r="96" spans="1:12" x14ac:dyDescent="0.25">
      <c r="A96"/>
      <c r="B96" s="50"/>
      <c r="J96" s="48"/>
      <c r="K96" s="17"/>
      <c r="L96" s="49"/>
    </row>
    <row r="97" spans="1:12" x14ac:dyDescent="0.25">
      <c r="A97"/>
      <c r="B97" s="50"/>
      <c r="J97" s="48"/>
      <c r="K97" s="17"/>
      <c r="L97" s="49"/>
    </row>
    <row r="98" spans="1:12" x14ac:dyDescent="0.25">
      <c r="A98"/>
      <c r="B98" s="50"/>
      <c r="J98" s="48"/>
      <c r="K98" s="17"/>
      <c r="L98" s="49"/>
    </row>
    <row r="99" spans="1:12" x14ac:dyDescent="0.25">
      <c r="A99"/>
      <c r="B99" s="50"/>
      <c r="J99" s="48"/>
      <c r="K99" s="17"/>
      <c r="L99" s="49"/>
    </row>
    <row r="100" spans="1:12" x14ac:dyDescent="0.25">
      <c r="A100"/>
      <c r="B100" s="50"/>
      <c r="J100" s="48"/>
      <c r="K100" s="17"/>
      <c r="L100" s="49"/>
    </row>
    <row r="101" spans="1:12" x14ac:dyDescent="0.25">
      <c r="A101"/>
      <c r="B101" s="50"/>
      <c r="J101" s="48"/>
      <c r="K101" s="17"/>
      <c r="L101" s="49"/>
    </row>
    <row r="102" spans="1:12" x14ac:dyDescent="0.25">
      <c r="A102"/>
      <c r="B102" s="50"/>
      <c r="J102" s="48"/>
      <c r="K102" s="17"/>
      <c r="L102" s="49"/>
    </row>
    <row r="103" spans="1:12" x14ac:dyDescent="0.25">
      <c r="A103"/>
      <c r="B103" s="50"/>
      <c r="J103" s="48"/>
      <c r="K103" s="17"/>
      <c r="L103" s="49"/>
    </row>
    <row r="104" spans="1:12" x14ac:dyDescent="0.25">
      <c r="A104"/>
      <c r="B104" s="50"/>
      <c r="J104" s="48"/>
      <c r="K104" s="17"/>
      <c r="L104" s="49"/>
    </row>
    <row r="105" spans="1:12" x14ac:dyDescent="0.25">
      <c r="A105"/>
      <c r="B105" s="50"/>
      <c r="J105" s="48"/>
      <c r="K105" s="17"/>
      <c r="L105" s="49"/>
    </row>
    <row r="106" spans="1:12" x14ac:dyDescent="0.25">
      <c r="A106"/>
      <c r="B106" s="50"/>
      <c r="J106" s="48"/>
      <c r="K106" s="17"/>
      <c r="L106" s="49"/>
    </row>
    <row r="107" spans="1:12" x14ac:dyDescent="0.25">
      <c r="A107"/>
      <c r="B107" s="50"/>
      <c r="J107" s="48"/>
      <c r="K107" s="17"/>
      <c r="L107" s="49"/>
    </row>
    <row r="108" spans="1:12" x14ac:dyDescent="0.25">
      <c r="A108"/>
      <c r="B108" s="50"/>
      <c r="J108" s="48"/>
      <c r="K108" s="17"/>
      <c r="L108" s="49"/>
    </row>
    <row r="109" spans="1:12" x14ac:dyDescent="0.25">
      <c r="A109"/>
      <c r="B109" s="50"/>
      <c r="J109" s="48"/>
      <c r="K109" s="17"/>
      <c r="L109" s="49"/>
    </row>
    <row r="110" spans="1:12" x14ac:dyDescent="0.25">
      <c r="A110"/>
      <c r="B110" s="50"/>
      <c r="J110" s="48"/>
      <c r="K110" s="17"/>
      <c r="L110" s="49"/>
    </row>
    <row r="111" spans="1:12" x14ac:dyDescent="0.25">
      <c r="A111"/>
      <c r="B111" s="50"/>
      <c r="J111" s="48"/>
      <c r="K111" s="17"/>
      <c r="L111" s="49"/>
    </row>
    <row r="112" spans="1:12" x14ac:dyDescent="0.25">
      <c r="A112"/>
      <c r="B112" s="50"/>
      <c r="J112" s="48"/>
      <c r="K112" s="17"/>
      <c r="L112" s="49"/>
    </row>
    <row r="113" spans="1:12" x14ac:dyDescent="0.25">
      <c r="A113"/>
      <c r="B113" s="50"/>
      <c r="J113" s="48"/>
      <c r="K113" s="17"/>
      <c r="L113" s="49"/>
    </row>
    <row r="114" spans="1:12" x14ac:dyDescent="0.25">
      <c r="A114"/>
      <c r="B114" s="50"/>
      <c r="J114" s="48"/>
      <c r="K114" s="17"/>
      <c r="L114" s="49"/>
    </row>
    <row r="115" spans="1:12" x14ac:dyDescent="0.25">
      <c r="A115"/>
      <c r="B115" s="50"/>
      <c r="J115" s="48"/>
      <c r="K115" s="17"/>
      <c r="L115" s="49"/>
    </row>
    <row r="116" spans="1:12" x14ac:dyDescent="0.25">
      <c r="A116"/>
      <c r="B116" s="50"/>
      <c r="J116" s="48"/>
      <c r="K116" s="17"/>
      <c r="L116" s="49"/>
    </row>
    <row r="117" spans="1:12" x14ac:dyDescent="0.25">
      <c r="A117"/>
      <c r="B117" s="50"/>
      <c r="J117" s="48"/>
      <c r="K117" s="17"/>
      <c r="L117" s="49"/>
    </row>
    <row r="118" spans="1:12" x14ac:dyDescent="0.25">
      <c r="A118"/>
      <c r="B118" s="50"/>
      <c r="J118" s="48"/>
      <c r="K118" s="17"/>
      <c r="L118" s="49"/>
    </row>
    <row r="119" spans="1:12" x14ac:dyDescent="0.25">
      <c r="A119"/>
      <c r="B119" s="50"/>
      <c r="J119" s="48"/>
      <c r="K119" s="17"/>
      <c r="L119" s="49"/>
    </row>
    <row r="120" spans="1:12" x14ac:dyDescent="0.25">
      <c r="A120"/>
      <c r="B120" s="50"/>
      <c r="J120" s="48"/>
      <c r="K120" s="17"/>
      <c r="L120" s="49"/>
    </row>
    <row r="121" spans="1:12" x14ac:dyDescent="0.25">
      <c r="B121" s="50"/>
      <c r="J121" s="48"/>
      <c r="K121" s="17"/>
      <c r="L121" s="49"/>
    </row>
    <row r="122" spans="1:12" x14ac:dyDescent="0.25">
      <c r="B122" s="50"/>
      <c r="J122" s="48"/>
      <c r="K122" s="17"/>
      <c r="L122" s="49"/>
    </row>
    <row r="123" spans="1:12" x14ac:dyDescent="0.25">
      <c r="B123" s="50"/>
      <c r="J123" s="48"/>
      <c r="K123" s="17"/>
      <c r="L123" s="49"/>
    </row>
    <row r="124" spans="1:12" x14ac:dyDescent="0.25">
      <c r="B124" s="50"/>
      <c r="J124" s="48"/>
      <c r="K124" s="17"/>
      <c r="L124" s="49"/>
    </row>
    <row r="125" spans="1:12" x14ac:dyDescent="0.25">
      <c r="B125" s="50"/>
      <c r="J125" s="48"/>
      <c r="K125" s="17"/>
      <c r="L125" s="49"/>
    </row>
    <row r="126" spans="1:12" x14ac:dyDescent="0.25">
      <c r="B126" s="50"/>
      <c r="J126" s="48"/>
      <c r="K126" s="17"/>
      <c r="L126" s="49"/>
    </row>
    <row r="127" spans="1:12" x14ac:dyDescent="0.25">
      <c r="B127" s="50"/>
      <c r="J127" s="48"/>
      <c r="K127" s="17"/>
      <c r="L127" s="49"/>
    </row>
    <row r="128" spans="1:12" x14ac:dyDescent="0.25">
      <c r="B128" s="50"/>
      <c r="J128" s="48"/>
      <c r="K128" s="17"/>
      <c r="L128" s="49"/>
    </row>
    <row r="129" spans="1:12" x14ac:dyDescent="0.25">
      <c r="B129" s="50"/>
      <c r="J129" s="48"/>
      <c r="K129" s="17"/>
      <c r="L129" s="49"/>
    </row>
    <row r="130" spans="1:12" x14ac:dyDescent="0.25">
      <c r="B130" s="50"/>
      <c r="J130" s="48"/>
      <c r="K130" s="17"/>
      <c r="L130" s="49"/>
    </row>
    <row r="131" spans="1:12" x14ac:dyDescent="0.25">
      <c r="B131" s="50"/>
      <c r="J131" s="48"/>
      <c r="K131" s="17"/>
      <c r="L131" s="49"/>
    </row>
    <row r="132" spans="1:12" x14ac:dyDescent="0.25">
      <c r="B132" s="50"/>
      <c r="J132" s="48"/>
      <c r="K132" s="17"/>
      <c r="L132" s="49"/>
    </row>
    <row r="133" spans="1:12" x14ac:dyDescent="0.25">
      <c r="B133" s="50"/>
      <c r="J133" s="48"/>
      <c r="K133" s="17"/>
      <c r="L133" s="49"/>
    </row>
    <row r="134" spans="1:12" x14ac:dyDescent="0.25">
      <c r="B134" s="50"/>
      <c r="J134" s="48"/>
      <c r="K134" s="17"/>
      <c r="L134" s="49"/>
    </row>
    <row r="135" spans="1:12" x14ac:dyDescent="0.25">
      <c r="B135" s="50"/>
      <c r="J135" s="48"/>
      <c r="K135" s="17"/>
      <c r="L135" s="49"/>
    </row>
    <row r="136" spans="1:12" x14ac:dyDescent="0.25">
      <c r="A136" s="10" t="s">
        <v>18</v>
      </c>
      <c r="B136" s="50" t="str">
        <f>IF($A136&lt;&gt;"",IF(_term=26,IF(A136=1,first_payment,B135+14),IF(_term=52,IF(A136=1,first_payment,B135+7),DATE(YEAR(first_payment),MONTH(first_payment)+(A136-1)*per_year,IF(_term=24,IF(1-MOD(A136,2)=1,DAY(first_payment)+14,DAY(first_payment)),DAY(first_payment))))),"")</f>
        <v/>
      </c>
      <c r="H136" t="str">
        <f>IF($A136&lt;&gt;"",$H135-$D136,"")</f>
        <v/>
      </c>
      <c r="J136" s="48"/>
      <c r="K136" s="17"/>
      <c r="L136" s="49"/>
    </row>
    <row r="137" spans="1:12" x14ac:dyDescent="0.25">
      <c r="A137" s="10" t="s">
        <v>18</v>
      </c>
      <c r="B137" s="50" t="str">
        <f>IF($A137&lt;&gt;"",IF(_term=26,IF(A137=1,first_payment,B136+14),IF(_term=52,IF(A137=1,first_payment,B136+7),DATE(YEAR(first_payment),MONTH(first_payment)+(A137-1)*per_year,IF(_term=24,IF(1-MOD(A137,2)=1,DAY(first_payment)+14,DAY(first_payment)),DAY(first_payment))))),"")</f>
        <v/>
      </c>
      <c r="H137" t="str">
        <f>IF($A137&lt;&gt;"",$H136-$D137,"")</f>
        <v/>
      </c>
      <c r="J137" s="48"/>
      <c r="K137" s="17"/>
      <c r="L137" s="49"/>
    </row>
    <row r="138" spans="1:12" x14ac:dyDescent="0.25">
      <c r="A138" s="10" t="s">
        <v>18</v>
      </c>
      <c r="B138" s="50" t="str">
        <f>IF($A138&lt;&gt;"",IF(_term=26,IF(A138=1,first_payment,B137+14),IF(_term=52,IF(A138=1,first_payment,B137+7),DATE(YEAR(first_payment),MONTH(first_payment)+(A138-1)*per_year,IF(_term=24,IF(1-MOD(A138,2)=1,DAY(first_payment)+14,DAY(first_payment)),DAY(first_payment))))),"")</f>
        <v/>
      </c>
      <c r="H138" t="str">
        <f>IF($A138&lt;&gt;"",$H137-$D138,"")</f>
        <v/>
      </c>
      <c r="J138" s="48"/>
      <c r="K138" s="17"/>
      <c r="L138" s="49"/>
    </row>
    <row r="139" spans="1:12" x14ac:dyDescent="0.25">
      <c r="A139" s="10" t="s">
        <v>18</v>
      </c>
      <c r="B139" s="50" t="str">
        <f>IF($A139&lt;&gt;"",IF(_term=26,IF(A139=1,first_payment,B138+14),IF(_term=52,IF(A139=1,first_payment,B138+7),DATE(YEAR(first_payment),MONTH(first_payment)+(A139-1)*per_year,IF(_term=24,IF(1-MOD(A139,2)=1,DAY(first_payment)+14,DAY(first_payment)),DAY(first_payment))))),"")</f>
        <v/>
      </c>
      <c r="H139" t="str">
        <f>IF($A139&lt;&gt;"",$H138-$D139,"")</f>
        <v/>
      </c>
      <c r="J139" s="48"/>
      <c r="K139" s="17"/>
      <c r="L139" s="49"/>
    </row>
    <row r="140" spans="1:12" ht="15" customHeight="1" x14ac:dyDescent="0.25">
      <c r="J140" s="48"/>
      <c r="K140" s="17"/>
      <c r="L140" s="49"/>
    </row>
    <row r="141" spans="1:12" ht="15" customHeight="1" x14ac:dyDescent="0.25">
      <c r="J141" s="48"/>
      <c r="K141" s="17"/>
      <c r="L141" s="49"/>
    </row>
    <row r="142" spans="1:12" ht="15" customHeight="1" x14ac:dyDescent="0.25">
      <c r="J142" s="48"/>
      <c r="K142" s="17"/>
      <c r="L142" s="49"/>
    </row>
    <row r="143" spans="1:12" ht="15" customHeight="1" x14ac:dyDescent="0.25">
      <c r="J143" s="48"/>
      <c r="K143" s="17"/>
      <c r="L143" s="49"/>
    </row>
    <row r="144" spans="1:12" ht="15" customHeight="1" x14ac:dyDescent="0.25">
      <c r="J144" s="48"/>
      <c r="K144" s="17"/>
      <c r="L144" s="49"/>
    </row>
    <row r="145" spans="10:12" ht="15" customHeight="1" x14ac:dyDescent="0.25">
      <c r="J145" s="48"/>
      <c r="K145" s="17"/>
      <c r="L145" s="49"/>
    </row>
    <row r="146" spans="10:12" ht="15" customHeight="1" x14ac:dyDescent="0.25">
      <c r="J146" s="48"/>
      <c r="K146" s="17"/>
      <c r="L146" s="49"/>
    </row>
    <row r="147" spans="10:12" ht="15" customHeight="1" x14ac:dyDescent="0.25">
      <c r="J147" s="48"/>
      <c r="K147" s="17"/>
      <c r="L147" s="49"/>
    </row>
    <row r="148" spans="10:12" ht="15" customHeight="1" x14ac:dyDescent="0.25">
      <c r="J148" s="48"/>
      <c r="K148" s="17"/>
      <c r="L148" s="49"/>
    </row>
    <row r="149" spans="10:12" ht="15" customHeight="1" x14ac:dyDescent="0.25">
      <c r="J149" s="48"/>
      <c r="K149" s="17"/>
      <c r="L149" s="49"/>
    </row>
    <row r="150" spans="10:12" ht="15" customHeight="1" x14ac:dyDescent="0.25">
      <c r="J150" s="48"/>
      <c r="K150" s="17"/>
      <c r="L150" s="49"/>
    </row>
    <row r="151" spans="10:12" ht="15" customHeight="1" x14ac:dyDescent="0.25">
      <c r="J151" s="48"/>
      <c r="K151" s="17"/>
      <c r="L151" s="49"/>
    </row>
    <row r="152" spans="10:12" ht="15" customHeight="1" x14ac:dyDescent="0.25">
      <c r="J152" s="48"/>
      <c r="K152" s="17"/>
      <c r="L152" s="49"/>
    </row>
    <row r="153" spans="10:12" ht="15" customHeight="1" x14ac:dyDescent="0.25">
      <c r="J153" s="48"/>
      <c r="K153" s="17"/>
      <c r="L153" s="49"/>
    </row>
    <row r="154" spans="10:12" ht="15" customHeight="1" x14ac:dyDescent="0.25">
      <c r="J154" s="48"/>
      <c r="K154" s="17"/>
      <c r="L154" s="49"/>
    </row>
    <row r="155" spans="10:12" ht="15" customHeight="1" x14ac:dyDescent="0.25">
      <c r="J155" s="48"/>
      <c r="K155" s="17"/>
      <c r="L155" s="49"/>
    </row>
    <row r="156" spans="10:12" ht="15" customHeight="1" x14ac:dyDescent="0.25">
      <c r="J156" s="48"/>
      <c r="K156" s="17"/>
      <c r="L156" s="49"/>
    </row>
    <row r="157" spans="10:12" ht="15" customHeight="1" x14ac:dyDescent="0.25">
      <c r="J157" s="48"/>
      <c r="K157" s="17"/>
      <c r="L157" s="49"/>
    </row>
    <row r="158" spans="10:12" ht="15" customHeight="1" x14ac:dyDescent="0.25">
      <c r="J158" s="48"/>
      <c r="K158" s="17"/>
      <c r="L158" s="49"/>
    </row>
    <row r="159" spans="10:12" ht="15" customHeight="1" x14ac:dyDescent="0.25">
      <c r="J159" s="48"/>
      <c r="K159" s="17"/>
      <c r="L159" s="49"/>
    </row>
    <row r="160" spans="10:12" ht="15" customHeight="1" x14ac:dyDescent="0.25">
      <c r="J160" s="48"/>
      <c r="K160" s="17"/>
      <c r="L160" s="49"/>
    </row>
    <row r="161" spans="10:12" ht="15" customHeight="1" x14ac:dyDescent="0.25">
      <c r="J161" s="48"/>
      <c r="K161" s="17"/>
      <c r="L161" s="49"/>
    </row>
    <row r="162" spans="10:12" ht="15" customHeight="1" x14ac:dyDescent="0.25">
      <c r="J162" s="48"/>
      <c r="K162" s="17"/>
      <c r="L162" s="49"/>
    </row>
    <row r="163" spans="10:12" ht="15" customHeight="1" x14ac:dyDescent="0.25">
      <c r="J163" s="48"/>
      <c r="K163" s="17"/>
      <c r="L163" s="49"/>
    </row>
    <row r="164" spans="10:12" ht="15" customHeight="1" x14ac:dyDescent="0.25">
      <c r="J164" s="48"/>
      <c r="K164" s="17"/>
      <c r="L164" s="49"/>
    </row>
    <row r="165" spans="10:12" ht="15" customHeight="1" x14ac:dyDescent="0.25">
      <c r="J165" s="48"/>
      <c r="K165" s="17"/>
      <c r="L165" s="49"/>
    </row>
    <row r="166" spans="10:12" ht="15" customHeight="1" x14ac:dyDescent="0.25">
      <c r="J166" s="48"/>
      <c r="K166" s="17"/>
      <c r="L166" s="49"/>
    </row>
    <row r="167" spans="10:12" ht="15" customHeight="1" x14ac:dyDescent="0.25">
      <c r="J167" s="48"/>
      <c r="K167" s="17"/>
      <c r="L167" s="49"/>
    </row>
    <row r="168" spans="10:12" ht="15" customHeight="1" x14ac:dyDescent="0.25">
      <c r="J168" s="48"/>
      <c r="K168" s="17"/>
      <c r="L168" s="49"/>
    </row>
    <row r="169" spans="10:12" ht="15" customHeight="1" x14ac:dyDescent="0.25">
      <c r="J169" s="48"/>
      <c r="K169" s="17"/>
      <c r="L169" s="49"/>
    </row>
    <row r="170" spans="10:12" ht="15" customHeight="1" x14ac:dyDescent="0.25">
      <c r="J170" s="48"/>
      <c r="K170" s="17"/>
      <c r="L170" s="49"/>
    </row>
    <row r="171" spans="10:12" ht="15" customHeight="1" x14ac:dyDescent="0.25">
      <c r="J171" s="48"/>
      <c r="K171" s="17"/>
      <c r="L171" s="49"/>
    </row>
    <row r="172" spans="10:12" ht="15" customHeight="1" x14ac:dyDescent="0.25">
      <c r="J172" s="48"/>
      <c r="K172" s="17"/>
      <c r="L172" s="49"/>
    </row>
    <row r="173" spans="10:12" ht="15" customHeight="1" x14ac:dyDescent="0.25">
      <c r="J173" s="48"/>
      <c r="K173" s="17"/>
      <c r="L173" s="49"/>
    </row>
    <row r="174" spans="10:12" ht="15" customHeight="1" x14ac:dyDescent="0.25">
      <c r="J174" s="48"/>
      <c r="K174" s="17"/>
      <c r="L174" s="49"/>
    </row>
    <row r="175" spans="10:12" ht="15" customHeight="1" x14ac:dyDescent="0.25">
      <c r="J175" s="48"/>
      <c r="K175" s="17"/>
      <c r="L175" s="49"/>
    </row>
    <row r="176" spans="10:12" ht="15" customHeight="1" x14ac:dyDescent="0.25">
      <c r="J176" s="48"/>
      <c r="K176" s="17"/>
      <c r="L176" s="49"/>
    </row>
    <row r="177" spans="10:12" ht="15" customHeight="1" x14ac:dyDescent="0.25">
      <c r="J177" s="48"/>
      <c r="K177" s="17"/>
      <c r="L177" s="49"/>
    </row>
    <row r="178" spans="10:12" ht="15" customHeight="1" x14ac:dyDescent="0.25">
      <c r="J178" s="48"/>
      <c r="K178" s="17"/>
      <c r="L178" s="49"/>
    </row>
    <row r="179" spans="10:12" ht="15" customHeight="1" x14ac:dyDescent="0.25">
      <c r="J179" s="48"/>
      <c r="K179" s="17"/>
      <c r="L179" s="49"/>
    </row>
    <row r="180" spans="10:12" ht="15" customHeight="1" x14ac:dyDescent="0.25">
      <c r="J180" s="48"/>
      <c r="K180" s="17"/>
      <c r="L180" s="49"/>
    </row>
    <row r="181" spans="10:12" ht="15" customHeight="1" x14ac:dyDescent="0.25">
      <c r="J181" s="48"/>
      <c r="K181" s="17"/>
      <c r="L181" s="49"/>
    </row>
    <row r="182" spans="10:12" ht="15" customHeight="1" x14ac:dyDescent="0.25">
      <c r="J182" s="48"/>
      <c r="K182" s="17"/>
      <c r="L182" s="49"/>
    </row>
    <row r="183" spans="10:12" ht="15" customHeight="1" x14ac:dyDescent="0.25">
      <c r="J183" s="48"/>
      <c r="K183" s="17"/>
      <c r="L183" s="49"/>
    </row>
    <row r="184" spans="10:12" ht="15" customHeight="1" x14ac:dyDescent="0.25">
      <c r="J184" s="48"/>
      <c r="K184" s="17"/>
      <c r="L184" s="49"/>
    </row>
    <row r="185" spans="10:12" ht="15" customHeight="1" x14ac:dyDescent="0.25">
      <c r="J185" s="48"/>
      <c r="K185" s="17"/>
      <c r="L185" s="49"/>
    </row>
    <row r="186" spans="10:12" ht="15" customHeight="1" x14ac:dyDescent="0.25">
      <c r="J186" s="48"/>
      <c r="K186" s="17"/>
      <c r="L186" s="49"/>
    </row>
    <row r="187" spans="10:12" ht="15" customHeight="1" x14ac:dyDescent="0.25">
      <c r="J187" s="48"/>
      <c r="K187" s="17"/>
      <c r="L187" s="49"/>
    </row>
    <row r="188" spans="10:12" ht="15" customHeight="1" x14ac:dyDescent="0.25">
      <c r="J188" s="48"/>
      <c r="K188" s="17"/>
      <c r="L188" s="49"/>
    </row>
    <row r="189" spans="10:12" ht="15" customHeight="1" x14ac:dyDescent="0.25">
      <c r="J189" s="48"/>
      <c r="K189" s="17"/>
      <c r="L189" s="49"/>
    </row>
    <row r="190" spans="10:12" ht="15" customHeight="1" x14ac:dyDescent="0.25">
      <c r="J190" s="48"/>
      <c r="K190" s="17"/>
      <c r="L190" s="49"/>
    </row>
    <row r="191" spans="10:12" ht="15" customHeight="1" x14ac:dyDescent="0.25">
      <c r="J191" s="48"/>
      <c r="K191" s="17"/>
      <c r="L191" s="49"/>
    </row>
    <row r="192" spans="10:12" ht="15" customHeight="1" x14ac:dyDescent="0.25">
      <c r="J192" s="48"/>
      <c r="K192" s="17"/>
      <c r="L192" s="49"/>
    </row>
    <row r="193" spans="10:12" ht="15" customHeight="1" x14ac:dyDescent="0.25">
      <c r="J193" s="48"/>
      <c r="K193" s="17"/>
      <c r="L193" s="49"/>
    </row>
    <row r="194" spans="10:12" ht="15" customHeight="1" x14ac:dyDescent="0.25">
      <c r="J194" s="48"/>
      <c r="K194" s="17"/>
      <c r="L194" s="49"/>
    </row>
    <row r="195" spans="10:12" ht="15" customHeight="1" x14ac:dyDescent="0.25">
      <c r="J195" s="48"/>
      <c r="K195" s="17"/>
      <c r="L195" s="49"/>
    </row>
    <row r="196" spans="10:12" ht="15" customHeight="1" x14ac:dyDescent="0.25">
      <c r="J196" s="48"/>
      <c r="K196" s="17"/>
      <c r="L196" s="49"/>
    </row>
    <row r="197" spans="10:12" ht="15" customHeight="1" x14ac:dyDescent="0.25">
      <c r="J197" s="48"/>
      <c r="K197" s="17"/>
      <c r="L197" s="49"/>
    </row>
    <row r="198" spans="10:12" ht="15" customHeight="1" x14ac:dyDescent="0.25">
      <c r="J198" s="48"/>
      <c r="K198" s="17"/>
      <c r="L198" s="49"/>
    </row>
    <row r="199" spans="10:12" ht="15" customHeight="1" x14ac:dyDescent="0.25">
      <c r="J199" s="48"/>
      <c r="K199" s="17"/>
      <c r="L199" s="49"/>
    </row>
    <row r="200" spans="10:12" ht="15" customHeight="1" x14ac:dyDescent="0.25">
      <c r="J200" s="48"/>
      <c r="K200" s="17"/>
      <c r="L200" s="49"/>
    </row>
    <row r="201" spans="10:12" ht="15" customHeight="1" x14ac:dyDescent="0.25">
      <c r="J201" s="48"/>
      <c r="K201" s="17"/>
      <c r="L201" s="49"/>
    </row>
    <row r="202" spans="10:12" ht="15" customHeight="1" x14ac:dyDescent="0.25">
      <c r="J202" s="48"/>
      <c r="K202" s="17"/>
      <c r="L202" s="49"/>
    </row>
    <row r="203" spans="10:12" ht="15" customHeight="1" x14ac:dyDescent="0.25">
      <c r="J203" s="48"/>
      <c r="K203" s="17"/>
      <c r="L203" s="49"/>
    </row>
    <row r="204" spans="10:12" ht="15" customHeight="1" x14ac:dyDescent="0.25">
      <c r="J204" s="48"/>
      <c r="K204" s="17"/>
      <c r="L204" s="49"/>
    </row>
    <row r="205" spans="10:12" ht="15" customHeight="1" x14ac:dyDescent="0.25">
      <c r="J205" s="48"/>
      <c r="K205" s="17"/>
      <c r="L205" s="49"/>
    </row>
    <row r="206" spans="10:12" ht="15" customHeight="1" x14ac:dyDescent="0.25">
      <c r="J206" s="48"/>
      <c r="K206" s="17"/>
      <c r="L206" s="49"/>
    </row>
    <row r="207" spans="10:12" ht="15" customHeight="1" x14ac:dyDescent="0.25">
      <c r="J207" s="48"/>
      <c r="K207" s="17"/>
      <c r="L207" s="49"/>
    </row>
    <row r="208" spans="10:12" ht="15" customHeight="1" x14ac:dyDescent="0.25">
      <c r="J208" s="48"/>
      <c r="K208" s="17"/>
      <c r="L208" s="49"/>
    </row>
    <row r="209" spans="10:12" ht="15" customHeight="1" x14ac:dyDescent="0.25">
      <c r="J209" s="48"/>
      <c r="K209" s="17"/>
      <c r="L209" s="49"/>
    </row>
    <row r="210" spans="10:12" ht="15" customHeight="1" x14ac:dyDescent="0.25">
      <c r="J210" s="48"/>
      <c r="K210" s="17"/>
      <c r="L210" s="49"/>
    </row>
    <row r="211" spans="10:12" ht="15" customHeight="1" x14ac:dyDescent="0.25">
      <c r="J211" s="48"/>
      <c r="K211" s="17"/>
      <c r="L211" s="49"/>
    </row>
    <row r="212" spans="10:12" ht="15" customHeight="1" x14ac:dyDescent="0.25">
      <c r="J212" s="48"/>
      <c r="K212" s="17"/>
      <c r="L212" s="49"/>
    </row>
    <row r="213" spans="10:12" ht="15" customHeight="1" x14ac:dyDescent="0.25">
      <c r="J213" s="48"/>
      <c r="K213" s="17"/>
      <c r="L213" s="49"/>
    </row>
    <row r="214" spans="10:12" ht="15" customHeight="1" x14ac:dyDescent="0.25">
      <c r="J214" s="48"/>
      <c r="K214" s="17"/>
      <c r="L214" s="49"/>
    </row>
    <row r="215" spans="10:12" ht="15" customHeight="1" x14ac:dyDescent="0.25">
      <c r="J215" s="48"/>
      <c r="K215" s="17"/>
      <c r="L215" s="49"/>
    </row>
    <row r="216" spans="10:12" ht="15" customHeight="1" x14ac:dyDescent="0.25">
      <c r="J216" s="48"/>
      <c r="K216" s="17"/>
      <c r="L216" s="49"/>
    </row>
    <row r="217" spans="10:12" ht="15" customHeight="1" x14ac:dyDescent="0.25">
      <c r="J217" s="48"/>
      <c r="K217" s="17"/>
      <c r="L217" s="49"/>
    </row>
    <row r="218" spans="10:12" ht="15" customHeight="1" x14ac:dyDescent="0.25">
      <c r="J218" s="48"/>
      <c r="K218" s="17"/>
      <c r="L218" s="49"/>
    </row>
    <row r="219" spans="10:12" ht="15" customHeight="1" x14ac:dyDescent="0.25">
      <c r="J219" s="48"/>
      <c r="K219" s="17"/>
      <c r="L219" s="49"/>
    </row>
    <row r="220" spans="10:12" ht="15" customHeight="1" x14ac:dyDescent="0.25">
      <c r="J220" s="48"/>
      <c r="K220" s="17"/>
      <c r="L220" s="49"/>
    </row>
    <row r="221" spans="10:12" ht="15" customHeight="1" x14ac:dyDescent="0.25">
      <c r="J221" s="48"/>
      <c r="K221" s="17"/>
      <c r="L221" s="49"/>
    </row>
    <row r="222" spans="10:12" ht="15" customHeight="1" x14ac:dyDescent="0.25">
      <c r="J222" s="48"/>
      <c r="K222" s="17"/>
      <c r="L222" s="49"/>
    </row>
    <row r="223" spans="10:12" ht="15" customHeight="1" x14ac:dyDescent="0.25">
      <c r="J223" s="48"/>
      <c r="K223" s="17"/>
      <c r="L223" s="49"/>
    </row>
    <row r="224" spans="10:12" ht="15" customHeight="1" x14ac:dyDescent="0.25">
      <c r="J224" s="48"/>
      <c r="K224" s="17"/>
      <c r="L224" s="49"/>
    </row>
    <row r="225" spans="10:12" ht="15" customHeight="1" x14ac:dyDescent="0.25">
      <c r="J225" s="48"/>
      <c r="K225" s="17"/>
      <c r="L225" s="49"/>
    </row>
    <row r="226" spans="10:12" ht="15" customHeight="1" x14ac:dyDescent="0.25">
      <c r="J226" s="48"/>
      <c r="K226" s="17"/>
      <c r="L226" s="49"/>
    </row>
    <row r="227" spans="10:12" ht="15" customHeight="1" x14ac:dyDescent="0.25">
      <c r="J227" s="48"/>
      <c r="K227" s="17"/>
      <c r="L227" s="49"/>
    </row>
    <row r="228" spans="10:12" ht="15" customHeight="1" x14ac:dyDescent="0.25">
      <c r="J228" s="48"/>
      <c r="K228" s="17"/>
      <c r="L228" s="49"/>
    </row>
    <row r="229" spans="10:12" ht="15" customHeight="1" x14ac:dyDescent="0.25">
      <c r="J229" s="48"/>
      <c r="K229" s="17"/>
      <c r="L229" s="49"/>
    </row>
    <row r="230" spans="10:12" ht="15" customHeight="1" x14ac:dyDescent="0.25">
      <c r="J230" s="48"/>
      <c r="K230" s="17"/>
      <c r="L230" s="49"/>
    </row>
    <row r="231" spans="10:12" ht="15" customHeight="1" x14ac:dyDescent="0.25">
      <c r="J231" s="48"/>
      <c r="K231" s="17"/>
      <c r="L231" s="49"/>
    </row>
    <row r="232" spans="10:12" ht="15" customHeight="1" x14ac:dyDescent="0.25">
      <c r="J232" s="48"/>
      <c r="K232" s="17"/>
      <c r="L232" s="49"/>
    </row>
    <row r="233" spans="10:12" ht="15" customHeight="1" x14ac:dyDescent="0.25">
      <c r="J233" s="48"/>
      <c r="K233" s="17"/>
      <c r="L233" s="49"/>
    </row>
    <row r="234" spans="10:12" ht="15" customHeight="1" x14ac:dyDescent="0.25">
      <c r="J234" s="48"/>
      <c r="K234" s="17"/>
      <c r="L234" s="49"/>
    </row>
    <row r="235" spans="10:12" ht="15" customHeight="1" x14ac:dyDescent="0.25">
      <c r="J235" s="48"/>
      <c r="K235" s="17"/>
      <c r="L235" s="49"/>
    </row>
    <row r="236" spans="10:12" ht="15" customHeight="1" x14ac:dyDescent="0.25">
      <c r="J236" s="48"/>
      <c r="K236" s="17"/>
      <c r="L236" s="49"/>
    </row>
    <row r="237" spans="10:12" ht="15" customHeight="1" x14ac:dyDescent="0.25">
      <c r="J237" s="48"/>
      <c r="K237" s="17"/>
      <c r="L237" s="49"/>
    </row>
    <row r="238" spans="10:12" ht="15" customHeight="1" x14ac:dyDescent="0.25">
      <c r="J238" s="48"/>
      <c r="K238" s="17"/>
      <c r="L238" s="49"/>
    </row>
    <row r="239" spans="10:12" ht="15" customHeight="1" x14ac:dyDescent="0.25">
      <c r="J239" s="48"/>
      <c r="K239" s="17"/>
      <c r="L239" s="49"/>
    </row>
    <row r="240" spans="10:12" ht="15" customHeight="1" x14ac:dyDescent="0.25">
      <c r="J240" s="48"/>
      <c r="K240" s="17"/>
      <c r="L240" s="49"/>
    </row>
    <row r="241" spans="10:12" ht="15" customHeight="1" x14ac:dyDescent="0.25">
      <c r="J241" s="48"/>
      <c r="K241" s="17"/>
      <c r="L241" s="49"/>
    </row>
    <row r="242" spans="10:12" ht="15" customHeight="1" x14ac:dyDescent="0.25">
      <c r="J242" s="48"/>
      <c r="K242" s="17"/>
      <c r="L242" s="49"/>
    </row>
    <row r="243" spans="10:12" ht="15" customHeight="1" x14ac:dyDescent="0.25">
      <c r="J243" s="48"/>
      <c r="K243" s="17"/>
      <c r="L243" s="49"/>
    </row>
    <row r="244" spans="10:12" ht="15" customHeight="1" x14ac:dyDescent="0.25">
      <c r="J244" s="48"/>
      <c r="K244" s="17"/>
      <c r="L244" s="49"/>
    </row>
    <row r="245" spans="10:12" ht="15" customHeight="1" x14ac:dyDescent="0.25">
      <c r="J245" s="48"/>
      <c r="K245" s="17"/>
      <c r="L245" s="49"/>
    </row>
    <row r="246" spans="10:12" ht="15" customHeight="1" x14ac:dyDescent="0.25">
      <c r="J246" s="48"/>
      <c r="K246" s="17"/>
      <c r="L246" s="49"/>
    </row>
    <row r="247" spans="10:12" ht="15" customHeight="1" x14ac:dyDescent="0.25">
      <c r="J247" s="48"/>
      <c r="K247" s="17"/>
      <c r="L247" s="49"/>
    </row>
    <row r="248" spans="10:12" ht="15" customHeight="1" x14ac:dyDescent="0.25">
      <c r="J248" s="48"/>
      <c r="K248" s="17"/>
      <c r="L248" s="49"/>
    </row>
    <row r="249" spans="10:12" ht="15" customHeight="1" x14ac:dyDescent="0.25">
      <c r="J249" s="48"/>
      <c r="K249" s="17"/>
      <c r="L249" s="49"/>
    </row>
    <row r="250" spans="10:12" ht="15" customHeight="1" x14ac:dyDescent="0.25">
      <c r="J250" s="48"/>
      <c r="K250" s="17"/>
      <c r="L250" s="49"/>
    </row>
    <row r="251" spans="10:12" ht="15" customHeight="1" x14ac:dyDescent="0.25">
      <c r="J251" s="48"/>
      <c r="K251" s="17"/>
      <c r="L251" s="49"/>
    </row>
    <row r="252" spans="10:12" ht="15" customHeight="1" x14ac:dyDescent="0.25">
      <c r="J252" s="48"/>
      <c r="K252" s="17"/>
      <c r="L252" s="49"/>
    </row>
    <row r="253" spans="10:12" ht="15" customHeight="1" x14ac:dyDescent="0.25">
      <c r="J253" s="48"/>
      <c r="K253" s="17"/>
      <c r="L253" s="49"/>
    </row>
    <row r="254" spans="10:12" ht="15" customHeight="1" x14ac:dyDescent="0.25">
      <c r="J254" s="48"/>
      <c r="K254" s="17"/>
      <c r="L254" s="49"/>
    </row>
    <row r="255" spans="10:12" ht="15" customHeight="1" x14ac:dyDescent="0.25">
      <c r="J255" s="48"/>
      <c r="K255" s="17"/>
      <c r="L255" s="49"/>
    </row>
    <row r="256" spans="10:12" ht="15" customHeight="1" x14ac:dyDescent="0.25">
      <c r="J256" s="48"/>
      <c r="K256" s="17"/>
      <c r="L256" s="49"/>
    </row>
    <row r="257" spans="10:12" ht="15" customHeight="1" x14ac:dyDescent="0.25">
      <c r="J257" s="48"/>
      <c r="K257" s="17"/>
      <c r="L257" s="49"/>
    </row>
    <row r="258" spans="10:12" ht="15" customHeight="1" x14ac:dyDescent="0.25">
      <c r="J258" s="48"/>
      <c r="K258" s="17"/>
      <c r="L258" s="49"/>
    </row>
    <row r="259" spans="10:12" ht="15" customHeight="1" x14ac:dyDescent="0.25">
      <c r="J259" s="48"/>
      <c r="K259" s="17"/>
      <c r="L259" s="49"/>
    </row>
    <row r="260" spans="10:12" ht="15" customHeight="1" x14ac:dyDescent="0.25">
      <c r="J260" s="48"/>
      <c r="K260" s="17"/>
      <c r="L260" s="49"/>
    </row>
    <row r="261" spans="10:12" ht="15" customHeight="1" x14ac:dyDescent="0.25">
      <c r="J261" s="48"/>
      <c r="K261" s="17"/>
      <c r="L261" s="49"/>
    </row>
    <row r="262" spans="10:12" ht="15" customHeight="1" x14ac:dyDescent="0.25">
      <c r="J262" s="48"/>
      <c r="K262" s="17"/>
      <c r="L262" s="49"/>
    </row>
    <row r="263" spans="10:12" ht="15" customHeight="1" x14ac:dyDescent="0.25">
      <c r="J263" s="48"/>
      <c r="K263" s="17"/>
      <c r="L263" s="49"/>
    </row>
    <row r="264" spans="10:12" ht="15" customHeight="1" x14ac:dyDescent="0.25">
      <c r="J264" s="48"/>
      <c r="K264" s="17"/>
      <c r="L264" s="49"/>
    </row>
    <row r="265" spans="10:12" ht="15" customHeight="1" x14ac:dyDescent="0.25">
      <c r="J265" s="48"/>
      <c r="K265" s="17"/>
      <c r="L265" s="49"/>
    </row>
    <row r="266" spans="10:12" ht="15" customHeight="1" x14ac:dyDescent="0.25">
      <c r="J266" s="48"/>
      <c r="K266" s="17"/>
      <c r="L266" s="49"/>
    </row>
    <row r="267" spans="10:12" ht="15" customHeight="1" x14ac:dyDescent="0.25">
      <c r="J267" s="48"/>
      <c r="K267" s="17"/>
      <c r="L267" s="49"/>
    </row>
    <row r="268" spans="10:12" ht="15" customHeight="1" x14ac:dyDescent="0.25">
      <c r="J268" s="48"/>
      <c r="K268" s="17"/>
      <c r="L268" s="49"/>
    </row>
    <row r="269" spans="10:12" ht="15" customHeight="1" x14ac:dyDescent="0.25">
      <c r="J269" s="48"/>
      <c r="K269" s="17"/>
      <c r="L269" s="49"/>
    </row>
    <row r="270" spans="10:12" ht="15" customHeight="1" x14ac:dyDescent="0.25">
      <c r="J270" s="48"/>
      <c r="K270" s="17"/>
      <c r="L270" s="49"/>
    </row>
    <row r="271" spans="10:12" ht="15" customHeight="1" x14ac:dyDescent="0.25">
      <c r="J271" s="48"/>
      <c r="K271" s="17"/>
      <c r="L271" s="49"/>
    </row>
    <row r="272" spans="10:12" ht="15" customHeight="1" x14ac:dyDescent="0.25">
      <c r="J272" s="48"/>
      <c r="K272" s="17"/>
      <c r="L272" s="49"/>
    </row>
    <row r="273" spans="10:12" ht="15" customHeight="1" x14ac:dyDescent="0.25">
      <c r="J273" s="48"/>
      <c r="K273" s="17"/>
      <c r="L273" s="49"/>
    </row>
    <row r="274" spans="10:12" ht="15" customHeight="1" x14ac:dyDescent="0.25">
      <c r="J274" s="48"/>
      <c r="K274" s="17"/>
      <c r="L274" s="49"/>
    </row>
    <row r="275" spans="10:12" ht="15" customHeight="1" x14ac:dyDescent="0.25">
      <c r="J275" s="48"/>
      <c r="K275" s="17"/>
      <c r="L275" s="49"/>
    </row>
    <row r="276" spans="10:12" ht="15" customHeight="1" x14ac:dyDescent="0.25">
      <c r="J276" s="48"/>
      <c r="K276" s="17"/>
      <c r="L276" s="49"/>
    </row>
    <row r="277" spans="10:12" ht="15" customHeight="1" x14ac:dyDescent="0.25">
      <c r="J277" s="48"/>
      <c r="K277" s="17"/>
      <c r="L277" s="49"/>
    </row>
    <row r="278" spans="10:12" ht="15" customHeight="1" x14ac:dyDescent="0.25">
      <c r="J278" s="48"/>
      <c r="K278" s="17"/>
      <c r="L278" s="49"/>
    </row>
    <row r="279" spans="10:12" ht="15" customHeight="1" x14ac:dyDescent="0.25">
      <c r="J279" s="48"/>
      <c r="K279" s="17"/>
      <c r="L279" s="49"/>
    </row>
    <row r="280" spans="10:12" ht="15" customHeight="1" x14ac:dyDescent="0.25">
      <c r="J280" s="48"/>
      <c r="K280" s="17"/>
      <c r="L280" s="49"/>
    </row>
    <row r="281" spans="10:12" ht="15" customHeight="1" x14ac:dyDescent="0.25">
      <c r="J281" s="48"/>
      <c r="K281" s="17"/>
      <c r="L281" s="49"/>
    </row>
    <row r="282" spans="10:12" ht="15" customHeight="1" x14ac:dyDescent="0.25">
      <c r="J282" s="48"/>
      <c r="K282" s="17"/>
      <c r="L282" s="49"/>
    </row>
    <row r="283" spans="10:12" ht="15" customHeight="1" x14ac:dyDescent="0.25">
      <c r="J283" s="48"/>
      <c r="K283" s="17"/>
      <c r="L283" s="49"/>
    </row>
    <row r="284" spans="10:12" ht="15" customHeight="1" x14ac:dyDescent="0.25">
      <c r="J284" s="48"/>
      <c r="K284" s="17"/>
      <c r="L284" s="49"/>
    </row>
    <row r="285" spans="10:12" ht="15" customHeight="1" x14ac:dyDescent="0.25">
      <c r="J285" s="48"/>
      <c r="K285" s="17"/>
      <c r="L285" s="49"/>
    </row>
    <row r="286" spans="10:12" ht="15" customHeight="1" x14ac:dyDescent="0.25">
      <c r="J286" s="48"/>
      <c r="K286" s="17"/>
      <c r="L286" s="49"/>
    </row>
    <row r="287" spans="10:12" ht="15" customHeight="1" x14ac:dyDescent="0.25">
      <c r="J287" s="48"/>
      <c r="K287" s="17"/>
      <c r="L287" s="49"/>
    </row>
    <row r="288" spans="10:12" ht="15" customHeight="1" x14ac:dyDescent="0.25">
      <c r="J288" s="48"/>
      <c r="K288" s="17"/>
      <c r="L288" s="49"/>
    </row>
    <row r="289" spans="10:12" ht="15" customHeight="1" x14ac:dyDescent="0.25">
      <c r="J289" s="48"/>
      <c r="K289" s="17"/>
      <c r="L289" s="49"/>
    </row>
    <row r="290" spans="10:12" ht="15" customHeight="1" x14ac:dyDescent="0.25">
      <c r="J290" s="48"/>
      <c r="K290" s="17"/>
      <c r="L290" s="49"/>
    </row>
    <row r="291" spans="10:12" ht="15" customHeight="1" x14ac:dyDescent="0.25">
      <c r="J291" s="48"/>
      <c r="K291" s="17"/>
      <c r="L291" s="49"/>
    </row>
    <row r="292" spans="10:12" ht="15" customHeight="1" x14ac:dyDescent="0.25">
      <c r="J292" s="48"/>
      <c r="K292" s="17"/>
      <c r="L292" s="49"/>
    </row>
    <row r="293" spans="10:12" ht="15" customHeight="1" x14ac:dyDescent="0.25">
      <c r="J293" s="48"/>
      <c r="K293" s="17"/>
      <c r="L293" s="49"/>
    </row>
    <row r="294" spans="10:12" ht="15" customHeight="1" x14ac:dyDescent="0.25">
      <c r="J294" s="48"/>
      <c r="K294" s="17"/>
      <c r="L294" s="49"/>
    </row>
    <row r="295" spans="10:12" ht="15" customHeight="1" x14ac:dyDescent="0.25">
      <c r="J295" s="48"/>
      <c r="K295" s="17"/>
      <c r="L295" s="49"/>
    </row>
    <row r="296" spans="10:12" ht="15" customHeight="1" x14ac:dyDescent="0.25">
      <c r="J296" s="48"/>
      <c r="K296" s="17"/>
      <c r="L296" s="49"/>
    </row>
    <row r="297" spans="10:12" ht="15" customHeight="1" x14ac:dyDescent="0.25">
      <c r="J297" s="48"/>
      <c r="K297" s="17"/>
      <c r="L297" s="49"/>
    </row>
    <row r="298" spans="10:12" ht="15" customHeight="1" x14ac:dyDescent="0.25">
      <c r="J298" s="48"/>
      <c r="K298" s="17"/>
      <c r="L298" s="49"/>
    </row>
    <row r="299" spans="10:12" ht="15" customHeight="1" x14ac:dyDescent="0.25">
      <c r="J299" s="48"/>
      <c r="K299" s="17"/>
      <c r="L299" s="49"/>
    </row>
    <row r="300" spans="10:12" ht="15" customHeight="1" x14ac:dyDescent="0.25">
      <c r="J300" s="48"/>
      <c r="K300" s="17"/>
      <c r="L300" s="49"/>
    </row>
    <row r="301" spans="10:12" ht="15" customHeight="1" x14ac:dyDescent="0.25">
      <c r="J301" s="48"/>
      <c r="K301" s="17"/>
      <c r="L301" s="49"/>
    </row>
    <row r="302" spans="10:12" ht="15" customHeight="1" x14ac:dyDescent="0.25">
      <c r="J302" s="48"/>
      <c r="K302" s="17"/>
      <c r="L302" s="49"/>
    </row>
    <row r="303" spans="10:12" ht="15" customHeight="1" x14ac:dyDescent="0.25">
      <c r="J303" s="48"/>
      <c r="K303" s="17"/>
      <c r="L303" s="49"/>
    </row>
    <row r="304" spans="10:12" ht="15" customHeight="1" x14ac:dyDescent="0.25">
      <c r="J304" s="48"/>
      <c r="K304" s="17"/>
      <c r="L304" s="49"/>
    </row>
    <row r="305" spans="10:12" ht="15" customHeight="1" x14ac:dyDescent="0.25">
      <c r="J305" s="48"/>
      <c r="K305" s="17"/>
      <c r="L305" s="49"/>
    </row>
    <row r="306" spans="10:12" ht="15" customHeight="1" x14ac:dyDescent="0.25">
      <c r="J306" s="48"/>
      <c r="K306" s="17"/>
      <c r="L306" s="49"/>
    </row>
    <row r="307" spans="10:12" ht="15" customHeight="1" x14ac:dyDescent="0.25">
      <c r="J307" s="48"/>
      <c r="K307" s="17"/>
      <c r="L307" s="49"/>
    </row>
    <row r="308" spans="10:12" ht="15" customHeight="1" x14ac:dyDescent="0.25">
      <c r="J308" s="48"/>
      <c r="K308" s="17"/>
      <c r="L308" s="49"/>
    </row>
    <row r="309" spans="10:12" ht="15" customHeight="1" x14ac:dyDescent="0.25">
      <c r="J309" s="48"/>
      <c r="K309" s="17"/>
      <c r="L309" s="49"/>
    </row>
    <row r="310" spans="10:12" ht="15" customHeight="1" x14ac:dyDescent="0.25">
      <c r="J310" s="48"/>
      <c r="K310" s="17"/>
      <c r="L310" s="49"/>
    </row>
    <row r="311" spans="10:12" ht="15" customHeight="1" x14ac:dyDescent="0.25">
      <c r="J311" s="48"/>
      <c r="K311" s="17"/>
      <c r="L311" s="49"/>
    </row>
    <row r="312" spans="10:12" ht="15" customHeight="1" x14ac:dyDescent="0.25">
      <c r="J312" s="48"/>
      <c r="K312" s="17"/>
      <c r="L312" s="49"/>
    </row>
    <row r="313" spans="10:12" ht="15" customHeight="1" x14ac:dyDescent="0.25">
      <c r="J313" s="48"/>
      <c r="K313" s="17"/>
      <c r="L313" s="49"/>
    </row>
    <row r="314" spans="10:12" ht="15" customHeight="1" x14ac:dyDescent="0.25">
      <c r="J314" s="48"/>
      <c r="K314" s="17"/>
      <c r="L314" s="49"/>
    </row>
    <row r="315" spans="10:12" ht="15" customHeight="1" x14ac:dyDescent="0.25">
      <c r="J315" s="48"/>
      <c r="K315" s="17"/>
      <c r="L315" s="49"/>
    </row>
    <row r="316" spans="10:12" ht="15" customHeight="1" x14ac:dyDescent="0.25">
      <c r="J316" s="48"/>
      <c r="K316" s="17"/>
      <c r="L316" s="49"/>
    </row>
    <row r="317" spans="10:12" ht="15" customHeight="1" x14ac:dyDescent="0.25">
      <c r="J317" s="48"/>
      <c r="K317" s="17"/>
      <c r="L317" s="49"/>
    </row>
    <row r="318" spans="10:12" ht="15" customHeight="1" x14ac:dyDescent="0.25">
      <c r="J318" s="48"/>
      <c r="K318" s="17"/>
      <c r="L318" s="49"/>
    </row>
    <row r="319" spans="10:12" ht="15" customHeight="1" x14ac:dyDescent="0.25">
      <c r="J319" s="48"/>
      <c r="K319" s="17"/>
      <c r="L319" s="49"/>
    </row>
    <row r="320" spans="10:12" ht="15" customHeight="1" x14ac:dyDescent="0.25">
      <c r="J320" s="16"/>
      <c r="K320" s="17"/>
      <c r="L320" s="49"/>
    </row>
    <row r="321" spans="10:12" ht="15" customHeight="1" x14ac:dyDescent="0.25">
      <c r="J321" s="16"/>
      <c r="K321" s="17"/>
      <c r="L321" s="49"/>
    </row>
    <row r="322" spans="10:12" ht="15" customHeight="1" x14ac:dyDescent="0.25">
      <c r="J322" s="16"/>
      <c r="K322" s="17"/>
      <c r="L322" s="49"/>
    </row>
    <row r="323" spans="10:12" ht="15" customHeight="1" x14ac:dyDescent="0.25">
      <c r="J323" s="16"/>
      <c r="K323" s="17"/>
      <c r="L323" s="49"/>
    </row>
    <row r="324" spans="10:12" ht="15" customHeight="1" x14ac:dyDescent="0.25">
      <c r="J324" s="16"/>
      <c r="K324" s="17"/>
      <c r="L324" s="49"/>
    </row>
    <row r="325" spans="10:12" ht="15" customHeight="1" x14ac:dyDescent="0.25">
      <c r="J325" s="16"/>
      <c r="K325" s="17"/>
      <c r="L325" s="49"/>
    </row>
    <row r="326" spans="10:12" ht="15" customHeight="1" x14ac:dyDescent="0.25">
      <c r="J326" s="16"/>
      <c r="K326" s="17"/>
      <c r="L326" s="49"/>
    </row>
    <row r="327" spans="10:12" ht="15" customHeight="1" x14ac:dyDescent="0.25">
      <c r="J327" s="16"/>
      <c r="K327" s="17"/>
      <c r="L327" s="49"/>
    </row>
    <row r="328" spans="10:12" ht="15" customHeight="1" x14ac:dyDescent="0.25">
      <c r="J328" s="16"/>
      <c r="K328" s="17"/>
      <c r="L328" s="49"/>
    </row>
    <row r="329" spans="10:12" ht="15" customHeight="1" x14ac:dyDescent="0.25">
      <c r="J329" s="16"/>
      <c r="K329" s="17"/>
      <c r="L329" s="49"/>
    </row>
    <row r="330" spans="10:12" ht="15" customHeight="1" x14ac:dyDescent="0.25">
      <c r="J330" s="16"/>
      <c r="K330" s="17"/>
      <c r="L330" s="49"/>
    </row>
    <row r="331" spans="10:12" ht="15" customHeight="1" x14ac:dyDescent="0.25">
      <c r="J331" s="16"/>
      <c r="K331" s="17"/>
      <c r="L331" s="49"/>
    </row>
    <row r="332" spans="10:12" ht="15" customHeight="1" x14ac:dyDescent="0.25">
      <c r="J332" s="16"/>
      <c r="K332" s="17"/>
      <c r="L332" s="49"/>
    </row>
    <row r="333" spans="10:12" ht="15" customHeight="1" x14ac:dyDescent="0.25">
      <c r="J333" s="16"/>
      <c r="K333" s="17"/>
      <c r="L333" s="49"/>
    </row>
    <row r="334" spans="10:12" ht="15" customHeight="1" x14ac:dyDescent="0.25">
      <c r="J334" s="16"/>
      <c r="K334" s="17"/>
      <c r="L334" s="49"/>
    </row>
    <row r="335" spans="10:12" ht="15" customHeight="1" x14ac:dyDescent="0.25">
      <c r="J335" s="16"/>
      <c r="K335" s="17"/>
      <c r="L335" s="49"/>
    </row>
    <row r="336" spans="10:12" ht="15" customHeight="1" x14ac:dyDescent="0.25">
      <c r="J336" s="16"/>
      <c r="K336" s="17"/>
      <c r="L336" s="49"/>
    </row>
    <row r="337" spans="10:12" ht="15" customHeight="1" x14ac:dyDescent="0.25">
      <c r="J337" s="16"/>
      <c r="K337" s="17"/>
      <c r="L337" s="49"/>
    </row>
    <row r="338" spans="10:12" ht="15" customHeight="1" x14ac:dyDescent="0.25">
      <c r="J338" s="16"/>
      <c r="K338" s="17"/>
      <c r="L338" s="49"/>
    </row>
    <row r="339" spans="10:12" ht="15" customHeight="1" x14ac:dyDescent="0.25">
      <c r="J339" s="16"/>
      <c r="K339" s="17"/>
      <c r="L339" s="49"/>
    </row>
    <row r="340" spans="10:12" ht="15" customHeight="1" x14ac:dyDescent="0.25">
      <c r="J340" s="16"/>
      <c r="K340" s="17"/>
      <c r="L340" s="49"/>
    </row>
    <row r="341" spans="10:12" ht="15" customHeight="1" x14ac:dyDescent="0.25">
      <c r="J341" s="16"/>
      <c r="K341" s="17"/>
      <c r="L341" s="49"/>
    </row>
    <row r="342" spans="10:12" ht="15" customHeight="1" x14ac:dyDescent="0.25">
      <c r="J342" s="16"/>
      <c r="K342" s="17"/>
      <c r="L342" s="49"/>
    </row>
    <row r="343" spans="10:12" ht="15" customHeight="1" x14ac:dyDescent="0.25">
      <c r="J343" s="16"/>
      <c r="K343" s="17"/>
      <c r="L343" s="49"/>
    </row>
    <row r="344" spans="10:12" ht="15" customHeight="1" x14ac:dyDescent="0.25">
      <c r="J344" s="16"/>
      <c r="K344" s="17"/>
      <c r="L344" s="49"/>
    </row>
    <row r="345" spans="10:12" ht="15" customHeight="1" x14ac:dyDescent="0.25">
      <c r="J345" s="16"/>
      <c r="K345" s="17"/>
      <c r="L345" s="49"/>
    </row>
    <row r="346" spans="10:12" ht="15" customHeight="1" x14ac:dyDescent="0.25">
      <c r="J346" s="16"/>
      <c r="K346" s="17"/>
      <c r="L346" s="49"/>
    </row>
    <row r="347" spans="10:12" ht="15" customHeight="1" x14ac:dyDescent="0.25">
      <c r="J347" s="16"/>
      <c r="K347" s="17"/>
      <c r="L347" s="49"/>
    </row>
    <row r="348" spans="10:12" ht="15" customHeight="1" x14ac:dyDescent="0.25">
      <c r="J348" s="16"/>
      <c r="K348" s="17"/>
      <c r="L348" s="49"/>
    </row>
    <row r="349" spans="10:12" ht="15" customHeight="1" x14ac:dyDescent="0.25">
      <c r="J349" s="16"/>
      <c r="K349" s="17"/>
      <c r="L349" s="49"/>
    </row>
    <row r="350" spans="10:12" ht="15" customHeight="1" x14ac:dyDescent="0.25">
      <c r="J350" s="16"/>
      <c r="K350" s="17"/>
      <c r="L350" s="49"/>
    </row>
    <row r="351" spans="10:12" ht="15" customHeight="1" x14ac:dyDescent="0.25">
      <c r="J351" s="16"/>
      <c r="K351" s="17"/>
      <c r="L351" s="49"/>
    </row>
    <row r="352" spans="10:12" ht="15" customHeight="1" x14ac:dyDescent="0.25">
      <c r="J352" s="16"/>
      <c r="K352" s="17"/>
      <c r="L352" s="49"/>
    </row>
    <row r="353" spans="10:12" ht="15" customHeight="1" x14ac:dyDescent="0.25">
      <c r="J353" s="16"/>
      <c r="K353" s="17"/>
      <c r="L353" s="49"/>
    </row>
    <row r="354" spans="10:12" ht="15" customHeight="1" x14ac:dyDescent="0.25">
      <c r="J354" s="16"/>
      <c r="K354" s="17"/>
      <c r="L354" s="49"/>
    </row>
    <row r="355" spans="10:12" ht="15" customHeight="1" x14ac:dyDescent="0.25">
      <c r="J355" s="16"/>
      <c r="K355" s="17"/>
      <c r="L355" s="49"/>
    </row>
  </sheetData>
  <autoFilter ref="A5:R84" xr:uid="{00000000-0009-0000-0000-000007000000}">
    <filterColumn colId="11" showButton="0"/>
  </autoFilter>
  <mergeCells count="21">
    <mergeCell ref="A2:F3"/>
    <mergeCell ref="G2:I3"/>
    <mergeCell ref="J2:L3"/>
    <mergeCell ref="M2:N3"/>
    <mergeCell ref="A1:N1"/>
    <mergeCell ref="O1:P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M5"/>
    <mergeCell ref="O2:P3"/>
    <mergeCell ref="O4:P5"/>
    <mergeCell ref="N4:N5"/>
  </mergeCells>
  <conditionalFormatting sqref="C27:C34 C7:E10 K7:M33 A7:A58 G7:I48 C35:E58 C59:D61 C62:C64 D63:D64 C65:D65 G49:G58 I49:I67 H49:H84 C68:C84">
    <cfRule type="expression" dxfId="16582" priority="553">
      <formula>AND($A7&lt;&gt;"",MOD(ROW(),2))</formula>
    </cfRule>
  </conditionalFormatting>
  <conditionalFormatting sqref="D7:D10 K7:K33 D35:D61 D63:D79">
    <cfRule type="cellIs" dxfId="16581" priority="550" operator="equal">
      <formula>$C7</formula>
    </cfRule>
    <cfRule type="cellIs" dxfId="16580" priority="551" operator="greaterThan">
      <formula>$C7</formula>
    </cfRule>
    <cfRule type="cellIs" dxfId="16579" priority="552" operator="lessThan">
      <formula>$C7</formula>
    </cfRule>
  </conditionalFormatting>
  <conditionalFormatting sqref="K34:M46 K48:M59 K47:L47 N47">
    <cfRule type="expression" dxfId="16578" priority="529">
      <formula>AND($A33&lt;&gt;"",MOD(ROW(),2))</formula>
    </cfRule>
  </conditionalFormatting>
  <conditionalFormatting sqref="K60:L85">
    <cfRule type="expression" dxfId="16577" priority="525">
      <formula>AND($A59&lt;&gt;"",MOD(ROW(),2))</formula>
    </cfRule>
  </conditionalFormatting>
  <conditionalFormatting sqref="K34:K85">
    <cfRule type="cellIs" dxfId="16576" priority="522" operator="equal">
      <formula>$C33</formula>
    </cfRule>
    <cfRule type="cellIs" dxfId="16575" priority="523" operator="greaterThan">
      <formula>$C33</formula>
    </cfRule>
    <cfRule type="cellIs" dxfId="16574" priority="524" operator="lessThan">
      <formula>$C33</formula>
    </cfRule>
  </conditionalFormatting>
  <conditionalFormatting sqref="K86:L111">
    <cfRule type="expression" dxfId="16573" priority="521">
      <formula>AND($A85&lt;&gt;"",MOD(ROW(),2))</formula>
    </cfRule>
  </conditionalFormatting>
  <conditionalFormatting sqref="K86:K111">
    <cfRule type="cellIs" dxfId="16572" priority="518" operator="equal">
      <formula>$C85</formula>
    </cfRule>
    <cfRule type="cellIs" dxfId="16571" priority="519" operator="greaterThan">
      <formula>$C85</formula>
    </cfRule>
    <cfRule type="cellIs" dxfId="16570" priority="520" operator="lessThan">
      <formula>$C85</formula>
    </cfRule>
  </conditionalFormatting>
  <conditionalFormatting sqref="K112:L137">
    <cfRule type="expression" dxfId="16569" priority="517">
      <formula>AND($A111&lt;&gt;"",MOD(ROW(),2))</formula>
    </cfRule>
  </conditionalFormatting>
  <conditionalFormatting sqref="K112:K137">
    <cfRule type="cellIs" dxfId="16568" priority="514" operator="equal">
      <formula>$C111</formula>
    </cfRule>
    <cfRule type="cellIs" dxfId="16567" priority="515" operator="greaterThan">
      <formula>$C111</formula>
    </cfRule>
    <cfRule type="cellIs" dxfId="16566" priority="516" operator="lessThan">
      <formula>$C111</formula>
    </cfRule>
  </conditionalFormatting>
  <conditionalFormatting sqref="K138:L163">
    <cfRule type="expression" dxfId="16565" priority="513">
      <formula>AND($A137&lt;&gt;"",MOD(ROW(),2))</formula>
    </cfRule>
  </conditionalFormatting>
  <conditionalFormatting sqref="K138:K163">
    <cfRule type="cellIs" dxfId="16564" priority="510" operator="equal">
      <formula>$C137</formula>
    </cfRule>
    <cfRule type="cellIs" dxfId="16563" priority="511" operator="greaterThan">
      <formula>$C137</formula>
    </cfRule>
    <cfRule type="cellIs" dxfId="16562" priority="512" operator="lessThan">
      <formula>$C137</formula>
    </cfRule>
  </conditionalFormatting>
  <conditionalFormatting sqref="K164:L189">
    <cfRule type="expression" dxfId="16561" priority="509">
      <formula>AND($A163&lt;&gt;"",MOD(ROW(),2))</formula>
    </cfRule>
  </conditionalFormatting>
  <conditionalFormatting sqref="K164:K189">
    <cfRule type="cellIs" dxfId="16560" priority="506" operator="equal">
      <formula>$C163</formula>
    </cfRule>
    <cfRule type="cellIs" dxfId="16559" priority="507" operator="greaterThan">
      <formula>$C163</formula>
    </cfRule>
    <cfRule type="cellIs" dxfId="16558" priority="508" operator="lessThan">
      <formula>$C163</formula>
    </cfRule>
  </conditionalFormatting>
  <conditionalFormatting sqref="K190:L215">
    <cfRule type="expression" dxfId="16557" priority="505">
      <formula>AND($A189&lt;&gt;"",MOD(ROW(),2))</formula>
    </cfRule>
  </conditionalFormatting>
  <conditionalFormatting sqref="K190:K215">
    <cfRule type="cellIs" dxfId="16556" priority="502" operator="equal">
      <formula>$C189</formula>
    </cfRule>
    <cfRule type="cellIs" dxfId="16555" priority="503" operator="greaterThan">
      <formula>$C189</formula>
    </cfRule>
    <cfRule type="cellIs" dxfId="16554" priority="504" operator="lessThan">
      <formula>$C189</formula>
    </cfRule>
  </conditionalFormatting>
  <conditionalFormatting sqref="K216:L241">
    <cfRule type="expression" dxfId="16553" priority="501">
      <formula>AND($A215&lt;&gt;"",MOD(ROW(),2))</formula>
    </cfRule>
  </conditionalFormatting>
  <conditionalFormatting sqref="K216:K241">
    <cfRule type="cellIs" dxfId="16552" priority="498" operator="equal">
      <formula>$C215</formula>
    </cfRule>
    <cfRule type="cellIs" dxfId="16551" priority="499" operator="greaterThan">
      <formula>$C215</formula>
    </cfRule>
    <cfRule type="cellIs" dxfId="16550" priority="500" operator="lessThan">
      <formula>$C215</formula>
    </cfRule>
  </conditionalFormatting>
  <conditionalFormatting sqref="K242:L267">
    <cfRule type="expression" dxfId="16549" priority="497">
      <formula>AND($A241&lt;&gt;"",MOD(ROW(),2))</formula>
    </cfRule>
  </conditionalFormatting>
  <conditionalFormatting sqref="K242:K267">
    <cfRule type="cellIs" dxfId="16548" priority="494" operator="equal">
      <formula>$C241</formula>
    </cfRule>
    <cfRule type="cellIs" dxfId="16547" priority="495" operator="greaterThan">
      <formula>$C241</formula>
    </cfRule>
    <cfRule type="cellIs" dxfId="16546" priority="496" operator="lessThan">
      <formula>$C241</formula>
    </cfRule>
  </conditionalFormatting>
  <conditionalFormatting sqref="K268:L293">
    <cfRule type="expression" dxfId="16545" priority="493">
      <formula>AND($A267&lt;&gt;"",MOD(ROW(),2))</formula>
    </cfRule>
  </conditionalFormatting>
  <conditionalFormatting sqref="K268:K293">
    <cfRule type="cellIs" dxfId="16544" priority="490" operator="equal">
      <formula>$C267</formula>
    </cfRule>
    <cfRule type="cellIs" dxfId="16543" priority="491" operator="greaterThan">
      <formula>$C267</formula>
    </cfRule>
    <cfRule type="cellIs" dxfId="16542" priority="492" operator="lessThan">
      <formula>$C267</formula>
    </cfRule>
  </conditionalFormatting>
  <conditionalFormatting sqref="K294:L319">
    <cfRule type="expression" dxfId="16541" priority="489">
      <formula>AND($A293&lt;&gt;"",MOD(ROW(),2))</formula>
    </cfRule>
  </conditionalFormatting>
  <conditionalFormatting sqref="K294:K319">
    <cfRule type="cellIs" dxfId="16540" priority="486" operator="equal">
      <formula>$C293</formula>
    </cfRule>
    <cfRule type="cellIs" dxfId="16539" priority="487" operator="greaterThan">
      <formula>$C293</formula>
    </cfRule>
    <cfRule type="cellIs" dxfId="16538" priority="488" operator="lessThan">
      <formula>$C293</formula>
    </cfRule>
  </conditionalFormatting>
  <conditionalFormatting sqref="F7:F11 F35:F2989">
    <cfRule type="containsText" dxfId="16537" priority="485" operator="containsText" text="Unpaid Rent">
      <formula>NOT(ISERROR(SEARCH("Unpaid Rent",F7)))</formula>
    </cfRule>
    <cfRule type="containsText" dxfId="16536" priority="530" stopIfTrue="1" operator="containsText" text="Closed Account">
      <formula>NOT(ISERROR(SEARCH("Closed Account",F7)))</formula>
    </cfRule>
  </conditionalFormatting>
  <conditionalFormatting sqref="L34:L319 L7:M33 M34:M46 M48:M59 N47">
    <cfRule type="expression" dxfId="16535" priority="548">
      <formula>AND(#REF!&lt;&gt;"",MOD(ROW(),2))</formula>
    </cfRule>
  </conditionalFormatting>
  <conditionalFormatting sqref="L34:L319 L7:M33 M34:M46 M48:M59 N47">
    <cfRule type="expression" dxfId="16534" priority="547">
      <formula>AND(#REF!&lt;&gt;"",MOD(ROW(),2))</formula>
    </cfRule>
  </conditionalFormatting>
  <conditionalFormatting sqref="M7:M46 M48:M59 N47">
    <cfRule type="cellIs" dxfId="16533" priority="543" operator="equal">
      <formula>#REF!</formula>
    </cfRule>
    <cfRule type="cellIs" dxfId="16532" priority="544" operator="greaterThan">
      <formula>#REF!</formula>
    </cfRule>
    <cfRule type="cellIs" dxfId="16531" priority="545" operator="lessThan">
      <formula>#REF!</formula>
    </cfRule>
  </conditionalFormatting>
  <conditionalFormatting sqref="K320:L322">
    <cfRule type="expression" dxfId="16530" priority="479">
      <formula>AND($A319&lt;&gt;"",MOD(ROW(),2))</formula>
    </cfRule>
  </conditionalFormatting>
  <conditionalFormatting sqref="K320:K322">
    <cfRule type="cellIs" dxfId="16529" priority="476" operator="equal">
      <formula>$C319</formula>
    </cfRule>
    <cfRule type="cellIs" dxfId="16528" priority="477" operator="greaterThan">
      <formula>$C319</formula>
    </cfRule>
    <cfRule type="cellIs" dxfId="16527" priority="478" operator="lessThan">
      <formula>$C319</formula>
    </cfRule>
  </conditionalFormatting>
  <conditionalFormatting sqref="L320:L322">
    <cfRule type="expression" dxfId="16526" priority="481">
      <formula>AND(#REF!&lt;&gt;"",MOD(ROW(),2))</formula>
    </cfRule>
  </conditionalFormatting>
  <conditionalFormatting sqref="L320:L322">
    <cfRule type="expression" dxfId="16525" priority="480">
      <formula>AND(#REF!&lt;&gt;"",MOD(ROW(),2))</formula>
    </cfRule>
  </conditionalFormatting>
  <conditionalFormatting sqref="K323:L325">
    <cfRule type="expression" dxfId="16524" priority="473">
      <formula>AND($A322&lt;&gt;"",MOD(ROW(),2))</formula>
    </cfRule>
  </conditionalFormatting>
  <conditionalFormatting sqref="K323:K325">
    <cfRule type="cellIs" dxfId="16523" priority="470" operator="equal">
      <formula>$C322</formula>
    </cfRule>
    <cfRule type="cellIs" dxfId="16522" priority="471" operator="greaterThan">
      <formula>$C322</formula>
    </cfRule>
    <cfRule type="cellIs" dxfId="16521" priority="472" operator="lessThan">
      <formula>$C322</formula>
    </cfRule>
  </conditionalFormatting>
  <conditionalFormatting sqref="L323:L325">
    <cfRule type="expression" dxfId="16520" priority="475">
      <formula>AND(#REF!&lt;&gt;"",MOD(ROW(),2))</formula>
    </cfRule>
  </conditionalFormatting>
  <conditionalFormatting sqref="L323:L325">
    <cfRule type="expression" dxfId="16519" priority="474">
      <formula>AND(#REF!&lt;&gt;"",MOD(ROW(),2))</formula>
    </cfRule>
  </conditionalFormatting>
  <conditionalFormatting sqref="K326:L328">
    <cfRule type="expression" dxfId="16518" priority="467">
      <formula>AND($A325&lt;&gt;"",MOD(ROW(),2))</formula>
    </cfRule>
  </conditionalFormatting>
  <conditionalFormatting sqref="K326:K328">
    <cfRule type="cellIs" dxfId="16517" priority="464" operator="equal">
      <formula>$C325</formula>
    </cfRule>
    <cfRule type="cellIs" dxfId="16516" priority="465" operator="greaterThan">
      <formula>$C325</formula>
    </cfRule>
    <cfRule type="cellIs" dxfId="16515" priority="466" operator="lessThan">
      <formula>$C325</formula>
    </cfRule>
  </conditionalFormatting>
  <conditionalFormatting sqref="L326:L328">
    <cfRule type="expression" dxfId="16514" priority="469">
      <formula>AND(#REF!&lt;&gt;"",MOD(ROW(),2))</formula>
    </cfRule>
  </conditionalFormatting>
  <conditionalFormatting sqref="L326:L328">
    <cfRule type="expression" dxfId="16513" priority="468">
      <formula>AND(#REF!&lt;&gt;"",MOD(ROW(),2))</formula>
    </cfRule>
  </conditionalFormatting>
  <conditionalFormatting sqref="K329:L331">
    <cfRule type="expression" dxfId="16512" priority="461">
      <formula>AND($A328&lt;&gt;"",MOD(ROW(),2))</formula>
    </cfRule>
  </conditionalFormatting>
  <conditionalFormatting sqref="K329:K331">
    <cfRule type="cellIs" dxfId="16511" priority="458" operator="equal">
      <formula>$C328</formula>
    </cfRule>
    <cfRule type="cellIs" dxfId="16510" priority="459" operator="greaterThan">
      <formula>$C328</formula>
    </cfRule>
    <cfRule type="cellIs" dxfId="16509" priority="460" operator="lessThan">
      <formula>$C328</formula>
    </cfRule>
  </conditionalFormatting>
  <conditionalFormatting sqref="L329:L331">
    <cfRule type="expression" dxfId="16508" priority="463">
      <formula>AND(#REF!&lt;&gt;"",MOD(ROW(),2))</formula>
    </cfRule>
  </conditionalFormatting>
  <conditionalFormatting sqref="L329:L331">
    <cfRule type="expression" dxfId="16507" priority="462">
      <formula>AND(#REF!&lt;&gt;"",MOD(ROW(),2))</formula>
    </cfRule>
  </conditionalFormatting>
  <conditionalFormatting sqref="K332:L334">
    <cfRule type="expression" dxfId="16506" priority="455">
      <formula>AND($A331&lt;&gt;"",MOD(ROW(),2))</formula>
    </cfRule>
  </conditionalFormatting>
  <conditionalFormatting sqref="K332:K334">
    <cfRule type="cellIs" dxfId="16505" priority="452" operator="equal">
      <formula>$C331</formula>
    </cfRule>
    <cfRule type="cellIs" dxfId="16504" priority="453" operator="greaterThan">
      <formula>$C331</formula>
    </cfRule>
    <cfRule type="cellIs" dxfId="16503" priority="454" operator="lessThan">
      <formula>$C331</formula>
    </cfRule>
  </conditionalFormatting>
  <conditionalFormatting sqref="L332:L334">
    <cfRule type="expression" dxfId="16502" priority="457">
      <formula>AND(#REF!&lt;&gt;"",MOD(ROW(),2))</formula>
    </cfRule>
  </conditionalFormatting>
  <conditionalFormatting sqref="L332:L334">
    <cfRule type="expression" dxfId="16501" priority="456">
      <formula>AND(#REF!&lt;&gt;"",MOD(ROW(),2))</formula>
    </cfRule>
  </conditionalFormatting>
  <conditionalFormatting sqref="K335:L337">
    <cfRule type="expression" dxfId="16500" priority="449">
      <formula>AND($A334&lt;&gt;"",MOD(ROW(),2))</formula>
    </cfRule>
  </conditionalFormatting>
  <conditionalFormatting sqref="K335:K337">
    <cfRule type="cellIs" dxfId="16499" priority="446" operator="equal">
      <formula>$C334</formula>
    </cfRule>
    <cfRule type="cellIs" dxfId="16498" priority="447" operator="greaterThan">
      <formula>$C334</formula>
    </cfRule>
    <cfRule type="cellIs" dxfId="16497" priority="448" operator="lessThan">
      <formula>$C334</formula>
    </cfRule>
  </conditionalFormatting>
  <conditionalFormatting sqref="L335:L337">
    <cfRule type="expression" dxfId="16496" priority="451">
      <formula>AND(#REF!&lt;&gt;"",MOD(ROW(),2))</formula>
    </cfRule>
  </conditionalFormatting>
  <conditionalFormatting sqref="L335:L337">
    <cfRule type="expression" dxfId="16495" priority="450">
      <formula>AND(#REF!&lt;&gt;"",MOD(ROW(),2))</formula>
    </cfRule>
  </conditionalFormatting>
  <conditionalFormatting sqref="K338:L340">
    <cfRule type="expression" dxfId="16494" priority="443">
      <formula>AND($A337&lt;&gt;"",MOD(ROW(),2))</formula>
    </cfRule>
  </conditionalFormatting>
  <conditionalFormatting sqref="K338:K340">
    <cfRule type="cellIs" dxfId="16493" priority="440" operator="equal">
      <formula>$C337</formula>
    </cfRule>
    <cfRule type="cellIs" dxfId="16492" priority="441" operator="greaterThan">
      <formula>$C337</formula>
    </cfRule>
    <cfRule type="cellIs" dxfId="16491" priority="442" operator="lessThan">
      <formula>$C337</formula>
    </cfRule>
  </conditionalFormatting>
  <conditionalFormatting sqref="L338:L340">
    <cfRule type="expression" dxfId="16490" priority="445">
      <formula>AND(#REF!&lt;&gt;"",MOD(ROW(),2))</formula>
    </cfRule>
  </conditionalFormatting>
  <conditionalFormatting sqref="L338:L340">
    <cfRule type="expression" dxfId="16489" priority="444">
      <formula>AND(#REF!&lt;&gt;"",MOD(ROW(),2))</formula>
    </cfRule>
  </conditionalFormatting>
  <conditionalFormatting sqref="K341:L343">
    <cfRule type="expression" dxfId="16488" priority="437">
      <formula>AND($A340&lt;&gt;"",MOD(ROW(),2))</formula>
    </cfRule>
  </conditionalFormatting>
  <conditionalFormatting sqref="K341:K343">
    <cfRule type="cellIs" dxfId="16487" priority="434" operator="equal">
      <formula>$C340</formula>
    </cfRule>
    <cfRule type="cellIs" dxfId="16486" priority="435" operator="greaterThan">
      <formula>$C340</formula>
    </cfRule>
    <cfRule type="cellIs" dxfId="16485" priority="436" operator="lessThan">
      <formula>$C340</formula>
    </cfRule>
  </conditionalFormatting>
  <conditionalFormatting sqref="L341:L343">
    <cfRule type="expression" dxfId="16484" priority="439">
      <formula>AND(#REF!&lt;&gt;"",MOD(ROW(),2))</formula>
    </cfRule>
  </conditionalFormatting>
  <conditionalFormatting sqref="L341:L343">
    <cfRule type="expression" dxfId="16483" priority="438">
      <formula>AND(#REF!&lt;&gt;"",MOD(ROW(),2))</formula>
    </cfRule>
  </conditionalFormatting>
  <conditionalFormatting sqref="K344:L346">
    <cfRule type="expression" dxfId="16482" priority="431">
      <formula>AND($A343&lt;&gt;"",MOD(ROW(),2))</formula>
    </cfRule>
  </conditionalFormatting>
  <conditionalFormatting sqref="K344:K346">
    <cfRule type="cellIs" dxfId="16481" priority="428" operator="equal">
      <formula>$C343</formula>
    </cfRule>
    <cfRule type="cellIs" dxfId="16480" priority="429" operator="greaterThan">
      <formula>$C343</formula>
    </cfRule>
    <cfRule type="cellIs" dxfId="16479" priority="430" operator="lessThan">
      <formula>$C343</formula>
    </cfRule>
  </conditionalFormatting>
  <conditionalFormatting sqref="L344:L346">
    <cfRule type="expression" dxfId="16478" priority="433">
      <formula>AND(#REF!&lt;&gt;"",MOD(ROW(),2))</formula>
    </cfRule>
  </conditionalFormatting>
  <conditionalFormatting sqref="L344:L346">
    <cfRule type="expression" dxfId="16477" priority="432">
      <formula>AND(#REF!&lt;&gt;"",MOD(ROW(),2))</formula>
    </cfRule>
  </conditionalFormatting>
  <conditionalFormatting sqref="K347:L349">
    <cfRule type="expression" dxfId="16476" priority="425">
      <formula>AND($A346&lt;&gt;"",MOD(ROW(),2))</formula>
    </cfRule>
  </conditionalFormatting>
  <conditionalFormatting sqref="K347:K349">
    <cfRule type="cellIs" dxfId="16475" priority="422" operator="equal">
      <formula>$C346</formula>
    </cfRule>
    <cfRule type="cellIs" dxfId="16474" priority="423" operator="greaterThan">
      <formula>$C346</formula>
    </cfRule>
    <cfRule type="cellIs" dxfId="16473" priority="424" operator="lessThan">
      <formula>$C346</formula>
    </cfRule>
  </conditionalFormatting>
  <conditionalFormatting sqref="L347:L349">
    <cfRule type="expression" dxfId="16472" priority="427">
      <formula>AND(#REF!&lt;&gt;"",MOD(ROW(),2))</formula>
    </cfRule>
  </conditionalFormatting>
  <conditionalFormatting sqref="L347:L349">
    <cfRule type="expression" dxfId="16471" priority="426">
      <formula>AND(#REF!&lt;&gt;"",MOD(ROW(),2))</formula>
    </cfRule>
  </conditionalFormatting>
  <conditionalFormatting sqref="K350:L352">
    <cfRule type="expression" dxfId="16470" priority="419">
      <formula>AND($A349&lt;&gt;"",MOD(ROW(),2))</formula>
    </cfRule>
  </conditionalFormatting>
  <conditionalFormatting sqref="K350:K352">
    <cfRule type="cellIs" dxfId="16469" priority="416" operator="equal">
      <formula>$C349</formula>
    </cfRule>
    <cfRule type="cellIs" dxfId="16468" priority="417" operator="greaterThan">
      <formula>$C349</formula>
    </cfRule>
    <cfRule type="cellIs" dxfId="16467" priority="418" operator="lessThan">
      <formula>$C349</formula>
    </cfRule>
  </conditionalFormatting>
  <conditionalFormatting sqref="L350:L352">
    <cfRule type="expression" dxfId="16466" priority="421">
      <formula>AND(#REF!&lt;&gt;"",MOD(ROW(),2))</formula>
    </cfRule>
  </conditionalFormatting>
  <conditionalFormatting sqref="L350:L352">
    <cfRule type="expression" dxfId="16465" priority="420">
      <formula>AND(#REF!&lt;&gt;"",MOD(ROW(),2))</formula>
    </cfRule>
  </conditionalFormatting>
  <conditionalFormatting sqref="K353:L355">
    <cfRule type="expression" dxfId="16464" priority="413">
      <formula>AND($A352&lt;&gt;"",MOD(ROW(),2))</formula>
    </cfRule>
  </conditionalFormatting>
  <conditionalFormatting sqref="K353:K355">
    <cfRule type="cellIs" dxfId="16463" priority="410" operator="equal">
      <formula>$C352</formula>
    </cfRule>
    <cfRule type="cellIs" dxfId="16462" priority="411" operator="greaterThan">
      <formula>$C352</formula>
    </cfRule>
    <cfRule type="cellIs" dxfId="16461" priority="412" operator="lessThan">
      <formula>$C352</formula>
    </cfRule>
  </conditionalFormatting>
  <conditionalFormatting sqref="L353:L355">
    <cfRule type="expression" dxfId="16460" priority="415">
      <formula>AND(#REF!&lt;&gt;"",MOD(ROW(),2))</formula>
    </cfRule>
  </conditionalFormatting>
  <conditionalFormatting sqref="L353:L355">
    <cfRule type="expression" dxfId="16459" priority="414">
      <formula>AND(#REF!&lt;&gt;"",MOD(ROW(),2))</formula>
    </cfRule>
  </conditionalFormatting>
  <conditionalFormatting sqref="A10 C10:E10">
    <cfRule type="expression" dxfId="16458" priority="398">
      <formula>AND($A10&lt;&gt;"",MOD(ROW(),2))</formula>
    </cfRule>
  </conditionalFormatting>
  <conditionalFormatting sqref="D10">
    <cfRule type="cellIs" dxfId="16457" priority="395" operator="equal">
      <formula>$C10</formula>
    </cfRule>
    <cfRule type="cellIs" dxfId="16456" priority="396" operator="greaterThan">
      <formula>$C10</formula>
    </cfRule>
    <cfRule type="cellIs" dxfId="16455" priority="397" operator="lessThan">
      <formula>$C10</formula>
    </cfRule>
  </conditionalFormatting>
  <conditionalFormatting sqref="C11">
    <cfRule type="expression" dxfId="16454" priority="250">
      <formula>AND($A11&lt;&gt;"",MOD(ROW(),2))</formula>
    </cfRule>
  </conditionalFormatting>
  <conditionalFormatting sqref="C11">
    <cfRule type="cellIs" dxfId="16453" priority="247" operator="equal">
      <formula>$C11</formula>
    </cfRule>
    <cfRule type="cellIs" dxfId="16452" priority="248" operator="greaterThan">
      <formula>$C11</formula>
    </cfRule>
    <cfRule type="cellIs" dxfId="16451" priority="249" operator="lessThan">
      <formula>$C11</formula>
    </cfRule>
  </conditionalFormatting>
  <conditionalFormatting sqref="C12">
    <cfRule type="expression" dxfId="16450" priority="244">
      <formula>AND($A12&lt;&gt;"",MOD(ROW(),2))</formula>
    </cfRule>
  </conditionalFormatting>
  <conditionalFormatting sqref="C12">
    <cfRule type="cellIs" dxfId="16449" priority="241" operator="equal">
      <formula>$C12</formula>
    </cfRule>
    <cfRule type="cellIs" dxfId="16448" priority="242" operator="greaterThan">
      <formula>$C12</formula>
    </cfRule>
    <cfRule type="cellIs" dxfId="16447" priority="243" operator="lessThan">
      <formula>$C12</formula>
    </cfRule>
  </conditionalFormatting>
  <conditionalFormatting sqref="C13">
    <cfRule type="expression" dxfId="16446" priority="240">
      <formula>AND($A13&lt;&gt;"",MOD(ROW(),2))</formula>
    </cfRule>
  </conditionalFormatting>
  <conditionalFormatting sqref="C13">
    <cfRule type="cellIs" dxfId="16445" priority="237" operator="equal">
      <formula>$C13</formula>
    </cfRule>
    <cfRule type="cellIs" dxfId="16444" priority="238" operator="greaterThan">
      <formula>$C13</formula>
    </cfRule>
    <cfRule type="cellIs" dxfId="16443" priority="239" operator="lessThan">
      <formula>$C13</formula>
    </cfRule>
  </conditionalFormatting>
  <conditionalFormatting sqref="C14">
    <cfRule type="expression" dxfId="16442" priority="236">
      <formula>AND($A14&lt;&gt;"",MOD(ROW(),2))</formula>
    </cfRule>
  </conditionalFormatting>
  <conditionalFormatting sqref="C14">
    <cfRule type="cellIs" dxfId="16441" priority="233" operator="equal">
      <formula>$C14</formula>
    </cfRule>
    <cfRule type="cellIs" dxfId="16440" priority="234" operator="greaterThan">
      <formula>$C14</formula>
    </cfRule>
    <cfRule type="cellIs" dxfId="16439" priority="235" operator="lessThan">
      <formula>$C14</formula>
    </cfRule>
  </conditionalFormatting>
  <conditionalFormatting sqref="C15">
    <cfRule type="expression" dxfId="16438" priority="232">
      <formula>AND($A15&lt;&gt;"",MOD(ROW(),2))</formula>
    </cfRule>
  </conditionalFormatting>
  <conditionalFormatting sqref="C15">
    <cfRule type="cellIs" dxfId="16437" priority="229" operator="equal">
      <formula>$C15</formula>
    </cfRule>
    <cfRule type="cellIs" dxfId="16436" priority="230" operator="greaterThan">
      <formula>$C15</formula>
    </cfRule>
    <cfRule type="cellIs" dxfId="16435" priority="231" operator="lessThan">
      <formula>$C15</formula>
    </cfRule>
  </conditionalFormatting>
  <conditionalFormatting sqref="C16">
    <cfRule type="expression" dxfId="16434" priority="228">
      <formula>AND($A16&lt;&gt;"",MOD(ROW(),2))</formula>
    </cfRule>
  </conditionalFormatting>
  <conditionalFormatting sqref="C16">
    <cfRule type="cellIs" dxfId="16433" priority="225" operator="equal">
      <formula>$C16</formula>
    </cfRule>
    <cfRule type="cellIs" dxfId="16432" priority="226" operator="greaterThan">
      <formula>$C16</formula>
    </cfRule>
    <cfRule type="cellIs" dxfId="16431" priority="227" operator="lessThan">
      <formula>$C16</formula>
    </cfRule>
  </conditionalFormatting>
  <conditionalFormatting sqref="C17">
    <cfRule type="expression" dxfId="16430" priority="224">
      <formula>AND($A17&lt;&gt;"",MOD(ROW(),2))</formula>
    </cfRule>
  </conditionalFormatting>
  <conditionalFormatting sqref="C17">
    <cfRule type="cellIs" dxfId="16429" priority="221" operator="equal">
      <formula>$C17</formula>
    </cfRule>
    <cfRule type="cellIs" dxfId="16428" priority="222" operator="greaterThan">
      <formula>$C17</formula>
    </cfRule>
    <cfRule type="cellIs" dxfId="16427" priority="223" operator="lessThan">
      <formula>$C17</formula>
    </cfRule>
  </conditionalFormatting>
  <conditionalFormatting sqref="C18">
    <cfRule type="expression" dxfId="16426" priority="220">
      <formula>AND($A18&lt;&gt;"",MOD(ROW(),2))</formula>
    </cfRule>
  </conditionalFormatting>
  <conditionalFormatting sqref="C18">
    <cfRule type="cellIs" dxfId="16425" priority="217" operator="equal">
      <formula>$C18</formula>
    </cfRule>
    <cfRule type="cellIs" dxfId="16424" priority="218" operator="greaterThan">
      <formula>$C18</formula>
    </cfRule>
    <cfRule type="cellIs" dxfId="16423" priority="219" operator="lessThan">
      <formula>$C18</formula>
    </cfRule>
  </conditionalFormatting>
  <conditionalFormatting sqref="C19">
    <cfRule type="expression" dxfId="16422" priority="216">
      <formula>AND($A19&lt;&gt;"",MOD(ROW(),2))</formula>
    </cfRule>
  </conditionalFormatting>
  <conditionalFormatting sqref="C19">
    <cfRule type="cellIs" dxfId="16421" priority="213" operator="equal">
      <formula>$C19</formula>
    </cfRule>
    <cfRule type="cellIs" dxfId="16420" priority="214" operator="greaterThan">
      <formula>$C19</formula>
    </cfRule>
    <cfRule type="cellIs" dxfId="16419" priority="215" operator="lessThan">
      <formula>$C19</formula>
    </cfRule>
  </conditionalFormatting>
  <conditionalFormatting sqref="C20">
    <cfRule type="expression" dxfId="16418" priority="212">
      <formula>AND($A20&lt;&gt;"",MOD(ROW(),2))</formula>
    </cfRule>
  </conditionalFormatting>
  <conditionalFormatting sqref="C20">
    <cfRule type="cellIs" dxfId="16417" priority="209" operator="equal">
      <formula>$C20</formula>
    </cfRule>
    <cfRule type="cellIs" dxfId="16416" priority="210" operator="greaterThan">
      <formula>$C20</formula>
    </cfRule>
    <cfRule type="cellIs" dxfId="16415" priority="211" operator="lessThan">
      <formula>$C20</formula>
    </cfRule>
  </conditionalFormatting>
  <conditionalFormatting sqref="C21">
    <cfRule type="expression" dxfId="16414" priority="208">
      <formula>AND($A21&lt;&gt;"",MOD(ROW(),2))</formula>
    </cfRule>
  </conditionalFormatting>
  <conditionalFormatting sqref="C21">
    <cfRule type="cellIs" dxfId="16413" priority="205" operator="equal">
      <formula>$C21</formula>
    </cfRule>
    <cfRule type="cellIs" dxfId="16412" priority="206" operator="greaterThan">
      <formula>$C21</formula>
    </cfRule>
    <cfRule type="cellIs" dxfId="16411" priority="207" operator="lessThan">
      <formula>$C21</formula>
    </cfRule>
  </conditionalFormatting>
  <conditionalFormatting sqref="C22">
    <cfRule type="expression" dxfId="16410" priority="204">
      <formula>AND($A22&lt;&gt;"",MOD(ROW(),2))</formula>
    </cfRule>
  </conditionalFormatting>
  <conditionalFormatting sqref="C22">
    <cfRule type="cellIs" dxfId="16409" priority="201" operator="equal">
      <formula>$C22</formula>
    </cfRule>
    <cfRule type="cellIs" dxfId="16408" priority="202" operator="greaterThan">
      <formula>$C22</formula>
    </cfRule>
    <cfRule type="cellIs" dxfId="16407" priority="203" operator="lessThan">
      <formula>$C22</formula>
    </cfRule>
  </conditionalFormatting>
  <conditionalFormatting sqref="D11:E11">
    <cfRule type="expression" dxfId="16406" priority="178">
      <formula>AND($A11&lt;&gt;"",MOD(ROW(),2))</formula>
    </cfRule>
  </conditionalFormatting>
  <conditionalFormatting sqref="D11">
    <cfRule type="cellIs" dxfId="16405" priority="175" operator="equal">
      <formula>$C11</formula>
    </cfRule>
    <cfRule type="cellIs" dxfId="16404" priority="176" operator="greaterThan">
      <formula>$C11</formula>
    </cfRule>
    <cfRule type="cellIs" dxfId="16403" priority="177" operator="lessThan">
      <formula>$C11</formula>
    </cfRule>
  </conditionalFormatting>
  <conditionalFormatting sqref="D12:E12">
    <cfRule type="expression" dxfId="16402" priority="172">
      <formula>AND($A12&lt;&gt;"",MOD(ROW(),2))</formula>
    </cfRule>
  </conditionalFormatting>
  <conditionalFormatting sqref="D12">
    <cfRule type="cellIs" dxfId="16401" priority="169" operator="equal">
      <formula>$C12</formula>
    </cfRule>
    <cfRule type="cellIs" dxfId="16400" priority="170" operator="greaterThan">
      <formula>$C12</formula>
    </cfRule>
    <cfRule type="cellIs" dxfId="16399" priority="171" operator="lessThan">
      <formula>$C12</formula>
    </cfRule>
  </conditionalFormatting>
  <conditionalFormatting sqref="D13:E13">
    <cfRule type="expression" dxfId="16398" priority="168">
      <formula>AND($A13&lt;&gt;"",MOD(ROW(),2))</formula>
    </cfRule>
  </conditionalFormatting>
  <conditionalFormatting sqref="D13">
    <cfRule type="cellIs" dxfId="16397" priority="165" operator="equal">
      <formula>$C13</formula>
    </cfRule>
    <cfRule type="cellIs" dxfId="16396" priority="166" operator="greaterThan">
      <formula>$C13</formula>
    </cfRule>
    <cfRule type="cellIs" dxfId="16395" priority="167" operator="lessThan">
      <formula>$C13</formula>
    </cfRule>
  </conditionalFormatting>
  <conditionalFormatting sqref="D14:E14">
    <cfRule type="expression" dxfId="16394" priority="164">
      <formula>AND($A14&lt;&gt;"",MOD(ROW(),2))</formula>
    </cfRule>
  </conditionalFormatting>
  <conditionalFormatting sqref="D14">
    <cfRule type="cellIs" dxfId="16393" priority="161" operator="equal">
      <formula>$C14</formula>
    </cfRule>
    <cfRule type="cellIs" dxfId="16392" priority="162" operator="greaterThan">
      <formula>$C14</formula>
    </cfRule>
    <cfRule type="cellIs" dxfId="16391" priority="163" operator="lessThan">
      <formula>$C14</formula>
    </cfRule>
  </conditionalFormatting>
  <conditionalFormatting sqref="D15:E15">
    <cfRule type="expression" dxfId="16390" priority="160">
      <formula>AND($A15&lt;&gt;"",MOD(ROW(),2))</formula>
    </cfRule>
  </conditionalFormatting>
  <conditionalFormatting sqref="D15">
    <cfRule type="cellIs" dxfId="16389" priority="157" operator="equal">
      <formula>$C15</formula>
    </cfRule>
    <cfRule type="cellIs" dxfId="16388" priority="158" operator="greaterThan">
      <formula>$C15</formula>
    </cfRule>
    <cfRule type="cellIs" dxfId="16387" priority="159" operator="lessThan">
      <formula>$C15</formula>
    </cfRule>
  </conditionalFormatting>
  <conditionalFormatting sqref="D16:E16">
    <cfRule type="expression" dxfId="16386" priority="156">
      <formula>AND($A16&lt;&gt;"",MOD(ROW(),2))</formula>
    </cfRule>
  </conditionalFormatting>
  <conditionalFormatting sqref="D16">
    <cfRule type="cellIs" dxfId="16385" priority="153" operator="equal">
      <formula>$C16</formula>
    </cfRule>
    <cfRule type="cellIs" dxfId="16384" priority="154" operator="greaterThan">
      <formula>$C16</formula>
    </cfRule>
    <cfRule type="cellIs" dxfId="16383" priority="155" operator="lessThan">
      <formula>$C16</formula>
    </cfRule>
  </conditionalFormatting>
  <conditionalFormatting sqref="D17:E17">
    <cfRule type="expression" dxfId="16382" priority="152">
      <formula>AND($A17&lt;&gt;"",MOD(ROW(),2))</formula>
    </cfRule>
  </conditionalFormatting>
  <conditionalFormatting sqref="D17">
    <cfRule type="cellIs" dxfId="16381" priority="149" operator="equal">
      <formula>$C17</formula>
    </cfRule>
    <cfRule type="cellIs" dxfId="16380" priority="150" operator="greaterThan">
      <formula>$C17</formula>
    </cfRule>
    <cfRule type="cellIs" dxfId="16379" priority="151" operator="lessThan">
      <formula>$C17</formula>
    </cfRule>
  </conditionalFormatting>
  <conditionalFormatting sqref="D18:E18">
    <cfRule type="expression" dxfId="16378" priority="148">
      <formula>AND($A18&lt;&gt;"",MOD(ROW(),2))</formula>
    </cfRule>
  </conditionalFormatting>
  <conditionalFormatting sqref="D18">
    <cfRule type="cellIs" dxfId="16377" priority="145" operator="equal">
      <formula>$C18</formula>
    </cfRule>
    <cfRule type="cellIs" dxfId="16376" priority="146" operator="greaterThan">
      <formula>$C18</formula>
    </cfRule>
    <cfRule type="cellIs" dxfId="16375" priority="147" operator="lessThan">
      <formula>$C18</formula>
    </cfRule>
  </conditionalFormatting>
  <conditionalFormatting sqref="D19:E19">
    <cfRule type="expression" dxfId="16374" priority="144">
      <formula>AND($A19&lt;&gt;"",MOD(ROW(),2))</formula>
    </cfRule>
  </conditionalFormatting>
  <conditionalFormatting sqref="D19">
    <cfRule type="cellIs" dxfId="16373" priority="141" operator="equal">
      <formula>$C19</formula>
    </cfRule>
    <cfRule type="cellIs" dxfId="16372" priority="142" operator="greaterThan">
      <formula>$C19</formula>
    </cfRule>
    <cfRule type="cellIs" dxfId="16371" priority="143" operator="lessThan">
      <formula>$C19</formula>
    </cfRule>
  </conditionalFormatting>
  <conditionalFormatting sqref="D20:E20">
    <cfRule type="expression" dxfId="16370" priority="140">
      <formula>AND($A20&lt;&gt;"",MOD(ROW(),2))</formula>
    </cfRule>
  </conditionalFormatting>
  <conditionalFormatting sqref="D20">
    <cfRule type="cellIs" dxfId="16369" priority="137" operator="equal">
      <formula>$C20</formula>
    </cfRule>
    <cfRule type="cellIs" dxfId="16368" priority="138" operator="greaterThan">
      <formula>$C20</formula>
    </cfRule>
    <cfRule type="cellIs" dxfId="16367" priority="139" operator="lessThan">
      <formula>$C20</formula>
    </cfRule>
  </conditionalFormatting>
  <conditionalFormatting sqref="D21:E21">
    <cfRule type="expression" dxfId="16366" priority="136">
      <formula>AND($A21&lt;&gt;"",MOD(ROW(),2))</formula>
    </cfRule>
  </conditionalFormatting>
  <conditionalFormatting sqref="D21">
    <cfRule type="cellIs" dxfId="16365" priority="133" operator="equal">
      <formula>$C21</formula>
    </cfRule>
    <cfRule type="cellIs" dxfId="16364" priority="134" operator="greaterThan">
      <formula>$C21</formula>
    </cfRule>
    <cfRule type="cellIs" dxfId="16363" priority="135" operator="lessThan">
      <formula>$C21</formula>
    </cfRule>
  </conditionalFormatting>
  <conditionalFormatting sqref="D22:E22">
    <cfRule type="expression" dxfId="16362" priority="132">
      <formula>AND($A22&lt;&gt;"",MOD(ROW(),2))</formula>
    </cfRule>
  </conditionalFormatting>
  <conditionalFormatting sqref="D22">
    <cfRule type="cellIs" dxfId="16361" priority="129" operator="equal">
      <formula>$C22</formula>
    </cfRule>
    <cfRule type="cellIs" dxfId="16360" priority="130" operator="greaterThan">
      <formula>$C22</formula>
    </cfRule>
    <cfRule type="cellIs" dxfId="16359" priority="131" operator="lessThan">
      <formula>$C22</formula>
    </cfRule>
  </conditionalFormatting>
  <conditionalFormatting sqref="F11:F22">
    <cfRule type="containsText" dxfId="16358" priority="105" operator="containsText" text="Unpaid Rent">
      <formula>NOT(ISERROR(SEARCH("Unpaid Rent",F11)))</formula>
    </cfRule>
    <cfRule type="containsText" dxfId="16357" priority="106" stopIfTrue="1" operator="containsText" text="Closed Account">
      <formula>NOT(ISERROR(SEARCH("Closed Account",F11)))</formula>
    </cfRule>
  </conditionalFormatting>
  <conditionalFormatting sqref="F23:F34">
    <cfRule type="containsText" dxfId="16356" priority="103" operator="containsText" text="Unpaid Rent">
      <formula>NOT(ISERROR(SEARCH("Unpaid Rent",F23)))</formula>
    </cfRule>
    <cfRule type="containsText" dxfId="16355" priority="104" stopIfTrue="1" operator="containsText" text="Closed Account">
      <formula>NOT(ISERROR(SEARCH("Closed Account",F23)))</formula>
    </cfRule>
  </conditionalFormatting>
  <conditionalFormatting sqref="D23:E23">
    <cfRule type="expression" dxfId="16354" priority="102">
      <formula>AND($A23&lt;&gt;"",MOD(ROW(),2))</formula>
    </cfRule>
  </conditionalFormatting>
  <conditionalFormatting sqref="D23">
    <cfRule type="cellIs" dxfId="16353" priority="99" operator="equal">
      <formula>$C23</formula>
    </cfRule>
    <cfRule type="cellIs" dxfId="16352" priority="100" operator="greaterThan">
      <formula>$C23</formula>
    </cfRule>
    <cfRule type="cellIs" dxfId="16351" priority="101" operator="lessThan">
      <formula>$C23</formula>
    </cfRule>
  </conditionalFormatting>
  <conditionalFormatting sqref="D24:E24">
    <cfRule type="expression" dxfId="16350" priority="98">
      <formula>AND($A24&lt;&gt;"",MOD(ROW(),2))</formula>
    </cfRule>
  </conditionalFormatting>
  <conditionalFormatting sqref="D24">
    <cfRule type="cellIs" dxfId="16349" priority="95" operator="equal">
      <formula>$C24</formula>
    </cfRule>
    <cfRule type="cellIs" dxfId="16348" priority="96" operator="greaterThan">
      <formula>$C24</formula>
    </cfRule>
    <cfRule type="cellIs" dxfId="16347" priority="97" operator="lessThan">
      <formula>$C24</formula>
    </cfRule>
  </conditionalFormatting>
  <conditionalFormatting sqref="D25:E25">
    <cfRule type="expression" dxfId="16346" priority="94">
      <formula>AND($A25&lt;&gt;"",MOD(ROW(),2))</formula>
    </cfRule>
  </conditionalFormatting>
  <conditionalFormatting sqref="D25">
    <cfRule type="cellIs" dxfId="16345" priority="91" operator="equal">
      <formula>$C25</formula>
    </cfRule>
    <cfRule type="cellIs" dxfId="16344" priority="92" operator="greaterThan">
      <formula>$C25</formula>
    </cfRule>
    <cfRule type="cellIs" dxfId="16343" priority="93" operator="lessThan">
      <formula>$C25</formula>
    </cfRule>
  </conditionalFormatting>
  <conditionalFormatting sqref="D26:E26">
    <cfRule type="expression" dxfId="16342" priority="90">
      <formula>AND($A26&lt;&gt;"",MOD(ROW(),2))</formula>
    </cfRule>
  </conditionalFormatting>
  <conditionalFormatting sqref="D26">
    <cfRule type="cellIs" dxfId="16341" priority="87" operator="equal">
      <formula>$C26</formula>
    </cfRule>
    <cfRule type="cellIs" dxfId="16340" priority="88" operator="greaterThan">
      <formula>$C26</formula>
    </cfRule>
    <cfRule type="cellIs" dxfId="16339" priority="89" operator="lessThan">
      <formula>$C26</formula>
    </cfRule>
  </conditionalFormatting>
  <conditionalFormatting sqref="D27:E27">
    <cfRule type="expression" dxfId="16338" priority="86">
      <formula>AND($A27&lt;&gt;"",MOD(ROW(),2))</formula>
    </cfRule>
  </conditionalFormatting>
  <conditionalFormatting sqref="D27">
    <cfRule type="cellIs" dxfId="16337" priority="83" operator="equal">
      <formula>$C27</formula>
    </cfRule>
    <cfRule type="cellIs" dxfId="16336" priority="84" operator="greaterThan">
      <formula>$C27</formula>
    </cfRule>
    <cfRule type="cellIs" dxfId="16335" priority="85" operator="lessThan">
      <formula>$C27</formula>
    </cfRule>
  </conditionalFormatting>
  <conditionalFormatting sqref="D28:E28">
    <cfRule type="expression" dxfId="16334" priority="82">
      <formula>AND($A28&lt;&gt;"",MOD(ROW(),2))</formula>
    </cfRule>
  </conditionalFormatting>
  <conditionalFormatting sqref="D28">
    <cfRule type="cellIs" dxfId="16333" priority="79" operator="equal">
      <formula>$C28</formula>
    </cfRule>
    <cfRule type="cellIs" dxfId="16332" priority="80" operator="greaterThan">
      <formula>$C28</formula>
    </cfRule>
    <cfRule type="cellIs" dxfId="16331" priority="81" operator="lessThan">
      <formula>$C28</formula>
    </cfRule>
  </conditionalFormatting>
  <conditionalFormatting sqref="D29:E29">
    <cfRule type="expression" dxfId="16330" priority="78">
      <formula>AND($A29&lt;&gt;"",MOD(ROW(),2))</formula>
    </cfRule>
  </conditionalFormatting>
  <conditionalFormatting sqref="D29">
    <cfRule type="cellIs" dxfId="16329" priority="75" operator="equal">
      <formula>$C29</formula>
    </cfRule>
    <cfRule type="cellIs" dxfId="16328" priority="76" operator="greaterThan">
      <formula>$C29</formula>
    </cfRule>
    <cfRule type="cellIs" dxfId="16327" priority="77" operator="lessThan">
      <formula>$C29</formula>
    </cfRule>
  </conditionalFormatting>
  <conditionalFormatting sqref="D30:E30">
    <cfRule type="expression" dxfId="16326" priority="74">
      <formula>AND($A30&lt;&gt;"",MOD(ROW(),2))</formula>
    </cfRule>
  </conditionalFormatting>
  <conditionalFormatting sqref="D30">
    <cfRule type="cellIs" dxfId="16325" priority="71" operator="equal">
      <formula>$C30</formula>
    </cfRule>
    <cfRule type="cellIs" dxfId="16324" priority="72" operator="greaterThan">
      <formula>$C30</formula>
    </cfRule>
    <cfRule type="cellIs" dxfId="16323" priority="73" operator="lessThan">
      <formula>$C30</formula>
    </cfRule>
  </conditionalFormatting>
  <conditionalFormatting sqref="D31:E31">
    <cfRule type="expression" dxfId="16322" priority="70">
      <formula>AND($A31&lt;&gt;"",MOD(ROW(),2))</formula>
    </cfRule>
  </conditionalFormatting>
  <conditionalFormatting sqref="D31">
    <cfRule type="cellIs" dxfId="16321" priority="67" operator="equal">
      <formula>$C31</formula>
    </cfRule>
    <cfRule type="cellIs" dxfId="16320" priority="68" operator="greaterThan">
      <formula>$C31</formula>
    </cfRule>
    <cfRule type="cellIs" dxfId="16319" priority="69" operator="lessThan">
      <formula>$C31</formula>
    </cfRule>
  </conditionalFormatting>
  <conditionalFormatting sqref="D32:E32">
    <cfRule type="expression" dxfId="16318" priority="66">
      <formula>AND($A32&lt;&gt;"",MOD(ROW(),2))</formula>
    </cfRule>
  </conditionalFormatting>
  <conditionalFormatting sqref="D32">
    <cfRule type="cellIs" dxfId="16317" priority="63" operator="equal">
      <formula>$C32</formula>
    </cfRule>
    <cfRule type="cellIs" dxfId="16316" priority="64" operator="greaterThan">
      <formula>$C32</formula>
    </cfRule>
    <cfRule type="cellIs" dxfId="16315" priority="65" operator="lessThan">
      <formula>$C32</formula>
    </cfRule>
  </conditionalFormatting>
  <conditionalFormatting sqref="D33:E33">
    <cfRule type="expression" dxfId="16314" priority="62">
      <formula>AND($A33&lt;&gt;"",MOD(ROW(),2))</formula>
    </cfRule>
  </conditionalFormatting>
  <conditionalFormatting sqref="D33">
    <cfRule type="cellIs" dxfId="16313" priority="59" operator="equal">
      <formula>$C33</formula>
    </cfRule>
    <cfRule type="cellIs" dxfId="16312" priority="60" operator="greaterThan">
      <formula>$C33</formula>
    </cfRule>
    <cfRule type="cellIs" dxfId="16311" priority="61" operator="lessThan">
      <formula>$C33</formula>
    </cfRule>
  </conditionalFormatting>
  <conditionalFormatting sqref="D34:E34">
    <cfRule type="expression" dxfId="16310" priority="58">
      <formula>AND($A34&lt;&gt;"",MOD(ROW(),2))</formula>
    </cfRule>
  </conditionalFormatting>
  <conditionalFormatting sqref="D34">
    <cfRule type="cellIs" dxfId="16309" priority="55" operator="equal">
      <formula>$C34</formula>
    </cfRule>
    <cfRule type="cellIs" dxfId="16308" priority="56" operator="greaterThan">
      <formula>$C34</formula>
    </cfRule>
    <cfRule type="cellIs" dxfId="16307" priority="57" operator="lessThan">
      <formula>$C34</formula>
    </cfRule>
  </conditionalFormatting>
  <conditionalFormatting sqref="A11 C11:E11">
    <cfRule type="expression" dxfId="16306" priority="54">
      <formula>AND($A11&lt;&gt;"",MOD(ROW(),2))</formula>
    </cfRule>
  </conditionalFormatting>
  <conditionalFormatting sqref="D11">
    <cfRule type="cellIs" dxfId="16305" priority="51" operator="equal">
      <formula>$C11</formula>
    </cfRule>
    <cfRule type="cellIs" dxfId="16304" priority="52" operator="greaterThan">
      <formula>$C11</formula>
    </cfRule>
    <cfRule type="cellIs" dxfId="16303" priority="53" operator="lessThan">
      <formula>$C11</formula>
    </cfRule>
  </conditionalFormatting>
  <conditionalFormatting sqref="C23">
    <cfRule type="expression" dxfId="16302" priority="50">
      <formula>AND($A23&lt;&gt;"",MOD(ROW(),2))</formula>
    </cfRule>
  </conditionalFormatting>
  <conditionalFormatting sqref="C23">
    <cfRule type="cellIs" dxfId="16301" priority="47" operator="equal">
      <formula>$C23</formula>
    </cfRule>
    <cfRule type="cellIs" dxfId="16300" priority="48" operator="greaterThan">
      <formula>$C23</formula>
    </cfRule>
    <cfRule type="cellIs" dxfId="16299" priority="49" operator="lessThan">
      <formula>$C23</formula>
    </cfRule>
  </conditionalFormatting>
  <conditionalFormatting sqref="C24">
    <cfRule type="expression" dxfId="16298" priority="46">
      <formula>AND($A24&lt;&gt;"",MOD(ROW(),2))</formula>
    </cfRule>
  </conditionalFormatting>
  <conditionalFormatting sqref="C24">
    <cfRule type="cellIs" dxfId="16297" priority="43" operator="equal">
      <formula>$C24</formula>
    </cfRule>
    <cfRule type="cellIs" dxfId="16296" priority="44" operator="greaterThan">
      <formula>$C24</formula>
    </cfRule>
    <cfRule type="cellIs" dxfId="16295" priority="45" operator="lessThan">
      <formula>$C24</formula>
    </cfRule>
  </conditionalFormatting>
  <conditionalFormatting sqref="C25">
    <cfRule type="expression" dxfId="16294" priority="42">
      <formula>AND($A25&lt;&gt;"",MOD(ROW(),2))</formula>
    </cfRule>
  </conditionalFormatting>
  <conditionalFormatting sqref="C25">
    <cfRule type="cellIs" dxfId="16293" priority="39" operator="equal">
      <formula>$C25</formula>
    </cfRule>
    <cfRule type="cellIs" dxfId="16292" priority="40" operator="greaterThan">
      <formula>$C25</formula>
    </cfRule>
    <cfRule type="cellIs" dxfId="16291" priority="41" operator="lessThan">
      <formula>$C25</formula>
    </cfRule>
  </conditionalFormatting>
  <conditionalFormatting sqref="C26">
    <cfRule type="expression" dxfId="16290" priority="38">
      <formula>AND($A26&lt;&gt;"",MOD(ROW(),2))</formula>
    </cfRule>
  </conditionalFormatting>
  <conditionalFormatting sqref="C26">
    <cfRule type="cellIs" dxfId="16289" priority="35" operator="equal">
      <formula>$C26</formula>
    </cfRule>
    <cfRule type="cellIs" dxfId="16288" priority="36" operator="greaterThan">
      <formula>$C26</formula>
    </cfRule>
    <cfRule type="cellIs" dxfId="16287" priority="37" operator="lessThan">
      <formula>$C26</formula>
    </cfRule>
  </conditionalFormatting>
  <conditionalFormatting sqref="C11">
    <cfRule type="expression" dxfId="16286" priority="34">
      <formula>AND($A11&lt;&gt;"",MOD(ROW(),2))</formula>
    </cfRule>
  </conditionalFormatting>
  <conditionalFormatting sqref="C11">
    <cfRule type="cellIs" dxfId="16285" priority="31" operator="equal">
      <formula>$C11</formula>
    </cfRule>
    <cfRule type="cellIs" dxfId="16284" priority="32" operator="greaterThan">
      <formula>$C11</formula>
    </cfRule>
    <cfRule type="cellIs" dxfId="16283" priority="33" operator="lessThan">
      <formula>$C11</formula>
    </cfRule>
  </conditionalFormatting>
  <conditionalFormatting sqref="C12">
    <cfRule type="expression" dxfId="16282" priority="30">
      <formula>AND($A12&lt;&gt;"",MOD(ROW(),2))</formula>
    </cfRule>
  </conditionalFormatting>
  <conditionalFormatting sqref="C12">
    <cfRule type="cellIs" dxfId="16281" priority="27" operator="equal">
      <formula>$C12</formula>
    </cfRule>
    <cfRule type="cellIs" dxfId="16280" priority="28" operator="greaterThan">
      <formula>$C12</formula>
    </cfRule>
    <cfRule type="cellIs" dxfId="16279" priority="29" operator="lessThan">
      <formula>$C12</formula>
    </cfRule>
  </conditionalFormatting>
  <conditionalFormatting sqref="C13">
    <cfRule type="expression" dxfId="16278" priority="26">
      <formula>AND($A13&lt;&gt;"",MOD(ROW(),2))</formula>
    </cfRule>
  </conditionalFormatting>
  <conditionalFormatting sqref="C13">
    <cfRule type="cellIs" dxfId="16277" priority="23" operator="equal">
      <formula>$C13</formula>
    </cfRule>
    <cfRule type="cellIs" dxfId="16276" priority="24" operator="greaterThan">
      <formula>$C13</formula>
    </cfRule>
    <cfRule type="cellIs" dxfId="16275" priority="25" operator="lessThan">
      <formula>$C13</formula>
    </cfRule>
  </conditionalFormatting>
  <conditionalFormatting sqref="C14">
    <cfRule type="expression" dxfId="16274" priority="22">
      <formula>AND($A14&lt;&gt;"",MOD(ROW(),2))</formula>
    </cfRule>
  </conditionalFormatting>
  <conditionalFormatting sqref="C14">
    <cfRule type="cellIs" dxfId="16273" priority="19" operator="equal">
      <formula>$C14</formula>
    </cfRule>
    <cfRule type="cellIs" dxfId="16272" priority="20" operator="greaterThan">
      <formula>$C14</formula>
    </cfRule>
    <cfRule type="cellIs" dxfId="16271" priority="21" operator="lessThan">
      <formula>$C14</formula>
    </cfRule>
  </conditionalFormatting>
  <conditionalFormatting sqref="D11:E11">
    <cfRule type="expression" dxfId="16270" priority="18">
      <formula>AND($A11&lt;&gt;"",MOD(ROW(),2))</formula>
    </cfRule>
  </conditionalFormatting>
  <conditionalFormatting sqref="D11">
    <cfRule type="cellIs" dxfId="16269" priority="15" operator="equal">
      <formula>$C11</formula>
    </cfRule>
    <cfRule type="cellIs" dxfId="16268" priority="16" operator="greaterThan">
      <formula>$C11</formula>
    </cfRule>
    <cfRule type="cellIs" dxfId="16267" priority="17" operator="lessThan">
      <formula>$C11</formula>
    </cfRule>
  </conditionalFormatting>
  <conditionalFormatting sqref="D12:E12">
    <cfRule type="expression" dxfId="16266" priority="14">
      <formula>AND($A12&lt;&gt;"",MOD(ROW(),2))</formula>
    </cfRule>
  </conditionalFormatting>
  <conditionalFormatting sqref="D12">
    <cfRule type="cellIs" dxfId="16265" priority="11" operator="equal">
      <formula>$C12</formula>
    </cfRule>
    <cfRule type="cellIs" dxfId="16264" priority="12" operator="greaterThan">
      <formula>$C12</formula>
    </cfRule>
    <cfRule type="cellIs" dxfId="16263" priority="13" operator="lessThan">
      <formula>$C12</formula>
    </cfRule>
  </conditionalFormatting>
  <conditionalFormatting sqref="D13:E13">
    <cfRule type="expression" dxfId="16262" priority="10">
      <formula>AND($A13&lt;&gt;"",MOD(ROW(),2))</formula>
    </cfRule>
  </conditionalFormatting>
  <conditionalFormatting sqref="D13">
    <cfRule type="cellIs" dxfId="16261" priority="7" operator="equal">
      <formula>$C13</formula>
    </cfRule>
    <cfRule type="cellIs" dxfId="16260" priority="8" operator="greaterThan">
      <formula>$C13</formula>
    </cfRule>
    <cfRule type="cellIs" dxfId="16259" priority="9" operator="lessThan">
      <formula>$C13</formula>
    </cfRule>
  </conditionalFormatting>
  <conditionalFormatting sqref="D14:E14">
    <cfRule type="expression" dxfId="16258" priority="6">
      <formula>AND($A14&lt;&gt;"",MOD(ROW(),2))</formula>
    </cfRule>
  </conditionalFormatting>
  <conditionalFormatting sqref="D14">
    <cfRule type="cellIs" dxfId="16257" priority="3" operator="equal">
      <formula>$C14</formula>
    </cfRule>
    <cfRule type="cellIs" dxfId="16256" priority="4" operator="greaterThan">
      <formula>$C14</formula>
    </cfRule>
    <cfRule type="cellIs" dxfId="16255" priority="5" operator="lessThan">
      <formula>$C14</formula>
    </cfRule>
  </conditionalFormatting>
  <conditionalFormatting sqref="C66:D67 D68:D79">
    <cfRule type="expression" dxfId="16254" priority="2">
      <formula>AND($A66&lt;&gt;"",MOD(ROW(),2))</formula>
    </cfRule>
  </conditionalFormatting>
  <conditionalFormatting sqref="I68:I84">
    <cfRule type="expression" dxfId="16253" priority="1">
      <formula>AND($A68&lt;&gt;"",MOD(ROW(),2))</formula>
    </cfRule>
  </conditionalFormatting>
  <pageMargins left="0.75" right="0.75" top="1" bottom="1" header="0.5" footer="0.5"/>
  <pageSetup paperSize="9" orientation="portrait" horizontalDpi="4294967292" verticalDpi="4294967292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700-000000000000}">
          <x14:formula1>
            <xm:f>PullDownValues!$F$2:$F$14</xm:f>
          </x14:formula1>
          <xm:sqref>L7:L355</xm:sqref>
        </x14:dataValidation>
        <x14:dataValidation type="list" allowBlank="1" showInputMessage="1" showErrorMessage="1" prompt="Payment Method" xr:uid="{00000000-0002-0000-0700-000001000000}">
          <x14:formula1>
            <xm:f>PullDownValues!$B$2:$B$12</xm:f>
          </x14:formula1>
          <xm:sqref>F7:F289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9</vt:i4>
      </vt:variant>
    </vt:vector>
  </HeadingPairs>
  <TitlesOfParts>
    <vt:vector size="36" baseType="lpstr">
      <vt:lpstr>1MV4GI (2)</vt:lpstr>
      <vt:lpstr>Sold Cars</vt:lpstr>
      <vt:lpstr>Summary</vt:lpstr>
      <vt:lpstr>Other Expense</vt:lpstr>
      <vt:lpstr>PullDownValues</vt:lpstr>
      <vt:lpstr>1UT9BR</vt:lpstr>
      <vt:lpstr>CEI565</vt:lpstr>
      <vt:lpstr>1SM3VL</vt:lpstr>
      <vt:lpstr>1UL9RY</vt:lpstr>
      <vt:lpstr>1UV5KI</vt:lpstr>
      <vt:lpstr>1QF4SM</vt:lpstr>
      <vt:lpstr>1OZ7GT</vt:lpstr>
      <vt:lpstr>1CN8DD</vt:lpstr>
      <vt:lpstr>1MK4UR</vt:lpstr>
      <vt:lpstr>1JI2UE</vt:lpstr>
      <vt:lpstr>1UK1BK</vt:lpstr>
      <vt:lpstr>1SI9BW</vt:lpstr>
      <vt:lpstr>Suzuki</vt:lpstr>
      <vt:lpstr>1SK3DD</vt:lpstr>
      <vt:lpstr>1SX5TQ</vt:lpstr>
      <vt:lpstr>BMM465</vt:lpstr>
      <vt:lpstr>1CF1ZO</vt:lpstr>
      <vt:lpstr>Sabbir Bhai</vt:lpstr>
      <vt:lpstr>Piplu Bhai</vt:lpstr>
      <vt:lpstr>Riad</vt:lpstr>
      <vt:lpstr>Database</vt:lpstr>
      <vt:lpstr>Repair</vt:lpstr>
      <vt:lpstr>Expenses</vt:lpstr>
      <vt:lpstr>PullDownValues!Income_Category</vt:lpstr>
      <vt:lpstr>Income_Category</vt:lpstr>
      <vt:lpstr>Loan_Received</vt:lpstr>
      <vt:lpstr>Other_Income</vt:lpstr>
      <vt:lpstr>'1UT9BR'!Print_Area</vt:lpstr>
      <vt:lpstr>'BMM465'!Print_Area</vt:lpstr>
      <vt:lpstr>PullDownValues!Property_Type</vt:lpstr>
      <vt:lpstr>Property_Type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Rental Income and Expenses Spreadsheet</dc:title>
  <dc:subject>http://www.fastbusinessplans.com/</dc:subject>
  <dc:creator>Fast Business Plans</dc:creator>
  <dc:description>Download all your business templates for free from Fast Business Plans at http://www.fastbusinessplans.com/</dc:description>
  <cp:lastModifiedBy>bg</cp:lastModifiedBy>
  <cp:revision/>
  <cp:lastPrinted>2022-03-01T02:21:53Z</cp:lastPrinted>
  <dcterms:created xsi:type="dcterms:W3CDTF">2020-05-12T12:13:52Z</dcterms:created>
  <dcterms:modified xsi:type="dcterms:W3CDTF">2023-06-27T20:52:19Z</dcterms:modified>
</cp:coreProperties>
</file>